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\\192.168.1.107\all\Актуальные Прайс-листы\Прайс-лист Vitron\"/>
    </mc:Choice>
  </mc:AlternateContent>
  <xr:revisionPtr revIDLastSave="0" documentId="13_ncr:1_{74CCD50D-C9ED-4165-AA5B-3DFD14A163E1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Главная" sheetId="21" r:id="rId1"/>
    <sheet name="Артикул" sheetId="37" r:id="rId2"/>
    <sheet name="Описание" sheetId="81" r:id="rId3"/>
    <sheet name="Описание ВКЭ" sheetId="55" state="hidden" r:id="rId4"/>
    <sheet name="Специсполнения" sheetId="127" r:id="rId5"/>
    <sheet name="Калькулятор теплоотдач ВК" sheetId="104" r:id="rId6"/>
    <sheet name="Калькулятор теплоотдач ВКВ" sheetId="105" r:id="rId7"/>
    <sheet name="Калькулятор приточной вент" sheetId="126" r:id="rId8"/>
    <sheet name="65 ВЕНТ 24В" sheetId="82" r:id="rId9"/>
    <sheet name="70 ВЕНТ 24В" sheetId="83" r:id="rId10"/>
    <sheet name="75 ВЕНТ 24В" sheetId="84" r:id="rId11"/>
    <sheet name="80 ВЕНТ 24В" sheetId="85" r:id="rId12"/>
    <sheet name="90 ВЕНТ 24В" sheetId="86" r:id="rId13"/>
    <sheet name="110 ВЕНТ 24В" sheetId="87" r:id="rId14"/>
    <sheet name="140 ВЕНТ 24В" sheetId="113" r:id="rId15"/>
    <sheet name="150 ВЕНТ 24В" sheetId="88" r:id="rId16"/>
    <sheet name="55" sheetId="79" r:id="rId17"/>
    <sheet name="65" sheetId="73" r:id="rId18"/>
    <sheet name="70" sheetId="74" r:id="rId19"/>
    <sheet name="75" sheetId="45" r:id="rId20"/>
    <sheet name="80" sheetId="75" r:id="rId21"/>
    <sheet name="90" sheetId="42" r:id="rId22"/>
    <sheet name="110" sheetId="46" r:id="rId23"/>
    <sheet name="140" sheetId="107" r:id="rId24"/>
    <sheet name="150" sheetId="47" r:id="rId25"/>
    <sheet name="200" sheetId="65" r:id="rId26"/>
    <sheet name="300" sheetId="66" r:id="rId27"/>
    <sheet name="400" sheetId="69" r:id="rId28"/>
    <sheet name="500" sheetId="67" r:id="rId29"/>
    <sheet name="600" sheetId="68" r:id="rId30"/>
    <sheet name="ВК.МАХ.90" sheetId="120" r:id="rId31"/>
    <sheet name="ВК.МАХ.110" sheetId="121" r:id="rId32"/>
    <sheet name="ВК.МАХ.150" sheetId="122" r:id="rId33"/>
    <sheet name="ВК.МАХ.200" sheetId="123" r:id="rId34"/>
    <sheet name="ВКВТХ" sheetId="52" r:id="rId35"/>
    <sheet name="ВКП" sheetId="128" r:id="rId36"/>
    <sheet name="ВКВП" sheetId="129" r:id="rId37"/>
    <sheet name="ВКВП с доской" sheetId="130" r:id="rId38"/>
    <sheet name="ВКВ+ВКЭ" sheetId="114" r:id="rId39"/>
    <sheet name="КП" sheetId="125" r:id="rId40"/>
    <sheet name="Посезонная вкладка и монтаж кр" sheetId="72" r:id="rId41"/>
    <sheet name="Теплообменники" sheetId="40" r:id="rId42"/>
    <sheet name="Крепление тепл и крышки" sheetId="57" r:id="rId43"/>
    <sheet name="Вентиляторы" sheetId="41" r:id="rId44"/>
    <sheet name="Автоматика" sheetId="115" r:id="rId45"/>
    <sheet name="Арматура" sheetId="110" r:id="rId46"/>
    <sheet name="Комплекты подключения" sheetId="109" r:id="rId47"/>
  </sheets>
  <externalReferences>
    <externalReference r:id="rId4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6" i="129" l="1"/>
  <c r="O106" i="129"/>
  <c r="F106" i="129"/>
  <c r="D106" i="129"/>
  <c r="B106" i="129"/>
  <c r="P105" i="129"/>
  <c r="O105" i="129"/>
  <c r="F105" i="129"/>
  <c r="D105" i="129"/>
  <c r="B105" i="129"/>
  <c r="P104" i="129"/>
  <c r="O104" i="129"/>
  <c r="F104" i="129"/>
  <c r="D104" i="129"/>
  <c r="B104" i="129"/>
  <c r="P103" i="129"/>
  <c r="O103" i="129"/>
  <c r="F103" i="129"/>
  <c r="D103" i="129"/>
  <c r="B103" i="129"/>
  <c r="P102" i="129"/>
  <c r="O102" i="129"/>
  <c r="F102" i="129"/>
  <c r="D102" i="129"/>
  <c r="B102" i="129"/>
  <c r="P101" i="129"/>
  <c r="O101" i="129"/>
  <c r="F101" i="129"/>
  <c r="D101" i="129"/>
  <c r="B101" i="129"/>
  <c r="P100" i="129"/>
  <c r="O100" i="129"/>
  <c r="F100" i="129"/>
  <c r="D100" i="129"/>
  <c r="B100" i="129"/>
  <c r="P99" i="129"/>
  <c r="Q99" i="129" s="1"/>
  <c r="O99" i="129"/>
  <c r="F99" i="129"/>
  <c r="D99" i="129"/>
  <c r="B99" i="129"/>
  <c r="P98" i="129"/>
  <c r="O98" i="129"/>
  <c r="F98" i="129"/>
  <c r="D98" i="129"/>
  <c r="B98" i="129"/>
  <c r="P97" i="129"/>
  <c r="O97" i="129"/>
  <c r="F97" i="129"/>
  <c r="D97" i="129"/>
  <c r="B97" i="129"/>
  <c r="P96" i="129"/>
  <c r="O96" i="129"/>
  <c r="F96" i="129"/>
  <c r="D96" i="129"/>
  <c r="B96" i="129"/>
  <c r="P95" i="129"/>
  <c r="O95" i="129"/>
  <c r="F95" i="129"/>
  <c r="D95" i="129"/>
  <c r="B95" i="129"/>
  <c r="P94" i="129"/>
  <c r="O94" i="129"/>
  <c r="F94" i="129"/>
  <c r="D94" i="129"/>
  <c r="B94" i="129"/>
  <c r="P93" i="129"/>
  <c r="O93" i="129"/>
  <c r="Q93" i="129" s="1"/>
  <c r="F93" i="129"/>
  <c r="D93" i="129"/>
  <c r="B93" i="129"/>
  <c r="P92" i="129"/>
  <c r="O92" i="129"/>
  <c r="F92" i="129"/>
  <c r="D92" i="129"/>
  <c r="B92" i="129"/>
  <c r="P91" i="129"/>
  <c r="O91" i="129"/>
  <c r="Q91" i="129" s="1"/>
  <c r="F91" i="129"/>
  <c r="D91" i="129"/>
  <c r="B91" i="129"/>
  <c r="P90" i="129"/>
  <c r="O90" i="129"/>
  <c r="F90" i="129"/>
  <c r="D90" i="129"/>
  <c r="B90" i="129"/>
  <c r="P89" i="129"/>
  <c r="O89" i="129"/>
  <c r="F89" i="129"/>
  <c r="D89" i="129"/>
  <c r="B89" i="129"/>
  <c r="P88" i="129"/>
  <c r="O88" i="129"/>
  <c r="F88" i="129"/>
  <c r="D88" i="129"/>
  <c r="B88" i="129"/>
  <c r="P87" i="129"/>
  <c r="O87" i="129"/>
  <c r="F87" i="129"/>
  <c r="D87" i="129"/>
  <c r="B87" i="129"/>
  <c r="P86" i="129"/>
  <c r="O86" i="129"/>
  <c r="F86" i="129"/>
  <c r="D86" i="129"/>
  <c r="B86" i="129"/>
  <c r="P85" i="129"/>
  <c r="O85" i="129"/>
  <c r="Q85" i="129" s="1"/>
  <c r="F85" i="129"/>
  <c r="D85" i="129"/>
  <c r="B85" i="129"/>
  <c r="P84" i="129"/>
  <c r="O84" i="129"/>
  <c r="F84" i="129"/>
  <c r="D84" i="129"/>
  <c r="B84" i="129"/>
  <c r="P83" i="129"/>
  <c r="Q83" i="129" s="1"/>
  <c r="O83" i="129"/>
  <c r="F83" i="129"/>
  <c r="D83" i="129"/>
  <c r="B83" i="129"/>
  <c r="P82" i="129"/>
  <c r="O82" i="129"/>
  <c r="Q82" i="129" s="1"/>
  <c r="F82" i="129"/>
  <c r="D82" i="129"/>
  <c r="B82" i="129"/>
  <c r="P81" i="129"/>
  <c r="O81" i="129"/>
  <c r="F81" i="129"/>
  <c r="D81" i="129"/>
  <c r="B81" i="129"/>
  <c r="P80" i="129"/>
  <c r="O80" i="129"/>
  <c r="F80" i="129"/>
  <c r="D80" i="129"/>
  <c r="B80" i="129"/>
  <c r="P79" i="129"/>
  <c r="O79" i="129"/>
  <c r="F79" i="129"/>
  <c r="D79" i="129"/>
  <c r="B79" i="129"/>
  <c r="P78" i="129"/>
  <c r="O78" i="129"/>
  <c r="F78" i="129"/>
  <c r="D78" i="129"/>
  <c r="B78" i="129"/>
  <c r="P77" i="129"/>
  <c r="O77" i="129"/>
  <c r="F77" i="129"/>
  <c r="D77" i="129"/>
  <c r="B77" i="129"/>
  <c r="P76" i="129"/>
  <c r="O76" i="129"/>
  <c r="Q76" i="129" s="1"/>
  <c r="F76" i="129"/>
  <c r="D76" i="129"/>
  <c r="B76" i="129"/>
  <c r="P75" i="129"/>
  <c r="O75" i="129"/>
  <c r="F75" i="129"/>
  <c r="D75" i="129"/>
  <c r="B75" i="129"/>
  <c r="P74" i="129"/>
  <c r="O74" i="129"/>
  <c r="F74" i="129"/>
  <c r="D74" i="129"/>
  <c r="B74" i="129"/>
  <c r="P73" i="129"/>
  <c r="O73" i="129"/>
  <c r="Q73" i="129" s="1"/>
  <c r="F73" i="129"/>
  <c r="D73" i="129"/>
  <c r="B73" i="129"/>
  <c r="P72" i="129"/>
  <c r="O72" i="129"/>
  <c r="F72" i="129"/>
  <c r="D72" i="129"/>
  <c r="B72" i="129"/>
  <c r="P71" i="129"/>
  <c r="O71" i="129"/>
  <c r="F71" i="129"/>
  <c r="D71" i="129"/>
  <c r="B71" i="129"/>
  <c r="P70" i="129"/>
  <c r="O70" i="129"/>
  <c r="Q70" i="129" s="1"/>
  <c r="F70" i="129"/>
  <c r="D70" i="129"/>
  <c r="B70" i="129"/>
  <c r="P69" i="129"/>
  <c r="O69" i="129"/>
  <c r="Q69" i="129" s="1"/>
  <c r="F69" i="129"/>
  <c r="D69" i="129"/>
  <c r="B69" i="129"/>
  <c r="P68" i="129"/>
  <c r="O68" i="129"/>
  <c r="F68" i="129"/>
  <c r="D68" i="129"/>
  <c r="B68" i="129"/>
  <c r="P67" i="129"/>
  <c r="O67" i="129"/>
  <c r="F67" i="129"/>
  <c r="D67" i="129"/>
  <c r="B67" i="129"/>
  <c r="P66" i="129"/>
  <c r="O66" i="129"/>
  <c r="Q66" i="129" s="1"/>
  <c r="F66" i="129"/>
  <c r="D66" i="129"/>
  <c r="B66" i="129"/>
  <c r="P65" i="129"/>
  <c r="O65" i="129"/>
  <c r="Q65" i="129" s="1"/>
  <c r="F65" i="129"/>
  <c r="D65" i="129"/>
  <c r="B65" i="129"/>
  <c r="P64" i="129"/>
  <c r="O64" i="129"/>
  <c r="Q64" i="129" s="1"/>
  <c r="F64" i="129"/>
  <c r="D64" i="129"/>
  <c r="B64" i="129"/>
  <c r="P63" i="129"/>
  <c r="O63" i="129"/>
  <c r="F63" i="129"/>
  <c r="D63" i="129"/>
  <c r="B63" i="129"/>
  <c r="P62" i="129"/>
  <c r="O62" i="129"/>
  <c r="Q62" i="129" s="1"/>
  <c r="F62" i="129"/>
  <c r="D62" i="129"/>
  <c r="B62" i="129"/>
  <c r="P61" i="129"/>
  <c r="O61" i="129"/>
  <c r="Q61" i="129" s="1"/>
  <c r="F61" i="129"/>
  <c r="D61" i="129"/>
  <c r="B61" i="129"/>
  <c r="P60" i="129"/>
  <c r="O60" i="129"/>
  <c r="F60" i="129"/>
  <c r="D60" i="129"/>
  <c r="B60" i="129"/>
  <c r="P57" i="129"/>
  <c r="O57" i="129"/>
  <c r="Q57" i="129" s="1"/>
  <c r="F57" i="129"/>
  <c r="D57" i="129"/>
  <c r="B57" i="129"/>
  <c r="P56" i="129"/>
  <c r="O56" i="129"/>
  <c r="F56" i="129"/>
  <c r="D56" i="129"/>
  <c r="B56" i="129"/>
  <c r="P55" i="129"/>
  <c r="O55" i="129"/>
  <c r="F55" i="129"/>
  <c r="D55" i="129"/>
  <c r="B55" i="129"/>
  <c r="P54" i="129"/>
  <c r="O54" i="129"/>
  <c r="F54" i="129"/>
  <c r="D54" i="129"/>
  <c r="B54" i="129"/>
  <c r="P53" i="129"/>
  <c r="O53" i="129"/>
  <c r="F53" i="129"/>
  <c r="D53" i="129"/>
  <c r="B53" i="129"/>
  <c r="P52" i="129"/>
  <c r="O52" i="129"/>
  <c r="Q52" i="129" s="1"/>
  <c r="F52" i="129"/>
  <c r="D52" i="129"/>
  <c r="B52" i="129"/>
  <c r="P51" i="129"/>
  <c r="O51" i="129"/>
  <c r="F51" i="129"/>
  <c r="D51" i="129"/>
  <c r="B51" i="129"/>
  <c r="P50" i="129"/>
  <c r="O50" i="129"/>
  <c r="F50" i="129"/>
  <c r="D50" i="129"/>
  <c r="B50" i="129"/>
  <c r="P49" i="129"/>
  <c r="O49" i="129"/>
  <c r="F49" i="129"/>
  <c r="D49" i="129"/>
  <c r="B49" i="129"/>
  <c r="P48" i="129"/>
  <c r="O48" i="129"/>
  <c r="Q48" i="129" s="1"/>
  <c r="F48" i="129"/>
  <c r="D48" i="129"/>
  <c r="B48" i="129"/>
  <c r="P47" i="129"/>
  <c r="O47" i="129"/>
  <c r="F47" i="129"/>
  <c r="D47" i="129"/>
  <c r="B47" i="129"/>
  <c r="P46" i="129"/>
  <c r="O46" i="129"/>
  <c r="Q46" i="129" s="1"/>
  <c r="F46" i="129"/>
  <c r="D46" i="129"/>
  <c r="B46" i="129"/>
  <c r="P45" i="129"/>
  <c r="O45" i="129"/>
  <c r="F45" i="129"/>
  <c r="D45" i="129"/>
  <c r="B45" i="129"/>
  <c r="P44" i="129"/>
  <c r="O44" i="129"/>
  <c r="F44" i="129"/>
  <c r="D44" i="129"/>
  <c r="B44" i="129"/>
  <c r="P43" i="129"/>
  <c r="O43" i="129"/>
  <c r="Q43" i="129" s="1"/>
  <c r="F43" i="129"/>
  <c r="D43" i="129"/>
  <c r="B43" i="129"/>
  <c r="P42" i="129"/>
  <c r="O42" i="129"/>
  <c r="F42" i="129"/>
  <c r="D42" i="129"/>
  <c r="B42" i="129"/>
  <c r="P41" i="129"/>
  <c r="O41" i="129"/>
  <c r="Q41" i="129" s="1"/>
  <c r="F41" i="129"/>
  <c r="D41" i="129"/>
  <c r="B41" i="129"/>
  <c r="P40" i="129"/>
  <c r="O40" i="129"/>
  <c r="F40" i="129"/>
  <c r="D40" i="129"/>
  <c r="B40" i="129"/>
  <c r="P39" i="129"/>
  <c r="O39" i="129"/>
  <c r="F39" i="129"/>
  <c r="D39" i="129"/>
  <c r="B39" i="129"/>
  <c r="P38" i="129"/>
  <c r="O38" i="129"/>
  <c r="F38" i="129"/>
  <c r="D38" i="129"/>
  <c r="B38" i="129"/>
  <c r="P37" i="129"/>
  <c r="O37" i="129"/>
  <c r="F37" i="129"/>
  <c r="D37" i="129"/>
  <c r="B37" i="129"/>
  <c r="P36" i="129"/>
  <c r="O36" i="129"/>
  <c r="Q36" i="129" s="1"/>
  <c r="F36" i="129"/>
  <c r="D36" i="129"/>
  <c r="B36" i="129"/>
  <c r="P35" i="129"/>
  <c r="O35" i="129"/>
  <c r="Q35" i="129" s="1"/>
  <c r="F35" i="129"/>
  <c r="D35" i="129"/>
  <c r="B35" i="129"/>
  <c r="P34" i="129"/>
  <c r="O34" i="129"/>
  <c r="F34" i="129"/>
  <c r="D34" i="129"/>
  <c r="B34" i="129"/>
  <c r="P33" i="129"/>
  <c r="O33" i="129"/>
  <c r="F33" i="129"/>
  <c r="D33" i="129"/>
  <c r="B33" i="129"/>
  <c r="P32" i="129"/>
  <c r="O32" i="129"/>
  <c r="F32" i="129"/>
  <c r="D32" i="129"/>
  <c r="B32" i="129"/>
  <c r="P31" i="129"/>
  <c r="O31" i="129"/>
  <c r="F31" i="129"/>
  <c r="D31" i="129"/>
  <c r="B31" i="129"/>
  <c r="P30" i="129"/>
  <c r="O30" i="129"/>
  <c r="F30" i="129"/>
  <c r="D30" i="129"/>
  <c r="B30" i="129"/>
  <c r="P29" i="129"/>
  <c r="O29" i="129"/>
  <c r="Q29" i="129" s="1"/>
  <c r="F29" i="129"/>
  <c r="D29" i="129"/>
  <c r="B29" i="129"/>
  <c r="P28" i="129"/>
  <c r="O28" i="129"/>
  <c r="F28" i="129"/>
  <c r="D28" i="129"/>
  <c r="B28" i="129"/>
  <c r="P27" i="129"/>
  <c r="O27" i="129"/>
  <c r="F27" i="129"/>
  <c r="D27" i="129"/>
  <c r="B27" i="129"/>
  <c r="P26" i="129"/>
  <c r="O26" i="129"/>
  <c r="F26" i="129"/>
  <c r="D26" i="129"/>
  <c r="B26" i="129"/>
  <c r="P25" i="129"/>
  <c r="O25" i="129"/>
  <c r="F25" i="129"/>
  <c r="D25" i="129"/>
  <c r="B25" i="129"/>
  <c r="P24" i="129"/>
  <c r="O24" i="129"/>
  <c r="F24" i="129"/>
  <c r="D24" i="129"/>
  <c r="B24" i="129"/>
  <c r="P23" i="129"/>
  <c r="O23" i="129"/>
  <c r="F23" i="129"/>
  <c r="D23" i="129"/>
  <c r="B23" i="129"/>
  <c r="P22" i="129"/>
  <c r="O22" i="129"/>
  <c r="Q22" i="129" s="1"/>
  <c r="F22" i="129"/>
  <c r="D22" i="129"/>
  <c r="B22" i="129"/>
  <c r="P21" i="129"/>
  <c r="O21" i="129"/>
  <c r="F21" i="129"/>
  <c r="D21" i="129"/>
  <c r="B21" i="129"/>
  <c r="P20" i="129"/>
  <c r="O20" i="129"/>
  <c r="F20" i="129"/>
  <c r="D20" i="129"/>
  <c r="B20" i="129"/>
  <c r="P19" i="129"/>
  <c r="O19" i="129"/>
  <c r="F19" i="129"/>
  <c r="D19" i="129"/>
  <c r="B19" i="129"/>
  <c r="P18" i="129"/>
  <c r="O18" i="129"/>
  <c r="F18" i="129"/>
  <c r="D18" i="129"/>
  <c r="B18" i="129"/>
  <c r="P17" i="129"/>
  <c r="O17" i="129"/>
  <c r="F17" i="129"/>
  <c r="D17" i="129"/>
  <c r="B17" i="129"/>
  <c r="P16" i="129"/>
  <c r="O16" i="129"/>
  <c r="F16" i="129"/>
  <c r="D16" i="129"/>
  <c r="B16" i="129"/>
  <c r="P15" i="129"/>
  <c r="O15" i="129"/>
  <c r="F15" i="129"/>
  <c r="D15" i="129"/>
  <c r="B15" i="129"/>
  <c r="P14" i="129"/>
  <c r="O14" i="129"/>
  <c r="F14" i="129"/>
  <c r="D14" i="129"/>
  <c r="B14" i="129"/>
  <c r="P13" i="129"/>
  <c r="O13" i="129"/>
  <c r="F13" i="129"/>
  <c r="D13" i="129"/>
  <c r="B13" i="129"/>
  <c r="P12" i="129"/>
  <c r="O12" i="129"/>
  <c r="F12" i="129"/>
  <c r="D12" i="129"/>
  <c r="B12" i="129"/>
  <c r="P11" i="129"/>
  <c r="Q11" i="129" s="1"/>
  <c r="O11" i="129"/>
  <c r="F11" i="129"/>
  <c r="D11" i="129"/>
  <c r="B11" i="129"/>
  <c r="P160" i="128"/>
  <c r="O160" i="128"/>
  <c r="Q160" i="128" s="1"/>
  <c r="F160" i="128"/>
  <c r="D160" i="128"/>
  <c r="B160" i="128"/>
  <c r="P159" i="128"/>
  <c r="O159" i="128"/>
  <c r="Q159" i="128" s="1"/>
  <c r="F159" i="128"/>
  <c r="D159" i="128"/>
  <c r="B159" i="128"/>
  <c r="P158" i="128"/>
  <c r="O158" i="128"/>
  <c r="Q158" i="128" s="1"/>
  <c r="F158" i="128"/>
  <c r="D158" i="128"/>
  <c r="B158" i="128"/>
  <c r="P157" i="128"/>
  <c r="O157" i="128"/>
  <c r="F157" i="128"/>
  <c r="D157" i="128"/>
  <c r="B157" i="128"/>
  <c r="P156" i="128"/>
  <c r="O156" i="128"/>
  <c r="Q156" i="128" s="1"/>
  <c r="F156" i="128"/>
  <c r="D156" i="128"/>
  <c r="B156" i="128"/>
  <c r="P155" i="128"/>
  <c r="Q155" i="128" s="1"/>
  <c r="O155" i="128"/>
  <c r="F155" i="128"/>
  <c r="D155" i="128"/>
  <c r="B155" i="128"/>
  <c r="P154" i="128"/>
  <c r="O154" i="128"/>
  <c r="Q154" i="128" s="1"/>
  <c r="F154" i="128"/>
  <c r="D154" i="128"/>
  <c r="B154" i="128"/>
  <c r="P153" i="128"/>
  <c r="O153" i="128"/>
  <c r="Q153" i="128" s="1"/>
  <c r="F153" i="128"/>
  <c r="D153" i="128"/>
  <c r="B153" i="128"/>
  <c r="P152" i="128"/>
  <c r="O152" i="128"/>
  <c r="Q152" i="128" s="1"/>
  <c r="F152" i="128"/>
  <c r="D152" i="128"/>
  <c r="B152" i="128"/>
  <c r="P151" i="128"/>
  <c r="O151" i="128"/>
  <c r="Q151" i="128" s="1"/>
  <c r="F151" i="128"/>
  <c r="D151" i="128"/>
  <c r="B151" i="128"/>
  <c r="P150" i="128"/>
  <c r="O150" i="128"/>
  <c r="Q150" i="128" s="1"/>
  <c r="F150" i="128"/>
  <c r="D150" i="128"/>
  <c r="B150" i="128"/>
  <c r="P149" i="128"/>
  <c r="O149" i="128"/>
  <c r="Q149" i="128" s="1"/>
  <c r="F149" i="128"/>
  <c r="D149" i="128"/>
  <c r="B149" i="128"/>
  <c r="P148" i="128"/>
  <c r="O148" i="128"/>
  <c r="F148" i="128"/>
  <c r="D148" i="128"/>
  <c r="B148" i="128"/>
  <c r="P147" i="128"/>
  <c r="O147" i="128"/>
  <c r="F147" i="128"/>
  <c r="D147" i="128"/>
  <c r="B147" i="128"/>
  <c r="P146" i="128"/>
  <c r="O146" i="128"/>
  <c r="F146" i="128"/>
  <c r="D146" i="128"/>
  <c r="B146" i="128"/>
  <c r="P145" i="128"/>
  <c r="O145" i="128"/>
  <c r="Q145" i="128" s="1"/>
  <c r="F145" i="128"/>
  <c r="D145" i="128"/>
  <c r="B145" i="128"/>
  <c r="P144" i="128"/>
  <c r="O144" i="128"/>
  <c r="Q144" i="128" s="1"/>
  <c r="F144" i="128"/>
  <c r="D144" i="128"/>
  <c r="B144" i="128"/>
  <c r="Q143" i="128"/>
  <c r="P143" i="128"/>
  <c r="O143" i="128"/>
  <c r="F143" i="128"/>
  <c r="D143" i="128"/>
  <c r="B143" i="128"/>
  <c r="P142" i="128"/>
  <c r="O142" i="128"/>
  <c r="Q142" i="128" s="1"/>
  <c r="F142" i="128"/>
  <c r="D142" i="128"/>
  <c r="B142" i="128"/>
  <c r="P141" i="128"/>
  <c r="O141" i="128"/>
  <c r="Q141" i="128" s="1"/>
  <c r="F141" i="128"/>
  <c r="D141" i="128"/>
  <c r="B141" i="128"/>
  <c r="P140" i="128"/>
  <c r="O140" i="128"/>
  <c r="F140" i="128"/>
  <c r="D140" i="128"/>
  <c r="B140" i="128"/>
  <c r="P139" i="128"/>
  <c r="Q139" i="128" s="1"/>
  <c r="O139" i="128"/>
  <c r="F139" i="128"/>
  <c r="D139" i="128"/>
  <c r="B139" i="128"/>
  <c r="P138" i="128"/>
  <c r="O138" i="128"/>
  <c r="Q138" i="128" s="1"/>
  <c r="F138" i="128"/>
  <c r="D138" i="128"/>
  <c r="B138" i="128"/>
  <c r="P137" i="128"/>
  <c r="O137" i="128"/>
  <c r="Q137" i="128" s="1"/>
  <c r="F137" i="128"/>
  <c r="D137" i="128"/>
  <c r="B137" i="128"/>
  <c r="P136" i="128"/>
  <c r="O136" i="128"/>
  <c r="Q136" i="128" s="1"/>
  <c r="F136" i="128"/>
  <c r="D136" i="128"/>
  <c r="B136" i="128"/>
  <c r="Q135" i="128"/>
  <c r="P135" i="128"/>
  <c r="O135" i="128"/>
  <c r="F135" i="128"/>
  <c r="D135" i="128"/>
  <c r="B135" i="128"/>
  <c r="P134" i="128"/>
  <c r="O134" i="128"/>
  <c r="Q134" i="128" s="1"/>
  <c r="F134" i="128"/>
  <c r="D134" i="128"/>
  <c r="B134" i="128"/>
  <c r="P133" i="128"/>
  <c r="O133" i="128"/>
  <c r="Q133" i="128" s="1"/>
  <c r="F133" i="128"/>
  <c r="D133" i="128"/>
  <c r="B133" i="128"/>
  <c r="P132" i="128"/>
  <c r="O132" i="128"/>
  <c r="F132" i="128"/>
  <c r="D132" i="128"/>
  <c r="B132" i="128"/>
  <c r="P131" i="128"/>
  <c r="O131" i="128"/>
  <c r="F131" i="128"/>
  <c r="D131" i="128"/>
  <c r="B131" i="128"/>
  <c r="P130" i="128"/>
  <c r="O130" i="128"/>
  <c r="F130" i="128"/>
  <c r="D130" i="128"/>
  <c r="B130" i="128"/>
  <c r="P129" i="128"/>
  <c r="O129" i="128"/>
  <c r="Q129" i="128" s="1"/>
  <c r="F129" i="128"/>
  <c r="D129" i="128"/>
  <c r="B129" i="128"/>
  <c r="P128" i="128"/>
  <c r="O128" i="128"/>
  <c r="Q128" i="128" s="1"/>
  <c r="F128" i="128"/>
  <c r="D128" i="128"/>
  <c r="B128" i="128"/>
  <c r="P127" i="128"/>
  <c r="O127" i="128"/>
  <c r="Q127" i="128" s="1"/>
  <c r="F127" i="128"/>
  <c r="D127" i="128"/>
  <c r="B127" i="128"/>
  <c r="P126" i="128"/>
  <c r="O126" i="128"/>
  <c r="F126" i="128"/>
  <c r="D126" i="128"/>
  <c r="B126" i="128"/>
  <c r="P125" i="128"/>
  <c r="O125" i="128"/>
  <c r="Q125" i="128" s="1"/>
  <c r="F125" i="128"/>
  <c r="D125" i="128"/>
  <c r="B125" i="128"/>
  <c r="P124" i="128"/>
  <c r="O124" i="128"/>
  <c r="Q124" i="128" s="1"/>
  <c r="F124" i="128"/>
  <c r="D124" i="128"/>
  <c r="B124" i="128"/>
  <c r="P123" i="128"/>
  <c r="O123" i="128"/>
  <c r="F123" i="128"/>
  <c r="D123" i="128"/>
  <c r="B123" i="128"/>
  <c r="P122" i="128"/>
  <c r="O122" i="128"/>
  <c r="Q122" i="128" s="1"/>
  <c r="F122" i="128"/>
  <c r="D122" i="128"/>
  <c r="B122" i="128"/>
  <c r="P121" i="128"/>
  <c r="O121" i="128"/>
  <c r="Q121" i="128" s="1"/>
  <c r="F121" i="128"/>
  <c r="D121" i="128"/>
  <c r="B121" i="128"/>
  <c r="P120" i="128"/>
  <c r="O120" i="128"/>
  <c r="Q120" i="128" s="1"/>
  <c r="F120" i="128"/>
  <c r="D120" i="128"/>
  <c r="B120" i="128"/>
  <c r="P119" i="128"/>
  <c r="O119" i="128"/>
  <c r="Q119" i="128" s="1"/>
  <c r="F119" i="128"/>
  <c r="D119" i="128"/>
  <c r="B119" i="128"/>
  <c r="P118" i="128"/>
  <c r="O118" i="128"/>
  <c r="F118" i="128"/>
  <c r="D118" i="128"/>
  <c r="B118" i="128"/>
  <c r="P117" i="128"/>
  <c r="O117" i="128"/>
  <c r="F117" i="128"/>
  <c r="D117" i="128"/>
  <c r="B117" i="128"/>
  <c r="P116" i="128"/>
  <c r="O116" i="128"/>
  <c r="Q116" i="128" s="1"/>
  <c r="F116" i="128"/>
  <c r="D116" i="128"/>
  <c r="B116" i="128"/>
  <c r="P115" i="128"/>
  <c r="O115" i="128"/>
  <c r="F115" i="128"/>
  <c r="D115" i="128"/>
  <c r="B115" i="128"/>
  <c r="P114" i="128"/>
  <c r="O114" i="128"/>
  <c r="Q114" i="128" s="1"/>
  <c r="F114" i="128"/>
  <c r="D114" i="128"/>
  <c r="B114" i="128"/>
  <c r="P113" i="128"/>
  <c r="O113" i="128"/>
  <c r="Q113" i="128" s="1"/>
  <c r="F113" i="128"/>
  <c r="D113" i="128"/>
  <c r="B113" i="128"/>
  <c r="P112" i="128"/>
  <c r="O112" i="128"/>
  <c r="Q112" i="128" s="1"/>
  <c r="F112" i="128"/>
  <c r="D112" i="128"/>
  <c r="B112" i="128"/>
  <c r="Q109" i="128"/>
  <c r="P109" i="128"/>
  <c r="O109" i="128"/>
  <c r="F109" i="128"/>
  <c r="D109" i="128"/>
  <c r="B109" i="128"/>
  <c r="P108" i="128"/>
  <c r="O108" i="128"/>
  <c r="Q108" i="128" s="1"/>
  <c r="F108" i="128"/>
  <c r="D108" i="128"/>
  <c r="B108" i="128"/>
  <c r="P107" i="128"/>
  <c r="O107" i="128"/>
  <c r="Q107" i="128" s="1"/>
  <c r="F107" i="128"/>
  <c r="D107" i="128"/>
  <c r="B107" i="128"/>
  <c r="P106" i="128"/>
  <c r="O106" i="128"/>
  <c r="F106" i="128"/>
  <c r="D106" i="128"/>
  <c r="B106" i="128"/>
  <c r="P105" i="128"/>
  <c r="O105" i="128"/>
  <c r="F105" i="128"/>
  <c r="D105" i="128"/>
  <c r="B105" i="128"/>
  <c r="P104" i="128"/>
  <c r="O104" i="128"/>
  <c r="Q104" i="128" s="1"/>
  <c r="F104" i="128"/>
  <c r="D104" i="128"/>
  <c r="B104" i="128"/>
  <c r="P103" i="128"/>
  <c r="O103" i="128"/>
  <c r="Q103" i="128" s="1"/>
  <c r="F103" i="128"/>
  <c r="D103" i="128"/>
  <c r="B103" i="128"/>
  <c r="P102" i="128"/>
  <c r="O102" i="128"/>
  <c r="Q102" i="128" s="1"/>
  <c r="F102" i="128"/>
  <c r="D102" i="128"/>
  <c r="B102" i="128"/>
  <c r="Q101" i="128"/>
  <c r="P101" i="128"/>
  <c r="O101" i="128"/>
  <c r="F101" i="128"/>
  <c r="D101" i="128"/>
  <c r="B101" i="128"/>
  <c r="P100" i="128"/>
  <c r="O100" i="128"/>
  <c r="Q100" i="128" s="1"/>
  <c r="F100" i="128"/>
  <c r="D100" i="128"/>
  <c r="B100" i="128"/>
  <c r="P99" i="128"/>
  <c r="O99" i="128"/>
  <c r="Q99" i="128" s="1"/>
  <c r="F99" i="128"/>
  <c r="D99" i="128"/>
  <c r="B99" i="128"/>
  <c r="P98" i="128"/>
  <c r="O98" i="128"/>
  <c r="F98" i="128"/>
  <c r="D98" i="128"/>
  <c r="B98" i="128"/>
  <c r="P97" i="128"/>
  <c r="Q97" i="128" s="1"/>
  <c r="O97" i="128"/>
  <c r="F97" i="128"/>
  <c r="D97" i="128"/>
  <c r="B97" i="128"/>
  <c r="P96" i="128"/>
  <c r="O96" i="128"/>
  <c r="Q96" i="128" s="1"/>
  <c r="F96" i="128"/>
  <c r="D96" i="128"/>
  <c r="B96" i="128"/>
  <c r="P95" i="128"/>
  <c r="O95" i="128"/>
  <c r="Q95" i="128" s="1"/>
  <c r="F95" i="128"/>
  <c r="D95" i="128"/>
  <c r="B95" i="128"/>
  <c r="Q94" i="128"/>
  <c r="P94" i="128"/>
  <c r="O94" i="128"/>
  <c r="F94" i="128"/>
  <c r="D94" i="128"/>
  <c r="B94" i="128"/>
  <c r="P93" i="128"/>
  <c r="Q93" i="128" s="1"/>
  <c r="O93" i="128"/>
  <c r="F93" i="128"/>
  <c r="D93" i="128"/>
  <c r="B93" i="128"/>
  <c r="P92" i="128"/>
  <c r="O92" i="128"/>
  <c r="F92" i="128"/>
  <c r="D92" i="128"/>
  <c r="B92" i="128"/>
  <c r="P91" i="128"/>
  <c r="O91" i="128"/>
  <c r="Q91" i="128" s="1"/>
  <c r="F91" i="128"/>
  <c r="D91" i="128"/>
  <c r="B91" i="128"/>
  <c r="P90" i="128"/>
  <c r="O90" i="128"/>
  <c r="F90" i="128"/>
  <c r="D90" i="128"/>
  <c r="B90" i="128"/>
  <c r="P89" i="128"/>
  <c r="Q89" i="128" s="1"/>
  <c r="O89" i="128"/>
  <c r="F89" i="128"/>
  <c r="D89" i="128"/>
  <c r="B89" i="128"/>
  <c r="P88" i="128"/>
  <c r="O88" i="128"/>
  <c r="Q88" i="128" s="1"/>
  <c r="F88" i="128"/>
  <c r="D88" i="128"/>
  <c r="B88" i="128"/>
  <c r="P87" i="128"/>
  <c r="Q87" i="128" s="1"/>
  <c r="O87" i="128"/>
  <c r="F87" i="128"/>
  <c r="D87" i="128"/>
  <c r="B87" i="128"/>
  <c r="Q86" i="128"/>
  <c r="P86" i="128"/>
  <c r="O86" i="128"/>
  <c r="F86" i="128"/>
  <c r="D86" i="128"/>
  <c r="B86" i="128"/>
  <c r="P85" i="128"/>
  <c r="O85" i="128"/>
  <c r="Q85" i="128" s="1"/>
  <c r="F85" i="128"/>
  <c r="D85" i="128"/>
  <c r="B85" i="128"/>
  <c r="P84" i="128"/>
  <c r="O84" i="128"/>
  <c r="F84" i="128"/>
  <c r="D84" i="128"/>
  <c r="B84" i="128"/>
  <c r="Q83" i="128"/>
  <c r="P83" i="128"/>
  <c r="O83" i="128"/>
  <c r="F83" i="128"/>
  <c r="D83" i="128"/>
  <c r="B83" i="128"/>
  <c r="P82" i="128"/>
  <c r="O82" i="128"/>
  <c r="Q82" i="128" s="1"/>
  <c r="F82" i="128"/>
  <c r="D82" i="128"/>
  <c r="B82" i="128"/>
  <c r="P81" i="128"/>
  <c r="Q81" i="128" s="1"/>
  <c r="O81" i="128"/>
  <c r="F81" i="128"/>
  <c r="D81" i="128"/>
  <c r="B81" i="128"/>
  <c r="P80" i="128"/>
  <c r="O80" i="128"/>
  <c r="F80" i="128"/>
  <c r="D80" i="128"/>
  <c r="B80" i="128"/>
  <c r="P79" i="128"/>
  <c r="O79" i="128"/>
  <c r="Q79" i="128" s="1"/>
  <c r="F79" i="128"/>
  <c r="D79" i="128"/>
  <c r="B79" i="128"/>
  <c r="Q78" i="128"/>
  <c r="P78" i="128"/>
  <c r="O78" i="128"/>
  <c r="F78" i="128"/>
  <c r="D78" i="128"/>
  <c r="B78" i="128"/>
  <c r="P77" i="128"/>
  <c r="O77" i="128"/>
  <c r="F77" i="128"/>
  <c r="D77" i="128"/>
  <c r="B77" i="128"/>
  <c r="P76" i="128"/>
  <c r="O76" i="128"/>
  <c r="Q76" i="128" s="1"/>
  <c r="F76" i="128"/>
  <c r="D76" i="128"/>
  <c r="B76" i="128"/>
  <c r="Q75" i="128"/>
  <c r="P75" i="128"/>
  <c r="O75" i="128"/>
  <c r="F75" i="128"/>
  <c r="D75" i="128"/>
  <c r="B75" i="128"/>
  <c r="P74" i="128"/>
  <c r="O74" i="128"/>
  <c r="Q74" i="128" s="1"/>
  <c r="F74" i="128"/>
  <c r="D74" i="128"/>
  <c r="B74" i="128"/>
  <c r="P73" i="128"/>
  <c r="O73" i="128"/>
  <c r="F73" i="128"/>
  <c r="D73" i="128"/>
  <c r="B73" i="128"/>
  <c r="P72" i="128"/>
  <c r="O72" i="128"/>
  <c r="F72" i="128"/>
  <c r="D72" i="128"/>
  <c r="B72" i="128"/>
  <c r="P71" i="128"/>
  <c r="O71" i="128"/>
  <c r="Q71" i="128" s="1"/>
  <c r="F71" i="128"/>
  <c r="D71" i="128"/>
  <c r="B71" i="128"/>
  <c r="P70" i="128"/>
  <c r="O70" i="128"/>
  <c r="Q70" i="128" s="1"/>
  <c r="F70" i="128"/>
  <c r="D70" i="128"/>
  <c r="B70" i="128"/>
  <c r="P69" i="128"/>
  <c r="O69" i="128"/>
  <c r="Q69" i="128" s="1"/>
  <c r="F69" i="128"/>
  <c r="D69" i="128"/>
  <c r="B69" i="128"/>
  <c r="P68" i="128"/>
  <c r="O68" i="128"/>
  <c r="Q68" i="128" s="1"/>
  <c r="F68" i="128"/>
  <c r="D68" i="128"/>
  <c r="B68" i="128"/>
  <c r="P67" i="128"/>
  <c r="O67" i="128"/>
  <c r="Q67" i="128" s="1"/>
  <c r="F67" i="128"/>
  <c r="D67" i="128"/>
  <c r="B67" i="128"/>
  <c r="P66" i="128"/>
  <c r="O66" i="128"/>
  <c r="Q66" i="128" s="1"/>
  <c r="F66" i="128"/>
  <c r="D66" i="128"/>
  <c r="B66" i="128"/>
  <c r="P65" i="128"/>
  <c r="O65" i="128"/>
  <c r="F65" i="128"/>
  <c r="D65" i="128"/>
  <c r="B65" i="128"/>
  <c r="P64" i="128"/>
  <c r="O64" i="128"/>
  <c r="Q64" i="128" s="1"/>
  <c r="F64" i="128"/>
  <c r="D64" i="128"/>
  <c r="B64" i="128"/>
  <c r="P63" i="128"/>
  <c r="O63" i="128"/>
  <c r="Q63" i="128" s="1"/>
  <c r="F63" i="128"/>
  <c r="D63" i="128"/>
  <c r="B63" i="128"/>
  <c r="P62" i="128"/>
  <c r="O62" i="128"/>
  <c r="Q62" i="128" s="1"/>
  <c r="F62" i="128"/>
  <c r="D62" i="128"/>
  <c r="B62" i="128"/>
  <c r="P61" i="128"/>
  <c r="O61" i="128"/>
  <c r="Q61" i="128" s="1"/>
  <c r="F61" i="128"/>
  <c r="D61" i="128"/>
  <c r="B61" i="128"/>
  <c r="P58" i="128"/>
  <c r="O58" i="128"/>
  <c r="Q58" i="128" s="1"/>
  <c r="F58" i="128"/>
  <c r="D58" i="128"/>
  <c r="B58" i="128"/>
  <c r="P57" i="128"/>
  <c r="O57" i="128"/>
  <c r="Q57" i="128" s="1"/>
  <c r="F57" i="128"/>
  <c r="D57" i="128"/>
  <c r="B57" i="128"/>
  <c r="P56" i="128"/>
  <c r="O56" i="128"/>
  <c r="Q56" i="128" s="1"/>
  <c r="F56" i="128"/>
  <c r="D56" i="128"/>
  <c r="B56" i="128"/>
  <c r="P55" i="128"/>
  <c r="O55" i="128"/>
  <c r="F55" i="128"/>
  <c r="D55" i="128"/>
  <c r="B55" i="128"/>
  <c r="P54" i="128"/>
  <c r="O54" i="128"/>
  <c r="Q54" i="128" s="1"/>
  <c r="F54" i="128"/>
  <c r="D54" i="128"/>
  <c r="B54" i="128"/>
  <c r="P53" i="128"/>
  <c r="O53" i="128"/>
  <c r="Q53" i="128" s="1"/>
  <c r="F53" i="128"/>
  <c r="D53" i="128"/>
  <c r="B53" i="128"/>
  <c r="P52" i="128"/>
  <c r="O52" i="128"/>
  <c r="Q52" i="128" s="1"/>
  <c r="F52" i="128"/>
  <c r="D52" i="128"/>
  <c r="B52" i="128"/>
  <c r="P51" i="128"/>
  <c r="O51" i="128"/>
  <c r="Q51" i="128" s="1"/>
  <c r="F51" i="128"/>
  <c r="D51" i="128"/>
  <c r="B51" i="128"/>
  <c r="P50" i="128"/>
  <c r="O50" i="128"/>
  <c r="Q50" i="128" s="1"/>
  <c r="F50" i="128"/>
  <c r="D50" i="128"/>
  <c r="B50" i="128"/>
  <c r="P49" i="128"/>
  <c r="O49" i="128"/>
  <c r="Q49" i="128" s="1"/>
  <c r="F49" i="128"/>
  <c r="D49" i="128"/>
  <c r="B49" i="128"/>
  <c r="P48" i="128"/>
  <c r="O48" i="128"/>
  <c r="F48" i="128"/>
  <c r="D48" i="128"/>
  <c r="B48" i="128"/>
  <c r="P47" i="128"/>
  <c r="O47" i="128"/>
  <c r="F47" i="128"/>
  <c r="D47" i="128"/>
  <c r="B47" i="128"/>
  <c r="P46" i="128"/>
  <c r="O46" i="128"/>
  <c r="Q46" i="128" s="1"/>
  <c r="F46" i="128"/>
  <c r="D46" i="128"/>
  <c r="B46" i="128"/>
  <c r="P45" i="128"/>
  <c r="O45" i="128"/>
  <c r="Q45" i="128" s="1"/>
  <c r="F45" i="128"/>
  <c r="D45" i="128"/>
  <c r="B45" i="128"/>
  <c r="P44" i="128"/>
  <c r="O44" i="128"/>
  <c r="F44" i="128"/>
  <c r="D44" i="128"/>
  <c r="B44" i="128"/>
  <c r="P43" i="128"/>
  <c r="Q43" i="128" s="1"/>
  <c r="O43" i="128"/>
  <c r="F43" i="128"/>
  <c r="D43" i="128"/>
  <c r="B43" i="128"/>
  <c r="P42" i="128"/>
  <c r="O42" i="128"/>
  <c r="F42" i="128"/>
  <c r="D42" i="128"/>
  <c r="B42" i="128"/>
  <c r="P41" i="128"/>
  <c r="O41" i="128"/>
  <c r="Q41" i="128" s="1"/>
  <c r="F41" i="128"/>
  <c r="D41" i="128"/>
  <c r="B41" i="128"/>
  <c r="P40" i="128"/>
  <c r="O40" i="128"/>
  <c r="F40" i="128"/>
  <c r="D40" i="128"/>
  <c r="B40" i="128"/>
  <c r="P39" i="128"/>
  <c r="Q39" i="128" s="1"/>
  <c r="O39" i="128"/>
  <c r="F39" i="128"/>
  <c r="D39" i="128"/>
  <c r="B39" i="128"/>
  <c r="P38" i="128"/>
  <c r="O38" i="128"/>
  <c r="Q38" i="128" s="1"/>
  <c r="F38" i="128"/>
  <c r="D38" i="128"/>
  <c r="B38" i="128"/>
  <c r="P37" i="128"/>
  <c r="O37" i="128"/>
  <c r="Q37" i="128" s="1"/>
  <c r="F37" i="128"/>
  <c r="D37" i="128"/>
  <c r="B37" i="128"/>
  <c r="Q36" i="128"/>
  <c r="P36" i="128"/>
  <c r="O36" i="128"/>
  <c r="F36" i="128"/>
  <c r="D36" i="128"/>
  <c r="B36" i="128"/>
  <c r="P35" i="128"/>
  <c r="Q35" i="128" s="1"/>
  <c r="O35" i="128"/>
  <c r="F35" i="128"/>
  <c r="D35" i="128"/>
  <c r="B35" i="128"/>
  <c r="P34" i="128"/>
  <c r="O34" i="128"/>
  <c r="F34" i="128"/>
  <c r="D34" i="128"/>
  <c r="B34" i="128"/>
  <c r="P33" i="128"/>
  <c r="O33" i="128"/>
  <c r="Q33" i="128" s="1"/>
  <c r="F33" i="128"/>
  <c r="D33" i="128"/>
  <c r="B33" i="128"/>
  <c r="P32" i="128"/>
  <c r="O32" i="128"/>
  <c r="Q32" i="128" s="1"/>
  <c r="F32" i="128"/>
  <c r="D32" i="128"/>
  <c r="B32" i="128"/>
  <c r="P31" i="128"/>
  <c r="Q31" i="128" s="1"/>
  <c r="O31" i="128"/>
  <c r="F31" i="128"/>
  <c r="D31" i="128"/>
  <c r="B31" i="128"/>
  <c r="P30" i="128"/>
  <c r="O30" i="128"/>
  <c r="F30" i="128"/>
  <c r="D30" i="128"/>
  <c r="B30" i="128"/>
  <c r="P29" i="128"/>
  <c r="O29" i="128"/>
  <c r="Q29" i="128" s="1"/>
  <c r="F29" i="128"/>
  <c r="D29" i="128"/>
  <c r="B29" i="128"/>
  <c r="Q28" i="128"/>
  <c r="P28" i="128"/>
  <c r="O28" i="128"/>
  <c r="F28" i="128"/>
  <c r="D28" i="128"/>
  <c r="B28" i="128"/>
  <c r="P27" i="128"/>
  <c r="O27" i="128"/>
  <c r="Q27" i="128" s="1"/>
  <c r="F27" i="128"/>
  <c r="D27" i="128"/>
  <c r="B27" i="128"/>
  <c r="P26" i="128"/>
  <c r="O26" i="128"/>
  <c r="F26" i="128"/>
  <c r="D26" i="128"/>
  <c r="B26" i="128"/>
  <c r="P25" i="128"/>
  <c r="O25" i="128"/>
  <c r="F25" i="128"/>
  <c r="D25" i="128"/>
  <c r="B25" i="128"/>
  <c r="P24" i="128"/>
  <c r="O24" i="128"/>
  <c r="Q24" i="128" s="1"/>
  <c r="F24" i="128"/>
  <c r="D24" i="128"/>
  <c r="B24" i="128"/>
  <c r="P23" i="128"/>
  <c r="O23" i="128"/>
  <c r="F23" i="128"/>
  <c r="D23" i="128"/>
  <c r="B23" i="128"/>
  <c r="P22" i="128"/>
  <c r="O22" i="128"/>
  <c r="F22" i="128"/>
  <c r="D22" i="128"/>
  <c r="B22" i="128"/>
  <c r="P21" i="128"/>
  <c r="O21" i="128"/>
  <c r="Q21" i="128" s="1"/>
  <c r="F21" i="128"/>
  <c r="D21" i="128"/>
  <c r="B21" i="128"/>
  <c r="P20" i="128"/>
  <c r="Q20" i="128" s="1"/>
  <c r="O20" i="128"/>
  <c r="F20" i="128"/>
  <c r="D20" i="128"/>
  <c r="B20" i="128"/>
  <c r="Q19" i="128"/>
  <c r="P19" i="128"/>
  <c r="O19" i="128"/>
  <c r="F19" i="128"/>
  <c r="D19" i="128"/>
  <c r="B19" i="128"/>
  <c r="P18" i="128"/>
  <c r="O18" i="128"/>
  <c r="Q18" i="128" s="1"/>
  <c r="F18" i="128"/>
  <c r="D18" i="128"/>
  <c r="B18" i="128"/>
  <c r="P17" i="128"/>
  <c r="O17" i="128"/>
  <c r="F17" i="128"/>
  <c r="D17" i="128"/>
  <c r="B17" i="128"/>
  <c r="P16" i="128"/>
  <c r="O16" i="128"/>
  <c r="F16" i="128"/>
  <c r="D16" i="128"/>
  <c r="B16" i="128"/>
  <c r="P15" i="128"/>
  <c r="O15" i="128"/>
  <c r="F15" i="128"/>
  <c r="D15" i="128"/>
  <c r="B15" i="128"/>
  <c r="P14" i="128"/>
  <c r="O14" i="128"/>
  <c r="Q14" i="128" s="1"/>
  <c r="F14" i="128"/>
  <c r="D14" i="128"/>
  <c r="B14" i="128"/>
  <c r="Q13" i="128"/>
  <c r="P13" i="128"/>
  <c r="O13" i="128"/>
  <c r="F13" i="128"/>
  <c r="D13" i="128"/>
  <c r="B13" i="128"/>
  <c r="P12" i="128"/>
  <c r="O12" i="128"/>
  <c r="Q12" i="128" s="1"/>
  <c r="F12" i="128"/>
  <c r="D12" i="128"/>
  <c r="B12" i="128"/>
  <c r="Q11" i="128"/>
  <c r="P11" i="128"/>
  <c r="O11" i="128"/>
  <c r="F11" i="128"/>
  <c r="D11" i="128"/>
  <c r="B11" i="128"/>
  <c r="P10" i="128"/>
  <c r="O10" i="128"/>
  <c r="F10" i="128"/>
  <c r="D10" i="128"/>
  <c r="B10" i="128"/>
  <c r="M156" i="105"/>
  <c r="N156" i="105"/>
  <c r="O156" i="105"/>
  <c r="P156" i="105"/>
  <c r="Q156" i="105"/>
  <c r="R156" i="105"/>
  <c r="S156" i="105"/>
  <c r="T156" i="105"/>
  <c r="U156" i="105"/>
  <c r="V156" i="105"/>
  <c r="W156" i="105"/>
  <c r="X156" i="105"/>
  <c r="Y156" i="105"/>
  <c r="Z156" i="105"/>
  <c r="AA156" i="105"/>
  <c r="AB156" i="105"/>
  <c r="AC156" i="105"/>
  <c r="AD156" i="105"/>
  <c r="AE156" i="105"/>
  <c r="AF156" i="105"/>
  <c r="AG156" i="105"/>
  <c r="AH156" i="105"/>
  <c r="AI156" i="105"/>
  <c r="AJ156" i="105"/>
  <c r="AK156" i="105"/>
  <c r="AL156" i="105"/>
  <c r="AM156" i="105"/>
  <c r="AN156" i="105"/>
  <c r="AO156" i="105"/>
  <c r="AP156" i="105"/>
  <c r="AQ156" i="105"/>
  <c r="AR156" i="105"/>
  <c r="AS156" i="105"/>
  <c r="AT156" i="105"/>
  <c r="AU156" i="105"/>
  <c r="AV156" i="105"/>
  <c r="AW156" i="105"/>
  <c r="AX156" i="105"/>
  <c r="AY156" i="105"/>
  <c r="AZ156" i="105"/>
  <c r="BA156" i="105"/>
  <c r="BB156" i="105"/>
  <c r="BC156" i="105"/>
  <c r="BD156" i="105"/>
  <c r="BE156" i="105"/>
  <c r="BF156" i="105"/>
  <c r="L156" i="105"/>
  <c r="BG228" i="104" a="1"/>
  <c r="BG228" i="104" s="1"/>
  <c r="BL225" i="104"/>
  <c r="BL224" i="104"/>
  <c r="Y16" i="52"/>
  <c r="Y32" i="52"/>
  <c r="Y48" i="52"/>
  <c r="Y66" i="52"/>
  <c r="Y82" i="52"/>
  <c r="Y100" i="52"/>
  <c r="Y116" i="52"/>
  <c r="Y132" i="52"/>
  <c r="Y150" i="52"/>
  <c r="Y166" i="52"/>
  <c r="Y182" i="52"/>
  <c r="Y200" i="52"/>
  <c r="Y216" i="52"/>
  <c r="Y229" i="52"/>
  <c r="Y234" i="52"/>
  <c r="Y245" i="52"/>
  <c r="Y247" i="52"/>
  <c r="Y250" i="52"/>
  <c r="Y261" i="52"/>
  <c r="Y262" i="52"/>
  <c r="Y263" i="52"/>
  <c r="Y266" i="52"/>
  <c r="F276" i="52"/>
  <c r="D276" i="52"/>
  <c r="B276" i="52"/>
  <c r="Y276" i="52" s="1"/>
  <c r="F275" i="52"/>
  <c r="D275" i="52"/>
  <c r="B275" i="52"/>
  <c r="Y275" i="52" s="1"/>
  <c r="F274" i="52"/>
  <c r="D274" i="52"/>
  <c r="B274" i="52"/>
  <c r="Y274" i="52" s="1"/>
  <c r="F273" i="52"/>
  <c r="D273" i="52"/>
  <c r="B273" i="52"/>
  <c r="Y273" i="52" s="1"/>
  <c r="F272" i="52"/>
  <c r="D272" i="52"/>
  <c r="B272" i="52"/>
  <c r="Y272" i="52" s="1"/>
  <c r="F271" i="52"/>
  <c r="D271" i="52"/>
  <c r="B271" i="52"/>
  <c r="Y271" i="52" s="1"/>
  <c r="F270" i="52"/>
  <c r="D270" i="52"/>
  <c r="B270" i="52"/>
  <c r="Y270" i="52" s="1"/>
  <c r="F269" i="52"/>
  <c r="D269" i="52"/>
  <c r="B269" i="52"/>
  <c r="Y269" i="52" s="1"/>
  <c r="F268" i="52"/>
  <c r="D268" i="52"/>
  <c r="B268" i="52"/>
  <c r="Y268" i="52" s="1"/>
  <c r="F267" i="52"/>
  <c r="D267" i="52"/>
  <c r="B267" i="52"/>
  <c r="Y267" i="52" s="1"/>
  <c r="F266" i="52"/>
  <c r="D266" i="52"/>
  <c r="B266" i="52"/>
  <c r="F265" i="52"/>
  <c r="D265" i="52"/>
  <c r="Y265" i="52" s="1"/>
  <c r="B265" i="52"/>
  <c r="F264" i="52"/>
  <c r="D264" i="52"/>
  <c r="Y264" i="52" s="1"/>
  <c r="B264" i="52"/>
  <c r="F263" i="52"/>
  <c r="D263" i="52"/>
  <c r="B263" i="52"/>
  <c r="F262" i="52"/>
  <c r="D262" i="52"/>
  <c r="B262" i="52"/>
  <c r="F261" i="52"/>
  <c r="D261" i="52"/>
  <c r="B261" i="52"/>
  <c r="F260" i="52"/>
  <c r="D260" i="52"/>
  <c r="B260" i="52"/>
  <c r="Y260" i="52" s="1"/>
  <c r="F259" i="52"/>
  <c r="D259" i="52"/>
  <c r="B259" i="52"/>
  <c r="Y259" i="52" s="1"/>
  <c r="F258" i="52"/>
  <c r="D258" i="52"/>
  <c r="B258" i="52"/>
  <c r="Y258" i="52" s="1"/>
  <c r="F257" i="52"/>
  <c r="D257" i="52"/>
  <c r="B257" i="52"/>
  <c r="Y257" i="52" s="1"/>
  <c r="F256" i="52"/>
  <c r="D256" i="52"/>
  <c r="B256" i="52"/>
  <c r="Y256" i="52" s="1"/>
  <c r="F255" i="52"/>
  <c r="D255" i="52"/>
  <c r="B255" i="52"/>
  <c r="Y255" i="52" s="1"/>
  <c r="F254" i="52"/>
  <c r="D254" i="52"/>
  <c r="B254" i="52"/>
  <c r="Y254" i="52" s="1"/>
  <c r="F253" i="52"/>
  <c r="D253" i="52"/>
  <c r="B253" i="52"/>
  <c r="Y253" i="52" s="1"/>
  <c r="F252" i="52"/>
  <c r="D252" i="52"/>
  <c r="B252" i="52"/>
  <c r="Y252" i="52" s="1"/>
  <c r="F251" i="52"/>
  <c r="D251" i="52"/>
  <c r="B251" i="52"/>
  <c r="Y251" i="52" s="1"/>
  <c r="F250" i="52"/>
  <c r="D250" i="52"/>
  <c r="B250" i="52"/>
  <c r="F249" i="52"/>
  <c r="D249" i="52"/>
  <c r="Y249" i="52" s="1"/>
  <c r="B249" i="52"/>
  <c r="F248" i="52"/>
  <c r="D248" i="52"/>
  <c r="Y248" i="52" s="1"/>
  <c r="B248" i="52"/>
  <c r="F247" i="52"/>
  <c r="D247" i="52"/>
  <c r="B247" i="52"/>
  <c r="F246" i="52"/>
  <c r="D246" i="52"/>
  <c r="B246" i="52"/>
  <c r="Y246" i="52" s="1"/>
  <c r="F245" i="52"/>
  <c r="D245" i="52"/>
  <c r="B245" i="52"/>
  <c r="F244" i="52"/>
  <c r="D244" i="52"/>
  <c r="B244" i="52"/>
  <c r="Y244" i="52" s="1"/>
  <c r="F243" i="52"/>
  <c r="D243" i="52"/>
  <c r="B243" i="52"/>
  <c r="Y243" i="52" s="1"/>
  <c r="F242" i="52"/>
  <c r="D242" i="52"/>
  <c r="B242" i="52"/>
  <c r="Y242" i="52" s="1"/>
  <c r="F241" i="52"/>
  <c r="D241" i="52"/>
  <c r="B241" i="52"/>
  <c r="Y241" i="52" s="1"/>
  <c r="F240" i="52"/>
  <c r="D240" i="52"/>
  <c r="B240" i="52"/>
  <c r="Y240" i="52" s="1"/>
  <c r="F239" i="52"/>
  <c r="D239" i="52"/>
  <c r="B239" i="52"/>
  <c r="Y239" i="52" s="1"/>
  <c r="F238" i="52"/>
  <c r="D238" i="52"/>
  <c r="B238" i="52"/>
  <c r="Y238" i="52" s="1"/>
  <c r="F237" i="52"/>
  <c r="D237" i="52"/>
  <c r="B237" i="52"/>
  <c r="Y237" i="52" s="1"/>
  <c r="F236" i="52"/>
  <c r="D236" i="52"/>
  <c r="B236" i="52"/>
  <c r="Y236" i="52" s="1"/>
  <c r="F235" i="52"/>
  <c r="D235" i="52"/>
  <c r="B235" i="52"/>
  <c r="Y235" i="52" s="1"/>
  <c r="F234" i="52"/>
  <c r="D234" i="52"/>
  <c r="B234" i="52"/>
  <c r="F231" i="52"/>
  <c r="D231" i="52"/>
  <c r="B231" i="52"/>
  <c r="Y231" i="52" s="1"/>
  <c r="F230" i="52"/>
  <c r="D230" i="52"/>
  <c r="Y230" i="52" s="1"/>
  <c r="B230" i="52"/>
  <c r="F229" i="52"/>
  <c r="D229" i="52"/>
  <c r="B229" i="52"/>
  <c r="F228" i="52"/>
  <c r="D228" i="52"/>
  <c r="B228" i="52"/>
  <c r="Y228" i="52" s="1"/>
  <c r="F227" i="52"/>
  <c r="D227" i="52"/>
  <c r="B227" i="52"/>
  <c r="Y227" i="52" s="1"/>
  <c r="F226" i="52"/>
  <c r="D226" i="52"/>
  <c r="B226" i="52"/>
  <c r="Y226" i="52" s="1"/>
  <c r="F225" i="52"/>
  <c r="D225" i="52"/>
  <c r="B225" i="52"/>
  <c r="Y225" i="52" s="1"/>
  <c r="F224" i="52"/>
  <c r="D224" i="52"/>
  <c r="B224" i="52"/>
  <c r="Y224" i="52" s="1"/>
  <c r="F223" i="52"/>
  <c r="D223" i="52"/>
  <c r="B223" i="52"/>
  <c r="Y223" i="52" s="1"/>
  <c r="F222" i="52"/>
  <c r="D222" i="52"/>
  <c r="B222" i="52"/>
  <c r="Y222" i="52" s="1"/>
  <c r="F221" i="52"/>
  <c r="D221" i="52"/>
  <c r="B221" i="52"/>
  <c r="Y221" i="52" s="1"/>
  <c r="F220" i="52"/>
  <c r="D220" i="52"/>
  <c r="B220" i="52"/>
  <c r="Y220" i="52" s="1"/>
  <c r="F219" i="52"/>
  <c r="D219" i="52"/>
  <c r="B219" i="52"/>
  <c r="Y219" i="52" s="1"/>
  <c r="F218" i="52"/>
  <c r="D218" i="52"/>
  <c r="B218" i="52"/>
  <c r="Y218" i="52" s="1"/>
  <c r="F217" i="52"/>
  <c r="D217" i="52"/>
  <c r="B217" i="52"/>
  <c r="Y217" i="52" s="1"/>
  <c r="F216" i="52"/>
  <c r="D216" i="52"/>
  <c r="B216" i="52"/>
  <c r="F215" i="52"/>
  <c r="D215" i="52"/>
  <c r="B215" i="52"/>
  <c r="Y215" i="52" s="1"/>
  <c r="F214" i="52"/>
  <c r="D214" i="52"/>
  <c r="B214" i="52"/>
  <c r="Y214" i="52" s="1"/>
  <c r="F213" i="52"/>
  <c r="D213" i="52"/>
  <c r="B213" i="52"/>
  <c r="Y213" i="52" s="1"/>
  <c r="F212" i="52"/>
  <c r="D212" i="52"/>
  <c r="B212" i="52"/>
  <c r="Y212" i="52" s="1"/>
  <c r="F211" i="52"/>
  <c r="D211" i="52"/>
  <c r="B211" i="52"/>
  <c r="Y211" i="52" s="1"/>
  <c r="F210" i="52"/>
  <c r="D210" i="52"/>
  <c r="B210" i="52"/>
  <c r="Y210" i="52" s="1"/>
  <c r="F209" i="52"/>
  <c r="D209" i="52"/>
  <c r="B209" i="52"/>
  <c r="Y209" i="52" s="1"/>
  <c r="F208" i="52"/>
  <c r="D208" i="52"/>
  <c r="B208" i="52"/>
  <c r="Y208" i="52" s="1"/>
  <c r="F207" i="52"/>
  <c r="D207" i="52"/>
  <c r="B207" i="52"/>
  <c r="Y207" i="52" s="1"/>
  <c r="F206" i="52"/>
  <c r="D206" i="52"/>
  <c r="B206" i="52"/>
  <c r="Y206" i="52" s="1"/>
  <c r="F205" i="52"/>
  <c r="D205" i="52"/>
  <c r="B205" i="52"/>
  <c r="Y205" i="52" s="1"/>
  <c r="F204" i="52"/>
  <c r="D204" i="52"/>
  <c r="B204" i="52"/>
  <c r="Y204" i="52" s="1"/>
  <c r="F203" i="52"/>
  <c r="D203" i="52"/>
  <c r="B203" i="52"/>
  <c r="Y203" i="52" s="1"/>
  <c r="F202" i="52"/>
  <c r="D202" i="52"/>
  <c r="B202" i="52"/>
  <c r="Y202" i="52" s="1"/>
  <c r="F201" i="52"/>
  <c r="D201" i="52"/>
  <c r="B201" i="52"/>
  <c r="Y201" i="52" s="1"/>
  <c r="F200" i="52"/>
  <c r="D200" i="52"/>
  <c r="B200" i="52"/>
  <c r="F199" i="52"/>
  <c r="D199" i="52"/>
  <c r="B199" i="52"/>
  <c r="Y199" i="52" s="1"/>
  <c r="F198" i="52"/>
  <c r="D198" i="52"/>
  <c r="B198" i="52"/>
  <c r="Y198" i="52" s="1"/>
  <c r="F197" i="52"/>
  <c r="D197" i="52"/>
  <c r="B197" i="52"/>
  <c r="Y197" i="52" s="1"/>
  <c r="F196" i="52"/>
  <c r="D196" i="52"/>
  <c r="B196" i="52"/>
  <c r="Y196" i="52" s="1"/>
  <c r="F195" i="52"/>
  <c r="D195" i="52"/>
  <c r="B195" i="52"/>
  <c r="Y195" i="52" s="1"/>
  <c r="F194" i="52"/>
  <c r="D194" i="52"/>
  <c r="B194" i="52"/>
  <c r="Y194" i="52" s="1"/>
  <c r="F193" i="52"/>
  <c r="D193" i="52"/>
  <c r="B193" i="52"/>
  <c r="Y193" i="52" s="1"/>
  <c r="F192" i="52"/>
  <c r="D192" i="52"/>
  <c r="B192" i="52"/>
  <c r="Y192" i="52" s="1"/>
  <c r="F191" i="52"/>
  <c r="D191" i="52"/>
  <c r="B191" i="52"/>
  <c r="Y191" i="52" s="1"/>
  <c r="F190" i="52"/>
  <c r="D190" i="52"/>
  <c r="B190" i="52"/>
  <c r="Y190" i="52" s="1"/>
  <c r="F189" i="52"/>
  <c r="D189" i="52"/>
  <c r="B189" i="52"/>
  <c r="Y189" i="52" s="1"/>
  <c r="F186" i="52"/>
  <c r="D186" i="52"/>
  <c r="B186" i="52"/>
  <c r="Y186" i="52" s="1"/>
  <c r="F185" i="52"/>
  <c r="D185" i="52"/>
  <c r="B185" i="52"/>
  <c r="Y185" i="52" s="1"/>
  <c r="F184" i="52"/>
  <c r="D184" i="52"/>
  <c r="B184" i="52"/>
  <c r="Y184" i="52" s="1"/>
  <c r="F183" i="52"/>
  <c r="D183" i="52"/>
  <c r="B183" i="52"/>
  <c r="Y183" i="52" s="1"/>
  <c r="F182" i="52"/>
  <c r="D182" i="52"/>
  <c r="B182" i="52"/>
  <c r="F181" i="52"/>
  <c r="D181" i="52"/>
  <c r="B181" i="52"/>
  <c r="Y181" i="52" s="1"/>
  <c r="F180" i="52"/>
  <c r="D180" i="52"/>
  <c r="B180" i="52"/>
  <c r="Y180" i="52" s="1"/>
  <c r="F179" i="52"/>
  <c r="D179" i="52"/>
  <c r="B179" i="52"/>
  <c r="Y179" i="52" s="1"/>
  <c r="F178" i="52"/>
  <c r="D178" i="52"/>
  <c r="B178" i="52"/>
  <c r="Y178" i="52" s="1"/>
  <c r="F177" i="52"/>
  <c r="D177" i="52"/>
  <c r="B177" i="52"/>
  <c r="Y177" i="52" s="1"/>
  <c r="F176" i="52"/>
  <c r="D176" i="52"/>
  <c r="B176" i="52"/>
  <c r="Y176" i="52" s="1"/>
  <c r="F175" i="52"/>
  <c r="D175" i="52"/>
  <c r="B175" i="52"/>
  <c r="Y175" i="52" s="1"/>
  <c r="F174" i="52"/>
  <c r="D174" i="52"/>
  <c r="B174" i="52"/>
  <c r="Y174" i="52" s="1"/>
  <c r="F173" i="52"/>
  <c r="D173" i="52"/>
  <c r="B173" i="52"/>
  <c r="Y173" i="52" s="1"/>
  <c r="F172" i="52"/>
  <c r="D172" i="52"/>
  <c r="B172" i="52"/>
  <c r="Y172" i="52" s="1"/>
  <c r="F171" i="52"/>
  <c r="D171" i="52"/>
  <c r="B171" i="52"/>
  <c r="Y171" i="52" s="1"/>
  <c r="F170" i="52"/>
  <c r="D170" i="52"/>
  <c r="B170" i="52"/>
  <c r="Y170" i="52" s="1"/>
  <c r="F169" i="52"/>
  <c r="D169" i="52"/>
  <c r="B169" i="52"/>
  <c r="Y169" i="52" s="1"/>
  <c r="F168" i="52"/>
  <c r="D168" i="52"/>
  <c r="B168" i="52"/>
  <c r="Y168" i="52" s="1"/>
  <c r="F167" i="52"/>
  <c r="D167" i="52"/>
  <c r="B167" i="52"/>
  <c r="Y167" i="52" s="1"/>
  <c r="F166" i="52"/>
  <c r="D166" i="52"/>
  <c r="B166" i="52"/>
  <c r="F165" i="52"/>
  <c r="D165" i="52"/>
  <c r="B165" i="52"/>
  <c r="Y165" i="52" s="1"/>
  <c r="F164" i="52"/>
  <c r="D164" i="52"/>
  <c r="B164" i="52"/>
  <c r="Y164" i="52" s="1"/>
  <c r="F163" i="52"/>
  <c r="D163" i="52"/>
  <c r="B163" i="52"/>
  <c r="Y163" i="52" s="1"/>
  <c r="F162" i="52"/>
  <c r="D162" i="52"/>
  <c r="B162" i="52"/>
  <c r="Y162" i="52" s="1"/>
  <c r="F161" i="52"/>
  <c r="D161" i="52"/>
  <c r="B161" i="52"/>
  <c r="Y161" i="52" s="1"/>
  <c r="F160" i="52"/>
  <c r="D160" i="52"/>
  <c r="B160" i="52"/>
  <c r="Y160" i="52" s="1"/>
  <c r="F159" i="52"/>
  <c r="D159" i="52"/>
  <c r="B159" i="52"/>
  <c r="Y159" i="52" s="1"/>
  <c r="F158" i="52"/>
  <c r="D158" i="52"/>
  <c r="B158" i="52"/>
  <c r="Y158" i="52" s="1"/>
  <c r="F157" i="52"/>
  <c r="D157" i="52"/>
  <c r="B157" i="52"/>
  <c r="Y157" i="52" s="1"/>
  <c r="F156" i="52"/>
  <c r="D156" i="52"/>
  <c r="B156" i="52"/>
  <c r="Y156" i="52" s="1"/>
  <c r="F155" i="52"/>
  <c r="D155" i="52"/>
  <c r="B155" i="52"/>
  <c r="Y155" i="52" s="1"/>
  <c r="F154" i="52"/>
  <c r="D154" i="52"/>
  <c r="B154" i="52"/>
  <c r="Y154" i="52" s="1"/>
  <c r="F153" i="52"/>
  <c r="D153" i="52"/>
  <c r="B153" i="52"/>
  <c r="Y153" i="52" s="1"/>
  <c r="F152" i="52"/>
  <c r="D152" i="52"/>
  <c r="B152" i="52"/>
  <c r="Y152" i="52" s="1"/>
  <c r="F151" i="52"/>
  <c r="D151" i="52"/>
  <c r="B151" i="52"/>
  <c r="Y151" i="52" s="1"/>
  <c r="F150" i="52"/>
  <c r="D150" i="52"/>
  <c r="B150" i="52"/>
  <c r="F149" i="52"/>
  <c r="D149" i="52"/>
  <c r="B149" i="52"/>
  <c r="Y149" i="52" s="1"/>
  <c r="F148" i="52"/>
  <c r="D148" i="52"/>
  <c r="B148" i="52"/>
  <c r="Y148" i="52" s="1"/>
  <c r="F147" i="52"/>
  <c r="D147" i="52"/>
  <c r="B147" i="52"/>
  <c r="Y147" i="52" s="1"/>
  <c r="F146" i="52"/>
  <c r="D146" i="52"/>
  <c r="B146" i="52"/>
  <c r="Y146" i="52" s="1"/>
  <c r="F145" i="52"/>
  <c r="D145" i="52"/>
  <c r="B145" i="52"/>
  <c r="Y145" i="52" s="1"/>
  <c r="F144" i="52"/>
  <c r="D144" i="52"/>
  <c r="B144" i="52"/>
  <c r="Y144" i="52" s="1"/>
  <c r="F141" i="52"/>
  <c r="D141" i="52"/>
  <c r="B141" i="52"/>
  <c r="Y141" i="52" s="1"/>
  <c r="F140" i="52"/>
  <c r="D140" i="52"/>
  <c r="B140" i="52"/>
  <c r="Y140" i="52" s="1"/>
  <c r="F139" i="52"/>
  <c r="D139" i="52"/>
  <c r="B139" i="52"/>
  <c r="Y139" i="52" s="1"/>
  <c r="F138" i="52"/>
  <c r="D138" i="52"/>
  <c r="B138" i="52"/>
  <c r="Y138" i="52" s="1"/>
  <c r="F137" i="52"/>
  <c r="D137" i="52"/>
  <c r="B137" i="52"/>
  <c r="Y137" i="52" s="1"/>
  <c r="F136" i="52"/>
  <c r="D136" i="52"/>
  <c r="B136" i="52"/>
  <c r="Y136" i="52" s="1"/>
  <c r="F135" i="52"/>
  <c r="D135" i="52"/>
  <c r="B135" i="52"/>
  <c r="Y135" i="52" s="1"/>
  <c r="F134" i="52"/>
  <c r="D134" i="52"/>
  <c r="B134" i="52"/>
  <c r="Y134" i="52" s="1"/>
  <c r="F133" i="52"/>
  <c r="D133" i="52"/>
  <c r="B133" i="52"/>
  <c r="Y133" i="52" s="1"/>
  <c r="F132" i="52"/>
  <c r="D132" i="52"/>
  <c r="B132" i="52"/>
  <c r="F131" i="52"/>
  <c r="D131" i="52"/>
  <c r="B131" i="52"/>
  <c r="Y131" i="52" s="1"/>
  <c r="F130" i="52"/>
  <c r="D130" i="52"/>
  <c r="B130" i="52"/>
  <c r="Y130" i="52" s="1"/>
  <c r="F129" i="52"/>
  <c r="D129" i="52"/>
  <c r="B129" i="52"/>
  <c r="Y129" i="52" s="1"/>
  <c r="F128" i="52"/>
  <c r="D128" i="52"/>
  <c r="B128" i="52"/>
  <c r="Y128" i="52" s="1"/>
  <c r="F127" i="52"/>
  <c r="D127" i="52"/>
  <c r="B127" i="52"/>
  <c r="Y127" i="52" s="1"/>
  <c r="F126" i="52"/>
  <c r="D126" i="52"/>
  <c r="B126" i="52"/>
  <c r="Y126" i="52" s="1"/>
  <c r="F125" i="52"/>
  <c r="D125" i="52"/>
  <c r="B125" i="52"/>
  <c r="Y125" i="52" s="1"/>
  <c r="F124" i="52"/>
  <c r="D124" i="52"/>
  <c r="B124" i="52"/>
  <c r="Y124" i="52" s="1"/>
  <c r="F123" i="52"/>
  <c r="D123" i="52"/>
  <c r="B123" i="52"/>
  <c r="Y123" i="52" s="1"/>
  <c r="F122" i="52"/>
  <c r="D122" i="52"/>
  <c r="B122" i="52"/>
  <c r="Y122" i="52" s="1"/>
  <c r="F121" i="52"/>
  <c r="D121" i="52"/>
  <c r="B121" i="52"/>
  <c r="Y121" i="52" s="1"/>
  <c r="F120" i="52"/>
  <c r="D120" i="52"/>
  <c r="B120" i="52"/>
  <c r="Y120" i="52" s="1"/>
  <c r="F119" i="52"/>
  <c r="D119" i="52"/>
  <c r="B119" i="52"/>
  <c r="Y119" i="52" s="1"/>
  <c r="F118" i="52"/>
  <c r="D118" i="52"/>
  <c r="B118" i="52"/>
  <c r="Y118" i="52" s="1"/>
  <c r="F117" i="52"/>
  <c r="D117" i="52"/>
  <c r="B117" i="52"/>
  <c r="Y117" i="52" s="1"/>
  <c r="F116" i="52"/>
  <c r="D116" i="52"/>
  <c r="B116" i="52"/>
  <c r="F115" i="52"/>
  <c r="D115" i="52"/>
  <c r="B115" i="52"/>
  <c r="Y115" i="52" s="1"/>
  <c r="F114" i="52"/>
  <c r="D114" i="52"/>
  <c r="B114" i="52"/>
  <c r="Y114" i="52" s="1"/>
  <c r="F113" i="52"/>
  <c r="D113" i="52"/>
  <c r="B113" i="52"/>
  <c r="Y113" i="52" s="1"/>
  <c r="F112" i="52"/>
  <c r="D112" i="52"/>
  <c r="B112" i="52"/>
  <c r="Y112" i="52" s="1"/>
  <c r="F111" i="52"/>
  <c r="D111" i="52"/>
  <c r="B111" i="52"/>
  <c r="Y111" i="52" s="1"/>
  <c r="F110" i="52"/>
  <c r="D110" i="52"/>
  <c r="B110" i="52"/>
  <c r="Y110" i="52" s="1"/>
  <c r="F109" i="52"/>
  <c r="D109" i="52"/>
  <c r="B109" i="52"/>
  <c r="Y109" i="52" s="1"/>
  <c r="F108" i="52"/>
  <c r="D108" i="52"/>
  <c r="B108" i="52"/>
  <c r="Y108" i="52" s="1"/>
  <c r="F107" i="52"/>
  <c r="D107" i="52"/>
  <c r="B107" i="52"/>
  <c r="Y107" i="52" s="1"/>
  <c r="F106" i="52"/>
  <c r="D106" i="52"/>
  <c r="B106" i="52"/>
  <c r="Y106" i="52" s="1"/>
  <c r="F105" i="52"/>
  <c r="D105" i="52"/>
  <c r="B105" i="52"/>
  <c r="Y105" i="52" s="1"/>
  <c r="F104" i="52"/>
  <c r="D104" i="52"/>
  <c r="B104" i="52"/>
  <c r="Y104" i="52" s="1"/>
  <c r="F103" i="52"/>
  <c r="D103" i="52"/>
  <c r="B103" i="52"/>
  <c r="Y103" i="52" s="1"/>
  <c r="F102" i="52"/>
  <c r="D102" i="52"/>
  <c r="B102" i="52"/>
  <c r="Y102" i="52" s="1"/>
  <c r="F101" i="52"/>
  <c r="D101" i="52"/>
  <c r="B101" i="52"/>
  <c r="Y101" i="52" s="1"/>
  <c r="F100" i="52"/>
  <c r="D100" i="52"/>
  <c r="B100" i="52"/>
  <c r="F99" i="52"/>
  <c r="D99" i="52"/>
  <c r="B99" i="52"/>
  <c r="Y99" i="52" s="1"/>
  <c r="F96" i="52"/>
  <c r="D96" i="52"/>
  <c r="B96" i="52"/>
  <c r="Y96" i="52" s="1"/>
  <c r="F95" i="52"/>
  <c r="D95" i="52"/>
  <c r="B95" i="52"/>
  <c r="Y95" i="52" s="1"/>
  <c r="F94" i="52"/>
  <c r="D94" i="52"/>
  <c r="B94" i="52"/>
  <c r="Y94" i="52" s="1"/>
  <c r="F93" i="52"/>
  <c r="D93" i="52"/>
  <c r="B93" i="52"/>
  <c r="Y93" i="52" s="1"/>
  <c r="F92" i="52"/>
  <c r="D92" i="52"/>
  <c r="B92" i="52"/>
  <c r="Y92" i="52" s="1"/>
  <c r="F91" i="52"/>
  <c r="D91" i="52"/>
  <c r="B91" i="52"/>
  <c r="Y91" i="52" s="1"/>
  <c r="F90" i="52"/>
  <c r="D90" i="52"/>
  <c r="B90" i="52"/>
  <c r="Y90" i="52" s="1"/>
  <c r="F89" i="52"/>
  <c r="D89" i="52"/>
  <c r="B89" i="52"/>
  <c r="Y89" i="52" s="1"/>
  <c r="F88" i="52"/>
  <c r="D88" i="52"/>
  <c r="B88" i="52"/>
  <c r="Y88" i="52" s="1"/>
  <c r="F87" i="52"/>
  <c r="D87" i="52"/>
  <c r="B87" i="52"/>
  <c r="Y87" i="52" s="1"/>
  <c r="F86" i="52"/>
  <c r="D86" i="52"/>
  <c r="B86" i="52"/>
  <c r="Y86" i="52" s="1"/>
  <c r="F85" i="52"/>
  <c r="D85" i="52"/>
  <c r="B85" i="52"/>
  <c r="Y85" i="52" s="1"/>
  <c r="F84" i="52"/>
  <c r="D84" i="52"/>
  <c r="B84" i="52"/>
  <c r="Y84" i="52" s="1"/>
  <c r="F83" i="52"/>
  <c r="D83" i="52"/>
  <c r="B83" i="52"/>
  <c r="Y83" i="52" s="1"/>
  <c r="F82" i="52"/>
  <c r="D82" i="52"/>
  <c r="B82" i="52"/>
  <c r="F81" i="52"/>
  <c r="D81" i="52"/>
  <c r="B81" i="52"/>
  <c r="Y81" i="52" s="1"/>
  <c r="F80" i="52"/>
  <c r="D80" i="52"/>
  <c r="B80" i="52"/>
  <c r="Y80" i="52" s="1"/>
  <c r="F79" i="52"/>
  <c r="D79" i="52"/>
  <c r="B79" i="52"/>
  <c r="Y79" i="52" s="1"/>
  <c r="F78" i="52"/>
  <c r="D78" i="52"/>
  <c r="B78" i="52"/>
  <c r="Y78" i="52" s="1"/>
  <c r="F77" i="52"/>
  <c r="D77" i="52"/>
  <c r="B77" i="52"/>
  <c r="Y77" i="52" s="1"/>
  <c r="F76" i="52"/>
  <c r="D76" i="52"/>
  <c r="B76" i="52"/>
  <c r="Y76" i="52" s="1"/>
  <c r="F75" i="52"/>
  <c r="D75" i="52"/>
  <c r="B75" i="52"/>
  <c r="Y75" i="52" s="1"/>
  <c r="F74" i="52"/>
  <c r="D74" i="52"/>
  <c r="B74" i="52"/>
  <c r="Y74" i="52" s="1"/>
  <c r="F73" i="52"/>
  <c r="D73" i="52"/>
  <c r="B73" i="52"/>
  <c r="Y73" i="52" s="1"/>
  <c r="F72" i="52"/>
  <c r="D72" i="52"/>
  <c r="B72" i="52"/>
  <c r="Y72" i="52" s="1"/>
  <c r="F71" i="52"/>
  <c r="D71" i="52"/>
  <c r="B71" i="52"/>
  <c r="Y71" i="52" s="1"/>
  <c r="F70" i="52"/>
  <c r="D70" i="52"/>
  <c r="B70" i="52"/>
  <c r="Y70" i="52" s="1"/>
  <c r="F69" i="52"/>
  <c r="D69" i="52"/>
  <c r="B69" i="52"/>
  <c r="Y69" i="52" s="1"/>
  <c r="F68" i="52"/>
  <c r="D68" i="52"/>
  <c r="B68" i="52"/>
  <c r="Y68" i="52" s="1"/>
  <c r="F67" i="52"/>
  <c r="D67" i="52"/>
  <c r="B67" i="52"/>
  <c r="Y67" i="52" s="1"/>
  <c r="F66" i="52"/>
  <c r="D66" i="52"/>
  <c r="B66" i="52"/>
  <c r="F65" i="52"/>
  <c r="D65" i="52"/>
  <c r="B65" i="52"/>
  <c r="Y65" i="52" s="1"/>
  <c r="F64" i="52"/>
  <c r="D64" i="52"/>
  <c r="B64" i="52"/>
  <c r="Y64" i="52" s="1"/>
  <c r="F63" i="52"/>
  <c r="D63" i="52"/>
  <c r="B63" i="52"/>
  <c r="Y63" i="52" s="1"/>
  <c r="F62" i="52"/>
  <c r="D62" i="52"/>
  <c r="B62" i="52"/>
  <c r="Y62" i="52" s="1"/>
  <c r="F61" i="52"/>
  <c r="D61" i="52"/>
  <c r="B61" i="52"/>
  <c r="Y61" i="52" s="1"/>
  <c r="F60" i="52"/>
  <c r="D60" i="52"/>
  <c r="B60" i="52"/>
  <c r="Y60" i="52" s="1"/>
  <c r="F59" i="52"/>
  <c r="D59" i="52"/>
  <c r="B59" i="52"/>
  <c r="Y59" i="52" s="1"/>
  <c r="F58" i="52"/>
  <c r="D58" i="52"/>
  <c r="B58" i="52"/>
  <c r="Y58" i="52" s="1"/>
  <c r="F57" i="52"/>
  <c r="D57" i="52"/>
  <c r="B57" i="52"/>
  <c r="Y57" i="52" s="1"/>
  <c r="F56" i="52"/>
  <c r="D56" i="52"/>
  <c r="B56" i="52"/>
  <c r="Y56" i="52" s="1"/>
  <c r="F55" i="52"/>
  <c r="D55" i="52"/>
  <c r="B55" i="52"/>
  <c r="Y55" i="52" s="1"/>
  <c r="F54" i="52"/>
  <c r="D54" i="52"/>
  <c r="B54" i="52"/>
  <c r="Y54" i="52" s="1"/>
  <c r="F51" i="52"/>
  <c r="D51" i="52"/>
  <c r="B51" i="52"/>
  <c r="Y51" i="52" s="1"/>
  <c r="F50" i="52"/>
  <c r="D50" i="52"/>
  <c r="B50" i="52"/>
  <c r="Y50" i="52" s="1"/>
  <c r="F49" i="52"/>
  <c r="D49" i="52"/>
  <c r="B49" i="52"/>
  <c r="Y49" i="52" s="1"/>
  <c r="F48" i="52"/>
  <c r="D48" i="52"/>
  <c r="B48" i="52"/>
  <c r="F47" i="52"/>
  <c r="D47" i="52"/>
  <c r="B47" i="52"/>
  <c r="Y47" i="52" s="1"/>
  <c r="F46" i="52"/>
  <c r="D46" i="52"/>
  <c r="B46" i="52"/>
  <c r="Y46" i="52" s="1"/>
  <c r="F45" i="52"/>
  <c r="D45" i="52"/>
  <c r="B45" i="52"/>
  <c r="Y45" i="52" s="1"/>
  <c r="F44" i="52"/>
  <c r="D44" i="52"/>
  <c r="B44" i="52"/>
  <c r="Y44" i="52" s="1"/>
  <c r="F43" i="52"/>
  <c r="D43" i="52"/>
  <c r="B43" i="52"/>
  <c r="Y43" i="52" s="1"/>
  <c r="F42" i="52"/>
  <c r="D42" i="52"/>
  <c r="B42" i="52"/>
  <c r="Y42" i="52" s="1"/>
  <c r="F41" i="52"/>
  <c r="D41" i="52"/>
  <c r="B41" i="52"/>
  <c r="Y41" i="52" s="1"/>
  <c r="F40" i="52"/>
  <c r="D40" i="52"/>
  <c r="B40" i="52"/>
  <c r="Y40" i="52" s="1"/>
  <c r="F39" i="52"/>
  <c r="D39" i="52"/>
  <c r="B39" i="52"/>
  <c r="Y39" i="52" s="1"/>
  <c r="F38" i="52"/>
  <c r="D38" i="52"/>
  <c r="B38" i="52"/>
  <c r="Y38" i="52" s="1"/>
  <c r="F37" i="52"/>
  <c r="D37" i="52"/>
  <c r="B37" i="52"/>
  <c r="Y37" i="52" s="1"/>
  <c r="F36" i="52"/>
  <c r="D36" i="52"/>
  <c r="B36" i="52"/>
  <c r="Y36" i="52" s="1"/>
  <c r="F35" i="52"/>
  <c r="D35" i="52"/>
  <c r="B35" i="52"/>
  <c r="Y35" i="52" s="1"/>
  <c r="F34" i="52"/>
  <c r="D34" i="52"/>
  <c r="B34" i="52"/>
  <c r="Y34" i="52" s="1"/>
  <c r="F33" i="52"/>
  <c r="D33" i="52"/>
  <c r="B33" i="52"/>
  <c r="Y33" i="52" s="1"/>
  <c r="F32" i="52"/>
  <c r="D32" i="52"/>
  <c r="B32" i="52"/>
  <c r="F31" i="52"/>
  <c r="D31" i="52"/>
  <c r="B31" i="52"/>
  <c r="Y31" i="52" s="1"/>
  <c r="F30" i="52"/>
  <c r="D30" i="52"/>
  <c r="B30" i="52"/>
  <c r="Y30" i="52" s="1"/>
  <c r="F29" i="52"/>
  <c r="D29" i="52"/>
  <c r="B29" i="52"/>
  <c r="Y29" i="52" s="1"/>
  <c r="F28" i="52"/>
  <c r="D28" i="52"/>
  <c r="B28" i="52"/>
  <c r="Y28" i="52" s="1"/>
  <c r="F27" i="52"/>
  <c r="D27" i="52"/>
  <c r="B27" i="52"/>
  <c r="Y27" i="52" s="1"/>
  <c r="F26" i="52"/>
  <c r="D26" i="52"/>
  <c r="B26" i="52"/>
  <c r="Y26" i="52" s="1"/>
  <c r="F25" i="52"/>
  <c r="D25" i="52"/>
  <c r="B25" i="52"/>
  <c r="Y25" i="52" s="1"/>
  <c r="F24" i="52"/>
  <c r="D24" i="52"/>
  <c r="B24" i="52"/>
  <c r="Y24" i="52" s="1"/>
  <c r="F23" i="52"/>
  <c r="D23" i="52"/>
  <c r="B23" i="52"/>
  <c r="Y23" i="52" s="1"/>
  <c r="F22" i="52"/>
  <c r="D22" i="52"/>
  <c r="B22" i="52"/>
  <c r="Y22" i="52" s="1"/>
  <c r="F21" i="52"/>
  <c r="D21" i="52"/>
  <c r="B21" i="52"/>
  <c r="Y21" i="52" s="1"/>
  <c r="F20" i="52"/>
  <c r="D20" i="52"/>
  <c r="B20" i="52"/>
  <c r="Y20" i="52" s="1"/>
  <c r="F19" i="52"/>
  <c r="D19" i="52"/>
  <c r="B19" i="52"/>
  <c r="Y19" i="52" s="1"/>
  <c r="F18" i="52"/>
  <c r="D18" i="52"/>
  <c r="B18" i="52"/>
  <c r="Y18" i="52" s="1"/>
  <c r="F17" i="52"/>
  <c r="D17" i="52"/>
  <c r="B17" i="52"/>
  <c r="Y17" i="52" s="1"/>
  <c r="F16" i="52"/>
  <c r="D16" i="52"/>
  <c r="B16" i="52"/>
  <c r="F15" i="52"/>
  <c r="D15" i="52"/>
  <c r="B15" i="52"/>
  <c r="Y15" i="52" s="1"/>
  <c r="F14" i="52"/>
  <c r="D14" i="52"/>
  <c r="B14" i="52"/>
  <c r="Y14" i="52" s="1"/>
  <c r="F13" i="52"/>
  <c r="D13" i="52"/>
  <c r="B13" i="52"/>
  <c r="Y13" i="52" s="1"/>
  <c r="F12" i="52"/>
  <c r="D12" i="52"/>
  <c r="B12" i="52"/>
  <c r="Y12" i="52" s="1"/>
  <c r="F11" i="52"/>
  <c r="D11" i="52"/>
  <c r="B11" i="52"/>
  <c r="Y11" i="52" s="1"/>
  <c r="F10" i="52"/>
  <c r="D10" i="52"/>
  <c r="B10" i="52"/>
  <c r="Y10" i="52" s="1"/>
  <c r="F9" i="52"/>
  <c r="D9" i="52"/>
  <c r="B9" i="52"/>
  <c r="Y9" i="52" s="1"/>
  <c r="B125" i="40"/>
  <c r="B124" i="40"/>
  <c r="B123" i="40"/>
  <c r="B122" i="40"/>
  <c r="B121" i="40"/>
  <c r="B120" i="40"/>
  <c r="B119" i="40"/>
  <c r="B118" i="40"/>
  <c r="B117" i="40"/>
  <c r="B116" i="40"/>
  <c r="B115" i="40"/>
  <c r="B114" i="40"/>
  <c r="B113" i="40"/>
  <c r="B112" i="40"/>
  <c r="B111" i="40"/>
  <c r="B110" i="40"/>
  <c r="B109" i="40"/>
  <c r="B108" i="40"/>
  <c r="B107" i="40"/>
  <c r="B106" i="40"/>
  <c r="B105" i="40"/>
  <c r="B104" i="40"/>
  <c r="B103" i="40"/>
  <c r="B102" i="40"/>
  <c r="B101" i="40"/>
  <c r="B100" i="40"/>
  <c r="B99" i="40"/>
  <c r="B98" i="40"/>
  <c r="B97" i="40"/>
  <c r="B96" i="40"/>
  <c r="B95" i="40"/>
  <c r="B94" i="40"/>
  <c r="B93" i="40"/>
  <c r="B92" i="40"/>
  <c r="B91" i="40"/>
  <c r="B90" i="40"/>
  <c r="B89" i="40"/>
  <c r="B88" i="40"/>
  <c r="B87" i="40"/>
  <c r="B86" i="40"/>
  <c r="B85" i="40"/>
  <c r="B84" i="40"/>
  <c r="B83" i="40"/>
  <c r="B82" i="40"/>
  <c r="B81" i="40"/>
  <c r="B80" i="40"/>
  <c r="B79" i="40"/>
  <c r="B78" i="40"/>
  <c r="B77" i="40"/>
  <c r="B76" i="40"/>
  <c r="B75" i="40"/>
  <c r="DG212" i="126"/>
  <c r="DF212" i="126"/>
  <c r="DE212" i="126"/>
  <c r="DD212" i="126"/>
  <c r="DC212" i="126"/>
  <c r="DB212" i="126"/>
  <c r="DA212" i="126"/>
  <c r="CZ212" i="126"/>
  <c r="CY212" i="126"/>
  <c r="CX212" i="126"/>
  <c r="CW212" i="126"/>
  <c r="CV212" i="126"/>
  <c r="CU212" i="126"/>
  <c r="CT212" i="126"/>
  <c r="CS212" i="126"/>
  <c r="CR212" i="126"/>
  <c r="CQ212" i="126"/>
  <c r="CP212" i="126"/>
  <c r="CO212" i="126"/>
  <c r="CN212" i="126"/>
  <c r="CM212" i="126"/>
  <c r="CL212" i="126"/>
  <c r="CK212" i="126"/>
  <c r="CJ212" i="126"/>
  <c r="CI212" i="126"/>
  <c r="CH212" i="126"/>
  <c r="CG212" i="126"/>
  <c r="CF212" i="126"/>
  <c r="CE212" i="126"/>
  <c r="CD212" i="126"/>
  <c r="CC212" i="126"/>
  <c r="CB212" i="126"/>
  <c r="CA212" i="126"/>
  <c r="BZ212" i="126"/>
  <c r="BY212" i="126"/>
  <c r="BX212" i="126"/>
  <c r="BW212" i="126"/>
  <c r="BV212" i="126"/>
  <c r="BU212" i="126"/>
  <c r="BT212" i="126"/>
  <c r="BS212" i="126"/>
  <c r="BR212" i="126"/>
  <c r="BQ212" i="126"/>
  <c r="BP212" i="126"/>
  <c r="BO212" i="126"/>
  <c r="BN212" i="126"/>
  <c r="BM212" i="126"/>
  <c r="BL212" i="126"/>
  <c r="BK212" i="126"/>
  <c r="BJ212" i="126"/>
  <c r="BI212" i="126"/>
  <c r="DG197" i="126"/>
  <c r="DF197" i="126"/>
  <c r="DE197" i="126"/>
  <c r="DD197" i="126"/>
  <c r="DC197" i="126"/>
  <c r="DB197" i="126"/>
  <c r="DA197" i="126"/>
  <c r="CZ197" i="126"/>
  <c r="CY197" i="126"/>
  <c r="CX197" i="126"/>
  <c r="CW197" i="126"/>
  <c r="CV197" i="126"/>
  <c r="CU197" i="126"/>
  <c r="CT197" i="126"/>
  <c r="CS197" i="126"/>
  <c r="CR197" i="126"/>
  <c r="CQ197" i="126"/>
  <c r="CP197" i="126"/>
  <c r="CO197" i="126"/>
  <c r="CN197" i="126"/>
  <c r="CM197" i="126"/>
  <c r="CL197" i="126"/>
  <c r="CK197" i="126"/>
  <c r="CJ197" i="126"/>
  <c r="CI197" i="126"/>
  <c r="CH197" i="126"/>
  <c r="CG197" i="126"/>
  <c r="CF197" i="126"/>
  <c r="CE197" i="126"/>
  <c r="CD197" i="126"/>
  <c r="CC197" i="126"/>
  <c r="CB197" i="126"/>
  <c r="CA197" i="126"/>
  <c r="BZ197" i="126"/>
  <c r="BY197" i="126"/>
  <c r="BX197" i="126"/>
  <c r="BW197" i="126"/>
  <c r="BV197" i="126"/>
  <c r="BU197" i="126"/>
  <c r="BT197" i="126"/>
  <c r="BS197" i="126"/>
  <c r="BR197" i="126"/>
  <c r="BQ197" i="126"/>
  <c r="BP197" i="126"/>
  <c r="BO197" i="126"/>
  <c r="BN197" i="126"/>
  <c r="BM197" i="126"/>
  <c r="BL197" i="126"/>
  <c r="BK197" i="126"/>
  <c r="BJ197" i="126"/>
  <c r="BI197" i="126"/>
  <c r="DG182" i="126"/>
  <c r="DF182" i="126"/>
  <c r="DE182" i="126"/>
  <c r="DD182" i="126"/>
  <c r="DC182" i="126"/>
  <c r="DB182" i="126"/>
  <c r="DA182" i="126"/>
  <c r="CZ182" i="126"/>
  <c r="CY182" i="126"/>
  <c r="CX182" i="126"/>
  <c r="CW182" i="126"/>
  <c r="CV182" i="126"/>
  <c r="CU182" i="126"/>
  <c r="CT182" i="126"/>
  <c r="CS182" i="126"/>
  <c r="CR182" i="126"/>
  <c r="CQ182" i="126"/>
  <c r="CP182" i="126"/>
  <c r="CO182" i="126"/>
  <c r="CN182" i="126"/>
  <c r="CM182" i="126"/>
  <c r="CL182" i="126"/>
  <c r="CK182" i="126"/>
  <c r="CJ182" i="126"/>
  <c r="CI182" i="126"/>
  <c r="CH182" i="126"/>
  <c r="CG182" i="126"/>
  <c r="CF182" i="126"/>
  <c r="CE182" i="126"/>
  <c r="CD182" i="126"/>
  <c r="CC182" i="126"/>
  <c r="CB182" i="126"/>
  <c r="CA182" i="126"/>
  <c r="BZ182" i="126"/>
  <c r="BY182" i="126"/>
  <c r="BX182" i="126"/>
  <c r="BW182" i="126"/>
  <c r="BV182" i="126"/>
  <c r="BU182" i="126"/>
  <c r="BT182" i="126"/>
  <c r="BS182" i="126"/>
  <c r="BR182" i="126"/>
  <c r="BQ182" i="126"/>
  <c r="BP182" i="126"/>
  <c r="BO182" i="126"/>
  <c r="BN182" i="126"/>
  <c r="BM182" i="126"/>
  <c r="BL182" i="126"/>
  <c r="BK182" i="126"/>
  <c r="DG163" i="126"/>
  <c r="DF163" i="126"/>
  <c r="DE163" i="126"/>
  <c r="DD163" i="126"/>
  <c r="DC163" i="126"/>
  <c r="DB163" i="126"/>
  <c r="DA163" i="126"/>
  <c r="CZ163" i="126"/>
  <c r="CY163" i="126"/>
  <c r="CX163" i="126"/>
  <c r="CW163" i="126"/>
  <c r="CV163" i="126"/>
  <c r="CU163" i="126"/>
  <c r="CT163" i="126"/>
  <c r="CS163" i="126"/>
  <c r="CR163" i="126"/>
  <c r="CQ163" i="126"/>
  <c r="CP163" i="126"/>
  <c r="CO163" i="126"/>
  <c r="CN163" i="126"/>
  <c r="CM163" i="126"/>
  <c r="CL163" i="126"/>
  <c r="CK163" i="126"/>
  <c r="CJ163" i="126"/>
  <c r="CI163" i="126"/>
  <c r="CH163" i="126"/>
  <c r="CG163" i="126"/>
  <c r="CF163" i="126"/>
  <c r="CE163" i="126"/>
  <c r="CD163" i="126"/>
  <c r="CC163" i="126"/>
  <c r="CB163" i="126"/>
  <c r="CA163" i="126"/>
  <c r="BZ163" i="126"/>
  <c r="BY163" i="126"/>
  <c r="BX163" i="126"/>
  <c r="BW163" i="126"/>
  <c r="BV163" i="126"/>
  <c r="BU163" i="126"/>
  <c r="BT163" i="126"/>
  <c r="BS163" i="126"/>
  <c r="BR163" i="126"/>
  <c r="BQ163" i="126"/>
  <c r="BP163" i="126"/>
  <c r="BO163" i="126"/>
  <c r="BN163" i="126"/>
  <c r="BM163" i="126"/>
  <c r="BL163" i="126"/>
  <c r="BK163" i="126"/>
  <c r="BB150" i="126"/>
  <c r="BG148" i="126"/>
  <c r="AR148" i="126"/>
  <c r="BC146" i="126"/>
  <c r="AN143" i="126"/>
  <c r="AB143" i="126"/>
  <c r="DG135" i="126"/>
  <c r="DF135" i="126"/>
  <c r="DE135" i="126"/>
  <c r="DD135" i="126"/>
  <c r="DC135" i="126"/>
  <c r="DB135" i="126"/>
  <c r="DA135" i="126"/>
  <c r="CZ135" i="126"/>
  <c r="CY135" i="126"/>
  <c r="CX135" i="126"/>
  <c r="CW135" i="126"/>
  <c r="CV135" i="126"/>
  <c r="CU135" i="126"/>
  <c r="CT135" i="126"/>
  <c r="CS135" i="126"/>
  <c r="CR135" i="126"/>
  <c r="CQ135" i="126"/>
  <c r="CP135" i="126"/>
  <c r="CO135" i="126"/>
  <c r="CN135" i="126"/>
  <c r="CM135" i="126"/>
  <c r="CL135" i="126"/>
  <c r="CK135" i="126"/>
  <c r="CJ135" i="126"/>
  <c r="CI135" i="126"/>
  <c r="CH135" i="126"/>
  <c r="CG135" i="126"/>
  <c r="CF135" i="126"/>
  <c r="CE135" i="126"/>
  <c r="CD135" i="126"/>
  <c r="CC135" i="126"/>
  <c r="CB135" i="126"/>
  <c r="CA135" i="126"/>
  <c r="BZ135" i="126"/>
  <c r="BY135" i="126"/>
  <c r="BX135" i="126"/>
  <c r="BW135" i="126"/>
  <c r="BV135" i="126"/>
  <c r="BU135" i="126"/>
  <c r="BT135" i="126"/>
  <c r="BS135" i="126"/>
  <c r="BR135" i="126"/>
  <c r="BQ135" i="126"/>
  <c r="BP135" i="126"/>
  <c r="BO135" i="126"/>
  <c r="BN135" i="126"/>
  <c r="BM135" i="126"/>
  <c r="BL135" i="126"/>
  <c r="BK135" i="126"/>
  <c r="BJ135" i="126"/>
  <c r="BI135" i="126"/>
  <c r="BH135" i="126"/>
  <c r="BG135" i="126"/>
  <c r="BF135" i="126"/>
  <c r="BE135" i="126"/>
  <c r="BD135" i="126"/>
  <c r="BC135" i="126"/>
  <c r="BB135" i="126"/>
  <c r="BA135" i="126"/>
  <c r="AZ135" i="126"/>
  <c r="AY135" i="126"/>
  <c r="AX135" i="126"/>
  <c r="AW135" i="126"/>
  <c r="AV135" i="126"/>
  <c r="AU135" i="126"/>
  <c r="AT135" i="126"/>
  <c r="AS135" i="126"/>
  <c r="AR135" i="126"/>
  <c r="AQ135" i="126"/>
  <c r="AP135" i="126"/>
  <c r="AO135" i="126"/>
  <c r="AN135" i="126"/>
  <c r="AM135" i="126"/>
  <c r="AL135" i="126"/>
  <c r="AK135" i="126"/>
  <c r="AJ135" i="126"/>
  <c r="AI135" i="126"/>
  <c r="AH135" i="126"/>
  <c r="AG135" i="126"/>
  <c r="AF135" i="126"/>
  <c r="AE135" i="126"/>
  <c r="AD135" i="126"/>
  <c r="AC135" i="126"/>
  <c r="AB135" i="126"/>
  <c r="AA135" i="126"/>
  <c r="Z135" i="126"/>
  <c r="Y135" i="126"/>
  <c r="X135" i="126"/>
  <c r="W135" i="126"/>
  <c r="V135" i="126"/>
  <c r="U135" i="126"/>
  <c r="T135" i="126"/>
  <c r="S135" i="126"/>
  <c r="R135" i="126"/>
  <c r="Q135" i="126"/>
  <c r="P135" i="126"/>
  <c r="O135" i="126"/>
  <c r="N135" i="126"/>
  <c r="M135" i="126"/>
  <c r="L135" i="126"/>
  <c r="K135" i="126"/>
  <c r="S122" i="126"/>
  <c r="S123" i="126" s="1"/>
  <c r="S124" i="126" s="1"/>
  <c r="S125" i="126" s="1"/>
  <c r="S126" i="126" s="1"/>
  <c r="P122" i="126"/>
  <c r="P123" i="126" s="1"/>
  <c r="P124" i="126" s="1"/>
  <c r="P125" i="126" s="1"/>
  <c r="P126" i="126" s="1"/>
  <c r="R121" i="126"/>
  <c r="Q121" i="126"/>
  <c r="P121" i="126"/>
  <c r="N121" i="126"/>
  <c r="M121" i="126"/>
  <c r="L121" i="126"/>
  <c r="R120" i="126"/>
  <c r="O120" i="126"/>
  <c r="N120" i="126"/>
  <c r="R119" i="126"/>
  <c r="Q119" i="126"/>
  <c r="O119" i="126"/>
  <c r="N119" i="126"/>
  <c r="M119" i="126"/>
  <c r="L119" i="126"/>
  <c r="R118" i="126"/>
  <c r="Q118" i="126"/>
  <c r="O118" i="126"/>
  <c r="N118" i="126"/>
  <c r="M110" i="126"/>
  <c r="S109" i="126"/>
  <c r="S110" i="126" s="1"/>
  <c r="S111" i="126" s="1"/>
  <c r="S112" i="126" s="1"/>
  <c r="S113" i="126" s="1"/>
  <c r="M109" i="126"/>
  <c r="R109" i="126" s="1"/>
  <c r="L109" i="126"/>
  <c r="R108" i="126"/>
  <c r="Q108" i="126"/>
  <c r="P108" i="126"/>
  <c r="N108" i="126"/>
  <c r="M108" i="126"/>
  <c r="L108" i="126"/>
  <c r="R107" i="126"/>
  <c r="O107" i="126"/>
  <c r="N107" i="126"/>
  <c r="M107" i="126"/>
  <c r="Q107" i="126" s="1"/>
  <c r="Q105" i="126" s="1"/>
  <c r="Q103" i="126" s="1"/>
  <c r="L107" i="126"/>
  <c r="R106" i="126"/>
  <c r="Q106" i="126"/>
  <c r="O106" i="126"/>
  <c r="N106" i="126"/>
  <c r="M106" i="126"/>
  <c r="L106" i="126" s="1"/>
  <c r="R105" i="126"/>
  <c r="R103" i="126" s="1"/>
  <c r="O105" i="126"/>
  <c r="N105" i="126"/>
  <c r="N103" i="126" s="1"/>
  <c r="R104" i="126"/>
  <c r="R102" i="126" s="1"/>
  <c r="Q104" i="126"/>
  <c r="Q102" i="126" s="1"/>
  <c r="O104" i="126"/>
  <c r="O102" i="126" s="1"/>
  <c r="N104" i="126"/>
  <c r="N102" i="126" s="1"/>
  <c r="M104" i="126"/>
  <c r="L104" i="126" s="1"/>
  <c r="O103" i="126"/>
  <c r="Q89" i="126"/>
  <c r="N89" i="126"/>
  <c r="M89" i="126"/>
  <c r="L89" i="126"/>
  <c r="S88" i="126"/>
  <c r="R88" i="126"/>
  <c r="Q88" i="126"/>
  <c r="P88" i="126"/>
  <c r="O88" i="126"/>
  <c r="N88" i="126"/>
  <c r="M88" i="126"/>
  <c r="L88" i="126"/>
  <c r="S87" i="126"/>
  <c r="R87" i="126"/>
  <c r="Q87" i="126"/>
  <c r="P87" i="126"/>
  <c r="O87" i="126"/>
  <c r="N87" i="126"/>
  <c r="M87" i="126"/>
  <c r="L87" i="126"/>
  <c r="S86" i="126"/>
  <c r="R86" i="126"/>
  <c r="Q86" i="126"/>
  <c r="P86" i="126"/>
  <c r="O86" i="126"/>
  <c r="N86" i="126"/>
  <c r="M86" i="126"/>
  <c r="L86" i="126"/>
  <c r="S70" i="126"/>
  <c r="R70" i="126"/>
  <c r="Q70" i="126"/>
  <c r="P70" i="126"/>
  <c r="O70" i="126"/>
  <c r="N70" i="126"/>
  <c r="M70" i="126"/>
  <c r="L70" i="126"/>
  <c r="S69" i="126"/>
  <c r="R69" i="126"/>
  <c r="Q69" i="126"/>
  <c r="P69" i="126"/>
  <c r="O69" i="126"/>
  <c r="N69" i="126"/>
  <c r="M69" i="126"/>
  <c r="L69" i="126"/>
  <c r="S68" i="126"/>
  <c r="R68" i="126"/>
  <c r="Q68" i="126"/>
  <c r="P68" i="126"/>
  <c r="O68" i="126"/>
  <c r="N68" i="126"/>
  <c r="M68" i="126"/>
  <c r="L68" i="126"/>
  <c r="S67" i="126"/>
  <c r="R67" i="126"/>
  <c r="Q67" i="126"/>
  <c r="P67" i="126"/>
  <c r="O67" i="126"/>
  <c r="N67" i="126"/>
  <c r="M67" i="126"/>
  <c r="L67" i="126"/>
  <c r="AV56" i="126"/>
  <c r="AU56" i="126"/>
  <c r="AT56" i="126"/>
  <c r="AS56" i="126"/>
  <c r="AR56" i="126"/>
  <c r="AQ56" i="126"/>
  <c r="AP56" i="126"/>
  <c r="AO56" i="126"/>
  <c r="AV55" i="126"/>
  <c r="AU55" i="126"/>
  <c r="AT55" i="126"/>
  <c r="AS55" i="126"/>
  <c r="AR55" i="126"/>
  <c r="AQ55" i="126"/>
  <c r="AP55" i="126"/>
  <c r="AO55" i="126"/>
  <c r="AV54" i="126"/>
  <c r="AU54" i="126"/>
  <c r="AT54" i="126"/>
  <c r="AS54" i="126"/>
  <c r="AR54" i="126"/>
  <c r="AQ54" i="126"/>
  <c r="AP54" i="126"/>
  <c r="AO54" i="126"/>
  <c r="AV53" i="126"/>
  <c r="AU53" i="126"/>
  <c r="AT53" i="126"/>
  <c r="AS53" i="126"/>
  <c r="AR53" i="126"/>
  <c r="AQ53" i="126"/>
  <c r="AP53" i="126"/>
  <c r="AO53" i="126"/>
  <c r="AV52" i="126"/>
  <c r="AU52" i="126"/>
  <c r="AT52" i="126"/>
  <c r="AS52" i="126"/>
  <c r="AR52" i="126"/>
  <c r="AQ52" i="126"/>
  <c r="AP52" i="126"/>
  <c r="AO52" i="126"/>
  <c r="S52" i="126"/>
  <c r="Q52" i="126"/>
  <c r="O52" i="126" s="1"/>
  <c r="P52" i="126"/>
  <c r="M52" i="126"/>
  <c r="L52" i="126"/>
  <c r="T51" i="126"/>
  <c r="S51" i="126"/>
  <c r="R51" i="126"/>
  <c r="Q51" i="126"/>
  <c r="P51" i="126"/>
  <c r="O51" i="126"/>
  <c r="N51" i="126"/>
  <c r="M51" i="126"/>
  <c r="L51" i="126"/>
  <c r="AV50" i="126"/>
  <c r="AU50" i="126"/>
  <c r="AT50" i="126"/>
  <c r="AS50" i="126"/>
  <c r="AR50" i="126"/>
  <c r="AQ50" i="126"/>
  <c r="AP50" i="126"/>
  <c r="AO50" i="126"/>
  <c r="T50" i="126"/>
  <c r="P50" i="126"/>
  <c r="AV49" i="126"/>
  <c r="AU49" i="126"/>
  <c r="AT49" i="126"/>
  <c r="AS49" i="126"/>
  <c r="AR49" i="126"/>
  <c r="AQ49" i="126"/>
  <c r="AP49" i="126"/>
  <c r="AO49" i="126"/>
  <c r="T49" i="126"/>
  <c r="P49" i="126"/>
  <c r="AV48" i="126"/>
  <c r="AU48" i="126"/>
  <c r="AT48" i="126"/>
  <c r="AS48" i="126"/>
  <c r="AR48" i="126"/>
  <c r="AQ48" i="126"/>
  <c r="AP48" i="126"/>
  <c r="AO48" i="126"/>
  <c r="AV47" i="126"/>
  <c r="AU47" i="126"/>
  <c r="AT47" i="126"/>
  <c r="AS47" i="126"/>
  <c r="AR47" i="126"/>
  <c r="AQ47" i="126"/>
  <c r="AP47" i="126"/>
  <c r="AO47" i="126"/>
  <c r="AV46" i="126"/>
  <c r="AU46" i="126"/>
  <c r="AT46" i="126"/>
  <c r="AS46" i="126"/>
  <c r="AR46" i="126"/>
  <c r="AQ46" i="126"/>
  <c r="AP46" i="126"/>
  <c r="AO46" i="126"/>
  <c r="AV45" i="126"/>
  <c r="AU45" i="126"/>
  <c r="AT45" i="126"/>
  <c r="AS45" i="126"/>
  <c r="AR45" i="126"/>
  <c r="AQ45" i="126"/>
  <c r="AP45" i="126"/>
  <c r="AO45" i="126"/>
  <c r="AT44" i="126"/>
  <c r="AS44" i="126"/>
  <c r="AR44" i="126"/>
  <c r="AQ44" i="126"/>
  <c r="AP44" i="126"/>
  <c r="AO44" i="126"/>
  <c r="T35" i="126"/>
  <c r="S35" i="126" s="1"/>
  <c r="S34" i="126" s="1"/>
  <c r="R35" i="126"/>
  <c r="Q35" i="126" s="1"/>
  <c r="Q34" i="126" s="1"/>
  <c r="O34" i="126" s="1"/>
  <c r="O35" i="126"/>
  <c r="N35" i="126"/>
  <c r="N34" i="126" s="1"/>
  <c r="M34" i="126" s="1"/>
  <c r="L34" i="126" s="1"/>
  <c r="T34" i="126"/>
  <c r="R34" i="126"/>
  <c r="P34" i="126" s="1"/>
  <c r="S33" i="126"/>
  <c r="T33" i="126" s="1"/>
  <c r="R33" i="126"/>
  <c r="O33" i="126"/>
  <c r="O31" i="126" s="1"/>
  <c r="O29" i="126" s="1"/>
  <c r="N33" i="126"/>
  <c r="N31" i="126" s="1"/>
  <c r="N29" i="126" s="1"/>
  <c r="T32" i="126"/>
  <c r="S32" i="126"/>
  <c r="R32" i="126"/>
  <c r="O32" i="126"/>
  <c r="P32" i="126" s="1"/>
  <c r="N32" i="126"/>
  <c r="M32" i="126"/>
  <c r="M33" i="126" s="1"/>
  <c r="L33" i="126" s="1"/>
  <c r="L32" i="126"/>
  <c r="S31" i="126"/>
  <c r="S29" i="126" s="1"/>
  <c r="R31" i="126"/>
  <c r="R29" i="126" s="1"/>
  <c r="S30" i="126"/>
  <c r="S28" i="126" s="1"/>
  <c r="R30" i="126"/>
  <c r="O30" i="126"/>
  <c r="N30" i="126"/>
  <c r="N28" i="126" s="1"/>
  <c r="R28" i="126"/>
  <c r="O28" i="126"/>
  <c r="Y23" i="126"/>
  <c r="X23" i="126"/>
  <c r="W23" i="126"/>
  <c r="V23" i="126"/>
  <c r="U23" i="126"/>
  <c r="Y22" i="126"/>
  <c r="X22" i="126"/>
  <c r="W22" i="126"/>
  <c r="V22" i="126"/>
  <c r="U22" i="126"/>
  <c r="Y21" i="126"/>
  <c r="X21" i="126"/>
  <c r="W21" i="126"/>
  <c r="V21" i="126"/>
  <c r="U21" i="126"/>
  <c r="Y20" i="126"/>
  <c r="X20" i="126"/>
  <c r="W20" i="126"/>
  <c r="V20" i="126"/>
  <c r="U20" i="126"/>
  <c r="K12" i="126"/>
  <c r="K11" i="126"/>
  <c r="C8" i="126"/>
  <c r="BC180" i="126" s="1"/>
  <c r="Q17" i="128" l="1"/>
  <c r="Q26" i="128"/>
  <c r="Q90" i="128"/>
  <c r="Q140" i="128"/>
  <c r="Q28" i="129"/>
  <c r="Q68" i="129"/>
  <c r="Q104" i="129"/>
  <c r="Q73" i="128"/>
  <c r="Q15" i="128"/>
  <c r="Q30" i="128"/>
  <c r="Q42" i="128"/>
  <c r="Q48" i="128"/>
  <c r="Q106" i="128"/>
  <c r="Q117" i="128"/>
  <c r="Q126" i="128"/>
  <c r="Q132" i="128"/>
  <c r="Q157" i="128"/>
  <c r="Q45" i="129"/>
  <c r="Q63" i="129"/>
  <c r="Q79" i="129"/>
  <c r="Q44" i="128"/>
  <c r="Q105" i="128"/>
  <c r="Q19" i="129"/>
  <c r="Q147" i="128"/>
  <c r="Q65" i="128"/>
  <c r="Q77" i="128"/>
  <c r="Q123" i="128"/>
  <c r="Q148" i="128"/>
  <c r="Q17" i="129"/>
  <c r="Q10" i="128"/>
  <c r="Q80" i="128"/>
  <c r="Q16" i="128"/>
  <c r="Q25" i="128"/>
  <c r="Q34" i="128"/>
  <c r="Q92" i="128"/>
  <c r="Q30" i="129"/>
  <c r="Q49" i="129"/>
  <c r="Q67" i="129"/>
  <c r="Q22" i="128"/>
  <c r="Q40" i="128"/>
  <c r="Q98" i="128"/>
  <c r="Q118" i="128"/>
  <c r="Q130" i="128"/>
  <c r="Q23" i="128"/>
  <c r="Q75" i="129"/>
  <c r="Q55" i="128"/>
  <c r="Q115" i="128"/>
  <c r="Q77" i="129"/>
  <c r="Q25" i="129"/>
  <c r="Q47" i="128"/>
  <c r="Q131" i="128"/>
  <c r="Q72" i="128"/>
  <c r="Q84" i="128"/>
  <c r="Q146" i="128"/>
  <c r="Q34" i="129"/>
  <c r="Q37" i="129"/>
  <c r="Q71" i="129"/>
  <c r="Q87" i="129"/>
  <c r="Q103" i="129"/>
  <c r="Q51" i="129"/>
  <c r="Q23" i="129"/>
  <c r="Q39" i="129"/>
  <c r="Q42" i="129"/>
  <c r="Q60" i="129"/>
  <c r="Q55" i="129"/>
  <c r="Q27" i="129"/>
  <c r="Q21" i="129"/>
  <c r="Q53" i="129"/>
  <c r="Q74" i="129"/>
  <c r="Q101" i="129"/>
  <c r="Q47" i="129"/>
  <c r="Q95" i="129"/>
  <c r="Q33" i="129"/>
  <c r="Q13" i="129"/>
  <c r="Q38" i="129"/>
  <c r="Q44" i="129"/>
  <c r="Q50" i="129"/>
  <c r="Q56" i="129"/>
  <c r="Q12" i="129"/>
  <c r="Q15" i="129"/>
  <c r="Q18" i="129"/>
  <c r="Q24" i="129"/>
  <c r="Q88" i="129"/>
  <c r="Q94" i="129"/>
  <c r="Q97" i="129"/>
  <c r="Q100" i="129"/>
  <c r="Q106" i="129"/>
  <c r="Q54" i="129"/>
  <c r="Q16" i="129"/>
  <c r="Q80" i="129"/>
  <c r="Q86" i="129"/>
  <c r="Q89" i="129"/>
  <c r="Q92" i="129"/>
  <c r="Q98" i="129"/>
  <c r="Q40" i="129"/>
  <c r="Q31" i="129"/>
  <c r="Q72" i="129"/>
  <c r="Q78" i="129"/>
  <c r="Q81" i="129"/>
  <c r="Q84" i="129"/>
  <c r="Q90" i="129"/>
  <c r="Q14" i="129"/>
  <c r="Q20" i="129"/>
  <c r="Q26" i="129"/>
  <c r="Q32" i="129"/>
  <c r="Q96" i="129"/>
  <c r="Q102" i="129"/>
  <c r="Q105" i="129"/>
  <c r="BE220" i="126"/>
  <c r="AS220" i="126"/>
  <c r="AG220" i="126"/>
  <c r="U220" i="126"/>
  <c r="I220" i="126"/>
  <c r="BD220" i="126"/>
  <c r="AR220" i="126"/>
  <c r="AF220" i="126"/>
  <c r="T220" i="126"/>
  <c r="BC220" i="126"/>
  <c r="AQ220" i="126"/>
  <c r="AE220" i="126"/>
  <c r="S220" i="126"/>
  <c r="BB220" i="126"/>
  <c r="AP220" i="126"/>
  <c r="AD220" i="126"/>
  <c r="R220" i="126"/>
  <c r="BA220" i="126"/>
  <c r="AO220" i="126"/>
  <c r="AC220" i="126"/>
  <c r="Q220" i="126"/>
  <c r="AZ220" i="126"/>
  <c r="AN220" i="126"/>
  <c r="AB220" i="126"/>
  <c r="P220" i="126"/>
  <c r="AY220" i="126"/>
  <c r="AM220" i="126"/>
  <c r="AA220" i="126"/>
  <c r="O220" i="126"/>
  <c r="AX220" i="126"/>
  <c r="AL220" i="126"/>
  <c r="Z220" i="126"/>
  <c r="N220" i="126"/>
  <c r="AW220" i="126"/>
  <c r="AK220" i="126"/>
  <c r="Y220" i="126"/>
  <c r="M220" i="126"/>
  <c r="BF220" i="126"/>
  <c r="AT220" i="126"/>
  <c r="AH220" i="126"/>
  <c r="V220" i="126"/>
  <c r="J220" i="126"/>
  <c r="L220" i="126"/>
  <c r="K220" i="126"/>
  <c r="BG220" i="126"/>
  <c r="AV220" i="126"/>
  <c r="AU220" i="126"/>
  <c r="AJ220" i="126"/>
  <c r="W220" i="126"/>
  <c r="AI220" i="126"/>
  <c r="X220" i="126"/>
  <c r="BB200" i="126"/>
  <c r="AP200" i="126"/>
  <c r="AD200" i="126"/>
  <c r="R200" i="126"/>
  <c r="BA200" i="126"/>
  <c r="AO200" i="126"/>
  <c r="AC200" i="126"/>
  <c r="Q200" i="126"/>
  <c r="AZ200" i="126"/>
  <c r="AN200" i="126"/>
  <c r="AB200" i="126"/>
  <c r="P200" i="126"/>
  <c r="AY200" i="126"/>
  <c r="AM200" i="126"/>
  <c r="AA200" i="126"/>
  <c r="O200" i="126"/>
  <c r="AX200" i="126"/>
  <c r="AL200" i="126"/>
  <c r="Z200" i="126"/>
  <c r="N200" i="126"/>
  <c r="AW200" i="126"/>
  <c r="AK200" i="126"/>
  <c r="Y200" i="126"/>
  <c r="M200" i="126"/>
  <c r="AV200" i="126"/>
  <c r="AJ200" i="126"/>
  <c r="X200" i="126"/>
  <c r="L200" i="126"/>
  <c r="BG200" i="126"/>
  <c r="AU200" i="126"/>
  <c r="AI200" i="126"/>
  <c r="W200" i="126"/>
  <c r="K200" i="126"/>
  <c r="BF200" i="126"/>
  <c r="AT200" i="126"/>
  <c r="AH200" i="126"/>
  <c r="V200" i="126"/>
  <c r="J200" i="126"/>
  <c r="BC200" i="126"/>
  <c r="AQ200" i="126"/>
  <c r="AE200" i="126"/>
  <c r="S200" i="126"/>
  <c r="BD200" i="126"/>
  <c r="AS200" i="126"/>
  <c r="AR200" i="126"/>
  <c r="AG200" i="126"/>
  <c r="AF200" i="126"/>
  <c r="U200" i="126"/>
  <c r="T200" i="126"/>
  <c r="I200" i="126"/>
  <c r="BE200" i="126"/>
  <c r="AZ143" i="126"/>
  <c r="AB151" i="126"/>
  <c r="AU166" i="126"/>
  <c r="AV213" i="126"/>
  <c r="AJ213" i="126"/>
  <c r="AZ213" i="126"/>
  <c r="AM213" i="126"/>
  <c r="Z213" i="126"/>
  <c r="N213" i="126"/>
  <c r="AY213" i="126"/>
  <c r="AL213" i="126"/>
  <c r="Y213" i="126"/>
  <c r="M213" i="126"/>
  <c r="AX213" i="126"/>
  <c r="AK213" i="126"/>
  <c r="X213" i="126"/>
  <c r="L213" i="126"/>
  <c r="AW213" i="126"/>
  <c r="AI213" i="126"/>
  <c r="W213" i="126"/>
  <c r="K213" i="126"/>
  <c r="AU213" i="126"/>
  <c r="AH213" i="126"/>
  <c r="V213" i="126"/>
  <c r="J213" i="126"/>
  <c r="BG213" i="126"/>
  <c r="AT213" i="126"/>
  <c r="AG213" i="126"/>
  <c r="U213" i="126"/>
  <c r="I213" i="126"/>
  <c r="BF213" i="126"/>
  <c r="AS213" i="126"/>
  <c r="AF213" i="126"/>
  <c r="T213" i="126"/>
  <c r="BE213" i="126"/>
  <c r="AR213" i="126"/>
  <c r="AE213" i="126"/>
  <c r="S213" i="126"/>
  <c r="BD213" i="126"/>
  <c r="AQ213" i="126"/>
  <c r="AD213" i="126"/>
  <c r="R213" i="126"/>
  <c r="BA213" i="126"/>
  <c r="AN213" i="126"/>
  <c r="AA213" i="126"/>
  <c r="O213" i="126"/>
  <c r="AC213" i="126"/>
  <c r="AB213" i="126"/>
  <c r="Q213" i="126"/>
  <c r="P213" i="126"/>
  <c r="BC213" i="126"/>
  <c r="AO213" i="126"/>
  <c r="BB213" i="126"/>
  <c r="AP213" i="126"/>
  <c r="AV194" i="126"/>
  <c r="AJ194" i="126"/>
  <c r="X194" i="126"/>
  <c r="L194" i="126"/>
  <c r="BF194" i="126"/>
  <c r="AT194" i="126"/>
  <c r="AH194" i="126"/>
  <c r="V194" i="126"/>
  <c r="J194" i="126"/>
  <c r="BE194" i="126"/>
  <c r="AS194" i="126"/>
  <c r="AG194" i="126"/>
  <c r="U194" i="126"/>
  <c r="I194" i="126"/>
  <c r="BC194" i="126"/>
  <c r="AQ194" i="126"/>
  <c r="AE194" i="126"/>
  <c r="S194" i="126"/>
  <c r="BB194" i="126"/>
  <c r="AL194" i="126"/>
  <c r="R194" i="126"/>
  <c r="BA194" i="126"/>
  <c r="AK194" i="126"/>
  <c r="Q194" i="126"/>
  <c r="AZ194" i="126"/>
  <c r="AI194" i="126"/>
  <c r="P194" i="126"/>
  <c r="AY194" i="126"/>
  <c r="AF194" i="126"/>
  <c r="O194" i="126"/>
  <c r="AX194" i="126"/>
  <c r="AD194" i="126"/>
  <c r="N194" i="126"/>
  <c r="AW194" i="126"/>
  <c r="AC194" i="126"/>
  <c r="M194" i="126"/>
  <c r="AU194" i="126"/>
  <c r="AB194" i="126"/>
  <c r="K194" i="126"/>
  <c r="AR194" i="126"/>
  <c r="AA194" i="126"/>
  <c r="AP194" i="126"/>
  <c r="Z194" i="126"/>
  <c r="AO194" i="126"/>
  <c r="Y194" i="126"/>
  <c r="BG194" i="126"/>
  <c r="BD194" i="126"/>
  <c r="AN194" i="126"/>
  <c r="AM194" i="126"/>
  <c r="W194" i="126"/>
  <c r="T194" i="126"/>
  <c r="AV201" i="126"/>
  <c r="AJ201" i="126"/>
  <c r="X201" i="126"/>
  <c r="L201" i="126"/>
  <c r="BG201" i="126"/>
  <c r="AU201" i="126"/>
  <c r="AI201" i="126"/>
  <c r="W201" i="126"/>
  <c r="K201" i="126"/>
  <c r="BF201" i="126"/>
  <c r="AT201" i="126"/>
  <c r="AH201" i="126"/>
  <c r="V201" i="126"/>
  <c r="J201" i="126"/>
  <c r="BE201" i="126"/>
  <c r="AS201" i="126"/>
  <c r="AG201" i="126"/>
  <c r="U201" i="126"/>
  <c r="I201" i="126"/>
  <c r="BD201" i="126"/>
  <c r="AR201" i="126"/>
  <c r="AF201" i="126"/>
  <c r="T201" i="126"/>
  <c r="BC201" i="126"/>
  <c r="AQ201" i="126"/>
  <c r="AE201" i="126"/>
  <c r="S201" i="126"/>
  <c r="BB201" i="126"/>
  <c r="AP201" i="126"/>
  <c r="AD201" i="126"/>
  <c r="R201" i="126"/>
  <c r="BA201" i="126"/>
  <c r="AO201" i="126"/>
  <c r="AC201" i="126"/>
  <c r="Q201" i="126"/>
  <c r="AZ201" i="126"/>
  <c r="AN201" i="126"/>
  <c r="AB201" i="126"/>
  <c r="P201" i="126"/>
  <c r="AW201" i="126"/>
  <c r="AK201" i="126"/>
  <c r="Y201" i="126"/>
  <c r="M201" i="126"/>
  <c r="Z201" i="126"/>
  <c r="O201" i="126"/>
  <c r="N201" i="126"/>
  <c r="AY201" i="126"/>
  <c r="AX201" i="126"/>
  <c r="AM201" i="126"/>
  <c r="AL201" i="126"/>
  <c r="AA201" i="126"/>
  <c r="CY229" i="126"/>
  <c r="CM229" i="126"/>
  <c r="CA229" i="126"/>
  <c r="DE229" i="126"/>
  <c r="CR229" i="126"/>
  <c r="CE229" i="126"/>
  <c r="BR229" i="126"/>
  <c r="BF229" i="126"/>
  <c r="AT229" i="126"/>
  <c r="AH229" i="126"/>
  <c r="V229" i="126"/>
  <c r="J229" i="126"/>
  <c r="DD229" i="126"/>
  <c r="CQ229" i="126"/>
  <c r="CD229" i="126"/>
  <c r="BQ229" i="126"/>
  <c r="BE229" i="126"/>
  <c r="AS229" i="126"/>
  <c r="AG229" i="126"/>
  <c r="U229" i="126"/>
  <c r="I229" i="126"/>
  <c r="DC229" i="126"/>
  <c r="CP229" i="126"/>
  <c r="CC229" i="126"/>
  <c r="BP229" i="126"/>
  <c r="BD229" i="126"/>
  <c r="AR229" i="126"/>
  <c r="AF229" i="126"/>
  <c r="T229" i="126"/>
  <c r="DB229" i="126"/>
  <c r="CO229" i="126"/>
  <c r="CB229" i="126"/>
  <c r="BO229" i="126"/>
  <c r="BC229" i="126"/>
  <c r="AQ229" i="126"/>
  <c r="AE229" i="126"/>
  <c r="S229" i="126"/>
  <c r="DA229" i="126"/>
  <c r="CN229" i="126"/>
  <c r="BZ229" i="126"/>
  <c r="BN229" i="126"/>
  <c r="BB229" i="126"/>
  <c r="AP229" i="126"/>
  <c r="AD229" i="126"/>
  <c r="R229" i="126"/>
  <c r="CZ229" i="126"/>
  <c r="CL229" i="126"/>
  <c r="BY229" i="126"/>
  <c r="BM229" i="126"/>
  <c r="BA229" i="126"/>
  <c r="AO229" i="126"/>
  <c r="AC229" i="126"/>
  <c r="Q229" i="126"/>
  <c r="CX229" i="126"/>
  <c r="CK229" i="126"/>
  <c r="BX229" i="126"/>
  <c r="BL229" i="126"/>
  <c r="AZ229" i="126"/>
  <c r="AN229" i="126"/>
  <c r="AB229" i="126"/>
  <c r="P229" i="126"/>
  <c r="CW229" i="126"/>
  <c r="CJ229" i="126"/>
  <c r="BW229" i="126"/>
  <c r="BK229" i="126"/>
  <c r="AY229" i="126"/>
  <c r="AM229" i="126"/>
  <c r="AA229" i="126"/>
  <c r="O229" i="126"/>
  <c r="CV229" i="126"/>
  <c r="CI229" i="126"/>
  <c r="BV229" i="126"/>
  <c r="BJ229" i="126"/>
  <c r="AX229" i="126"/>
  <c r="AL229" i="126"/>
  <c r="Z229" i="126"/>
  <c r="N229" i="126"/>
  <c r="CU229" i="126"/>
  <c r="CH229" i="126"/>
  <c r="BU229" i="126"/>
  <c r="BI229" i="126"/>
  <c r="AW229" i="126"/>
  <c r="AK229" i="126"/>
  <c r="Y229" i="126"/>
  <c r="M229" i="126"/>
  <c r="CG229" i="126"/>
  <c r="L229" i="126"/>
  <c r="CF229" i="126"/>
  <c r="K229" i="126"/>
  <c r="BT229" i="126"/>
  <c r="BS229" i="126"/>
  <c r="BH229" i="126"/>
  <c r="BG229" i="126"/>
  <c r="AV229" i="126"/>
  <c r="AU229" i="126"/>
  <c r="DG229" i="126"/>
  <c r="AJ229" i="126"/>
  <c r="CS229" i="126"/>
  <c r="W229" i="126"/>
  <c r="AI229" i="126"/>
  <c r="X229" i="126"/>
  <c r="CT229" i="126"/>
  <c r="DF229" i="126"/>
  <c r="P109" i="126"/>
  <c r="P110" i="126" s="1"/>
  <c r="P111" i="126" s="1"/>
  <c r="P112" i="126" s="1"/>
  <c r="P113" i="126" s="1"/>
  <c r="CY245" i="126"/>
  <c r="CM245" i="126"/>
  <c r="CA245" i="126"/>
  <c r="BO245" i="126"/>
  <c r="BC245" i="126"/>
  <c r="AQ245" i="126"/>
  <c r="AE245" i="126"/>
  <c r="S245" i="126"/>
  <c r="CX245" i="126"/>
  <c r="CL245" i="126"/>
  <c r="BZ245" i="126"/>
  <c r="BN245" i="126"/>
  <c r="BB245" i="126"/>
  <c r="AP245" i="126"/>
  <c r="AD245" i="126"/>
  <c r="R245" i="126"/>
  <c r="CW245" i="126"/>
  <c r="CK245" i="126"/>
  <c r="BY245" i="126"/>
  <c r="BM245" i="126"/>
  <c r="BA245" i="126"/>
  <c r="AO245" i="126"/>
  <c r="AC245" i="126"/>
  <c r="Q245" i="126"/>
  <c r="CV245" i="126"/>
  <c r="CJ245" i="126"/>
  <c r="BX245" i="126"/>
  <c r="BL245" i="126"/>
  <c r="AZ245" i="126"/>
  <c r="AN245" i="126"/>
  <c r="AB245" i="126"/>
  <c r="P245" i="126"/>
  <c r="DG245" i="126"/>
  <c r="CU245" i="126"/>
  <c r="CI245" i="126"/>
  <c r="BW245" i="126"/>
  <c r="BK245" i="126"/>
  <c r="AY245" i="126"/>
  <c r="AM245" i="126"/>
  <c r="AA245" i="126"/>
  <c r="O245" i="126"/>
  <c r="DF245" i="126"/>
  <c r="CT245" i="126"/>
  <c r="CH245" i="126"/>
  <c r="BV245" i="126"/>
  <c r="BJ245" i="126"/>
  <c r="AX245" i="126"/>
  <c r="AL245" i="126"/>
  <c r="Z245" i="126"/>
  <c r="N245" i="126"/>
  <c r="DE245" i="126"/>
  <c r="CS245" i="126"/>
  <c r="CG245" i="126"/>
  <c r="BU245" i="126"/>
  <c r="BI245" i="126"/>
  <c r="AW245" i="126"/>
  <c r="AK245" i="126"/>
  <c r="Y245" i="126"/>
  <c r="M245" i="126"/>
  <c r="DC245" i="126"/>
  <c r="CQ245" i="126"/>
  <c r="CE245" i="126"/>
  <c r="BS245" i="126"/>
  <c r="BG245" i="126"/>
  <c r="AU245" i="126"/>
  <c r="AI245" i="126"/>
  <c r="W245" i="126"/>
  <c r="K245" i="126"/>
  <c r="CZ245" i="126"/>
  <c r="CN245" i="126"/>
  <c r="CB245" i="126"/>
  <c r="BP245" i="126"/>
  <c r="BD245" i="126"/>
  <c r="AR245" i="126"/>
  <c r="AF245" i="126"/>
  <c r="T245" i="126"/>
  <c r="CF245" i="126"/>
  <c r="AJ245" i="126"/>
  <c r="CD245" i="126"/>
  <c r="AH245" i="126"/>
  <c r="CC245" i="126"/>
  <c r="AG245" i="126"/>
  <c r="BT245" i="126"/>
  <c r="X245" i="126"/>
  <c r="BR245" i="126"/>
  <c r="V245" i="126"/>
  <c r="BQ245" i="126"/>
  <c r="U245" i="126"/>
  <c r="DD245" i="126"/>
  <c r="BH245" i="126"/>
  <c r="L245" i="126"/>
  <c r="DB245" i="126"/>
  <c r="BF245" i="126"/>
  <c r="J245" i="126"/>
  <c r="DA245" i="126"/>
  <c r="BE245" i="126"/>
  <c r="I245" i="126"/>
  <c r="CR245" i="126"/>
  <c r="AV245" i="126"/>
  <c r="CP245" i="126"/>
  <c r="CO245" i="126"/>
  <c r="AT245" i="126"/>
  <c r="AS245" i="126"/>
  <c r="R142" i="126"/>
  <c r="Y145" i="126"/>
  <c r="K169" i="126"/>
  <c r="AD142" i="126"/>
  <c r="AM145" i="126"/>
  <c r="O147" i="126"/>
  <c r="CY190" i="126"/>
  <c r="CM190" i="126"/>
  <c r="CA190" i="126"/>
  <c r="BO190" i="126"/>
  <c r="BC190" i="126"/>
  <c r="AQ190" i="126"/>
  <c r="AE190" i="126"/>
  <c r="S190" i="126"/>
  <c r="DD189" i="126"/>
  <c r="CR189" i="126"/>
  <c r="CF189" i="126"/>
  <c r="BT189" i="126"/>
  <c r="BH189" i="126"/>
  <c r="AV189" i="126"/>
  <c r="AJ189" i="126"/>
  <c r="X189" i="126"/>
  <c r="L189" i="126"/>
  <c r="AX188" i="126"/>
  <c r="CX168" i="126" s="1"/>
  <c r="AL188" i="126"/>
  <c r="Z188" i="126"/>
  <c r="N188" i="126"/>
  <c r="AY187" i="126"/>
  <c r="AM187" i="126"/>
  <c r="AA187" i="126"/>
  <c r="O187" i="126"/>
  <c r="CW190" i="126"/>
  <c r="CK190" i="126"/>
  <c r="BY190" i="126"/>
  <c r="BM190" i="126"/>
  <c r="BA190" i="126"/>
  <c r="AO190" i="126"/>
  <c r="AC190" i="126"/>
  <c r="Q190" i="126"/>
  <c r="DB189" i="126"/>
  <c r="CP189" i="126"/>
  <c r="CV190" i="126"/>
  <c r="CJ190" i="126"/>
  <c r="BX190" i="126"/>
  <c r="BL190" i="126"/>
  <c r="AZ190" i="126"/>
  <c r="AN190" i="126"/>
  <c r="AB190" i="126"/>
  <c r="P190" i="126"/>
  <c r="DA189" i="126"/>
  <c r="CO189" i="126"/>
  <c r="CC189" i="126"/>
  <c r="BQ189" i="126"/>
  <c r="BE189" i="126"/>
  <c r="AS189" i="126"/>
  <c r="AG189" i="126"/>
  <c r="U189" i="126"/>
  <c r="BG188" i="126"/>
  <c r="AU188" i="126"/>
  <c r="AI188" i="126"/>
  <c r="CI168" i="126" s="1"/>
  <c r="DF190" i="126"/>
  <c r="CT190" i="126"/>
  <c r="CH190" i="126"/>
  <c r="BV190" i="126"/>
  <c r="BJ190" i="126"/>
  <c r="AX190" i="126"/>
  <c r="AL190" i="126"/>
  <c r="Z190" i="126"/>
  <c r="N190" i="126"/>
  <c r="CY189" i="126"/>
  <c r="DA190" i="126"/>
  <c r="CG190" i="126"/>
  <c r="BQ190" i="126"/>
  <c r="AW190" i="126"/>
  <c r="AG190" i="126"/>
  <c r="M190" i="126"/>
  <c r="CT189" i="126"/>
  <c r="CD189" i="126"/>
  <c r="BO189" i="126"/>
  <c r="BA189" i="126"/>
  <c r="AM189" i="126"/>
  <c r="Y189" i="126"/>
  <c r="AY188" i="126"/>
  <c r="AJ188" i="126"/>
  <c r="CJ168" i="126" s="1"/>
  <c r="V188" i="126"/>
  <c r="BF187" i="126"/>
  <c r="AS187" i="126"/>
  <c r="AF187" i="126"/>
  <c r="S187" i="126"/>
  <c r="BC186" i="126"/>
  <c r="AQ186" i="126"/>
  <c r="AE186" i="126"/>
  <c r="S186" i="126"/>
  <c r="DD185" i="126"/>
  <c r="CR185" i="126"/>
  <c r="CF185" i="126"/>
  <c r="BT185" i="126"/>
  <c r="BH185" i="126"/>
  <c r="AV185" i="126"/>
  <c r="AJ185" i="126"/>
  <c r="X185" i="126"/>
  <c r="L185" i="126"/>
  <c r="AX184" i="126"/>
  <c r="AL184" i="126"/>
  <c r="Z184" i="126"/>
  <c r="N184" i="126"/>
  <c r="AZ183" i="126"/>
  <c r="AN183" i="126"/>
  <c r="AB183" i="126"/>
  <c r="P183" i="126"/>
  <c r="BB182" i="126"/>
  <c r="AP182" i="126"/>
  <c r="AD182" i="126"/>
  <c r="R182" i="126"/>
  <c r="DC181" i="126"/>
  <c r="CQ181" i="126"/>
  <c r="CE181" i="126"/>
  <c r="BS181" i="126"/>
  <c r="BG181" i="126"/>
  <c r="AU181" i="126"/>
  <c r="AI181" i="126"/>
  <c r="W181" i="126"/>
  <c r="K181" i="126"/>
  <c r="CV180" i="126"/>
  <c r="CJ180" i="126"/>
  <c r="BX180" i="126"/>
  <c r="BL180" i="126"/>
  <c r="AZ180" i="126"/>
  <c r="AN180" i="126"/>
  <c r="AB180" i="126"/>
  <c r="P180" i="126"/>
  <c r="DA179" i="126"/>
  <c r="CO179" i="126"/>
  <c r="CC179" i="126"/>
  <c r="BQ179" i="126"/>
  <c r="BE179" i="126"/>
  <c r="AS179" i="126"/>
  <c r="AG179" i="126"/>
  <c r="U179" i="126"/>
  <c r="DF178" i="126"/>
  <c r="CT178" i="126"/>
  <c r="CH178" i="126"/>
  <c r="BV178" i="126"/>
  <c r="BJ178" i="126"/>
  <c r="AX178" i="126"/>
  <c r="AL178" i="126"/>
  <c r="Z178" i="126"/>
  <c r="CZ190" i="126"/>
  <c r="CF190" i="126"/>
  <c r="BP190" i="126"/>
  <c r="AV190" i="126"/>
  <c r="AF190" i="126"/>
  <c r="L190" i="126"/>
  <c r="CS189" i="126"/>
  <c r="CB189" i="126"/>
  <c r="BN189" i="126"/>
  <c r="AZ189" i="126"/>
  <c r="AL189" i="126"/>
  <c r="W189" i="126"/>
  <c r="AW188" i="126"/>
  <c r="AH188" i="126"/>
  <c r="U188" i="126"/>
  <c r="BE187" i="126"/>
  <c r="AR187" i="126"/>
  <c r="AE187" i="126"/>
  <c r="R187" i="126"/>
  <c r="BB186" i="126"/>
  <c r="AP186" i="126"/>
  <c r="AD186" i="126"/>
  <c r="R186" i="126"/>
  <c r="DC185" i="126"/>
  <c r="CQ185" i="126"/>
  <c r="CE185" i="126"/>
  <c r="BS185" i="126"/>
  <c r="BG185" i="126"/>
  <c r="AU185" i="126"/>
  <c r="AI185" i="126"/>
  <c r="W185" i="126"/>
  <c r="K185" i="126"/>
  <c r="AW184" i="126"/>
  <c r="AK184" i="126"/>
  <c r="Y184" i="126"/>
  <c r="M184" i="126"/>
  <c r="AY183" i="126"/>
  <c r="AM183" i="126"/>
  <c r="AA183" i="126"/>
  <c r="O183" i="126"/>
  <c r="CX190" i="126"/>
  <c r="CE190" i="126"/>
  <c r="BN190" i="126"/>
  <c r="AU190" i="126"/>
  <c r="AD190" i="126"/>
  <c r="K190" i="126"/>
  <c r="CQ189" i="126"/>
  <c r="CA189" i="126"/>
  <c r="BM189" i="126"/>
  <c r="AY189" i="126"/>
  <c r="AK189" i="126"/>
  <c r="V189" i="126"/>
  <c r="AV188" i="126"/>
  <c r="AG188" i="126"/>
  <c r="T188" i="126"/>
  <c r="BD187" i="126"/>
  <c r="AQ187" i="126"/>
  <c r="AD187" i="126"/>
  <c r="Q187" i="126"/>
  <c r="BA186" i="126"/>
  <c r="AO186" i="126"/>
  <c r="AC186" i="126"/>
  <c r="Q186" i="126"/>
  <c r="DB185" i="126"/>
  <c r="CP185" i="126"/>
  <c r="CD185" i="126"/>
  <c r="BR185" i="126"/>
  <c r="BF185" i="126"/>
  <c r="AT185" i="126"/>
  <c r="AH185" i="126"/>
  <c r="V185" i="126"/>
  <c r="AV184" i="126"/>
  <c r="AJ184" i="126"/>
  <c r="X184" i="126"/>
  <c r="L184" i="126"/>
  <c r="AX183" i="126"/>
  <c r="AL183" i="126"/>
  <c r="Z183" i="126"/>
  <c r="N183" i="126"/>
  <c r="AZ182" i="126"/>
  <c r="CU190" i="126"/>
  <c r="CD190" i="126"/>
  <c r="BK190" i="126"/>
  <c r="AT190" i="126"/>
  <c r="AA190" i="126"/>
  <c r="DG189" i="126"/>
  <c r="CN189" i="126"/>
  <c r="BZ189" i="126"/>
  <c r="BL189" i="126"/>
  <c r="AX189" i="126"/>
  <c r="AI189" i="126"/>
  <c r="T189" i="126"/>
  <c r="AT188" i="126"/>
  <c r="CT168" i="126" s="1"/>
  <c r="AF188" i="126"/>
  <c r="S188" i="126"/>
  <c r="BC187" i="126"/>
  <c r="AP187" i="126"/>
  <c r="AC187" i="126"/>
  <c r="P187" i="126"/>
  <c r="AZ186" i="126"/>
  <c r="AN186" i="126"/>
  <c r="AB186" i="126"/>
  <c r="P186" i="126"/>
  <c r="DA185" i="126"/>
  <c r="CO185" i="126"/>
  <c r="CC185" i="126"/>
  <c r="BQ185" i="126"/>
  <c r="BE185" i="126"/>
  <c r="AS185" i="126"/>
  <c r="AG185" i="126"/>
  <c r="U185" i="126"/>
  <c r="BG184" i="126"/>
  <c r="AU184" i="126"/>
  <c r="AI184" i="126"/>
  <c r="W184" i="126"/>
  <c r="K184" i="126"/>
  <c r="AW183" i="126"/>
  <c r="AK183" i="126"/>
  <c r="Y183" i="126"/>
  <c r="M183" i="126"/>
  <c r="AY182" i="126"/>
  <c r="AM182" i="126"/>
  <c r="AA182" i="126"/>
  <c r="O182" i="126"/>
  <c r="CZ181" i="126"/>
  <c r="CN181" i="126"/>
  <c r="CB181" i="126"/>
  <c r="BP181" i="126"/>
  <c r="BD181" i="126"/>
  <c r="AR181" i="126"/>
  <c r="AF181" i="126"/>
  <c r="T181" i="126"/>
  <c r="DE180" i="126"/>
  <c r="CS180" i="126"/>
  <c r="CG180" i="126"/>
  <c r="BU180" i="126"/>
  <c r="BI180" i="126"/>
  <c r="AW180" i="126"/>
  <c r="AK180" i="126"/>
  <c r="Y180" i="126"/>
  <c r="M180" i="126"/>
  <c r="CX179" i="126"/>
  <c r="CL179" i="126"/>
  <c r="BZ179" i="126"/>
  <c r="BN179" i="126"/>
  <c r="BB179" i="126"/>
  <c r="AP179" i="126"/>
  <c r="AD179" i="126"/>
  <c r="R179" i="126"/>
  <c r="CS190" i="126"/>
  <c r="CC190" i="126"/>
  <c r="BI190" i="126"/>
  <c r="AS190" i="126"/>
  <c r="Y190" i="126"/>
  <c r="DF189" i="126"/>
  <c r="CM189" i="126"/>
  <c r="BY189" i="126"/>
  <c r="BK189" i="126"/>
  <c r="AW189" i="126"/>
  <c r="AH189" i="126"/>
  <c r="S189" i="126"/>
  <c r="AS188" i="126"/>
  <c r="AE188" i="126"/>
  <c r="R188" i="126"/>
  <c r="BB187" i="126"/>
  <c r="AO187" i="126"/>
  <c r="AB187" i="126"/>
  <c r="N187" i="126"/>
  <c r="AY186" i="126"/>
  <c r="AM186" i="126"/>
  <c r="AA186" i="126"/>
  <c r="O186" i="126"/>
  <c r="CZ185" i="126"/>
  <c r="CN185" i="126"/>
  <c r="CB185" i="126"/>
  <c r="BP185" i="126"/>
  <c r="BD185" i="126"/>
  <c r="AR185" i="126"/>
  <c r="AF185" i="126"/>
  <c r="T185" i="126"/>
  <c r="BF184" i="126"/>
  <c r="AT184" i="126"/>
  <c r="AH184" i="126"/>
  <c r="V184" i="126"/>
  <c r="AV183" i="126"/>
  <c r="AJ183" i="126"/>
  <c r="X183" i="126"/>
  <c r="L183" i="126"/>
  <c r="CR190" i="126"/>
  <c r="CB190" i="126"/>
  <c r="BH190" i="126"/>
  <c r="AR190" i="126"/>
  <c r="X190" i="126"/>
  <c r="DE189" i="126"/>
  <c r="CL189" i="126"/>
  <c r="BX189" i="126"/>
  <c r="BJ189" i="126"/>
  <c r="AU189" i="126"/>
  <c r="AF189" i="126"/>
  <c r="R189" i="126"/>
  <c r="BF188" i="126"/>
  <c r="DF168" i="126" s="1"/>
  <c r="AR188" i="126"/>
  <c r="AD188" i="126"/>
  <c r="Q188" i="126"/>
  <c r="BA187" i="126"/>
  <c r="AN187" i="126"/>
  <c r="Z187" i="126"/>
  <c r="M187" i="126"/>
  <c r="AX186" i="126"/>
  <c r="AL186" i="126"/>
  <c r="Z186" i="126"/>
  <c r="N186" i="126"/>
  <c r="CY185" i="126"/>
  <c r="CM185" i="126"/>
  <c r="CA185" i="126"/>
  <c r="BO185" i="126"/>
  <c r="BC185" i="126"/>
  <c r="AQ185" i="126"/>
  <c r="AE185" i="126"/>
  <c r="S185" i="126"/>
  <c r="BE184" i="126"/>
  <c r="AS184" i="126"/>
  <c r="AG184" i="126"/>
  <c r="U184" i="126"/>
  <c r="BG183" i="126"/>
  <c r="AU183" i="126"/>
  <c r="AI183" i="126"/>
  <c r="W183" i="126"/>
  <c r="K183" i="126"/>
  <c r="AW182" i="126"/>
  <c r="AK182" i="126"/>
  <c r="Y182" i="126"/>
  <c r="M182" i="126"/>
  <c r="CX181" i="126"/>
  <c r="CL181" i="126"/>
  <c r="BZ181" i="126"/>
  <c r="BN181" i="126"/>
  <c r="BB181" i="126"/>
  <c r="AP181" i="126"/>
  <c r="AD181" i="126"/>
  <c r="R181" i="126"/>
  <c r="DC180" i="126"/>
  <c r="CQ180" i="126"/>
  <c r="CE180" i="126"/>
  <c r="BS180" i="126"/>
  <c r="BG180" i="126"/>
  <c r="AU180" i="126"/>
  <c r="AI180" i="126"/>
  <c r="W180" i="126"/>
  <c r="K180" i="126"/>
  <c r="CV179" i="126"/>
  <c r="CJ179" i="126"/>
  <c r="BX179" i="126"/>
  <c r="BL179" i="126"/>
  <c r="AZ179" i="126"/>
  <c r="AN179" i="126"/>
  <c r="AB179" i="126"/>
  <c r="P179" i="126"/>
  <c r="DA178" i="126"/>
  <c r="CO178" i="126"/>
  <c r="CQ190" i="126"/>
  <c r="BZ190" i="126"/>
  <c r="BG190" i="126"/>
  <c r="AP190" i="126"/>
  <c r="W190" i="126"/>
  <c r="DC189" i="126"/>
  <c r="CK189" i="126"/>
  <c r="BW189" i="126"/>
  <c r="BI189" i="126"/>
  <c r="AT189" i="126"/>
  <c r="AE189" i="126"/>
  <c r="Q189" i="126"/>
  <c r="BE188" i="126"/>
  <c r="DE168" i="126" s="1"/>
  <c r="AQ188" i="126"/>
  <c r="AC188" i="126"/>
  <c r="P188" i="126"/>
  <c r="AZ187" i="126"/>
  <c r="AL187" i="126"/>
  <c r="Y187" i="126"/>
  <c r="L187" i="126"/>
  <c r="AW186" i="126"/>
  <c r="AK186" i="126"/>
  <c r="Y186" i="126"/>
  <c r="M186" i="126"/>
  <c r="CX185" i="126"/>
  <c r="CL185" i="126"/>
  <c r="BZ185" i="126"/>
  <c r="BN185" i="126"/>
  <c r="BB185" i="126"/>
  <c r="AP185" i="126"/>
  <c r="AD185" i="126"/>
  <c r="R185" i="126"/>
  <c r="BD184" i="126"/>
  <c r="AR184" i="126"/>
  <c r="AF184" i="126"/>
  <c r="T184" i="126"/>
  <c r="BF183" i="126"/>
  <c r="AT183" i="126"/>
  <c r="AH183" i="126"/>
  <c r="V183" i="126"/>
  <c r="AV182" i="126"/>
  <c r="DG190" i="126"/>
  <c r="CP190" i="126"/>
  <c r="BW190" i="126"/>
  <c r="BF190" i="126"/>
  <c r="AM190" i="126"/>
  <c r="V190" i="126"/>
  <c r="CZ189" i="126"/>
  <c r="CJ189" i="126"/>
  <c r="BV189" i="126"/>
  <c r="BG189" i="126"/>
  <c r="AR189" i="126"/>
  <c r="AD189" i="126"/>
  <c r="P189" i="126"/>
  <c r="BD188" i="126"/>
  <c r="AP188" i="126"/>
  <c r="AB188" i="126"/>
  <c r="O188" i="126"/>
  <c r="AX187" i="126"/>
  <c r="AK187" i="126"/>
  <c r="X187" i="126"/>
  <c r="K187" i="126"/>
  <c r="AV186" i="126"/>
  <c r="AJ186" i="126"/>
  <c r="X186" i="126"/>
  <c r="L186" i="126"/>
  <c r="CW185" i="126"/>
  <c r="CK185" i="126"/>
  <c r="BY185" i="126"/>
  <c r="BM185" i="126"/>
  <c r="BA185" i="126"/>
  <c r="AO185" i="126"/>
  <c r="AC185" i="126"/>
  <c r="Q185" i="126"/>
  <c r="BC184" i="126"/>
  <c r="AQ184" i="126"/>
  <c r="AE184" i="126"/>
  <c r="S184" i="126"/>
  <c r="BE183" i="126"/>
  <c r="AS183" i="126"/>
  <c r="DE190" i="126"/>
  <c r="CO190" i="126"/>
  <c r="BU190" i="126"/>
  <c r="BE190" i="126"/>
  <c r="AK190" i="126"/>
  <c r="U190" i="126"/>
  <c r="CX189" i="126"/>
  <c r="CI189" i="126"/>
  <c r="BU189" i="126"/>
  <c r="BF189" i="126"/>
  <c r="AQ189" i="126"/>
  <c r="AC189" i="126"/>
  <c r="O189" i="126"/>
  <c r="BC188" i="126"/>
  <c r="AO188" i="126"/>
  <c r="AA188" i="126"/>
  <c r="M188" i="126"/>
  <c r="BM168" i="126" s="1"/>
  <c r="AW187" i="126"/>
  <c r="AJ187" i="126"/>
  <c r="W187" i="126"/>
  <c r="BG186" i="126"/>
  <c r="AU186" i="126"/>
  <c r="AI186" i="126"/>
  <c r="W186" i="126"/>
  <c r="K186" i="126"/>
  <c r="CV185" i="126"/>
  <c r="CJ185" i="126"/>
  <c r="BX185" i="126"/>
  <c r="BL185" i="126"/>
  <c r="AZ185" i="126"/>
  <c r="AN185" i="126"/>
  <c r="AB185" i="126"/>
  <c r="P185" i="126"/>
  <c r="BB184" i="126"/>
  <c r="AP184" i="126"/>
  <c r="AD184" i="126"/>
  <c r="R184" i="126"/>
  <c r="BD183" i="126"/>
  <c r="AR183" i="126"/>
  <c r="AF183" i="126"/>
  <c r="T183" i="126"/>
  <c r="DD190" i="126"/>
  <c r="CN190" i="126"/>
  <c r="BT190" i="126"/>
  <c r="BD190" i="126"/>
  <c r="AJ190" i="126"/>
  <c r="T190" i="126"/>
  <c r="CW189" i="126"/>
  <c r="CH189" i="126"/>
  <c r="BS189" i="126"/>
  <c r="BD189" i="126"/>
  <c r="AP189" i="126"/>
  <c r="AB189" i="126"/>
  <c r="N189" i="126"/>
  <c r="BB188" i="126"/>
  <c r="AN188" i="126"/>
  <c r="Y188" i="126"/>
  <c r="L188" i="126"/>
  <c r="AV187" i="126"/>
  <c r="AI187" i="126"/>
  <c r="V187" i="126"/>
  <c r="BF186" i="126"/>
  <c r="AT186" i="126"/>
  <c r="AH186" i="126"/>
  <c r="V186" i="126"/>
  <c r="DG185" i="126"/>
  <c r="CU185" i="126"/>
  <c r="CI185" i="126"/>
  <c r="BW185" i="126"/>
  <c r="BK185" i="126"/>
  <c r="AY185" i="126"/>
  <c r="AM185" i="126"/>
  <c r="AA185" i="126"/>
  <c r="O185" i="126"/>
  <c r="BA184" i="126"/>
  <c r="AO184" i="126"/>
  <c r="AC184" i="126"/>
  <c r="Q184" i="126"/>
  <c r="BC183" i="126"/>
  <c r="AQ183" i="126"/>
  <c r="AE183" i="126"/>
  <c r="S183" i="126"/>
  <c r="BE182" i="126"/>
  <c r="AS182" i="126"/>
  <c r="AG182" i="126"/>
  <c r="U182" i="126"/>
  <c r="DF181" i="126"/>
  <c r="CT181" i="126"/>
  <c r="CH181" i="126"/>
  <c r="CL190" i="126"/>
  <c r="CG189" i="126"/>
  <c r="K188" i="126"/>
  <c r="AG186" i="126"/>
  <c r="BJ185" i="126"/>
  <c r="P184" i="126"/>
  <c r="AP183" i="126"/>
  <c r="BC182" i="126"/>
  <c r="AH182" i="126"/>
  <c r="P182" i="126"/>
  <c r="CU181" i="126"/>
  <c r="CC181" i="126"/>
  <c r="BL181" i="126"/>
  <c r="AW181" i="126"/>
  <c r="AG181" i="126"/>
  <c r="P181" i="126"/>
  <c r="CX180" i="126"/>
  <c r="CH180" i="126"/>
  <c r="BQ180" i="126"/>
  <c r="BB180" i="126"/>
  <c r="AL180" i="126"/>
  <c r="U180" i="126"/>
  <c r="DC179" i="126"/>
  <c r="CM179" i="126"/>
  <c r="BV179" i="126"/>
  <c r="BG179" i="126"/>
  <c r="AQ179" i="126"/>
  <c r="Z179" i="126"/>
  <c r="K179" i="126"/>
  <c r="CS178" i="126"/>
  <c r="CE178" i="126"/>
  <c r="BR178" i="126"/>
  <c r="BE178" i="126"/>
  <c r="AR178" i="126"/>
  <c r="AE178" i="126"/>
  <c r="R178" i="126"/>
  <c r="BC177" i="126"/>
  <c r="AQ177" i="126"/>
  <c r="AE177" i="126"/>
  <c r="S177" i="126"/>
  <c r="BD176" i="126"/>
  <c r="AR176" i="126"/>
  <c r="AF176" i="126"/>
  <c r="T176" i="126"/>
  <c r="BE175" i="126"/>
  <c r="AS175" i="126"/>
  <c r="AG175" i="126"/>
  <c r="U175" i="126"/>
  <c r="BF174" i="126"/>
  <c r="AT174" i="126"/>
  <c r="AH174" i="126"/>
  <c r="V174" i="126"/>
  <c r="BG173" i="126"/>
  <c r="AU173" i="126"/>
  <c r="AI173" i="126"/>
  <c r="W173" i="126"/>
  <c r="K173" i="126"/>
  <c r="CV172" i="126"/>
  <c r="CJ172" i="126"/>
  <c r="BX172" i="126"/>
  <c r="BL172" i="126"/>
  <c r="AZ172" i="126"/>
  <c r="AN172" i="126"/>
  <c r="AB172" i="126"/>
  <c r="P172" i="126"/>
  <c r="DA171" i="126"/>
  <c r="CO171" i="126"/>
  <c r="CC171" i="126"/>
  <c r="BQ171" i="126"/>
  <c r="BE171" i="126"/>
  <c r="AS171" i="126"/>
  <c r="AG171" i="126"/>
  <c r="U171" i="126"/>
  <c r="BG170" i="126"/>
  <c r="AU170" i="126"/>
  <c r="AI170" i="126"/>
  <c r="W170" i="126"/>
  <c r="K170" i="126"/>
  <c r="CV169" i="126"/>
  <c r="CJ169" i="126"/>
  <c r="BX169" i="126"/>
  <c r="BL169" i="126"/>
  <c r="AZ169" i="126"/>
  <c r="AN169" i="126"/>
  <c r="AB169" i="126"/>
  <c r="P169" i="126"/>
  <c r="BB168" i="126"/>
  <c r="AP168" i="126"/>
  <c r="AD168" i="126"/>
  <c r="R168" i="126"/>
  <c r="BD167" i="126"/>
  <c r="AR167" i="126"/>
  <c r="AF167" i="126"/>
  <c r="T167" i="126"/>
  <c r="BF166" i="126"/>
  <c r="AT166" i="126"/>
  <c r="CT158" i="126" s="1"/>
  <c r="AH166" i="126"/>
  <c r="V166" i="126"/>
  <c r="BG165" i="126"/>
  <c r="AU165" i="126"/>
  <c r="AI165" i="126"/>
  <c r="W165" i="126"/>
  <c r="K165" i="126"/>
  <c r="AV164" i="126"/>
  <c r="AJ164" i="126"/>
  <c r="X164" i="126"/>
  <c r="L164" i="126"/>
  <c r="AX163" i="126"/>
  <c r="CX156" i="126" s="1"/>
  <c r="AL163" i="126"/>
  <c r="Z163" i="126"/>
  <c r="N163" i="126"/>
  <c r="CI190" i="126"/>
  <c r="CE189" i="126"/>
  <c r="BG187" i="126"/>
  <c r="AF186" i="126"/>
  <c r="BI185" i="126"/>
  <c r="O184" i="126"/>
  <c r="AO183" i="126"/>
  <c r="BA182" i="126"/>
  <c r="AF182" i="126"/>
  <c r="N182" i="126"/>
  <c r="CS181" i="126"/>
  <c r="CA181" i="126"/>
  <c r="BK181" i="126"/>
  <c r="AV181" i="126"/>
  <c r="AE181" i="126"/>
  <c r="O181" i="126"/>
  <c r="CW180" i="126"/>
  <c r="CF180" i="126"/>
  <c r="BP180" i="126"/>
  <c r="BA180" i="126"/>
  <c r="AJ180" i="126"/>
  <c r="T180" i="126"/>
  <c r="DB179" i="126"/>
  <c r="CK179" i="126"/>
  <c r="BU179" i="126"/>
  <c r="BF179" i="126"/>
  <c r="AO179" i="126"/>
  <c r="Y179" i="126"/>
  <c r="DG178" i="126"/>
  <c r="CR178" i="126"/>
  <c r="CD178" i="126"/>
  <c r="BQ178" i="126"/>
  <c r="BD178" i="126"/>
  <c r="AQ178" i="126"/>
  <c r="AD178" i="126"/>
  <c r="Q178" i="126"/>
  <c r="BB177" i="126"/>
  <c r="AP177" i="126"/>
  <c r="AD177" i="126"/>
  <c r="R177" i="126"/>
  <c r="BC176" i="126"/>
  <c r="AQ176" i="126"/>
  <c r="AE176" i="126"/>
  <c r="S176" i="126"/>
  <c r="BD175" i="126"/>
  <c r="AR175" i="126"/>
  <c r="AF175" i="126"/>
  <c r="T175" i="126"/>
  <c r="BE174" i="126"/>
  <c r="AS174" i="126"/>
  <c r="AG174" i="126"/>
  <c r="U174" i="126"/>
  <c r="BF173" i="126"/>
  <c r="AT173" i="126"/>
  <c r="AH173" i="126"/>
  <c r="V173" i="126"/>
  <c r="DG172" i="126"/>
  <c r="CU172" i="126"/>
  <c r="CI172" i="126"/>
  <c r="BW172" i="126"/>
  <c r="BK172" i="126"/>
  <c r="AY172" i="126"/>
  <c r="AM172" i="126"/>
  <c r="AA172" i="126"/>
  <c r="O172" i="126"/>
  <c r="CZ171" i="126"/>
  <c r="CN171" i="126"/>
  <c r="CB171" i="126"/>
  <c r="BP171" i="126"/>
  <c r="BD171" i="126"/>
  <c r="AR171" i="126"/>
  <c r="AF171" i="126"/>
  <c r="T171" i="126"/>
  <c r="BF170" i="126"/>
  <c r="AT170" i="126"/>
  <c r="AH170" i="126"/>
  <c r="BS190" i="126"/>
  <c r="BR189" i="126"/>
  <c r="AU187" i="126"/>
  <c r="U186" i="126"/>
  <c r="AX185" i="126"/>
  <c r="AG183" i="126"/>
  <c r="AX182" i="126"/>
  <c r="AE182" i="126"/>
  <c r="L182" i="126"/>
  <c r="CR181" i="126"/>
  <c r="BY181" i="126"/>
  <c r="BJ181" i="126"/>
  <c r="AT181" i="126"/>
  <c r="AC181" i="126"/>
  <c r="N181" i="126"/>
  <c r="CU180" i="126"/>
  <c r="CD180" i="126"/>
  <c r="BO180" i="126"/>
  <c r="AY180" i="126"/>
  <c r="AH180" i="126"/>
  <c r="S180" i="126"/>
  <c r="CZ179" i="126"/>
  <c r="CI179" i="126"/>
  <c r="BT179" i="126"/>
  <c r="BD179" i="126"/>
  <c r="AM179" i="126"/>
  <c r="X179" i="126"/>
  <c r="DE178" i="126"/>
  <c r="CQ178" i="126"/>
  <c r="CC178" i="126"/>
  <c r="BP178" i="126"/>
  <c r="BC178" i="126"/>
  <c r="AP178" i="126"/>
  <c r="AC178" i="126"/>
  <c r="P178" i="126"/>
  <c r="BA177" i="126"/>
  <c r="AO177" i="126"/>
  <c r="AC177" i="126"/>
  <c r="Q177" i="126"/>
  <c r="BB176" i="126"/>
  <c r="AP176" i="126"/>
  <c r="AD176" i="126"/>
  <c r="R176" i="126"/>
  <c r="BC175" i="126"/>
  <c r="AQ175" i="126"/>
  <c r="AE175" i="126"/>
  <c r="S175" i="126"/>
  <c r="BD174" i="126"/>
  <c r="AR174" i="126"/>
  <c r="AF174" i="126"/>
  <c r="T174" i="126"/>
  <c r="BE173" i="126"/>
  <c r="AS173" i="126"/>
  <c r="AG173" i="126"/>
  <c r="U173" i="126"/>
  <c r="DF172" i="126"/>
  <c r="CT172" i="126"/>
  <c r="CH172" i="126"/>
  <c r="BV172" i="126"/>
  <c r="BJ172" i="126"/>
  <c r="AX172" i="126"/>
  <c r="AL172" i="126"/>
  <c r="Z172" i="126"/>
  <c r="N172" i="126"/>
  <c r="CY171" i="126"/>
  <c r="CM171" i="126"/>
  <c r="CA171" i="126"/>
  <c r="BO171" i="126"/>
  <c r="BC171" i="126"/>
  <c r="AQ171" i="126"/>
  <c r="AE171" i="126"/>
  <c r="S171" i="126"/>
  <c r="BE170" i="126"/>
  <c r="AS170" i="126"/>
  <c r="AG170" i="126"/>
  <c r="U170" i="126"/>
  <c r="DF169" i="126"/>
  <c r="CT169" i="126"/>
  <c r="CH169" i="126"/>
  <c r="BV169" i="126"/>
  <c r="BJ169" i="126"/>
  <c r="BR190" i="126"/>
  <c r="BP189" i="126"/>
  <c r="AT187" i="126"/>
  <c r="T186" i="126"/>
  <c r="AW185" i="126"/>
  <c r="AD183" i="126"/>
  <c r="AU182" i="126"/>
  <c r="AC182" i="126"/>
  <c r="K182" i="126"/>
  <c r="CP181" i="126"/>
  <c r="BX181" i="126"/>
  <c r="BI181" i="126"/>
  <c r="AS181" i="126"/>
  <c r="AB181" i="126"/>
  <c r="M181" i="126"/>
  <c r="CT180" i="126"/>
  <c r="CC180" i="126"/>
  <c r="BN180" i="126"/>
  <c r="AX180" i="126"/>
  <c r="AG180" i="126"/>
  <c r="R180" i="126"/>
  <c r="CY179" i="126"/>
  <c r="CH179" i="126"/>
  <c r="BS179" i="126"/>
  <c r="BC179" i="126"/>
  <c r="AL179" i="126"/>
  <c r="W179" i="126"/>
  <c r="DD178" i="126"/>
  <c r="CP178" i="126"/>
  <c r="CB178" i="126"/>
  <c r="BO178" i="126"/>
  <c r="BB178" i="126"/>
  <c r="AO178" i="126"/>
  <c r="AB178" i="126"/>
  <c r="O178" i="126"/>
  <c r="AZ177" i="126"/>
  <c r="AN177" i="126"/>
  <c r="AB177" i="126"/>
  <c r="P177" i="126"/>
  <c r="BA176" i="126"/>
  <c r="AO176" i="126"/>
  <c r="AC176" i="126"/>
  <c r="Q176" i="126"/>
  <c r="BB175" i="126"/>
  <c r="AP175" i="126"/>
  <c r="AD175" i="126"/>
  <c r="R175" i="126"/>
  <c r="BC174" i="126"/>
  <c r="AQ174" i="126"/>
  <c r="AE174" i="126"/>
  <c r="S174" i="126"/>
  <c r="BD173" i="126"/>
  <c r="AR173" i="126"/>
  <c r="AF173" i="126"/>
  <c r="T173" i="126"/>
  <c r="DE172" i="126"/>
  <c r="CS172" i="126"/>
  <c r="CG172" i="126"/>
  <c r="BU172" i="126"/>
  <c r="BI172" i="126"/>
  <c r="AW172" i="126"/>
  <c r="AK172" i="126"/>
  <c r="Y172" i="126"/>
  <c r="M172" i="126"/>
  <c r="CX171" i="126"/>
  <c r="CL171" i="126"/>
  <c r="BZ171" i="126"/>
  <c r="BN171" i="126"/>
  <c r="BB171" i="126"/>
  <c r="AP171" i="126"/>
  <c r="AD171" i="126"/>
  <c r="R171" i="126"/>
  <c r="BD170" i="126"/>
  <c r="AR170" i="126"/>
  <c r="AF170" i="126"/>
  <c r="T170" i="126"/>
  <c r="DE169" i="126"/>
  <c r="CS169" i="126"/>
  <c r="CG169" i="126"/>
  <c r="BU169" i="126"/>
  <c r="BI169" i="126"/>
  <c r="AW169" i="126"/>
  <c r="AK169" i="126"/>
  <c r="Y169" i="126"/>
  <c r="M169" i="126"/>
  <c r="AY168" i="126"/>
  <c r="AM168" i="126"/>
  <c r="AA168" i="126"/>
  <c r="O168" i="126"/>
  <c r="BA167" i="126"/>
  <c r="AO167" i="126"/>
  <c r="AC167" i="126"/>
  <c r="CC159" i="126" s="1"/>
  <c r="Q167" i="126"/>
  <c r="BC166" i="126"/>
  <c r="AQ166" i="126"/>
  <c r="BB190" i="126"/>
  <c r="BC189" i="126"/>
  <c r="AH187" i="126"/>
  <c r="DF185" i="126"/>
  <c r="AL185" i="126"/>
  <c r="AC183" i="126"/>
  <c r="AT182" i="126"/>
  <c r="AB182" i="126"/>
  <c r="DG181" i="126"/>
  <c r="CO181" i="126"/>
  <c r="BW181" i="126"/>
  <c r="BH181" i="126"/>
  <c r="AQ181" i="126"/>
  <c r="AA181" i="126"/>
  <c r="L181" i="126"/>
  <c r="CR180" i="126"/>
  <c r="CB180" i="126"/>
  <c r="BM180" i="126"/>
  <c r="AV180" i="126"/>
  <c r="AF180" i="126"/>
  <c r="Q180" i="126"/>
  <c r="CW179" i="126"/>
  <c r="CG179" i="126"/>
  <c r="BR179" i="126"/>
  <c r="BA179" i="126"/>
  <c r="AK179" i="126"/>
  <c r="V179" i="126"/>
  <c r="DC178" i="126"/>
  <c r="CN178" i="126"/>
  <c r="CA178" i="126"/>
  <c r="BN178" i="126"/>
  <c r="BA178" i="126"/>
  <c r="AN178" i="126"/>
  <c r="AA178" i="126"/>
  <c r="N178" i="126"/>
  <c r="AY177" i="126"/>
  <c r="AM177" i="126"/>
  <c r="AA177" i="126"/>
  <c r="O177" i="126"/>
  <c r="AZ176" i="126"/>
  <c r="AN176" i="126"/>
  <c r="AB176" i="126"/>
  <c r="P176" i="126"/>
  <c r="BA175" i="126"/>
  <c r="AO175" i="126"/>
  <c r="AC175" i="126"/>
  <c r="Q175" i="126"/>
  <c r="BB174" i="126"/>
  <c r="AP174" i="126"/>
  <c r="AD174" i="126"/>
  <c r="R174" i="126"/>
  <c r="BC173" i="126"/>
  <c r="AQ173" i="126"/>
  <c r="AE173" i="126"/>
  <c r="S173" i="126"/>
  <c r="DD172" i="126"/>
  <c r="CR172" i="126"/>
  <c r="CF172" i="126"/>
  <c r="BT172" i="126"/>
  <c r="BH172" i="126"/>
  <c r="AV172" i="126"/>
  <c r="AJ172" i="126"/>
  <c r="X172" i="126"/>
  <c r="L172" i="126"/>
  <c r="CW171" i="126"/>
  <c r="CK171" i="126"/>
  <c r="BY171" i="126"/>
  <c r="BM171" i="126"/>
  <c r="BA171" i="126"/>
  <c r="AO171" i="126"/>
  <c r="AC171" i="126"/>
  <c r="Q171" i="126"/>
  <c r="BC170" i="126"/>
  <c r="AY190" i="126"/>
  <c r="BB189" i="126"/>
  <c r="AG187" i="126"/>
  <c r="DE185" i="126"/>
  <c r="AK185" i="126"/>
  <c r="U183" i="126"/>
  <c r="AR182" i="126"/>
  <c r="Z182" i="126"/>
  <c r="DE181" i="126"/>
  <c r="CM181" i="126"/>
  <c r="BV181" i="126"/>
  <c r="BF181" i="126"/>
  <c r="AO181" i="126"/>
  <c r="Z181" i="126"/>
  <c r="DG180" i="126"/>
  <c r="CP180" i="126"/>
  <c r="CA180" i="126"/>
  <c r="BK180" i="126"/>
  <c r="AT180" i="126"/>
  <c r="AE180" i="126"/>
  <c r="O180" i="126"/>
  <c r="CU179" i="126"/>
  <c r="CF179" i="126"/>
  <c r="BP179" i="126"/>
  <c r="AY179" i="126"/>
  <c r="AJ179" i="126"/>
  <c r="T179" i="126"/>
  <c r="DB178" i="126"/>
  <c r="CM178" i="126"/>
  <c r="BZ178" i="126"/>
  <c r="BM178" i="126"/>
  <c r="AZ178" i="126"/>
  <c r="AM178" i="126"/>
  <c r="Y178" i="126"/>
  <c r="M178" i="126"/>
  <c r="AX177" i="126"/>
  <c r="AL177" i="126"/>
  <c r="Z177" i="126"/>
  <c r="N177" i="126"/>
  <c r="AY176" i="126"/>
  <c r="AM176" i="126"/>
  <c r="AA176" i="126"/>
  <c r="O176" i="126"/>
  <c r="AZ175" i="126"/>
  <c r="AN175" i="126"/>
  <c r="AB175" i="126"/>
  <c r="P175" i="126"/>
  <c r="BA174" i="126"/>
  <c r="AO174" i="126"/>
  <c r="AC174" i="126"/>
  <c r="Q174" i="126"/>
  <c r="BB173" i="126"/>
  <c r="AP173" i="126"/>
  <c r="AD173" i="126"/>
  <c r="R173" i="126"/>
  <c r="DC172" i="126"/>
  <c r="CQ172" i="126"/>
  <c r="CE172" i="126"/>
  <c r="BS172" i="126"/>
  <c r="BG172" i="126"/>
  <c r="AU172" i="126"/>
  <c r="AI172" i="126"/>
  <c r="W172" i="126"/>
  <c r="K172" i="126"/>
  <c r="CV171" i="126"/>
  <c r="CJ171" i="126"/>
  <c r="BX171" i="126"/>
  <c r="BL171" i="126"/>
  <c r="AZ171" i="126"/>
  <c r="AN171" i="126"/>
  <c r="AB171" i="126"/>
  <c r="P171" i="126"/>
  <c r="BB170" i="126"/>
  <c r="AP170" i="126"/>
  <c r="AD170" i="126"/>
  <c r="R170" i="126"/>
  <c r="AI190" i="126"/>
  <c r="AO189" i="126"/>
  <c r="BA188" i="126"/>
  <c r="U187" i="126"/>
  <c r="CT185" i="126"/>
  <c r="Z185" i="126"/>
  <c r="AZ184" i="126"/>
  <c r="R183" i="126"/>
  <c r="AQ182" i="126"/>
  <c r="X182" i="126"/>
  <c r="DD181" i="126"/>
  <c r="CK181" i="126"/>
  <c r="BU181" i="126"/>
  <c r="BE181" i="126"/>
  <c r="AN181" i="126"/>
  <c r="Y181" i="126"/>
  <c r="DF180" i="126"/>
  <c r="CO180" i="126"/>
  <c r="BZ180" i="126"/>
  <c r="BJ180" i="126"/>
  <c r="AS180" i="126"/>
  <c r="AD180" i="126"/>
  <c r="N180" i="126"/>
  <c r="CT179" i="126"/>
  <c r="CE179" i="126"/>
  <c r="BO179" i="126"/>
  <c r="AX179" i="126"/>
  <c r="AI179" i="126"/>
  <c r="S179" i="126"/>
  <c r="CZ178" i="126"/>
  <c r="CL178" i="126"/>
  <c r="BY178" i="126"/>
  <c r="BL178" i="126"/>
  <c r="AY178" i="126"/>
  <c r="AK178" i="126"/>
  <c r="X178" i="126"/>
  <c r="L178" i="126"/>
  <c r="AW177" i="126"/>
  <c r="AK177" i="126"/>
  <c r="Y177" i="126"/>
  <c r="M177" i="126"/>
  <c r="AX176" i="126"/>
  <c r="AL176" i="126"/>
  <c r="Z176" i="126"/>
  <c r="N176" i="126"/>
  <c r="AY175" i="126"/>
  <c r="AM175" i="126"/>
  <c r="AA175" i="126"/>
  <c r="O175" i="126"/>
  <c r="AZ174" i="126"/>
  <c r="AN174" i="126"/>
  <c r="AB174" i="126"/>
  <c r="P174" i="126"/>
  <c r="BA173" i="126"/>
  <c r="AO173" i="126"/>
  <c r="AC173" i="126"/>
  <c r="Q173" i="126"/>
  <c r="DB172" i="126"/>
  <c r="CP172" i="126"/>
  <c r="CD172" i="126"/>
  <c r="BR172" i="126"/>
  <c r="BF172" i="126"/>
  <c r="AT172" i="126"/>
  <c r="AH172" i="126"/>
  <c r="V172" i="126"/>
  <c r="DG171" i="126"/>
  <c r="CU171" i="126"/>
  <c r="CI171" i="126"/>
  <c r="BW171" i="126"/>
  <c r="BK171" i="126"/>
  <c r="AY171" i="126"/>
  <c r="AM171" i="126"/>
  <c r="AA171" i="126"/>
  <c r="O171" i="126"/>
  <c r="BA170" i="126"/>
  <c r="AO170" i="126"/>
  <c r="AC170" i="126"/>
  <c r="Q170" i="126"/>
  <c r="AH190" i="126"/>
  <c r="AN189" i="126"/>
  <c r="AZ188" i="126"/>
  <c r="T187" i="126"/>
  <c r="CS185" i="126"/>
  <c r="Y185" i="126"/>
  <c r="AY184" i="126"/>
  <c r="Q183" i="126"/>
  <c r="AO182" i="126"/>
  <c r="W182" i="126"/>
  <c r="DB181" i="126"/>
  <c r="CJ181" i="126"/>
  <c r="BT181" i="126"/>
  <c r="BC181" i="126"/>
  <c r="AM181" i="126"/>
  <c r="X181" i="126"/>
  <c r="DD180" i="126"/>
  <c r="CN180" i="126"/>
  <c r="BY180" i="126"/>
  <c r="BH180" i="126"/>
  <c r="AR180" i="126"/>
  <c r="AC180" i="126"/>
  <c r="L180" i="126"/>
  <c r="CS179" i="126"/>
  <c r="CD179" i="126"/>
  <c r="BM179" i="126"/>
  <c r="AW179" i="126"/>
  <c r="AH179" i="126"/>
  <c r="Q179" i="126"/>
  <c r="CY178" i="126"/>
  <c r="CK178" i="126"/>
  <c r="BX178" i="126"/>
  <c r="BK178" i="126"/>
  <c r="AW178" i="126"/>
  <c r="AJ178" i="126"/>
  <c r="W178" i="126"/>
  <c r="K178" i="126"/>
  <c r="AV177" i="126"/>
  <c r="AJ177" i="126"/>
  <c r="X177" i="126"/>
  <c r="L177" i="126"/>
  <c r="AW176" i="126"/>
  <c r="AK176" i="126"/>
  <c r="Y176" i="126"/>
  <c r="M176" i="126"/>
  <c r="AX175" i="126"/>
  <c r="AL175" i="126"/>
  <c r="Z175" i="126"/>
  <c r="N175" i="126"/>
  <c r="AY174" i="126"/>
  <c r="AM174" i="126"/>
  <c r="AA174" i="126"/>
  <c r="O174" i="126"/>
  <c r="AZ173" i="126"/>
  <c r="AN173" i="126"/>
  <c r="AB173" i="126"/>
  <c r="P173" i="126"/>
  <c r="DA172" i="126"/>
  <c r="CO172" i="126"/>
  <c r="CC172" i="126"/>
  <c r="BQ172" i="126"/>
  <c r="BE172" i="126"/>
  <c r="AS172" i="126"/>
  <c r="AG172" i="126"/>
  <c r="U172" i="126"/>
  <c r="DF171" i="126"/>
  <c r="CT171" i="126"/>
  <c r="CH171" i="126"/>
  <c r="BV171" i="126"/>
  <c r="BJ171" i="126"/>
  <c r="AX171" i="126"/>
  <c r="AL171" i="126"/>
  <c r="Z171" i="126"/>
  <c r="N171" i="126"/>
  <c r="R190" i="126"/>
  <c r="AA189" i="126"/>
  <c r="AM188" i="126"/>
  <c r="BE186" i="126"/>
  <c r="CH185" i="126"/>
  <c r="N185" i="126"/>
  <c r="AN184" i="126"/>
  <c r="AN182" i="126"/>
  <c r="V182" i="126"/>
  <c r="DA181" i="126"/>
  <c r="CI181" i="126"/>
  <c r="BR181" i="126"/>
  <c r="BA181" i="126"/>
  <c r="AL181" i="126"/>
  <c r="V181" i="126"/>
  <c r="DB180" i="126"/>
  <c r="CM180" i="126"/>
  <c r="BW180" i="126"/>
  <c r="BF180" i="126"/>
  <c r="AQ180" i="126"/>
  <c r="AA180" i="126"/>
  <c r="DG179" i="126"/>
  <c r="CR179" i="126"/>
  <c r="CB179" i="126"/>
  <c r="BK179" i="126"/>
  <c r="AV179" i="126"/>
  <c r="AF179" i="126"/>
  <c r="O179" i="126"/>
  <c r="CX178" i="126"/>
  <c r="CJ178" i="126"/>
  <c r="BW178" i="126"/>
  <c r="BI178" i="126"/>
  <c r="AV178" i="126"/>
  <c r="AI178" i="126"/>
  <c r="V178" i="126"/>
  <c r="BG177" i="126"/>
  <c r="AU177" i="126"/>
  <c r="AI177" i="126"/>
  <c r="W177" i="126"/>
  <c r="K177" i="126"/>
  <c r="AV176" i="126"/>
  <c r="AJ176" i="126"/>
  <c r="X176" i="126"/>
  <c r="L176" i="126"/>
  <c r="AW175" i="126"/>
  <c r="AK175" i="126"/>
  <c r="Y175" i="126"/>
  <c r="M175" i="126"/>
  <c r="AX174" i="126"/>
  <c r="AL174" i="126"/>
  <c r="Z174" i="126"/>
  <c r="N174" i="126"/>
  <c r="AY173" i="126"/>
  <c r="AM173" i="126"/>
  <c r="AA173" i="126"/>
  <c r="O173" i="126"/>
  <c r="CZ172" i="126"/>
  <c r="CN172" i="126"/>
  <c r="CB172" i="126"/>
  <c r="BP172" i="126"/>
  <c r="BD172" i="126"/>
  <c r="AR172" i="126"/>
  <c r="AF172" i="126"/>
  <c r="T172" i="126"/>
  <c r="DE171" i="126"/>
  <c r="CS171" i="126"/>
  <c r="CG171" i="126"/>
  <c r="BU171" i="126"/>
  <c r="BI171" i="126"/>
  <c r="AW171" i="126"/>
  <c r="AK171" i="126"/>
  <c r="Y171" i="126"/>
  <c r="M171" i="126"/>
  <c r="AY170" i="126"/>
  <c r="AM170" i="126"/>
  <c r="O190" i="126"/>
  <c r="Z189" i="126"/>
  <c r="AK188" i="126"/>
  <c r="BD186" i="126"/>
  <c r="CG185" i="126"/>
  <c r="M185" i="126"/>
  <c r="AM184" i="126"/>
  <c r="BG182" i="126"/>
  <c r="AL182" i="126"/>
  <c r="T182" i="126"/>
  <c r="CY181" i="126"/>
  <c r="CG181" i="126"/>
  <c r="BQ181" i="126"/>
  <c r="AZ181" i="126"/>
  <c r="AK181" i="126"/>
  <c r="U181" i="126"/>
  <c r="DA180" i="126"/>
  <c r="CL180" i="126"/>
  <c r="BV180" i="126"/>
  <c r="BE180" i="126"/>
  <c r="AP180" i="126"/>
  <c r="Z180" i="126"/>
  <c r="DF179" i="126"/>
  <c r="CQ179" i="126"/>
  <c r="CA179" i="126"/>
  <c r="BJ179" i="126"/>
  <c r="AU179" i="126"/>
  <c r="AE179" i="126"/>
  <c r="N179" i="126"/>
  <c r="CW178" i="126"/>
  <c r="CI178" i="126"/>
  <c r="BU178" i="126"/>
  <c r="BH178" i="126"/>
  <c r="AU178" i="126"/>
  <c r="AH178" i="126"/>
  <c r="U178" i="126"/>
  <c r="BF177" i="126"/>
  <c r="AT177" i="126"/>
  <c r="AH177" i="126"/>
  <c r="V177" i="126"/>
  <c r="BG176" i="126"/>
  <c r="AU176" i="126"/>
  <c r="AI176" i="126"/>
  <c r="W176" i="126"/>
  <c r="K176" i="126"/>
  <c r="AV175" i="126"/>
  <c r="AJ175" i="126"/>
  <c r="X175" i="126"/>
  <c r="L175" i="126"/>
  <c r="AW174" i="126"/>
  <c r="AK174" i="126"/>
  <c r="Y174" i="126"/>
  <c r="M174" i="126"/>
  <c r="AX173" i="126"/>
  <c r="AL173" i="126"/>
  <c r="Z173" i="126"/>
  <c r="N173" i="126"/>
  <c r="CY172" i="126"/>
  <c r="CM172" i="126"/>
  <c r="CA172" i="126"/>
  <c r="BO172" i="126"/>
  <c r="BC172" i="126"/>
  <c r="AQ172" i="126"/>
  <c r="AE172" i="126"/>
  <c r="S172" i="126"/>
  <c r="DD171" i="126"/>
  <c r="CR171" i="126"/>
  <c r="CF171" i="126"/>
  <c r="BT171" i="126"/>
  <c r="BH171" i="126"/>
  <c r="AV171" i="126"/>
  <c r="AJ171" i="126"/>
  <c r="X171" i="126"/>
  <c r="L171" i="126"/>
  <c r="AX170" i="126"/>
  <c r="AL170" i="126"/>
  <c r="Z170" i="126"/>
  <c r="BZ162" i="126" s="1"/>
  <c r="N170" i="126"/>
  <c r="BV185" i="126"/>
  <c r="AI182" i="126"/>
  <c r="AH181" i="126"/>
  <c r="AM180" i="126"/>
  <c r="AR179" i="126"/>
  <c r="BF178" i="126"/>
  <c r="AF177" i="126"/>
  <c r="BF175" i="126"/>
  <c r="AI174" i="126"/>
  <c r="L173" i="126"/>
  <c r="AO172" i="126"/>
  <c r="BR171" i="126"/>
  <c r="AV170" i="126"/>
  <c r="P170" i="126"/>
  <c r="CW169" i="126"/>
  <c r="CE169" i="126"/>
  <c r="BP169" i="126"/>
  <c r="BA169" i="126"/>
  <c r="AL169" i="126"/>
  <c r="W169" i="126"/>
  <c r="AW168" i="126"/>
  <c r="AI168" i="126"/>
  <c r="CI160" i="126" s="1"/>
  <c r="U168" i="126"/>
  <c r="BU160" i="126" s="1"/>
  <c r="AU167" i="126"/>
  <c r="AG167" i="126"/>
  <c r="R167" i="126"/>
  <c r="BG166" i="126"/>
  <c r="AR166" i="126"/>
  <c r="AD166" i="126"/>
  <c r="Q166" i="126"/>
  <c r="BQ158" i="126" s="1"/>
  <c r="BA165" i="126"/>
  <c r="AN165" i="126"/>
  <c r="AA165" i="126"/>
  <c r="N165" i="126"/>
  <c r="AX164" i="126"/>
  <c r="AK164" i="126"/>
  <c r="W164" i="126"/>
  <c r="AU163" i="126"/>
  <c r="AH163" i="126"/>
  <c r="U163" i="126"/>
  <c r="BF162" i="126"/>
  <c r="AT162" i="126"/>
  <c r="AH162" i="126"/>
  <c r="V162" i="126"/>
  <c r="BG161" i="126"/>
  <c r="AU161" i="126"/>
  <c r="AI161" i="126"/>
  <c r="W161" i="126"/>
  <c r="K161" i="126"/>
  <c r="AW160" i="126"/>
  <c r="AK160" i="126"/>
  <c r="Y160" i="126"/>
  <c r="M160" i="126"/>
  <c r="AY159" i="126"/>
  <c r="AM159" i="126"/>
  <c r="AA159" i="126"/>
  <c r="O159" i="126"/>
  <c r="BA158" i="126"/>
  <c r="AO158" i="126"/>
  <c r="AC158" i="126"/>
  <c r="Q158" i="126"/>
  <c r="DB157" i="126"/>
  <c r="CP157" i="126"/>
  <c r="CD157" i="126"/>
  <c r="BR157" i="126"/>
  <c r="BF157" i="126"/>
  <c r="AT157" i="126"/>
  <c r="AH157" i="126"/>
  <c r="V157" i="126"/>
  <c r="AV156" i="126"/>
  <c r="AJ156" i="126"/>
  <c r="CJ152" i="126" s="1"/>
  <c r="X156" i="126"/>
  <c r="L156" i="126"/>
  <c r="AX155" i="126"/>
  <c r="AL155" i="126"/>
  <c r="Z155" i="126"/>
  <c r="N155" i="126"/>
  <c r="AZ154" i="126"/>
  <c r="AN154" i="126"/>
  <c r="AB154" i="126"/>
  <c r="P154" i="126"/>
  <c r="BB153" i="126"/>
  <c r="AP153" i="126"/>
  <c r="CP149" i="126" s="1"/>
  <c r="AD153" i="126"/>
  <c r="R153" i="126"/>
  <c r="BD152" i="126"/>
  <c r="AR152" i="126"/>
  <c r="CR148" i="126" s="1"/>
  <c r="AF152" i="126"/>
  <c r="T152" i="126"/>
  <c r="BU185" i="126"/>
  <c r="S182" i="126"/>
  <c r="S181" i="126"/>
  <c r="X180" i="126"/>
  <c r="AC179" i="126"/>
  <c r="AT178" i="126"/>
  <c r="U177" i="126"/>
  <c r="AU175" i="126"/>
  <c r="X174" i="126"/>
  <c r="CX172" i="126"/>
  <c r="AD172" i="126"/>
  <c r="BG171" i="126"/>
  <c r="AQ170" i="126"/>
  <c r="CQ162" i="126" s="1"/>
  <c r="O170" i="126"/>
  <c r="CU169" i="126"/>
  <c r="CD169" i="126"/>
  <c r="BO169" i="126"/>
  <c r="AY169" i="126"/>
  <c r="AJ169" i="126"/>
  <c r="V169" i="126"/>
  <c r="AV168" i="126"/>
  <c r="AH168" i="126"/>
  <c r="T168" i="126"/>
  <c r="AT167" i="126"/>
  <c r="AE167" i="126"/>
  <c r="P167" i="126"/>
  <c r="BE166" i="126"/>
  <c r="AP166" i="126"/>
  <c r="AC166" i="126"/>
  <c r="P166" i="126"/>
  <c r="BP158" i="126" s="1"/>
  <c r="AZ165" i="126"/>
  <c r="AM165" i="126"/>
  <c r="Z165" i="126"/>
  <c r="M165" i="126"/>
  <c r="AW164" i="126"/>
  <c r="AI164" i="126"/>
  <c r="V164" i="126"/>
  <c r="BG163" i="126"/>
  <c r="AT163" i="126"/>
  <c r="AG163" i="126"/>
  <c r="T163" i="126"/>
  <c r="BE162" i="126"/>
  <c r="DE155" i="126" s="1"/>
  <c r="AS162" i="126"/>
  <c r="AG162" i="126"/>
  <c r="U162" i="126"/>
  <c r="BF161" i="126"/>
  <c r="AT161" i="126"/>
  <c r="AH161" i="126"/>
  <c r="V161" i="126"/>
  <c r="AV160" i="126"/>
  <c r="AJ160" i="126"/>
  <c r="X160" i="126"/>
  <c r="L160" i="126"/>
  <c r="AX159" i="126"/>
  <c r="CX153" i="126" s="1"/>
  <c r="AL159" i="126"/>
  <c r="Z159" i="126"/>
  <c r="N159" i="126"/>
  <c r="AZ158" i="126"/>
  <c r="AN158" i="126"/>
  <c r="DC190" i="126"/>
  <c r="Q182" i="126"/>
  <c r="Q181" i="126"/>
  <c r="V180" i="126"/>
  <c r="AA179" i="126"/>
  <c r="AS178" i="126"/>
  <c r="T177" i="126"/>
  <c r="AT175" i="126"/>
  <c r="W174" i="126"/>
  <c r="CW172" i="126"/>
  <c r="AC172" i="126"/>
  <c r="BF171" i="126"/>
  <c r="AN170" i="126"/>
  <c r="M170" i="126"/>
  <c r="CR169" i="126"/>
  <c r="CC169" i="126"/>
  <c r="BN169" i="126"/>
  <c r="AX169" i="126"/>
  <c r="AI169" i="126"/>
  <c r="U169" i="126"/>
  <c r="AU168" i="126"/>
  <c r="AG168" i="126"/>
  <c r="S168" i="126"/>
  <c r="BG167" i="126"/>
  <c r="AS167" i="126"/>
  <c r="AD167" i="126"/>
  <c r="O167" i="126"/>
  <c r="BO159" i="126" s="1"/>
  <c r="BD166" i="126"/>
  <c r="AO166" i="126"/>
  <c r="AB166" i="126"/>
  <c r="O166" i="126"/>
  <c r="BO158" i="126" s="1"/>
  <c r="AY165" i="126"/>
  <c r="AL165" i="126"/>
  <c r="Y165" i="126"/>
  <c r="L165" i="126"/>
  <c r="AU164" i="126"/>
  <c r="AH164" i="126"/>
  <c r="U164" i="126"/>
  <c r="BF163" i="126"/>
  <c r="AS163" i="126"/>
  <c r="AF163" i="126"/>
  <c r="S163" i="126"/>
  <c r="BD162" i="126"/>
  <c r="AR162" i="126"/>
  <c r="AF162" i="126"/>
  <c r="T162" i="126"/>
  <c r="BE161" i="126"/>
  <c r="AS161" i="126"/>
  <c r="AG161" i="126"/>
  <c r="U161" i="126"/>
  <c r="BG160" i="126"/>
  <c r="AU160" i="126"/>
  <c r="AI160" i="126"/>
  <c r="W160" i="126"/>
  <c r="K160" i="126"/>
  <c r="BK154" i="126" s="1"/>
  <c r="AW159" i="126"/>
  <c r="AK159" i="126"/>
  <c r="Y159" i="126"/>
  <c r="M159" i="126"/>
  <c r="AY158" i="126"/>
  <c r="AM158" i="126"/>
  <c r="DB190" i="126"/>
  <c r="CW181" i="126"/>
  <c r="CZ180" i="126"/>
  <c r="DE179" i="126"/>
  <c r="M179" i="126"/>
  <c r="AG178" i="126"/>
  <c r="BF176" i="126"/>
  <c r="AI175" i="126"/>
  <c r="L174" i="126"/>
  <c r="CL172" i="126"/>
  <c r="R172" i="126"/>
  <c r="AU171" i="126"/>
  <c r="AK170" i="126"/>
  <c r="L170" i="126"/>
  <c r="CQ169" i="126"/>
  <c r="CB169" i="126"/>
  <c r="BM169" i="126"/>
  <c r="AV169" i="126"/>
  <c r="AH169" i="126"/>
  <c r="T169" i="126"/>
  <c r="AT168" i="126"/>
  <c r="CT160" i="126" s="1"/>
  <c r="AF168" i="126"/>
  <c r="Q168" i="126"/>
  <c r="BF167" i="126"/>
  <c r="DF159" i="126" s="1"/>
  <c r="AQ167" i="126"/>
  <c r="AB167" i="126"/>
  <c r="N167" i="126"/>
  <c r="BB166" i="126"/>
  <c r="AN166" i="126"/>
  <c r="CN158" i="126" s="1"/>
  <c r="AA166" i="126"/>
  <c r="CA158" i="126" s="1"/>
  <c r="N166" i="126"/>
  <c r="AX165" i="126"/>
  <c r="AK165" i="126"/>
  <c r="X165" i="126"/>
  <c r="BG164" i="126"/>
  <c r="AT164" i="126"/>
  <c r="AG164" i="126"/>
  <c r="T164" i="126"/>
  <c r="BE163" i="126"/>
  <c r="AR163" i="126"/>
  <c r="AE163" i="126"/>
  <c r="CE156" i="126" s="1"/>
  <c r="R163" i="126"/>
  <c r="BR156" i="126" s="1"/>
  <c r="BC162" i="126"/>
  <c r="AQ162" i="126"/>
  <c r="AE162" i="126"/>
  <c r="S162" i="126"/>
  <c r="BD161" i="126"/>
  <c r="AR161" i="126"/>
  <c r="AF161" i="126"/>
  <c r="T161" i="126"/>
  <c r="BF160" i="126"/>
  <c r="AT160" i="126"/>
  <c r="AH160" i="126"/>
  <c r="V160" i="126"/>
  <c r="BV154" i="126" s="1"/>
  <c r="AV159" i="126"/>
  <c r="AJ159" i="126"/>
  <c r="X159" i="126"/>
  <c r="L159" i="126"/>
  <c r="AX158" i="126"/>
  <c r="AL158" i="126"/>
  <c r="Z158" i="126"/>
  <c r="N158" i="126"/>
  <c r="CY157" i="126"/>
  <c r="CM157" i="126"/>
  <c r="CA157" i="126"/>
  <c r="BO157" i="126"/>
  <c r="BC157" i="126"/>
  <c r="AQ157" i="126"/>
  <c r="AE157" i="126"/>
  <c r="S157" i="126"/>
  <c r="BE156" i="126"/>
  <c r="AS156" i="126"/>
  <c r="AG156" i="126"/>
  <c r="U156" i="126"/>
  <c r="BG155" i="126"/>
  <c r="AU155" i="126"/>
  <c r="AI155" i="126"/>
  <c r="W155" i="126"/>
  <c r="BW151" i="126" s="1"/>
  <c r="K155" i="126"/>
  <c r="CV189" i="126"/>
  <c r="AB184" i="126"/>
  <c r="CV181" i="126"/>
  <c r="CY180" i="126"/>
  <c r="DD179" i="126"/>
  <c r="L179" i="126"/>
  <c r="AF178" i="126"/>
  <c r="BE176" i="126"/>
  <c r="AH175" i="126"/>
  <c r="K174" i="126"/>
  <c r="CK172" i="126"/>
  <c r="Q172" i="126"/>
  <c r="AT171" i="126"/>
  <c r="AJ170" i="126"/>
  <c r="DG169" i="126"/>
  <c r="CP169" i="126"/>
  <c r="CA169" i="126"/>
  <c r="BK169" i="126"/>
  <c r="AU169" i="126"/>
  <c r="AG169" i="126"/>
  <c r="S169" i="126"/>
  <c r="BG168" i="126"/>
  <c r="AS168" i="126"/>
  <c r="CS160" i="126" s="1"/>
  <c r="AE168" i="126"/>
  <c r="P168" i="126"/>
  <c r="BE167" i="126"/>
  <c r="DE159" i="126" s="1"/>
  <c r="AP167" i="126"/>
  <c r="AA167" i="126"/>
  <c r="CA159" i="126" s="1"/>
  <c r="M167" i="126"/>
  <c r="BM159" i="126" s="1"/>
  <c r="BA166" i="126"/>
  <c r="DA158" i="126" s="1"/>
  <c r="AM166" i="126"/>
  <c r="CM158" i="126" s="1"/>
  <c r="Z166" i="126"/>
  <c r="M166" i="126"/>
  <c r="AW165" i="126"/>
  <c r="AJ165" i="126"/>
  <c r="V165" i="126"/>
  <c r="BF164" i="126"/>
  <c r="AS164" i="126"/>
  <c r="AF164" i="126"/>
  <c r="S164" i="126"/>
  <c r="BD163" i="126"/>
  <c r="AQ163" i="126"/>
  <c r="CQ156" i="126" s="1"/>
  <c r="AD163" i="126"/>
  <c r="Q163" i="126"/>
  <c r="BB162" i="126"/>
  <c r="AP162" i="126"/>
  <c r="AD162" i="126"/>
  <c r="CD155" i="126" s="1"/>
  <c r="R162" i="126"/>
  <c r="BR155" i="126" s="1"/>
  <c r="BC161" i="126"/>
  <c r="AQ161" i="126"/>
  <c r="AE161" i="126"/>
  <c r="S161" i="126"/>
  <c r="BE160" i="126"/>
  <c r="AS160" i="126"/>
  <c r="AG160" i="126"/>
  <c r="U160" i="126"/>
  <c r="BG159" i="126"/>
  <c r="AU159" i="126"/>
  <c r="AI159" i="126"/>
  <c r="CI153" i="126" s="1"/>
  <c r="W159" i="126"/>
  <c r="K159" i="126"/>
  <c r="CU189" i="126"/>
  <c r="AA184" i="126"/>
  <c r="CF181" i="126"/>
  <c r="CK180" i="126"/>
  <c r="CP179" i="126"/>
  <c r="CV178" i="126"/>
  <c r="T178" i="126"/>
  <c r="AT176" i="126"/>
  <c r="W175" i="126"/>
  <c r="AW173" i="126"/>
  <c r="BZ172" i="126"/>
  <c r="DC171" i="126"/>
  <c r="AI171" i="126"/>
  <c r="AE170" i="126"/>
  <c r="DD169" i="126"/>
  <c r="CO169" i="126"/>
  <c r="BZ169" i="126"/>
  <c r="BH169" i="126"/>
  <c r="AT169" i="126"/>
  <c r="AF169" i="126"/>
  <c r="R169" i="126"/>
  <c r="BF168" i="126"/>
  <c r="DF160" i="126" s="1"/>
  <c r="AR168" i="126"/>
  <c r="AC168" i="126"/>
  <c r="N168" i="126"/>
  <c r="BC167" i="126"/>
  <c r="AN167" i="126"/>
  <c r="Z167" i="126"/>
  <c r="BZ159" i="126" s="1"/>
  <c r="L167" i="126"/>
  <c r="BL159" i="126" s="1"/>
  <c r="AZ166" i="126"/>
  <c r="CZ158" i="126" s="1"/>
  <c r="AL166" i="126"/>
  <c r="Y166" i="126"/>
  <c r="L166" i="126"/>
  <c r="AV165" i="126"/>
  <c r="AH165" i="126"/>
  <c r="U165" i="126"/>
  <c r="BE164" i="126"/>
  <c r="AR164" i="126"/>
  <c r="AE164" i="126"/>
  <c r="R164" i="126"/>
  <c r="BC163" i="126"/>
  <c r="DC156" i="126" s="1"/>
  <c r="AP163" i="126"/>
  <c r="AC163" i="126"/>
  <c r="P163" i="126"/>
  <c r="BA162" i="126"/>
  <c r="DA155" i="126" s="1"/>
  <c r="AO162" i="126"/>
  <c r="AC162" i="126"/>
  <c r="Q162" i="126"/>
  <c r="BB161" i="126"/>
  <c r="AP161" i="126"/>
  <c r="AD161" i="126"/>
  <c r="R161" i="126"/>
  <c r="BD160" i="126"/>
  <c r="AR160" i="126"/>
  <c r="AF160" i="126"/>
  <c r="T160" i="126"/>
  <c r="BF159" i="126"/>
  <c r="AT159" i="126"/>
  <c r="CT153" i="126" s="1"/>
  <c r="AH159" i="126"/>
  <c r="V159" i="126"/>
  <c r="AV158" i="126"/>
  <c r="AJ158" i="126"/>
  <c r="X158" i="126"/>
  <c r="L158" i="126"/>
  <c r="CW157" i="126"/>
  <c r="CK157" i="126"/>
  <c r="BY157" i="126"/>
  <c r="BM157" i="126"/>
  <c r="BA157" i="126"/>
  <c r="AO157" i="126"/>
  <c r="AC157" i="126"/>
  <c r="Q157" i="126"/>
  <c r="BC156" i="126"/>
  <c r="AQ156" i="126"/>
  <c r="AE156" i="126"/>
  <c r="S156" i="126"/>
  <c r="BE155" i="126"/>
  <c r="DE151" i="126" s="1"/>
  <c r="AS155" i="126"/>
  <c r="M189" i="126"/>
  <c r="BB183" i="126"/>
  <c r="CD181" i="126"/>
  <c r="CI180" i="126"/>
  <c r="CN179" i="126"/>
  <c r="CU178" i="126"/>
  <c r="S178" i="126"/>
  <c r="AS176" i="126"/>
  <c r="V175" i="126"/>
  <c r="AV173" i="126"/>
  <c r="BY172" i="126"/>
  <c r="DB171" i="126"/>
  <c r="AH171" i="126"/>
  <c r="AB170" i="126"/>
  <c r="DC169" i="126"/>
  <c r="CN169" i="126"/>
  <c r="BY169" i="126"/>
  <c r="BG169" i="126"/>
  <c r="AS169" i="126"/>
  <c r="AE169" i="126"/>
  <c r="Q169" i="126"/>
  <c r="BE168" i="126"/>
  <c r="DE160" i="126" s="1"/>
  <c r="AQ168" i="126"/>
  <c r="CQ160" i="126" s="1"/>
  <c r="AB168" i="126"/>
  <c r="M168" i="126"/>
  <c r="BB167" i="126"/>
  <c r="AM167" i="126"/>
  <c r="CM159" i="126" s="1"/>
  <c r="Y167" i="126"/>
  <c r="BY159" i="126" s="1"/>
  <c r="K167" i="126"/>
  <c r="BK159" i="126" s="1"/>
  <c r="AY166" i="126"/>
  <c r="CY158" i="126" s="1"/>
  <c r="AK166" i="126"/>
  <c r="X166" i="126"/>
  <c r="K166" i="126"/>
  <c r="AT165" i="126"/>
  <c r="AG165" i="126"/>
  <c r="T165" i="126"/>
  <c r="BD164" i="126"/>
  <c r="AQ164" i="126"/>
  <c r="AD164" i="126"/>
  <c r="Q164" i="126"/>
  <c r="BB163" i="126"/>
  <c r="DB156" i="126" s="1"/>
  <c r="AO163" i="126"/>
  <c r="AB163" i="126"/>
  <c r="O163" i="126"/>
  <c r="AZ162" i="126"/>
  <c r="AN162" i="126"/>
  <c r="AB162" i="126"/>
  <c r="P162" i="126"/>
  <c r="BA161" i="126"/>
  <c r="AO161" i="126"/>
  <c r="AC161" i="126"/>
  <c r="Q161" i="126"/>
  <c r="BC160" i="126"/>
  <c r="AQ160" i="126"/>
  <c r="AE160" i="126"/>
  <c r="S160" i="126"/>
  <c r="BE159" i="126"/>
  <c r="AS159" i="126"/>
  <c r="AG159" i="126"/>
  <c r="U159" i="126"/>
  <c r="BG158" i="126"/>
  <c r="AU158" i="126"/>
  <c r="AI158" i="126"/>
  <c r="W158" i="126"/>
  <c r="K158" i="126"/>
  <c r="CV157" i="126"/>
  <c r="CJ157" i="126"/>
  <c r="BX157" i="126"/>
  <c r="BL157" i="126"/>
  <c r="AZ157" i="126"/>
  <c r="AN157" i="126"/>
  <c r="AB157" i="126"/>
  <c r="P157" i="126"/>
  <c r="BB156" i="126"/>
  <c r="K189" i="126"/>
  <c r="BA183" i="126"/>
  <c r="BO181" i="126"/>
  <c r="BT180" i="126"/>
  <c r="BY179" i="126"/>
  <c r="CG178" i="126"/>
  <c r="BE177" i="126"/>
  <c r="AH176" i="126"/>
  <c r="K175" i="126"/>
  <c r="AK173" i="126"/>
  <c r="BN172" i="126"/>
  <c r="CQ171" i="126"/>
  <c r="W171" i="126"/>
  <c r="AA170" i="126"/>
  <c r="CA162" i="126" s="1"/>
  <c r="DB169" i="126"/>
  <c r="CM169" i="126"/>
  <c r="BW169" i="126"/>
  <c r="BF169" i="126"/>
  <c r="AR169" i="126"/>
  <c r="AD169" i="126"/>
  <c r="O169" i="126"/>
  <c r="BD168" i="126"/>
  <c r="DD160" i="126" s="1"/>
  <c r="AO168" i="126"/>
  <c r="Z168" i="126"/>
  <c r="L168" i="126"/>
  <c r="BL160" i="126" s="1"/>
  <c r="AZ167" i="126"/>
  <c r="CZ159" i="126" s="1"/>
  <c r="AL167" i="126"/>
  <c r="CL159" i="126" s="1"/>
  <c r="X167" i="126"/>
  <c r="AX166" i="126"/>
  <c r="CX158" i="126" s="1"/>
  <c r="AJ166" i="126"/>
  <c r="CJ158" i="126" s="1"/>
  <c r="W166" i="126"/>
  <c r="BF165" i="126"/>
  <c r="AS165" i="126"/>
  <c r="AF165" i="126"/>
  <c r="S165" i="126"/>
  <c r="BC164" i="126"/>
  <c r="AP164" i="126"/>
  <c r="AC164" i="126"/>
  <c r="P164" i="126"/>
  <c r="BA163" i="126"/>
  <c r="AN163" i="126"/>
  <c r="AA163" i="126"/>
  <c r="M163" i="126"/>
  <c r="AY162" i="126"/>
  <c r="AM162" i="126"/>
  <c r="AA162" i="126"/>
  <c r="O162" i="126"/>
  <c r="AZ161" i="126"/>
  <c r="AN161" i="126"/>
  <c r="AB161" i="126"/>
  <c r="P161" i="126"/>
  <c r="BB160" i="126"/>
  <c r="AP160" i="126"/>
  <c r="AD160" i="126"/>
  <c r="R160" i="126"/>
  <c r="BD159" i="126"/>
  <c r="AR159" i="126"/>
  <c r="CR153" i="126" s="1"/>
  <c r="AF159" i="126"/>
  <c r="T159" i="126"/>
  <c r="BW179" i="126"/>
  <c r="AG176" i="126"/>
  <c r="BM172" i="126"/>
  <c r="CL169" i="126"/>
  <c r="AQ169" i="126"/>
  <c r="BC168" i="126"/>
  <c r="DC160" i="126" s="1"/>
  <c r="K168" i="126"/>
  <c r="W167" i="126"/>
  <c r="AI166" i="126"/>
  <c r="CI158" i="126" s="1"/>
  <c r="AR165" i="126"/>
  <c r="BB164" i="126"/>
  <c r="O164" i="126"/>
  <c r="AI163" i="126"/>
  <c r="CI156" i="126" s="1"/>
  <c r="BG162" i="126"/>
  <c r="DG155" i="126" s="1"/>
  <c r="W162" i="126"/>
  <c r="BW155" i="126" s="1"/>
  <c r="AJ161" i="126"/>
  <c r="Z160" i="126"/>
  <c r="AZ159" i="126"/>
  <c r="P159" i="126"/>
  <c r="BD158" i="126"/>
  <c r="AF158" i="126"/>
  <c r="O158" i="126"/>
  <c r="CS157" i="126"/>
  <c r="CB157" i="126"/>
  <c r="BI157" i="126"/>
  <c r="AR157" i="126"/>
  <c r="Y157" i="126"/>
  <c r="AY156" i="126"/>
  <c r="AI156" i="126"/>
  <c r="R156" i="126"/>
  <c r="BR152" i="126" s="1"/>
  <c r="BA155" i="126"/>
  <c r="AK155" i="126"/>
  <c r="V155" i="126"/>
  <c r="AY154" i="126"/>
  <c r="AL154" i="126"/>
  <c r="Y154" i="126"/>
  <c r="L154" i="126"/>
  <c r="BF153" i="126"/>
  <c r="AS153" i="126"/>
  <c r="CS149" i="126" s="1"/>
  <c r="AF153" i="126"/>
  <c r="S153" i="126"/>
  <c r="AY152" i="126"/>
  <c r="AL152" i="126"/>
  <c r="Y152" i="126"/>
  <c r="L152" i="126"/>
  <c r="AX151" i="126"/>
  <c r="AL151" i="126"/>
  <c r="Z151" i="126"/>
  <c r="N151" i="126"/>
  <c r="AZ150" i="126"/>
  <c r="AN150" i="126"/>
  <c r="CN146" i="126" s="1"/>
  <c r="AB150" i="126"/>
  <c r="BF182" i="126"/>
  <c r="BI179" i="126"/>
  <c r="V176" i="126"/>
  <c r="BB172" i="126"/>
  <c r="CK169" i="126"/>
  <c r="AP169" i="126"/>
  <c r="BA168" i="126"/>
  <c r="V167" i="126"/>
  <c r="BV159" i="126" s="1"/>
  <c r="AG166" i="126"/>
  <c r="AQ165" i="126"/>
  <c r="BA164" i="126"/>
  <c r="N164" i="126"/>
  <c r="Y163" i="126"/>
  <c r="AX162" i="126"/>
  <c r="CX155" i="126" s="1"/>
  <c r="N162" i="126"/>
  <c r="AA161" i="126"/>
  <c r="BA160" i="126"/>
  <c r="DA154" i="126" s="1"/>
  <c r="Q160" i="126"/>
  <c r="BQ154" i="126" s="1"/>
  <c r="AQ159" i="126"/>
  <c r="BC158" i="126"/>
  <c r="AE158" i="126"/>
  <c r="M158" i="126"/>
  <c r="CR157" i="126"/>
  <c r="BZ157" i="126"/>
  <c r="BH157" i="126"/>
  <c r="AP157" i="126"/>
  <c r="X157" i="126"/>
  <c r="AX156" i="126"/>
  <c r="AH156" i="126"/>
  <c r="Q156" i="126"/>
  <c r="BQ152" i="126" s="1"/>
  <c r="AZ155" i="126"/>
  <c r="AJ155" i="126"/>
  <c r="U155" i="126"/>
  <c r="AX154" i="126"/>
  <c r="CX150" i="126" s="1"/>
  <c r="AK154" i="126"/>
  <c r="CK150" i="126" s="1"/>
  <c r="X154" i="126"/>
  <c r="K154" i="126"/>
  <c r="BE153" i="126"/>
  <c r="AR153" i="126"/>
  <c r="AE153" i="126"/>
  <c r="Q153" i="126"/>
  <c r="BQ149" i="126" s="1"/>
  <c r="AX152" i="126"/>
  <c r="AK152" i="126"/>
  <c r="X152" i="126"/>
  <c r="K152" i="126"/>
  <c r="AW151" i="126"/>
  <c r="AK151" i="126"/>
  <c r="Y151" i="126"/>
  <c r="BY147" i="126" s="1"/>
  <c r="M151" i="126"/>
  <c r="AY150" i="126"/>
  <c r="AM150" i="126"/>
  <c r="AA150" i="126"/>
  <c r="O150" i="126"/>
  <c r="BA149" i="126"/>
  <c r="AO149" i="126"/>
  <c r="AC149" i="126"/>
  <c r="Q149" i="126"/>
  <c r="BC148" i="126"/>
  <c r="AQ148" i="126"/>
  <c r="CQ144" i="126" s="1"/>
  <c r="AE148" i="126"/>
  <c r="S148" i="126"/>
  <c r="BE147" i="126"/>
  <c r="AS147" i="126"/>
  <c r="BD182" i="126"/>
  <c r="BH179" i="126"/>
  <c r="U176" i="126"/>
  <c r="BA172" i="126"/>
  <c r="AZ170" i="126"/>
  <c r="CZ162" i="126" s="1"/>
  <c r="CI169" i="126"/>
  <c r="AO169" i="126"/>
  <c r="AZ168" i="126"/>
  <c r="CZ160" i="126" s="1"/>
  <c r="U167" i="126"/>
  <c r="BU159" i="126" s="1"/>
  <c r="AF166" i="126"/>
  <c r="AP165" i="126"/>
  <c r="AZ164" i="126"/>
  <c r="M164" i="126"/>
  <c r="X163" i="126"/>
  <c r="BX156" i="126" s="1"/>
  <c r="AW162" i="126"/>
  <c r="M162" i="126"/>
  <c r="Z161" i="126"/>
  <c r="AZ160" i="126"/>
  <c r="CZ154" i="126" s="1"/>
  <c r="P160" i="126"/>
  <c r="BP154" i="126" s="1"/>
  <c r="AP159" i="126"/>
  <c r="CP153" i="126" s="1"/>
  <c r="BB158" i="126"/>
  <c r="AD158" i="126"/>
  <c r="DG157" i="126"/>
  <c r="CQ157" i="126"/>
  <c r="BW157" i="126"/>
  <c r="BG157" i="126"/>
  <c r="AM157" i="126"/>
  <c r="W157" i="126"/>
  <c r="AW156" i="126"/>
  <c r="AF156" i="126"/>
  <c r="CF152" i="126" s="1"/>
  <c r="P156" i="126"/>
  <c r="AY155" i="126"/>
  <c r="CY151" i="126" s="1"/>
  <c r="AH155" i="126"/>
  <c r="CH151" i="126" s="1"/>
  <c r="T155" i="126"/>
  <c r="AW154" i="126"/>
  <c r="AJ154" i="126"/>
  <c r="W154" i="126"/>
  <c r="BD153" i="126"/>
  <c r="AQ153" i="126"/>
  <c r="AC153" i="126"/>
  <c r="CC149" i="126" s="1"/>
  <c r="P153" i="126"/>
  <c r="AW152" i="126"/>
  <c r="AJ152" i="126"/>
  <c r="W152" i="126"/>
  <c r="BW148" i="126" s="1"/>
  <c r="AV151" i="126"/>
  <c r="AJ151" i="126"/>
  <c r="X151" i="126"/>
  <c r="L151" i="126"/>
  <c r="AX150" i="126"/>
  <c r="AL150" i="126"/>
  <c r="Z150" i="126"/>
  <c r="N150" i="126"/>
  <c r="AZ149" i="126"/>
  <c r="AN149" i="126"/>
  <c r="AB149" i="126"/>
  <c r="P149" i="126"/>
  <c r="BB148" i="126"/>
  <c r="AP148" i="126"/>
  <c r="AD148" i="126"/>
  <c r="R148" i="126"/>
  <c r="BD147" i="126"/>
  <c r="AR147" i="126"/>
  <c r="AF147" i="126"/>
  <c r="CF143" i="126" s="1"/>
  <c r="T147" i="126"/>
  <c r="BF146" i="126"/>
  <c r="AT146" i="126"/>
  <c r="AH146" i="126"/>
  <c r="V146" i="126"/>
  <c r="BV142" i="126" s="1"/>
  <c r="AV145" i="126"/>
  <c r="AJ145" i="126"/>
  <c r="X145" i="126"/>
  <c r="L145" i="126"/>
  <c r="AX144" i="126"/>
  <c r="AJ182" i="126"/>
  <c r="AT179" i="126"/>
  <c r="BG175" i="126"/>
  <c r="AP172" i="126"/>
  <c r="AW170" i="126"/>
  <c r="CF169" i="126"/>
  <c r="AM169" i="126"/>
  <c r="AX168" i="126"/>
  <c r="S167" i="126"/>
  <c r="AE166" i="126"/>
  <c r="CE158" i="126" s="1"/>
  <c r="AO165" i="126"/>
  <c r="AY164" i="126"/>
  <c r="K164" i="126"/>
  <c r="W163" i="126"/>
  <c r="AV162" i="126"/>
  <c r="CV155" i="126" s="1"/>
  <c r="L162" i="126"/>
  <c r="Y161" i="126"/>
  <c r="AY160" i="126"/>
  <c r="O160" i="126"/>
  <c r="BO154" i="126" s="1"/>
  <c r="AO159" i="126"/>
  <c r="AW158" i="126"/>
  <c r="AB158" i="126"/>
  <c r="DF157" i="126"/>
  <c r="CO157" i="126"/>
  <c r="BV157" i="126"/>
  <c r="BE157" i="126"/>
  <c r="AL157" i="126"/>
  <c r="U157" i="126"/>
  <c r="AU156" i="126"/>
  <c r="AD156" i="126"/>
  <c r="O156" i="126"/>
  <c r="BO152" i="126" s="1"/>
  <c r="AW155" i="126"/>
  <c r="CW151" i="126" s="1"/>
  <c r="AG155" i="126"/>
  <c r="S155" i="126"/>
  <c r="AV154" i="126"/>
  <c r="AI154" i="126"/>
  <c r="V154" i="126"/>
  <c r="BC153" i="126"/>
  <c r="DC149" i="126" s="1"/>
  <c r="AO153" i="126"/>
  <c r="CO149" i="126" s="1"/>
  <c r="AB153" i="126"/>
  <c r="O153" i="126"/>
  <c r="BO149" i="126" s="1"/>
  <c r="AV152" i="126"/>
  <c r="AI152" i="126"/>
  <c r="CI148" i="126" s="1"/>
  <c r="V152" i="126"/>
  <c r="BG151" i="126"/>
  <c r="AU151" i="126"/>
  <c r="AI151" i="126"/>
  <c r="W151" i="126"/>
  <c r="K151" i="126"/>
  <c r="BK147" i="126" s="1"/>
  <c r="AW150" i="126"/>
  <c r="CW146" i="126" s="1"/>
  <c r="AK150" i="126"/>
  <c r="Y150" i="126"/>
  <c r="M150" i="126"/>
  <c r="AY149" i="126"/>
  <c r="AM149" i="126"/>
  <c r="CM145" i="126" s="1"/>
  <c r="AA149" i="126"/>
  <c r="O149" i="126"/>
  <c r="BA148" i="126"/>
  <c r="AO148" i="126"/>
  <c r="AC148" i="126"/>
  <c r="Q148" i="126"/>
  <c r="BQ144" i="126" s="1"/>
  <c r="BC147" i="126"/>
  <c r="AQ147" i="126"/>
  <c r="AE147" i="126"/>
  <c r="S147" i="126"/>
  <c r="BE146" i="126"/>
  <c r="AS146" i="126"/>
  <c r="CS142" i="126" s="1"/>
  <c r="AG146" i="126"/>
  <c r="CG142" i="126" s="1"/>
  <c r="U146" i="126"/>
  <c r="BG145" i="126"/>
  <c r="AU145" i="126"/>
  <c r="AI145" i="126"/>
  <c r="W145" i="126"/>
  <c r="BW141" i="126" s="1"/>
  <c r="K145" i="126"/>
  <c r="BM181" i="126"/>
  <c r="CF178" i="126"/>
  <c r="BG174" i="126"/>
  <c r="CP171" i="126"/>
  <c r="Y170" i="126"/>
  <c r="BY162" i="126" s="1"/>
  <c r="BT169" i="126"/>
  <c r="AC169" i="126"/>
  <c r="AN168" i="126"/>
  <c r="AY167" i="126"/>
  <c r="CY159" i="126" s="1"/>
  <c r="U166" i="126"/>
  <c r="AE165" i="126"/>
  <c r="AO164" i="126"/>
  <c r="V163" i="126"/>
  <c r="AU162" i="126"/>
  <c r="CU155" i="126" s="1"/>
  <c r="K162" i="126"/>
  <c r="BK155" i="126" s="1"/>
  <c r="X161" i="126"/>
  <c r="AX160" i="126"/>
  <c r="CX154" i="126" s="1"/>
  <c r="N160" i="126"/>
  <c r="AN159" i="126"/>
  <c r="AT158" i="126"/>
  <c r="AA158" i="126"/>
  <c r="DE157" i="126"/>
  <c r="CN157" i="126"/>
  <c r="BU157" i="126"/>
  <c r="BD157" i="126"/>
  <c r="AK157" i="126"/>
  <c r="T157" i="126"/>
  <c r="AT156" i="126"/>
  <c r="AC156" i="126"/>
  <c r="CC152" i="126" s="1"/>
  <c r="N156" i="126"/>
  <c r="AV155" i="126"/>
  <c r="AF155" i="126"/>
  <c r="R155" i="126"/>
  <c r="AU154" i="126"/>
  <c r="AH154" i="126"/>
  <c r="U154" i="126"/>
  <c r="BA153" i="126"/>
  <c r="DA149" i="126" s="1"/>
  <c r="AN153" i="126"/>
  <c r="CN149" i="126" s="1"/>
  <c r="AA153" i="126"/>
  <c r="N153" i="126"/>
  <c r="AU152" i="126"/>
  <c r="CU148" i="126" s="1"/>
  <c r="AH152" i="126"/>
  <c r="U152" i="126"/>
  <c r="BF151" i="126"/>
  <c r="AT151" i="126"/>
  <c r="AH151" i="126"/>
  <c r="V151" i="126"/>
  <c r="BV147" i="126" s="1"/>
  <c r="AY181" i="126"/>
  <c r="BT178" i="126"/>
  <c r="AV174" i="126"/>
  <c r="CE171" i="126"/>
  <c r="X170" i="126"/>
  <c r="BS169" i="126"/>
  <c r="AA169" i="126"/>
  <c r="AL168" i="126"/>
  <c r="AX167" i="126"/>
  <c r="T166" i="126"/>
  <c r="AD165" i="126"/>
  <c r="AN164" i="126"/>
  <c r="AZ163" i="126"/>
  <c r="CZ156" i="126" s="1"/>
  <c r="L163" i="126"/>
  <c r="BL156" i="126" s="1"/>
  <c r="AL162" i="126"/>
  <c r="CL155" i="126" s="1"/>
  <c r="AY161" i="126"/>
  <c r="O161" i="126"/>
  <c r="AO160" i="126"/>
  <c r="CO154" i="126" s="1"/>
  <c r="AE159" i="126"/>
  <c r="CE153" i="126" s="1"/>
  <c r="AS158" i="126"/>
  <c r="Y158" i="126"/>
  <c r="DD157" i="126"/>
  <c r="CL157" i="126"/>
  <c r="BT157" i="126"/>
  <c r="BB157" i="126"/>
  <c r="AJ157" i="126"/>
  <c r="R157" i="126"/>
  <c r="AR156" i="126"/>
  <c r="CR152" i="126" s="1"/>
  <c r="AB156" i="126"/>
  <c r="M156" i="126"/>
  <c r="BM152" i="126" s="1"/>
  <c r="AT155" i="126"/>
  <c r="CT151" i="126" s="1"/>
  <c r="AE155" i="126"/>
  <c r="Q155" i="126"/>
  <c r="BG154" i="126"/>
  <c r="AT154" i="126"/>
  <c r="AG154" i="126"/>
  <c r="T154" i="126"/>
  <c r="AZ153" i="126"/>
  <c r="CZ149" i="126" s="1"/>
  <c r="AM153" i="126"/>
  <c r="Z153" i="126"/>
  <c r="M153" i="126"/>
  <c r="BG152" i="126"/>
  <c r="DG148" i="126" s="1"/>
  <c r="AT152" i="126"/>
  <c r="CT148" i="126" s="1"/>
  <c r="AG152" i="126"/>
  <c r="S152" i="126"/>
  <c r="BS148" i="126" s="1"/>
  <c r="BE151" i="126"/>
  <c r="AS151" i="126"/>
  <c r="CS147" i="126" s="1"/>
  <c r="AG151" i="126"/>
  <c r="U151" i="126"/>
  <c r="BU147" i="126" s="1"/>
  <c r="BG150" i="126"/>
  <c r="AU150" i="126"/>
  <c r="AI150" i="126"/>
  <c r="W150" i="126"/>
  <c r="K150" i="126"/>
  <c r="BK146" i="126" s="1"/>
  <c r="AX181" i="126"/>
  <c r="BS178" i="126"/>
  <c r="AU174" i="126"/>
  <c r="CD171" i="126"/>
  <c r="V170" i="126"/>
  <c r="BV162" i="126" s="1"/>
  <c r="BR169" i="126"/>
  <c r="Z169" i="126"/>
  <c r="AK168" i="126"/>
  <c r="CK160" i="126" s="1"/>
  <c r="AW167" i="126"/>
  <c r="CW159" i="126" s="1"/>
  <c r="S166" i="126"/>
  <c r="AC165" i="126"/>
  <c r="AM164" i="126"/>
  <c r="AY163" i="126"/>
  <c r="CY156" i="126" s="1"/>
  <c r="K163" i="126"/>
  <c r="AK162" i="126"/>
  <c r="CK155" i="126" s="1"/>
  <c r="AX161" i="126"/>
  <c r="N161" i="126"/>
  <c r="AN160" i="126"/>
  <c r="CN154" i="126" s="1"/>
  <c r="AD159" i="126"/>
  <c r="CD153" i="126" s="1"/>
  <c r="AR158" i="126"/>
  <c r="V158" i="126"/>
  <c r="DC157" i="126"/>
  <c r="CI157" i="126"/>
  <c r="BS157" i="126"/>
  <c r="AY157" i="126"/>
  <c r="AI157" i="126"/>
  <c r="O157" i="126"/>
  <c r="AP156" i="126"/>
  <c r="AA156" i="126"/>
  <c r="K156" i="126"/>
  <c r="BK152" i="126" s="1"/>
  <c r="AR155" i="126"/>
  <c r="CR151" i="126" s="1"/>
  <c r="AD155" i="126"/>
  <c r="P155" i="126"/>
  <c r="BF154" i="126"/>
  <c r="AS154" i="126"/>
  <c r="AF154" i="126"/>
  <c r="CF150" i="126" s="1"/>
  <c r="S154" i="126"/>
  <c r="BS150" i="126" s="1"/>
  <c r="AY153" i="126"/>
  <c r="AL153" i="126"/>
  <c r="Y153" i="126"/>
  <c r="L153" i="126"/>
  <c r="BF152" i="126"/>
  <c r="DF148" i="126" s="1"/>
  <c r="AS152" i="126"/>
  <c r="AE152" i="126"/>
  <c r="CE148" i="126" s="1"/>
  <c r="R152" i="126"/>
  <c r="BR148" i="126" s="1"/>
  <c r="BD151" i="126"/>
  <c r="DD147" i="126" s="1"/>
  <c r="AR151" i="126"/>
  <c r="AF151" i="126"/>
  <c r="CF147" i="126" s="1"/>
  <c r="T151" i="126"/>
  <c r="BT147" i="126" s="1"/>
  <c r="AJ181" i="126"/>
  <c r="BG178" i="126"/>
  <c r="AJ174" i="126"/>
  <c r="BS171" i="126"/>
  <c r="S170" i="126"/>
  <c r="BS162" i="126" s="1"/>
  <c r="BQ169" i="126"/>
  <c r="X169" i="126"/>
  <c r="AJ168" i="126"/>
  <c r="CJ160" i="126" s="1"/>
  <c r="AV167" i="126"/>
  <c r="CV159" i="126" s="1"/>
  <c r="R166" i="126"/>
  <c r="AB165" i="126"/>
  <c r="AL164" i="126"/>
  <c r="AW163" i="126"/>
  <c r="CW156" i="126" s="1"/>
  <c r="AJ162" i="126"/>
  <c r="CJ155" i="126" s="1"/>
  <c r="AW161" i="126"/>
  <c r="M161" i="126"/>
  <c r="AM160" i="126"/>
  <c r="CM154" i="126" s="1"/>
  <c r="AC159" i="126"/>
  <c r="CC153" i="126" s="1"/>
  <c r="AQ158" i="126"/>
  <c r="U158" i="126"/>
  <c r="DA157" i="126"/>
  <c r="CH157" i="126"/>
  <c r="BQ157" i="126"/>
  <c r="AX157" i="126"/>
  <c r="AG157" i="126"/>
  <c r="N157" i="126"/>
  <c r="BG156" i="126"/>
  <c r="AO156" i="126"/>
  <c r="Z156" i="126"/>
  <c r="BZ152" i="126" s="1"/>
  <c r="AQ155" i="126"/>
  <c r="CQ151" i="126" s="1"/>
  <c r="AC155" i="126"/>
  <c r="CC151" i="126" s="1"/>
  <c r="O155" i="126"/>
  <c r="BE154" i="126"/>
  <c r="DE150" i="126" s="1"/>
  <c r="AR154" i="126"/>
  <c r="AE154" i="126"/>
  <c r="CE150" i="126" s="1"/>
  <c r="R154" i="126"/>
  <c r="AX153" i="126"/>
  <c r="AK153" i="126"/>
  <c r="CK149" i="126" s="1"/>
  <c r="X153" i="126"/>
  <c r="K153" i="126"/>
  <c r="BE152" i="126"/>
  <c r="AQ152" i="126"/>
  <c r="AD152" i="126"/>
  <c r="CD148" i="126" s="1"/>
  <c r="Q152" i="126"/>
  <c r="BC151" i="126"/>
  <c r="AQ151" i="126"/>
  <c r="AE151" i="126"/>
  <c r="CE147" i="126" s="1"/>
  <c r="S151" i="126"/>
  <c r="BS147" i="126" s="1"/>
  <c r="BE150" i="126"/>
  <c r="DE146" i="126" s="1"/>
  <c r="X188" i="126"/>
  <c r="BX168" i="126" s="1"/>
  <c r="BR180" i="126"/>
  <c r="BD177" i="126"/>
  <c r="AJ173" i="126"/>
  <c r="V171" i="126"/>
  <c r="DA169" i="126"/>
  <c r="BE169" i="126"/>
  <c r="N169" i="126"/>
  <c r="Y168" i="126"/>
  <c r="BY160" i="126" s="1"/>
  <c r="AK167" i="126"/>
  <c r="CK159" i="126" s="1"/>
  <c r="AW166" i="126"/>
  <c r="CW158" i="126" s="1"/>
  <c r="BE165" i="126"/>
  <c r="R165" i="126"/>
  <c r="AB164" i="126"/>
  <c r="AV163" i="126"/>
  <c r="CV156" i="126" s="1"/>
  <c r="AI162" i="126"/>
  <c r="CI155" i="126" s="1"/>
  <c r="AV161" i="126"/>
  <c r="L161" i="126"/>
  <c r="AL160" i="126"/>
  <c r="CL154" i="126" s="1"/>
  <c r="AB159" i="126"/>
  <c r="CB153" i="126" s="1"/>
  <c r="AP158" i="126"/>
  <c r="T158" i="126"/>
  <c r="CZ157" i="126"/>
  <c r="CG157" i="126"/>
  <c r="BP157" i="126"/>
  <c r="AW157" i="126"/>
  <c r="AF157" i="126"/>
  <c r="M157" i="126"/>
  <c r="BF156" i="126"/>
  <c r="AN156" i="126"/>
  <c r="CN152" i="126" s="1"/>
  <c r="Y156" i="126"/>
  <c r="BY152" i="126" s="1"/>
  <c r="BF155" i="126"/>
  <c r="AP155" i="126"/>
  <c r="CP151" i="126" s="1"/>
  <c r="AB155" i="126"/>
  <c r="CB151" i="126" s="1"/>
  <c r="M155" i="126"/>
  <c r="BM151" i="126" s="1"/>
  <c r="BD154" i="126"/>
  <c r="AQ154" i="126"/>
  <c r="CQ150" i="126" s="1"/>
  <c r="AD154" i="126"/>
  <c r="Q154" i="126"/>
  <c r="AW153" i="126"/>
  <c r="AJ153" i="126"/>
  <c r="CJ149" i="126" s="1"/>
  <c r="W153" i="126"/>
  <c r="BC152" i="126"/>
  <c r="DC148" i="126" s="1"/>
  <c r="AP152" i="126"/>
  <c r="CP148" i="126" s="1"/>
  <c r="AC152" i="126"/>
  <c r="CC148" i="126" s="1"/>
  <c r="P152" i="126"/>
  <c r="BP148" i="126" s="1"/>
  <c r="BB151" i="126"/>
  <c r="DB147" i="126" s="1"/>
  <c r="AP151" i="126"/>
  <c r="AD151" i="126"/>
  <c r="R151" i="126"/>
  <c r="BD150" i="126"/>
  <c r="AR150" i="126"/>
  <c r="CR146" i="126" s="1"/>
  <c r="AF150" i="126"/>
  <c r="AR186" i="126"/>
  <c r="AO180" i="126"/>
  <c r="AG177" i="126"/>
  <c r="M173" i="126"/>
  <c r="CX169" i="126"/>
  <c r="BB169" i="126"/>
  <c r="V168" i="126"/>
  <c r="AH167" i="126"/>
  <c r="CH159" i="126" s="1"/>
  <c r="AS166" i="126"/>
  <c r="CS158" i="126" s="1"/>
  <c r="BB165" i="126"/>
  <c r="O165" i="126"/>
  <c r="Y164" i="126"/>
  <c r="AJ163" i="126"/>
  <c r="X162" i="126"/>
  <c r="AK161" i="126"/>
  <c r="AA160" i="126"/>
  <c r="BA159" i="126"/>
  <c r="DA153" i="126" s="1"/>
  <c r="Q159" i="126"/>
  <c r="BQ153" i="126" s="1"/>
  <c r="BE158" i="126"/>
  <c r="AG158" i="126"/>
  <c r="P158" i="126"/>
  <c r="CT157" i="126"/>
  <c r="CC157" i="126"/>
  <c r="BJ157" i="126"/>
  <c r="AS157" i="126"/>
  <c r="Z157" i="126"/>
  <c r="AZ156" i="126"/>
  <c r="AK156" i="126"/>
  <c r="CK152" i="126" s="1"/>
  <c r="T156" i="126"/>
  <c r="BT152" i="126" s="1"/>
  <c r="BB155" i="126"/>
  <c r="DB151" i="126" s="1"/>
  <c r="AM155" i="126"/>
  <c r="X155" i="126"/>
  <c r="BX151" i="126" s="1"/>
  <c r="BA154" i="126"/>
  <c r="AM154" i="126"/>
  <c r="CM150" i="126" s="1"/>
  <c r="Z154" i="126"/>
  <c r="BZ150" i="126" s="1"/>
  <c r="M154" i="126"/>
  <c r="BM150" i="126" s="1"/>
  <c r="BG153" i="126"/>
  <c r="DG149" i="126" s="1"/>
  <c r="AT153" i="126"/>
  <c r="AG153" i="126"/>
  <c r="T153" i="126"/>
  <c r="AZ152" i="126"/>
  <c r="CZ148" i="126" s="1"/>
  <c r="AM152" i="126"/>
  <c r="Z152" i="126"/>
  <c r="M152" i="126"/>
  <c r="BM148" i="126" s="1"/>
  <c r="AY151" i="126"/>
  <c r="AR177" i="126"/>
  <c r="BC165" i="126"/>
  <c r="Z162" i="126"/>
  <c r="BZ155" i="126" s="1"/>
  <c r="BC159" i="126"/>
  <c r="DC153" i="126" s="1"/>
  <c r="CX157" i="126"/>
  <c r="O154" i="126"/>
  <c r="AI153" i="126"/>
  <c r="CI149" i="126" s="1"/>
  <c r="BB152" i="126"/>
  <c r="DB148" i="126" s="1"/>
  <c r="Q151" i="126"/>
  <c r="AV150" i="126"/>
  <c r="X150" i="126"/>
  <c r="BC149" i="126"/>
  <c r="AK149" i="126"/>
  <c r="V149" i="126"/>
  <c r="BV145" i="126" s="1"/>
  <c r="BE148" i="126"/>
  <c r="AM148" i="126"/>
  <c r="X148" i="126"/>
  <c r="BG147" i="126"/>
  <c r="AO147" i="126"/>
  <c r="AA147" i="126"/>
  <c r="CA143" i="126" s="1"/>
  <c r="M147" i="126"/>
  <c r="BA146" i="126"/>
  <c r="AM146" i="126"/>
  <c r="CM142" i="126" s="1"/>
  <c r="Y146" i="126"/>
  <c r="K146" i="126"/>
  <c r="AY145" i="126"/>
  <c r="CY141" i="126" s="1"/>
  <c r="AK145" i="126"/>
  <c r="U145" i="126"/>
  <c r="AV144" i="126"/>
  <c r="AJ144" i="126"/>
  <c r="X144" i="126"/>
  <c r="L144" i="126"/>
  <c r="AX143" i="126"/>
  <c r="AL143" i="126"/>
  <c r="Z143" i="126"/>
  <c r="N143" i="126"/>
  <c r="AZ142" i="126"/>
  <c r="AN142" i="126"/>
  <c r="AB142" i="126"/>
  <c r="P142" i="126"/>
  <c r="BB141" i="126"/>
  <c r="AP141" i="126"/>
  <c r="AD141" i="126"/>
  <c r="R141" i="126"/>
  <c r="Y173" i="126"/>
  <c r="X168" i="126"/>
  <c r="BX160" i="126" s="1"/>
  <c r="Q165" i="126"/>
  <c r="Y162" i="126"/>
  <c r="BB159" i="126"/>
  <c r="DB153" i="126" s="1"/>
  <c r="CU157" i="126"/>
  <c r="N154" i="126"/>
  <c r="BN150" i="126" s="1"/>
  <c r="AH153" i="126"/>
  <c r="CH149" i="126" s="1"/>
  <c r="BA152" i="126"/>
  <c r="P151" i="126"/>
  <c r="AT150" i="126"/>
  <c r="CT146" i="126" s="1"/>
  <c r="V150" i="126"/>
  <c r="BV146" i="126" s="1"/>
  <c r="BB149" i="126"/>
  <c r="DB145" i="126" s="1"/>
  <c r="AJ149" i="126"/>
  <c r="CJ145" i="126" s="1"/>
  <c r="U149" i="126"/>
  <c r="BU145" i="126" s="1"/>
  <c r="BD148" i="126"/>
  <c r="AL148" i="126"/>
  <c r="W148" i="126"/>
  <c r="BW144" i="126" s="1"/>
  <c r="BF147" i="126"/>
  <c r="AN147" i="126"/>
  <c r="CN143" i="126" s="1"/>
  <c r="Z147" i="126"/>
  <c r="L147" i="126"/>
  <c r="AZ146" i="126"/>
  <c r="CZ142" i="126" s="1"/>
  <c r="AL146" i="126"/>
  <c r="CL142" i="126" s="1"/>
  <c r="X146" i="126"/>
  <c r="AX145" i="126"/>
  <c r="AH145" i="126"/>
  <c r="T145" i="126"/>
  <c r="AU144" i="126"/>
  <c r="AI144" i="126"/>
  <c r="W144" i="126"/>
  <c r="K144" i="126"/>
  <c r="AW143" i="126"/>
  <c r="AK143" i="126"/>
  <c r="Y143" i="126"/>
  <c r="M143" i="126"/>
  <c r="AY142" i="126"/>
  <c r="AM142" i="126"/>
  <c r="AA142" i="126"/>
  <c r="O142" i="126"/>
  <c r="BA141" i="126"/>
  <c r="AO141" i="126"/>
  <c r="AC141" i="126"/>
  <c r="Q141" i="126"/>
  <c r="X173" i="126"/>
  <c r="W168" i="126"/>
  <c r="BW160" i="126" s="1"/>
  <c r="P165" i="126"/>
  <c r="AM161" i="126"/>
  <c r="S159" i="126"/>
  <c r="BS153" i="126" s="1"/>
  <c r="CF157" i="126"/>
  <c r="V153" i="126"/>
  <c r="AO152" i="126"/>
  <c r="CO148" i="126" s="1"/>
  <c r="O151" i="126"/>
  <c r="BO147" i="126" s="1"/>
  <c r="AS150" i="126"/>
  <c r="U150" i="126"/>
  <c r="BU146" i="126" s="1"/>
  <c r="AX149" i="126"/>
  <c r="CX145" i="126" s="1"/>
  <c r="AI149" i="126"/>
  <c r="CI145" i="126" s="1"/>
  <c r="T149" i="126"/>
  <c r="BT145" i="126" s="1"/>
  <c r="AZ148" i="126"/>
  <c r="AK148" i="126"/>
  <c r="CK144" i="126" s="1"/>
  <c r="V148" i="126"/>
  <c r="BB147" i="126"/>
  <c r="AM147" i="126"/>
  <c r="CM143" i="126" s="1"/>
  <c r="Y147" i="126"/>
  <c r="K147" i="126"/>
  <c r="AY146" i="126"/>
  <c r="CY142" i="126" s="1"/>
  <c r="AK146" i="126"/>
  <c r="CK142" i="126" s="1"/>
  <c r="W146" i="126"/>
  <c r="AW145" i="126"/>
  <c r="AG145" i="126"/>
  <c r="S145" i="126"/>
  <c r="BG144" i="126"/>
  <c r="DG144" i="126" s="1"/>
  <c r="AT144" i="126"/>
  <c r="AH144" i="126"/>
  <c r="V144" i="126"/>
  <c r="AV143" i="126"/>
  <c r="AJ143" i="126"/>
  <c r="X143" i="126"/>
  <c r="L143" i="126"/>
  <c r="AX142" i="126"/>
  <c r="AL142" i="126"/>
  <c r="Z142" i="126"/>
  <c r="N142" i="126"/>
  <c r="AZ141" i="126"/>
  <c r="AN141" i="126"/>
  <c r="AB141" i="126"/>
  <c r="P141" i="126"/>
  <c r="K171" i="126"/>
  <c r="AA164" i="126"/>
  <c r="AL161" i="126"/>
  <c r="R159" i="126"/>
  <c r="BR153" i="126" s="1"/>
  <c r="CE157" i="126"/>
  <c r="U153" i="126"/>
  <c r="AN152" i="126"/>
  <c r="AQ150" i="126"/>
  <c r="T150" i="126"/>
  <c r="AW149" i="126"/>
  <c r="CW145" i="126" s="1"/>
  <c r="AH149" i="126"/>
  <c r="S149" i="126"/>
  <c r="BS145" i="126" s="1"/>
  <c r="AY148" i="126"/>
  <c r="AJ148" i="126"/>
  <c r="U148" i="126"/>
  <c r="BU144" i="126" s="1"/>
  <c r="BA147" i="126"/>
  <c r="DA143" i="126" s="1"/>
  <c r="AL147" i="126"/>
  <c r="CL143" i="126" s="1"/>
  <c r="X147" i="126"/>
  <c r="AX146" i="126"/>
  <c r="AJ146" i="126"/>
  <c r="CJ142" i="126" s="1"/>
  <c r="T146" i="126"/>
  <c r="BT142" i="126" s="1"/>
  <c r="AT145" i="126"/>
  <c r="CT141" i="126" s="1"/>
  <c r="AF145" i="126"/>
  <c r="R145" i="126"/>
  <c r="BF144" i="126"/>
  <c r="AS144" i="126"/>
  <c r="AG144" i="126"/>
  <c r="U144" i="126"/>
  <c r="BG143" i="126"/>
  <c r="AU143" i="126"/>
  <c r="AI143" i="126"/>
  <c r="W143" i="126"/>
  <c r="K143" i="126"/>
  <c r="AW142" i="126"/>
  <c r="AK142" i="126"/>
  <c r="Y142" i="126"/>
  <c r="M142" i="126"/>
  <c r="AY141" i="126"/>
  <c r="AM141" i="126"/>
  <c r="AA141" i="126"/>
  <c r="O141" i="126"/>
  <c r="Z164" i="126"/>
  <c r="BN157" i="126"/>
  <c r="BD156" i="126"/>
  <c r="DD152" i="126" s="1"/>
  <c r="BD155" i="126"/>
  <c r="DD151" i="126" s="1"/>
  <c r="AB152" i="126"/>
  <c r="BA151" i="126"/>
  <c r="AP150" i="126"/>
  <c r="S150" i="126"/>
  <c r="AV149" i="126"/>
  <c r="CV145" i="126" s="1"/>
  <c r="AG149" i="126"/>
  <c r="CG145" i="126" s="1"/>
  <c r="R149" i="126"/>
  <c r="BR145" i="126" s="1"/>
  <c r="AX148" i="126"/>
  <c r="CX144" i="126" s="1"/>
  <c r="AI148" i="126"/>
  <c r="T148" i="126"/>
  <c r="AZ147" i="126"/>
  <c r="CZ143" i="126" s="1"/>
  <c r="AK147" i="126"/>
  <c r="CK143" i="126" s="1"/>
  <c r="W147" i="126"/>
  <c r="BW143" i="126" s="1"/>
  <c r="AW146" i="126"/>
  <c r="AI146" i="126"/>
  <c r="CI142" i="126" s="1"/>
  <c r="S146" i="126"/>
  <c r="AS145" i="126"/>
  <c r="AE145" i="126"/>
  <c r="Q145" i="126"/>
  <c r="BQ141" i="126" s="1"/>
  <c r="BE144" i="126"/>
  <c r="AR144" i="126"/>
  <c r="CR144" i="126" s="1"/>
  <c r="AF144" i="126"/>
  <c r="T144" i="126"/>
  <c r="BF143" i="126"/>
  <c r="AT143" i="126"/>
  <c r="AH143" i="126"/>
  <c r="V143" i="126"/>
  <c r="AV142" i="126"/>
  <c r="AJ142" i="126"/>
  <c r="X142" i="126"/>
  <c r="L142" i="126"/>
  <c r="AX141" i="126"/>
  <c r="AL141" i="126"/>
  <c r="Z141" i="126"/>
  <c r="N141" i="126"/>
  <c r="CZ169" i="126"/>
  <c r="AJ167" i="126"/>
  <c r="CJ159" i="126" s="1"/>
  <c r="BK157" i="126"/>
  <c r="BA156" i="126"/>
  <c r="DA152" i="126" s="1"/>
  <c r="BC155" i="126"/>
  <c r="DC151" i="126" s="1"/>
  <c r="AA152" i="126"/>
  <c r="AZ151" i="126"/>
  <c r="CZ147" i="126" s="1"/>
  <c r="AO150" i="126"/>
  <c r="CO146" i="126" s="1"/>
  <c r="R150" i="126"/>
  <c r="AU149" i="126"/>
  <c r="CU145" i="126" s="1"/>
  <c r="AF149" i="126"/>
  <c r="CF145" i="126" s="1"/>
  <c r="N149" i="126"/>
  <c r="BN145" i="126" s="1"/>
  <c r="AW148" i="126"/>
  <c r="CW144" i="126" s="1"/>
  <c r="AH148" i="126"/>
  <c r="CH144" i="126" s="1"/>
  <c r="P148" i="126"/>
  <c r="AY147" i="126"/>
  <c r="CY143" i="126" s="1"/>
  <c r="AJ147" i="126"/>
  <c r="V147" i="126"/>
  <c r="AV146" i="126"/>
  <c r="CV142" i="126" s="1"/>
  <c r="AF146" i="126"/>
  <c r="CF142" i="126" s="1"/>
  <c r="R146" i="126"/>
  <c r="BF145" i="126"/>
  <c r="DF141" i="126" s="1"/>
  <c r="AR145" i="126"/>
  <c r="AD145" i="126"/>
  <c r="CD141" i="126" s="1"/>
  <c r="P145" i="126"/>
  <c r="BP141" i="126" s="1"/>
  <c r="BD144" i="126"/>
  <c r="AQ144" i="126"/>
  <c r="AE144" i="126"/>
  <c r="S144" i="126"/>
  <c r="BE143" i="126"/>
  <c r="AS143" i="126"/>
  <c r="AG143" i="126"/>
  <c r="U143" i="126"/>
  <c r="BG142" i="126"/>
  <c r="AU142" i="126"/>
  <c r="AI142" i="126"/>
  <c r="W142" i="126"/>
  <c r="K142" i="126"/>
  <c r="AW141" i="126"/>
  <c r="AK141" i="126"/>
  <c r="Y141" i="126"/>
  <c r="M141" i="126"/>
  <c r="W188" i="126"/>
  <c r="BW168" i="126" s="1"/>
  <c r="CY169" i="126"/>
  <c r="AI167" i="126"/>
  <c r="AM163" i="126"/>
  <c r="AV157" i="126"/>
  <c r="AM156" i="126"/>
  <c r="AO155" i="126"/>
  <c r="CO151" i="126" s="1"/>
  <c r="BC154" i="126"/>
  <c r="O152" i="126"/>
  <c r="AO151" i="126"/>
  <c r="CO147" i="126" s="1"/>
  <c r="AJ150" i="126"/>
  <c r="Q150" i="126"/>
  <c r="AT149" i="126"/>
  <c r="CT145" i="126" s="1"/>
  <c r="AE149" i="126"/>
  <c r="M149" i="126"/>
  <c r="AV148" i="126"/>
  <c r="CV144" i="126" s="1"/>
  <c r="AG148" i="126"/>
  <c r="O148" i="126"/>
  <c r="AX147" i="126"/>
  <c r="CX143" i="126" s="1"/>
  <c r="AI147" i="126"/>
  <c r="CI143" i="126" s="1"/>
  <c r="U147" i="126"/>
  <c r="AU146" i="126"/>
  <c r="CU142" i="126" s="1"/>
  <c r="AE146" i="126"/>
  <c r="Q146" i="126"/>
  <c r="BE145" i="126"/>
  <c r="AQ145" i="126"/>
  <c r="AC145" i="126"/>
  <c r="CC141" i="126" s="1"/>
  <c r="O145" i="126"/>
  <c r="BC144" i="126"/>
  <c r="AP144" i="126"/>
  <c r="AD144" i="126"/>
  <c r="R144" i="126"/>
  <c r="BD143" i="126"/>
  <c r="AR143" i="126"/>
  <c r="AF143" i="126"/>
  <c r="T143" i="126"/>
  <c r="BF142" i="126"/>
  <c r="AT142" i="126"/>
  <c r="AH142" i="126"/>
  <c r="V142" i="126"/>
  <c r="AV141" i="126"/>
  <c r="AJ141" i="126"/>
  <c r="X141" i="126"/>
  <c r="L141" i="126"/>
  <c r="AS186" i="126"/>
  <c r="BD169" i="126"/>
  <c r="AK163" i="126"/>
  <c r="CK156" i="126" s="1"/>
  <c r="BF158" i="126"/>
  <c r="AU157" i="126"/>
  <c r="AL156" i="126"/>
  <c r="CL152" i="126" s="1"/>
  <c r="AN155" i="126"/>
  <c r="CN151" i="126" s="1"/>
  <c r="BB154" i="126"/>
  <c r="DB150" i="126" s="1"/>
  <c r="N152" i="126"/>
  <c r="AN151" i="126"/>
  <c r="AH150" i="126"/>
  <c r="CH146" i="126" s="1"/>
  <c r="P150" i="126"/>
  <c r="AS149" i="126"/>
  <c r="CS145" i="126" s="1"/>
  <c r="AD149" i="126"/>
  <c r="CD145" i="126" s="1"/>
  <c r="L149" i="126"/>
  <c r="BL145" i="126" s="1"/>
  <c r="AU148" i="126"/>
  <c r="CU144" i="126" s="1"/>
  <c r="AF148" i="126"/>
  <c r="CF144" i="126" s="1"/>
  <c r="N148" i="126"/>
  <c r="BN144" i="126" s="1"/>
  <c r="AW147" i="126"/>
  <c r="CW143" i="126" s="1"/>
  <c r="AH147" i="126"/>
  <c r="CH143" i="126" s="1"/>
  <c r="R147" i="126"/>
  <c r="AR146" i="126"/>
  <c r="AD146" i="126"/>
  <c r="CD142" i="126" s="1"/>
  <c r="P146" i="126"/>
  <c r="BP142" i="126" s="1"/>
  <c r="BD145" i="126"/>
  <c r="AP145" i="126"/>
  <c r="CP141" i="126" s="1"/>
  <c r="AB145" i="126"/>
  <c r="CB141" i="126" s="1"/>
  <c r="N145" i="126"/>
  <c r="BB144" i="126"/>
  <c r="AO144" i="126"/>
  <c r="AC144" i="126"/>
  <c r="Q144" i="126"/>
  <c r="BC143" i="126"/>
  <c r="AQ143" i="126"/>
  <c r="AE143" i="126"/>
  <c r="S143" i="126"/>
  <c r="BE142" i="126"/>
  <c r="AS142" i="126"/>
  <c r="AG142" i="126"/>
  <c r="U142" i="126"/>
  <c r="BG141" i="126"/>
  <c r="AU141" i="126"/>
  <c r="AI141" i="126"/>
  <c r="W141" i="126"/>
  <c r="K141" i="126"/>
  <c r="BC169" i="126"/>
  <c r="AC160" i="126"/>
  <c r="AK158" i="126"/>
  <c r="AD157" i="126"/>
  <c r="W156" i="126"/>
  <c r="AA155" i="126"/>
  <c r="AP154" i="126"/>
  <c r="AM151" i="126"/>
  <c r="CM147" i="126" s="1"/>
  <c r="BF150" i="126"/>
  <c r="DF146" i="126" s="1"/>
  <c r="AG150" i="126"/>
  <c r="CG146" i="126" s="1"/>
  <c r="L150" i="126"/>
  <c r="BG149" i="126"/>
  <c r="DG145" i="126" s="1"/>
  <c r="AR149" i="126"/>
  <c r="CR145" i="126" s="1"/>
  <c r="Z149" i="126"/>
  <c r="BZ145" i="126" s="1"/>
  <c r="K149" i="126"/>
  <c r="BK145" i="126" s="1"/>
  <c r="AT148" i="126"/>
  <c r="AB148" i="126"/>
  <c r="M148" i="126"/>
  <c r="AV147" i="126"/>
  <c r="CV143" i="126" s="1"/>
  <c r="AG147" i="126"/>
  <c r="CG143" i="126" s="1"/>
  <c r="Q147" i="126"/>
  <c r="BG146" i="126"/>
  <c r="DG142" i="126" s="1"/>
  <c r="AQ146" i="126"/>
  <c r="AC146" i="126"/>
  <c r="O146" i="126"/>
  <c r="BO142" i="126" s="1"/>
  <c r="BC145" i="126"/>
  <c r="DC141" i="126" s="1"/>
  <c r="AO145" i="126"/>
  <c r="CO141" i="126" s="1"/>
  <c r="AA145" i="126"/>
  <c r="M145" i="126"/>
  <c r="BM141" i="126" s="1"/>
  <c r="BA144" i="126"/>
  <c r="AN144" i="126"/>
  <c r="AB144" i="126"/>
  <c r="P144" i="126"/>
  <c r="BB143" i="126"/>
  <c r="AP143" i="126"/>
  <c r="AD143" i="126"/>
  <c r="R143" i="126"/>
  <c r="BD142" i="126"/>
  <c r="AR142" i="126"/>
  <c r="AF142" i="126"/>
  <c r="T142" i="126"/>
  <c r="BF141" i="126"/>
  <c r="AT141" i="126"/>
  <c r="AH141" i="126"/>
  <c r="V141" i="126"/>
  <c r="BD180" i="126"/>
  <c r="L169" i="126"/>
  <c r="AV166" i="126"/>
  <c r="CV158" i="126" s="1"/>
  <c r="AB160" i="126"/>
  <c r="CB154" i="126" s="1"/>
  <c r="AH158" i="126"/>
  <c r="AA157" i="126"/>
  <c r="V156" i="126"/>
  <c r="BV152" i="126" s="1"/>
  <c r="Y155" i="126"/>
  <c r="BY151" i="126" s="1"/>
  <c r="AO154" i="126"/>
  <c r="AC151" i="126"/>
  <c r="BC150" i="126"/>
  <c r="DC146" i="126" s="1"/>
  <c r="AE150" i="126"/>
  <c r="CE146" i="126" s="1"/>
  <c r="BF149" i="126"/>
  <c r="DF145" i="126" s="1"/>
  <c r="AQ149" i="126"/>
  <c r="Y149" i="126"/>
  <c r="BY145" i="126" s="1"/>
  <c r="AS148" i="126"/>
  <c r="CS144" i="126" s="1"/>
  <c r="AA148" i="126"/>
  <c r="CA144" i="126" s="1"/>
  <c r="L148" i="126"/>
  <c r="AU147" i="126"/>
  <c r="CU143" i="126" s="1"/>
  <c r="AD147" i="126"/>
  <c r="CD143" i="126" s="1"/>
  <c r="P147" i="126"/>
  <c r="BD146" i="126"/>
  <c r="AP146" i="126"/>
  <c r="AB146" i="126"/>
  <c r="CB142" i="126" s="1"/>
  <c r="N146" i="126"/>
  <c r="BN142" i="126" s="1"/>
  <c r="BB145" i="126"/>
  <c r="DB141" i="126" s="1"/>
  <c r="AN145" i="126"/>
  <c r="Z145" i="126"/>
  <c r="BZ141" i="126" s="1"/>
  <c r="AZ144" i="126"/>
  <c r="AM144" i="126"/>
  <c r="AA144" i="126"/>
  <c r="O144" i="126"/>
  <c r="BA143" i="126"/>
  <c r="AO143" i="126"/>
  <c r="AC143" i="126"/>
  <c r="Q143" i="126"/>
  <c r="BC142" i="126"/>
  <c r="DC142" i="126" s="1"/>
  <c r="AQ142" i="126"/>
  <c r="AE142" i="126"/>
  <c r="S142" i="126"/>
  <c r="BE141" i="126"/>
  <c r="AS141" i="126"/>
  <c r="AG141" i="126"/>
  <c r="U141" i="126"/>
  <c r="AS177" i="126"/>
  <c r="BD165" i="126"/>
  <c r="R158" i="126"/>
  <c r="K157" i="126"/>
  <c r="AA154" i="126"/>
  <c r="CA150" i="126" s="1"/>
  <c r="AU153" i="126"/>
  <c r="CU149" i="126" s="1"/>
  <c r="AA151" i="126"/>
  <c r="BA150" i="126"/>
  <c r="DA146" i="126" s="1"/>
  <c r="AC150" i="126"/>
  <c r="CC146" i="126" s="1"/>
  <c r="BD149" i="126"/>
  <c r="DD145" i="126" s="1"/>
  <c r="AL149" i="126"/>
  <c r="W149" i="126"/>
  <c r="BW145" i="126" s="1"/>
  <c r="BF148" i="126"/>
  <c r="DF144" i="126" s="1"/>
  <c r="AN148" i="126"/>
  <c r="CN144" i="126" s="1"/>
  <c r="Y148" i="126"/>
  <c r="BY144" i="126" s="1"/>
  <c r="AP147" i="126"/>
  <c r="CP143" i="126" s="1"/>
  <c r="AB147" i="126"/>
  <c r="CB143" i="126" s="1"/>
  <c r="N147" i="126"/>
  <c r="BN143" i="126" s="1"/>
  <c r="BB146" i="126"/>
  <c r="DB146" i="126" s="1"/>
  <c r="AN146" i="126"/>
  <c r="Z146" i="126"/>
  <c r="BZ142" i="126" s="1"/>
  <c r="L146" i="126"/>
  <c r="BL142" i="126" s="1"/>
  <c r="AZ145" i="126"/>
  <c r="AL145" i="126"/>
  <c r="CL141" i="126" s="1"/>
  <c r="V145" i="126"/>
  <c r="AW144" i="126"/>
  <c r="AK144" i="126"/>
  <c r="Y144" i="126"/>
  <c r="M144" i="126"/>
  <c r="AY143" i="126"/>
  <c r="AM143" i="126"/>
  <c r="AA143" i="126"/>
  <c r="O143" i="126"/>
  <c r="BA142" i="126"/>
  <c r="AO142" i="126"/>
  <c r="AC142" i="126"/>
  <c r="Q142" i="126"/>
  <c r="BC141" i="126"/>
  <c r="AQ141" i="126"/>
  <c r="AE141" i="126"/>
  <c r="S141" i="126"/>
  <c r="BE214" i="126"/>
  <c r="AS214" i="126"/>
  <c r="AG214" i="126"/>
  <c r="U214" i="126"/>
  <c r="I214" i="126"/>
  <c r="BB214" i="126"/>
  <c r="AP214" i="126"/>
  <c r="AD214" i="126"/>
  <c r="BD214" i="126"/>
  <c r="AO214" i="126"/>
  <c r="AA214" i="126"/>
  <c r="N214" i="126"/>
  <c r="BC214" i="126"/>
  <c r="AN214" i="126"/>
  <c r="Z214" i="126"/>
  <c r="M214" i="126"/>
  <c r="BA214" i="126"/>
  <c r="AM214" i="126"/>
  <c r="Y214" i="126"/>
  <c r="L214" i="126"/>
  <c r="AZ214" i="126"/>
  <c r="AL214" i="126"/>
  <c r="X214" i="126"/>
  <c r="K214" i="126"/>
  <c r="AY214" i="126"/>
  <c r="AK214" i="126"/>
  <c r="W214" i="126"/>
  <c r="J214" i="126"/>
  <c r="AX214" i="126"/>
  <c r="AJ214" i="126"/>
  <c r="V214" i="126"/>
  <c r="AW214" i="126"/>
  <c r="AI214" i="126"/>
  <c r="T214" i="126"/>
  <c r="AV214" i="126"/>
  <c r="AH214" i="126"/>
  <c r="S214" i="126"/>
  <c r="AU214" i="126"/>
  <c r="AF214" i="126"/>
  <c r="R214" i="126"/>
  <c r="BF214" i="126"/>
  <c r="AQ214" i="126"/>
  <c r="AB214" i="126"/>
  <c r="O214" i="126"/>
  <c r="BG214" i="126"/>
  <c r="AT214" i="126"/>
  <c r="AR214" i="126"/>
  <c r="AE214" i="126"/>
  <c r="AC214" i="126"/>
  <c r="Q214" i="126"/>
  <c r="P214" i="126"/>
  <c r="AP142" i="126"/>
  <c r="BA145" i="126"/>
  <c r="DA141" i="126" s="1"/>
  <c r="AC147" i="126"/>
  <c r="X149" i="126"/>
  <c r="BX145" i="126" s="1"/>
  <c r="AV153" i="126"/>
  <c r="CV149" i="126" s="1"/>
  <c r="P33" i="126"/>
  <c r="AY215" i="126"/>
  <c r="AM215" i="126"/>
  <c r="AA215" i="126"/>
  <c r="O215" i="126"/>
  <c r="AW215" i="126"/>
  <c r="AK215" i="126"/>
  <c r="Y215" i="126"/>
  <c r="M215" i="126"/>
  <c r="AV215" i="126"/>
  <c r="AJ215" i="126"/>
  <c r="X215" i="126"/>
  <c r="L215" i="126"/>
  <c r="BF215" i="126"/>
  <c r="AT215" i="126"/>
  <c r="AH215" i="126"/>
  <c r="V215" i="126"/>
  <c r="AU215" i="126"/>
  <c r="AD215" i="126"/>
  <c r="K215" i="126"/>
  <c r="AS215" i="126"/>
  <c r="AC215" i="126"/>
  <c r="J215" i="126"/>
  <c r="AR215" i="126"/>
  <c r="AB215" i="126"/>
  <c r="I215" i="126"/>
  <c r="AQ215" i="126"/>
  <c r="Z215" i="126"/>
  <c r="BG215" i="126"/>
  <c r="AP215" i="126"/>
  <c r="W215" i="126"/>
  <c r="BE215" i="126"/>
  <c r="AO215" i="126"/>
  <c r="U215" i="126"/>
  <c r="BD215" i="126"/>
  <c r="AN215" i="126"/>
  <c r="T215" i="126"/>
  <c r="BC215" i="126"/>
  <c r="AL215" i="126"/>
  <c r="S215" i="126"/>
  <c r="BB215" i="126"/>
  <c r="AI215" i="126"/>
  <c r="R215" i="126"/>
  <c r="AX215" i="126"/>
  <c r="AE215" i="126"/>
  <c r="N215" i="126"/>
  <c r="BA215" i="126"/>
  <c r="AZ215" i="126"/>
  <c r="AG215" i="126"/>
  <c r="AF215" i="126"/>
  <c r="Q215" i="126"/>
  <c r="P215" i="126"/>
  <c r="BB142" i="126"/>
  <c r="AT147" i="126"/>
  <c r="AP149" i="126"/>
  <c r="AC154" i="126"/>
  <c r="CC150" i="126" s="1"/>
  <c r="BE195" i="126"/>
  <c r="AS195" i="126"/>
  <c r="AG195" i="126"/>
  <c r="U195" i="126"/>
  <c r="I195" i="126"/>
  <c r="BC195" i="126"/>
  <c r="AQ195" i="126"/>
  <c r="AE195" i="126"/>
  <c r="S195" i="126"/>
  <c r="BB195" i="126"/>
  <c r="AP195" i="126"/>
  <c r="AD195" i="126"/>
  <c r="R195" i="126"/>
  <c r="AZ195" i="126"/>
  <c r="AN195" i="126"/>
  <c r="AB195" i="126"/>
  <c r="P195" i="126"/>
  <c r="BG195" i="126"/>
  <c r="AM195" i="126"/>
  <c r="W195" i="126"/>
  <c r="BF195" i="126"/>
  <c r="AL195" i="126"/>
  <c r="V195" i="126"/>
  <c r="BD195" i="126"/>
  <c r="AK195" i="126"/>
  <c r="T195" i="126"/>
  <c r="BA195" i="126"/>
  <c r="AJ195" i="126"/>
  <c r="Q195" i="126"/>
  <c r="AY195" i="126"/>
  <c r="AI195" i="126"/>
  <c r="O195" i="126"/>
  <c r="AX195" i="126"/>
  <c r="AH195" i="126"/>
  <c r="N195" i="126"/>
  <c r="AW195" i="126"/>
  <c r="AF195" i="126"/>
  <c r="M195" i="126"/>
  <c r="AV195" i="126"/>
  <c r="AC195" i="126"/>
  <c r="L195" i="126"/>
  <c r="AU195" i="126"/>
  <c r="AA195" i="126"/>
  <c r="K195" i="126"/>
  <c r="AT195" i="126"/>
  <c r="Z195" i="126"/>
  <c r="J195" i="126"/>
  <c r="AR195" i="126"/>
  <c r="AO195" i="126"/>
  <c r="Y195" i="126"/>
  <c r="X195" i="126"/>
  <c r="T141" i="126"/>
  <c r="N144" i="126"/>
  <c r="BE149" i="126"/>
  <c r="DE145" i="126" s="1"/>
  <c r="L155" i="126"/>
  <c r="BL151" i="126" s="1"/>
  <c r="AF141" i="126"/>
  <c r="Z144" i="126"/>
  <c r="M30" i="126"/>
  <c r="L30" i="126" s="1"/>
  <c r="L110" i="126"/>
  <c r="M111" i="126"/>
  <c r="R110" i="126"/>
  <c r="Q110" i="126"/>
  <c r="AR141" i="126"/>
  <c r="AL144" i="126"/>
  <c r="M146" i="126"/>
  <c r="BM142" i="126" s="1"/>
  <c r="L157" i="126"/>
  <c r="N110" i="126"/>
  <c r="O110" i="126" s="1"/>
  <c r="BD141" i="126"/>
  <c r="AY144" i="126"/>
  <c r="AA146" i="126"/>
  <c r="CA142" i="126" s="1"/>
  <c r="K148" i="126"/>
  <c r="BK144" i="126" s="1"/>
  <c r="S158" i="126"/>
  <c r="M35" i="126"/>
  <c r="P143" i="126"/>
  <c r="AO146" i="126"/>
  <c r="CO142" i="126" s="1"/>
  <c r="Z148" i="126"/>
  <c r="AD150" i="126"/>
  <c r="CV236" i="126"/>
  <c r="CJ236" i="126"/>
  <c r="BX236" i="126"/>
  <c r="BL236" i="126"/>
  <c r="AZ236" i="126"/>
  <c r="AN236" i="126"/>
  <c r="AB236" i="126"/>
  <c r="DG236" i="126"/>
  <c r="CU236" i="126"/>
  <c r="CI236" i="126"/>
  <c r="BW236" i="126"/>
  <c r="BK236" i="126"/>
  <c r="AY236" i="126"/>
  <c r="AM236" i="126"/>
  <c r="AA236" i="126"/>
  <c r="O236" i="126"/>
  <c r="DF236" i="126"/>
  <c r="CT236" i="126"/>
  <c r="CH236" i="126"/>
  <c r="BV236" i="126"/>
  <c r="BJ236" i="126"/>
  <c r="AX236" i="126"/>
  <c r="AL236" i="126"/>
  <c r="Z236" i="126"/>
  <c r="N236" i="126"/>
  <c r="DE236" i="126"/>
  <c r="CS236" i="126"/>
  <c r="CG236" i="126"/>
  <c r="BU236" i="126"/>
  <c r="BI236" i="126"/>
  <c r="AW236" i="126"/>
  <c r="AK236" i="126"/>
  <c r="Y236" i="126"/>
  <c r="M236" i="126"/>
  <c r="DD236" i="126"/>
  <c r="CR236" i="126"/>
  <c r="CF236" i="126"/>
  <c r="BT236" i="126"/>
  <c r="DC236" i="126"/>
  <c r="CQ236" i="126"/>
  <c r="CE236" i="126"/>
  <c r="BS236" i="126"/>
  <c r="BG236" i="126"/>
  <c r="AU236" i="126"/>
  <c r="DB236" i="126"/>
  <c r="CP236" i="126"/>
  <c r="CD236" i="126"/>
  <c r="BR236" i="126"/>
  <c r="BF236" i="126"/>
  <c r="AT236" i="126"/>
  <c r="AH236" i="126"/>
  <c r="V236" i="126"/>
  <c r="J236" i="126"/>
  <c r="DA236" i="126"/>
  <c r="CO236" i="126"/>
  <c r="CC236" i="126"/>
  <c r="BQ236" i="126"/>
  <c r="CZ236" i="126"/>
  <c r="CN236" i="126"/>
  <c r="CB236" i="126"/>
  <c r="BP236" i="126"/>
  <c r="BM236" i="126"/>
  <c r="AO236" i="126"/>
  <c r="S236" i="126"/>
  <c r="CY236" i="126"/>
  <c r="BH236" i="126"/>
  <c r="AJ236" i="126"/>
  <c r="R236" i="126"/>
  <c r="CX236" i="126"/>
  <c r="BE236" i="126"/>
  <c r="AI236" i="126"/>
  <c r="Q236" i="126"/>
  <c r="CW236" i="126"/>
  <c r="BD236" i="126"/>
  <c r="AG236" i="126"/>
  <c r="P236" i="126"/>
  <c r="CM236" i="126"/>
  <c r="BC236" i="126"/>
  <c r="AF236" i="126"/>
  <c r="L236" i="126"/>
  <c r="CL236" i="126"/>
  <c r="BB236" i="126"/>
  <c r="AE236" i="126"/>
  <c r="K236" i="126"/>
  <c r="CK236" i="126"/>
  <c r="BA236" i="126"/>
  <c r="AD236" i="126"/>
  <c r="I236" i="126"/>
  <c r="CA236" i="126"/>
  <c r="AV236" i="126"/>
  <c r="AC236" i="126"/>
  <c r="BZ236" i="126"/>
  <c r="AS236" i="126"/>
  <c r="X236" i="126"/>
  <c r="BY236" i="126"/>
  <c r="AR236" i="126"/>
  <c r="W236" i="126"/>
  <c r="U236" i="126"/>
  <c r="T236" i="126"/>
  <c r="BO236" i="126"/>
  <c r="AP236" i="126"/>
  <c r="BN236" i="126"/>
  <c r="AQ236" i="126"/>
  <c r="DA237" i="126"/>
  <c r="CO237" i="126"/>
  <c r="CC237" i="126"/>
  <c r="BQ237" i="126"/>
  <c r="BE237" i="126"/>
  <c r="AS237" i="126"/>
  <c r="AG237" i="126"/>
  <c r="U237" i="126"/>
  <c r="I237" i="126"/>
  <c r="CZ237" i="126"/>
  <c r="CN237" i="126"/>
  <c r="CB237" i="126"/>
  <c r="BP237" i="126"/>
  <c r="BD237" i="126"/>
  <c r="AR237" i="126"/>
  <c r="AF237" i="126"/>
  <c r="T237" i="126"/>
  <c r="CY237" i="126"/>
  <c r="CM237" i="126"/>
  <c r="CA237" i="126"/>
  <c r="BO237" i="126"/>
  <c r="BC237" i="126"/>
  <c r="AQ237" i="126"/>
  <c r="AE237" i="126"/>
  <c r="S237" i="126"/>
  <c r="CX237" i="126"/>
  <c r="CL237" i="126"/>
  <c r="BZ237" i="126"/>
  <c r="BN237" i="126"/>
  <c r="BB237" i="126"/>
  <c r="AP237" i="126"/>
  <c r="AD237" i="126"/>
  <c r="R237" i="126"/>
  <c r="CW237" i="126"/>
  <c r="CK237" i="126"/>
  <c r="BY237" i="126"/>
  <c r="BM237" i="126"/>
  <c r="BA237" i="126"/>
  <c r="AO237" i="126"/>
  <c r="AC237" i="126"/>
  <c r="Q237" i="126"/>
  <c r="CV237" i="126"/>
  <c r="CJ237" i="126"/>
  <c r="BX237" i="126"/>
  <c r="BL237" i="126"/>
  <c r="AZ237" i="126"/>
  <c r="AN237" i="126"/>
  <c r="AB237" i="126"/>
  <c r="P237" i="126"/>
  <c r="DG237" i="126"/>
  <c r="CU237" i="126"/>
  <c r="CI237" i="126"/>
  <c r="BW237" i="126"/>
  <c r="BK237" i="126"/>
  <c r="AY237" i="126"/>
  <c r="AM237" i="126"/>
  <c r="AA237" i="126"/>
  <c r="O237" i="126"/>
  <c r="DF237" i="126"/>
  <c r="CT237" i="126"/>
  <c r="CH237" i="126"/>
  <c r="BV237" i="126"/>
  <c r="BJ237" i="126"/>
  <c r="AX237" i="126"/>
  <c r="AL237" i="126"/>
  <c r="Z237" i="126"/>
  <c r="N237" i="126"/>
  <c r="DE237" i="126"/>
  <c r="CS237" i="126"/>
  <c r="CG237" i="126"/>
  <c r="BU237" i="126"/>
  <c r="BI237" i="126"/>
  <c r="AW237" i="126"/>
  <c r="AK237" i="126"/>
  <c r="Y237" i="126"/>
  <c r="M237" i="126"/>
  <c r="DD237" i="126"/>
  <c r="CR237" i="126"/>
  <c r="CF237" i="126"/>
  <c r="BT237" i="126"/>
  <c r="BH237" i="126"/>
  <c r="AV237" i="126"/>
  <c r="BG237" i="126"/>
  <c r="J237" i="126"/>
  <c r="BF237" i="126"/>
  <c r="AU237" i="126"/>
  <c r="AT237" i="126"/>
  <c r="DC237" i="126"/>
  <c r="AJ237" i="126"/>
  <c r="DB237" i="126"/>
  <c r="AI237" i="126"/>
  <c r="CQ237" i="126"/>
  <c r="AH237" i="126"/>
  <c r="CP237" i="126"/>
  <c r="X237" i="126"/>
  <c r="CE237" i="126"/>
  <c r="W237" i="126"/>
  <c r="CD237" i="126"/>
  <c r="V237" i="126"/>
  <c r="BS237" i="126"/>
  <c r="BR237" i="126"/>
  <c r="L237" i="126"/>
  <c r="K237" i="126"/>
  <c r="DD246" i="126"/>
  <c r="CR246" i="126"/>
  <c r="CF246" i="126"/>
  <c r="BT246" i="126"/>
  <c r="BH246" i="126"/>
  <c r="AV246" i="126"/>
  <c r="AJ246" i="126"/>
  <c r="X246" i="126"/>
  <c r="L246" i="126"/>
  <c r="DC246" i="126"/>
  <c r="CQ246" i="126"/>
  <c r="CE246" i="126"/>
  <c r="BS246" i="126"/>
  <c r="BG246" i="126"/>
  <c r="AU246" i="126"/>
  <c r="AI246" i="126"/>
  <c r="W246" i="126"/>
  <c r="K246" i="126"/>
  <c r="DB246" i="126"/>
  <c r="CP246" i="126"/>
  <c r="CD246" i="126"/>
  <c r="BR246" i="126"/>
  <c r="BF246" i="126"/>
  <c r="AT246" i="126"/>
  <c r="AH246" i="126"/>
  <c r="V246" i="126"/>
  <c r="J246" i="126"/>
  <c r="DA246" i="126"/>
  <c r="CO246" i="126"/>
  <c r="CC246" i="126"/>
  <c r="BQ246" i="126"/>
  <c r="BE246" i="126"/>
  <c r="AS246" i="126"/>
  <c r="AG246" i="126"/>
  <c r="U246" i="126"/>
  <c r="I246" i="126"/>
  <c r="CZ246" i="126"/>
  <c r="CN246" i="126"/>
  <c r="CB246" i="126"/>
  <c r="BP246" i="126"/>
  <c r="BD246" i="126"/>
  <c r="AR246" i="126"/>
  <c r="AF246" i="126"/>
  <c r="T246" i="126"/>
  <c r="CY246" i="126"/>
  <c r="CM246" i="126"/>
  <c r="CA246" i="126"/>
  <c r="BO246" i="126"/>
  <c r="BC246" i="126"/>
  <c r="AQ246" i="126"/>
  <c r="AE246" i="126"/>
  <c r="S246" i="126"/>
  <c r="CX246" i="126"/>
  <c r="CL246" i="126"/>
  <c r="BZ246" i="126"/>
  <c r="BN246" i="126"/>
  <c r="BB246" i="126"/>
  <c r="AP246" i="126"/>
  <c r="AD246" i="126"/>
  <c r="R246" i="126"/>
  <c r="CV246" i="126"/>
  <c r="CJ246" i="126"/>
  <c r="BX246" i="126"/>
  <c r="BL246" i="126"/>
  <c r="AZ246" i="126"/>
  <c r="AN246" i="126"/>
  <c r="AB246" i="126"/>
  <c r="P246" i="126"/>
  <c r="DE246" i="126"/>
  <c r="CS246" i="126"/>
  <c r="CG246" i="126"/>
  <c r="BU246" i="126"/>
  <c r="BI246" i="126"/>
  <c r="AW246" i="126"/>
  <c r="AK246" i="126"/>
  <c r="Y246" i="126"/>
  <c r="M246" i="126"/>
  <c r="BY246" i="126"/>
  <c r="AC246" i="126"/>
  <c r="BW246" i="126"/>
  <c r="AA246" i="126"/>
  <c r="BV246" i="126"/>
  <c r="Z246" i="126"/>
  <c r="BM246" i="126"/>
  <c r="Q246" i="126"/>
  <c r="DG246" i="126"/>
  <c r="BK246" i="126"/>
  <c r="O246" i="126"/>
  <c r="DF246" i="126"/>
  <c r="BJ246" i="126"/>
  <c r="N246" i="126"/>
  <c r="CW246" i="126"/>
  <c r="BA246" i="126"/>
  <c r="CU246" i="126"/>
  <c r="AY246" i="126"/>
  <c r="CT246" i="126"/>
  <c r="AX246" i="126"/>
  <c r="CK246" i="126"/>
  <c r="AO246" i="126"/>
  <c r="CI246" i="126"/>
  <c r="CH246" i="126"/>
  <c r="AM246" i="126"/>
  <c r="AL246" i="126"/>
  <c r="DF238" i="126"/>
  <c r="CT238" i="126"/>
  <c r="CH238" i="126"/>
  <c r="BV238" i="126"/>
  <c r="BJ238" i="126"/>
  <c r="AX238" i="126"/>
  <c r="AL238" i="126"/>
  <c r="Z238" i="126"/>
  <c r="N238" i="126"/>
  <c r="DE238" i="126"/>
  <c r="CS238" i="126"/>
  <c r="CG238" i="126"/>
  <c r="BU238" i="126"/>
  <c r="BI238" i="126"/>
  <c r="AW238" i="126"/>
  <c r="AK238" i="126"/>
  <c r="Y238" i="126"/>
  <c r="M238" i="126"/>
  <c r="DD238" i="126"/>
  <c r="CR238" i="126"/>
  <c r="CF238" i="126"/>
  <c r="BT238" i="126"/>
  <c r="BH238" i="126"/>
  <c r="AV238" i="126"/>
  <c r="AJ238" i="126"/>
  <c r="X238" i="126"/>
  <c r="L238" i="126"/>
  <c r="DC238" i="126"/>
  <c r="CQ238" i="126"/>
  <c r="CE238" i="126"/>
  <c r="BS238" i="126"/>
  <c r="BG238" i="126"/>
  <c r="AU238" i="126"/>
  <c r="AI238" i="126"/>
  <c r="W238" i="126"/>
  <c r="K238" i="126"/>
  <c r="DB238" i="126"/>
  <c r="CP238" i="126"/>
  <c r="CD238" i="126"/>
  <c r="BR238" i="126"/>
  <c r="BF238" i="126"/>
  <c r="AT238" i="126"/>
  <c r="AH238" i="126"/>
  <c r="V238" i="126"/>
  <c r="J238" i="126"/>
  <c r="DA238" i="126"/>
  <c r="CO238" i="126"/>
  <c r="CC238" i="126"/>
  <c r="BQ238" i="126"/>
  <c r="BE238" i="126"/>
  <c r="AS238" i="126"/>
  <c r="AG238" i="126"/>
  <c r="U238" i="126"/>
  <c r="I238" i="126"/>
  <c r="CZ238" i="126"/>
  <c r="CN238" i="126"/>
  <c r="CB238" i="126"/>
  <c r="BP238" i="126"/>
  <c r="BD238" i="126"/>
  <c r="AR238" i="126"/>
  <c r="AF238" i="126"/>
  <c r="T238" i="126"/>
  <c r="CY238" i="126"/>
  <c r="CM238" i="126"/>
  <c r="CA238" i="126"/>
  <c r="BO238" i="126"/>
  <c r="BC238" i="126"/>
  <c r="AQ238" i="126"/>
  <c r="AE238" i="126"/>
  <c r="S238" i="126"/>
  <c r="CX238" i="126"/>
  <c r="CL238" i="126"/>
  <c r="BZ238" i="126"/>
  <c r="BN238" i="126"/>
  <c r="BB238" i="126"/>
  <c r="AP238" i="126"/>
  <c r="AD238" i="126"/>
  <c r="R238" i="126"/>
  <c r="CW238" i="126"/>
  <c r="CK238" i="126"/>
  <c r="BY238" i="126"/>
  <c r="BM238" i="126"/>
  <c r="BA238" i="126"/>
  <c r="AO238" i="126"/>
  <c r="AC238" i="126"/>
  <c r="Q238" i="126"/>
  <c r="CV238" i="126"/>
  <c r="AB238" i="126"/>
  <c r="CU238" i="126"/>
  <c r="AA238" i="126"/>
  <c r="CJ238" i="126"/>
  <c r="P238" i="126"/>
  <c r="CI238" i="126"/>
  <c r="O238" i="126"/>
  <c r="BX238" i="126"/>
  <c r="BW238" i="126"/>
  <c r="BL238" i="126"/>
  <c r="BK238" i="126"/>
  <c r="AZ238" i="126"/>
  <c r="AY238" i="126"/>
  <c r="DG238" i="126"/>
  <c r="AN238" i="126"/>
  <c r="AM238" i="126"/>
  <c r="CW247" i="126"/>
  <c r="CK247" i="126"/>
  <c r="BY247" i="126"/>
  <c r="BM247" i="126"/>
  <c r="BA247" i="126"/>
  <c r="DC184" i="126" s="1"/>
  <c r="AO247" i="126"/>
  <c r="CQ184" i="126" s="1"/>
  <c r="AC247" i="126"/>
  <c r="CE184" i="126" s="1"/>
  <c r="Q247" i="126"/>
  <c r="BS184" i="126" s="1"/>
  <c r="CV247" i="126"/>
  <c r="CJ247" i="126"/>
  <c r="BX247" i="126"/>
  <c r="BL247" i="126"/>
  <c r="AZ247" i="126"/>
  <c r="DB184" i="126" s="1"/>
  <c r="AN247" i="126"/>
  <c r="CP184" i="126" s="1"/>
  <c r="AB247" i="126"/>
  <c r="CD184" i="126" s="1"/>
  <c r="P247" i="126"/>
  <c r="BR184" i="126" s="1"/>
  <c r="DG247" i="126"/>
  <c r="CU247" i="126"/>
  <c r="CI247" i="126"/>
  <c r="BW247" i="126"/>
  <c r="BK247" i="126"/>
  <c r="AY247" i="126"/>
  <c r="DA184" i="126" s="1"/>
  <c r="AM247" i="126"/>
  <c r="CO184" i="126" s="1"/>
  <c r="AA247" i="126"/>
  <c r="O247" i="126"/>
  <c r="BQ184" i="126" s="1"/>
  <c r="DF247" i="126"/>
  <c r="CT247" i="126"/>
  <c r="CH247" i="126"/>
  <c r="BV247" i="126"/>
  <c r="BJ247" i="126"/>
  <c r="AX247" i="126"/>
  <c r="CZ184" i="126" s="1"/>
  <c r="AL247" i="126"/>
  <c r="CN184" i="126" s="1"/>
  <c r="Z247" i="126"/>
  <c r="CB184" i="126" s="1"/>
  <c r="N247" i="126"/>
  <c r="BP184" i="126" s="1"/>
  <c r="DE247" i="126"/>
  <c r="CS247" i="126"/>
  <c r="CG247" i="126"/>
  <c r="BU247" i="126"/>
  <c r="BI247" i="126"/>
  <c r="AW247" i="126"/>
  <c r="CY184" i="126" s="1"/>
  <c r="AK247" i="126"/>
  <c r="CM184" i="126" s="1"/>
  <c r="Y247" i="126"/>
  <c r="CA184" i="126" s="1"/>
  <c r="M247" i="126"/>
  <c r="BO184" i="126" s="1"/>
  <c r="DD247" i="126"/>
  <c r="CR247" i="126"/>
  <c r="CF247" i="126"/>
  <c r="BT247" i="126"/>
  <c r="BH247" i="126"/>
  <c r="AV247" i="126"/>
  <c r="CX184" i="126" s="1"/>
  <c r="AJ247" i="126"/>
  <c r="CL184" i="126" s="1"/>
  <c r="X247" i="126"/>
  <c r="BZ184" i="126" s="1"/>
  <c r="L247" i="126"/>
  <c r="BN184" i="126" s="1"/>
  <c r="DC247" i="126"/>
  <c r="CQ247" i="126"/>
  <c r="CE247" i="126"/>
  <c r="BS247" i="126"/>
  <c r="BG247" i="126"/>
  <c r="AU247" i="126"/>
  <c r="AI247" i="126"/>
  <c r="CK184" i="126" s="1"/>
  <c r="W247" i="126"/>
  <c r="BY184" i="126" s="1"/>
  <c r="K247" i="126"/>
  <c r="BM184" i="126" s="1"/>
  <c r="DA247" i="126"/>
  <c r="CO247" i="126"/>
  <c r="CC247" i="126"/>
  <c r="BQ247" i="126"/>
  <c r="BE247" i="126"/>
  <c r="DG184" i="126" s="1"/>
  <c r="AS247" i="126"/>
  <c r="CU184" i="126" s="1"/>
  <c r="AG247" i="126"/>
  <c r="CI184" i="126" s="1"/>
  <c r="U247" i="126"/>
  <c r="BW184" i="126" s="1"/>
  <c r="I247" i="126"/>
  <c r="BK184" i="126" s="1"/>
  <c r="CX247" i="126"/>
  <c r="CL247" i="126"/>
  <c r="BZ247" i="126"/>
  <c r="BN247" i="126"/>
  <c r="BB247" i="126"/>
  <c r="DD184" i="126" s="1"/>
  <c r="AP247" i="126"/>
  <c r="CR184" i="126" s="1"/>
  <c r="AD247" i="126"/>
  <c r="CF184" i="126" s="1"/>
  <c r="R247" i="126"/>
  <c r="BT184" i="126" s="1"/>
  <c r="BR247" i="126"/>
  <c r="V247" i="126"/>
  <c r="BX184" i="126" s="1"/>
  <c r="BP247" i="126"/>
  <c r="T247" i="126"/>
  <c r="BV184" i="126" s="1"/>
  <c r="BO247" i="126"/>
  <c r="S247" i="126"/>
  <c r="BU184" i="126" s="1"/>
  <c r="DB247" i="126"/>
  <c r="BF247" i="126"/>
  <c r="J247" i="126"/>
  <c r="BL184" i="126" s="1"/>
  <c r="CZ247" i="126"/>
  <c r="BD247" i="126"/>
  <c r="DF184" i="126" s="1"/>
  <c r="CY247" i="126"/>
  <c r="BC247" i="126"/>
  <c r="DE184" i="126" s="1"/>
  <c r="CP247" i="126"/>
  <c r="AT247" i="126"/>
  <c r="CV184" i="126" s="1"/>
  <c r="CN247" i="126"/>
  <c r="AR247" i="126"/>
  <c r="CT184" i="126" s="1"/>
  <c r="CM247" i="126"/>
  <c r="AQ247" i="126"/>
  <c r="CS184" i="126" s="1"/>
  <c r="CD247" i="126"/>
  <c r="AH247" i="126"/>
  <c r="CJ184" i="126" s="1"/>
  <c r="CB247" i="126"/>
  <c r="CA247" i="126"/>
  <c r="AF247" i="126"/>
  <c r="CH184" i="126" s="1"/>
  <c r="AE247" i="126"/>
  <c r="CG184" i="126" s="1"/>
  <c r="AZ221" i="126"/>
  <c r="AN221" i="126"/>
  <c r="AB221" i="126"/>
  <c r="AY221" i="126"/>
  <c r="AM221" i="126"/>
  <c r="AA221" i="126"/>
  <c r="AV221" i="126"/>
  <c r="AJ221" i="126"/>
  <c r="X221" i="126"/>
  <c r="AS221" i="126"/>
  <c r="AD221" i="126"/>
  <c r="O221" i="126"/>
  <c r="BG221" i="126"/>
  <c r="AR221" i="126"/>
  <c r="AC221" i="126"/>
  <c r="N221" i="126"/>
  <c r="BF221" i="126"/>
  <c r="AQ221" i="126"/>
  <c r="Z221" i="126"/>
  <c r="M221" i="126"/>
  <c r="BE221" i="126"/>
  <c r="AP221" i="126"/>
  <c r="Y221" i="126"/>
  <c r="L221" i="126"/>
  <c r="BD221" i="126"/>
  <c r="AO221" i="126"/>
  <c r="W221" i="126"/>
  <c r="K221" i="126"/>
  <c r="BC221" i="126"/>
  <c r="AL221" i="126"/>
  <c r="V221" i="126"/>
  <c r="J221" i="126"/>
  <c r="BB221" i="126"/>
  <c r="AK221" i="126"/>
  <c r="U221" i="126"/>
  <c r="I221" i="126"/>
  <c r="BA221" i="126"/>
  <c r="AI221" i="126"/>
  <c r="T221" i="126"/>
  <c r="AX221" i="126"/>
  <c r="AH221" i="126"/>
  <c r="S221" i="126"/>
  <c r="AT221" i="126"/>
  <c r="AE221" i="126"/>
  <c r="P221" i="126"/>
  <c r="AW221" i="126"/>
  <c r="AU221" i="126"/>
  <c r="AG221" i="126"/>
  <c r="AF221" i="126"/>
  <c r="R221" i="126"/>
  <c r="Q221" i="126"/>
  <c r="AY196" i="126"/>
  <c r="AM196" i="126"/>
  <c r="AA196" i="126"/>
  <c r="O196" i="126"/>
  <c r="AW196" i="126"/>
  <c r="AK196" i="126"/>
  <c r="Y196" i="126"/>
  <c r="M196" i="126"/>
  <c r="AV196" i="126"/>
  <c r="AJ196" i="126"/>
  <c r="X196" i="126"/>
  <c r="L196" i="126"/>
  <c r="BF196" i="126"/>
  <c r="AT196" i="126"/>
  <c r="AH196" i="126"/>
  <c r="V196" i="126"/>
  <c r="J196" i="126"/>
  <c r="BE196" i="126"/>
  <c r="AS196" i="126"/>
  <c r="BD196" i="126"/>
  <c r="AU196" i="126"/>
  <c r="AC196" i="126"/>
  <c r="I196" i="126"/>
  <c r="AR196" i="126"/>
  <c r="AB196" i="126"/>
  <c r="AQ196" i="126"/>
  <c r="Z196" i="126"/>
  <c r="AP196" i="126"/>
  <c r="W196" i="126"/>
  <c r="AO196" i="126"/>
  <c r="U196" i="126"/>
  <c r="AN196" i="126"/>
  <c r="T196" i="126"/>
  <c r="BG196" i="126"/>
  <c r="AL196" i="126"/>
  <c r="S196" i="126"/>
  <c r="BC196" i="126"/>
  <c r="AI196" i="126"/>
  <c r="R196" i="126"/>
  <c r="BB196" i="126"/>
  <c r="AG196" i="126"/>
  <c r="Q196" i="126"/>
  <c r="BA196" i="126"/>
  <c r="AF196" i="126"/>
  <c r="P196" i="126"/>
  <c r="AZ196" i="126"/>
  <c r="AX196" i="126"/>
  <c r="AE196" i="126"/>
  <c r="AD196" i="126"/>
  <c r="N196" i="126"/>
  <c r="K196" i="126"/>
  <c r="BB202" i="126"/>
  <c r="AP202" i="126"/>
  <c r="AD202" i="126"/>
  <c r="R202" i="126"/>
  <c r="BA202" i="126"/>
  <c r="AO202" i="126"/>
  <c r="AC202" i="126"/>
  <c r="Q202" i="126"/>
  <c r="AZ202" i="126"/>
  <c r="AN202" i="126"/>
  <c r="AB202" i="126"/>
  <c r="P202" i="126"/>
  <c r="AY202" i="126"/>
  <c r="AM202" i="126"/>
  <c r="AA202" i="126"/>
  <c r="O202" i="126"/>
  <c r="AX202" i="126"/>
  <c r="AL202" i="126"/>
  <c r="Z202" i="126"/>
  <c r="N202" i="126"/>
  <c r="AW202" i="126"/>
  <c r="AK202" i="126"/>
  <c r="Y202" i="126"/>
  <c r="M202" i="126"/>
  <c r="AV202" i="126"/>
  <c r="AJ202" i="126"/>
  <c r="X202" i="126"/>
  <c r="L202" i="126"/>
  <c r="BG202" i="126"/>
  <c r="AU202" i="126"/>
  <c r="AI202" i="126"/>
  <c r="W202" i="126"/>
  <c r="K202" i="126"/>
  <c r="BF202" i="126"/>
  <c r="AT202" i="126"/>
  <c r="AH202" i="126"/>
  <c r="V202" i="126"/>
  <c r="J202" i="126"/>
  <c r="BC202" i="126"/>
  <c r="AQ202" i="126"/>
  <c r="AE202" i="126"/>
  <c r="S202" i="126"/>
  <c r="BE202" i="126"/>
  <c r="BD202" i="126"/>
  <c r="AS202" i="126"/>
  <c r="AR202" i="126"/>
  <c r="AG202" i="126"/>
  <c r="AF202" i="126"/>
  <c r="U202" i="126"/>
  <c r="T202" i="126"/>
  <c r="I202" i="126"/>
  <c r="CY239" i="126"/>
  <c r="CM239" i="126"/>
  <c r="CA239" i="126"/>
  <c r="BO239" i="126"/>
  <c r="BC239" i="126"/>
  <c r="AQ239" i="126"/>
  <c r="AE239" i="126"/>
  <c r="S239" i="126"/>
  <c r="CX239" i="126"/>
  <c r="CL239" i="126"/>
  <c r="BZ239" i="126"/>
  <c r="BN239" i="126"/>
  <c r="BB239" i="126"/>
  <c r="AP239" i="126"/>
  <c r="AD239" i="126"/>
  <c r="R239" i="126"/>
  <c r="CW239" i="126"/>
  <c r="CK239" i="126"/>
  <c r="BY239" i="126"/>
  <c r="BM239" i="126"/>
  <c r="BA239" i="126"/>
  <c r="AO239" i="126"/>
  <c r="AC239" i="126"/>
  <c r="Q239" i="126"/>
  <c r="CV239" i="126"/>
  <c r="CJ239" i="126"/>
  <c r="BX239" i="126"/>
  <c r="BL239" i="126"/>
  <c r="AZ239" i="126"/>
  <c r="AN239" i="126"/>
  <c r="AB239" i="126"/>
  <c r="P239" i="126"/>
  <c r="DG239" i="126"/>
  <c r="CU239" i="126"/>
  <c r="CI239" i="126"/>
  <c r="BW239" i="126"/>
  <c r="BK239" i="126"/>
  <c r="AY239" i="126"/>
  <c r="AM239" i="126"/>
  <c r="AA239" i="126"/>
  <c r="O239" i="126"/>
  <c r="DF239" i="126"/>
  <c r="CT239" i="126"/>
  <c r="CH239" i="126"/>
  <c r="BV239" i="126"/>
  <c r="BJ239" i="126"/>
  <c r="AX239" i="126"/>
  <c r="AL239" i="126"/>
  <c r="Z239" i="126"/>
  <c r="N239" i="126"/>
  <c r="DE239" i="126"/>
  <c r="CS239" i="126"/>
  <c r="CG239" i="126"/>
  <c r="BU239" i="126"/>
  <c r="BI239" i="126"/>
  <c r="AW239" i="126"/>
  <c r="AK239" i="126"/>
  <c r="Y239" i="126"/>
  <c r="M239" i="126"/>
  <c r="DD239" i="126"/>
  <c r="CR239" i="126"/>
  <c r="CF239" i="126"/>
  <c r="BT239" i="126"/>
  <c r="BH239" i="126"/>
  <c r="AV239" i="126"/>
  <c r="AJ239" i="126"/>
  <c r="X239" i="126"/>
  <c r="L239" i="126"/>
  <c r="DC239" i="126"/>
  <c r="CQ239" i="126"/>
  <c r="CE239" i="126"/>
  <c r="BS239" i="126"/>
  <c r="BG239" i="126"/>
  <c r="AU239" i="126"/>
  <c r="AI239" i="126"/>
  <c r="W239" i="126"/>
  <c r="K239" i="126"/>
  <c r="DB239" i="126"/>
  <c r="CP239" i="126"/>
  <c r="CD239" i="126"/>
  <c r="BR239" i="126"/>
  <c r="BF239" i="126"/>
  <c r="AT239" i="126"/>
  <c r="AH239" i="126"/>
  <c r="V239" i="126"/>
  <c r="J239" i="126"/>
  <c r="BQ239" i="126"/>
  <c r="BP239" i="126"/>
  <c r="BE239" i="126"/>
  <c r="BD239" i="126"/>
  <c r="AS239" i="126"/>
  <c r="AR239" i="126"/>
  <c r="DA239" i="126"/>
  <c r="AG239" i="126"/>
  <c r="CZ239" i="126"/>
  <c r="AF239" i="126"/>
  <c r="CO239" i="126"/>
  <c r="U239" i="126"/>
  <c r="CN239" i="126"/>
  <c r="T239" i="126"/>
  <c r="I239" i="126"/>
  <c r="CB239" i="126"/>
  <c r="CC239" i="126"/>
  <c r="DB248" i="126"/>
  <c r="CP248" i="126"/>
  <c r="CD248" i="126"/>
  <c r="BR248" i="126"/>
  <c r="BF248" i="126"/>
  <c r="AT248" i="126"/>
  <c r="AH248" i="126"/>
  <c r="V248" i="126"/>
  <c r="J248" i="126"/>
  <c r="DA248" i="126"/>
  <c r="CO248" i="126"/>
  <c r="CC248" i="126"/>
  <c r="BQ248" i="126"/>
  <c r="BE248" i="126"/>
  <c r="AS248" i="126"/>
  <c r="AG248" i="126"/>
  <c r="U248" i="126"/>
  <c r="I248" i="126"/>
  <c r="CZ248" i="126"/>
  <c r="CN248" i="126"/>
  <c r="CB248" i="126"/>
  <c r="BP248" i="126"/>
  <c r="BD248" i="126"/>
  <c r="AR248" i="126"/>
  <c r="AF248" i="126"/>
  <c r="T248" i="126"/>
  <c r="CY248" i="126"/>
  <c r="CM248" i="126"/>
  <c r="CA248" i="126"/>
  <c r="BO248" i="126"/>
  <c r="BC248" i="126"/>
  <c r="AQ248" i="126"/>
  <c r="AE248" i="126"/>
  <c r="S248" i="126"/>
  <c r="CX248" i="126"/>
  <c r="CL248" i="126"/>
  <c r="BZ248" i="126"/>
  <c r="BN248" i="126"/>
  <c r="BB248" i="126"/>
  <c r="AP248" i="126"/>
  <c r="AD248" i="126"/>
  <c r="R248" i="126"/>
  <c r="CW248" i="126"/>
  <c r="CK248" i="126"/>
  <c r="BY248" i="126"/>
  <c r="BM248" i="126"/>
  <c r="BA248" i="126"/>
  <c r="AO248" i="126"/>
  <c r="AC248" i="126"/>
  <c r="Q248" i="126"/>
  <c r="CV248" i="126"/>
  <c r="CJ248" i="126"/>
  <c r="BX248" i="126"/>
  <c r="BL248" i="126"/>
  <c r="AZ248" i="126"/>
  <c r="AN248" i="126"/>
  <c r="AB248" i="126"/>
  <c r="P248" i="126"/>
  <c r="DF248" i="126"/>
  <c r="CT248" i="126"/>
  <c r="CH248" i="126"/>
  <c r="BV248" i="126"/>
  <c r="BJ248" i="126"/>
  <c r="AX248" i="126"/>
  <c r="AL248" i="126"/>
  <c r="Z248" i="126"/>
  <c r="N248" i="126"/>
  <c r="DC248" i="126"/>
  <c r="CQ248" i="126"/>
  <c r="CE248" i="126"/>
  <c r="BS248" i="126"/>
  <c r="BG248" i="126"/>
  <c r="AU248" i="126"/>
  <c r="AI248" i="126"/>
  <c r="W248" i="126"/>
  <c r="K248" i="126"/>
  <c r="DG248" i="126"/>
  <c r="BK248" i="126"/>
  <c r="O248" i="126"/>
  <c r="DE248" i="126"/>
  <c r="BI248" i="126"/>
  <c r="M248" i="126"/>
  <c r="DD248" i="126"/>
  <c r="BH248" i="126"/>
  <c r="L248" i="126"/>
  <c r="CU248" i="126"/>
  <c r="AY248" i="126"/>
  <c r="CS248" i="126"/>
  <c r="AW248" i="126"/>
  <c r="CR248" i="126"/>
  <c r="AV248" i="126"/>
  <c r="CI248" i="126"/>
  <c r="AM248" i="126"/>
  <c r="CG248" i="126"/>
  <c r="AK248" i="126"/>
  <c r="CF248" i="126"/>
  <c r="AJ248" i="126"/>
  <c r="BW248" i="126"/>
  <c r="AA248" i="126"/>
  <c r="BU248" i="126"/>
  <c r="BT248" i="126"/>
  <c r="Y248" i="126"/>
  <c r="X248" i="126"/>
  <c r="BE216" i="126"/>
  <c r="AS216" i="126"/>
  <c r="CS210" i="126" s="1"/>
  <c r="AG216" i="126"/>
  <c r="CG210" i="126" s="1"/>
  <c r="U216" i="126"/>
  <c r="I216" i="126"/>
  <c r="BC216" i="126"/>
  <c r="AQ216" i="126"/>
  <c r="AE216" i="126"/>
  <c r="CE210" i="126" s="1"/>
  <c r="S216" i="126"/>
  <c r="BS210" i="126" s="1"/>
  <c r="BB216" i="126"/>
  <c r="AP216" i="126"/>
  <c r="CP210" i="126" s="1"/>
  <c r="AD216" i="126"/>
  <c r="R216" i="126"/>
  <c r="AZ216" i="126"/>
  <c r="CZ210" i="126" s="1"/>
  <c r="AN216" i="126"/>
  <c r="CN210" i="126" s="1"/>
  <c r="AB216" i="126"/>
  <c r="CB210" i="126" s="1"/>
  <c r="P216" i="126"/>
  <c r="BA216" i="126"/>
  <c r="AJ216" i="126"/>
  <c r="Q216" i="126"/>
  <c r="BQ210" i="126" s="1"/>
  <c r="AY216" i="126"/>
  <c r="AI216" i="126"/>
  <c r="O216" i="126"/>
  <c r="BO210" i="126" s="1"/>
  <c r="AX216" i="126"/>
  <c r="AH216" i="126"/>
  <c r="N216" i="126"/>
  <c r="AW216" i="126"/>
  <c r="CW210" i="126" s="1"/>
  <c r="AF216" i="126"/>
  <c r="M216" i="126"/>
  <c r="AV216" i="126"/>
  <c r="AC216" i="126"/>
  <c r="CC210" i="126" s="1"/>
  <c r="L216" i="126"/>
  <c r="BL210" i="126" s="1"/>
  <c r="AU216" i="126"/>
  <c r="CU210" i="126" s="1"/>
  <c r="AA216" i="126"/>
  <c r="K216" i="126"/>
  <c r="AT216" i="126"/>
  <c r="Z216" i="126"/>
  <c r="J216" i="126"/>
  <c r="AR216" i="126"/>
  <c r="Y216" i="126"/>
  <c r="BY210" i="126" s="1"/>
  <c r="AO216" i="126"/>
  <c r="X216" i="126"/>
  <c r="BD216" i="126"/>
  <c r="AK216" i="126"/>
  <c r="CK210" i="126" s="1"/>
  <c r="T216" i="126"/>
  <c r="BT210" i="126" s="1"/>
  <c r="BG216" i="126"/>
  <c r="BF216" i="126"/>
  <c r="AM216" i="126"/>
  <c r="AL216" i="126"/>
  <c r="W216" i="126"/>
  <c r="BW210" i="126" s="1"/>
  <c r="V216" i="126"/>
  <c r="BA203" i="126"/>
  <c r="DA203" i="126" s="1"/>
  <c r="AO203" i="126"/>
  <c r="CO203" i="126" s="1"/>
  <c r="AC203" i="126"/>
  <c r="CC203" i="126" s="1"/>
  <c r="Q203" i="126"/>
  <c r="BQ203" i="126" s="1"/>
  <c r="AZ203" i="126"/>
  <c r="CZ203" i="126" s="1"/>
  <c r="AM203" i="126"/>
  <c r="CM203" i="126" s="1"/>
  <c r="Z203" i="126"/>
  <c r="BZ203" i="126" s="1"/>
  <c r="M203" i="126"/>
  <c r="BM203" i="126" s="1"/>
  <c r="AY203" i="126"/>
  <c r="CY203" i="126" s="1"/>
  <c r="AL203" i="126"/>
  <c r="CL203" i="126" s="1"/>
  <c r="Y203" i="126"/>
  <c r="BY203" i="126" s="1"/>
  <c r="L203" i="126"/>
  <c r="BL203" i="126" s="1"/>
  <c r="AX203" i="126"/>
  <c r="CX203" i="126" s="1"/>
  <c r="AK203" i="126"/>
  <c r="CK203" i="126" s="1"/>
  <c r="X203" i="126"/>
  <c r="BX203" i="126" s="1"/>
  <c r="K203" i="126"/>
  <c r="BK203" i="126" s="1"/>
  <c r="AW203" i="126"/>
  <c r="CW203" i="126" s="1"/>
  <c r="AJ203" i="126"/>
  <c r="CJ203" i="126" s="1"/>
  <c r="W203" i="126"/>
  <c r="BW203" i="126" s="1"/>
  <c r="J203" i="126"/>
  <c r="BJ203" i="126" s="1"/>
  <c r="AV203" i="126"/>
  <c r="CV203" i="126" s="1"/>
  <c r="AI203" i="126"/>
  <c r="CI203" i="126" s="1"/>
  <c r="V203" i="126"/>
  <c r="BV203" i="126" s="1"/>
  <c r="I203" i="126"/>
  <c r="BI203" i="126" s="1"/>
  <c r="AU203" i="126"/>
  <c r="CU203" i="126" s="1"/>
  <c r="AH203" i="126"/>
  <c r="CH203" i="126" s="1"/>
  <c r="U203" i="126"/>
  <c r="BU203" i="126" s="1"/>
  <c r="BG203" i="126"/>
  <c r="DG203" i="126" s="1"/>
  <c r="AT203" i="126"/>
  <c r="CT203" i="126" s="1"/>
  <c r="AG203" i="126"/>
  <c r="CG203" i="126" s="1"/>
  <c r="T203" i="126"/>
  <c r="BT203" i="126" s="1"/>
  <c r="BF203" i="126"/>
  <c r="DF203" i="126" s="1"/>
  <c r="AS203" i="126"/>
  <c r="CS203" i="126" s="1"/>
  <c r="AF203" i="126"/>
  <c r="CF203" i="126" s="1"/>
  <c r="S203" i="126"/>
  <c r="BS203" i="126" s="1"/>
  <c r="BE203" i="126"/>
  <c r="DE203" i="126" s="1"/>
  <c r="AR203" i="126"/>
  <c r="CR203" i="126" s="1"/>
  <c r="AE203" i="126"/>
  <c r="CE203" i="126" s="1"/>
  <c r="R203" i="126"/>
  <c r="BR203" i="126" s="1"/>
  <c r="BB203" i="126"/>
  <c r="DB203" i="126" s="1"/>
  <c r="AN203" i="126"/>
  <c r="CN203" i="126" s="1"/>
  <c r="AA203" i="126"/>
  <c r="CA203" i="126" s="1"/>
  <c r="N203" i="126"/>
  <c r="BN203" i="126" s="1"/>
  <c r="AP203" i="126"/>
  <c r="CP203" i="126" s="1"/>
  <c r="AD203" i="126"/>
  <c r="CD203" i="126" s="1"/>
  <c r="AB203" i="126"/>
  <c r="CB203" i="126" s="1"/>
  <c r="P203" i="126"/>
  <c r="BP203" i="126" s="1"/>
  <c r="O203" i="126"/>
  <c r="BO203" i="126" s="1"/>
  <c r="BD203" i="126"/>
  <c r="DD203" i="126" s="1"/>
  <c r="BC203" i="126"/>
  <c r="DC203" i="126" s="1"/>
  <c r="AQ203" i="126"/>
  <c r="CQ203" i="126" s="1"/>
  <c r="N109" i="126"/>
  <c r="O109" i="126" s="1"/>
  <c r="CW240" i="126"/>
  <c r="CK240" i="126"/>
  <c r="BY240" i="126"/>
  <c r="BM240" i="126"/>
  <c r="BA240" i="126"/>
  <c r="AO240" i="126"/>
  <c r="AC240" i="126"/>
  <c r="CY240" i="126"/>
  <c r="CL240" i="126"/>
  <c r="BX240" i="126"/>
  <c r="BK240" i="126"/>
  <c r="AX240" i="126"/>
  <c r="AK240" i="126"/>
  <c r="X240" i="126"/>
  <c r="L240" i="126"/>
  <c r="CX240" i="126"/>
  <c r="CJ240" i="126"/>
  <c r="BW240" i="126"/>
  <c r="BJ240" i="126"/>
  <c r="AW240" i="126"/>
  <c r="AJ240" i="126"/>
  <c r="W240" i="126"/>
  <c r="K240" i="126"/>
  <c r="CV240" i="126"/>
  <c r="CI240" i="126"/>
  <c r="BV240" i="126"/>
  <c r="BI240" i="126"/>
  <c r="AV240" i="126"/>
  <c r="AI240" i="126"/>
  <c r="V240" i="126"/>
  <c r="J240" i="126"/>
  <c r="CU240" i="126"/>
  <c r="CH240" i="126"/>
  <c r="BU240" i="126"/>
  <c r="BH240" i="126"/>
  <c r="AU240" i="126"/>
  <c r="AH240" i="126"/>
  <c r="U240" i="126"/>
  <c r="I240" i="126"/>
  <c r="DG240" i="126"/>
  <c r="CT240" i="126"/>
  <c r="CG240" i="126"/>
  <c r="BT240" i="126"/>
  <c r="BG240" i="126"/>
  <c r="AT240" i="126"/>
  <c r="AG240" i="126"/>
  <c r="T240" i="126"/>
  <c r="DF240" i="126"/>
  <c r="CS240" i="126"/>
  <c r="CF240" i="126"/>
  <c r="BS240" i="126"/>
  <c r="BF240" i="126"/>
  <c r="AS240" i="126"/>
  <c r="AF240" i="126"/>
  <c r="S240" i="126"/>
  <c r="DE240" i="126"/>
  <c r="CR240" i="126"/>
  <c r="CE240" i="126"/>
  <c r="BR240" i="126"/>
  <c r="BE240" i="126"/>
  <c r="AR240" i="126"/>
  <c r="AE240" i="126"/>
  <c r="R240" i="126"/>
  <c r="DD240" i="126"/>
  <c r="CQ240" i="126"/>
  <c r="CD240" i="126"/>
  <c r="BQ240" i="126"/>
  <c r="BD240" i="126"/>
  <c r="AQ240" i="126"/>
  <c r="AD240" i="126"/>
  <c r="Q240" i="126"/>
  <c r="DC240" i="126"/>
  <c r="CP240" i="126"/>
  <c r="CC240" i="126"/>
  <c r="BP240" i="126"/>
  <c r="BC240" i="126"/>
  <c r="AP240" i="126"/>
  <c r="AB240" i="126"/>
  <c r="P240" i="126"/>
  <c r="DB240" i="126"/>
  <c r="CO240" i="126"/>
  <c r="CB240" i="126"/>
  <c r="BO240" i="126"/>
  <c r="BB240" i="126"/>
  <c r="AN240" i="126"/>
  <c r="AA240" i="126"/>
  <c r="O240" i="126"/>
  <c r="AM240" i="126"/>
  <c r="AL240" i="126"/>
  <c r="DA240" i="126"/>
  <c r="Z240" i="126"/>
  <c r="CZ240" i="126"/>
  <c r="Y240" i="126"/>
  <c r="CN240" i="126"/>
  <c r="N240" i="126"/>
  <c r="CM240" i="126"/>
  <c r="M240" i="126"/>
  <c r="CA240" i="126"/>
  <c r="BZ240" i="126"/>
  <c r="BN240" i="126"/>
  <c r="BL240" i="126"/>
  <c r="AZ240" i="126"/>
  <c r="AY240" i="126"/>
  <c r="DG249" i="126"/>
  <c r="CU249" i="126"/>
  <c r="CI249" i="126"/>
  <c r="BW249" i="126"/>
  <c r="BK249" i="126"/>
  <c r="AY249" i="126"/>
  <c r="DA188" i="126" s="1"/>
  <c r="AM249" i="126"/>
  <c r="CO188" i="126" s="1"/>
  <c r="AA249" i="126"/>
  <c r="CC188" i="126" s="1"/>
  <c r="O249" i="126"/>
  <c r="BQ188" i="126" s="1"/>
  <c r="DF249" i="126"/>
  <c r="CT249" i="126"/>
  <c r="CH249" i="126"/>
  <c r="BV249" i="126"/>
  <c r="BJ249" i="126"/>
  <c r="AX249" i="126"/>
  <c r="CZ188" i="126" s="1"/>
  <c r="AL249" i="126"/>
  <c r="CN188" i="126" s="1"/>
  <c r="Z249" i="126"/>
  <c r="CB188" i="126" s="1"/>
  <c r="N249" i="126"/>
  <c r="BP188" i="126" s="1"/>
  <c r="DE249" i="126"/>
  <c r="CS249" i="126"/>
  <c r="CG249" i="126"/>
  <c r="BU249" i="126"/>
  <c r="BI249" i="126"/>
  <c r="AW249" i="126"/>
  <c r="CY188" i="126" s="1"/>
  <c r="AK249" i="126"/>
  <c r="CM188" i="126" s="1"/>
  <c r="Y249" i="126"/>
  <c r="CA188" i="126" s="1"/>
  <c r="M249" i="126"/>
  <c r="BO188" i="126" s="1"/>
  <c r="DD249" i="126"/>
  <c r="CR249" i="126"/>
  <c r="CF249" i="126"/>
  <c r="BT249" i="126"/>
  <c r="BH249" i="126"/>
  <c r="AV249" i="126"/>
  <c r="AJ249" i="126"/>
  <c r="CL188" i="126" s="1"/>
  <c r="X249" i="126"/>
  <c r="BZ188" i="126" s="1"/>
  <c r="L249" i="126"/>
  <c r="BN188" i="126" s="1"/>
  <c r="DC249" i="126"/>
  <c r="CQ249" i="126"/>
  <c r="CE249" i="126"/>
  <c r="BS249" i="126"/>
  <c r="BG249" i="126"/>
  <c r="AU249" i="126"/>
  <c r="CW188" i="126" s="1"/>
  <c r="AI249" i="126"/>
  <c r="CK188" i="126" s="1"/>
  <c r="W249" i="126"/>
  <c r="BY188" i="126" s="1"/>
  <c r="K249" i="126"/>
  <c r="DB249" i="126"/>
  <c r="CP249" i="126"/>
  <c r="CD249" i="126"/>
  <c r="BR249" i="126"/>
  <c r="BF249" i="126"/>
  <c r="AT249" i="126"/>
  <c r="CV188" i="126" s="1"/>
  <c r="AH249" i="126"/>
  <c r="V249" i="126"/>
  <c r="BX188" i="126" s="1"/>
  <c r="J249" i="126"/>
  <c r="BL188" i="126" s="1"/>
  <c r="DA249" i="126"/>
  <c r="CO249" i="126"/>
  <c r="CC249" i="126"/>
  <c r="BQ249" i="126"/>
  <c r="BE249" i="126"/>
  <c r="DG188" i="126" s="1"/>
  <c r="AS249" i="126"/>
  <c r="CU188" i="126" s="1"/>
  <c r="AG249" i="126"/>
  <c r="U249" i="126"/>
  <c r="BW188" i="126" s="1"/>
  <c r="I249" i="126"/>
  <c r="BK188" i="126" s="1"/>
  <c r="CY249" i="126"/>
  <c r="CM249" i="126"/>
  <c r="CA249" i="126"/>
  <c r="BO249" i="126"/>
  <c r="BC249" i="126"/>
  <c r="AQ249" i="126"/>
  <c r="CS188" i="126" s="1"/>
  <c r="AE249" i="126"/>
  <c r="CG188" i="126" s="1"/>
  <c r="S249" i="126"/>
  <c r="BU188" i="126" s="1"/>
  <c r="CV249" i="126"/>
  <c r="CJ249" i="126"/>
  <c r="BX249" i="126"/>
  <c r="BL249" i="126"/>
  <c r="AZ249" i="126"/>
  <c r="DB188" i="126" s="1"/>
  <c r="AN249" i="126"/>
  <c r="CP188" i="126" s="1"/>
  <c r="AB249" i="126"/>
  <c r="CD188" i="126" s="1"/>
  <c r="P249" i="126"/>
  <c r="BR188" i="126" s="1"/>
  <c r="CZ249" i="126"/>
  <c r="BD249" i="126"/>
  <c r="CX249" i="126"/>
  <c r="BB249" i="126"/>
  <c r="DD188" i="126" s="1"/>
  <c r="CW249" i="126"/>
  <c r="BA249" i="126"/>
  <c r="DC188" i="126" s="1"/>
  <c r="CN249" i="126"/>
  <c r="AR249" i="126"/>
  <c r="CL249" i="126"/>
  <c r="AP249" i="126"/>
  <c r="CR188" i="126" s="1"/>
  <c r="CK249" i="126"/>
  <c r="AO249" i="126"/>
  <c r="CQ188" i="126" s="1"/>
  <c r="CB249" i="126"/>
  <c r="AF249" i="126"/>
  <c r="CH188" i="126" s="1"/>
  <c r="BZ249" i="126"/>
  <c r="AD249" i="126"/>
  <c r="CF188" i="126" s="1"/>
  <c r="BY249" i="126"/>
  <c r="AC249" i="126"/>
  <c r="CE188" i="126" s="1"/>
  <c r="BP249" i="126"/>
  <c r="T249" i="126"/>
  <c r="BV188" i="126" s="1"/>
  <c r="BN249" i="126"/>
  <c r="BM249" i="126"/>
  <c r="R249" i="126"/>
  <c r="BT188" i="126" s="1"/>
  <c r="Q249" i="126"/>
  <c r="BS188" i="126" s="1"/>
  <c r="BG222" i="126"/>
  <c r="AU222" i="126"/>
  <c r="AI222" i="126"/>
  <c r="W222" i="126"/>
  <c r="K222" i="126"/>
  <c r="BF222" i="126"/>
  <c r="AT222" i="126"/>
  <c r="AH222" i="126"/>
  <c r="V222" i="126"/>
  <c r="J222" i="126"/>
  <c r="BE222" i="126"/>
  <c r="AS222" i="126"/>
  <c r="AG222" i="126"/>
  <c r="U222" i="126"/>
  <c r="I222" i="126"/>
  <c r="BB222" i="126"/>
  <c r="AP222" i="126"/>
  <c r="AD222" i="126"/>
  <c r="R222" i="126"/>
  <c r="BA222" i="126"/>
  <c r="AO222" i="126"/>
  <c r="AC222" i="126"/>
  <c r="Q222" i="126"/>
  <c r="AY222" i="126"/>
  <c r="AM222" i="126"/>
  <c r="AZ222" i="126"/>
  <c r="AB222" i="126"/>
  <c r="AX222" i="126"/>
  <c r="AA222" i="126"/>
  <c r="AW222" i="126"/>
  <c r="Z222" i="126"/>
  <c r="AV222" i="126"/>
  <c r="Y222" i="126"/>
  <c r="AR222" i="126"/>
  <c r="X222" i="126"/>
  <c r="AQ222" i="126"/>
  <c r="T222" i="126"/>
  <c r="AN222" i="126"/>
  <c r="S222" i="126"/>
  <c r="AL222" i="126"/>
  <c r="P222" i="126"/>
  <c r="AK222" i="126"/>
  <c r="O222" i="126"/>
  <c r="BC222" i="126"/>
  <c r="AE222" i="126"/>
  <c r="L222" i="126"/>
  <c r="BD222" i="126"/>
  <c r="AJ222" i="126"/>
  <c r="AF222" i="126"/>
  <c r="N222" i="126"/>
  <c r="M222" i="126"/>
  <c r="P35" i="126"/>
  <c r="P36" i="126" s="1"/>
  <c r="P37" i="126" s="1"/>
  <c r="P38" i="126" s="1"/>
  <c r="P39" i="126" s="1"/>
  <c r="P40" i="126" s="1"/>
  <c r="BD210" i="126"/>
  <c r="AR210" i="126"/>
  <c r="AF210" i="126"/>
  <c r="T210" i="126"/>
  <c r="BB210" i="126"/>
  <c r="AP210" i="126"/>
  <c r="AD210" i="126"/>
  <c r="R210" i="126"/>
  <c r="BA210" i="126"/>
  <c r="AO210" i="126"/>
  <c r="AC210" i="126"/>
  <c r="Q210" i="126"/>
  <c r="AY210" i="126"/>
  <c r="AM210" i="126"/>
  <c r="AA210" i="126"/>
  <c r="O210" i="126"/>
  <c r="AZ210" i="126"/>
  <c r="AI210" i="126"/>
  <c r="P210" i="126"/>
  <c r="AX210" i="126"/>
  <c r="AH210" i="126"/>
  <c r="N210" i="126"/>
  <c r="AW210" i="126"/>
  <c r="AG210" i="126"/>
  <c r="M210" i="126"/>
  <c r="AV210" i="126"/>
  <c r="AE210" i="126"/>
  <c r="L210" i="126"/>
  <c r="AU210" i="126"/>
  <c r="AB210" i="126"/>
  <c r="K210" i="126"/>
  <c r="AT210" i="126"/>
  <c r="Z210" i="126"/>
  <c r="J210" i="126"/>
  <c r="AS210" i="126"/>
  <c r="Y210" i="126"/>
  <c r="I210" i="126"/>
  <c r="AQ210" i="126"/>
  <c r="X210" i="126"/>
  <c r="BG210" i="126"/>
  <c r="AN210" i="126"/>
  <c r="W210" i="126"/>
  <c r="BC210" i="126"/>
  <c r="AJ210" i="126"/>
  <c r="S210" i="126"/>
  <c r="BF210" i="126"/>
  <c r="BE210" i="126"/>
  <c r="AL210" i="126"/>
  <c r="AK210" i="126"/>
  <c r="V210" i="126"/>
  <c r="U210" i="126"/>
  <c r="BG204" i="126"/>
  <c r="DG204" i="126" s="1"/>
  <c r="AU204" i="126"/>
  <c r="CU204" i="126" s="1"/>
  <c r="AI204" i="126"/>
  <c r="CI204" i="126" s="1"/>
  <c r="W204" i="126"/>
  <c r="BW204" i="126" s="1"/>
  <c r="K204" i="126"/>
  <c r="BK204" i="126" s="1"/>
  <c r="BE204" i="126"/>
  <c r="DE204" i="126" s="1"/>
  <c r="BD204" i="126"/>
  <c r="DD204" i="126" s="1"/>
  <c r="AR204" i="126"/>
  <c r="CR204" i="126" s="1"/>
  <c r="AF204" i="126"/>
  <c r="CF204" i="126" s="1"/>
  <c r="T204" i="126"/>
  <c r="BT204" i="126" s="1"/>
  <c r="BB204" i="126"/>
  <c r="DB204" i="126" s="1"/>
  <c r="AP204" i="126"/>
  <c r="CP204" i="126" s="1"/>
  <c r="AD204" i="126"/>
  <c r="CD204" i="126" s="1"/>
  <c r="R204" i="126"/>
  <c r="BR204" i="126" s="1"/>
  <c r="BC204" i="126"/>
  <c r="DC204" i="126" s="1"/>
  <c r="AM204" i="126"/>
  <c r="CM204" i="126" s="1"/>
  <c r="X204" i="126"/>
  <c r="BX204" i="126" s="1"/>
  <c r="BA204" i="126"/>
  <c r="DA204" i="126" s="1"/>
  <c r="AL204" i="126"/>
  <c r="CL204" i="126" s="1"/>
  <c r="V204" i="126"/>
  <c r="BV204" i="126" s="1"/>
  <c r="AZ204" i="126"/>
  <c r="CZ204" i="126" s="1"/>
  <c r="AK204" i="126"/>
  <c r="CK204" i="126" s="1"/>
  <c r="U204" i="126"/>
  <c r="BU204" i="126" s="1"/>
  <c r="AY204" i="126"/>
  <c r="CY204" i="126" s="1"/>
  <c r="AJ204" i="126"/>
  <c r="CJ204" i="126" s="1"/>
  <c r="S204" i="126"/>
  <c r="BS204" i="126" s="1"/>
  <c r="AX204" i="126"/>
  <c r="CX204" i="126" s="1"/>
  <c r="AH204" i="126"/>
  <c r="CH204" i="126" s="1"/>
  <c r="Q204" i="126"/>
  <c r="BQ204" i="126" s="1"/>
  <c r="AW204" i="126"/>
  <c r="CW204" i="126" s="1"/>
  <c r="AG204" i="126"/>
  <c r="CG204" i="126" s="1"/>
  <c r="P204" i="126"/>
  <c r="BP204" i="126" s="1"/>
  <c r="AV204" i="126"/>
  <c r="CV204" i="126" s="1"/>
  <c r="AE204" i="126"/>
  <c r="CE204" i="126" s="1"/>
  <c r="O204" i="126"/>
  <c r="BO204" i="126" s="1"/>
  <c r="AT204" i="126"/>
  <c r="CT204" i="126" s="1"/>
  <c r="AC204" i="126"/>
  <c r="CC204" i="126" s="1"/>
  <c r="N204" i="126"/>
  <c r="BN204" i="126" s="1"/>
  <c r="AS204" i="126"/>
  <c r="CS204" i="126" s="1"/>
  <c r="AB204" i="126"/>
  <c r="CB204" i="126" s="1"/>
  <c r="M204" i="126"/>
  <c r="BM204" i="126" s="1"/>
  <c r="BF204" i="126"/>
  <c r="DF204" i="126" s="1"/>
  <c r="AN204" i="126"/>
  <c r="CN204" i="126" s="1"/>
  <c r="Y204" i="126"/>
  <c r="BY204" i="126" s="1"/>
  <c r="I204" i="126"/>
  <c r="BI204" i="126" s="1"/>
  <c r="Z204" i="126"/>
  <c r="BZ204" i="126" s="1"/>
  <c r="L204" i="126"/>
  <c r="BL204" i="126" s="1"/>
  <c r="J204" i="126"/>
  <c r="BJ204" i="126" s="1"/>
  <c r="AQ204" i="126"/>
  <c r="CQ204" i="126" s="1"/>
  <c r="AA204" i="126"/>
  <c r="CA204" i="126" s="1"/>
  <c r="AO204" i="126"/>
  <c r="CO204" i="126" s="1"/>
  <c r="BG209" i="126"/>
  <c r="AU209" i="126"/>
  <c r="AI209" i="126"/>
  <c r="W209" i="126"/>
  <c r="K209" i="126"/>
  <c r="BE209" i="126"/>
  <c r="AS209" i="126"/>
  <c r="AG209" i="126"/>
  <c r="U209" i="126"/>
  <c r="I209" i="126"/>
  <c r="BD209" i="126"/>
  <c r="AR209" i="126"/>
  <c r="AF209" i="126"/>
  <c r="T209" i="126"/>
  <c r="BB209" i="126"/>
  <c r="AP209" i="126"/>
  <c r="AD209" i="126"/>
  <c r="R209" i="126"/>
  <c r="AX209" i="126"/>
  <c r="AE209" i="126"/>
  <c r="N209" i="126"/>
  <c r="AW209" i="126"/>
  <c r="AC209" i="126"/>
  <c r="M209" i="126"/>
  <c r="AV209" i="126"/>
  <c r="AB209" i="126"/>
  <c r="L209" i="126"/>
  <c r="AT209" i="126"/>
  <c r="AA209" i="126"/>
  <c r="J209" i="126"/>
  <c r="AQ209" i="126"/>
  <c r="Z209" i="126"/>
  <c r="AO209" i="126"/>
  <c r="Y209" i="126"/>
  <c r="AN209" i="126"/>
  <c r="X209" i="126"/>
  <c r="BF209" i="126"/>
  <c r="AM209" i="126"/>
  <c r="V209" i="126"/>
  <c r="BC209" i="126"/>
  <c r="AL209" i="126"/>
  <c r="S209" i="126"/>
  <c r="AY209" i="126"/>
  <c r="AH209" i="126"/>
  <c r="O209" i="126"/>
  <c r="AJ209" i="126"/>
  <c r="Q209" i="126"/>
  <c r="P209" i="126"/>
  <c r="BA209" i="126"/>
  <c r="AZ209" i="126"/>
  <c r="AK209" i="126"/>
  <c r="BE197" i="126"/>
  <c r="AS197" i="126"/>
  <c r="AG197" i="126"/>
  <c r="U197" i="126"/>
  <c r="I197" i="126"/>
  <c r="BD197" i="126"/>
  <c r="AR197" i="126"/>
  <c r="AF197" i="126"/>
  <c r="T197" i="126"/>
  <c r="BC197" i="126"/>
  <c r="AQ197" i="126"/>
  <c r="AE197" i="126"/>
  <c r="S197" i="126"/>
  <c r="BB197" i="126"/>
  <c r="AP197" i="126"/>
  <c r="AD197" i="126"/>
  <c r="R197" i="126"/>
  <c r="AZ197" i="126"/>
  <c r="AN197" i="126"/>
  <c r="AB197" i="126"/>
  <c r="P197" i="126"/>
  <c r="AY197" i="126"/>
  <c r="AM197" i="126"/>
  <c r="AA197" i="126"/>
  <c r="O197" i="126"/>
  <c r="AX197" i="126"/>
  <c r="AL197" i="126"/>
  <c r="Z197" i="126"/>
  <c r="N197" i="126"/>
  <c r="AW197" i="126"/>
  <c r="AK197" i="126"/>
  <c r="BF197" i="126"/>
  <c r="BG197" i="126"/>
  <c r="W197" i="126"/>
  <c r="BA197" i="126"/>
  <c r="V197" i="126"/>
  <c r="AV197" i="126"/>
  <c r="Q197" i="126"/>
  <c r="AU197" i="126"/>
  <c r="M197" i="126"/>
  <c r="AT197" i="126"/>
  <c r="L197" i="126"/>
  <c r="AO197" i="126"/>
  <c r="K197" i="126"/>
  <c r="AJ197" i="126"/>
  <c r="J197" i="126"/>
  <c r="AI197" i="126"/>
  <c r="AH197" i="126"/>
  <c r="AC197" i="126"/>
  <c r="Y197" i="126"/>
  <c r="X197" i="126"/>
  <c r="BA223" i="126"/>
  <c r="AO223" i="126"/>
  <c r="AC223" i="126"/>
  <c r="Q223" i="126"/>
  <c r="AZ223" i="126"/>
  <c r="AN223" i="126"/>
  <c r="AB223" i="126"/>
  <c r="P223" i="126"/>
  <c r="AY223" i="126"/>
  <c r="AM223" i="126"/>
  <c r="AA223" i="126"/>
  <c r="O223" i="126"/>
  <c r="AX223" i="126"/>
  <c r="AL223" i="126"/>
  <c r="Z223" i="126"/>
  <c r="N223" i="126"/>
  <c r="AW223" i="126"/>
  <c r="AK223" i="126"/>
  <c r="Y223" i="126"/>
  <c r="M223" i="126"/>
  <c r="AV223" i="126"/>
  <c r="AJ223" i="126"/>
  <c r="X223" i="126"/>
  <c r="L223" i="126"/>
  <c r="BG223" i="126"/>
  <c r="AU223" i="126"/>
  <c r="AI223" i="126"/>
  <c r="W223" i="126"/>
  <c r="K223" i="126"/>
  <c r="BF223" i="126"/>
  <c r="AT223" i="126"/>
  <c r="AH223" i="126"/>
  <c r="V223" i="126"/>
  <c r="J223" i="126"/>
  <c r="BE223" i="126"/>
  <c r="AS223" i="126"/>
  <c r="AG223" i="126"/>
  <c r="U223" i="126"/>
  <c r="I223" i="126"/>
  <c r="AD223" i="126"/>
  <c r="T223" i="126"/>
  <c r="S223" i="126"/>
  <c r="R223" i="126"/>
  <c r="BD223" i="126"/>
  <c r="BC223" i="126"/>
  <c r="BB223" i="126"/>
  <c r="AR223" i="126"/>
  <c r="AQ223" i="126"/>
  <c r="AE223" i="126"/>
  <c r="AF223" i="126"/>
  <c r="AP223" i="126"/>
  <c r="AX211" i="126"/>
  <c r="AL211" i="126"/>
  <c r="Z211" i="126"/>
  <c r="N211" i="126"/>
  <c r="AW211" i="126"/>
  <c r="AK211" i="126"/>
  <c r="Y211" i="126"/>
  <c r="M211" i="126"/>
  <c r="AV211" i="126"/>
  <c r="AJ211" i="126"/>
  <c r="X211" i="126"/>
  <c r="L211" i="126"/>
  <c r="BG211" i="126"/>
  <c r="AU211" i="126"/>
  <c r="AI211" i="126"/>
  <c r="W211" i="126"/>
  <c r="K211" i="126"/>
  <c r="BF211" i="126"/>
  <c r="AT211" i="126"/>
  <c r="AH211" i="126"/>
  <c r="V211" i="126"/>
  <c r="BE211" i="126"/>
  <c r="AS211" i="126"/>
  <c r="AG211" i="126"/>
  <c r="U211" i="126"/>
  <c r="I211" i="126"/>
  <c r="BD211" i="126"/>
  <c r="BC211" i="126"/>
  <c r="AQ211" i="126"/>
  <c r="AE211" i="126"/>
  <c r="BB211" i="126"/>
  <c r="AP211" i="126"/>
  <c r="AD211" i="126"/>
  <c r="AB211" i="126"/>
  <c r="AA211" i="126"/>
  <c r="T211" i="126"/>
  <c r="BA211" i="126"/>
  <c r="S211" i="126"/>
  <c r="AZ211" i="126"/>
  <c r="R211" i="126"/>
  <c r="AY211" i="126"/>
  <c r="Q211" i="126"/>
  <c r="AR211" i="126"/>
  <c r="P211" i="126"/>
  <c r="AO211" i="126"/>
  <c r="O211" i="126"/>
  <c r="AN211" i="126"/>
  <c r="J211" i="126"/>
  <c r="AC211" i="126"/>
  <c r="AM211" i="126"/>
  <c r="AF211" i="126"/>
  <c r="AY217" i="126"/>
  <c r="CY211" i="126" s="1"/>
  <c r="AM217" i="126"/>
  <c r="CM211" i="126" s="1"/>
  <c r="AA217" i="126"/>
  <c r="O217" i="126"/>
  <c r="AW217" i="126"/>
  <c r="AK217" i="126"/>
  <c r="CK211" i="126" s="1"/>
  <c r="Y217" i="126"/>
  <c r="BY211" i="126" s="1"/>
  <c r="M217" i="126"/>
  <c r="BM211" i="126" s="1"/>
  <c r="AV217" i="126"/>
  <c r="CV211" i="126" s="1"/>
  <c r="AJ217" i="126"/>
  <c r="X217" i="126"/>
  <c r="L217" i="126"/>
  <c r="BF217" i="126"/>
  <c r="DF211" i="126" s="1"/>
  <c r="AT217" i="126"/>
  <c r="CT211" i="126" s="1"/>
  <c r="AH217" i="126"/>
  <c r="CH211" i="126" s="1"/>
  <c r="V217" i="126"/>
  <c r="BV211" i="126" s="1"/>
  <c r="J217" i="126"/>
  <c r="BG217" i="126"/>
  <c r="AP217" i="126"/>
  <c r="CP211" i="126" s="1"/>
  <c r="W217" i="126"/>
  <c r="BE217" i="126"/>
  <c r="DE211" i="126" s="1"/>
  <c r="AO217" i="126"/>
  <c r="CO211" i="126" s="1"/>
  <c r="U217" i="126"/>
  <c r="BU211" i="126" s="1"/>
  <c r="BD217" i="126"/>
  <c r="DD211" i="126" s="1"/>
  <c r="AN217" i="126"/>
  <c r="CN211" i="126" s="1"/>
  <c r="T217" i="126"/>
  <c r="BC217" i="126"/>
  <c r="AL217" i="126"/>
  <c r="CL211" i="126" s="1"/>
  <c r="S217" i="126"/>
  <c r="BB217" i="126"/>
  <c r="AI217" i="126"/>
  <c r="CI211" i="126" s="1"/>
  <c r="R217" i="126"/>
  <c r="BA217" i="126"/>
  <c r="DA211" i="126" s="1"/>
  <c r="AG217" i="126"/>
  <c r="Q217" i="126"/>
  <c r="BQ211" i="126" s="1"/>
  <c r="AZ217" i="126"/>
  <c r="CZ211" i="126" s="1"/>
  <c r="AF217" i="126"/>
  <c r="CF211" i="126" s="1"/>
  <c r="P217" i="126"/>
  <c r="BP211" i="126" s="1"/>
  <c r="AX217" i="126"/>
  <c r="AE217" i="126"/>
  <c r="CE211" i="126" s="1"/>
  <c r="N217" i="126"/>
  <c r="AU217" i="126"/>
  <c r="AD217" i="126"/>
  <c r="CD211" i="126" s="1"/>
  <c r="K217" i="126"/>
  <c r="BK211" i="126" s="1"/>
  <c r="AQ217" i="126"/>
  <c r="CQ211" i="126" s="1"/>
  <c r="Z217" i="126"/>
  <c r="AS217" i="126"/>
  <c r="AR217" i="126"/>
  <c r="AC217" i="126"/>
  <c r="CC211" i="126" s="1"/>
  <c r="AB217" i="126"/>
  <c r="CB211" i="126" s="1"/>
  <c r="I217" i="126"/>
  <c r="BG224" i="126"/>
  <c r="AU224" i="126"/>
  <c r="AI224" i="126"/>
  <c r="W224" i="126"/>
  <c r="K224" i="126"/>
  <c r="BF224" i="126"/>
  <c r="AT224" i="126"/>
  <c r="AH224" i="126"/>
  <c r="V224" i="126"/>
  <c r="J224" i="126"/>
  <c r="BE224" i="126"/>
  <c r="AS224" i="126"/>
  <c r="AG224" i="126"/>
  <c r="U224" i="126"/>
  <c r="I224" i="126"/>
  <c r="BD224" i="126"/>
  <c r="AR224" i="126"/>
  <c r="AF224" i="126"/>
  <c r="T224" i="126"/>
  <c r="BC224" i="126"/>
  <c r="AQ224" i="126"/>
  <c r="AE224" i="126"/>
  <c r="S224" i="126"/>
  <c r="BB224" i="126"/>
  <c r="AP224" i="126"/>
  <c r="AD224" i="126"/>
  <c r="R224" i="126"/>
  <c r="BA224" i="126"/>
  <c r="AO224" i="126"/>
  <c r="AC224" i="126"/>
  <c r="Q224" i="126"/>
  <c r="AZ224" i="126"/>
  <c r="AN224" i="126"/>
  <c r="AB224" i="126"/>
  <c r="P224" i="126"/>
  <c r="AY224" i="126"/>
  <c r="AM224" i="126"/>
  <c r="AA224" i="126"/>
  <c r="O224" i="126"/>
  <c r="X224" i="126"/>
  <c r="N224" i="126"/>
  <c r="M224" i="126"/>
  <c r="L224" i="126"/>
  <c r="AX224" i="126"/>
  <c r="AW224" i="126"/>
  <c r="AV224" i="126"/>
  <c r="AL224" i="126"/>
  <c r="AK224" i="126"/>
  <c r="Y224" i="126"/>
  <c r="AJ224" i="126"/>
  <c r="Z224" i="126"/>
  <c r="BA205" i="126"/>
  <c r="AO205" i="126"/>
  <c r="AC205" i="126"/>
  <c r="Q205" i="126"/>
  <c r="AY205" i="126"/>
  <c r="AM205" i="126"/>
  <c r="AA205" i="126"/>
  <c r="O205" i="126"/>
  <c r="AX205" i="126"/>
  <c r="AL205" i="126"/>
  <c r="Z205" i="126"/>
  <c r="N205" i="126"/>
  <c r="AV205" i="126"/>
  <c r="AJ205" i="126"/>
  <c r="X205" i="126"/>
  <c r="L205" i="126"/>
  <c r="AR205" i="126"/>
  <c r="Y205" i="126"/>
  <c r="BG205" i="126"/>
  <c r="AQ205" i="126"/>
  <c r="W205" i="126"/>
  <c r="BF205" i="126"/>
  <c r="AP205" i="126"/>
  <c r="V205" i="126"/>
  <c r="BE205" i="126"/>
  <c r="AN205" i="126"/>
  <c r="U205" i="126"/>
  <c r="BD205" i="126"/>
  <c r="AK205" i="126"/>
  <c r="T205" i="126"/>
  <c r="BC205" i="126"/>
  <c r="AI205" i="126"/>
  <c r="S205" i="126"/>
  <c r="BB205" i="126"/>
  <c r="AH205" i="126"/>
  <c r="R205" i="126"/>
  <c r="AZ205" i="126"/>
  <c r="AG205" i="126"/>
  <c r="P205" i="126"/>
  <c r="AW205" i="126"/>
  <c r="AF205" i="126"/>
  <c r="M205" i="126"/>
  <c r="AS205" i="126"/>
  <c r="AB205" i="126"/>
  <c r="I205" i="126"/>
  <c r="AD205" i="126"/>
  <c r="K205" i="126"/>
  <c r="J205" i="126"/>
  <c r="AU205" i="126"/>
  <c r="AT205" i="126"/>
  <c r="AE205" i="126"/>
  <c r="Q109" i="126"/>
  <c r="M118" i="126"/>
  <c r="L118" i="126" s="1"/>
  <c r="M120" i="126"/>
  <c r="M122" i="126"/>
  <c r="BD212" i="126"/>
  <c r="AR212" i="126"/>
  <c r="AF212" i="126"/>
  <c r="T212" i="126"/>
  <c r="BC212" i="126"/>
  <c r="AQ212" i="126"/>
  <c r="AE212" i="126"/>
  <c r="S212" i="126"/>
  <c r="BB212" i="126"/>
  <c r="AP212" i="126"/>
  <c r="AD212" i="126"/>
  <c r="R212" i="126"/>
  <c r="BA212" i="126"/>
  <c r="AO212" i="126"/>
  <c r="AC212" i="126"/>
  <c r="Q212" i="126"/>
  <c r="AZ212" i="126"/>
  <c r="AN212" i="126"/>
  <c r="AB212" i="126"/>
  <c r="P212" i="126"/>
  <c r="AY212" i="126"/>
  <c r="AM212" i="126"/>
  <c r="AA212" i="126"/>
  <c r="O212" i="126"/>
  <c r="AX212" i="126"/>
  <c r="AL212" i="126"/>
  <c r="Z212" i="126"/>
  <c r="N212" i="126"/>
  <c r="AW212" i="126"/>
  <c r="AK212" i="126"/>
  <c r="Y212" i="126"/>
  <c r="M212" i="126"/>
  <c r="AV212" i="126"/>
  <c r="AJ212" i="126"/>
  <c r="X212" i="126"/>
  <c r="L212" i="126"/>
  <c r="BE212" i="126"/>
  <c r="AS212" i="126"/>
  <c r="AG212" i="126"/>
  <c r="U212" i="126"/>
  <c r="I212" i="126"/>
  <c r="AH212" i="126"/>
  <c r="W212" i="126"/>
  <c r="V212" i="126"/>
  <c r="K212" i="126"/>
  <c r="J212" i="126"/>
  <c r="BG212" i="126"/>
  <c r="BF212" i="126"/>
  <c r="AI212" i="126"/>
  <c r="AU212" i="126"/>
  <c r="AT212" i="126"/>
  <c r="BE218" i="126"/>
  <c r="AS218" i="126"/>
  <c r="AG218" i="126"/>
  <c r="U218" i="126"/>
  <c r="I218" i="126"/>
  <c r="BD218" i="126"/>
  <c r="AR218" i="126"/>
  <c r="BC218" i="126"/>
  <c r="AQ218" i="126"/>
  <c r="AE218" i="126"/>
  <c r="S218" i="126"/>
  <c r="BB218" i="126"/>
  <c r="AP218" i="126"/>
  <c r="AD218" i="126"/>
  <c r="R218" i="126"/>
  <c r="BA218" i="126"/>
  <c r="AZ218" i="126"/>
  <c r="AN218" i="126"/>
  <c r="AB218" i="126"/>
  <c r="P218" i="126"/>
  <c r="AX218" i="126"/>
  <c r="AL218" i="126"/>
  <c r="Z218" i="126"/>
  <c r="AW218" i="126"/>
  <c r="AK218" i="126"/>
  <c r="AF218" i="126"/>
  <c r="L218" i="126"/>
  <c r="BG218" i="126"/>
  <c r="AC218" i="126"/>
  <c r="K218" i="126"/>
  <c r="BF218" i="126"/>
  <c r="AA218" i="126"/>
  <c r="J218" i="126"/>
  <c r="AY218" i="126"/>
  <c r="Y218" i="126"/>
  <c r="AV218" i="126"/>
  <c r="X218" i="126"/>
  <c r="AU218" i="126"/>
  <c r="W218" i="126"/>
  <c r="AT218" i="126"/>
  <c r="V218" i="126"/>
  <c r="AO218" i="126"/>
  <c r="T218" i="126"/>
  <c r="AM218" i="126"/>
  <c r="Q218" i="126"/>
  <c r="AH218" i="126"/>
  <c r="M218" i="126"/>
  <c r="AJ218" i="126"/>
  <c r="AI218" i="126"/>
  <c r="O218" i="126"/>
  <c r="N218" i="126"/>
  <c r="AY198" i="126"/>
  <c r="AM198" i="126"/>
  <c r="AA198" i="126"/>
  <c r="O198" i="126"/>
  <c r="AX198" i="126"/>
  <c r="AL198" i="126"/>
  <c r="Z198" i="126"/>
  <c r="N198" i="126"/>
  <c r="AW198" i="126"/>
  <c r="AK198" i="126"/>
  <c r="Y198" i="126"/>
  <c r="M198" i="126"/>
  <c r="AV198" i="126"/>
  <c r="AJ198" i="126"/>
  <c r="X198" i="126"/>
  <c r="L198" i="126"/>
  <c r="BG198" i="126"/>
  <c r="AU198" i="126"/>
  <c r="AI198" i="126"/>
  <c r="W198" i="126"/>
  <c r="K198" i="126"/>
  <c r="BF198" i="126"/>
  <c r="AT198" i="126"/>
  <c r="AH198" i="126"/>
  <c r="V198" i="126"/>
  <c r="J198" i="126"/>
  <c r="BE198" i="126"/>
  <c r="AS198" i="126"/>
  <c r="AG198" i="126"/>
  <c r="U198" i="126"/>
  <c r="I198" i="126"/>
  <c r="BD198" i="126"/>
  <c r="AR198" i="126"/>
  <c r="AF198" i="126"/>
  <c r="T198" i="126"/>
  <c r="BC198" i="126"/>
  <c r="AQ198" i="126"/>
  <c r="AE198" i="126"/>
  <c r="S198" i="126"/>
  <c r="AZ198" i="126"/>
  <c r="AN198" i="126"/>
  <c r="AB198" i="126"/>
  <c r="P198" i="126"/>
  <c r="BB198" i="126"/>
  <c r="BA198" i="126"/>
  <c r="AP198" i="126"/>
  <c r="AO198" i="126"/>
  <c r="AD198" i="126"/>
  <c r="AC198" i="126"/>
  <c r="R198" i="126"/>
  <c r="Q198" i="126"/>
  <c r="DD233" i="126"/>
  <c r="CR233" i="126"/>
  <c r="CF233" i="126"/>
  <c r="BT233" i="126"/>
  <c r="BH233" i="126"/>
  <c r="AV233" i="126"/>
  <c r="AJ233" i="126"/>
  <c r="X233" i="126"/>
  <c r="L233" i="126"/>
  <c r="DG233" i="126"/>
  <c r="CT233" i="126"/>
  <c r="CG233" i="126"/>
  <c r="BS233" i="126"/>
  <c r="BF233" i="126"/>
  <c r="AS233" i="126"/>
  <c r="AF233" i="126"/>
  <c r="S233" i="126"/>
  <c r="DF233" i="126"/>
  <c r="CS233" i="126"/>
  <c r="CE233" i="126"/>
  <c r="BR233" i="126"/>
  <c r="BE233" i="126"/>
  <c r="AR233" i="126"/>
  <c r="AE233" i="126"/>
  <c r="R233" i="126"/>
  <c r="DE233" i="126"/>
  <c r="CQ233" i="126"/>
  <c r="CD233" i="126"/>
  <c r="BQ233" i="126"/>
  <c r="BD233" i="126"/>
  <c r="AQ233" i="126"/>
  <c r="AD233" i="126"/>
  <c r="Q233" i="126"/>
  <c r="DC233" i="126"/>
  <c r="CP233" i="126"/>
  <c r="CC233" i="126"/>
  <c r="BP233" i="126"/>
  <c r="BC233" i="126"/>
  <c r="AP233" i="126"/>
  <c r="AC233" i="126"/>
  <c r="P233" i="126"/>
  <c r="DB233" i="126"/>
  <c r="CO233" i="126"/>
  <c r="CB233" i="126"/>
  <c r="BO233" i="126"/>
  <c r="BB233" i="126"/>
  <c r="AO233" i="126"/>
  <c r="AB233" i="126"/>
  <c r="O233" i="126"/>
  <c r="DA233" i="126"/>
  <c r="CN233" i="126"/>
  <c r="CA233" i="126"/>
  <c r="BN233" i="126"/>
  <c r="BA233" i="126"/>
  <c r="AN233" i="126"/>
  <c r="AA233" i="126"/>
  <c r="N233" i="126"/>
  <c r="CZ233" i="126"/>
  <c r="CM233" i="126"/>
  <c r="BZ233" i="126"/>
  <c r="BM233" i="126"/>
  <c r="AZ233" i="126"/>
  <c r="AM233" i="126"/>
  <c r="Z233" i="126"/>
  <c r="M233" i="126"/>
  <c r="CY233" i="126"/>
  <c r="CL233" i="126"/>
  <c r="BY233" i="126"/>
  <c r="BL233" i="126"/>
  <c r="AY233" i="126"/>
  <c r="AL233" i="126"/>
  <c r="Y233" i="126"/>
  <c r="K233" i="126"/>
  <c r="CX233" i="126"/>
  <c r="CK233" i="126"/>
  <c r="BX233" i="126"/>
  <c r="BK233" i="126"/>
  <c r="AX233" i="126"/>
  <c r="AK233" i="126"/>
  <c r="W233" i="126"/>
  <c r="J233" i="126"/>
  <c r="CW233" i="126"/>
  <c r="CJ233" i="126"/>
  <c r="BW233" i="126"/>
  <c r="BJ233" i="126"/>
  <c r="AW233" i="126"/>
  <c r="AI233" i="126"/>
  <c r="V233" i="126"/>
  <c r="I233" i="126"/>
  <c r="BI233" i="126"/>
  <c r="BG233" i="126"/>
  <c r="AU233" i="126"/>
  <c r="AT233" i="126"/>
  <c r="AH233" i="126"/>
  <c r="AG233" i="126"/>
  <c r="CV233" i="126"/>
  <c r="U233" i="126"/>
  <c r="CU233" i="126"/>
  <c r="T233" i="126"/>
  <c r="CI233" i="126"/>
  <c r="BU233" i="126"/>
  <c r="CH233" i="126"/>
  <c r="BV233" i="126"/>
  <c r="CV242" i="126"/>
  <c r="CJ242" i="126"/>
  <c r="BX242" i="126"/>
  <c r="BL242" i="126"/>
  <c r="AZ242" i="126"/>
  <c r="AN242" i="126"/>
  <c r="AB242" i="126"/>
  <c r="P242" i="126"/>
  <c r="DG242" i="126"/>
  <c r="CU242" i="126"/>
  <c r="CI242" i="126"/>
  <c r="BW242" i="126"/>
  <c r="BK242" i="126"/>
  <c r="AY242" i="126"/>
  <c r="AM242" i="126"/>
  <c r="AA242" i="126"/>
  <c r="O242" i="126"/>
  <c r="DF242" i="126"/>
  <c r="CT242" i="126"/>
  <c r="CH242" i="126"/>
  <c r="BV242" i="126"/>
  <c r="BJ242" i="126"/>
  <c r="AX242" i="126"/>
  <c r="AL242" i="126"/>
  <c r="Z242" i="126"/>
  <c r="N242" i="126"/>
  <c r="DE242" i="126"/>
  <c r="CS242" i="126"/>
  <c r="CG242" i="126"/>
  <c r="BU242" i="126"/>
  <c r="BI242" i="126"/>
  <c r="AW242" i="126"/>
  <c r="AK242" i="126"/>
  <c r="Y242" i="126"/>
  <c r="M242" i="126"/>
  <c r="DD242" i="126"/>
  <c r="CR242" i="126"/>
  <c r="CF242" i="126"/>
  <c r="BT242" i="126"/>
  <c r="BH242" i="126"/>
  <c r="AV242" i="126"/>
  <c r="AJ242" i="126"/>
  <c r="X242" i="126"/>
  <c r="L242" i="126"/>
  <c r="DC242" i="126"/>
  <c r="CQ242" i="126"/>
  <c r="CE242" i="126"/>
  <c r="BS242" i="126"/>
  <c r="BG242" i="126"/>
  <c r="AU242" i="126"/>
  <c r="AI242" i="126"/>
  <c r="W242" i="126"/>
  <c r="K242" i="126"/>
  <c r="DB242" i="126"/>
  <c r="CP242" i="126"/>
  <c r="CD242" i="126"/>
  <c r="BR242" i="126"/>
  <c r="BF242" i="126"/>
  <c r="AT242" i="126"/>
  <c r="CN242" i="126"/>
  <c r="BN242" i="126"/>
  <c r="AH242" i="126"/>
  <c r="J242" i="126"/>
  <c r="CM242" i="126"/>
  <c r="BM242" i="126"/>
  <c r="AG242" i="126"/>
  <c r="I242" i="126"/>
  <c r="CL242" i="126"/>
  <c r="BE242" i="126"/>
  <c r="AF242" i="126"/>
  <c r="CK242" i="126"/>
  <c r="BD242" i="126"/>
  <c r="AE242" i="126"/>
  <c r="CC242" i="126"/>
  <c r="BC242" i="126"/>
  <c r="AD242" i="126"/>
  <c r="CB242" i="126"/>
  <c r="BB242" i="126"/>
  <c r="AC242" i="126"/>
  <c r="DA242" i="126"/>
  <c r="CA242" i="126"/>
  <c r="BA242" i="126"/>
  <c r="V242" i="126"/>
  <c r="CZ242" i="126"/>
  <c r="BZ242" i="126"/>
  <c r="AS242" i="126"/>
  <c r="U242" i="126"/>
  <c r="CY242" i="126"/>
  <c r="BY242" i="126"/>
  <c r="AR242" i="126"/>
  <c r="T242" i="126"/>
  <c r="CX242" i="126"/>
  <c r="BQ242" i="126"/>
  <c r="AQ242" i="126"/>
  <c r="S242" i="126"/>
  <c r="R242" i="126"/>
  <c r="Q242" i="126"/>
  <c r="CW242" i="126"/>
  <c r="CO242" i="126"/>
  <c r="BP242" i="126"/>
  <c r="BO242" i="126"/>
  <c r="AP242" i="126"/>
  <c r="AO242" i="126"/>
  <c r="AY219" i="126"/>
  <c r="AM219" i="126"/>
  <c r="AA219" i="126"/>
  <c r="O219" i="126"/>
  <c r="AX219" i="126"/>
  <c r="AL219" i="126"/>
  <c r="Z219" i="126"/>
  <c r="N219" i="126"/>
  <c r="AW219" i="126"/>
  <c r="AK219" i="126"/>
  <c r="Y219" i="126"/>
  <c r="M219" i="126"/>
  <c r="AV219" i="126"/>
  <c r="AJ219" i="126"/>
  <c r="X219" i="126"/>
  <c r="L219" i="126"/>
  <c r="BG219" i="126"/>
  <c r="AU219" i="126"/>
  <c r="AI219" i="126"/>
  <c r="W219" i="126"/>
  <c r="K219" i="126"/>
  <c r="BF219" i="126"/>
  <c r="AT219" i="126"/>
  <c r="AH219" i="126"/>
  <c r="V219" i="126"/>
  <c r="J219" i="126"/>
  <c r="BE219" i="126"/>
  <c r="AS219" i="126"/>
  <c r="AG219" i="126"/>
  <c r="U219" i="126"/>
  <c r="BD219" i="126"/>
  <c r="AR219" i="126"/>
  <c r="AF219" i="126"/>
  <c r="T219" i="126"/>
  <c r="BC219" i="126"/>
  <c r="AQ219" i="126"/>
  <c r="AE219" i="126"/>
  <c r="S219" i="126"/>
  <c r="AZ219" i="126"/>
  <c r="AN219" i="126"/>
  <c r="AB219" i="126"/>
  <c r="AP219" i="126"/>
  <c r="AO219" i="126"/>
  <c r="AD219" i="126"/>
  <c r="AC219" i="126"/>
  <c r="R219" i="126"/>
  <c r="Q219" i="126"/>
  <c r="P219" i="126"/>
  <c r="I219" i="126"/>
  <c r="BA219" i="126"/>
  <c r="BB219" i="126"/>
  <c r="AV199" i="126"/>
  <c r="AJ199" i="126"/>
  <c r="X199" i="126"/>
  <c r="L199" i="126"/>
  <c r="BG199" i="126"/>
  <c r="AU199" i="126"/>
  <c r="AI199" i="126"/>
  <c r="W199" i="126"/>
  <c r="K199" i="126"/>
  <c r="BF199" i="126"/>
  <c r="AT199" i="126"/>
  <c r="AH199" i="126"/>
  <c r="V199" i="126"/>
  <c r="J199" i="126"/>
  <c r="BE199" i="126"/>
  <c r="AS199" i="126"/>
  <c r="AG199" i="126"/>
  <c r="U199" i="126"/>
  <c r="I199" i="126"/>
  <c r="BD199" i="126"/>
  <c r="AR199" i="126"/>
  <c r="AF199" i="126"/>
  <c r="T199" i="126"/>
  <c r="BC199" i="126"/>
  <c r="AQ199" i="126"/>
  <c r="AE199" i="126"/>
  <c r="S199" i="126"/>
  <c r="BB199" i="126"/>
  <c r="AP199" i="126"/>
  <c r="AD199" i="126"/>
  <c r="R199" i="126"/>
  <c r="BA199" i="126"/>
  <c r="AO199" i="126"/>
  <c r="AC199" i="126"/>
  <c r="Q199" i="126"/>
  <c r="AZ199" i="126"/>
  <c r="AN199" i="126"/>
  <c r="AB199" i="126"/>
  <c r="P199" i="126"/>
  <c r="AW199" i="126"/>
  <c r="AK199" i="126"/>
  <c r="Y199" i="126"/>
  <c r="M199" i="126"/>
  <c r="N199" i="126"/>
  <c r="AY199" i="126"/>
  <c r="AX199" i="126"/>
  <c r="AM199" i="126"/>
  <c r="AL199" i="126"/>
  <c r="AA199" i="126"/>
  <c r="Z199" i="126"/>
  <c r="O199" i="126"/>
  <c r="CW234" i="126"/>
  <c r="CK234" i="126"/>
  <c r="BY234" i="126"/>
  <c r="BM234" i="126"/>
  <c r="BA234" i="126"/>
  <c r="AO234" i="126"/>
  <c r="AC234" i="126"/>
  <c r="Q234" i="126"/>
  <c r="CV234" i="126"/>
  <c r="CJ234" i="126"/>
  <c r="BX234" i="126"/>
  <c r="BL234" i="126"/>
  <c r="AZ234" i="126"/>
  <c r="AN234" i="126"/>
  <c r="AB234" i="126"/>
  <c r="P234" i="126"/>
  <c r="DD234" i="126"/>
  <c r="CR234" i="126"/>
  <c r="DF234" i="126"/>
  <c r="CP234" i="126"/>
  <c r="CB234" i="126"/>
  <c r="BN234" i="126"/>
  <c r="AX234" i="126"/>
  <c r="AJ234" i="126"/>
  <c r="V234" i="126"/>
  <c r="DE234" i="126"/>
  <c r="CO234" i="126"/>
  <c r="CA234" i="126"/>
  <c r="BK234" i="126"/>
  <c r="AW234" i="126"/>
  <c r="AI234" i="126"/>
  <c r="U234" i="126"/>
  <c r="DC234" i="126"/>
  <c r="CN234" i="126"/>
  <c r="BZ234" i="126"/>
  <c r="BJ234" i="126"/>
  <c r="AV234" i="126"/>
  <c r="AH234" i="126"/>
  <c r="T234" i="126"/>
  <c r="DB234" i="126"/>
  <c r="CM234" i="126"/>
  <c r="BW234" i="126"/>
  <c r="BI234" i="126"/>
  <c r="AU234" i="126"/>
  <c r="AG234" i="126"/>
  <c r="S234" i="126"/>
  <c r="DA234" i="126"/>
  <c r="CL234" i="126"/>
  <c r="BV234" i="126"/>
  <c r="BH234" i="126"/>
  <c r="AT234" i="126"/>
  <c r="AF234" i="126"/>
  <c r="R234" i="126"/>
  <c r="CZ234" i="126"/>
  <c r="CI234" i="126"/>
  <c r="BU234" i="126"/>
  <c r="BG234" i="126"/>
  <c r="AS234" i="126"/>
  <c r="AE234" i="126"/>
  <c r="O234" i="126"/>
  <c r="CY234" i="126"/>
  <c r="CH234" i="126"/>
  <c r="BT234" i="126"/>
  <c r="BF234" i="126"/>
  <c r="AR234" i="126"/>
  <c r="AD234" i="126"/>
  <c r="N234" i="126"/>
  <c r="CX234" i="126"/>
  <c r="CG234" i="126"/>
  <c r="BS234" i="126"/>
  <c r="BE234" i="126"/>
  <c r="AQ234" i="126"/>
  <c r="AA234" i="126"/>
  <c r="M234" i="126"/>
  <c r="CU234" i="126"/>
  <c r="CF234" i="126"/>
  <c r="BR234" i="126"/>
  <c r="BD234" i="126"/>
  <c r="AP234" i="126"/>
  <c r="Z234" i="126"/>
  <c r="L234" i="126"/>
  <c r="CT234" i="126"/>
  <c r="CE234" i="126"/>
  <c r="BQ234" i="126"/>
  <c r="BC234" i="126"/>
  <c r="AM234" i="126"/>
  <c r="Y234" i="126"/>
  <c r="K234" i="126"/>
  <c r="AL234" i="126"/>
  <c r="AK234" i="126"/>
  <c r="X234" i="126"/>
  <c r="DG234" i="126"/>
  <c r="W234" i="126"/>
  <c r="CS234" i="126"/>
  <c r="J234" i="126"/>
  <c r="CQ234" i="126"/>
  <c r="I234" i="126"/>
  <c r="CD234" i="126"/>
  <c r="CC234" i="126"/>
  <c r="BP234" i="126"/>
  <c r="AY234" i="126"/>
  <c r="BO234" i="126"/>
  <c r="BB234" i="126"/>
  <c r="DA243" i="126"/>
  <c r="CO243" i="126"/>
  <c r="CC243" i="126"/>
  <c r="BQ243" i="126"/>
  <c r="BE243" i="126"/>
  <c r="AS243" i="126"/>
  <c r="AG243" i="126"/>
  <c r="U243" i="126"/>
  <c r="I243" i="126"/>
  <c r="CZ243" i="126"/>
  <c r="CN243" i="126"/>
  <c r="CB243" i="126"/>
  <c r="BP243" i="126"/>
  <c r="BD243" i="126"/>
  <c r="AR243" i="126"/>
  <c r="AF243" i="126"/>
  <c r="T243" i="126"/>
  <c r="CY243" i="126"/>
  <c r="CM243" i="126"/>
  <c r="CA243" i="126"/>
  <c r="BO243" i="126"/>
  <c r="BC243" i="126"/>
  <c r="AQ243" i="126"/>
  <c r="AE243" i="126"/>
  <c r="S243" i="126"/>
  <c r="CX243" i="126"/>
  <c r="CL243" i="126"/>
  <c r="BZ243" i="126"/>
  <c r="BN243" i="126"/>
  <c r="BB243" i="126"/>
  <c r="AP243" i="126"/>
  <c r="AD243" i="126"/>
  <c r="R243" i="126"/>
  <c r="CW243" i="126"/>
  <c r="CK243" i="126"/>
  <c r="BY243" i="126"/>
  <c r="BM243" i="126"/>
  <c r="BA243" i="126"/>
  <c r="AO243" i="126"/>
  <c r="AC243" i="126"/>
  <c r="Q243" i="126"/>
  <c r="CV243" i="126"/>
  <c r="CJ243" i="126"/>
  <c r="BX243" i="126"/>
  <c r="BL243" i="126"/>
  <c r="AZ243" i="126"/>
  <c r="AN243" i="126"/>
  <c r="AB243" i="126"/>
  <c r="P243" i="126"/>
  <c r="DG243" i="126"/>
  <c r="CU243" i="126"/>
  <c r="CI243" i="126"/>
  <c r="BW243" i="126"/>
  <c r="BK243" i="126"/>
  <c r="AY243" i="126"/>
  <c r="AM243" i="126"/>
  <c r="AA243" i="126"/>
  <c r="O243" i="126"/>
  <c r="DE243" i="126"/>
  <c r="CS243" i="126"/>
  <c r="CG243" i="126"/>
  <c r="BU243" i="126"/>
  <c r="BI243" i="126"/>
  <c r="AW243" i="126"/>
  <c r="AK243" i="126"/>
  <c r="Y243" i="126"/>
  <c r="M243" i="126"/>
  <c r="DB243" i="126"/>
  <c r="CP243" i="126"/>
  <c r="CD243" i="126"/>
  <c r="CT243" i="126"/>
  <c r="BG243" i="126"/>
  <c r="W243" i="126"/>
  <c r="CR243" i="126"/>
  <c r="BF243" i="126"/>
  <c r="V243" i="126"/>
  <c r="CQ243" i="126"/>
  <c r="AX243" i="126"/>
  <c r="N243" i="126"/>
  <c r="CH243" i="126"/>
  <c r="AV243" i="126"/>
  <c r="L243" i="126"/>
  <c r="CF243" i="126"/>
  <c r="AU243" i="126"/>
  <c r="K243" i="126"/>
  <c r="CE243" i="126"/>
  <c r="AT243" i="126"/>
  <c r="J243" i="126"/>
  <c r="BV243" i="126"/>
  <c r="AL243" i="126"/>
  <c r="BT243" i="126"/>
  <c r="AJ243" i="126"/>
  <c r="BS243" i="126"/>
  <c r="AI243" i="126"/>
  <c r="DF243" i="126"/>
  <c r="BR243" i="126"/>
  <c r="AH243" i="126"/>
  <c r="DD243" i="126"/>
  <c r="DC243" i="126"/>
  <c r="BJ243" i="126"/>
  <c r="BH243" i="126"/>
  <c r="Z243" i="126"/>
  <c r="X243" i="126"/>
  <c r="CW228" i="126"/>
  <c r="CK228" i="126"/>
  <c r="BY228" i="126"/>
  <c r="BM228" i="126"/>
  <c r="BA228" i="126"/>
  <c r="AO228" i="126"/>
  <c r="AC228" i="126"/>
  <c r="Q228" i="126"/>
  <c r="CV228" i="126"/>
  <c r="CJ228" i="126"/>
  <c r="BX228" i="126"/>
  <c r="BL228" i="126"/>
  <c r="AZ228" i="126"/>
  <c r="AN228" i="126"/>
  <c r="AB228" i="126"/>
  <c r="P228" i="126"/>
  <c r="DG228" i="126"/>
  <c r="CU228" i="126"/>
  <c r="CI228" i="126"/>
  <c r="BW228" i="126"/>
  <c r="BK228" i="126"/>
  <c r="AY228" i="126"/>
  <c r="AM228" i="126"/>
  <c r="AA228" i="126"/>
  <c r="O228" i="126"/>
  <c r="DF228" i="126"/>
  <c r="CT228" i="126"/>
  <c r="CH228" i="126"/>
  <c r="BV228" i="126"/>
  <c r="BJ228" i="126"/>
  <c r="AX228" i="126"/>
  <c r="AL228" i="126"/>
  <c r="Z228" i="126"/>
  <c r="N228" i="126"/>
  <c r="DE228" i="126"/>
  <c r="CS228" i="126"/>
  <c r="CG228" i="126"/>
  <c r="BU228" i="126"/>
  <c r="BI228" i="126"/>
  <c r="AW228" i="126"/>
  <c r="AK228" i="126"/>
  <c r="Y228" i="126"/>
  <c r="M228" i="126"/>
  <c r="DD228" i="126"/>
  <c r="CR228" i="126"/>
  <c r="CF228" i="126"/>
  <c r="BT228" i="126"/>
  <c r="BH228" i="126"/>
  <c r="AV228" i="126"/>
  <c r="AJ228" i="126"/>
  <c r="X228" i="126"/>
  <c r="L228" i="126"/>
  <c r="DC228" i="126"/>
  <c r="CQ228" i="126"/>
  <c r="CE228" i="126"/>
  <c r="BS228" i="126"/>
  <c r="BG228" i="126"/>
  <c r="AU228" i="126"/>
  <c r="AI228" i="126"/>
  <c r="W228" i="126"/>
  <c r="K228" i="126"/>
  <c r="DB228" i="126"/>
  <c r="CP228" i="126"/>
  <c r="CD228" i="126"/>
  <c r="BR228" i="126"/>
  <c r="BF228" i="126"/>
  <c r="AT228" i="126"/>
  <c r="AH228" i="126"/>
  <c r="V228" i="126"/>
  <c r="J228" i="126"/>
  <c r="DA228" i="126"/>
  <c r="CO228" i="126"/>
  <c r="CC228" i="126"/>
  <c r="BQ228" i="126"/>
  <c r="BE228" i="126"/>
  <c r="AS228" i="126"/>
  <c r="AG228" i="126"/>
  <c r="U228" i="126"/>
  <c r="I228" i="126"/>
  <c r="CZ228" i="126"/>
  <c r="CN228" i="126"/>
  <c r="CB228" i="126"/>
  <c r="BP228" i="126"/>
  <c r="BD228" i="126"/>
  <c r="AR228" i="126"/>
  <c r="AF228" i="126"/>
  <c r="T228" i="126"/>
  <c r="AQ228" i="126"/>
  <c r="AP228" i="126"/>
  <c r="CY228" i="126"/>
  <c r="AE228" i="126"/>
  <c r="CX228" i="126"/>
  <c r="AD228" i="126"/>
  <c r="CM228" i="126"/>
  <c r="S228" i="126"/>
  <c r="CL228" i="126"/>
  <c r="R228" i="126"/>
  <c r="CA228" i="126"/>
  <c r="BZ228" i="126"/>
  <c r="BO228" i="126"/>
  <c r="BB228" i="126"/>
  <c r="BN228" i="126"/>
  <c r="BC228" i="126"/>
  <c r="DB235" i="126"/>
  <c r="CP235" i="126"/>
  <c r="CD235" i="126"/>
  <c r="BR235" i="126"/>
  <c r="BF235" i="126"/>
  <c r="AT235" i="126"/>
  <c r="AH235" i="126"/>
  <c r="V235" i="126"/>
  <c r="J235" i="126"/>
  <c r="DA235" i="126"/>
  <c r="CO235" i="126"/>
  <c r="CC235" i="126"/>
  <c r="BQ235" i="126"/>
  <c r="BE235" i="126"/>
  <c r="AS235" i="126"/>
  <c r="AG235" i="126"/>
  <c r="U235" i="126"/>
  <c r="I235" i="126"/>
  <c r="CZ235" i="126"/>
  <c r="CW235" i="126"/>
  <c r="CK235" i="126"/>
  <c r="BY235" i="126"/>
  <c r="BM235" i="126"/>
  <c r="BA235" i="126"/>
  <c r="AO235" i="126"/>
  <c r="AC235" i="126"/>
  <c r="Q235" i="126"/>
  <c r="CY235" i="126"/>
  <c r="CI235" i="126"/>
  <c r="BT235" i="126"/>
  <c r="BC235" i="126"/>
  <c r="AM235" i="126"/>
  <c r="X235" i="126"/>
  <c r="CX235" i="126"/>
  <c r="CH235" i="126"/>
  <c r="BS235" i="126"/>
  <c r="BB235" i="126"/>
  <c r="AL235" i="126"/>
  <c r="W235" i="126"/>
  <c r="CV235" i="126"/>
  <c r="CG235" i="126"/>
  <c r="BP235" i="126"/>
  <c r="AZ235" i="126"/>
  <c r="AK235" i="126"/>
  <c r="T235" i="126"/>
  <c r="CU235" i="126"/>
  <c r="CF235" i="126"/>
  <c r="BO235" i="126"/>
  <c r="AY235" i="126"/>
  <c r="AJ235" i="126"/>
  <c r="S235" i="126"/>
  <c r="CT235" i="126"/>
  <c r="CE235" i="126"/>
  <c r="BN235" i="126"/>
  <c r="AX235" i="126"/>
  <c r="AI235" i="126"/>
  <c r="R235" i="126"/>
  <c r="CS235" i="126"/>
  <c r="CB235" i="126"/>
  <c r="BL235" i="126"/>
  <c r="AW235" i="126"/>
  <c r="AF235" i="126"/>
  <c r="P235" i="126"/>
  <c r="CR235" i="126"/>
  <c r="CA235" i="126"/>
  <c r="BK235" i="126"/>
  <c r="AV235" i="126"/>
  <c r="AE235" i="126"/>
  <c r="O235" i="126"/>
  <c r="DG235" i="126"/>
  <c r="CQ235" i="126"/>
  <c r="BZ235" i="126"/>
  <c r="BJ235" i="126"/>
  <c r="AU235" i="126"/>
  <c r="AD235" i="126"/>
  <c r="N235" i="126"/>
  <c r="DF235" i="126"/>
  <c r="CN235" i="126"/>
  <c r="BX235" i="126"/>
  <c r="BI235" i="126"/>
  <c r="AR235" i="126"/>
  <c r="AB235" i="126"/>
  <c r="M235" i="126"/>
  <c r="DE235" i="126"/>
  <c r="CM235" i="126"/>
  <c r="BW235" i="126"/>
  <c r="BH235" i="126"/>
  <c r="AQ235" i="126"/>
  <c r="AA235" i="126"/>
  <c r="L235" i="126"/>
  <c r="Z235" i="126"/>
  <c r="Y235" i="126"/>
  <c r="DD235" i="126"/>
  <c r="K235" i="126"/>
  <c r="DC235" i="126"/>
  <c r="CL235" i="126"/>
  <c r="CJ235" i="126"/>
  <c r="BV235" i="126"/>
  <c r="BU235" i="126"/>
  <c r="BG235" i="126"/>
  <c r="AN235" i="126"/>
  <c r="BD235" i="126"/>
  <c r="AP235" i="126"/>
  <c r="DC201" i="126" l="1"/>
  <c r="DC199" i="126"/>
  <c r="DC205" i="126"/>
  <c r="CV196" i="126"/>
  <c r="CV202" i="126"/>
  <c r="BP145" i="126"/>
  <c r="CC170" i="126"/>
  <c r="CC167" i="126"/>
  <c r="DF183" i="126"/>
  <c r="DF166" i="126"/>
  <c r="DD170" i="126"/>
  <c r="DD167" i="126"/>
  <c r="CW183" i="126"/>
  <c r="CW166" i="126"/>
  <c r="BI200" i="126"/>
  <c r="BI195" i="126"/>
  <c r="CN216" i="126"/>
  <c r="CN214" i="126"/>
  <c r="DC241" i="126"/>
  <c r="CQ241" i="126"/>
  <c r="CE241" i="126"/>
  <c r="BS241" i="126"/>
  <c r="BG241" i="126"/>
  <c r="AU241" i="126"/>
  <c r="AI241" i="126"/>
  <c r="W241" i="126"/>
  <c r="K241" i="126"/>
  <c r="DB241" i="126"/>
  <c r="CP241" i="126"/>
  <c r="CD241" i="126"/>
  <c r="BR241" i="126"/>
  <c r="BF241" i="126"/>
  <c r="AT241" i="126"/>
  <c r="AH241" i="126"/>
  <c r="V241" i="126"/>
  <c r="J241" i="126"/>
  <c r="DA241" i="126"/>
  <c r="CZ241" i="126"/>
  <c r="CY241" i="126"/>
  <c r="CM241" i="126"/>
  <c r="CA241" i="126"/>
  <c r="CX241" i="126"/>
  <c r="CL241" i="126"/>
  <c r="BZ241" i="126"/>
  <c r="BN241" i="126"/>
  <c r="BB241" i="126"/>
  <c r="AP241" i="126"/>
  <c r="CO241" i="126"/>
  <c r="BW241" i="126"/>
  <c r="BH241" i="126"/>
  <c r="AQ241" i="126"/>
  <c r="AB241" i="126"/>
  <c r="N241" i="126"/>
  <c r="CN241" i="126"/>
  <c r="BV241" i="126"/>
  <c r="BE241" i="126"/>
  <c r="AO241" i="126"/>
  <c r="AA241" i="126"/>
  <c r="M241" i="126"/>
  <c r="DG241" i="126"/>
  <c r="CK241" i="126"/>
  <c r="BU241" i="126"/>
  <c r="BD241" i="126"/>
  <c r="AN241" i="126"/>
  <c r="Z241" i="126"/>
  <c r="L241" i="126"/>
  <c r="DF241" i="126"/>
  <c r="CJ241" i="126"/>
  <c r="BT241" i="126"/>
  <c r="BC241" i="126"/>
  <c r="AM241" i="126"/>
  <c r="Y241" i="126"/>
  <c r="I241" i="126"/>
  <c r="DE241" i="126"/>
  <c r="CI241" i="126"/>
  <c r="BQ241" i="126"/>
  <c r="BA241" i="126"/>
  <c r="AL241" i="126"/>
  <c r="X241" i="126"/>
  <c r="DD241" i="126"/>
  <c r="CH241" i="126"/>
  <c r="BP241" i="126"/>
  <c r="AZ241" i="126"/>
  <c r="AK241" i="126"/>
  <c r="U241" i="126"/>
  <c r="CW241" i="126"/>
  <c r="CG241" i="126"/>
  <c r="BO241" i="126"/>
  <c r="AY241" i="126"/>
  <c r="AJ241" i="126"/>
  <c r="T241" i="126"/>
  <c r="CV241" i="126"/>
  <c r="CF241" i="126"/>
  <c r="BM241" i="126"/>
  <c r="AX241" i="126"/>
  <c r="AG241" i="126"/>
  <c r="S241" i="126"/>
  <c r="CU241" i="126"/>
  <c r="CC241" i="126"/>
  <c r="BL241" i="126"/>
  <c r="AW241" i="126"/>
  <c r="AF241" i="126"/>
  <c r="R241" i="126"/>
  <c r="CT241" i="126"/>
  <c r="CB241" i="126"/>
  <c r="BK241" i="126"/>
  <c r="AV241" i="126"/>
  <c r="AE241" i="126"/>
  <c r="Q241" i="126"/>
  <c r="P241" i="126"/>
  <c r="O241" i="126"/>
  <c r="CS241" i="126"/>
  <c r="CR241" i="126"/>
  <c r="BY241" i="126"/>
  <c r="BX241" i="126"/>
  <c r="BJ241" i="126"/>
  <c r="BI241" i="126"/>
  <c r="AS241" i="126"/>
  <c r="AR241" i="126"/>
  <c r="AD241" i="126"/>
  <c r="AC241" i="126"/>
  <c r="Q120" i="126"/>
  <c r="L120" i="126"/>
  <c r="BM201" i="126"/>
  <c r="BM199" i="126"/>
  <c r="BM205" i="126"/>
  <c r="BT201" i="126"/>
  <c r="BT199" i="126"/>
  <c r="BT205" i="126"/>
  <c r="BY205" i="126"/>
  <c r="BY201" i="126"/>
  <c r="BY199" i="126"/>
  <c r="CM205" i="126"/>
  <c r="CM201" i="126"/>
  <c r="CM199" i="126"/>
  <c r="CW224" i="126"/>
  <c r="CW220" i="126"/>
  <c r="CN224" i="126"/>
  <c r="CN220" i="126"/>
  <c r="CQ224" i="126"/>
  <c r="CQ220" i="126"/>
  <c r="BV224" i="126"/>
  <c r="BV220" i="126"/>
  <c r="CR211" i="126"/>
  <c r="BL211" i="126"/>
  <c r="BS223" i="126"/>
  <c r="BS219" i="126"/>
  <c r="DF223" i="126"/>
  <c r="DF219" i="126"/>
  <c r="CK223" i="126"/>
  <c r="CK219" i="126"/>
  <c r="CN223" i="126"/>
  <c r="CN219" i="126"/>
  <c r="BL222" i="126"/>
  <c r="BL218" i="126"/>
  <c r="CR222" i="126"/>
  <c r="CR218" i="126"/>
  <c r="CC218" i="126"/>
  <c r="CC222" i="126"/>
  <c r="BJ222" i="126"/>
  <c r="BJ218" i="126"/>
  <c r="DD210" i="126"/>
  <c r="CJ210" i="126"/>
  <c r="CQ210" i="126"/>
  <c r="CF202" i="126"/>
  <c r="CF196" i="126"/>
  <c r="CH196" i="126"/>
  <c r="CH202" i="126"/>
  <c r="BM202" i="126"/>
  <c r="BM196" i="126"/>
  <c r="BP202" i="126"/>
  <c r="BP196" i="126"/>
  <c r="BS221" i="126"/>
  <c r="BS217" i="126"/>
  <c r="BS215" i="126"/>
  <c r="CL221" i="126"/>
  <c r="CL217" i="126"/>
  <c r="CL215" i="126"/>
  <c r="CQ217" i="126"/>
  <c r="CQ215" i="126"/>
  <c r="CQ221" i="126"/>
  <c r="CA221" i="126"/>
  <c r="CA217" i="126"/>
  <c r="CA215" i="126"/>
  <c r="CP145" i="126"/>
  <c r="CN142" i="126"/>
  <c r="CR142" i="126"/>
  <c r="CN147" i="126"/>
  <c r="BO144" i="126"/>
  <c r="CM152" i="126"/>
  <c r="CQ146" i="126"/>
  <c r="BS141" i="126"/>
  <c r="CZ144" i="126"/>
  <c r="CO143" i="126"/>
  <c r="BT149" i="126"/>
  <c r="CA154" i="126"/>
  <c r="CQ147" i="126"/>
  <c r="CR150" i="126"/>
  <c r="BR158" i="126"/>
  <c r="CR147" i="126"/>
  <c r="CS150" i="126"/>
  <c r="BW146" i="126"/>
  <c r="BM149" i="126"/>
  <c r="CB152" i="126"/>
  <c r="BX162" i="126"/>
  <c r="BN149" i="126"/>
  <c r="CT152" i="126"/>
  <c r="DE142" i="126"/>
  <c r="CY145" i="126"/>
  <c r="CV148" i="126"/>
  <c r="CD152" i="126"/>
  <c r="CY154" i="126"/>
  <c r="CH142" i="126"/>
  <c r="CB145" i="126"/>
  <c r="CJ148" i="126"/>
  <c r="BP152" i="126"/>
  <c r="DC144" i="126"/>
  <c r="CW147" i="126"/>
  <c r="CZ146" i="126"/>
  <c r="DF149" i="126"/>
  <c r="DF153" i="126"/>
  <c r="BL158" i="126"/>
  <c r="CU153" i="126"/>
  <c r="CP155" i="126"/>
  <c r="DG160" i="126"/>
  <c r="CI151" i="126"/>
  <c r="CH154" i="126"/>
  <c r="BW154" i="126"/>
  <c r="BS156" i="126"/>
  <c r="CB158" i="126"/>
  <c r="BL154" i="126"/>
  <c r="BT156" i="126"/>
  <c r="CC158" i="126"/>
  <c r="DB149" i="126"/>
  <c r="CV152" i="126"/>
  <c r="CL162" i="126"/>
  <c r="DA162" i="126"/>
  <c r="DA168" i="126"/>
  <c r="CO159" i="126"/>
  <c r="BU162" i="126"/>
  <c r="DF158" i="126"/>
  <c r="CF183" i="126"/>
  <c r="CF166" i="126"/>
  <c r="CA168" i="126"/>
  <c r="CO170" i="126"/>
  <c r="CO167" i="126"/>
  <c r="BL183" i="126"/>
  <c r="BL166" i="126"/>
  <c r="BR168" i="126"/>
  <c r="DF170" i="126"/>
  <c r="DF167" i="126"/>
  <c r="BK167" i="126"/>
  <c r="BK170" i="126"/>
  <c r="CZ183" i="126"/>
  <c r="CZ166" i="126"/>
  <c r="CY168" i="126"/>
  <c r="CU168" i="126"/>
  <c r="BY200" i="126"/>
  <c r="BY195" i="126"/>
  <c r="CD195" i="126"/>
  <c r="CD200" i="126"/>
  <c r="BU200" i="126"/>
  <c r="BU195" i="126"/>
  <c r="CU200" i="126"/>
  <c r="CU195" i="126"/>
  <c r="CV214" i="126"/>
  <c r="CV216" i="126"/>
  <c r="CW216" i="126"/>
  <c r="CW214" i="126"/>
  <c r="CZ216" i="126"/>
  <c r="CZ214" i="126"/>
  <c r="DC216" i="126"/>
  <c r="DC214" i="126"/>
  <c r="DD222" i="126"/>
  <c r="DD218" i="126"/>
  <c r="BV217" i="126"/>
  <c r="BV215" i="126"/>
  <c r="BV221" i="126"/>
  <c r="DG183" i="126"/>
  <c r="DG166" i="126"/>
  <c r="CT170" i="126"/>
  <c r="CT167" i="126"/>
  <c r="CN183" i="126"/>
  <c r="CN166" i="126"/>
  <c r="BM200" i="126"/>
  <c r="BM195" i="126"/>
  <c r="CI200" i="126"/>
  <c r="CI195" i="126"/>
  <c r="CQ214" i="126"/>
  <c r="CQ216" i="126"/>
  <c r="CF201" i="126"/>
  <c r="CF199" i="126"/>
  <c r="CF205" i="126"/>
  <c r="CK205" i="126"/>
  <c r="CK201" i="126"/>
  <c r="CK199" i="126"/>
  <c r="CR205" i="126"/>
  <c r="CR201" i="126"/>
  <c r="CR199" i="126"/>
  <c r="CY201" i="126"/>
  <c r="CY199" i="126"/>
  <c r="CY205" i="126"/>
  <c r="CX224" i="126"/>
  <c r="CX220" i="126"/>
  <c r="CZ224" i="126"/>
  <c r="CZ220" i="126"/>
  <c r="DC224" i="126"/>
  <c r="DC220" i="126"/>
  <c r="CH220" i="126"/>
  <c r="CH224" i="126"/>
  <c r="CS211" i="126"/>
  <c r="BX211" i="126"/>
  <c r="BT223" i="126"/>
  <c r="BT219" i="126"/>
  <c r="BK223" i="126"/>
  <c r="BK219" i="126"/>
  <c r="CW223" i="126"/>
  <c r="CW219" i="126"/>
  <c r="CZ223" i="126"/>
  <c r="CZ219" i="126"/>
  <c r="CE222" i="126"/>
  <c r="CE218" i="126"/>
  <c r="BY222" i="126"/>
  <c r="BY218" i="126"/>
  <c r="CO218" i="126"/>
  <c r="CO222" i="126"/>
  <c r="BV222" i="126"/>
  <c r="BV218" i="126"/>
  <c r="CJ188" i="126"/>
  <c r="BX210" i="126"/>
  <c r="CV210" i="126"/>
  <c r="DA210" i="126"/>
  <c r="DC210" i="126"/>
  <c r="CG196" i="126"/>
  <c r="CG202" i="126"/>
  <c r="CT196" i="126"/>
  <c r="CT202" i="126"/>
  <c r="BY202" i="126"/>
  <c r="BY196" i="126"/>
  <c r="CB202" i="126"/>
  <c r="CB196" i="126"/>
  <c r="CH217" i="126"/>
  <c r="CH215" i="126"/>
  <c r="CH221" i="126"/>
  <c r="DC221" i="126"/>
  <c r="DC217" i="126"/>
  <c r="DC215" i="126"/>
  <c r="DF221" i="126"/>
  <c r="DF217" i="126"/>
  <c r="DF215" i="126"/>
  <c r="CM221" i="126"/>
  <c r="CM217" i="126"/>
  <c r="CM215" i="126"/>
  <c r="CC184" i="126"/>
  <c r="CT143" i="126"/>
  <c r="DB142" i="126"/>
  <c r="CA147" i="126"/>
  <c r="CN141" i="126"/>
  <c r="CC142" i="126"/>
  <c r="BR143" i="126"/>
  <c r="BN148" i="126"/>
  <c r="CG144" i="126"/>
  <c r="CR141" i="126"/>
  <c r="BT144" i="126"/>
  <c r="CX142" i="126"/>
  <c r="CN148" i="126"/>
  <c r="CG141" i="126"/>
  <c r="BL143" i="126"/>
  <c r="BP147" i="126"/>
  <c r="DG143" i="126"/>
  <c r="BO150" i="126"/>
  <c r="CG149" i="126"/>
  <c r="CZ152" i="126"/>
  <c r="DF151" i="126"/>
  <c r="DC147" i="126"/>
  <c r="DF150" i="126"/>
  <c r="BS158" i="126"/>
  <c r="CI146" i="126"/>
  <c r="BZ149" i="126"/>
  <c r="CA149" i="126"/>
  <c r="BS143" i="126"/>
  <c r="BM146" i="126"/>
  <c r="CU152" i="126"/>
  <c r="CW162" i="126"/>
  <c r="CT142" i="126"/>
  <c r="CN145" i="126"/>
  <c r="CW148" i="126"/>
  <c r="BQ145" i="126"/>
  <c r="BK148" i="126"/>
  <c r="BU151" i="126"/>
  <c r="CG158" i="126"/>
  <c r="BN147" i="126"/>
  <c r="BL150" i="126"/>
  <c r="BZ160" i="126"/>
  <c r="DB152" i="126"/>
  <c r="DB159" i="126"/>
  <c r="CB162" i="126"/>
  <c r="DB183" i="126"/>
  <c r="DB166" i="126"/>
  <c r="BT154" i="126"/>
  <c r="BP156" i="126"/>
  <c r="BY158" i="126"/>
  <c r="DG153" i="126"/>
  <c r="DB155" i="126"/>
  <c r="BM158" i="126"/>
  <c r="CU151" i="126"/>
  <c r="CT154" i="126"/>
  <c r="CR156" i="126"/>
  <c r="DB158" i="126"/>
  <c r="CI154" i="126"/>
  <c r="CF156" i="126"/>
  <c r="CO158" i="126"/>
  <c r="BX154" i="126"/>
  <c r="CG156" i="126"/>
  <c r="CP158" i="126"/>
  <c r="BP150" i="126"/>
  <c r="BO153" i="126"/>
  <c r="CW160" i="126"/>
  <c r="CX162" i="126"/>
  <c r="CK168" i="126"/>
  <c r="BN170" i="126"/>
  <c r="BN167" i="126"/>
  <c r="BQ183" i="126"/>
  <c r="BQ166" i="126"/>
  <c r="BU183" i="126"/>
  <c r="BU166" i="126"/>
  <c r="DA159" i="126"/>
  <c r="CD183" i="126"/>
  <c r="CD166" i="126"/>
  <c r="CG162" i="126"/>
  <c r="CO183" i="126"/>
  <c r="CO166" i="126"/>
  <c r="BT159" i="126"/>
  <c r="CR183" i="126"/>
  <c r="CR166" i="126"/>
  <c r="CO168" i="126"/>
  <c r="DA170" i="126"/>
  <c r="DA167" i="126"/>
  <c r="BX183" i="126"/>
  <c r="BX166" i="126"/>
  <c r="CE168" i="126"/>
  <c r="BN183" i="126"/>
  <c r="BN166" i="126"/>
  <c r="BT168" i="126"/>
  <c r="BW167" i="126"/>
  <c r="BW170" i="126"/>
  <c r="DG168" i="126"/>
  <c r="CK200" i="126"/>
  <c r="CK195" i="126"/>
  <c r="CP195" i="126"/>
  <c r="CP200" i="126"/>
  <c r="CG200" i="126"/>
  <c r="CG195" i="126"/>
  <c r="DG200" i="126"/>
  <c r="DG195" i="126"/>
  <c r="CU158" i="126"/>
  <c r="DG214" i="126"/>
  <c r="DG216" i="126"/>
  <c r="BN216" i="126"/>
  <c r="BN214" i="126"/>
  <c r="BQ214" i="126"/>
  <c r="BQ216" i="126"/>
  <c r="BT214" i="126"/>
  <c r="BT216" i="126"/>
  <c r="CV224" i="126"/>
  <c r="CV220" i="126"/>
  <c r="BX222" i="126"/>
  <c r="BX218" i="126"/>
  <c r="CX170" i="126"/>
  <c r="CX167" i="126"/>
  <c r="BT183" i="126"/>
  <c r="BT166" i="126"/>
  <c r="BR195" i="126"/>
  <c r="BR200" i="126"/>
  <c r="CU214" i="126"/>
  <c r="CU216" i="126"/>
  <c r="CK216" i="126"/>
  <c r="CK214" i="126"/>
  <c r="CW201" i="126"/>
  <c r="CW199" i="126"/>
  <c r="CW205" i="126"/>
  <c r="DD201" i="126"/>
  <c r="DD199" i="126"/>
  <c r="DD205" i="126"/>
  <c r="BL205" i="126"/>
  <c r="BL199" i="126"/>
  <c r="BL201" i="126"/>
  <c r="BQ201" i="126"/>
  <c r="BQ199" i="126"/>
  <c r="BQ205" i="126"/>
  <c r="BL224" i="126"/>
  <c r="BL220" i="126"/>
  <c r="BQ224" i="126"/>
  <c r="BQ220" i="126"/>
  <c r="BT224" i="126"/>
  <c r="BT220" i="126"/>
  <c r="CT224" i="126"/>
  <c r="CT220" i="126"/>
  <c r="BZ211" i="126"/>
  <c r="CG211" i="126"/>
  <c r="CJ211" i="126"/>
  <c r="CD223" i="126"/>
  <c r="CD219" i="126"/>
  <c r="BW223" i="126"/>
  <c r="BW219" i="126"/>
  <c r="BN223" i="126"/>
  <c r="BN219" i="126"/>
  <c r="BQ223" i="126"/>
  <c r="BQ219" i="126"/>
  <c r="DC222" i="126"/>
  <c r="DC218" i="126"/>
  <c r="CV222" i="126"/>
  <c r="CV218" i="126"/>
  <c r="DA222" i="126"/>
  <c r="DA218" i="126"/>
  <c r="CH222" i="126"/>
  <c r="CH218" i="126"/>
  <c r="CT188" i="126"/>
  <c r="CO210" i="126"/>
  <c r="BM210" i="126"/>
  <c r="BP210" i="126"/>
  <c r="BI210" i="126"/>
  <c r="CR202" i="126"/>
  <c r="CR196" i="126"/>
  <c r="DF196" i="126"/>
  <c r="DF202" i="126"/>
  <c r="CK202" i="126"/>
  <c r="CK196" i="126"/>
  <c r="CN202" i="126"/>
  <c r="CN196" i="126"/>
  <c r="CX221" i="126"/>
  <c r="CX215" i="126"/>
  <c r="CX217" i="126"/>
  <c r="BK221" i="126"/>
  <c r="BK215" i="126"/>
  <c r="BK217" i="126"/>
  <c r="BN221" i="126"/>
  <c r="BN215" i="126"/>
  <c r="BN217" i="126"/>
  <c r="CY221" i="126"/>
  <c r="CY215" i="126"/>
  <c r="CY217" i="126"/>
  <c r="CQ145" i="126"/>
  <c r="CQ142" i="126"/>
  <c r="BL146" i="126"/>
  <c r="BO141" i="126"/>
  <c r="CM156" i="126"/>
  <c r="CI144" i="126"/>
  <c r="BX143" i="126"/>
  <c r="BU149" i="126"/>
  <c r="CW141" i="126"/>
  <c r="BZ143" i="126"/>
  <c r="DA148" i="126"/>
  <c r="BX144" i="126"/>
  <c r="CT149" i="126"/>
  <c r="BX155" i="126"/>
  <c r="BQ148" i="126"/>
  <c r="BO151" i="126"/>
  <c r="BP151" i="126"/>
  <c r="CU146" i="126"/>
  <c r="CM149" i="126"/>
  <c r="CE143" i="126"/>
  <c r="BY146" i="126"/>
  <c r="CB149" i="126"/>
  <c r="BL155" i="126"/>
  <c r="DF142" i="126"/>
  <c r="CZ145" i="126"/>
  <c r="BP149" i="126"/>
  <c r="CW152" i="126"/>
  <c r="CC145" i="126"/>
  <c r="BX148" i="126"/>
  <c r="CJ151" i="126"/>
  <c r="BZ147" i="126"/>
  <c r="BY150" i="126"/>
  <c r="BT153" i="126"/>
  <c r="BO155" i="126"/>
  <c r="CO160" i="126"/>
  <c r="BM160" i="126"/>
  <c r="CF154" i="126"/>
  <c r="CC156" i="126"/>
  <c r="CL158" i="126"/>
  <c r="BU154" i="126"/>
  <c r="BQ156" i="126"/>
  <c r="BZ158" i="126"/>
  <c r="DG151" i="126"/>
  <c r="DF154" i="126"/>
  <c r="DE156" i="126"/>
  <c r="BN159" i="126"/>
  <c r="CU154" i="126"/>
  <c r="CS156" i="126"/>
  <c r="DD158" i="126"/>
  <c r="CJ154" i="126"/>
  <c r="CT156" i="126"/>
  <c r="DE158" i="126"/>
  <c r="CB150" i="126"/>
  <c r="CA153" i="126"/>
  <c r="BV155" i="126"/>
  <c r="CK170" i="126"/>
  <c r="CK167" i="126"/>
  <c r="CC183" i="126"/>
  <c r="CC166" i="126"/>
  <c r="BO160" i="126"/>
  <c r="CW170" i="126"/>
  <c r="CW167" i="126"/>
  <c r="CS162" i="126"/>
  <c r="CF159" i="126"/>
  <c r="BO170" i="126"/>
  <c r="BO167" i="126"/>
  <c r="DD183" i="126"/>
  <c r="DD166" i="126"/>
  <c r="DC168" i="126"/>
  <c r="BO168" i="126"/>
  <c r="CJ183" i="126"/>
  <c r="CJ166" i="126"/>
  <c r="CS168" i="126"/>
  <c r="BZ183" i="126"/>
  <c r="BZ166" i="126"/>
  <c r="CG168" i="126"/>
  <c r="CI170" i="126"/>
  <c r="CI167" i="126"/>
  <c r="CW200" i="126"/>
  <c r="CW195" i="126"/>
  <c r="DB195" i="126"/>
  <c r="DB200" i="126"/>
  <c r="CS200" i="126"/>
  <c r="CS195" i="126"/>
  <c r="BL200" i="126"/>
  <c r="BL195" i="126"/>
  <c r="CB147" i="126"/>
  <c r="BK216" i="126"/>
  <c r="BK214" i="126"/>
  <c r="BZ214" i="126"/>
  <c r="BZ216" i="126"/>
  <c r="CC214" i="126"/>
  <c r="CC216" i="126"/>
  <c r="CF214" i="126"/>
  <c r="CF216" i="126"/>
  <c r="CS205" i="126"/>
  <c r="CS201" i="126"/>
  <c r="CS199" i="126"/>
  <c r="CT223" i="126"/>
  <c r="CT219" i="126"/>
  <c r="BV196" i="126"/>
  <c r="BV202" i="126"/>
  <c r="CV221" i="126"/>
  <c r="CV217" i="126"/>
  <c r="CV215" i="126"/>
  <c r="CE201" i="126"/>
  <c r="CE199" i="126"/>
  <c r="CE205" i="126"/>
  <c r="BP201" i="126"/>
  <c r="BP199" i="126"/>
  <c r="BP205" i="126"/>
  <c r="BU205" i="126"/>
  <c r="BU201" i="126"/>
  <c r="BU199" i="126"/>
  <c r="BX205" i="126"/>
  <c r="BX199" i="126"/>
  <c r="BX201" i="126"/>
  <c r="CC205" i="126"/>
  <c r="CC201" i="126"/>
  <c r="CC199" i="126"/>
  <c r="BM224" i="126"/>
  <c r="BM220" i="126"/>
  <c r="CC224" i="126"/>
  <c r="CC220" i="126"/>
  <c r="CF224" i="126"/>
  <c r="CF220" i="126"/>
  <c r="DF224" i="126"/>
  <c r="DF220" i="126"/>
  <c r="CP223" i="126"/>
  <c r="CP219" i="126"/>
  <c r="BI223" i="126"/>
  <c r="BI219" i="126"/>
  <c r="CI223" i="126"/>
  <c r="CI219" i="126"/>
  <c r="BZ223" i="126"/>
  <c r="BZ219" i="126"/>
  <c r="CC219" i="126"/>
  <c r="CC223" i="126"/>
  <c r="BO222" i="126"/>
  <c r="BO218" i="126"/>
  <c r="BZ222" i="126"/>
  <c r="BZ218" i="126"/>
  <c r="BR222" i="126"/>
  <c r="BR218" i="126"/>
  <c r="CT222" i="126"/>
  <c r="CT218" i="126"/>
  <c r="CF210" i="126"/>
  <c r="BU210" i="126"/>
  <c r="CS196" i="126"/>
  <c r="CS202" i="126"/>
  <c r="BK202" i="126"/>
  <c r="BK196" i="126"/>
  <c r="CW202" i="126"/>
  <c r="CW196" i="126"/>
  <c r="CZ202" i="126"/>
  <c r="CZ196" i="126"/>
  <c r="BQ221" i="126"/>
  <c r="BQ217" i="126"/>
  <c r="BQ215" i="126"/>
  <c r="BT221" i="126"/>
  <c r="BT217" i="126"/>
  <c r="BT215" i="126"/>
  <c r="BW221" i="126"/>
  <c r="BW217" i="126"/>
  <c r="BW215" i="126"/>
  <c r="CC215" i="126"/>
  <c r="CC221" i="126"/>
  <c r="CC217" i="126"/>
  <c r="CB221" i="126"/>
  <c r="CB215" i="126"/>
  <c r="CB217" i="126"/>
  <c r="CW184" i="126"/>
  <c r="BM145" i="126"/>
  <c r="CI159" i="126"/>
  <c r="BR142" i="126"/>
  <c r="BR146" i="126"/>
  <c r="BW142" i="126"/>
  <c r="BU141" i="126"/>
  <c r="CM144" i="126"/>
  <c r="CJ156" i="126"/>
  <c r="BW149" i="126"/>
  <c r="CD151" i="126"/>
  <c r="DG146" i="126"/>
  <c r="BV156" i="126"/>
  <c r="CQ143" i="126"/>
  <c r="CK146" i="126"/>
  <c r="BT143" i="126"/>
  <c r="BN146" i="126"/>
  <c r="BM155" i="126"/>
  <c r="CO145" i="126"/>
  <c r="CK148" i="126"/>
  <c r="CZ151" i="126"/>
  <c r="CQ153" i="126"/>
  <c r="DA160" i="126"/>
  <c r="CL147" i="126"/>
  <c r="CL150" i="126"/>
  <c r="CF153" i="126"/>
  <c r="CA155" i="126"/>
  <c r="BU153" i="126"/>
  <c r="BP155" i="126"/>
  <c r="CB160" i="126"/>
  <c r="CS151" i="126"/>
  <c r="CR154" i="126"/>
  <c r="CP156" i="126"/>
  <c r="CG154" i="126"/>
  <c r="CD156" i="126"/>
  <c r="BU152" i="126"/>
  <c r="CB159" i="126"/>
  <c r="BL162" i="126"/>
  <c r="DG154" i="126"/>
  <c r="DF156" i="126"/>
  <c r="CV154" i="126"/>
  <c r="DG156" i="126"/>
  <c r="BP159" i="126"/>
  <c r="BO162" i="126"/>
  <c r="CN150" i="126"/>
  <c r="CM153" i="126"/>
  <c r="CH155" i="126"/>
  <c r="BY170" i="126"/>
  <c r="BY167" i="126"/>
  <c r="BR162" i="126"/>
  <c r="CL170" i="126"/>
  <c r="CL167" i="126"/>
  <c r="CA160" i="126"/>
  <c r="BT162" i="126"/>
  <c r="DE162" i="126"/>
  <c r="CR159" i="126"/>
  <c r="CA170" i="126"/>
  <c r="CA167" i="126"/>
  <c r="CB168" i="126"/>
  <c r="CV183" i="126"/>
  <c r="CV166" i="126"/>
  <c r="CL183" i="126"/>
  <c r="CL166" i="126"/>
  <c r="CV168" i="126"/>
  <c r="CU170" i="126"/>
  <c r="CU167" i="126"/>
  <c r="CA200" i="126"/>
  <c r="CA195" i="126"/>
  <c r="BP195" i="126"/>
  <c r="BP200" i="126"/>
  <c r="BS200" i="126"/>
  <c r="BS195" i="126"/>
  <c r="DE200" i="126"/>
  <c r="DE195" i="126"/>
  <c r="BX200" i="126"/>
  <c r="BX195" i="126"/>
  <c r="BL216" i="126"/>
  <c r="BL214" i="126"/>
  <c r="CL216" i="126"/>
  <c r="CL214" i="126"/>
  <c r="CO214" i="126"/>
  <c r="CO216" i="126"/>
  <c r="CR214" i="126"/>
  <c r="CR216" i="126"/>
  <c r="N122" i="126"/>
  <c r="O122" i="126" s="1"/>
  <c r="L122" i="126"/>
  <c r="M123" i="126"/>
  <c r="Q122" i="126"/>
  <c r="R122" i="126"/>
  <c r="BZ221" i="126"/>
  <c r="BZ217" i="126"/>
  <c r="BZ215" i="126"/>
  <c r="CT205" i="126"/>
  <c r="CT201" i="126"/>
  <c r="CT199" i="126"/>
  <c r="CG205" i="126"/>
  <c r="CG201" i="126"/>
  <c r="CG199" i="126"/>
  <c r="CN205" i="126"/>
  <c r="CN201" i="126"/>
  <c r="CN199" i="126"/>
  <c r="CJ205" i="126"/>
  <c r="CJ201" i="126"/>
  <c r="CJ199" i="126"/>
  <c r="CO205" i="126"/>
  <c r="CO201" i="126"/>
  <c r="CO199" i="126"/>
  <c r="BN224" i="126"/>
  <c r="BN220" i="126"/>
  <c r="CO224" i="126"/>
  <c r="CO220" i="126"/>
  <c r="CR224" i="126"/>
  <c r="CR220" i="126"/>
  <c r="BK224" i="126"/>
  <c r="BK220" i="126"/>
  <c r="BR211" i="126"/>
  <c r="BW211" i="126"/>
  <c r="CF223" i="126"/>
  <c r="CF219" i="126"/>
  <c r="BU223" i="126"/>
  <c r="BU219" i="126"/>
  <c r="CU223" i="126"/>
  <c r="CU219" i="126"/>
  <c r="CL223" i="126"/>
  <c r="CL219" i="126"/>
  <c r="CO223" i="126"/>
  <c r="CO219" i="126"/>
  <c r="CK222" i="126"/>
  <c r="CK218" i="126"/>
  <c r="CW222" i="126"/>
  <c r="CW218" i="126"/>
  <c r="CD222" i="126"/>
  <c r="CD218" i="126"/>
  <c r="DF222" i="126"/>
  <c r="DF218" i="126"/>
  <c r="CI188" i="126"/>
  <c r="BV210" i="126"/>
  <c r="CR210" i="126"/>
  <c r="DD202" i="126"/>
  <c r="DD196" i="126"/>
  <c r="BW202" i="126"/>
  <c r="BW196" i="126"/>
  <c r="BN202" i="126"/>
  <c r="BN196" i="126"/>
  <c r="BQ196" i="126"/>
  <c r="BQ202" i="126"/>
  <c r="BR221" i="126"/>
  <c r="BR217" i="126"/>
  <c r="BR215" i="126"/>
  <c r="CI221" i="126"/>
  <c r="CI217" i="126"/>
  <c r="CI215" i="126"/>
  <c r="CO221" i="126"/>
  <c r="CO217" i="126"/>
  <c r="CO215" i="126"/>
  <c r="CR217" i="126"/>
  <c r="CR215" i="126"/>
  <c r="CR221" i="126"/>
  <c r="CN221" i="126"/>
  <c r="CN217" i="126"/>
  <c r="CN215" i="126"/>
  <c r="BQ143" i="126"/>
  <c r="CQ141" i="126"/>
  <c r="CE145" i="126"/>
  <c r="DF143" i="126"/>
  <c r="CK141" i="126"/>
  <c r="DE144" i="126"/>
  <c r="CF146" i="126"/>
  <c r="DF152" i="126"/>
  <c r="CQ148" i="126"/>
  <c r="CS148" i="126"/>
  <c r="BT150" i="126"/>
  <c r="BU150" i="126"/>
  <c r="BK141" i="126"/>
  <c r="DC143" i="126"/>
  <c r="BW156" i="126"/>
  <c r="BZ146" i="126"/>
  <c r="CQ149" i="126"/>
  <c r="CW155" i="126"/>
  <c r="DA145" i="126"/>
  <c r="CX148" i="126"/>
  <c r="CX147" i="126"/>
  <c r="CY150" i="126"/>
  <c r="CM155" i="126"/>
  <c r="CG153" i="126"/>
  <c r="CB155" i="126"/>
  <c r="DD154" i="126"/>
  <c r="CS154" i="126"/>
  <c r="CG152" i="126"/>
  <c r="CQ159" i="126"/>
  <c r="CK162" i="126"/>
  <c r="CD159" i="126"/>
  <c r="BM162" i="126"/>
  <c r="CE159" i="126"/>
  <c r="CZ150" i="126"/>
  <c r="CY153" i="126"/>
  <c r="CT155" i="126"/>
  <c r="CM162" i="126"/>
  <c r="CM168" i="126"/>
  <c r="CD162" i="126"/>
  <c r="CM160" i="126"/>
  <c r="CF162" i="126"/>
  <c r="CH162" i="126"/>
  <c r="DD159" i="126"/>
  <c r="CP183" i="126"/>
  <c r="CP166" i="126"/>
  <c r="CM170" i="126"/>
  <c r="CM167" i="126"/>
  <c r="CS183" i="126"/>
  <c r="CS166" i="126"/>
  <c r="CP168" i="126"/>
  <c r="BR170" i="126"/>
  <c r="BR167" i="126"/>
  <c r="BS167" i="126"/>
  <c r="BS170" i="126"/>
  <c r="CX183" i="126"/>
  <c r="CX166" i="126"/>
  <c r="BO183" i="126"/>
  <c r="BO166" i="126"/>
  <c r="DG167" i="126"/>
  <c r="DG170" i="126"/>
  <c r="CL200" i="126"/>
  <c r="CL195" i="126"/>
  <c r="CB195" i="126"/>
  <c r="CB200" i="126"/>
  <c r="CE200" i="126"/>
  <c r="CE195" i="126"/>
  <c r="BJ200" i="126"/>
  <c r="BJ195" i="126"/>
  <c r="CJ200" i="126"/>
  <c r="CJ195" i="126"/>
  <c r="BJ216" i="126"/>
  <c r="BJ214" i="126"/>
  <c r="CX216" i="126"/>
  <c r="CX214" i="126"/>
  <c r="DA216" i="126"/>
  <c r="DA214" i="126"/>
  <c r="DD216" i="126"/>
  <c r="DD214" i="126"/>
  <c r="BT146" i="126"/>
  <c r="CV205" i="126"/>
  <c r="CV199" i="126"/>
  <c r="CV201" i="126"/>
  <c r="DD224" i="126"/>
  <c r="DD220" i="126"/>
  <c r="CG223" i="126"/>
  <c r="CG219" i="126"/>
  <c r="DA223" i="126"/>
  <c r="DA219" i="126"/>
  <c r="CP222" i="126"/>
  <c r="CP218" i="126"/>
  <c r="BJ210" i="126"/>
  <c r="BN210" i="126"/>
  <c r="DE196" i="126"/>
  <c r="DE202" i="126"/>
  <c r="CI202" i="126"/>
  <c r="CI196" i="126"/>
  <c r="BZ202" i="126"/>
  <c r="BZ196" i="126"/>
  <c r="CC196" i="126"/>
  <c r="CC202" i="126"/>
  <c r="CF221" i="126"/>
  <c r="CF215" i="126"/>
  <c r="CF217" i="126"/>
  <c r="DA221" i="126"/>
  <c r="DA217" i="126"/>
  <c r="DA215" i="126"/>
  <c r="DD221" i="126"/>
  <c r="DD217" i="126"/>
  <c r="DD215" i="126"/>
  <c r="DG221" i="126"/>
  <c r="DG217" i="126"/>
  <c r="DG215" i="126"/>
  <c r="CZ221" i="126"/>
  <c r="CZ217" i="126"/>
  <c r="CZ215" i="126"/>
  <c r="CD146" i="126"/>
  <c r="CP142" i="126"/>
  <c r="DE141" i="126"/>
  <c r="CE141" i="126"/>
  <c r="CS146" i="126"/>
  <c r="CW149" i="126"/>
  <c r="DE148" i="126"/>
  <c r="CG147" i="126"/>
  <c r="CG150" i="126"/>
  <c r="CH150" i="126"/>
  <c r="BV150" i="126"/>
  <c r="CR143" i="126"/>
  <c r="CL146" i="126"/>
  <c r="DD149" i="126"/>
  <c r="BO146" i="126"/>
  <c r="CH152" i="126"/>
  <c r="BL148" i="126"/>
  <c r="BV151" i="126"/>
  <c r="DD153" i="126"/>
  <c r="CY155" i="126"/>
  <c r="CS153" i="126"/>
  <c r="CN155" i="126"/>
  <c r="BS152" i="126"/>
  <c r="DE154" i="126"/>
  <c r="DD156" i="126"/>
  <c r="CS152" i="126"/>
  <c r="CS159" i="126"/>
  <c r="CN162" i="126"/>
  <c r="CT159" i="126"/>
  <c r="BT148" i="126"/>
  <c r="BN151" i="126"/>
  <c r="BM154" i="126"/>
  <c r="DF155" i="126"/>
  <c r="CD158" i="126"/>
  <c r="CY162" i="126"/>
  <c r="CP162" i="126"/>
  <c r="CY160" i="126"/>
  <c r="CR162" i="126"/>
  <c r="CT162" i="126"/>
  <c r="BR160" i="126"/>
  <c r="BK162" i="126"/>
  <c r="CY170" i="126"/>
  <c r="CY167" i="126"/>
  <c r="DE183" i="126"/>
  <c r="DE166" i="126"/>
  <c r="DD168" i="126"/>
  <c r="CD170" i="126"/>
  <c r="CD167" i="126"/>
  <c r="CE167" i="126"/>
  <c r="CE170" i="126"/>
  <c r="BU170" i="126"/>
  <c r="BU167" i="126"/>
  <c r="CA183" i="126"/>
  <c r="CA166" i="126"/>
  <c r="BU168" i="126"/>
  <c r="BL167" i="126"/>
  <c r="BL170" i="126"/>
  <c r="CM200" i="126"/>
  <c r="CM195" i="126"/>
  <c r="CN195" i="126"/>
  <c r="CN200" i="126"/>
  <c r="CQ200" i="126"/>
  <c r="CQ195" i="126"/>
  <c r="BV200" i="126"/>
  <c r="BV195" i="126"/>
  <c r="CV200" i="126"/>
  <c r="CV195" i="126"/>
  <c r="BV216" i="126"/>
  <c r="BV214" i="126"/>
  <c r="BO216" i="126"/>
  <c r="BO214" i="126"/>
  <c r="BR216" i="126"/>
  <c r="BR214" i="126"/>
  <c r="BI216" i="126"/>
  <c r="BI214" i="126"/>
  <c r="DG205" i="126"/>
  <c r="DG199" i="126"/>
  <c r="DG201" i="126"/>
  <c r="DB196" i="126"/>
  <c r="DB202" i="126"/>
  <c r="CK147" i="126"/>
  <c r="CO162" i="126"/>
  <c r="CU205" i="126"/>
  <c r="CU201" i="126"/>
  <c r="CU199" i="126"/>
  <c r="DE205" i="126"/>
  <c r="DE201" i="126"/>
  <c r="DE199" i="126"/>
  <c r="BX224" i="126"/>
  <c r="BX220" i="126"/>
  <c r="BW224" i="126"/>
  <c r="BW220" i="126"/>
  <c r="CE223" i="126"/>
  <c r="CE219" i="126"/>
  <c r="CX223" i="126"/>
  <c r="CX219" i="126"/>
  <c r="BP222" i="126"/>
  <c r="BP218" i="126"/>
  <c r="BK222" i="126"/>
  <c r="BK218" i="126"/>
  <c r="BJ205" i="126"/>
  <c r="BJ201" i="126"/>
  <c r="BJ199" i="126"/>
  <c r="BR201" i="126"/>
  <c r="BR199" i="126"/>
  <c r="BR205" i="126"/>
  <c r="BV205" i="126"/>
  <c r="BV201" i="126"/>
  <c r="BV199" i="126"/>
  <c r="BN205" i="126"/>
  <c r="BN201" i="126"/>
  <c r="BN199" i="126"/>
  <c r="BZ224" i="126"/>
  <c r="BZ220" i="126"/>
  <c r="BO224" i="126"/>
  <c r="BO220" i="126"/>
  <c r="BR224" i="126"/>
  <c r="BR220" i="126"/>
  <c r="BI224" i="126"/>
  <c r="BI220" i="126"/>
  <c r="CI224" i="126"/>
  <c r="CI220" i="126"/>
  <c r="CU211" i="126"/>
  <c r="DB211" i="126"/>
  <c r="DG211" i="126"/>
  <c r="CQ223" i="126"/>
  <c r="CQ219" i="126"/>
  <c r="CS223" i="126"/>
  <c r="CS219" i="126"/>
  <c r="BL223" i="126"/>
  <c r="BL219" i="126"/>
  <c r="BO223" i="126"/>
  <c r="BO219" i="126"/>
  <c r="CL222" i="126"/>
  <c r="CL218" i="126"/>
  <c r="CX222" i="126"/>
  <c r="CX218" i="126"/>
  <c r="DB222" i="126"/>
  <c r="DB218" i="126"/>
  <c r="BW222" i="126"/>
  <c r="BW218" i="126"/>
  <c r="CL210" i="126"/>
  <c r="BZ210" i="126"/>
  <c r="CH210" i="126"/>
  <c r="BR210" i="126"/>
  <c r="DE210" i="126"/>
  <c r="BS196" i="126"/>
  <c r="BS202" i="126"/>
  <c r="CU196" i="126"/>
  <c r="CU202" i="126"/>
  <c r="CL202" i="126"/>
  <c r="CL196" i="126"/>
  <c r="CO196" i="126"/>
  <c r="CO202" i="126"/>
  <c r="CG221" i="126"/>
  <c r="CG217" i="126"/>
  <c r="CG215" i="126"/>
  <c r="BI221" i="126"/>
  <c r="BI217" i="126"/>
  <c r="BI215" i="126"/>
  <c r="BL221" i="126"/>
  <c r="BL217" i="126"/>
  <c r="BL215" i="126"/>
  <c r="BO221" i="126"/>
  <c r="BO215" i="126"/>
  <c r="BO217" i="126"/>
  <c r="BZ144" i="126"/>
  <c r="DD142" i="126"/>
  <c r="CC147" i="126"/>
  <c r="CP150" i="126"/>
  <c r="BN141" i="126"/>
  <c r="BQ142" i="126"/>
  <c r="BQ146" i="126"/>
  <c r="BV143" i="126"/>
  <c r="CA148" i="126"/>
  <c r="CS141" i="126"/>
  <c r="CJ144" i="126"/>
  <c r="BK143" i="126"/>
  <c r="CL144" i="126"/>
  <c r="BK142" i="126"/>
  <c r="CK145" i="126"/>
  <c r="DD146" i="126"/>
  <c r="BQ150" i="126"/>
  <c r="BK149" i="126"/>
  <c r="CO152" i="126"/>
  <c r="BL149" i="126"/>
  <c r="CA152" i="126"/>
  <c r="CT150" i="126"/>
  <c r="CH147" i="126"/>
  <c r="CU150" i="126"/>
  <c r="BU158" i="126"/>
  <c r="CI141" i="126"/>
  <c r="CC144" i="126"/>
  <c r="BW147" i="126"/>
  <c r="CI150" i="126"/>
  <c r="DD143" i="126"/>
  <c r="CX146" i="126"/>
  <c r="BW150" i="126"/>
  <c r="CA146" i="126"/>
  <c r="CE149" i="126"/>
  <c r="CX152" i="126"/>
  <c r="BY148" i="126"/>
  <c r="CK151" i="126"/>
  <c r="BW159" i="126"/>
  <c r="BR154" i="126"/>
  <c r="BM156" i="126"/>
  <c r="BW158" i="126"/>
  <c r="DE153" i="126"/>
  <c r="CZ155" i="126"/>
  <c r="BK158" i="126"/>
  <c r="CE152" i="126"/>
  <c r="CN159" i="126"/>
  <c r="DE152" i="126"/>
  <c r="BQ160" i="126"/>
  <c r="DG159" i="126"/>
  <c r="BT160" i="126"/>
  <c r="CF148" i="126"/>
  <c r="BZ151" i="126"/>
  <c r="BY154" i="126"/>
  <c r="BU156" i="126"/>
  <c r="CR158" i="126"/>
  <c r="CZ168" i="126"/>
  <c r="DB162" i="126"/>
  <c r="DD162" i="126"/>
  <c r="DF162" i="126"/>
  <c r="CD160" i="126"/>
  <c r="BW162" i="126"/>
  <c r="BS183" i="126"/>
  <c r="BS166" i="126"/>
  <c r="BL168" i="126"/>
  <c r="CP170" i="126"/>
  <c r="CP167" i="126"/>
  <c r="CQ167" i="126"/>
  <c r="CQ170" i="126"/>
  <c r="CG170" i="126"/>
  <c r="CG167" i="126"/>
  <c r="CM183" i="126"/>
  <c r="CM166" i="126"/>
  <c r="CH168" i="126"/>
  <c r="BX167" i="126"/>
  <c r="BX170" i="126"/>
  <c r="BO143" i="126"/>
  <c r="CX200" i="126"/>
  <c r="CX195" i="126"/>
  <c r="CZ195" i="126"/>
  <c r="CZ200" i="126"/>
  <c r="DC200" i="126"/>
  <c r="DC195" i="126"/>
  <c r="CH200" i="126"/>
  <c r="CH195" i="126"/>
  <c r="CH214" i="126"/>
  <c r="CH216" i="126"/>
  <c r="CA216" i="126"/>
  <c r="CA214" i="126"/>
  <c r="CD216" i="126"/>
  <c r="CD214" i="126"/>
  <c r="BU216" i="126"/>
  <c r="BU214" i="126"/>
  <c r="CB224" i="126"/>
  <c r="CB220" i="126"/>
  <c r="BY223" i="126"/>
  <c r="BY219" i="126"/>
  <c r="BU196" i="126"/>
  <c r="BU202" i="126"/>
  <c r="CT217" i="126"/>
  <c r="CT215" i="126"/>
  <c r="CT221" i="126"/>
  <c r="CC154" i="126"/>
  <c r="CZ201" i="126"/>
  <c r="CZ199" i="126"/>
  <c r="CZ205" i="126"/>
  <c r="DA201" i="126"/>
  <c r="DA199" i="126"/>
  <c r="DA205" i="126"/>
  <c r="DA224" i="126"/>
  <c r="DA220" i="126"/>
  <c r="DG223" i="126"/>
  <c r="DG219" i="126"/>
  <c r="CA222" i="126"/>
  <c r="CA218" i="126"/>
  <c r="BK205" i="126"/>
  <c r="BK199" i="126"/>
  <c r="BK201" i="126"/>
  <c r="CH205" i="126"/>
  <c r="CH201" i="126"/>
  <c r="CH199" i="126"/>
  <c r="CP205" i="126"/>
  <c r="CP201" i="126"/>
  <c r="CP199" i="126"/>
  <c r="BZ205" i="126"/>
  <c r="BZ201" i="126"/>
  <c r="BZ199" i="126"/>
  <c r="CJ224" i="126"/>
  <c r="CJ220" i="126"/>
  <c r="CA224" i="126"/>
  <c r="CA220" i="126"/>
  <c r="CD224" i="126"/>
  <c r="CD220" i="126"/>
  <c r="BU224" i="126"/>
  <c r="BU220" i="126"/>
  <c r="CU224" i="126"/>
  <c r="CU220" i="126"/>
  <c r="BN211" i="126"/>
  <c r="BS211" i="126"/>
  <c r="BJ211" i="126"/>
  <c r="CW211" i="126"/>
  <c r="CR223" i="126"/>
  <c r="CR219" i="126"/>
  <c r="DE223" i="126"/>
  <c r="DE219" i="126"/>
  <c r="BX223" i="126"/>
  <c r="BX219" i="126"/>
  <c r="CA223" i="126"/>
  <c r="CA219" i="126"/>
  <c r="BM222" i="126"/>
  <c r="BM218" i="126"/>
  <c r="BS222" i="126"/>
  <c r="BS218" i="126"/>
  <c r="CB222" i="126"/>
  <c r="CB218" i="126"/>
  <c r="BI218" i="126"/>
  <c r="BI222" i="126"/>
  <c r="CI218" i="126"/>
  <c r="CI222" i="126"/>
  <c r="CM210" i="126"/>
  <c r="CT210" i="126"/>
  <c r="CX210" i="126"/>
  <c r="CD210" i="126"/>
  <c r="CE196" i="126"/>
  <c r="CE202" i="126"/>
  <c r="DG196" i="126"/>
  <c r="DG202" i="126"/>
  <c r="CX202" i="126"/>
  <c r="CX196" i="126"/>
  <c r="DA196" i="126"/>
  <c r="DA202" i="126"/>
  <c r="CU221" i="126"/>
  <c r="CU215" i="126"/>
  <c r="CU217" i="126"/>
  <c r="BU221" i="126"/>
  <c r="BU217" i="126"/>
  <c r="BU215" i="126"/>
  <c r="BY221" i="126"/>
  <c r="BY217" i="126"/>
  <c r="BY215" i="126"/>
  <c r="CD215" i="126"/>
  <c r="CD221" i="126"/>
  <c r="CD217" i="126"/>
  <c r="BV141" i="126"/>
  <c r="BP143" i="126"/>
  <c r="CO150" i="126"/>
  <c r="BM144" i="126"/>
  <c r="CA151" i="126"/>
  <c r="CE142" i="126"/>
  <c r="CJ146" i="126"/>
  <c r="CJ143" i="126"/>
  <c r="BS142" i="126"/>
  <c r="BS146" i="126"/>
  <c r="CY144" i="126"/>
  <c r="BY143" i="126"/>
  <c r="BT141" i="126"/>
  <c r="DD144" i="126"/>
  <c r="BY155" i="126"/>
  <c r="BY142" i="126"/>
  <c r="DC145" i="126"/>
  <c r="CY147" i="126"/>
  <c r="DA150" i="126"/>
  <c r="BR147" i="126"/>
  <c r="CD150" i="126"/>
  <c r="BX149" i="126"/>
  <c r="DG152" i="126"/>
  <c r="BY149" i="126"/>
  <c r="CP152" i="126"/>
  <c r="DE147" i="126"/>
  <c r="DG150" i="126"/>
  <c r="BT158" i="126"/>
  <c r="CT147" i="126"/>
  <c r="BR151" i="126"/>
  <c r="CU141" i="126"/>
  <c r="CO144" i="126"/>
  <c r="CI147" i="126"/>
  <c r="CV150" i="126"/>
  <c r="BL141" i="126"/>
  <c r="BR144" i="126"/>
  <c r="BL147" i="126"/>
  <c r="CJ150" i="126"/>
  <c r="CS143" i="126"/>
  <c r="CM146" i="126"/>
  <c r="CR149" i="126"/>
  <c r="BN155" i="126"/>
  <c r="CL148" i="126"/>
  <c r="DA151" i="126"/>
  <c r="BP153" i="126"/>
  <c r="BK160" i="126"/>
  <c r="CD154" i="126"/>
  <c r="CA156" i="126"/>
  <c r="BS154" i="126"/>
  <c r="BO156" i="126"/>
  <c r="BX158" i="126"/>
  <c r="CQ152" i="126"/>
  <c r="DC159" i="126"/>
  <c r="CE162" i="126"/>
  <c r="CP159" i="126"/>
  <c r="BL153" i="126"/>
  <c r="BS155" i="126"/>
  <c r="CF160" i="126"/>
  <c r="BM153" i="126"/>
  <c r="BS160" i="126"/>
  <c r="CH160" i="126"/>
  <c r="CL151" i="126"/>
  <c r="CK154" i="126"/>
  <c r="CH156" i="126"/>
  <c r="DG158" i="126"/>
  <c r="BR183" i="126"/>
  <c r="BR166" i="126"/>
  <c r="DC162" i="126"/>
  <c r="CP160" i="126"/>
  <c r="CI162" i="126"/>
  <c r="CE183" i="126"/>
  <c r="CE166" i="126"/>
  <c r="BY168" i="126"/>
  <c r="BP167" i="126"/>
  <c r="BP170" i="126"/>
  <c r="DB170" i="126"/>
  <c r="DB167" i="126"/>
  <c r="BK183" i="126"/>
  <c r="BK166" i="126"/>
  <c r="DC167" i="126"/>
  <c r="DC170" i="126"/>
  <c r="CS170" i="126"/>
  <c r="CS167" i="126"/>
  <c r="CY183" i="126"/>
  <c r="CY166" i="126"/>
  <c r="CW168" i="126"/>
  <c r="CJ170" i="126"/>
  <c r="CJ167" i="126"/>
  <c r="CM141" i="126"/>
  <c r="CY200" i="126"/>
  <c r="CY195" i="126"/>
  <c r="BQ195" i="126"/>
  <c r="BQ200" i="126"/>
  <c r="BT200" i="126"/>
  <c r="BT195" i="126"/>
  <c r="CT200" i="126"/>
  <c r="CT195" i="126"/>
  <c r="BX214" i="126"/>
  <c r="BX216" i="126"/>
  <c r="CT214" i="126"/>
  <c r="CT216" i="126"/>
  <c r="CM216" i="126"/>
  <c r="CM214" i="126"/>
  <c r="CP216" i="126"/>
  <c r="CP214" i="126"/>
  <c r="CG214" i="126"/>
  <c r="CG216" i="126"/>
  <c r="CA205" i="126"/>
  <c r="CA201" i="126"/>
  <c r="CA199" i="126"/>
  <c r="BR223" i="126"/>
  <c r="BR219" i="126"/>
  <c r="DE222" i="126"/>
  <c r="DE218" i="126"/>
  <c r="CY202" i="126"/>
  <c r="CY196" i="126"/>
  <c r="N111" i="126"/>
  <c r="O111" i="126" s="1"/>
  <c r="L111" i="126"/>
  <c r="M112" i="126"/>
  <c r="Q111" i="126"/>
  <c r="R111" i="126"/>
  <c r="CO155" i="126"/>
  <c r="DD155" i="126"/>
  <c r="DB201" i="126"/>
  <c r="DB199" i="126"/>
  <c r="DB205" i="126"/>
  <c r="BY224" i="126"/>
  <c r="BY220" i="126"/>
  <c r="CP224" i="126"/>
  <c r="CP220" i="126"/>
  <c r="BO211" i="126"/>
  <c r="CJ223" i="126"/>
  <c r="CJ219" i="126"/>
  <c r="BN222" i="126"/>
  <c r="BN218" i="126"/>
  <c r="CN222" i="126"/>
  <c r="CN218" i="126"/>
  <c r="CZ222" i="126"/>
  <c r="CZ218" i="126"/>
  <c r="BU222" i="126"/>
  <c r="BU218" i="126"/>
  <c r="CU222" i="126"/>
  <c r="CU218" i="126"/>
  <c r="DF188" i="126"/>
  <c r="BM188" i="126"/>
  <c r="CX188" i="126"/>
  <c r="DF210" i="126"/>
  <c r="BK210" i="126"/>
  <c r="CQ196" i="126"/>
  <c r="CQ202" i="126"/>
  <c r="BL196" i="126"/>
  <c r="BL202" i="126"/>
  <c r="BO202" i="126"/>
  <c r="BO196" i="126"/>
  <c r="BR196" i="126"/>
  <c r="BR202" i="126"/>
  <c r="CW221" i="126"/>
  <c r="CW215" i="126"/>
  <c r="CW217" i="126"/>
  <c r="CK221" i="126"/>
  <c r="CK217" i="126"/>
  <c r="CK215" i="126"/>
  <c r="CP221" i="126"/>
  <c r="CP217" i="126"/>
  <c r="CP215" i="126"/>
  <c r="CS221" i="126"/>
  <c r="CS217" i="126"/>
  <c r="CS215" i="126"/>
  <c r="CB144" i="126"/>
  <c r="BW152" i="126"/>
  <c r="CP146" i="126"/>
  <c r="BR141" i="126"/>
  <c r="BV149" i="126"/>
  <c r="CH141" i="126"/>
  <c r="BX146" i="126"/>
  <c r="CD147" i="126"/>
  <c r="CL149" i="126"/>
  <c r="BQ151" i="126"/>
  <c r="CX159" i="126"/>
  <c r="DF147" i="126"/>
  <c r="CF151" i="126"/>
  <c r="CN160" i="126"/>
  <c r="DG141" i="126"/>
  <c r="DA144" i="126"/>
  <c r="CU147" i="126"/>
  <c r="BS151" i="126"/>
  <c r="BX141" i="126"/>
  <c r="CD144" i="126"/>
  <c r="BX147" i="126"/>
  <c r="CW150" i="126"/>
  <c r="DE143" i="126"/>
  <c r="CY146" i="126"/>
  <c r="DE149" i="126"/>
  <c r="CY148" i="126"/>
  <c r="CZ153" i="126"/>
  <c r="CP154" i="126"/>
  <c r="CN156" i="126"/>
  <c r="CE154" i="126"/>
  <c r="CB156" i="126"/>
  <c r="CK158" i="126"/>
  <c r="DC152" i="126"/>
  <c r="BN160" i="126"/>
  <c r="CJ162" i="126"/>
  <c r="BX153" i="126"/>
  <c r="CE155" i="126"/>
  <c r="BY153" i="126"/>
  <c r="BT155" i="126"/>
  <c r="CG160" i="126"/>
  <c r="BN153" i="126"/>
  <c r="BU155" i="126"/>
  <c r="CV160" i="126"/>
  <c r="DD148" i="126"/>
  <c r="CX151" i="126"/>
  <c r="CW154" i="126"/>
  <c r="CU156" i="126"/>
  <c r="BR159" i="126"/>
  <c r="BP162" i="126"/>
  <c r="CQ158" i="126"/>
  <c r="BN156" i="126"/>
  <c r="DB160" i="126"/>
  <c r="CU162" i="126"/>
  <c r="BK168" i="126"/>
  <c r="CQ183" i="126"/>
  <c r="CQ166" i="126"/>
  <c r="CN168" i="126"/>
  <c r="CB167" i="126"/>
  <c r="CB170" i="126"/>
  <c r="BV183" i="126"/>
  <c r="BV166" i="126"/>
  <c r="BP168" i="126"/>
  <c r="BW183" i="126"/>
  <c r="BW166" i="126"/>
  <c r="BQ168" i="126"/>
  <c r="BT170" i="126"/>
  <c r="BT167" i="126"/>
  <c r="BM183" i="126"/>
  <c r="BM166" i="126"/>
  <c r="DE170" i="126"/>
  <c r="DE167" i="126"/>
  <c r="CV167" i="126"/>
  <c r="CV170" i="126"/>
  <c r="BN168" i="126"/>
  <c r="BN200" i="126"/>
  <c r="BN195" i="126"/>
  <c r="CC200" i="126"/>
  <c r="CC195" i="126"/>
  <c r="CF200" i="126"/>
  <c r="CF195" i="126"/>
  <c r="DF200" i="126"/>
  <c r="DF195" i="126"/>
  <c r="CI216" i="126"/>
  <c r="CI214" i="126"/>
  <c r="DF214" i="126"/>
  <c r="DF216" i="126"/>
  <c r="CY216" i="126"/>
  <c r="CY214" i="126"/>
  <c r="DB216" i="126"/>
  <c r="DB214" i="126"/>
  <c r="CS214" i="126"/>
  <c r="CS216" i="126"/>
  <c r="BJ224" i="126"/>
  <c r="BJ220" i="126"/>
  <c r="CB219" i="126"/>
  <c r="CB223" i="126"/>
  <c r="DA183" i="126"/>
  <c r="DA166" i="126"/>
  <c r="CD201" i="126"/>
  <c r="CD199" i="126"/>
  <c r="CD205" i="126"/>
  <c r="DF205" i="126"/>
  <c r="DF201" i="126"/>
  <c r="DF199" i="126"/>
  <c r="CL205" i="126"/>
  <c r="CL201" i="126"/>
  <c r="CL199" i="126"/>
  <c r="CM224" i="126"/>
  <c r="CM220" i="126"/>
  <c r="CG224" i="126"/>
  <c r="CG220" i="126"/>
  <c r="DG224" i="126"/>
  <c r="DG220" i="126"/>
  <c r="DB223" i="126"/>
  <c r="DB219" i="126"/>
  <c r="BJ223" i="126"/>
  <c r="BJ219" i="126"/>
  <c r="CM219" i="126"/>
  <c r="CM223" i="126"/>
  <c r="BI205" i="126"/>
  <c r="BI201" i="126"/>
  <c r="BI199" i="126"/>
  <c r="BS201" i="126"/>
  <c r="BS199" i="126"/>
  <c r="BS205" i="126"/>
  <c r="BW205" i="126"/>
  <c r="BW199" i="126"/>
  <c r="BW201" i="126"/>
  <c r="CX205" i="126"/>
  <c r="CX201" i="126"/>
  <c r="CX199" i="126"/>
  <c r="CK224" i="126"/>
  <c r="CK220" i="126"/>
  <c r="CY224" i="126"/>
  <c r="CY220" i="126"/>
  <c r="DB224" i="126"/>
  <c r="DB220" i="126"/>
  <c r="CS224" i="126"/>
  <c r="CS220" i="126"/>
  <c r="BI211" i="126"/>
  <c r="CX211" i="126"/>
  <c r="DC211" i="126"/>
  <c r="CA211" i="126"/>
  <c r="DC223" i="126"/>
  <c r="DC219" i="126"/>
  <c r="BV223" i="126"/>
  <c r="BV219" i="126"/>
  <c r="CV223" i="126"/>
  <c r="CV219" i="126"/>
  <c r="CY223" i="126"/>
  <c r="CY219" i="126"/>
  <c r="CF222" i="126"/>
  <c r="CF218" i="126"/>
  <c r="BT222" i="126"/>
  <c r="BT218" i="126"/>
  <c r="CM222" i="126"/>
  <c r="CM218" i="126"/>
  <c r="CG222" i="126"/>
  <c r="CG218" i="126"/>
  <c r="DG222" i="126"/>
  <c r="DG218" i="126"/>
  <c r="DE188" i="126"/>
  <c r="DG210" i="126"/>
  <c r="CA210" i="126"/>
  <c r="CI210" i="126"/>
  <c r="DB210" i="126"/>
  <c r="BI196" i="126"/>
  <c r="BI202" i="126"/>
  <c r="DC196" i="126"/>
  <c r="DC202" i="126"/>
  <c r="BX196" i="126"/>
  <c r="BX202" i="126"/>
  <c r="CA202" i="126"/>
  <c r="CA196" i="126"/>
  <c r="CD196" i="126"/>
  <c r="CD202" i="126"/>
  <c r="BP221" i="126"/>
  <c r="BP217" i="126"/>
  <c r="BP215" i="126"/>
  <c r="DB221" i="126"/>
  <c r="DB217" i="126"/>
  <c r="DB215" i="126"/>
  <c r="DE221" i="126"/>
  <c r="DE217" i="126"/>
  <c r="DE215" i="126"/>
  <c r="BX221" i="126"/>
  <c r="BX217" i="126"/>
  <c r="BX215" i="126"/>
  <c r="L35" i="126"/>
  <c r="M36" i="126"/>
  <c r="CC143" i="126"/>
  <c r="CZ141" i="126"/>
  <c r="CL145" i="126"/>
  <c r="CA141" i="126"/>
  <c r="CT144" i="126"/>
  <c r="DD141" i="126"/>
  <c r="BU143" i="126"/>
  <c r="BO148" i="126"/>
  <c r="BP144" i="126"/>
  <c r="CW142" i="126"/>
  <c r="DA147" i="126"/>
  <c r="CF141" i="126"/>
  <c r="CH145" i="126"/>
  <c r="DB143" i="126"/>
  <c r="CX141" i="126"/>
  <c r="DA142" i="126"/>
  <c r="CV146" i="126"/>
  <c r="BZ148" i="126"/>
  <c r="CM151" i="126"/>
  <c r="BV160" i="126"/>
  <c r="CP147" i="126"/>
  <c r="DD150" i="126"/>
  <c r="CX149" i="126"/>
  <c r="CY149" i="126"/>
  <c r="BK156" i="126"/>
  <c r="CG148" i="126"/>
  <c r="CE151" i="126"/>
  <c r="CL160" i="126"/>
  <c r="BU148" i="126"/>
  <c r="CV151" i="126"/>
  <c r="CN153" i="126"/>
  <c r="BU142" i="126"/>
  <c r="BO145" i="126"/>
  <c r="DG147" i="126"/>
  <c r="CG151" i="126"/>
  <c r="BS159" i="126"/>
  <c r="CJ141" i="126"/>
  <c r="CP144" i="126"/>
  <c r="CJ147" i="126"/>
  <c r="BT151" i="126"/>
  <c r="CF158" i="126"/>
  <c r="BS144" i="126"/>
  <c r="BM147" i="126"/>
  <c r="BK150" i="126"/>
  <c r="BY156" i="126"/>
  <c r="BS149" i="126"/>
  <c r="CI152" i="126"/>
  <c r="BZ154" i="126"/>
  <c r="DB154" i="126"/>
  <c r="DA156" i="126"/>
  <c r="BX159" i="126"/>
  <c r="CQ154" i="126"/>
  <c r="CO156" i="126"/>
  <c r="BV153" i="126"/>
  <c r="BQ155" i="126"/>
  <c r="CC160" i="126"/>
  <c r="BK153" i="126"/>
  <c r="BP160" i="126"/>
  <c r="CJ153" i="126"/>
  <c r="CQ155" i="126"/>
  <c r="CK153" i="126"/>
  <c r="CF155" i="126"/>
  <c r="CU160" i="126"/>
  <c r="BZ153" i="126"/>
  <c r="CG155" i="126"/>
  <c r="BR149" i="126"/>
  <c r="BL152" i="126"/>
  <c r="CG159" i="126"/>
  <c r="CV162" i="126"/>
  <c r="BQ162" i="126"/>
  <c r="BZ170" i="126"/>
  <c r="BZ167" i="126"/>
  <c r="DC158" i="126"/>
  <c r="BZ156" i="126"/>
  <c r="BV158" i="126"/>
  <c r="DG162" i="126"/>
  <c r="DC183" i="126"/>
  <c r="DC166" i="126"/>
  <c r="DB168" i="126"/>
  <c r="CN167" i="126"/>
  <c r="CN170" i="126"/>
  <c r="CH183" i="126"/>
  <c r="CH166" i="126"/>
  <c r="CC168" i="126"/>
  <c r="CI183" i="126"/>
  <c r="CI166" i="126"/>
  <c r="CD168" i="126"/>
  <c r="CF170" i="126"/>
  <c r="CF167" i="126"/>
  <c r="BY183" i="126"/>
  <c r="BY166" i="126"/>
  <c r="BS168" i="126"/>
  <c r="BV170" i="126"/>
  <c r="BV167" i="126"/>
  <c r="BP183" i="126"/>
  <c r="BP166" i="126"/>
  <c r="BZ168" i="126"/>
  <c r="BO200" i="126"/>
  <c r="BO195" i="126"/>
  <c r="CO195" i="126"/>
  <c r="CO200" i="126"/>
  <c r="CR200" i="126"/>
  <c r="CR195" i="126"/>
  <c r="BK200" i="126"/>
  <c r="BK195" i="126"/>
  <c r="BW216" i="126"/>
  <c r="BW214" i="126"/>
  <c r="BM216" i="126"/>
  <c r="BM214" i="126"/>
  <c r="BP216" i="126"/>
  <c r="BP214" i="126"/>
  <c r="BS214" i="126"/>
  <c r="BS216" i="126"/>
  <c r="DE216" i="126"/>
  <c r="DE214" i="126"/>
  <c r="CE224" i="126"/>
  <c r="CE220" i="126"/>
  <c r="BQ218" i="126"/>
  <c r="BQ222" i="126"/>
  <c r="CB205" i="126"/>
  <c r="CB201" i="126"/>
  <c r="CB199" i="126"/>
  <c r="CI205" i="126"/>
  <c r="CI199" i="126"/>
  <c r="CI201" i="126"/>
  <c r="CQ205" i="126"/>
  <c r="CQ201" i="126"/>
  <c r="CQ199" i="126"/>
  <c r="BO201" i="126"/>
  <c r="BO199" i="126"/>
  <c r="BO205" i="126"/>
  <c r="CL224" i="126"/>
  <c r="CL220" i="126"/>
  <c r="BP224" i="126"/>
  <c r="BP220" i="126"/>
  <c r="BS224" i="126"/>
  <c r="BS220" i="126"/>
  <c r="DE224" i="126"/>
  <c r="DE220" i="126"/>
  <c r="BT211" i="126"/>
  <c r="DD223" i="126"/>
  <c r="DD219" i="126"/>
  <c r="CH223" i="126"/>
  <c r="CH219" i="126"/>
  <c r="BM223" i="126"/>
  <c r="BM219" i="126"/>
  <c r="BP223" i="126"/>
  <c r="BP219" i="126"/>
  <c r="CJ222" i="126"/>
  <c r="CJ218" i="126"/>
  <c r="CQ222" i="126"/>
  <c r="CQ218" i="126"/>
  <c r="CY222" i="126"/>
  <c r="CY218" i="126"/>
  <c r="CS222" i="126"/>
  <c r="CS218" i="126"/>
  <c r="CY210" i="126"/>
  <c r="BT202" i="126"/>
  <c r="BT196" i="126"/>
  <c r="BJ196" i="126"/>
  <c r="BJ202" i="126"/>
  <c r="CJ196" i="126"/>
  <c r="CJ202" i="126"/>
  <c r="CM202" i="126"/>
  <c r="CM196" i="126"/>
  <c r="CP196" i="126"/>
  <c r="CP202" i="126"/>
  <c r="CE217" i="126"/>
  <c r="CE215" i="126"/>
  <c r="CE221" i="126"/>
  <c r="BJ221" i="126"/>
  <c r="BJ217" i="126"/>
  <c r="BJ215" i="126"/>
  <c r="BM221" i="126"/>
  <c r="BM215" i="126"/>
  <c r="BM217" i="126"/>
  <c r="CJ221" i="126"/>
  <c r="CJ217" i="126"/>
  <c r="CJ215" i="126"/>
  <c r="BL144" i="126"/>
  <c r="BP146" i="126"/>
  <c r="DC150" i="126"/>
  <c r="CB148" i="126"/>
  <c r="BV144" i="126"/>
  <c r="BX142" i="126"/>
  <c r="BM143" i="126"/>
  <c r="BQ147" i="126"/>
  <c r="CM148" i="126"/>
  <c r="BR150" i="126"/>
  <c r="CH148" i="126"/>
  <c r="BN152" i="126"/>
  <c r="BN154" i="126"/>
  <c r="CA145" i="126"/>
  <c r="BV148" i="126"/>
  <c r="CO153" i="126"/>
  <c r="CX160" i="126"/>
  <c r="CV141" i="126"/>
  <c r="DB144" i="126"/>
  <c r="CV147" i="126"/>
  <c r="CE144" i="126"/>
  <c r="BX150" i="126"/>
  <c r="CB146" i="126"/>
  <c r="CF149" i="126"/>
  <c r="CY152" i="126"/>
  <c r="DC154" i="126"/>
  <c r="CH153" i="126"/>
  <c r="CC155" i="126"/>
  <c r="CR160" i="126"/>
  <c r="BW153" i="126"/>
  <c r="CE160" i="126"/>
  <c r="BK151" i="126"/>
  <c r="CV153" i="126"/>
  <c r="DC155" i="126"/>
  <c r="BN158" i="126"/>
  <c r="CW153" i="126"/>
  <c r="CR155" i="126"/>
  <c r="CL153" i="126"/>
  <c r="CS155" i="126"/>
  <c r="CD149" i="126"/>
  <c r="BX152" i="126"/>
  <c r="CU159" i="126"/>
  <c r="BN162" i="126"/>
  <c r="BM170" i="126"/>
  <c r="BM167" i="126"/>
  <c r="CC162" i="126"/>
  <c r="BQ159" i="126"/>
  <c r="CG183" i="126"/>
  <c r="CG166" i="126"/>
  <c r="CL156" i="126"/>
  <c r="CH158" i="126"/>
  <c r="CZ167" i="126"/>
  <c r="CZ170" i="126"/>
  <c r="BQ170" i="126"/>
  <c r="BQ167" i="126"/>
  <c r="CT183" i="126"/>
  <c r="CT166" i="126"/>
  <c r="CQ168" i="126"/>
  <c r="CU183" i="126"/>
  <c r="CU166" i="126"/>
  <c r="CR168" i="126"/>
  <c r="CR170" i="126"/>
  <c r="CR167" i="126"/>
  <c r="CK183" i="126"/>
  <c r="CK166" i="126"/>
  <c r="CF168" i="126"/>
  <c r="CH170" i="126"/>
  <c r="CH167" i="126"/>
  <c r="CB183" i="126"/>
  <c r="CB166" i="126"/>
  <c r="BV168" i="126"/>
  <c r="CL168" i="126"/>
  <c r="BY141" i="126"/>
  <c r="BZ200" i="126"/>
  <c r="BZ195" i="126"/>
  <c r="DA200" i="126"/>
  <c r="DA195" i="126"/>
  <c r="DD200" i="126"/>
  <c r="DD195" i="126"/>
  <c r="BW200" i="126"/>
  <c r="BW195" i="126"/>
  <c r="CJ216" i="126"/>
  <c r="CJ214" i="126"/>
  <c r="BY216" i="126"/>
  <c r="BY214" i="126"/>
  <c r="CB216" i="126"/>
  <c r="CB214" i="126"/>
  <c r="CE214" i="126"/>
  <c r="CE216" i="126"/>
  <c r="R123" i="126" l="1"/>
  <c r="Q123" i="126"/>
  <c r="N123" i="126"/>
  <c r="O123" i="126" s="1"/>
  <c r="L123" i="126"/>
  <c r="M124" i="126"/>
  <c r="R112" i="126"/>
  <c r="Q112" i="126"/>
  <c r="N112" i="126"/>
  <c r="O112" i="126" s="1"/>
  <c r="L112" i="126"/>
  <c r="M113" i="126"/>
  <c r="M37" i="126"/>
  <c r="T36" i="126"/>
  <c r="R36" i="126"/>
  <c r="N36" i="126"/>
  <c r="O36" i="126" s="1"/>
  <c r="L36" i="126"/>
  <c r="DF244" i="126"/>
  <c r="CT244" i="126"/>
  <c r="CH244" i="126"/>
  <c r="BV244" i="126"/>
  <c r="BJ244" i="126"/>
  <c r="AX244" i="126"/>
  <c r="AL244" i="126"/>
  <c r="Z244" i="126"/>
  <c r="N244" i="126"/>
  <c r="DE244" i="126"/>
  <c r="CS244" i="126"/>
  <c r="CG244" i="126"/>
  <c r="BU244" i="126"/>
  <c r="BI244" i="126"/>
  <c r="AW244" i="126"/>
  <c r="AK244" i="126"/>
  <c r="Y244" i="126"/>
  <c r="M244" i="126"/>
  <c r="DD244" i="126"/>
  <c r="CR244" i="126"/>
  <c r="CF244" i="126"/>
  <c r="BT244" i="126"/>
  <c r="BH244" i="126"/>
  <c r="AV244" i="126"/>
  <c r="AJ244" i="126"/>
  <c r="X244" i="126"/>
  <c r="L244" i="126"/>
  <c r="DC244" i="126"/>
  <c r="CQ244" i="126"/>
  <c r="CE244" i="126"/>
  <c r="BS244" i="126"/>
  <c r="BG244" i="126"/>
  <c r="AU244" i="126"/>
  <c r="AI244" i="126"/>
  <c r="W244" i="126"/>
  <c r="K244" i="126"/>
  <c r="DB244" i="126"/>
  <c r="CP244" i="126"/>
  <c r="CD244" i="126"/>
  <c r="BR244" i="126"/>
  <c r="BF244" i="126"/>
  <c r="AT244" i="126"/>
  <c r="AH244" i="126"/>
  <c r="V244" i="126"/>
  <c r="J244" i="126"/>
  <c r="DA244" i="126"/>
  <c r="CO244" i="126"/>
  <c r="CC244" i="126"/>
  <c r="BQ244" i="126"/>
  <c r="BE244" i="126"/>
  <c r="AS244" i="126"/>
  <c r="AG244" i="126"/>
  <c r="U244" i="126"/>
  <c r="I244" i="126"/>
  <c r="CZ244" i="126"/>
  <c r="CN244" i="126"/>
  <c r="CB244" i="126"/>
  <c r="BP244" i="126"/>
  <c r="BD244" i="126"/>
  <c r="AR244" i="126"/>
  <c r="AF244" i="126"/>
  <c r="T244" i="126"/>
  <c r="CX244" i="126"/>
  <c r="CL244" i="126"/>
  <c r="BZ244" i="126"/>
  <c r="BN244" i="126"/>
  <c r="BB244" i="126"/>
  <c r="AP244" i="126"/>
  <c r="AD244" i="126"/>
  <c r="R244" i="126"/>
  <c r="DG244" i="126"/>
  <c r="CU244" i="126"/>
  <c r="CI244" i="126"/>
  <c r="BW244" i="126"/>
  <c r="BK244" i="126"/>
  <c r="AY244" i="126"/>
  <c r="AM244" i="126"/>
  <c r="AA244" i="126"/>
  <c r="O244" i="126"/>
  <c r="CM244" i="126"/>
  <c r="AQ244" i="126"/>
  <c r="CK244" i="126"/>
  <c r="AO244" i="126"/>
  <c r="CJ244" i="126"/>
  <c r="AN244" i="126"/>
  <c r="CA244" i="126"/>
  <c r="AE244" i="126"/>
  <c r="BY244" i="126"/>
  <c r="AC244" i="126"/>
  <c r="BX244" i="126"/>
  <c r="AB244" i="126"/>
  <c r="BO244" i="126"/>
  <c r="S244" i="126"/>
  <c r="BM244" i="126"/>
  <c r="Q244" i="126"/>
  <c r="BL244" i="126"/>
  <c r="P244" i="126"/>
  <c r="CY244" i="126"/>
  <c r="BC244" i="126"/>
  <c r="CW244" i="126"/>
  <c r="CV244" i="126"/>
  <c r="BA244" i="126"/>
  <c r="AZ244" i="126"/>
  <c r="N37" i="126" l="1"/>
  <c r="O37" i="126" s="1"/>
  <c r="L37" i="126"/>
  <c r="R37" i="126"/>
  <c r="T37" i="126"/>
  <c r="M38" i="126"/>
  <c r="L113" i="126"/>
  <c r="R113" i="126"/>
  <c r="Q113" i="126"/>
  <c r="N113" i="126"/>
  <c r="O113" i="126" s="1"/>
  <c r="L124" i="126"/>
  <c r="M125" i="126"/>
  <c r="R124" i="126"/>
  <c r="Q124" i="126"/>
  <c r="N124" i="126"/>
  <c r="O124" i="126" s="1"/>
  <c r="N125" i="126" l="1"/>
  <c r="O125" i="126" s="1"/>
  <c r="L125" i="126"/>
  <c r="M126" i="126"/>
  <c r="Q125" i="126"/>
  <c r="R125" i="126"/>
  <c r="M39" i="126"/>
  <c r="T38" i="126"/>
  <c r="R38" i="126"/>
  <c r="L38" i="126"/>
  <c r="N38" i="126"/>
  <c r="O38" i="126" s="1"/>
  <c r="N39" i="126" l="1"/>
  <c r="O39" i="126" s="1"/>
  <c r="L39" i="126"/>
  <c r="M40" i="126"/>
  <c r="T39" i="126"/>
  <c r="R39" i="126"/>
  <c r="R126" i="126"/>
  <c r="Q126" i="126"/>
  <c r="N126" i="126"/>
  <c r="O126" i="126" s="1"/>
  <c r="L126" i="126"/>
  <c r="T40" i="126" l="1"/>
  <c r="R40" i="126"/>
  <c r="L40" i="126"/>
  <c r="N40" i="126"/>
  <c r="O40" i="126" s="1"/>
  <c r="BL164" i="104" l="1"/>
  <c r="BL163" i="104"/>
  <c r="F261" i="123"/>
  <c r="D261" i="123"/>
  <c r="B261" i="123"/>
  <c r="F260" i="123"/>
  <c r="D260" i="123"/>
  <c r="B260" i="123"/>
  <c r="F259" i="123"/>
  <c r="D259" i="123"/>
  <c r="B259" i="123"/>
  <c r="F258" i="123"/>
  <c r="D258" i="123"/>
  <c r="B258" i="123"/>
  <c r="F257" i="123"/>
  <c r="D257" i="123"/>
  <c r="B257" i="123"/>
  <c r="F256" i="123"/>
  <c r="D256" i="123"/>
  <c r="B256" i="123"/>
  <c r="F255" i="123"/>
  <c r="D255" i="123"/>
  <c r="B255" i="123"/>
  <c r="F254" i="123"/>
  <c r="D254" i="123"/>
  <c r="B254" i="123"/>
  <c r="F253" i="123"/>
  <c r="D253" i="123"/>
  <c r="B253" i="123"/>
  <c r="F252" i="123"/>
  <c r="D252" i="123"/>
  <c r="B252" i="123"/>
  <c r="F251" i="123"/>
  <c r="D251" i="123"/>
  <c r="B251" i="123"/>
  <c r="F250" i="123"/>
  <c r="D250" i="123"/>
  <c r="B250" i="123"/>
  <c r="F249" i="123"/>
  <c r="D249" i="123"/>
  <c r="B249" i="123"/>
  <c r="F248" i="123"/>
  <c r="D248" i="123"/>
  <c r="B248" i="123"/>
  <c r="F247" i="123"/>
  <c r="D247" i="123"/>
  <c r="B247" i="123"/>
  <c r="F246" i="123"/>
  <c r="D246" i="123"/>
  <c r="B246" i="123"/>
  <c r="F245" i="123"/>
  <c r="D245" i="123"/>
  <c r="B245" i="123"/>
  <c r="F244" i="123"/>
  <c r="D244" i="123"/>
  <c r="B244" i="123"/>
  <c r="F243" i="123"/>
  <c r="D243" i="123"/>
  <c r="B243" i="123"/>
  <c r="F242" i="123"/>
  <c r="D242" i="123"/>
  <c r="B242" i="123"/>
  <c r="F241" i="123"/>
  <c r="D241" i="123"/>
  <c r="B241" i="123"/>
  <c r="F240" i="123"/>
  <c r="D240" i="123"/>
  <c r="B240" i="123"/>
  <c r="F239" i="123"/>
  <c r="D239" i="123"/>
  <c r="B239" i="123"/>
  <c r="F238" i="123"/>
  <c r="D238" i="123"/>
  <c r="B238" i="123"/>
  <c r="F237" i="123"/>
  <c r="D237" i="123"/>
  <c r="B237" i="123"/>
  <c r="F236" i="123"/>
  <c r="D236" i="123"/>
  <c r="B236" i="123"/>
  <c r="F235" i="123"/>
  <c r="D235" i="123"/>
  <c r="B235" i="123"/>
  <c r="F234" i="123"/>
  <c r="D234" i="123"/>
  <c r="B234" i="123"/>
  <c r="F233" i="123"/>
  <c r="D233" i="123"/>
  <c r="B233" i="123"/>
  <c r="F232" i="123"/>
  <c r="D232" i="123"/>
  <c r="B232" i="123"/>
  <c r="F231" i="123"/>
  <c r="D231" i="123"/>
  <c r="B231" i="123"/>
  <c r="F230" i="123"/>
  <c r="D230" i="123"/>
  <c r="B230" i="123"/>
  <c r="F229" i="123"/>
  <c r="D229" i="123"/>
  <c r="B229" i="123"/>
  <c r="F228" i="123"/>
  <c r="D228" i="123"/>
  <c r="B228" i="123"/>
  <c r="F227" i="123"/>
  <c r="D227" i="123"/>
  <c r="B227" i="123"/>
  <c r="F226" i="123"/>
  <c r="D226" i="123"/>
  <c r="B226" i="123"/>
  <c r="F225" i="123"/>
  <c r="D225" i="123"/>
  <c r="B225" i="123"/>
  <c r="F224" i="123"/>
  <c r="D224" i="123"/>
  <c r="B224" i="123"/>
  <c r="F223" i="123"/>
  <c r="D223" i="123"/>
  <c r="B223" i="123"/>
  <c r="F222" i="123"/>
  <c r="D222" i="123"/>
  <c r="B222" i="123"/>
  <c r="F221" i="123"/>
  <c r="D221" i="123"/>
  <c r="B221" i="123"/>
  <c r="F220" i="123"/>
  <c r="D220" i="123"/>
  <c r="B220" i="123"/>
  <c r="F219" i="123"/>
  <c r="D219" i="123"/>
  <c r="B219" i="123"/>
  <c r="F218" i="123"/>
  <c r="D218" i="123"/>
  <c r="B218" i="123"/>
  <c r="F217" i="123"/>
  <c r="D217" i="123"/>
  <c r="B217" i="123"/>
  <c r="F216" i="123"/>
  <c r="D216" i="123"/>
  <c r="B216" i="123"/>
  <c r="F215" i="123"/>
  <c r="D215" i="123"/>
  <c r="B215" i="123"/>
  <c r="F214" i="123"/>
  <c r="D214" i="123"/>
  <c r="B214" i="123"/>
  <c r="F213" i="123"/>
  <c r="D213" i="123"/>
  <c r="B213" i="123"/>
  <c r="F210" i="123"/>
  <c r="D210" i="123"/>
  <c r="B210" i="123"/>
  <c r="F209" i="123"/>
  <c r="D209" i="123"/>
  <c r="B209" i="123"/>
  <c r="F208" i="123"/>
  <c r="D208" i="123"/>
  <c r="B208" i="123"/>
  <c r="F207" i="123"/>
  <c r="D207" i="123"/>
  <c r="B207" i="123"/>
  <c r="F206" i="123"/>
  <c r="D206" i="123"/>
  <c r="B206" i="123"/>
  <c r="F205" i="123"/>
  <c r="D205" i="123"/>
  <c r="B205" i="123"/>
  <c r="F204" i="123"/>
  <c r="D204" i="123"/>
  <c r="B204" i="123"/>
  <c r="F203" i="123"/>
  <c r="D203" i="123"/>
  <c r="B203" i="123"/>
  <c r="F202" i="123"/>
  <c r="D202" i="123"/>
  <c r="B202" i="123"/>
  <c r="F201" i="123"/>
  <c r="D201" i="123"/>
  <c r="B201" i="123"/>
  <c r="F200" i="123"/>
  <c r="D200" i="123"/>
  <c r="B200" i="123"/>
  <c r="F199" i="123"/>
  <c r="D199" i="123"/>
  <c r="B199" i="123"/>
  <c r="F198" i="123"/>
  <c r="D198" i="123"/>
  <c r="B198" i="123"/>
  <c r="F197" i="123"/>
  <c r="D197" i="123"/>
  <c r="B197" i="123"/>
  <c r="F196" i="123"/>
  <c r="D196" i="123"/>
  <c r="B196" i="123"/>
  <c r="F195" i="123"/>
  <c r="D195" i="123"/>
  <c r="B195" i="123"/>
  <c r="F194" i="123"/>
  <c r="D194" i="123"/>
  <c r="B194" i="123"/>
  <c r="F193" i="123"/>
  <c r="D193" i="123"/>
  <c r="B193" i="123"/>
  <c r="F192" i="123"/>
  <c r="D192" i="123"/>
  <c r="B192" i="123"/>
  <c r="F191" i="123"/>
  <c r="D191" i="123"/>
  <c r="B191" i="123"/>
  <c r="F190" i="123"/>
  <c r="D190" i="123"/>
  <c r="B190" i="123"/>
  <c r="F189" i="123"/>
  <c r="D189" i="123"/>
  <c r="B189" i="123"/>
  <c r="F188" i="123"/>
  <c r="D188" i="123"/>
  <c r="B188" i="123"/>
  <c r="F187" i="123"/>
  <c r="D187" i="123"/>
  <c r="B187" i="123"/>
  <c r="F186" i="123"/>
  <c r="D186" i="123"/>
  <c r="B186" i="123"/>
  <c r="F185" i="123"/>
  <c r="D185" i="123"/>
  <c r="B185" i="123"/>
  <c r="F184" i="123"/>
  <c r="D184" i="123"/>
  <c r="B184" i="123"/>
  <c r="F183" i="123"/>
  <c r="D183" i="123"/>
  <c r="B183" i="123"/>
  <c r="F182" i="123"/>
  <c r="D182" i="123"/>
  <c r="B182" i="123"/>
  <c r="F181" i="123"/>
  <c r="D181" i="123"/>
  <c r="B181" i="123"/>
  <c r="F180" i="123"/>
  <c r="D180" i="123"/>
  <c r="B180" i="123"/>
  <c r="F179" i="123"/>
  <c r="D179" i="123"/>
  <c r="B179" i="123"/>
  <c r="F178" i="123"/>
  <c r="D178" i="123"/>
  <c r="B178" i="123"/>
  <c r="F177" i="123"/>
  <c r="D177" i="123"/>
  <c r="B177" i="123"/>
  <c r="F176" i="123"/>
  <c r="D176" i="123"/>
  <c r="B176" i="123"/>
  <c r="F175" i="123"/>
  <c r="D175" i="123"/>
  <c r="B175" i="123"/>
  <c r="F174" i="123"/>
  <c r="D174" i="123"/>
  <c r="B174" i="123"/>
  <c r="F173" i="123"/>
  <c r="D173" i="123"/>
  <c r="B173" i="123"/>
  <c r="F172" i="123"/>
  <c r="D172" i="123"/>
  <c r="B172" i="123"/>
  <c r="F171" i="123"/>
  <c r="D171" i="123"/>
  <c r="B171" i="123"/>
  <c r="F170" i="123"/>
  <c r="D170" i="123"/>
  <c r="B170" i="123"/>
  <c r="F169" i="123"/>
  <c r="D169" i="123"/>
  <c r="B169" i="123"/>
  <c r="F168" i="123"/>
  <c r="D168" i="123"/>
  <c r="B168" i="123"/>
  <c r="F167" i="123"/>
  <c r="D167" i="123"/>
  <c r="B167" i="123"/>
  <c r="F166" i="123"/>
  <c r="D166" i="123"/>
  <c r="B166" i="123"/>
  <c r="F165" i="123"/>
  <c r="D165" i="123"/>
  <c r="B165" i="123"/>
  <c r="F164" i="123"/>
  <c r="D164" i="123"/>
  <c r="B164" i="123"/>
  <c r="F163" i="123"/>
  <c r="D163" i="123"/>
  <c r="B163" i="123"/>
  <c r="F162" i="123"/>
  <c r="D162" i="123"/>
  <c r="B162" i="123"/>
  <c r="F159" i="123"/>
  <c r="D159" i="123"/>
  <c r="B159" i="123"/>
  <c r="F158" i="123"/>
  <c r="D158" i="123"/>
  <c r="B158" i="123"/>
  <c r="F157" i="123"/>
  <c r="D157" i="123"/>
  <c r="B157" i="123"/>
  <c r="F156" i="123"/>
  <c r="D156" i="123"/>
  <c r="B156" i="123"/>
  <c r="F155" i="123"/>
  <c r="D155" i="123"/>
  <c r="B155" i="123"/>
  <c r="F154" i="123"/>
  <c r="D154" i="123"/>
  <c r="B154" i="123"/>
  <c r="F153" i="123"/>
  <c r="D153" i="123"/>
  <c r="B153" i="123"/>
  <c r="F152" i="123"/>
  <c r="D152" i="123"/>
  <c r="B152" i="123"/>
  <c r="F151" i="123"/>
  <c r="D151" i="123"/>
  <c r="B151" i="123"/>
  <c r="F150" i="123"/>
  <c r="D150" i="123"/>
  <c r="B150" i="123"/>
  <c r="F149" i="123"/>
  <c r="D149" i="123"/>
  <c r="B149" i="123"/>
  <c r="F148" i="123"/>
  <c r="D148" i="123"/>
  <c r="B148" i="123"/>
  <c r="F147" i="123"/>
  <c r="D147" i="123"/>
  <c r="B147" i="123"/>
  <c r="F146" i="123"/>
  <c r="D146" i="123"/>
  <c r="B146" i="123"/>
  <c r="F145" i="123"/>
  <c r="D145" i="123"/>
  <c r="B145" i="123"/>
  <c r="F144" i="123"/>
  <c r="D144" i="123"/>
  <c r="B144" i="123"/>
  <c r="F143" i="123"/>
  <c r="D143" i="123"/>
  <c r="B143" i="123"/>
  <c r="F142" i="123"/>
  <c r="D142" i="123"/>
  <c r="B142" i="123"/>
  <c r="F141" i="123"/>
  <c r="D141" i="123"/>
  <c r="B141" i="123"/>
  <c r="F140" i="123"/>
  <c r="D140" i="123"/>
  <c r="B140" i="123"/>
  <c r="F139" i="123"/>
  <c r="D139" i="123"/>
  <c r="B139" i="123"/>
  <c r="F138" i="123"/>
  <c r="D138" i="123"/>
  <c r="B138" i="123"/>
  <c r="F137" i="123"/>
  <c r="D137" i="123"/>
  <c r="B137" i="123"/>
  <c r="F136" i="123"/>
  <c r="D136" i="123"/>
  <c r="B136" i="123"/>
  <c r="F135" i="123"/>
  <c r="D135" i="123"/>
  <c r="B135" i="123"/>
  <c r="F134" i="123"/>
  <c r="D134" i="123"/>
  <c r="B134" i="123"/>
  <c r="F133" i="123"/>
  <c r="D133" i="123"/>
  <c r="B133" i="123"/>
  <c r="F132" i="123"/>
  <c r="D132" i="123"/>
  <c r="B132" i="123"/>
  <c r="F131" i="123"/>
  <c r="D131" i="123"/>
  <c r="B131" i="123"/>
  <c r="F130" i="123"/>
  <c r="D130" i="123"/>
  <c r="B130" i="123"/>
  <c r="F129" i="123"/>
  <c r="D129" i="123"/>
  <c r="B129" i="123"/>
  <c r="F128" i="123"/>
  <c r="D128" i="123"/>
  <c r="B128" i="123"/>
  <c r="F127" i="123"/>
  <c r="D127" i="123"/>
  <c r="B127" i="123"/>
  <c r="F126" i="123"/>
  <c r="D126" i="123"/>
  <c r="B126" i="123"/>
  <c r="F125" i="123"/>
  <c r="D125" i="123"/>
  <c r="B125" i="123"/>
  <c r="F124" i="123"/>
  <c r="D124" i="123"/>
  <c r="B124" i="123"/>
  <c r="F123" i="123"/>
  <c r="D123" i="123"/>
  <c r="B123" i="123"/>
  <c r="F122" i="123"/>
  <c r="D122" i="123"/>
  <c r="B122" i="123"/>
  <c r="F121" i="123"/>
  <c r="D121" i="123"/>
  <c r="B121" i="123"/>
  <c r="F120" i="123"/>
  <c r="D120" i="123"/>
  <c r="B120" i="123"/>
  <c r="F119" i="123"/>
  <c r="D119" i="123"/>
  <c r="B119" i="123"/>
  <c r="F118" i="123"/>
  <c r="D118" i="123"/>
  <c r="B118" i="123"/>
  <c r="F117" i="123"/>
  <c r="D117" i="123"/>
  <c r="B117" i="123"/>
  <c r="F116" i="123"/>
  <c r="D116" i="123"/>
  <c r="B116" i="123"/>
  <c r="F115" i="123"/>
  <c r="D115" i="123"/>
  <c r="B115" i="123"/>
  <c r="F114" i="123"/>
  <c r="D114" i="123"/>
  <c r="B114" i="123"/>
  <c r="F113" i="123"/>
  <c r="D113" i="123"/>
  <c r="B113" i="123"/>
  <c r="F112" i="123"/>
  <c r="D112" i="123"/>
  <c r="B112" i="123"/>
  <c r="F111" i="123"/>
  <c r="D111" i="123"/>
  <c r="B111" i="123"/>
  <c r="F108" i="123"/>
  <c r="D108" i="123"/>
  <c r="B108" i="123"/>
  <c r="F107" i="123"/>
  <c r="D107" i="123"/>
  <c r="B107" i="123"/>
  <c r="F106" i="123"/>
  <c r="D106" i="123"/>
  <c r="B106" i="123"/>
  <c r="F105" i="123"/>
  <c r="D105" i="123"/>
  <c r="B105" i="123"/>
  <c r="F104" i="123"/>
  <c r="D104" i="123"/>
  <c r="B104" i="123"/>
  <c r="F103" i="123"/>
  <c r="D103" i="123"/>
  <c r="B103" i="123"/>
  <c r="F102" i="123"/>
  <c r="D102" i="123"/>
  <c r="B102" i="123"/>
  <c r="F101" i="123"/>
  <c r="D101" i="123"/>
  <c r="B101" i="123"/>
  <c r="F100" i="123"/>
  <c r="D100" i="123"/>
  <c r="B100" i="123"/>
  <c r="F99" i="123"/>
  <c r="D99" i="123"/>
  <c r="B99" i="123"/>
  <c r="F98" i="123"/>
  <c r="D98" i="123"/>
  <c r="B98" i="123"/>
  <c r="F97" i="123"/>
  <c r="D97" i="123"/>
  <c r="B97" i="123"/>
  <c r="F96" i="123"/>
  <c r="D96" i="123"/>
  <c r="B96" i="123"/>
  <c r="F95" i="123"/>
  <c r="D95" i="123"/>
  <c r="B95" i="123"/>
  <c r="F94" i="123"/>
  <c r="D94" i="123"/>
  <c r="B94" i="123"/>
  <c r="F93" i="123"/>
  <c r="D93" i="123"/>
  <c r="B93" i="123"/>
  <c r="F92" i="123"/>
  <c r="D92" i="123"/>
  <c r="B92" i="123"/>
  <c r="F91" i="123"/>
  <c r="D91" i="123"/>
  <c r="B91" i="123"/>
  <c r="F90" i="123"/>
  <c r="D90" i="123"/>
  <c r="B90" i="123"/>
  <c r="F89" i="123"/>
  <c r="D89" i="123"/>
  <c r="B89" i="123"/>
  <c r="F88" i="123"/>
  <c r="D88" i="123"/>
  <c r="B88" i="123"/>
  <c r="F87" i="123"/>
  <c r="D87" i="123"/>
  <c r="B87" i="123"/>
  <c r="F86" i="123"/>
  <c r="D86" i="123"/>
  <c r="B86" i="123"/>
  <c r="F85" i="123"/>
  <c r="D85" i="123"/>
  <c r="B85" i="123"/>
  <c r="F84" i="123"/>
  <c r="D84" i="123"/>
  <c r="B84" i="123"/>
  <c r="F83" i="123"/>
  <c r="D83" i="123"/>
  <c r="B83" i="123"/>
  <c r="F82" i="123"/>
  <c r="D82" i="123"/>
  <c r="B82" i="123"/>
  <c r="F81" i="123"/>
  <c r="D81" i="123"/>
  <c r="B81" i="123"/>
  <c r="F80" i="123"/>
  <c r="D80" i="123"/>
  <c r="B80" i="123"/>
  <c r="F79" i="123"/>
  <c r="D79" i="123"/>
  <c r="B79" i="123"/>
  <c r="F78" i="123"/>
  <c r="D78" i="123"/>
  <c r="B78" i="123"/>
  <c r="F77" i="123"/>
  <c r="D77" i="123"/>
  <c r="B77" i="123"/>
  <c r="F76" i="123"/>
  <c r="D76" i="123"/>
  <c r="B76" i="123"/>
  <c r="F75" i="123"/>
  <c r="D75" i="123"/>
  <c r="B75" i="123"/>
  <c r="F74" i="123"/>
  <c r="D74" i="123"/>
  <c r="B74" i="123"/>
  <c r="F73" i="123"/>
  <c r="D73" i="123"/>
  <c r="B73" i="123"/>
  <c r="F72" i="123"/>
  <c r="D72" i="123"/>
  <c r="B72" i="123"/>
  <c r="F71" i="123"/>
  <c r="D71" i="123"/>
  <c r="B71" i="123"/>
  <c r="F70" i="123"/>
  <c r="D70" i="123"/>
  <c r="B70" i="123"/>
  <c r="F69" i="123"/>
  <c r="D69" i="123"/>
  <c r="B69" i="123"/>
  <c r="F68" i="123"/>
  <c r="D68" i="123"/>
  <c r="B68" i="123"/>
  <c r="F67" i="123"/>
  <c r="D67" i="123"/>
  <c r="B67" i="123"/>
  <c r="F66" i="123"/>
  <c r="D66" i="123"/>
  <c r="B66" i="123"/>
  <c r="F65" i="123"/>
  <c r="D65" i="123"/>
  <c r="B65" i="123"/>
  <c r="F64" i="123"/>
  <c r="D64" i="123"/>
  <c r="B64" i="123"/>
  <c r="F63" i="123"/>
  <c r="D63" i="123"/>
  <c r="B63" i="123"/>
  <c r="F62" i="123"/>
  <c r="D62" i="123"/>
  <c r="B62" i="123"/>
  <c r="F61" i="123"/>
  <c r="D61" i="123"/>
  <c r="B61" i="123"/>
  <c r="F60" i="123"/>
  <c r="D60" i="123"/>
  <c r="B60" i="123"/>
  <c r="F57" i="123"/>
  <c r="D57" i="123"/>
  <c r="B57" i="123"/>
  <c r="F56" i="123"/>
  <c r="D56" i="123"/>
  <c r="B56" i="123"/>
  <c r="F55" i="123"/>
  <c r="D55" i="123"/>
  <c r="B55" i="123"/>
  <c r="F54" i="123"/>
  <c r="D54" i="123"/>
  <c r="B54" i="123"/>
  <c r="F53" i="123"/>
  <c r="D53" i="123"/>
  <c r="B53" i="123"/>
  <c r="F52" i="123"/>
  <c r="D52" i="123"/>
  <c r="B52" i="123"/>
  <c r="F51" i="123"/>
  <c r="D51" i="123"/>
  <c r="B51" i="123"/>
  <c r="F50" i="123"/>
  <c r="D50" i="123"/>
  <c r="B50" i="123"/>
  <c r="F49" i="123"/>
  <c r="D49" i="123"/>
  <c r="B49" i="123"/>
  <c r="F48" i="123"/>
  <c r="D48" i="123"/>
  <c r="B48" i="123"/>
  <c r="F47" i="123"/>
  <c r="D47" i="123"/>
  <c r="B47" i="123"/>
  <c r="F46" i="123"/>
  <c r="D46" i="123"/>
  <c r="B46" i="123"/>
  <c r="F45" i="123"/>
  <c r="D45" i="123"/>
  <c r="B45" i="123"/>
  <c r="F44" i="123"/>
  <c r="D44" i="123"/>
  <c r="B44" i="123"/>
  <c r="F43" i="123"/>
  <c r="D43" i="123"/>
  <c r="B43" i="123"/>
  <c r="F42" i="123"/>
  <c r="D42" i="123"/>
  <c r="B42" i="123"/>
  <c r="F41" i="123"/>
  <c r="D41" i="123"/>
  <c r="B41" i="123"/>
  <c r="F40" i="123"/>
  <c r="D40" i="123"/>
  <c r="B40" i="123"/>
  <c r="F39" i="123"/>
  <c r="D39" i="123"/>
  <c r="B39" i="123"/>
  <c r="F38" i="123"/>
  <c r="D38" i="123"/>
  <c r="B38" i="123"/>
  <c r="F37" i="123"/>
  <c r="D37" i="123"/>
  <c r="B37" i="123"/>
  <c r="F36" i="123"/>
  <c r="D36" i="123"/>
  <c r="B36" i="123"/>
  <c r="F35" i="123"/>
  <c r="D35" i="123"/>
  <c r="B35" i="123"/>
  <c r="F34" i="123"/>
  <c r="D34" i="123"/>
  <c r="B34" i="123"/>
  <c r="F33" i="123"/>
  <c r="D33" i="123"/>
  <c r="B33" i="123"/>
  <c r="F32" i="123"/>
  <c r="D32" i="123"/>
  <c r="B32" i="123"/>
  <c r="F31" i="123"/>
  <c r="D31" i="123"/>
  <c r="B31" i="123"/>
  <c r="F30" i="123"/>
  <c r="D30" i="123"/>
  <c r="B30" i="123"/>
  <c r="F29" i="123"/>
  <c r="D29" i="123"/>
  <c r="B29" i="123"/>
  <c r="F28" i="123"/>
  <c r="D28" i="123"/>
  <c r="B28" i="123"/>
  <c r="F27" i="123"/>
  <c r="D27" i="123"/>
  <c r="B27" i="123"/>
  <c r="F26" i="123"/>
  <c r="D26" i="123"/>
  <c r="B26" i="123"/>
  <c r="F25" i="123"/>
  <c r="D25" i="123"/>
  <c r="B25" i="123"/>
  <c r="F24" i="123"/>
  <c r="D24" i="123"/>
  <c r="B24" i="123"/>
  <c r="F23" i="123"/>
  <c r="D23" i="123"/>
  <c r="B23" i="123"/>
  <c r="F22" i="123"/>
  <c r="D22" i="123"/>
  <c r="B22" i="123"/>
  <c r="F21" i="123"/>
  <c r="D21" i="123"/>
  <c r="B21" i="123"/>
  <c r="F20" i="123"/>
  <c r="D20" i="123"/>
  <c r="B20" i="123"/>
  <c r="F19" i="123"/>
  <c r="D19" i="123"/>
  <c r="B19" i="123"/>
  <c r="F18" i="123"/>
  <c r="D18" i="123"/>
  <c r="B18" i="123"/>
  <c r="F17" i="123"/>
  <c r="D17" i="123"/>
  <c r="B17" i="123"/>
  <c r="F16" i="123"/>
  <c r="D16" i="123"/>
  <c r="B16" i="123"/>
  <c r="F15" i="123"/>
  <c r="D15" i="123"/>
  <c r="B15" i="123"/>
  <c r="F14" i="123"/>
  <c r="D14" i="123"/>
  <c r="B14" i="123"/>
  <c r="F13" i="123"/>
  <c r="D13" i="123"/>
  <c r="B13" i="123"/>
  <c r="F12" i="123"/>
  <c r="D12" i="123"/>
  <c r="B12" i="123"/>
  <c r="F11" i="123"/>
  <c r="D11" i="123"/>
  <c r="B11" i="123"/>
  <c r="F10" i="123"/>
  <c r="D10" i="123"/>
  <c r="B10" i="123"/>
  <c r="F9" i="123"/>
  <c r="D9" i="123"/>
  <c r="B9" i="123"/>
  <c r="F312" i="122"/>
  <c r="D312" i="122"/>
  <c r="B312" i="122"/>
  <c r="F311" i="122"/>
  <c r="D311" i="122"/>
  <c r="B311" i="122"/>
  <c r="F310" i="122"/>
  <c r="D310" i="122"/>
  <c r="B310" i="122"/>
  <c r="F309" i="122"/>
  <c r="D309" i="122"/>
  <c r="B309" i="122"/>
  <c r="F308" i="122"/>
  <c r="D308" i="122"/>
  <c r="B308" i="122"/>
  <c r="F307" i="122"/>
  <c r="D307" i="122"/>
  <c r="B307" i="122"/>
  <c r="F306" i="122"/>
  <c r="D306" i="122"/>
  <c r="B306" i="122"/>
  <c r="F305" i="122"/>
  <c r="D305" i="122"/>
  <c r="B305" i="122"/>
  <c r="F304" i="122"/>
  <c r="D304" i="122"/>
  <c r="B304" i="122"/>
  <c r="F303" i="122"/>
  <c r="D303" i="122"/>
  <c r="B303" i="122"/>
  <c r="F302" i="122"/>
  <c r="D302" i="122"/>
  <c r="B302" i="122"/>
  <c r="F301" i="122"/>
  <c r="D301" i="122"/>
  <c r="B301" i="122"/>
  <c r="F300" i="122"/>
  <c r="D300" i="122"/>
  <c r="B300" i="122"/>
  <c r="F299" i="122"/>
  <c r="D299" i="122"/>
  <c r="B299" i="122"/>
  <c r="F298" i="122"/>
  <c r="D298" i="122"/>
  <c r="B298" i="122"/>
  <c r="F297" i="122"/>
  <c r="D297" i="122"/>
  <c r="B297" i="122"/>
  <c r="F296" i="122"/>
  <c r="D296" i="122"/>
  <c r="B296" i="122"/>
  <c r="F295" i="122"/>
  <c r="D295" i="122"/>
  <c r="B295" i="122"/>
  <c r="F294" i="122"/>
  <c r="D294" i="122"/>
  <c r="B294" i="122"/>
  <c r="F293" i="122"/>
  <c r="D293" i="122"/>
  <c r="B293" i="122"/>
  <c r="F292" i="122"/>
  <c r="D292" i="122"/>
  <c r="B292" i="122"/>
  <c r="F291" i="122"/>
  <c r="D291" i="122"/>
  <c r="B291" i="122"/>
  <c r="F290" i="122"/>
  <c r="D290" i="122"/>
  <c r="B290" i="122"/>
  <c r="F289" i="122"/>
  <c r="D289" i="122"/>
  <c r="B289" i="122"/>
  <c r="F288" i="122"/>
  <c r="D288" i="122"/>
  <c r="B288" i="122"/>
  <c r="F287" i="122"/>
  <c r="D287" i="122"/>
  <c r="B287" i="122"/>
  <c r="F286" i="122"/>
  <c r="D286" i="122"/>
  <c r="B286" i="122"/>
  <c r="F285" i="122"/>
  <c r="D285" i="122"/>
  <c r="B285" i="122"/>
  <c r="F284" i="122"/>
  <c r="D284" i="122"/>
  <c r="B284" i="122"/>
  <c r="F283" i="122"/>
  <c r="D283" i="122"/>
  <c r="B283" i="122"/>
  <c r="F282" i="122"/>
  <c r="D282" i="122"/>
  <c r="B282" i="122"/>
  <c r="F281" i="122"/>
  <c r="D281" i="122"/>
  <c r="B281" i="122"/>
  <c r="F280" i="122"/>
  <c r="D280" i="122"/>
  <c r="B280" i="122"/>
  <c r="F279" i="122"/>
  <c r="D279" i="122"/>
  <c r="B279" i="122"/>
  <c r="F278" i="122"/>
  <c r="D278" i="122"/>
  <c r="B278" i="122"/>
  <c r="F277" i="122"/>
  <c r="D277" i="122"/>
  <c r="B277" i="122"/>
  <c r="F276" i="122"/>
  <c r="D276" i="122"/>
  <c r="B276" i="122"/>
  <c r="F275" i="122"/>
  <c r="D275" i="122"/>
  <c r="B275" i="122"/>
  <c r="F274" i="122"/>
  <c r="D274" i="122"/>
  <c r="B274" i="122"/>
  <c r="F273" i="122"/>
  <c r="D273" i="122"/>
  <c r="B273" i="122"/>
  <c r="F272" i="122"/>
  <c r="D272" i="122"/>
  <c r="B272" i="122"/>
  <c r="F271" i="122"/>
  <c r="D271" i="122"/>
  <c r="B271" i="122"/>
  <c r="F270" i="122"/>
  <c r="D270" i="122"/>
  <c r="B270" i="122"/>
  <c r="F269" i="122"/>
  <c r="D269" i="122"/>
  <c r="B269" i="122"/>
  <c r="F268" i="122"/>
  <c r="D268" i="122"/>
  <c r="B268" i="122"/>
  <c r="F267" i="122"/>
  <c r="D267" i="122"/>
  <c r="B267" i="122"/>
  <c r="F266" i="122"/>
  <c r="D266" i="122"/>
  <c r="B266" i="122"/>
  <c r="F265" i="122"/>
  <c r="D265" i="122"/>
  <c r="B265" i="122"/>
  <c r="F264" i="122"/>
  <c r="D264" i="122"/>
  <c r="B264" i="122"/>
  <c r="F261" i="122"/>
  <c r="D261" i="122"/>
  <c r="B261" i="122"/>
  <c r="F260" i="122"/>
  <c r="D260" i="122"/>
  <c r="B260" i="122"/>
  <c r="F259" i="122"/>
  <c r="D259" i="122"/>
  <c r="B259" i="122"/>
  <c r="F258" i="122"/>
  <c r="D258" i="122"/>
  <c r="B258" i="122"/>
  <c r="F257" i="122"/>
  <c r="D257" i="122"/>
  <c r="B257" i="122"/>
  <c r="F256" i="122"/>
  <c r="D256" i="122"/>
  <c r="B256" i="122"/>
  <c r="F255" i="122"/>
  <c r="D255" i="122"/>
  <c r="B255" i="122"/>
  <c r="F254" i="122"/>
  <c r="D254" i="122"/>
  <c r="B254" i="122"/>
  <c r="F253" i="122"/>
  <c r="D253" i="122"/>
  <c r="B253" i="122"/>
  <c r="F252" i="122"/>
  <c r="D252" i="122"/>
  <c r="B252" i="122"/>
  <c r="F251" i="122"/>
  <c r="D251" i="122"/>
  <c r="B251" i="122"/>
  <c r="F250" i="122"/>
  <c r="D250" i="122"/>
  <c r="B250" i="122"/>
  <c r="F249" i="122"/>
  <c r="D249" i="122"/>
  <c r="B249" i="122"/>
  <c r="F248" i="122"/>
  <c r="D248" i="122"/>
  <c r="B248" i="122"/>
  <c r="F247" i="122"/>
  <c r="D247" i="122"/>
  <c r="B247" i="122"/>
  <c r="F246" i="122"/>
  <c r="D246" i="122"/>
  <c r="B246" i="122"/>
  <c r="F245" i="122"/>
  <c r="D245" i="122"/>
  <c r="B245" i="122"/>
  <c r="F244" i="122"/>
  <c r="D244" i="122"/>
  <c r="B244" i="122"/>
  <c r="F243" i="122"/>
  <c r="D243" i="122"/>
  <c r="B243" i="122"/>
  <c r="F242" i="122"/>
  <c r="D242" i="122"/>
  <c r="B242" i="122"/>
  <c r="F241" i="122"/>
  <c r="D241" i="122"/>
  <c r="B241" i="122"/>
  <c r="F240" i="122"/>
  <c r="D240" i="122"/>
  <c r="B240" i="122"/>
  <c r="F239" i="122"/>
  <c r="D239" i="122"/>
  <c r="B239" i="122"/>
  <c r="F238" i="122"/>
  <c r="D238" i="122"/>
  <c r="B238" i="122"/>
  <c r="F237" i="122"/>
  <c r="D237" i="122"/>
  <c r="B237" i="122"/>
  <c r="F236" i="122"/>
  <c r="D236" i="122"/>
  <c r="B236" i="122"/>
  <c r="F235" i="122"/>
  <c r="D235" i="122"/>
  <c r="B235" i="122"/>
  <c r="F234" i="122"/>
  <c r="D234" i="122"/>
  <c r="B234" i="122"/>
  <c r="F233" i="122"/>
  <c r="D233" i="122"/>
  <c r="B233" i="122"/>
  <c r="F232" i="122"/>
  <c r="D232" i="122"/>
  <c r="B232" i="122"/>
  <c r="F231" i="122"/>
  <c r="D231" i="122"/>
  <c r="B231" i="122"/>
  <c r="F230" i="122"/>
  <c r="D230" i="122"/>
  <c r="B230" i="122"/>
  <c r="F229" i="122"/>
  <c r="D229" i="122"/>
  <c r="B229" i="122"/>
  <c r="F228" i="122"/>
  <c r="D228" i="122"/>
  <c r="B228" i="122"/>
  <c r="F227" i="122"/>
  <c r="D227" i="122"/>
  <c r="B227" i="122"/>
  <c r="F226" i="122"/>
  <c r="D226" i="122"/>
  <c r="B226" i="122"/>
  <c r="F225" i="122"/>
  <c r="D225" i="122"/>
  <c r="B225" i="122"/>
  <c r="F224" i="122"/>
  <c r="D224" i="122"/>
  <c r="B224" i="122"/>
  <c r="F223" i="122"/>
  <c r="D223" i="122"/>
  <c r="B223" i="122"/>
  <c r="F222" i="122"/>
  <c r="D222" i="122"/>
  <c r="B222" i="122"/>
  <c r="F221" i="122"/>
  <c r="D221" i="122"/>
  <c r="B221" i="122"/>
  <c r="F220" i="122"/>
  <c r="D220" i="122"/>
  <c r="B220" i="122"/>
  <c r="F219" i="122"/>
  <c r="D219" i="122"/>
  <c r="B219" i="122"/>
  <c r="F218" i="122"/>
  <c r="D218" i="122"/>
  <c r="B218" i="122"/>
  <c r="F217" i="122"/>
  <c r="D217" i="122"/>
  <c r="B217" i="122"/>
  <c r="F216" i="122"/>
  <c r="D216" i="122"/>
  <c r="B216" i="122"/>
  <c r="F215" i="122"/>
  <c r="D215" i="122"/>
  <c r="B215" i="122"/>
  <c r="F214" i="122"/>
  <c r="D214" i="122"/>
  <c r="B214" i="122"/>
  <c r="F213" i="122"/>
  <c r="D213" i="122"/>
  <c r="B213" i="122"/>
  <c r="F210" i="122"/>
  <c r="D210" i="122"/>
  <c r="B210" i="122"/>
  <c r="F209" i="122"/>
  <c r="D209" i="122"/>
  <c r="B209" i="122"/>
  <c r="F208" i="122"/>
  <c r="D208" i="122"/>
  <c r="B208" i="122"/>
  <c r="F207" i="122"/>
  <c r="D207" i="122"/>
  <c r="B207" i="122"/>
  <c r="F206" i="122"/>
  <c r="D206" i="122"/>
  <c r="B206" i="122"/>
  <c r="F205" i="122"/>
  <c r="D205" i="122"/>
  <c r="B205" i="122"/>
  <c r="F204" i="122"/>
  <c r="D204" i="122"/>
  <c r="B204" i="122"/>
  <c r="F203" i="122"/>
  <c r="D203" i="122"/>
  <c r="B203" i="122"/>
  <c r="F202" i="122"/>
  <c r="D202" i="122"/>
  <c r="B202" i="122"/>
  <c r="F201" i="122"/>
  <c r="D201" i="122"/>
  <c r="B201" i="122"/>
  <c r="F200" i="122"/>
  <c r="D200" i="122"/>
  <c r="B200" i="122"/>
  <c r="F199" i="122"/>
  <c r="D199" i="122"/>
  <c r="B199" i="122"/>
  <c r="F198" i="122"/>
  <c r="D198" i="122"/>
  <c r="B198" i="122"/>
  <c r="F197" i="122"/>
  <c r="D197" i="122"/>
  <c r="B197" i="122"/>
  <c r="F196" i="122"/>
  <c r="D196" i="122"/>
  <c r="B196" i="122"/>
  <c r="F195" i="122"/>
  <c r="D195" i="122"/>
  <c r="B195" i="122"/>
  <c r="F194" i="122"/>
  <c r="D194" i="122"/>
  <c r="B194" i="122"/>
  <c r="F193" i="122"/>
  <c r="D193" i="122"/>
  <c r="B193" i="122"/>
  <c r="F192" i="122"/>
  <c r="D192" i="122"/>
  <c r="B192" i="122"/>
  <c r="F191" i="122"/>
  <c r="D191" i="122"/>
  <c r="B191" i="122"/>
  <c r="F190" i="122"/>
  <c r="D190" i="122"/>
  <c r="B190" i="122"/>
  <c r="F189" i="122"/>
  <c r="D189" i="122"/>
  <c r="B189" i="122"/>
  <c r="F188" i="122"/>
  <c r="D188" i="122"/>
  <c r="B188" i="122"/>
  <c r="F187" i="122"/>
  <c r="D187" i="122"/>
  <c r="B187" i="122"/>
  <c r="F186" i="122"/>
  <c r="D186" i="122"/>
  <c r="B186" i="122"/>
  <c r="F185" i="122"/>
  <c r="D185" i="122"/>
  <c r="B185" i="122"/>
  <c r="F184" i="122"/>
  <c r="D184" i="122"/>
  <c r="B184" i="122"/>
  <c r="F183" i="122"/>
  <c r="D183" i="122"/>
  <c r="B183" i="122"/>
  <c r="F182" i="122"/>
  <c r="D182" i="122"/>
  <c r="B182" i="122"/>
  <c r="F181" i="122"/>
  <c r="D181" i="122"/>
  <c r="B181" i="122"/>
  <c r="F180" i="122"/>
  <c r="D180" i="122"/>
  <c r="B180" i="122"/>
  <c r="F179" i="122"/>
  <c r="D179" i="122"/>
  <c r="B179" i="122"/>
  <c r="F178" i="122"/>
  <c r="D178" i="122"/>
  <c r="B178" i="122"/>
  <c r="F177" i="122"/>
  <c r="D177" i="122"/>
  <c r="B177" i="122"/>
  <c r="F176" i="122"/>
  <c r="D176" i="122"/>
  <c r="B176" i="122"/>
  <c r="F175" i="122"/>
  <c r="D175" i="122"/>
  <c r="B175" i="122"/>
  <c r="F174" i="122"/>
  <c r="D174" i="122"/>
  <c r="B174" i="122"/>
  <c r="F173" i="122"/>
  <c r="D173" i="122"/>
  <c r="B173" i="122"/>
  <c r="F172" i="122"/>
  <c r="D172" i="122"/>
  <c r="B172" i="122"/>
  <c r="F171" i="122"/>
  <c r="D171" i="122"/>
  <c r="B171" i="122"/>
  <c r="F170" i="122"/>
  <c r="D170" i="122"/>
  <c r="B170" i="122"/>
  <c r="F169" i="122"/>
  <c r="D169" i="122"/>
  <c r="B169" i="122"/>
  <c r="F168" i="122"/>
  <c r="D168" i="122"/>
  <c r="B168" i="122"/>
  <c r="F167" i="122"/>
  <c r="D167" i="122"/>
  <c r="B167" i="122"/>
  <c r="F166" i="122"/>
  <c r="D166" i="122"/>
  <c r="B166" i="122"/>
  <c r="F165" i="122"/>
  <c r="D165" i="122"/>
  <c r="B165" i="122"/>
  <c r="F164" i="122"/>
  <c r="D164" i="122"/>
  <c r="B164" i="122"/>
  <c r="F163" i="122"/>
  <c r="D163" i="122"/>
  <c r="B163" i="122"/>
  <c r="F162" i="122"/>
  <c r="D162" i="122"/>
  <c r="B162" i="122"/>
  <c r="F159" i="122"/>
  <c r="D159" i="122"/>
  <c r="B159" i="122"/>
  <c r="F158" i="122"/>
  <c r="D158" i="122"/>
  <c r="B158" i="122"/>
  <c r="F157" i="122"/>
  <c r="D157" i="122"/>
  <c r="B157" i="122"/>
  <c r="F156" i="122"/>
  <c r="D156" i="122"/>
  <c r="B156" i="122"/>
  <c r="F155" i="122"/>
  <c r="D155" i="122"/>
  <c r="B155" i="122"/>
  <c r="F154" i="122"/>
  <c r="D154" i="122"/>
  <c r="B154" i="122"/>
  <c r="F153" i="122"/>
  <c r="D153" i="122"/>
  <c r="B153" i="122"/>
  <c r="F152" i="122"/>
  <c r="D152" i="122"/>
  <c r="B152" i="122"/>
  <c r="F151" i="122"/>
  <c r="D151" i="122"/>
  <c r="B151" i="122"/>
  <c r="F150" i="122"/>
  <c r="D150" i="122"/>
  <c r="B150" i="122"/>
  <c r="F149" i="122"/>
  <c r="D149" i="122"/>
  <c r="B149" i="122"/>
  <c r="F148" i="122"/>
  <c r="D148" i="122"/>
  <c r="B148" i="122"/>
  <c r="F147" i="122"/>
  <c r="D147" i="122"/>
  <c r="B147" i="122"/>
  <c r="F146" i="122"/>
  <c r="D146" i="122"/>
  <c r="B146" i="122"/>
  <c r="F145" i="122"/>
  <c r="D145" i="122"/>
  <c r="B145" i="122"/>
  <c r="F144" i="122"/>
  <c r="D144" i="122"/>
  <c r="B144" i="122"/>
  <c r="F143" i="122"/>
  <c r="D143" i="122"/>
  <c r="B143" i="122"/>
  <c r="F142" i="122"/>
  <c r="D142" i="122"/>
  <c r="B142" i="122"/>
  <c r="F141" i="122"/>
  <c r="D141" i="122"/>
  <c r="B141" i="122"/>
  <c r="F140" i="122"/>
  <c r="D140" i="122"/>
  <c r="B140" i="122"/>
  <c r="F139" i="122"/>
  <c r="D139" i="122"/>
  <c r="B139" i="122"/>
  <c r="F138" i="122"/>
  <c r="D138" i="122"/>
  <c r="B138" i="122"/>
  <c r="F137" i="122"/>
  <c r="D137" i="122"/>
  <c r="B137" i="122"/>
  <c r="F136" i="122"/>
  <c r="D136" i="122"/>
  <c r="B136" i="122"/>
  <c r="F135" i="122"/>
  <c r="D135" i="122"/>
  <c r="B135" i="122"/>
  <c r="F134" i="122"/>
  <c r="D134" i="122"/>
  <c r="B134" i="122"/>
  <c r="F133" i="122"/>
  <c r="D133" i="122"/>
  <c r="B133" i="122"/>
  <c r="F132" i="122"/>
  <c r="D132" i="122"/>
  <c r="B132" i="122"/>
  <c r="F131" i="122"/>
  <c r="D131" i="122"/>
  <c r="B131" i="122"/>
  <c r="F130" i="122"/>
  <c r="D130" i="122"/>
  <c r="B130" i="122"/>
  <c r="F129" i="122"/>
  <c r="D129" i="122"/>
  <c r="B129" i="122"/>
  <c r="F128" i="122"/>
  <c r="D128" i="122"/>
  <c r="B128" i="122"/>
  <c r="F127" i="122"/>
  <c r="D127" i="122"/>
  <c r="B127" i="122"/>
  <c r="F126" i="122"/>
  <c r="D126" i="122"/>
  <c r="B126" i="122"/>
  <c r="F125" i="122"/>
  <c r="D125" i="122"/>
  <c r="B125" i="122"/>
  <c r="F124" i="122"/>
  <c r="D124" i="122"/>
  <c r="B124" i="122"/>
  <c r="F123" i="122"/>
  <c r="D123" i="122"/>
  <c r="B123" i="122"/>
  <c r="F122" i="122"/>
  <c r="D122" i="122"/>
  <c r="B122" i="122"/>
  <c r="F121" i="122"/>
  <c r="D121" i="122"/>
  <c r="B121" i="122"/>
  <c r="F120" i="122"/>
  <c r="D120" i="122"/>
  <c r="B120" i="122"/>
  <c r="F119" i="122"/>
  <c r="D119" i="122"/>
  <c r="B119" i="122"/>
  <c r="F118" i="122"/>
  <c r="D118" i="122"/>
  <c r="B118" i="122"/>
  <c r="F117" i="122"/>
  <c r="D117" i="122"/>
  <c r="B117" i="122"/>
  <c r="F116" i="122"/>
  <c r="D116" i="122"/>
  <c r="B116" i="122"/>
  <c r="F115" i="122"/>
  <c r="D115" i="122"/>
  <c r="B115" i="122"/>
  <c r="F114" i="122"/>
  <c r="D114" i="122"/>
  <c r="B114" i="122"/>
  <c r="F113" i="122"/>
  <c r="D113" i="122"/>
  <c r="B113" i="122"/>
  <c r="F112" i="122"/>
  <c r="D112" i="122"/>
  <c r="B112" i="122"/>
  <c r="F111" i="122"/>
  <c r="D111" i="122"/>
  <c r="B111" i="122"/>
  <c r="F108" i="122"/>
  <c r="D108" i="122"/>
  <c r="B108" i="122"/>
  <c r="F107" i="122"/>
  <c r="D107" i="122"/>
  <c r="B107" i="122"/>
  <c r="F106" i="122"/>
  <c r="D106" i="122"/>
  <c r="B106" i="122"/>
  <c r="F105" i="122"/>
  <c r="D105" i="122"/>
  <c r="B105" i="122"/>
  <c r="F104" i="122"/>
  <c r="D104" i="122"/>
  <c r="B104" i="122"/>
  <c r="F103" i="122"/>
  <c r="D103" i="122"/>
  <c r="B103" i="122"/>
  <c r="F102" i="122"/>
  <c r="D102" i="122"/>
  <c r="B102" i="122"/>
  <c r="F101" i="122"/>
  <c r="D101" i="122"/>
  <c r="B101" i="122"/>
  <c r="F100" i="122"/>
  <c r="D100" i="122"/>
  <c r="B100" i="122"/>
  <c r="F99" i="122"/>
  <c r="D99" i="122"/>
  <c r="B99" i="122"/>
  <c r="F98" i="122"/>
  <c r="D98" i="122"/>
  <c r="B98" i="122"/>
  <c r="F97" i="122"/>
  <c r="D97" i="122"/>
  <c r="B97" i="122"/>
  <c r="F96" i="122"/>
  <c r="D96" i="122"/>
  <c r="B96" i="122"/>
  <c r="F95" i="122"/>
  <c r="D95" i="122"/>
  <c r="B95" i="122"/>
  <c r="F94" i="122"/>
  <c r="D94" i="122"/>
  <c r="B94" i="122"/>
  <c r="F93" i="122"/>
  <c r="D93" i="122"/>
  <c r="B93" i="122"/>
  <c r="F92" i="122"/>
  <c r="D92" i="122"/>
  <c r="B92" i="122"/>
  <c r="F91" i="122"/>
  <c r="D91" i="122"/>
  <c r="B91" i="122"/>
  <c r="F90" i="122"/>
  <c r="D90" i="122"/>
  <c r="B90" i="122"/>
  <c r="F89" i="122"/>
  <c r="D89" i="122"/>
  <c r="B89" i="122"/>
  <c r="F88" i="122"/>
  <c r="D88" i="122"/>
  <c r="B88" i="122"/>
  <c r="F87" i="122"/>
  <c r="D87" i="122"/>
  <c r="B87" i="122"/>
  <c r="F86" i="122"/>
  <c r="D86" i="122"/>
  <c r="B86" i="122"/>
  <c r="F85" i="122"/>
  <c r="D85" i="122"/>
  <c r="B85" i="122"/>
  <c r="F84" i="122"/>
  <c r="D84" i="122"/>
  <c r="B84" i="122"/>
  <c r="F83" i="122"/>
  <c r="D83" i="122"/>
  <c r="B83" i="122"/>
  <c r="F82" i="122"/>
  <c r="D82" i="122"/>
  <c r="B82" i="122"/>
  <c r="F81" i="122"/>
  <c r="D81" i="122"/>
  <c r="B81" i="122"/>
  <c r="F80" i="122"/>
  <c r="D80" i="122"/>
  <c r="B80" i="122"/>
  <c r="F79" i="122"/>
  <c r="D79" i="122"/>
  <c r="B79" i="122"/>
  <c r="F78" i="122"/>
  <c r="D78" i="122"/>
  <c r="B78" i="122"/>
  <c r="F77" i="122"/>
  <c r="D77" i="122"/>
  <c r="B77" i="122"/>
  <c r="F76" i="122"/>
  <c r="D76" i="122"/>
  <c r="B76" i="122"/>
  <c r="F75" i="122"/>
  <c r="D75" i="122"/>
  <c r="B75" i="122"/>
  <c r="F74" i="122"/>
  <c r="D74" i="122"/>
  <c r="B74" i="122"/>
  <c r="F73" i="122"/>
  <c r="D73" i="122"/>
  <c r="B73" i="122"/>
  <c r="F72" i="122"/>
  <c r="D72" i="122"/>
  <c r="B72" i="122"/>
  <c r="F71" i="122"/>
  <c r="D71" i="122"/>
  <c r="B71" i="122"/>
  <c r="F70" i="122"/>
  <c r="D70" i="122"/>
  <c r="B70" i="122"/>
  <c r="F69" i="122"/>
  <c r="D69" i="122"/>
  <c r="B69" i="122"/>
  <c r="F68" i="122"/>
  <c r="D68" i="122"/>
  <c r="B68" i="122"/>
  <c r="F67" i="122"/>
  <c r="D67" i="122"/>
  <c r="B67" i="122"/>
  <c r="F66" i="122"/>
  <c r="D66" i="122"/>
  <c r="B66" i="122"/>
  <c r="F65" i="122"/>
  <c r="D65" i="122"/>
  <c r="B65" i="122"/>
  <c r="F64" i="122"/>
  <c r="D64" i="122"/>
  <c r="B64" i="122"/>
  <c r="F63" i="122"/>
  <c r="D63" i="122"/>
  <c r="B63" i="122"/>
  <c r="F62" i="122"/>
  <c r="D62" i="122"/>
  <c r="B62" i="122"/>
  <c r="F61" i="122"/>
  <c r="D61" i="122"/>
  <c r="B61" i="122"/>
  <c r="F60" i="122"/>
  <c r="D60" i="122"/>
  <c r="B60" i="122"/>
  <c r="F57" i="122"/>
  <c r="D57" i="122"/>
  <c r="B57" i="122"/>
  <c r="F56" i="122"/>
  <c r="D56" i="122"/>
  <c r="B56" i="122"/>
  <c r="F55" i="122"/>
  <c r="D55" i="122"/>
  <c r="B55" i="122"/>
  <c r="F54" i="122"/>
  <c r="D54" i="122"/>
  <c r="B54" i="122"/>
  <c r="F53" i="122"/>
  <c r="D53" i="122"/>
  <c r="B53" i="122"/>
  <c r="F52" i="122"/>
  <c r="D52" i="122"/>
  <c r="B52" i="122"/>
  <c r="F51" i="122"/>
  <c r="D51" i="122"/>
  <c r="B51" i="122"/>
  <c r="F50" i="122"/>
  <c r="D50" i="122"/>
  <c r="B50" i="122"/>
  <c r="F49" i="122"/>
  <c r="D49" i="122"/>
  <c r="B49" i="122"/>
  <c r="F48" i="122"/>
  <c r="D48" i="122"/>
  <c r="B48" i="122"/>
  <c r="F47" i="122"/>
  <c r="D47" i="122"/>
  <c r="B47" i="122"/>
  <c r="F46" i="122"/>
  <c r="D46" i="122"/>
  <c r="B46" i="122"/>
  <c r="F45" i="122"/>
  <c r="D45" i="122"/>
  <c r="B45" i="122"/>
  <c r="F44" i="122"/>
  <c r="D44" i="122"/>
  <c r="B44" i="122"/>
  <c r="F43" i="122"/>
  <c r="D43" i="122"/>
  <c r="B43" i="122"/>
  <c r="F42" i="122"/>
  <c r="D42" i="122"/>
  <c r="B42" i="122"/>
  <c r="F41" i="122"/>
  <c r="D41" i="122"/>
  <c r="B41" i="122"/>
  <c r="F40" i="122"/>
  <c r="D40" i="122"/>
  <c r="B40" i="122"/>
  <c r="F39" i="122"/>
  <c r="D39" i="122"/>
  <c r="B39" i="122"/>
  <c r="F38" i="122"/>
  <c r="D38" i="122"/>
  <c r="B38" i="122"/>
  <c r="F37" i="122"/>
  <c r="D37" i="122"/>
  <c r="B37" i="122"/>
  <c r="F36" i="122"/>
  <c r="D36" i="122"/>
  <c r="B36" i="122"/>
  <c r="F35" i="122"/>
  <c r="D35" i="122"/>
  <c r="B35" i="122"/>
  <c r="F34" i="122"/>
  <c r="D34" i="122"/>
  <c r="B34" i="122"/>
  <c r="F33" i="122"/>
  <c r="D33" i="122"/>
  <c r="B33" i="122"/>
  <c r="F32" i="122"/>
  <c r="D32" i="122"/>
  <c r="B32" i="122"/>
  <c r="F31" i="122"/>
  <c r="D31" i="122"/>
  <c r="B31" i="122"/>
  <c r="F30" i="122"/>
  <c r="D30" i="122"/>
  <c r="B30" i="122"/>
  <c r="F29" i="122"/>
  <c r="D29" i="122"/>
  <c r="B29" i="122"/>
  <c r="F28" i="122"/>
  <c r="D28" i="122"/>
  <c r="B28" i="122"/>
  <c r="F27" i="122"/>
  <c r="D27" i="122"/>
  <c r="B27" i="122"/>
  <c r="F26" i="122"/>
  <c r="D26" i="122"/>
  <c r="B26" i="122"/>
  <c r="F25" i="122"/>
  <c r="D25" i="122"/>
  <c r="B25" i="122"/>
  <c r="F24" i="122"/>
  <c r="D24" i="122"/>
  <c r="B24" i="122"/>
  <c r="F23" i="122"/>
  <c r="D23" i="122"/>
  <c r="B23" i="122"/>
  <c r="F22" i="122"/>
  <c r="D22" i="122"/>
  <c r="B22" i="122"/>
  <c r="F21" i="122"/>
  <c r="D21" i="122"/>
  <c r="B21" i="122"/>
  <c r="F20" i="122"/>
  <c r="D20" i="122"/>
  <c r="B20" i="122"/>
  <c r="F19" i="122"/>
  <c r="D19" i="122"/>
  <c r="B19" i="122"/>
  <c r="F18" i="122"/>
  <c r="D18" i="122"/>
  <c r="B18" i="122"/>
  <c r="F17" i="122"/>
  <c r="D17" i="122"/>
  <c r="B17" i="122"/>
  <c r="F16" i="122"/>
  <c r="D16" i="122"/>
  <c r="B16" i="122"/>
  <c r="F15" i="122"/>
  <c r="D15" i="122"/>
  <c r="B15" i="122"/>
  <c r="F14" i="122"/>
  <c r="D14" i="122"/>
  <c r="B14" i="122"/>
  <c r="F13" i="122"/>
  <c r="D13" i="122"/>
  <c r="B13" i="122"/>
  <c r="F12" i="122"/>
  <c r="D12" i="122"/>
  <c r="B12" i="122"/>
  <c r="F11" i="122"/>
  <c r="D11" i="122"/>
  <c r="B11" i="122"/>
  <c r="F10" i="122"/>
  <c r="D10" i="122"/>
  <c r="B10" i="122"/>
  <c r="F9" i="122"/>
  <c r="D9" i="122"/>
  <c r="B9" i="122"/>
  <c r="F312" i="121"/>
  <c r="D312" i="121"/>
  <c r="B312" i="121"/>
  <c r="F311" i="121"/>
  <c r="D311" i="121"/>
  <c r="B311" i="121"/>
  <c r="F310" i="121"/>
  <c r="D310" i="121"/>
  <c r="B310" i="121"/>
  <c r="F309" i="121"/>
  <c r="D309" i="121"/>
  <c r="B309" i="121"/>
  <c r="F308" i="121"/>
  <c r="D308" i="121"/>
  <c r="B308" i="121"/>
  <c r="F307" i="121"/>
  <c r="D307" i="121"/>
  <c r="B307" i="121"/>
  <c r="F306" i="121"/>
  <c r="D306" i="121"/>
  <c r="B306" i="121"/>
  <c r="F305" i="121"/>
  <c r="D305" i="121"/>
  <c r="B305" i="121"/>
  <c r="F304" i="121"/>
  <c r="D304" i="121"/>
  <c r="B304" i="121"/>
  <c r="F303" i="121"/>
  <c r="D303" i="121"/>
  <c r="B303" i="121"/>
  <c r="F302" i="121"/>
  <c r="D302" i="121"/>
  <c r="B302" i="121"/>
  <c r="F301" i="121"/>
  <c r="D301" i="121"/>
  <c r="B301" i="121"/>
  <c r="F300" i="121"/>
  <c r="D300" i="121"/>
  <c r="B300" i="121"/>
  <c r="F299" i="121"/>
  <c r="D299" i="121"/>
  <c r="B299" i="121"/>
  <c r="F298" i="121"/>
  <c r="D298" i="121"/>
  <c r="B298" i="121"/>
  <c r="F297" i="121"/>
  <c r="D297" i="121"/>
  <c r="B297" i="121"/>
  <c r="F296" i="121"/>
  <c r="D296" i="121"/>
  <c r="B296" i="121"/>
  <c r="F295" i="121"/>
  <c r="D295" i="121"/>
  <c r="B295" i="121"/>
  <c r="F294" i="121"/>
  <c r="D294" i="121"/>
  <c r="B294" i="121"/>
  <c r="F293" i="121"/>
  <c r="D293" i="121"/>
  <c r="B293" i="121"/>
  <c r="F292" i="121"/>
  <c r="D292" i="121"/>
  <c r="B292" i="121"/>
  <c r="F291" i="121"/>
  <c r="D291" i="121"/>
  <c r="B291" i="121"/>
  <c r="F290" i="121"/>
  <c r="D290" i="121"/>
  <c r="B290" i="121"/>
  <c r="F289" i="121"/>
  <c r="D289" i="121"/>
  <c r="B289" i="121"/>
  <c r="F288" i="121"/>
  <c r="D288" i="121"/>
  <c r="B288" i="121"/>
  <c r="F287" i="121"/>
  <c r="D287" i="121"/>
  <c r="B287" i="121"/>
  <c r="F286" i="121"/>
  <c r="D286" i="121"/>
  <c r="B286" i="121"/>
  <c r="F285" i="121"/>
  <c r="D285" i="121"/>
  <c r="B285" i="121"/>
  <c r="F284" i="121"/>
  <c r="D284" i="121"/>
  <c r="B284" i="121"/>
  <c r="F283" i="121"/>
  <c r="D283" i="121"/>
  <c r="B283" i="121"/>
  <c r="F282" i="121"/>
  <c r="D282" i="121"/>
  <c r="B282" i="121"/>
  <c r="F281" i="121"/>
  <c r="D281" i="121"/>
  <c r="B281" i="121"/>
  <c r="F280" i="121"/>
  <c r="D280" i="121"/>
  <c r="B280" i="121"/>
  <c r="F279" i="121"/>
  <c r="D279" i="121"/>
  <c r="B279" i="121"/>
  <c r="F278" i="121"/>
  <c r="D278" i="121"/>
  <c r="B278" i="121"/>
  <c r="F277" i="121"/>
  <c r="D277" i="121"/>
  <c r="B277" i="121"/>
  <c r="F276" i="121"/>
  <c r="D276" i="121"/>
  <c r="B276" i="121"/>
  <c r="F275" i="121"/>
  <c r="D275" i="121"/>
  <c r="B275" i="121"/>
  <c r="F274" i="121"/>
  <c r="D274" i="121"/>
  <c r="B274" i="121"/>
  <c r="F273" i="121"/>
  <c r="D273" i="121"/>
  <c r="B273" i="121"/>
  <c r="F272" i="121"/>
  <c r="D272" i="121"/>
  <c r="B272" i="121"/>
  <c r="F271" i="121"/>
  <c r="D271" i="121"/>
  <c r="B271" i="121"/>
  <c r="F270" i="121"/>
  <c r="D270" i="121"/>
  <c r="B270" i="121"/>
  <c r="F269" i="121"/>
  <c r="D269" i="121"/>
  <c r="B269" i="121"/>
  <c r="F268" i="121"/>
  <c r="D268" i="121"/>
  <c r="B268" i="121"/>
  <c r="F267" i="121"/>
  <c r="D267" i="121"/>
  <c r="B267" i="121"/>
  <c r="F266" i="121"/>
  <c r="D266" i="121"/>
  <c r="B266" i="121"/>
  <c r="F265" i="121"/>
  <c r="D265" i="121"/>
  <c r="B265" i="121"/>
  <c r="F264" i="121"/>
  <c r="D264" i="121"/>
  <c r="B264" i="121"/>
  <c r="F261" i="121"/>
  <c r="D261" i="121"/>
  <c r="B261" i="121"/>
  <c r="F260" i="121"/>
  <c r="D260" i="121"/>
  <c r="B260" i="121"/>
  <c r="F259" i="121"/>
  <c r="D259" i="121"/>
  <c r="B259" i="121"/>
  <c r="F258" i="121"/>
  <c r="D258" i="121"/>
  <c r="B258" i="121"/>
  <c r="F257" i="121"/>
  <c r="D257" i="121"/>
  <c r="B257" i="121"/>
  <c r="F256" i="121"/>
  <c r="D256" i="121"/>
  <c r="B256" i="121"/>
  <c r="F255" i="121"/>
  <c r="D255" i="121"/>
  <c r="B255" i="121"/>
  <c r="F254" i="121"/>
  <c r="D254" i="121"/>
  <c r="B254" i="121"/>
  <c r="F253" i="121"/>
  <c r="D253" i="121"/>
  <c r="B253" i="121"/>
  <c r="F252" i="121"/>
  <c r="D252" i="121"/>
  <c r="B252" i="121"/>
  <c r="F251" i="121"/>
  <c r="D251" i="121"/>
  <c r="B251" i="121"/>
  <c r="F250" i="121"/>
  <c r="D250" i="121"/>
  <c r="B250" i="121"/>
  <c r="F249" i="121"/>
  <c r="D249" i="121"/>
  <c r="B249" i="121"/>
  <c r="F248" i="121"/>
  <c r="D248" i="121"/>
  <c r="B248" i="121"/>
  <c r="F247" i="121"/>
  <c r="D247" i="121"/>
  <c r="B247" i="121"/>
  <c r="F246" i="121"/>
  <c r="D246" i="121"/>
  <c r="B246" i="121"/>
  <c r="F245" i="121"/>
  <c r="D245" i="121"/>
  <c r="B245" i="121"/>
  <c r="F244" i="121"/>
  <c r="D244" i="121"/>
  <c r="B244" i="121"/>
  <c r="F243" i="121"/>
  <c r="D243" i="121"/>
  <c r="B243" i="121"/>
  <c r="F242" i="121"/>
  <c r="D242" i="121"/>
  <c r="B242" i="121"/>
  <c r="F241" i="121"/>
  <c r="D241" i="121"/>
  <c r="B241" i="121"/>
  <c r="F240" i="121"/>
  <c r="D240" i="121"/>
  <c r="B240" i="121"/>
  <c r="F239" i="121"/>
  <c r="D239" i="121"/>
  <c r="B239" i="121"/>
  <c r="F238" i="121"/>
  <c r="D238" i="121"/>
  <c r="B238" i="121"/>
  <c r="F237" i="121"/>
  <c r="D237" i="121"/>
  <c r="B237" i="121"/>
  <c r="F236" i="121"/>
  <c r="D236" i="121"/>
  <c r="B236" i="121"/>
  <c r="F235" i="121"/>
  <c r="D235" i="121"/>
  <c r="B235" i="121"/>
  <c r="F234" i="121"/>
  <c r="D234" i="121"/>
  <c r="B234" i="121"/>
  <c r="F233" i="121"/>
  <c r="D233" i="121"/>
  <c r="B233" i="121"/>
  <c r="F232" i="121"/>
  <c r="D232" i="121"/>
  <c r="B232" i="121"/>
  <c r="F231" i="121"/>
  <c r="D231" i="121"/>
  <c r="B231" i="121"/>
  <c r="F230" i="121"/>
  <c r="D230" i="121"/>
  <c r="B230" i="121"/>
  <c r="F229" i="121"/>
  <c r="D229" i="121"/>
  <c r="B229" i="121"/>
  <c r="F228" i="121"/>
  <c r="D228" i="121"/>
  <c r="B228" i="121"/>
  <c r="F227" i="121"/>
  <c r="D227" i="121"/>
  <c r="B227" i="121"/>
  <c r="F226" i="121"/>
  <c r="D226" i="121"/>
  <c r="B226" i="121"/>
  <c r="F225" i="121"/>
  <c r="D225" i="121"/>
  <c r="B225" i="121"/>
  <c r="F224" i="121"/>
  <c r="D224" i="121"/>
  <c r="B224" i="121"/>
  <c r="F223" i="121"/>
  <c r="D223" i="121"/>
  <c r="B223" i="121"/>
  <c r="F222" i="121"/>
  <c r="D222" i="121"/>
  <c r="B222" i="121"/>
  <c r="F221" i="121"/>
  <c r="D221" i="121"/>
  <c r="B221" i="121"/>
  <c r="F220" i="121"/>
  <c r="D220" i="121"/>
  <c r="B220" i="121"/>
  <c r="F219" i="121"/>
  <c r="D219" i="121"/>
  <c r="B219" i="121"/>
  <c r="F218" i="121"/>
  <c r="D218" i="121"/>
  <c r="B218" i="121"/>
  <c r="F217" i="121"/>
  <c r="D217" i="121"/>
  <c r="B217" i="121"/>
  <c r="F216" i="121"/>
  <c r="D216" i="121"/>
  <c r="B216" i="121"/>
  <c r="F215" i="121"/>
  <c r="D215" i="121"/>
  <c r="B215" i="121"/>
  <c r="F214" i="121"/>
  <c r="D214" i="121"/>
  <c r="B214" i="121"/>
  <c r="F213" i="121"/>
  <c r="D213" i="121"/>
  <c r="B213" i="121"/>
  <c r="F210" i="121"/>
  <c r="D210" i="121"/>
  <c r="B210" i="121"/>
  <c r="F209" i="121"/>
  <c r="D209" i="121"/>
  <c r="B209" i="121"/>
  <c r="F208" i="121"/>
  <c r="D208" i="121"/>
  <c r="B208" i="121"/>
  <c r="F207" i="121"/>
  <c r="D207" i="121"/>
  <c r="B207" i="121"/>
  <c r="F206" i="121"/>
  <c r="D206" i="121"/>
  <c r="B206" i="121"/>
  <c r="F205" i="121"/>
  <c r="D205" i="121"/>
  <c r="B205" i="121"/>
  <c r="F204" i="121"/>
  <c r="D204" i="121"/>
  <c r="B204" i="121"/>
  <c r="F203" i="121"/>
  <c r="D203" i="121"/>
  <c r="B203" i="121"/>
  <c r="F202" i="121"/>
  <c r="D202" i="121"/>
  <c r="B202" i="121"/>
  <c r="F201" i="121"/>
  <c r="D201" i="121"/>
  <c r="B201" i="121"/>
  <c r="F200" i="121"/>
  <c r="D200" i="121"/>
  <c r="B200" i="121"/>
  <c r="F199" i="121"/>
  <c r="D199" i="121"/>
  <c r="B199" i="121"/>
  <c r="F198" i="121"/>
  <c r="D198" i="121"/>
  <c r="B198" i="121"/>
  <c r="F197" i="121"/>
  <c r="D197" i="121"/>
  <c r="B197" i="121"/>
  <c r="F196" i="121"/>
  <c r="D196" i="121"/>
  <c r="B196" i="121"/>
  <c r="F195" i="121"/>
  <c r="D195" i="121"/>
  <c r="B195" i="121"/>
  <c r="F194" i="121"/>
  <c r="D194" i="121"/>
  <c r="B194" i="121"/>
  <c r="F193" i="121"/>
  <c r="D193" i="121"/>
  <c r="B193" i="121"/>
  <c r="F192" i="121"/>
  <c r="D192" i="121"/>
  <c r="B192" i="121"/>
  <c r="F191" i="121"/>
  <c r="D191" i="121"/>
  <c r="B191" i="121"/>
  <c r="F190" i="121"/>
  <c r="D190" i="121"/>
  <c r="B190" i="121"/>
  <c r="F189" i="121"/>
  <c r="D189" i="121"/>
  <c r="B189" i="121"/>
  <c r="F188" i="121"/>
  <c r="D188" i="121"/>
  <c r="B188" i="121"/>
  <c r="F187" i="121"/>
  <c r="D187" i="121"/>
  <c r="B187" i="121"/>
  <c r="F186" i="121"/>
  <c r="D186" i="121"/>
  <c r="B186" i="121"/>
  <c r="F185" i="121"/>
  <c r="D185" i="121"/>
  <c r="B185" i="121"/>
  <c r="F184" i="121"/>
  <c r="D184" i="121"/>
  <c r="B184" i="121"/>
  <c r="F183" i="121"/>
  <c r="D183" i="121"/>
  <c r="B183" i="121"/>
  <c r="F182" i="121"/>
  <c r="D182" i="121"/>
  <c r="B182" i="121"/>
  <c r="F181" i="121"/>
  <c r="D181" i="121"/>
  <c r="B181" i="121"/>
  <c r="F180" i="121"/>
  <c r="D180" i="121"/>
  <c r="B180" i="121"/>
  <c r="F179" i="121"/>
  <c r="D179" i="121"/>
  <c r="B179" i="121"/>
  <c r="F178" i="121"/>
  <c r="D178" i="121"/>
  <c r="B178" i="121"/>
  <c r="F177" i="121"/>
  <c r="D177" i="121"/>
  <c r="B177" i="121"/>
  <c r="F176" i="121"/>
  <c r="D176" i="121"/>
  <c r="B176" i="121"/>
  <c r="F175" i="121"/>
  <c r="D175" i="121"/>
  <c r="B175" i="121"/>
  <c r="F174" i="121"/>
  <c r="D174" i="121"/>
  <c r="B174" i="121"/>
  <c r="F173" i="121"/>
  <c r="D173" i="121"/>
  <c r="B173" i="121"/>
  <c r="F172" i="121"/>
  <c r="D172" i="121"/>
  <c r="B172" i="121"/>
  <c r="F171" i="121"/>
  <c r="D171" i="121"/>
  <c r="B171" i="121"/>
  <c r="F170" i="121"/>
  <c r="D170" i="121"/>
  <c r="B170" i="121"/>
  <c r="F169" i="121"/>
  <c r="D169" i="121"/>
  <c r="B169" i="121"/>
  <c r="F168" i="121"/>
  <c r="D168" i="121"/>
  <c r="B168" i="121"/>
  <c r="F167" i="121"/>
  <c r="D167" i="121"/>
  <c r="B167" i="121"/>
  <c r="F166" i="121"/>
  <c r="D166" i="121"/>
  <c r="B166" i="121"/>
  <c r="F165" i="121"/>
  <c r="D165" i="121"/>
  <c r="B165" i="121"/>
  <c r="F164" i="121"/>
  <c r="D164" i="121"/>
  <c r="B164" i="121"/>
  <c r="F163" i="121"/>
  <c r="D163" i="121"/>
  <c r="B163" i="121"/>
  <c r="F162" i="121"/>
  <c r="D162" i="121"/>
  <c r="B162" i="121"/>
  <c r="F159" i="121"/>
  <c r="D159" i="121"/>
  <c r="B159" i="121"/>
  <c r="F158" i="121"/>
  <c r="D158" i="121"/>
  <c r="B158" i="121"/>
  <c r="F157" i="121"/>
  <c r="D157" i="121"/>
  <c r="B157" i="121"/>
  <c r="F156" i="121"/>
  <c r="D156" i="121"/>
  <c r="B156" i="121"/>
  <c r="F155" i="121"/>
  <c r="D155" i="121"/>
  <c r="B155" i="121"/>
  <c r="F154" i="121"/>
  <c r="D154" i="121"/>
  <c r="B154" i="121"/>
  <c r="F153" i="121"/>
  <c r="D153" i="121"/>
  <c r="B153" i="121"/>
  <c r="F152" i="121"/>
  <c r="D152" i="121"/>
  <c r="B152" i="121"/>
  <c r="F151" i="121"/>
  <c r="D151" i="121"/>
  <c r="B151" i="121"/>
  <c r="F150" i="121"/>
  <c r="D150" i="121"/>
  <c r="B150" i="121"/>
  <c r="F149" i="121"/>
  <c r="D149" i="121"/>
  <c r="B149" i="121"/>
  <c r="F148" i="121"/>
  <c r="D148" i="121"/>
  <c r="B148" i="121"/>
  <c r="F147" i="121"/>
  <c r="D147" i="121"/>
  <c r="B147" i="121"/>
  <c r="F146" i="121"/>
  <c r="D146" i="121"/>
  <c r="B146" i="121"/>
  <c r="F145" i="121"/>
  <c r="D145" i="121"/>
  <c r="B145" i="121"/>
  <c r="F144" i="121"/>
  <c r="D144" i="121"/>
  <c r="B144" i="121"/>
  <c r="F143" i="121"/>
  <c r="D143" i="121"/>
  <c r="B143" i="121"/>
  <c r="F142" i="121"/>
  <c r="D142" i="121"/>
  <c r="B142" i="121"/>
  <c r="F141" i="121"/>
  <c r="D141" i="121"/>
  <c r="B141" i="121"/>
  <c r="F140" i="121"/>
  <c r="D140" i="121"/>
  <c r="B140" i="121"/>
  <c r="F139" i="121"/>
  <c r="D139" i="121"/>
  <c r="B139" i="121"/>
  <c r="F138" i="121"/>
  <c r="D138" i="121"/>
  <c r="B138" i="121"/>
  <c r="F137" i="121"/>
  <c r="D137" i="121"/>
  <c r="B137" i="121"/>
  <c r="F136" i="121"/>
  <c r="D136" i="121"/>
  <c r="B136" i="121"/>
  <c r="F135" i="121"/>
  <c r="D135" i="121"/>
  <c r="B135" i="121"/>
  <c r="F134" i="121"/>
  <c r="D134" i="121"/>
  <c r="B134" i="121"/>
  <c r="F133" i="121"/>
  <c r="D133" i="121"/>
  <c r="B133" i="121"/>
  <c r="F132" i="121"/>
  <c r="D132" i="121"/>
  <c r="B132" i="121"/>
  <c r="F131" i="121"/>
  <c r="D131" i="121"/>
  <c r="B131" i="121"/>
  <c r="F130" i="121"/>
  <c r="D130" i="121"/>
  <c r="B130" i="121"/>
  <c r="F129" i="121"/>
  <c r="D129" i="121"/>
  <c r="B129" i="121"/>
  <c r="F128" i="121"/>
  <c r="D128" i="121"/>
  <c r="B128" i="121"/>
  <c r="F127" i="121"/>
  <c r="D127" i="121"/>
  <c r="B127" i="121"/>
  <c r="F126" i="121"/>
  <c r="D126" i="121"/>
  <c r="B126" i="121"/>
  <c r="F125" i="121"/>
  <c r="D125" i="121"/>
  <c r="B125" i="121"/>
  <c r="F124" i="121"/>
  <c r="D124" i="121"/>
  <c r="B124" i="121"/>
  <c r="F123" i="121"/>
  <c r="D123" i="121"/>
  <c r="B123" i="121"/>
  <c r="F122" i="121"/>
  <c r="D122" i="121"/>
  <c r="B122" i="121"/>
  <c r="F121" i="121"/>
  <c r="D121" i="121"/>
  <c r="B121" i="121"/>
  <c r="F120" i="121"/>
  <c r="D120" i="121"/>
  <c r="B120" i="121"/>
  <c r="F119" i="121"/>
  <c r="D119" i="121"/>
  <c r="B119" i="121"/>
  <c r="F118" i="121"/>
  <c r="D118" i="121"/>
  <c r="B118" i="121"/>
  <c r="F117" i="121"/>
  <c r="D117" i="121"/>
  <c r="B117" i="121"/>
  <c r="F116" i="121"/>
  <c r="D116" i="121"/>
  <c r="B116" i="121"/>
  <c r="F115" i="121"/>
  <c r="D115" i="121"/>
  <c r="B115" i="121"/>
  <c r="F114" i="121"/>
  <c r="D114" i="121"/>
  <c r="B114" i="121"/>
  <c r="F113" i="121"/>
  <c r="D113" i="121"/>
  <c r="B113" i="121"/>
  <c r="F112" i="121"/>
  <c r="D112" i="121"/>
  <c r="B112" i="121"/>
  <c r="F111" i="121"/>
  <c r="D111" i="121"/>
  <c r="B111" i="121"/>
  <c r="F108" i="121"/>
  <c r="D108" i="121"/>
  <c r="B108" i="121"/>
  <c r="F107" i="121"/>
  <c r="D107" i="121"/>
  <c r="B107" i="121"/>
  <c r="F106" i="121"/>
  <c r="D106" i="121"/>
  <c r="B106" i="121"/>
  <c r="F105" i="121"/>
  <c r="D105" i="121"/>
  <c r="B105" i="121"/>
  <c r="F104" i="121"/>
  <c r="D104" i="121"/>
  <c r="B104" i="121"/>
  <c r="F103" i="121"/>
  <c r="D103" i="121"/>
  <c r="B103" i="121"/>
  <c r="F102" i="121"/>
  <c r="D102" i="121"/>
  <c r="B102" i="121"/>
  <c r="F101" i="121"/>
  <c r="D101" i="121"/>
  <c r="B101" i="121"/>
  <c r="F100" i="121"/>
  <c r="D100" i="121"/>
  <c r="B100" i="121"/>
  <c r="F99" i="121"/>
  <c r="D99" i="121"/>
  <c r="B99" i="121"/>
  <c r="F98" i="121"/>
  <c r="D98" i="121"/>
  <c r="B98" i="121"/>
  <c r="F97" i="121"/>
  <c r="D97" i="121"/>
  <c r="B97" i="121"/>
  <c r="F96" i="121"/>
  <c r="D96" i="121"/>
  <c r="B96" i="121"/>
  <c r="F95" i="121"/>
  <c r="D95" i="121"/>
  <c r="B95" i="121"/>
  <c r="F94" i="121"/>
  <c r="D94" i="121"/>
  <c r="B94" i="121"/>
  <c r="F93" i="121"/>
  <c r="D93" i="121"/>
  <c r="B93" i="121"/>
  <c r="F92" i="121"/>
  <c r="D92" i="121"/>
  <c r="B92" i="121"/>
  <c r="F91" i="121"/>
  <c r="D91" i="121"/>
  <c r="B91" i="121"/>
  <c r="F90" i="121"/>
  <c r="D90" i="121"/>
  <c r="B90" i="121"/>
  <c r="F89" i="121"/>
  <c r="D89" i="121"/>
  <c r="B89" i="121"/>
  <c r="F88" i="121"/>
  <c r="D88" i="121"/>
  <c r="B88" i="121"/>
  <c r="F87" i="121"/>
  <c r="D87" i="121"/>
  <c r="B87" i="121"/>
  <c r="F86" i="121"/>
  <c r="D86" i="121"/>
  <c r="B86" i="121"/>
  <c r="F85" i="121"/>
  <c r="D85" i="121"/>
  <c r="B85" i="121"/>
  <c r="F84" i="121"/>
  <c r="D84" i="121"/>
  <c r="B84" i="121"/>
  <c r="F83" i="121"/>
  <c r="D83" i="121"/>
  <c r="B83" i="121"/>
  <c r="F82" i="121"/>
  <c r="D82" i="121"/>
  <c r="B82" i="121"/>
  <c r="F81" i="121"/>
  <c r="D81" i="121"/>
  <c r="B81" i="121"/>
  <c r="F80" i="121"/>
  <c r="D80" i="121"/>
  <c r="B80" i="121"/>
  <c r="F79" i="121"/>
  <c r="D79" i="121"/>
  <c r="B79" i="121"/>
  <c r="F78" i="121"/>
  <c r="D78" i="121"/>
  <c r="B78" i="121"/>
  <c r="F77" i="121"/>
  <c r="D77" i="121"/>
  <c r="B77" i="121"/>
  <c r="F76" i="121"/>
  <c r="D76" i="121"/>
  <c r="B76" i="121"/>
  <c r="F75" i="121"/>
  <c r="D75" i="121"/>
  <c r="B75" i="121"/>
  <c r="F74" i="121"/>
  <c r="D74" i="121"/>
  <c r="B74" i="121"/>
  <c r="F73" i="121"/>
  <c r="D73" i="121"/>
  <c r="B73" i="121"/>
  <c r="F72" i="121"/>
  <c r="D72" i="121"/>
  <c r="B72" i="121"/>
  <c r="F71" i="121"/>
  <c r="D71" i="121"/>
  <c r="B71" i="121"/>
  <c r="F70" i="121"/>
  <c r="D70" i="121"/>
  <c r="B70" i="121"/>
  <c r="F69" i="121"/>
  <c r="D69" i="121"/>
  <c r="B69" i="121"/>
  <c r="F68" i="121"/>
  <c r="D68" i="121"/>
  <c r="B68" i="121"/>
  <c r="F67" i="121"/>
  <c r="D67" i="121"/>
  <c r="B67" i="121"/>
  <c r="F66" i="121"/>
  <c r="D66" i="121"/>
  <c r="B66" i="121"/>
  <c r="F65" i="121"/>
  <c r="D65" i="121"/>
  <c r="B65" i="121"/>
  <c r="F64" i="121"/>
  <c r="D64" i="121"/>
  <c r="B64" i="121"/>
  <c r="F63" i="121"/>
  <c r="D63" i="121"/>
  <c r="B63" i="121"/>
  <c r="F62" i="121"/>
  <c r="D62" i="121"/>
  <c r="B62" i="121"/>
  <c r="F61" i="121"/>
  <c r="D61" i="121"/>
  <c r="B61" i="121"/>
  <c r="F60" i="121"/>
  <c r="D60" i="121"/>
  <c r="B60" i="121"/>
  <c r="F57" i="121"/>
  <c r="D57" i="121"/>
  <c r="B57" i="121"/>
  <c r="F56" i="121"/>
  <c r="D56" i="121"/>
  <c r="B56" i="121"/>
  <c r="F55" i="121"/>
  <c r="D55" i="121"/>
  <c r="B55" i="121"/>
  <c r="F54" i="121"/>
  <c r="D54" i="121"/>
  <c r="B54" i="121"/>
  <c r="F53" i="121"/>
  <c r="D53" i="121"/>
  <c r="B53" i="121"/>
  <c r="F52" i="121"/>
  <c r="D52" i="121"/>
  <c r="B52" i="121"/>
  <c r="F51" i="121"/>
  <c r="D51" i="121"/>
  <c r="B51" i="121"/>
  <c r="F50" i="121"/>
  <c r="D50" i="121"/>
  <c r="B50" i="121"/>
  <c r="F49" i="121"/>
  <c r="D49" i="121"/>
  <c r="B49" i="121"/>
  <c r="F48" i="121"/>
  <c r="D48" i="121"/>
  <c r="B48" i="121"/>
  <c r="F47" i="121"/>
  <c r="D47" i="121"/>
  <c r="B47" i="121"/>
  <c r="F46" i="121"/>
  <c r="D46" i="121"/>
  <c r="B46" i="121"/>
  <c r="F45" i="121"/>
  <c r="D45" i="121"/>
  <c r="B45" i="121"/>
  <c r="F44" i="121"/>
  <c r="D44" i="121"/>
  <c r="B44" i="121"/>
  <c r="F43" i="121"/>
  <c r="D43" i="121"/>
  <c r="B43" i="121"/>
  <c r="F42" i="121"/>
  <c r="D42" i="121"/>
  <c r="B42" i="121"/>
  <c r="F41" i="121"/>
  <c r="D41" i="121"/>
  <c r="B41" i="121"/>
  <c r="F40" i="121"/>
  <c r="D40" i="121"/>
  <c r="B40" i="121"/>
  <c r="F39" i="121"/>
  <c r="D39" i="121"/>
  <c r="B39" i="121"/>
  <c r="F38" i="121"/>
  <c r="D38" i="121"/>
  <c r="B38" i="121"/>
  <c r="F37" i="121"/>
  <c r="D37" i="121"/>
  <c r="B37" i="121"/>
  <c r="F36" i="121"/>
  <c r="D36" i="121"/>
  <c r="B36" i="121"/>
  <c r="F35" i="121"/>
  <c r="D35" i="121"/>
  <c r="B35" i="121"/>
  <c r="F34" i="121"/>
  <c r="D34" i="121"/>
  <c r="B34" i="121"/>
  <c r="F33" i="121"/>
  <c r="D33" i="121"/>
  <c r="B33" i="121"/>
  <c r="F32" i="121"/>
  <c r="D32" i="121"/>
  <c r="B32" i="121"/>
  <c r="F31" i="121"/>
  <c r="D31" i="121"/>
  <c r="B31" i="121"/>
  <c r="F30" i="121"/>
  <c r="D30" i="121"/>
  <c r="B30" i="121"/>
  <c r="F29" i="121"/>
  <c r="D29" i="121"/>
  <c r="B29" i="121"/>
  <c r="F28" i="121"/>
  <c r="D28" i="121"/>
  <c r="B28" i="121"/>
  <c r="F27" i="121"/>
  <c r="D27" i="121"/>
  <c r="B27" i="121"/>
  <c r="F26" i="121"/>
  <c r="D26" i="121"/>
  <c r="B26" i="121"/>
  <c r="F25" i="121"/>
  <c r="D25" i="121"/>
  <c r="B25" i="121"/>
  <c r="F24" i="121"/>
  <c r="D24" i="121"/>
  <c r="B24" i="121"/>
  <c r="F23" i="121"/>
  <c r="D23" i="121"/>
  <c r="B23" i="121"/>
  <c r="F22" i="121"/>
  <c r="D22" i="121"/>
  <c r="B22" i="121"/>
  <c r="F21" i="121"/>
  <c r="D21" i="121"/>
  <c r="B21" i="121"/>
  <c r="F20" i="121"/>
  <c r="D20" i="121"/>
  <c r="B20" i="121"/>
  <c r="F19" i="121"/>
  <c r="D19" i="121"/>
  <c r="B19" i="121"/>
  <c r="F18" i="121"/>
  <c r="D18" i="121"/>
  <c r="B18" i="121"/>
  <c r="F17" i="121"/>
  <c r="D17" i="121"/>
  <c r="B17" i="121"/>
  <c r="F16" i="121"/>
  <c r="D16" i="121"/>
  <c r="B16" i="121"/>
  <c r="F15" i="121"/>
  <c r="D15" i="121"/>
  <c r="B15" i="121"/>
  <c r="F14" i="121"/>
  <c r="D14" i="121"/>
  <c r="B14" i="121"/>
  <c r="F13" i="121"/>
  <c r="D13" i="121"/>
  <c r="B13" i="121"/>
  <c r="F12" i="121"/>
  <c r="D12" i="121"/>
  <c r="B12" i="121"/>
  <c r="F11" i="121"/>
  <c r="D11" i="121"/>
  <c r="B11" i="121"/>
  <c r="F10" i="121"/>
  <c r="D10" i="121"/>
  <c r="B10" i="121"/>
  <c r="F9" i="121"/>
  <c r="D9" i="121"/>
  <c r="B9" i="121"/>
  <c r="F312" i="120"/>
  <c r="D312" i="120"/>
  <c r="B312" i="120"/>
  <c r="F311" i="120"/>
  <c r="D311" i="120"/>
  <c r="B311" i="120"/>
  <c r="F310" i="120"/>
  <c r="D310" i="120"/>
  <c r="B310" i="120"/>
  <c r="F309" i="120"/>
  <c r="D309" i="120"/>
  <c r="B309" i="120"/>
  <c r="F308" i="120"/>
  <c r="D308" i="120"/>
  <c r="B308" i="120"/>
  <c r="F307" i="120"/>
  <c r="D307" i="120"/>
  <c r="B307" i="120"/>
  <c r="F306" i="120"/>
  <c r="D306" i="120"/>
  <c r="B306" i="120"/>
  <c r="F305" i="120"/>
  <c r="D305" i="120"/>
  <c r="B305" i="120"/>
  <c r="F304" i="120"/>
  <c r="D304" i="120"/>
  <c r="B304" i="120"/>
  <c r="F303" i="120"/>
  <c r="D303" i="120"/>
  <c r="B303" i="120"/>
  <c r="F302" i="120"/>
  <c r="D302" i="120"/>
  <c r="B302" i="120"/>
  <c r="F301" i="120"/>
  <c r="D301" i="120"/>
  <c r="B301" i="120"/>
  <c r="F300" i="120"/>
  <c r="D300" i="120"/>
  <c r="B300" i="120"/>
  <c r="F299" i="120"/>
  <c r="D299" i="120"/>
  <c r="B299" i="120"/>
  <c r="F298" i="120"/>
  <c r="D298" i="120"/>
  <c r="B298" i="120"/>
  <c r="F297" i="120"/>
  <c r="D297" i="120"/>
  <c r="B297" i="120"/>
  <c r="F296" i="120"/>
  <c r="D296" i="120"/>
  <c r="B296" i="120"/>
  <c r="F295" i="120"/>
  <c r="D295" i="120"/>
  <c r="B295" i="120"/>
  <c r="F294" i="120"/>
  <c r="D294" i="120"/>
  <c r="B294" i="120"/>
  <c r="F293" i="120"/>
  <c r="D293" i="120"/>
  <c r="B293" i="120"/>
  <c r="F292" i="120"/>
  <c r="D292" i="120"/>
  <c r="B292" i="120"/>
  <c r="F291" i="120"/>
  <c r="D291" i="120"/>
  <c r="B291" i="120"/>
  <c r="F290" i="120"/>
  <c r="D290" i="120"/>
  <c r="B290" i="120"/>
  <c r="F289" i="120"/>
  <c r="D289" i="120"/>
  <c r="B289" i="120"/>
  <c r="F288" i="120"/>
  <c r="D288" i="120"/>
  <c r="B288" i="120"/>
  <c r="F287" i="120"/>
  <c r="D287" i="120"/>
  <c r="B287" i="120"/>
  <c r="F286" i="120"/>
  <c r="D286" i="120"/>
  <c r="B286" i="120"/>
  <c r="F285" i="120"/>
  <c r="D285" i="120"/>
  <c r="B285" i="120"/>
  <c r="F284" i="120"/>
  <c r="D284" i="120"/>
  <c r="B284" i="120"/>
  <c r="F283" i="120"/>
  <c r="D283" i="120"/>
  <c r="B283" i="120"/>
  <c r="F282" i="120"/>
  <c r="D282" i="120"/>
  <c r="B282" i="120"/>
  <c r="F281" i="120"/>
  <c r="D281" i="120"/>
  <c r="B281" i="120"/>
  <c r="F280" i="120"/>
  <c r="D280" i="120"/>
  <c r="B280" i="120"/>
  <c r="F279" i="120"/>
  <c r="D279" i="120"/>
  <c r="B279" i="120"/>
  <c r="F278" i="120"/>
  <c r="D278" i="120"/>
  <c r="B278" i="120"/>
  <c r="F277" i="120"/>
  <c r="D277" i="120"/>
  <c r="B277" i="120"/>
  <c r="F276" i="120"/>
  <c r="D276" i="120"/>
  <c r="B276" i="120"/>
  <c r="F275" i="120"/>
  <c r="D275" i="120"/>
  <c r="B275" i="120"/>
  <c r="F274" i="120"/>
  <c r="D274" i="120"/>
  <c r="B274" i="120"/>
  <c r="F273" i="120"/>
  <c r="D273" i="120"/>
  <c r="B273" i="120"/>
  <c r="F272" i="120"/>
  <c r="D272" i="120"/>
  <c r="B272" i="120"/>
  <c r="F271" i="120"/>
  <c r="D271" i="120"/>
  <c r="B271" i="120"/>
  <c r="F270" i="120"/>
  <c r="D270" i="120"/>
  <c r="B270" i="120"/>
  <c r="F269" i="120"/>
  <c r="D269" i="120"/>
  <c r="B269" i="120"/>
  <c r="F268" i="120"/>
  <c r="D268" i="120"/>
  <c r="B268" i="120"/>
  <c r="F267" i="120"/>
  <c r="D267" i="120"/>
  <c r="B267" i="120"/>
  <c r="F266" i="120"/>
  <c r="D266" i="120"/>
  <c r="B266" i="120"/>
  <c r="F265" i="120"/>
  <c r="D265" i="120"/>
  <c r="B265" i="120"/>
  <c r="F264" i="120"/>
  <c r="D264" i="120"/>
  <c r="B264" i="120"/>
  <c r="F261" i="120"/>
  <c r="D261" i="120"/>
  <c r="B261" i="120"/>
  <c r="F260" i="120"/>
  <c r="D260" i="120"/>
  <c r="B260" i="120"/>
  <c r="F259" i="120"/>
  <c r="D259" i="120"/>
  <c r="B259" i="120"/>
  <c r="F258" i="120"/>
  <c r="D258" i="120"/>
  <c r="B258" i="120"/>
  <c r="F257" i="120"/>
  <c r="D257" i="120"/>
  <c r="B257" i="120"/>
  <c r="F256" i="120"/>
  <c r="D256" i="120"/>
  <c r="B256" i="120"/>
  <c r="F255" i="120"/>
  <c r="D255" i="120"/>
  <c r="B255" i="120"/>
  <c r="F254" i="120"/>
  <c r="D254" i="120"/>
  <c r="B254" i="120"/>
  <c r="F253" i="120"/>
  <c r="D253" i="120"/>
  <c r="B253" i="120"/>
  <c r="F252" i="120"/>
  <c r="D252" i="120"/>
  <c r="B252" i="120"/>
  <c r="F251" i="120"/>
  <c r="D251" i="120"/>
  <c r="B251" i="120"/>
  <c r="F250" i="120"/>
  <c r="D250" i="120"/>
  <c r="B250" i="120"/>
  <c r="F249" i="120"/>
  <c r="D249" i="120"/>
  <c r="B249" i="120"/>
  <c r="F248" i="120"/>
  <c r="D248" i="120"/>
  <c r="B248" i="120"/>
  <c r="F247" i="120"/>
  <c r="D247" i="120"/>
  <c r="B247" i="120"/>
  <c r="F246" i="120"/>
  <c r="D246" i="120"/>
  <c r="B246" i="120"/>
  <c r="F245" i="120"/>
  <c r="D245" i="120"/>
  <c r="B245" i="120"/>
  <c r="F244" i="120"/>
  <c r="D244" i="120"/>
  <c r="B244" i="120"/>
  <c r="F243" i="120"/>
  <c r="D243" i="120"/>
  <c r="B243" i="120"/>
  <c r="F242" i="120"/>
  <c r="D242" i="120"/>
  <c r="B242" i="120"/>
  <c r="F241" i="120"/>
  <c r="D241" i="120"/>
  <c r="B241" i="120"/>
  <c r="F240" i="120"/>
  <c r="D240" i="120"/>
  <c r="B240" i="120"/>
  <c r="F239" i="120"/>
  <c r="D239" i="120"/>
  <c r="B239" i="120"/>
  <c r="F238" i="120"/>
  <c r="D238" i="120"/>
  <c r="B238" i="120"/>
  <c r="F237" i="120"/>
  <c r="D237" i="120"/>
  <c r="B237" i="120"/>
  <c r="F236" i="120"/>
  <c r="D236" i="120"/>
  <c r="B236" i="120"/>
  <c r="F235" i="120"/>
  <c r="D235" i="120"/>
  <c r="B235" i="120"/>
  <c r="F234" i="120"/>
  <c r="D234" i="120"/>
  <c r="B234" i="120"/>
  <c r="F233" i="120"/>
  <c r="D233" i="120"/>
  <c r="B233" i="120"/>
  <c r="F232" i="120"/>
  <c r="D232" i="120"/>
  <c r="B232" i="120"/>
  <c r="F231" i="120"/>
  <c r="D231" i="120"/>
  <c r="B231" i="120"/>
  <c r="F230" i="120"/>
  <c r="D230" i="120"/>
  <c r="B230" i="120"/>
  <c r="F229" i="120"/>
  <c r="D229" i="120"/>
  <c r="B229" i="120"/>
  <c r="F228" i="120"/>
  <c r="D228" i="120"/>
  <c r="B228" i="120"/>
  <c r="F227" i="120"/>
  <c r="D227" i="120"/>
  <c r="B227" i="120"/>
  <c r="F226" i="120"/>
  <c r="D226" i="120"/>
  <c r="B226" i="120"/>
  <c r="F225" i="120"/>
  <c r="D225" i="120"/>
  <c r="B225" i="120"/>
  <c r="F224" i="120"/>
  <c r="D224" i="120"/>
  <c r="B224" i="120"/>
  <c r="F223" i="120"/>
  <c r="D223" i="120"/>
  <c r="B223" i="120"/>
  <c r="F222" i="120"/>
  <c r="D222" i="120"/>
  <c r="B222" i="120"/>
  <c r="F221" i="120"/>
  <c r="D221" i="120"/>
  <c r="B221" i="120"/>
  <c r="F220" i="120"/>
  <c r="D220" i="120"/>
  <c r="B220" i="120"/>
  <c r="F219" i="120"/>
  <c r="D219" i="120"/>
  <c r="B219" i="120"/>
  <c r="F218" i="120"/>
  <c r="D218" i="120"/>
  <c r="B218" i="120"/>
  <c r="F217" i="120"/>
  <c r="D217" i="120"/>
  <c r="B217" i="120"/>
  <c r="F216" i="120"/>
  <c r="D216" i="120"/>
  <c r="B216" i="120"/>
  <c r="F215" i="120"/>
  <c r="D215" i="120"/>
  <c r="B215" i="120"/>
  <c r="F214" i="120"/>
  <c r="D214" i="120"/>
  <c r="B214" i="120"/>
  <c r="F213" i="120"/>
  <c r="D213" i="120"/>
  <c r="B213" i="120"/>
  <c r="F210" i="120"/>
  <c r="D210" i="120"/>
  <c r="B210" i="120"/>
  <c r="F209" i="120"/>
  <c r="D209" i="120"/>
  <c r="B209" i="120"/>
  <c r="F208" i="120"/>
  <c r="D208" i="120"/>
  <c r="B208" i="120"/>
  <c r="F207" i="120"/>
  <c r="D207" i="120"/>
  <c r="B207" i="120"/>
  <c r="F206" i="120"/>
  <c r="D206" i="120"/>
  <c r="B206" i="120"/>
  <c r="F205" i="120"/>
  <c r="D205" i="120"/>
  <c r="B205" i="120"/>
  <c r="F204" i="120"/>
  <c r="D204" i="120"/>
  <c r="B204" i="120"/>
  <c r="F203" i="120"/>
  <c r="D203" i="120"/>
  <c r="B203" i="120"/>
  <c r="F202" i="120"/>
  <c r="D202" i="120"/>
  <c r="B202" i="120"/>
  <c r="F201" i="120"/>
  <c r="D201" i="120"/>
  <c r="B201" i="120"/>
  <c r="F200" i="120"/>
  <c r="D200" i="120"/>
  <c r="B200" i="120"/>
  <c r="F199" i="120"/>
  <c r="D199" i="120"/>
  <c r="B199" i="120"/>
  <c r="F198" i="120"/>
  <c r="D198" i="120"/>
  <c r="B198" i="120"/>
  <c r="F197" i="120"/>
  <c r="D197" i="120"/>
  <c r="B197" i="120"/>
  <c r="F196" i="120"/>
  <c r="D196" i="120"/>
  <c r="B196" i="120"/>
  <c r="F195" i="120"/>
  <c r="D195" i="120"/>
  <c r="B195" i="120"/>
  <c r="F194" i="120"/>
  <c r="D194" i="120"/>
  <c r="B194" i="120"/>
  <c r="F193" i="120"/>
  <c r="D193" i="120"/>
  <c r="B193" i="120"/>
  <c r="F192" i="120"/>
  <c r="D192" i="120"/>
  <c r="B192" i="120"/>
  <c r="F191" i="120"/>
  <c r="D191" i="120"/>
  <c r="B191" i="120"/>
  <c r="F190" i="120"/>
  <c r="D190" i="120"/>
  <c r="B190" i="120"/>
  <c r="F189" i="120"/>
  <c r="D189" i="120"/>
  <c r="B189" i="120"/>
  <c r="F188" i="120"/>
  <c r="D188" i="120"/>
  <c r="B188" i="120"/>
  <c r="F187" i="120"/>
  <c r="D187" i="120"/>
  <c r="B187" i="120"/>
  <c r="F186" i="120"/>
  <c r="D186" i="120"/>
  <c r="B186" i="120"/>
  <c r="F185" i="120"/>
  <c r="D185" i="120"/>
  <c r="B185" i="120"/>
  <c r="F184" i="120"/>
  <c r="D184" i="120"/>
  <c r="B184" i="120"/>
  <c r="F183" i="120"/>
  <c r="D183" i="120"/>
  <c r="B183" i="120"/>
  <c r="F182" i="120"/>
  <c r="D182" i="120"/>
  <c r="B182" i="120"/>
  <c r="F181" i="120"/>
  <c r="D181" i="120"/>
  <c r="B181" i="120"/>
  <c r="F180" i="120"/>
  <c r="D180" i="120"/>
  <c r="B180" i="120"/>
  <c r="F179" i="120"/>
  <c r="D179" i="120"/>
  <c r="B179" i="120"/>
  <c r="F178" i="120"/>
  <c r="D178" i="120"/>
  <c r="B178" i="120"/>
  <c r="F177" i="120"/>
  <c r="D177" i="120"/>
  <c r="B177" i="120"/>
  <c r="F176" i="120"/>
  <c r="D176" i="120"/>
  <c r="B176" i="120"/>
  <c r="F175" i="120"/>
  <c r="D175" i="120"/>
  <c r="B175" i="120"/>
  <c r="F174" i="120"/>
  <c r="D174" i="120"/>
  <c r="B174" i="120"/>
  <c r="F173" i="120"/>
  <c r="D173" i="120"/>
  <c r="B173" i="120"/>
  <c r="F172" i="120"/>
  <c r="D172" i="120"/>
  <c r="B172" i="120"/>
  <c r="F171" i="120"/>
  <c r="D171" i="120"/>
  <c r="B171" i="120"/>
  <c r="F170" i="120"/>
  <c r="D170" i="120"/>
  <c r="B170" i="120"/>
  <c r="F169" i="120"/>
  <c r="D169" i="120"/>
  <c r="B169" i="120"/>
  <c r="F168" i="120"/>
  <c r="D168" i="120"/>
  <c r="B168" i="120"/>
  <c r="F167" i="120"/>
  <c r="D167" i="120"/>
  <c r="B167" i="120"/>
  <c r="F166" i="120"/>
  <c r="D166" i="120"/>
  <c r="B166" i="120"/>
  <c r="F165" i="120"/>
  <c r="D165" i="120"/>
  <c r="B165" i="120"/>
  <c r="F164" i="120"/>
  <c r="D164" i="120"/>
  <c r="B164" i="120"/>
  <c r="F163" i="120"/>
  <c r="D163" i="120"/>
  <c r="B163" i="120"/>
  <c r="F162" i="120"/>
  <c r="D162" i="120"/>
  <c r="B162" i="120"/>
  <c r="F159" i="120"/>
  <c r="D159" i="120"/>
  <c r="B159" i="120"/>
  <c r="F158" i="120"/>
  <c r="D158" i="120"/>
  <c r="B158" i="120"/>
  <c r="F157" i="120"/>
  <c r="D157" i="120"/>
  <c r="B157" i="120"/>
  <c r="F156" i="120"/>
  <c r="D156" i="120"/>
  <c r="B156" i="120"/>
  <c r="F155" i="120"/>
  <c r="D155" i="120"/>
  <c r="B155" i="120"/>
  <c r="F154" i="120"/>
  <c r="D154" i="120"/>
  <c r="B154" i="120"/>
  <c r="F153" i="120"/>
  <c r="D153" i="120"/>
  <c r="B153" i="120"/>
  <c r="F152" i="120"/>
  <c r="D152" i="120"/>
  <c r="B152" i="120"/>
  <c r="F151" i="120"/>
  <c r="D151" i="120"/>
  <c r="B151" i="120"/>
  <c r="F150" i="120"/>
  <c r="D150" i="120"/>
  <c r="B150" i="120"/>
  <c r="F149" i="120"/>
  <c r="D149" i="120"/>
  <c r="B149" i="120"/>
  <c r="F148" i="120"/>
  <c r="D148" i="120"/>
  <c r="B148" i="120"/>
  <c r="F147" i="120"/>
  <c r="D147" i="120"/>
  <c r="B147" i="120"/>
  <c r="F146" i="120"/>
  <c r="D146" i="120"/>
  <c r="B146" i="120"/>
  <c r="F145" i="120"/>
  <c r="D145" i="120"/>
  <c r="B145" i="120"/>
  <c r="F144" i="120"/>
  <c r="D144" i="120"/>
  <c r="B144" i="120"/>
  <c r="F143" i="120"/>
  <c r="D143" i="120"/>
  <c r="B143" i="120"/>
  <c r="F142" i="120"/>
  <c r="D142" i="120"/>
  <c r="B142" i="120"/>
  <c r="F141" i="120"/>
  <c r="D141" i="120"/>
  <c r="B141" i="120"/>
  <c r="F140" i="120"/>
  <c r="D140" i="120"/>
  <c r="B140" i="120"/>
  <c r="F139" i="120"/>
  <c r="D139" i="120"/>
  <c r="B139" i="120"/>
  <c r="F138" i="120"/>
  <c r="D138" i="120"/>
  <c r="B138" i="120"/>
  <c r="F137" i="120"/>
  <c r="D137" i="120"/>
  <c r="B137" i="120"/>
  <c r="F136" i="120"/>
  <c r="D136" i="120"/>
  <c r="B136" i="120"/>
  <c r="F135" i="120"/>
  <c r="D135" i="120"/>
  <c r="B135" i="120"/>
  <c r="F134" i="120"/>
  <c r="D134" i="120"/>
  <c r="B134" i="120"/>
  <c r="F133" i="120"/>
  <c r="D133" i="120"/>
  <c r="B133" i="120"/>
  <c r="F132" i="120"/>
  <c r="D132" i="120"/>
  <c r="B132" i="120"/>
  <c r="F131" i="120"/>
  <c r="D131" i="120"/>
  <c r="B131" i="120"/>
  <c r="F130" i="120"/>
  <c r="D130" i="120"/>
  <c r="B130" i="120"/>
  <c r="F129" i="120"/>
  <c r="D129" i="120"/>
  <c r="B129" i="120"/>
  <c r="F128" i="120"/>
  <c r="D128" i="120"/>
  <c r="B128" i="120"/>
  <c r="F127" i="120"/>
  <c r="D127" i="120"/>
  <c r="B127" i="120"/>
  <c r="F126" i="120"/>
  <c r="D126" i="120"/>
  <c r="B126" i="120"/>
  <c r="F125" i="120"/>
  <c r="D125" i="120"/>
  <c r="B125" i="120"/>
  <c r="F124" i="120"/>
  <c r="D124" i="120"/>
  <c r="B124" i="120"/>
  <c r="F123" i="120"/>
  <c r="D123" i="120"/>
  <c r="B123" i="120"/>
  <c r="F122" i="120"/>
  <c r="D122" i="120"/>
  <c r="B122" i="120"/>
  <c r="F121" i="120"/>
  <c r="D121" i="120"/>
  <c r="B121" i="120"/>
  <c r="F120" i="120"/>
  <c r="D120" i="120"/>
  <c r="B120" i="120"/>
  <c r="F119" i="120"/>
  <c r="D119" i="120"/>
  <c r="B119" i="120"/>
  <c r="F118" i="120"/>
  <c r="D118" i="120"/>
  <c r="B118" i="120"/>
  <c r="F117" i="120"/>
  <c r="D117" i="120"/>
  <c r="B117" i="120"/>
  <c r="F116" i="120"/>
  <c r="D116" i="120"/>
  <c r="B116" i="120"/>
  <c r="F115" i="120"/>
  <c r="D115" i="120"/>
  <c r="B115" i="120"/>
  <c r="F114" i="120"/>
  <c r="D114" i="120"/>
  <c r="B114" i="120"/>
  <c r="F113" i="120"/>
  <c r="D113" i="120"/>
  <c r="B113" i="120"/>
  <c r="F112" i="120"/>
  <c r="D112" i="120"/>
  <c r="B112" i="120"/>
  <c r="F111" i="120"/>
  <c r="D111" i="120"/>
  <c r="B111" i="120"/>
  <c r="F108" i="120"/>
  <c r="D108" i="120"/>
  <c r="B108" i="120"/>
  <c r="F107" i="120"/>
  <c r="D107" i="120"/>
  <c r="B107" i="120"/>
  <c r="F106" i="120"/>
  <c r="D106" i="120"/>
  <c r="B106" i="120"/>
  <c r="F105" i="120"/>
  <c r="D105" i="120"/>
  <c r="B105" i="120"/>
  <c r="F104" i="120"/>
  <c r="D104" i="120"/>
  <c r="B104" i="120"/>
  <c r="F103" i="120"/>
  <c r="D103" i="120"/>
  <c r="B103" i="120"/>
  <c r="F102" i="120"/>
  <c r="D102" i="120"/>
  <c r="B102" i="120"/>
  <c r="F101" i="120"/>
  <c r="D101" i="120"/>
  <c r="B101" i="120"/>
  <c r="F100" i="120"/>
  <c r="D100" i="120"/>
  <c r="B100" i="120"/>
  <c r="F99" i="120"/>
  <c r="D99" i="120"/>
  <c r="B99" i="120"/>
  <c r="F98" i="120"/>
  <c r="D98" i="120"/>
  <c r="B98" i="120"/>
  <c r="F97" i="120"/>
  <c r="D97" i="120"/>
  <c r="B97" i="120"/>
  <c r="F96" i="120"/>
  <c r="D96" i="120"/>
  <c r="B96" i="120"/>
  <c r="F95" i="120"/>
  <c r="D95" i="120"/>
  <c r="B95" i="120"/>
  <c r="F94" i="120"/>
  <c r="D94" i="120"/>
  <c r="B94" i="120"/>
  <c r="F93" i="120"/>
  <c r="D93" i="120"/>
  <c r="B93" i="120"/>
  <c r="F92" i="120"/>
  <c r="D92" i="120"/>
  <c r="B92" i="120"/>
  <c r="F91" i="120"/>
  <c r="D91" i="120"/>
  <c r="B91" i="120"/>
  <c r="F90" i="120"/>
  <c r="D90" i="120"/>
  <c r="B90" i="120"/>
  <c r="F89" i="120"/>
  <c r="D89" i="120"/>
  <c r="B89" i="120"/>
  <c r="F88" i="120"/>
  <c r="D88" i="120"/>
  <c r="B88" i="120"/>
  <c r="F87" i="120"/>
  <c r="D87" i="120"/>
  <c r="B87" i="120"/>
  <c r="F86" i="120"/>
  <c r="D86" i="120"/>
  <c r="B86" i="120"/>
  <c r="F85" i="120"/>
  <c r="D85" i="120"/>
  <c r="B85" i="120"/>
  <c r="F84" i="120"/>
  <c r="D84" i="120"/>
  <c r="B84" i="120"/>
  <c r="F83" i="120"/>
  <c r="D83" i="120"/>
  <c r="B83" i="120"/>
  <c r="F82" i="120"/>
  <c r="D82" i="120"/>
  <c r="B82" i="120"/>
  <c r="F81" i="120"/>
  <c r="D81" i="120"/>
  <c r="B81" i="120"/>
  <c r="F80" i="120"/>
  <c r="D80" i="120"/>
  <c r="B80" i="120"/>
  <c r="F79" i="120"/>
  <c r="D79" i="120"/>
  <c r="B79" i="120"/>
  <c r="F78" i="120"/>
  <c r="D78" i="120"/>
  <c r="B78" i="120"/>
  <c r="F77" i="120"/>
  <c r="D77" i="120"/>
  <c r="B77" i="120"/>
  <c r="F76" i="120"/>
  <c r="D76" i="120"/>
  <c r="B76" i="120"/>
  <c r="F75" i="120"/>
  <c r="D75" i="120"/>
  <c r="B75" i="120"/>
  <c r="F74" i="120"/>
  <c r="D74" i="120"/>
  <c r="B74" i="120"/>
  <c r="F73" i="120"/>
  <c r="D73" i="120"/>
  <c r="B73" i="120"/>
  <c r="F72" i="120"/>
  <c r="D72" i="120"/>
  <c r="B72" i="120"/>
  <c r="F71" i="120"/>
  <c r="D71" i="120"/>
  <c r="B71" i="120"/>
  <c r="F70" i="120"/>
  <c r="D70" i="120"/>
  <c r="B70" i="120"/>
  <c r="F69" i="120"/>
  <c r="D69" i="120"/>
  <c r="B69" i="120"/>
  <c r="F68" i="120"/>
  <c r="D68" i="120"/>
  <c r="B68" i="120"/>
  <c r="F67" i="120"/>
  <c r="D67" i="120"/>
  <c r="B67" i="120"/>
  <c r="F66" i="120"/>
  <c r="D66" i="120"/>
  <c r="B66" i="120"/>
  <c r="F65" i="120"/>
  <c r="D65" i="120"/>
  <c r="B65" i="120"/>
  <c r="F64" i="120"/>
  <c r="D64" i="120"/>
  <c r="B64" i="120"/>
  <c r="F63" i="120"/>
  <c r="D63" i="120"/>
  <c r="B63" i="120"/>
  <c r="F62" i="120"/>
  <c r="D62" i="120"/>
  <c r="B62" i="120"/>
  <c r="F61" i="120"/>
  <c r="D61" i="120"/>
  <c r="B61" i="120"/>
  <c r="F60" i="120"/>
  <c r="D60" i="120"/>
  <c r="B60" i="120"/>
  <c r="F57" i="120"/>
  <c r="D57" i="120"/>
  <c r="B57" i="120"/>
  <c r="F56" i="120"/>
  <c r="D56" i="120"/>
  <c r="B56" i="120"/>
  <c r="F55" i="120"/>
  <c r="D55" i="120"/>
  <c r="B55" i="120"/>
  <c r="F54" i="120"/>
  <c r="D54" i="120"/>
  <c r="B54" i="120"/>
  <c r="F53" i="120"/>
  <c r="D53" i="120"/>
  <c r="B53" i="120"/>
  <c r="F52" i="120"/>
  <c r="D52" i="120"/>
  <c r="B52" i="120"/>
  <c r="F51" i="120"/>
  <c r="D51" i="120"/>
  <c r="B51" i="120"/>
  <c r="F50" i="120"/>
  <c r="D50" i="120"/>
  <c r="B50" i="120"/>
  <c r="F49" i="120"/>
  <c r="D49" i="120"/>
  <c r="B49" i="120"/>
  <c r="F48" i="120"/>
  <c r="D48" i="120"/>
  <c r="B48" i="120"/>
  <c r="F47" i="120"/>
  <c r="D47" i="120"/>
  <c r="B47" i="120"/>
  <c r="F46" i="120"/>
  <c r="D46" i="120"/>
  <c r="B46" i="120"/>
  <c r="F45" i="120"/>
  <c r="D45" i="120"/>
  <c r="B45" i="120"/>
  <c r="F44" i="120"/>
  <c r="D44" i="120"/>
  <c r="B44" i="120"/>
  <c r="F43" i="120"/>
  <c r="D43" i="120"/>
  <c r="B43" i="120"/>
  <c r="F42" i="120"/>
  <c r="D42" i="120"/>
  <c r="B42" i="120"/>
  <c r="F41" i="120"/>
  <c r="D41" i="120"/>
  <c r="B41" i="120"/>
  <c r="F40" i="120"/>
  <c r="D40" i="120"/>
  <c r="B40" i="120"/>
  <c r="F39" i="120"/>
  <c r="D39" i="120"/>
  <c r="B39" i="120"/>
  <c r="F38" i="120"/>
  <c r="D38" i="120"/>
  <c r="B38" i="120"/>
  <c r="F37" i="120"/>
  <c r="D37" i="120"/>
  <c r="B37" i="120"/>
  <c r="F36" i="120"/>
  <c r="D36" i="120"/>
  <c r="B36" i="120"/>
  <c r="F35" i="120"/>
  <c r="D35" i="120"/>
  <c r="B35" i="120"/>
  <c r="F34" i="120"/>
  <c r="D34" i="120"/>
  <c r="B34" i="120"/>
  <c r="F33" i="120"/>
  <c r="D33" i="120"/>
  <c r="B33" i="120"/>
  <c r="F32" i="120"/>
  <c r="D32" i="120"/>
  <c r="B32" i="120"/>
  <c r="F31" i="120"/>
  <c r="D31" i="120"/>
  <c r="B31" i="120"/>
  <c r="F30" i="120"/>
  <c r="D30" i="120"/>
  <c r="B30" i="120"/>
  <c r="F29" i="120"/>
  <c r="D29" i="120"/>
  <c r="B29" i="120"/>
  <c r="F28" i="120"/>
  <c r="D28" i="120"/>
  <c r="B28" i="120"/>
  <c r="F27" i="120"/>
  <c r="D27" i="120"/>
  <c r="B27" i="120"/>
  <c r="F26" i="120"/>
  <c r="D26" i="120"/>
  <c r="B26" i="120"/>
  <c r="F25" i="120"/>
  <c r="D25" i="120"/>
  <c r="B25" i="120"/>
  <c r="F24" i="120"/>
  <c r="D24" i="120"/>
  <c r="B24" i="120"/>
  <c r="F23" i="120"/>
  <c r="D23" i="120"/>
  <c r="B23" i="120"/>
  <c r="F22" i="120"/>
  <c r="D22" i="120"/>
  <c r="B22" i="120"/>
  <c r="F21" i="120"/>
  <c r="D21" i="120"/>
  <c r="B21" i="120"/>
  <c r="F20" i="120"/>
  <c r="D20" i="120"/>
  <c r="B20" i="120"/>
  <c r="F19" i="120"/>
  <c r="D19" i="120"/>
  <c r="B19" i="120"/>
  <c r="F18" i="120"/>
  <c r="D18" i="120"/>
  <c r="B18" i="120"/>
  <c r="F17" i="120"/>
  <c r="D17" i="120"/>
  <c r="B17" i="120"/>
  <c r="F16" i="120"/>
  <c r="D16" i="120"/>
  <c r="B16" i="120"/>
  <c r="F15" i="120"/>
  <c r="D15" i="120"/>
  <c r="B15" i="120"/>
  <c r="F14" i="120"/>
  <c r="D14" i="120"/>
  <c r="B14" i="120"/>
  <c r="F13" i="120"/>
  <c r="D13" i="120"/>
  <c r="B13" i="120"/>
  <c r="F12" i="120"/>
  <c r="D12" i="120"/>
  <c r="B12" i="120"/>
  <c r="F11" i="120"/>
  <c r="D11" i="120"/>
  <c r="B11" i="120"/>
  <c r="F10" i="120"/>
  <c r="D10" i="120"/>
  <c r="B10" i="120"/>
  <c r="F9" i="120"/>
  <c r="D9" i="120"/>
  <c r="B9" i="120"/>
  <c r="F253" i="87"/>
  <c r="D253" i="87"/>
  <c r="B253" i="87"/>
  <c r="F252" i="87"/>
  <c r="D252" i="87"/>
  <c r="B252" i="87"/>
  <c r="F251" i="87"/>
  <c r="D251" i="87"/>
  <c r="B251" i="87"/>
  <c r="F250" i="87"/>
  <c r="D250" i="87"/>
  <c r="B250" i="87"/>
  <c r="F249" i="87"/>
  <c r="D249" i="87"/>
  <c r="B249" i="87"/>
  <c r="F248" i="87"/>
  <c r="D248" i="87"/>
  <c r="B248" i="87"/>
  <c r="F247" i="87"/>
  <c r="D247" i="87"/>
  <c r="B247" i="87"/>
  <c r="F246" i="87"/>
  <c r="D246" i="87"/>
  <c r="B246" i="87"/>
  <c r="F245" i="87"/>
  <c r="D245" i="87"/>
  <c r="B245" i="87"/>
  <c r="F244" i="87"/>
  <c r="D244" i="87"/>
  <c r="B244" i="87"/>
  <c r="F243" i="87"/>
  <c r="D243" i="87"/>
  <c r="B243" i="87"/>
  <c r="F242" i="87"/>
  <c r="D242" i="87"/>
  <c r="B242" i="87"/>
  <c r="F241" i="87"/>
  <c r="D241" i="87"/>
  <c r="B241" i="87"/>
  <c r="F240" i="87"/>
  <c r="D240" i="87"/>
  <c r="B240" i="87"/>
  <c r="F239" i="87"/>
  <c r="D239" i="87"/>
  <c r="B239" i="87"/>
  <c r="F238" i="87"/>
  <c r="D238" i="87"/>
  <c r="B238" i="87"/>
  <c r="F237" i="87"/>
  <c r="D237" i="87"/>
  <c r="B237" i="87"/>
  <c r="F236" i="87"/>
  <c r="D236" i="87"/>
  <c r="B236" i="87"/>
  <c r="F235" i="87"/>
  <c r="D235" i="87"/>
  <c r="B235" i="87"/>
  <c r="F234" i="87"/>
  <c r="D234" i="87"/>
  <c r="B234" i="87"/>
  <c r="F233" i="87"/>
  <c r="D233" i="87"/>
  <c r="B233" i="87"/>
  <c r="F232" i="87"/>
  <c r="D232" i="87"/>
  <c r="B232" i="87"/>
  <c r="F231" i="87"/>
  <c r="D231" i="87"/>
  <c r="B231" i="87"/>
  <c r="F230" i="87"/>
  <c r="D230" i="87"/>
  <c r="B230" i="87"/>
  <c r="F229" i="87"/>
  <c r="D229" i="87"/>
  <c r="B229" i="87"/>
  <c r="F228" i="87"/>
  <c r="D228" i="87"/>
  <c r="B228" i="87"/>
  <c r="F227" i="87"/>
  <c r="D227" i="87"/>
  <c r="B227" i="87"/>
  <c r="F226" i="87"/>
  <c r="D226" i="87"/>
  <c r="B226" i="87"/>
  <c r="F225" i="87"/>
  <c r="D225" i="87"/>
  <c r="B225" i="87"/>
  <c r="F224" i="87"/>
  <c r="D224" i="87"/>
  <c r="B224" i="87"/>
  <c r="F223" i="87"/>
  <c r="D223" i="87"/>
  <c r="B223" i="87"/>
  <c r="F222" i="87"/>
  <c r="D222" i="87"/>
  <c r="B222" i="87"/>
  <c r="F221" i="87"/>
  <c r="D221" i="87"/>
  <c r="B221" i="87"/>
  <c r="F220" i="87"/>
  <c r="D220" i="87"/>
  <c r="B220" i="87"/>
  <c r="F219" i="87"/>
  <c r="D219" i="87"/>
  <c r="B219" i="87"/>
  <c r="F218" i="87"/>
  <c r="D218" i="87"/>
  <c r="B218" i="87"/>
  <c r="F217" i="87"/>
  <c r="D217" i="87"/>
  <c r="B217" i="87"/>
  <c r="F216" i="87"/>
  <c r="D216" i="87"/>
  <c r="B216" i="87"/>
  <c r="F215" i="87"/>
  <c r="D215" i="87"/>
  <c r="B215" i="87"/>
  <c r="F214" i="87"/>
  <c r="D214" i="87"/>
  <c r="B214" i="87"/>
  <c r="F213" i="87"/>
  <c r="D213" i="87"/>
  <c r="B213" i="87"/>
  <c r="F212" i="87"/>
  <c r="D212" i="87"/>
  <c r="B212" i="87"/>
  <c r="F211" i="87"/>
  <c r="D211" i="87"/>
  <c r="B211" i="87"/>
  <c r="F210" i="87"/>
  <c r="D210" i="87"/>
  <c r="B210" i="87"/>
  <c r="F209" i="87"/>
  <c r="D209" i="87"/>
  <c r="B209" i="87"/>
  <c r="F208" i="87"/>
  <c r="D208" i="87"/>
  <c r="B208" i="87"/>
  <c r="F207" i="87"/>
  <c r="D207" i="87"/>
  <c r="B207" i="87"/>
  <c r="F57" i="65" l="1"/>
  <c r="D57" i="65"/>
  <c r="B57" i="65"/>
  <c r="F56" i="65"/>
  <c r="D56" i="65"/>
  <c r="B56" i="65"/>
  <c r="F55" i="65"/>
  <c r="D55" i="65"/>
  <c r="B55" i="65"/>
  <c r="F54" i="65"/>
  <c r="D54" i="65"/>
  <c r="B54" i="65"/>
  <c r="F53" i="65"/>
  <c r="D53" i="65"/>
  <c r="B53" i="65"/>
  <c r="F52" i="65"/>
  <c r="D52" i="65"/>
  <c r="B52" i="65"/>
  <c r="F51" i="65"/>
  <c r="D51" i="65"/>
  <c r="B51" i="65"/>
  <c r="F50" i="65"/>
  <c r="D50" i="65"/>
  <c r="B50" i="65"/>
  <c r="F49" i="65"/>
  <c r="D49" i="65"/>
  <c r="B49" i="65"/>
  <c r="F48" i="65"/>
  <c r="D48" i="65"/>
  <c r="B48" i="65"/>
  <c r="F47" i="65"/>
  <c r="D47" i="65"/>
  <c r="B47" i="65"/>
  <c r="F46" i="65"/>
  <c r="D46" i="65"/>
  <c r="B46" i="65"/>
  <c r="F45" i="65"/>
  <c r="D45" i="65"/>
  <c r="B45" i="65"/>
  <c r="F44" i="65"/>
  <c r="D44" i="65"/>
  <c r="B44" i="65"/>
  <c r="F43" i="65"/>
  <c r="D43" i="65"/>
  <c r="B43" i="65"/>
  <c r="F42" i="65"/>
  <c r="D42" i="65"/>
  <c r="B42" i="65"/>
  <c r="F41" i="65"/>
  <c r="D41" i="65"/>
  <c r="B41" i="65"/>
  <c r="F40" i="65"/>
  <c r="D40" i="65"/>
  <c r="B40" i="65"/>
  <c r="F39" i="65"/>
  <c r="D39" i="65"/>
  <c r="B39" i="65"/>
  <c r="F38" i="65"/>
  <c r="D38" i="65"/>
  <c r="B38" i="65"/>
  <c r="F37" i="65"/>
  <c r="D37" i="65"/>
  <c r="B37" i="65"/>
  <c r="F36" i="65"/>
  <c r="D36" i="65"/>
  <c r="B36" i="65"/>
  <c r="F35" i="65"/>
  <c r="D35" i="65"/>
  <c r="B35" i="65"/>
  <c r="F34" i="65"/>
  <c r="D34" i="65"/>
  <c r="B34" i="65"/>
  <c r="F33" i="65"/>
  <c r="D33" i="65"/>
  <c r="B33" i="65"/>
  <c r="F32" i="65"/>
  <c r="D32" i="65"/>
  <c r="B32" i="65"/>
  <c r="F31" i="65"/>
  <c r="D31" i="65"/>
  <c r="B31" i="65"/>
  <c r="F30" i="65"/>
  <c r="D30" i="65"/>
  <c r="B30" i="65"/>
  <c r="F29" i="65"/>
  <c r="D29" i="65"/>
  <c r="B29" i="65"/>
  <c r="F28" i="65"/>
  <c r="D28" i="65"/>
  <c r="B28" i="65"/>
  <c r="F27" i="65"/>
  <c r="D27" i="65"/>
  <c r="B27" i="65"/>
  <c r="F26" i="65"/>
  <c r="D26" i="65"/>
  <c r="B26" i="65"/>
  <c r="F25" i="65"/>
  <c r="D25" i="65"/>
  <c r="B25" i="65"/>
  <c r="F24" i="65"/>
  <c r="D24" i="65"/>
  <c r="B24" i="65"/>
  <c r="F23" i="65"/>
  <c r="D23" i="65"/>
  <c r="B23" i="65"/>
  <c r="F22" i="65"/>
  <c r="D22" i="65"/>
  <c r="B22" i="65"/>
  <c r="F21" i="65"/>
  <c r="D21" i="65"/>
  <c r="B21" i="65"/>
  <c r="F20" i="65"/>
  <c r="D20" i="65"/>
  <c r="B20" i="65"/>
  <c r="F19" i="65"/>
  <c r="D19" i="65"/>
  <c r="B19" i="65"/>
  <c r="F18" i="65"/>
  <c r="D18" i="65"/>
  <c r="B18" i="65"/>
  <c r="F17" i="65"/>
  <c r="D17" i="65"/>
  <c r="B17" i="65"/>
  <c r="F16" i="65"/>
  <c r="D16" i="65"/>
  <c r="B16" i="65"/>
  <c r="F15" i="65"/>
  <c r="D15" i="65"/>
  <c r="B15" i="65"/>
  <c r="F14" i="65"/>
  <c r="D14" i="65"/>
  <c r="B14" i="65"/>
  <c r="F13" i="65"/>
  <c r="D13" i="65"/>
  <c r="B13" i="65"/>
  <c r="F12" i="65"/>
  <c r="D12" i="65"/>
  <c r="B12" i="65"/>
  <c r="F11" i="65"/>
  <c r="D11" i="65"/>
  <c r="B11" i="65"/>
  <c r="F10" i="65"/>
  <c r="D10" i="65"/>
  <c r="B10" i="65"/>
  <c r="F9" i="65"/>
  <c r="D9" i="65"/>
  <c r="B9" i="65"/>
  <c r="F399" i="88" l="1"/>
  <c r="D399" i="88"/>
  <c r="B399" i="88"/>
  <c r="F398" i="88"/>
  <c r="D398" i="88"/>
  <c r="B398" i="88"/>
  <c r="F397" i="88"/>
  <c r="D397" i="88"/>
  <c r="B397" i="88"/>
  <c r="F396" i="88"/>
  <c r="D396" i="88"/>
  <c r="B396" i="88"/>
  <c r="F395" i="88"/>
  <c r="D395" i="88"/>
  <c r="B395" i="88"/>
  <c r="F394" i="88"/>
  <c r="D394" i="88"/>
  <c r="B394" i="88"/>
  <c r="F393" i="88"/>
  <c r="D393" i="88"/>
  <c r="B393" i="88"/>
  <c r="F392" i="88"/>
  <c r="D392" i="88"/>
  <c r="B392" i="88"/>
  <c r="F391" i="88"/>
  <c r="D391" i="88"/>
  <c r="B391" i="88"/>
  <c r="F390" i="88"/>
  <c r="D390" i="88"/>
  <c r="B390" i="88"/>
  <c r="F389" i="88"/>
  <c r="D389" i="88"/>
  <c r="B389" i="88"/>
  <c r="F388" i="88"/>
  <c r="D388" i="88"/>
  <c r="B388" i="88"/>
  <c r="F387" i="88"/>
  <c r="D387" i="88"/>
  <c r="B387" i="88"/>
  <c r="F386" i="88"/>
  <c r="D386" i="88"/>
  <c r="B386" i="88"/>
  <c r="F385" i="88"/>
  <c r="D385" i="88"/>
  <c r="B385" i="88"/>
  <c r="F384" i="88"/>
  <c r="D384" i="88"/>
  <c r="B384" i="88"/>
  <c r="F383" i="88"/>
  <c r="D383" i="88"/>
  <c r="B383" i="88"/>
  <c r="F382" i="88"/>
  <c r="D382" i="88"/>
  <c r="B382" i="88"/>
  <c r="F381" i="88"/>
  <c r="D381" i="88"/>
  <c r="B381" i="88"/>
  <c r="F380" i="88"/>
  <c r="D380" i="88"/>
  <c r="B380" i="88"/>
  <c r="F379" i="88"/>
  <c r="D379" i="88"/>
  <c r="B379" i="88"/>
  <c r="F378" i="88"/>
  <c r="D378" i="88"/>
  <c r="B378" i="88"/>
  <c r="F377" i="88"/>
  <c r="D377" i="88"/>
  <c r="B377" i="88"/>
  <c r="F376" i="88"/>
  <c r="D376" i="88"/>
  <c r="B376" i="88"/>
  <c r="F375" i="88"/>
  <c r="D375" i="88"/>
  <c r="B375" i="88"/>
  <c r="F374" i="88"/>
  <c r="D374" i="88"/>
  <c r="B374" i="88"/>
  <c r="F373" i="88"/>
  <c r="D373" i="88"/>
  <c r="B373" i="88"/>
  <c r="F372" i="88"/>
  <c r="D372" i="88"/>
  <c r="B372" i="88"/>
  <c r="F371" i="88"/>
  <c r="D371" i="88"/>
  <c r="B371" i="88"/>
  <c r="F370" i="88"/>
  <c r="D370" i="88"/>
  <c r="B370" i="88"/>
  <c r="F369" i="88"/>
  <c r="D369" i="88"/>
  <c r="B369" i="88"/>
  <c r="F368" i="88"/>
  <c r="D368" i="88"/>
  <c r="B368" i="88"/>
  <c r="F367" i="88"/>
  <c r="D367" i="88"/>
  <c r="B367" i="88"/>
  <c r="F366" i="88"/>
  <c r="D366" i="88"/>
  <c r="B366" i="88"/>
  <c r="F365" i="88"/>
  <c r="D365" i="88"/>
  <c r="B365" i="88"/>
  <c r="F364" i="88"/>
  <c r="D364" i="88"/>
  <c r="B364" i="88"/>
  <c r="F363" i="88"/>
  <c r="D363" i="88"/>
  <c r="B363" i="88"/>
  <c r="F362" i="88"/>
  <c r="D362" i="88"/>
  <c r="B362" i="88"/>
  <c r="F361" i="88"/>
  <c r="D361" i="88"/>
  <c r="B361" i="88"/>
  <c r="F360" i="88"/>
  <c r="D360" i="88"/>
  <c r="B360" i="88"/>
  <c r="F359" i="88"/>
  <c r="D359" i="88"/>
  <c r="B359" i="88"/>
  <c r="F358" i="88"/>
  <c r="D358" i="88"/>
  <c r="B358" i="88"/>
  <c r="F357" i="88"/>
  <c r="D357" i="88"/>
  <c r="B357" i="88"/>
  <c r="F356" i="88"/>
  <c r="D356" i="88"/>
  <c r="B356" i="88"/>
  <c r="F355" i="88"/>
  <c r="D355" i="88"/>
  <c r="B355" i="88"/>
  <c r="F354" i="88"/>
  <c r="D354" i="88"/>
  <c r="B354" i="88"/>
  <c r="F353" i="88"/>
  <c r="D353" i="88"/>
  <c r="B353" i="88"/>
  <c r="F350" i="88"/>
  <c r="D350" i="88"/>
  <c r="B350" i="88"/>
  <c r="F349" i="88"/>
  <c r="D349" i="88"/>
  <c r="B349" i="88"/>
  <c r="F348" i="88"/>
  <c r="D348" i="88"/>
  <c r="B348" i="88"/>
  <c r="F347" i="88"/>
  <c r="D347" i="88"/>
  <c r="B347" i="88"/>
  <c r="F346" i="88"/>
  <c r="D346" i="88"/>
  <c r="B346" i="88"/>
  <c r="F345" i="88"/>
  <c r="D345" i="88"/>
  <c r="B345" i="88"/>
  <c r="F344" i="88"/>
  <c r="D344" i="88"/>
  <c r="B344" i="88"/>
  <c r="F343" i="88"/>
  <c r="D343" i="88"/>
  <c r="B343" i="88"/>
  <c r="F342" i="88"/>
  <c r="D342" i="88"/>
  <c r="B342" i="88"/>
  <c r="F341" i="88"/>
  <c r="D341" i="88"/>
  <c r="B341" i="88"/>
  <c r="F340" i="88"/>
  <c r="D340" i="88"/>
  <c r="B340" i="88"/>
  <c r="F339" i="88"/>
  <c r="D339" i="88"/>
  <c r="B339" i="88"/>
  <c r="F338" i="88"/>
  <c r="D338" i="88"/>
  <c r="B338" i="88"/>
  <c r="F337" i="88"/>
  <c r="D337" i="88"/>
  <c r="B337" i="88"/>
  <c r="F336" i="88"/>
  <c r="D336" i="88"/>
  <c r="B336" i="88"/>
  <c r="F335" i="88"/>
  <c r="D335" i="88"/>
  <c r="B335" i="88"/>
  <c r="F334" i="88"/>
  <c r="D334" i="88"/>
  <c r="B334" i="88"/>
  <c r="F333" i="88"/>
  <c r="D333" i="88"/>
  <c r="B333" i="88"/>
  <c r="F332" i="88"/>
  <c r="D332" i="88"/>
  <c r="B332" i="88"/>
  <c r="F331" i="88"/>
  <c r="D331" i="88"/>
  <c r="B331" i="88"/>
  <c r="F330" i="88"/>
  <c r="D330" i="88"/>
  <c r="B330" i="88"/>
  <c r="F329" i="88"/>
  <c r="D329" i="88"/>
  <c r="B329" i="88"/>
  <c r="F328" i="88"/>
  <c r="D328" i="88"/>
  <c r="B328" i="88"/>
  <c r="F327" i="88"/>
  <c r="D327" i="88"/>
  <c r="B327" i="88"/>
  <c r="F326" i="88"/>
  <c r="D326" i="88"/>
  <c r="B326" i="88"/>
  <c r="F325" i="88"/>
  <c r="D325" i="88"/>
  <c r="B325" i="88"/>
  <c r="F324" i="88"/>
  <c r="D324" i="88"/>
  <c r="B324" i="88"/>
  <c r="F323" i="88"/>
  <c r="D323" i="88"/>
  <c r="B323" i="88"/>
  <c r="F322" i="88"/>
  <c r="D322" i="88"/>
  <c r="B322" i="88"/>
  <c r="F321" i="88"/>
  <c r="D321" i="88"/>
  <c r="B321" i="88"/>
  <c r="F320" i="88"/>
  <c r="D320" i="88"/>
  <c r="B320" i="88"/>
  <c r="F319" i="88"/>
  <c r="D319" i="88"/>
  <c r="B319" i="88"/>
  <c r="F318" i="88"/>
  <c r="D318" i="88"/>
  <c r="B318" i="88"/>
  <c r="F317" i="88"/>
  <c r="D317" i="88"/>
  <c r="B317" i="88"/>
  <c r="F316" i="88"/>
  <c r="D316" i="88"/>
  <c r="B316" i="88"/>
  <c r="F315" i="88"/>
  <c r="D315" i="88"/>
  <c r="B315" i="88"/>
  <c r="F314" i="88"/>
  <c r="D314" i="88"/>
  <c r="B314" i="88"/>
  <c r="F313" i="88"/>
  <c r="D313" i="88"/>
  <c r="B313" i="88"/>
  <c r="F312" i="88"/>
  <c r="D312" i="88"/>
  <c r="B312" i="88"/>
  <c r="F311" i="88"/>
  <c r="D311" i="88"/>
  <c r="B311" i="88"/>
  <c r="F310" i="88"/>
  <c r="D310" i="88"/>
  <c r="B310" i="88"/>
  <c r="F309" i="88"/>
  <c r="D309" i="88"/>
  <c r="B309" i="88"/>
  <c r="F308" i="88"/>
  <c r="D308" i="88"/>
  <c r="B308" i="88"/>
  <c r="F307" i="88"/>
  <c r="D307" i="88"/>
  <c r="B307" i="88"/>
  <c r="F306" i="88"/>
  <c r="D306" i="88"/>
  <c r="B306" i="88"/>
  <c r="F305" i="88"/>
  <c r="D305" i="88"/>
  <c r="B305" i="88"/>
  <c r="F304" i="88"/>
  <c r="D304" i="88"/>
  <c r="B304" i="88"/>
  <c r="F252" i="88"/>
  <c r="D252" i="88"/>
  <c r="B252" i="88"/>
  <c r="F251" i="88"/>
  <c r="D251" i="88"/>
  <c r="B251" i="88"/>
  <c r="F250" i="88"/>
  <c r="D250" i="88"/>
  <c r="B250" i="88"/>
  <c r="F249" i="88"/>
  <c r="D249" i="88"/>
  <c r="B249" i="88"/>
  <c r="F248" i="88"/>
  <c r="D248" i="88"/>
  <c r="B248" i="88"/>
  <c r="F247" i="88"/>
  <c r="D247" i="88"/>
  <c r="B247" i="88"/>
  <c r="F246" i="88"/>
  <c r="D246" i="88"/>
  <c r="B246" i="88"/>
  <c r="F245" i="88"/>
  <c r="D245" i="88"/>
  <c r="B245" i="88"/>
  <c r="F244" i="88"/>
  <c r="D244" i="88"/>
  <c r="B244" i="88"/>
  <c r="F243" i="88"/>
  <c r="D243" i="88"/>
  <c r="B243" i="88"/>
  <c r="F242" i="88"/>
  <c r="D242" i="88"/>
  <c r="B242" i="88"/>
  <c r="F241" i="88"/>
  <c r="D241" i="88"/>
  <c r="B241" i="88"/>
  <c r="F240" i="88"/>
  <c r="D240" i="88"/>
  <c r="B240" i="88"/>
  <c r="F239" i="88"/>
  <c r="D239" i="88"/>
  <c r="B239" i="88"/>
  <c r="F238" i="88"/>
  <c r="D238" i="88"/>
  <c r="B238" i="88"/>
  <c r="F237" i="88"/>
  <c r="D237" i="88"/>
  <c r="B237" i="88"/>
  <c r="F236" i="88"/>
  <c r="D236" i="88"/>
  <c r="B236" i="88"/>
  <c r="F235" i="88"/>
  <c r="D235" i="88"/>
  <c r="B235" i="88"/>
  <c r="F234" i="88"/>
  <c r="D234" i="88"/>
  <c r="B234" i="88"/>
  <c r="F233" i="88"/>
  <c r="D233" i="88"/>
  <c r="B233" i="88"/>
  <c r="F232" i="88"/>
  <c r="D232" i="88"/>
  <c r="B232" i="88"/>
  <c r="F231" i="88"/>
  <c r="D231" i="88"/>
  <c r="B231" i="88"/>
  <c r="F230" i="88"/>
  <c r="D230" i="88"/>
  <c r="B230" i="88"/>
  <c r="F229" i="88"/>
  <c r="D229" i="88"/>
  <c r="B229" i="88"/>
  <c r="F228" i="88"/>
  <c r="D228" i="88"/>
  <c r="B228" i="88"/>
  <c r="F227" i="88"/>
  <c r="D227" i="88"/>
  <c r="B227" i="88"/>
  <c r="F226" i="88"/>
  <c r="D226" i="88"/>
  <c r="B226" i="88"/>
  <c r="F225" i="88"/>
  <c r="D225" i="88"/>
  <c r="B225" i="88"/>
  <c r="F224" i="88"/>
  <c r="D224" i="88"/>
  <c r="B224" i="88"/>
  <c r="F223" i="88"/>
  <c r="D223" i="88"/>
  <c r="B223" i="88"/>
  <c r="F222" i="88"/>
  <c r="D222" i="88"/>
  <c r="B222" i="88"/>
  <c r="F221" i="88"/>
  <c r="D221" i="88"/>
  <c r="B221" i="88"/>
  <c r="F220" i="88"/>
  <c r="D220" i="88"/>
  <c r="B220" i="88"/>
  <c r="F219" i="88"/>
  <c r="D219" i="88"/>
  <c r="B219" i="88"/>
  <c r="F218" i="88"/>
  <c r="D218" i="88"/>
  <c r="B218" i="88"/>
  <c r="F217" i="88"/>
  <c r="D217" i="88"/>
  <c r="B217" i="88"/>
  <c r="F216" i="88"/>
  <c r="D216" i="88"/>
  <c r="B216" i="88"/>
  <c r="F215" i="88"/>
  <c r="D215" i="88"/>
  <c r="B215" i="88"/>
  <c r="F214" i="88"/>
  <c r="D214" i="88"/>
  <c r="B214" i="88"/>
  <c r="F213" i="88"/>
  <c r="D213" i="88"/>
  <c r="B213" i="88"/>
  <c r="F212" i="88"/>
  <c r="D212" i="88"/>
  <c r="B212" i="88"/>
  <c r="F211" i="88"/>
  <c r="D211" i="88"/>
  <c r="B211" i="88"/>
  <c r="F210" i="88"/>
  <c r="D210" i="88"/>
  <c r="B210" i="88"/>
  <c r="F209" i="88"/>
  <c r="D209" i="88"/>
  <c r="B209" i="88"/>
  <c r="F208" i="88"/>
  <c r="D208" i="88"/>
  <c r="B208" i="88"/>
  <c r="F207" i="88"/>
  <c r="D207" i="88"/>
  <c r="B207" i="88"/>
  <c r="F206" i="88"/>
  <c r="D206" i="88"/>
  <c r="B206" i="88"/>
  <c r="F399" i="113"/>
  <c r="D399" i="113"/>
  <c r="B399" i="113"/>
  <c r="F398" i="113"/>
  <c r="D398" i="113"/>
  <c r="B398" i="113"/>
  <c r="F397" i="113"/>
  <c r="D397" i="113"/>
  <c r="B397" i="113"/>
  <c r="F396" i="113"/>
  <c r="D396" i="113"/>
  <c r="B396" i="113"/>
  <c r="F395" i="113"/>
  <c r="D395" i="113"/>
  <c r="B395" i="113"/>
  <c r="F394" i="113"/>
  <c r="D394" i="113"/>
  <c r="B394" i="113"/>
  <c r="F393" i="113"/>
  <c r="D393" i="113"/>
  <c r="B393" i="113"/>
  <c r="F392" i="113"/>
  <c r="D392" i="113"/>
  <c r="B392" i="113"/>
  <c r="F391" i="113"/>
  <c r="D391" i="113"/>
  <c r="B391" i="113"/>
  <c r="F390" i="113"/>
  <c r="D390" i="113"/>
  <c r="B390" i="113"/>
  <c r="F389" i="113"/>
  <c r="D389" i="113"/>
  <c r="B389" i="113"/>
  <c r="F388" i="113"/>
  <c r="D388" i="113"/>
  <c r="B388" i="113"/>
  <c r="F387" i="113"/>
  <c r="D387" i="113"/>
  <c r="B387" i="113"/>
  <c r="F386" i="113"/>
  <c r="D386" i="113"/>
  <c r="B386" i="113"/>
  <c r="F385" i="113"/>
  <c r="D385" i="113"/>
  <c r="B385" i="113"/>
  <c r="F384" i="113"/>
  <c r="D384" i="113"/>
  <c r="B384" i="113"/>
  <c r="F383" i="113"/>
  <c r="D383" i="113"/>
  <c r="B383" i="113"/>
  <c r="F382" i="113"/>
  <c r="D382" i="113"/>
  <c r="B382" i="113"/>
  <c r="F381" i="113"/>
  <c r="D381" i="113"/>
  <c r="B381" i="113"/>
  <c r="F380" i="113"/>
  <c r="D380" i="113"/>
  <c r="B380" i="113"/>
  <c r="F379" i="113"/>
  <c r="D379" i="113"/>
  <c r="B379" i="113"/>
  <c r="F378" i="113"/>
  <c r="D378" i="113"/>
  <c r="B378" i="113"/>
  <c r="F377" i="113"/>
  <c r="D377" i="113"/>
  <c r="B377" i="113"/>
  <c r="F376" i="113"/>
  <c r="D376" i="113"/>
  <c r="B376" i="113"/>
  <c r="F375" i="113"/>
  <c r="D375" i="113"/>
  <c r="B375" i="113"/>
  <c r="F374" i="113"/>
  <c r="D374" i="113"/>
  <c r="B374" i="113"/>
  <c r="F373" i="113"/>
  <c r="D373" i="113"/>
  <c r="B373" i="113"/>
  <c r="F372" i="113"/>
  <c r="D372" i="113"/>
  <c r="B372" i="113"/>
  <c r="F371" i="113"/>
  <c r="D371" i="113"/>
  <c r="B371" i="113"/>
  <c r="F370" i="113"/>
  <c r="D370" i="113"/>
  <c r="B370" i="113"/>
  <c r="F369" i="113"/>
  <c r="D369" i="113"/>
  <c r="B369" i="113"/>
  <c r="F368" i="113"/>
  <c r="D368" i="113"/>
  <c r="B368" i="113"/>
  <c r="F367" i="113"/>
  <c r="D367" i="113"/>
  <c r="B367" i="113"/>
  <c r="F366" i="113"/>
  <c r="D366" i="113"/>
  <c r="B366" i="113"/>
  <c r="F365" i="113"/>
  <c r="D365" i="113"/>
  <c r="B365" i="113"/>
  <c r="F364" i="113"/>
  <c r="D364" i="113"/>
  <c r="B364" i="113"/>
  <c r="F363" i="113"/>
  <c r="D363" i="113"/>
  <c r="B363" i="113"/>
  <c r="F362" i="113"/>
  <c r="D362" i="113"/>
  <c r="B362" i="113"/>
  <c r="F361" i="113"/>
  <c r="D361" i="113"/>
  <c r="B361" i="113"/>
  <c r="F360" i="113"/>
  <c r="D360" i="113"/>
  <c r="B360" i="113"/>
  <c r="F359" i="113"/>
  <c r="D359" i="113"/>
  <c r="B359" i="113"/>
  <c r="F358" i="113"/>
  <c r="D358" i="113"/>
  <c r="B358" i="113"/>
  <c r="F357" i="113"/>
  <c r="D357" i="113"/>
  <c r="B357" i="113"/>
  <c r="F356" i="113"/>
  <c r="D356" i="113"/>
  <c r="B356" i="113"/>
  <c r="F355" i="113"/>
  <c r="D355" i="113"/>
  <c r="B355" i="113"/>
  <c r="F354" i="113"/>
  <c r="D354" i="113"/>
  <c r="B354" i="113"/>
  <c r="F353" i="113"/>
  <c r="D353" i="113"/>
  <c r="B353" i="113"/>
  <c r="F350" i="113"/>
  <c r="D350" i="113"/>
  <c r="B350" i="113"/>
  <c r="F349" i="113"/>
  <c r="D349" i="113"/>
  <c r="B349" i="113"/>
  <c r="F348" i="113"/>
  <c r="D348" i="113"/>
  <c r="B348" i="113"/>
  <c r="F347" i="113"/>
  <c r="D347" i="113"/>
  <c r="B347" i="113"/>
  <c r="F346" i="113"/>
  <c r="D346" i="113"/>
  <c r="B346" i="113"/>
  <c r="F345" i="113"/>
  <c r="D345" i="113"/>
  <c r="B345" i="113"/>
  <c r="F344" i="113"/>
  <c r="D344" i="113"/>
  <c r="B344" i="113"/>
  <c r="F343" i="113"/>
  <c r="D343" i="113"/>
  <c r="B343" i="113"/>
  <c r="F342" i="113"/>
  <c r="D342" i="113"/>
  <c r="B342" i="113"/>
  <c r="F341" i="113"/>
  <c r="D341" i="113"/>
  <c r="B341" i="113"/>
  <c r="F340" i="113"/>
  <c r="D340" i="113"/>
  <c r="B340" i="113"/>
  <c r="F339" i="113"/>
  <c r="D339" i="113"/>
  <c r="B339" i="113"/>
  <c r="F338" i="113"/>
  <c r="D338" i="113"/>
  <c r="B338" i="113"/>
  <c r="F337" i="113"/>
  <c r="D337" i="113"/>
  <c r="B337" i="113"/>
  <c r="F336" i="113"/>
  <c r="D336" i="113"/>
  <c r="B336" i="113"/>
  <c r="F335" i="113"/>
  <c r="D335" i="113"/>
  <c r="B335" i="113"/>
  <c r="F334" i="113"/>
  <c r="D334" i="113"/>
  <c r="B334" i="113"/>
  <c r="F333" i="113"/>
  <c r="D333" i="113"/>
  <c r="B333" i="113"/>
  <c r="F332" i="113"/>
  <c r="D332" i="113"/>
  <c r="B332" i="113"/>
  <c r="F331" i="113"/>
  <c r="D331" i="113"/>
  <c r="B331" i="113"/>
  <c r="F330" i="113"/>
  <c r="D330" i="113"/>
  <c r="B330" i="113"/>
  <c r="F329" i="113"/>
  <c r="D329" i="113"/>
  <c r="B329" i="113"/>
  <c r="F328" i="113"/>
  <c r="D328" i="113"/>
  <c r="B328" i="113"/>
  <c r="F327" i="113"/>
  <c r="D327" i="113"/>
  <c r="B327" i="113"/>
  <c r="F326" i="113"/>
  <c r="D326" i="113"/>
  <c r="B326" i="113"/>
  <c r="F325" i="113"/>
  <c r="D325" i="113"/>
  <c r="B325" i="113"/>
  <c r="F324" i="113"/>
  <c r="D324" i="113"/>
  <c r="B324" i="113"/>
  <c r="F323" i="113"/>
  <c r="D323" i="113"/>
  <c r="B323" i="113"/>
  <c r="F322" i="113"/>
  <c r="D322" i="113"/>
  <c r="B322" i="113"/>
  <c r="F321" i="113"/>
  <c r="D321" i="113"/>
  <c r="B321" i="113"/>
  <c r="F320" i="113"/>
  <c r="D320" i="113"/>
  <c r="B320" i="113"/>
  <c r="F319" i="113"/>
  <c r="D319" i="113"/>
  <c r="B319" i="113"/>
  <c r="F318" i="113"/>
  <c r="D318" i="113"/>
  <c r="B318" i="113"/>
  <c r="F317" i="113"/>
  <c r="D317" i="113"/>
  <c r="B317" i="113"/>
  <c r="F316" i="113"/>
  <c r="D316" i="113"/>
  <c r="B316" i="113"/>
  <c r="F315" i="113"/>
  <c r="D315" i="113"/>
  <c r="B315" i="113"/>
  <c r="F314" i="113"/>
  <c r="D314" i="113"/>
  <c r="B314" i="113"/>
  <c r="F313" i="113"/>
  <c r="D313" i="113"/>
  <c r="B313" i="113"/>
  <c r="F312" i="113"/>
  <c r="D312" i="113"/>
  <c r="B312" i="113"/>
  <c r="F311" i="113"/>
  <c r="D311" i="113"/>
  <c r="B311" i="113"/>
  <c r="F310" i="113"/>
  <c r="D310" i="113"/>
  <c r="B310" i="113"/>
  <c r="F309" i="113"/>
  <c r="D309" i="113"/>
  <c r="B309" i="113"/>
  <c r="F308" i="113"/>
  <c r="D308" i="113"/>
  <c r="B308" i="113"/>
  <c r="F307" i="113"/>
  <c r="D307" i="113"/>
  <c r="B307" i="113"/>
  <c r="F306" i="113"/>
  <c r="D306" i="113"/>
  <c r="B306" i="113"/>
  <c r="F305" i="113"/>
  <c r="D305" i="113"/>
  <c r="B305" i="113"/>
  <c r="F304" i="113"/>
  <c r="D304" i="113"/>
  <c r="B304" i="113"/>
  <c r="M206" i="113"/>
  <c r="F252" i="113"/>
  <c r="D252" i="113"/>
  <c r="B252" i="113"/>
  <c r="F251" i="113"/>
  <c r="D251" i="113"/>
  <c r="B251" i="113"/>
  <c r="F250" i="113"/>
  <c r="D250" i="113"/>
  <c r="B250" i="113"/>
  <c r="F249" i="113"/>
  <c r="D249" i="113"/>
  <c r="B249" i="113"/>
  <c r="F248" i="113"/>
  <c r="D248" i="113"/>
  <c r="B248" i="113"/>
  <c r="F247" i="113"/>
  <c r="D247" i="113"/>
  <c r="B247" i="113"/>
  <c r="F246" i="113"/>
  <c r="D246" i="113"/>
  <c r="B246" i="113"/>
  <c r="F245" i="113"/>
  <c r="D245" i="113"/>
  <c r="B245" i="113"/>
  <c r="F244" i="113"/>
  <c r="D244" i="113"/>
  <c r="B244" i="113"/>
  <c r="F243" i="113"/>
  <c r="D243" i="113"/>
  <c r="B243" i="113"/>
  <c r="F242" i="113"/>
  <c r="D242" i="113"/>
  <c r="B242" i="113"/>
  <c r="F241" i="113"/>
  <c r="D241" i="113"/>
  <c r="B241" i="113"/>
  <c r="F240" i="113"/>
  <c r="D240" i="113"/>
  <c r="B240" i="113"/>
  <c r="F239" i="113"/>
  <c r="D239" i="113"/>
  <c r="B239" i="113"/>
  <c r="F238" i="113"/>
  <c r="D238" i="113"/>
  <c r="B238" i="113"/>
  <c r="F237" i="113"/>
  <c r="D237" i="113"/>
  <c r="B237" i="113"/>
  <c r="F236" i="113"/>
  <c r="D236" i="113"/>
  <c r="B236" i="113"/>
  <c r="F235" i="113"/>
  <c r="D235" i="113"/>
  <c r="B235" i="113"/>
  <c r="F234" i="113"/>
  <c r="D234" i="113"/>
  <c r="B234" i="113"/>
  <c r="F233" i="113"/>
  <c r="D233" i="113"/>
  <c r="B233" i="113"/>
  <c r="F232" i="113"/>
  <c r="D232" i="113"/>
  <c r="B232" i="113"/>
  <c r="F231" i="113"/>
  <c r="D231" i="113"/>
  <c r="B231" i="113"/>
  <c r="F230" i="113"/>
  <c r="D230" i="113"/>
  <c r="B230" i="113"/>
  <c r="F229" i="113"/>
  <c r="D229" i="113"/>
  <c r="B229" i="113"/>
  <c r="F228" i="113"/>
  <c r="D228" i="113"/>
  <c r="B228" i="113"/>
  <c r="F227" i="113"/>
  <c r="D227" i="113"/>
  <c r="B227" i="113"/>
  <c r="F226" i="113"/>
  <c r="D226" i="113"/>
  <c r="B226" i="113"/>
  <c r="F225" i="113"/>
  <c r="D225" i="113"/>
  <c r="B225" i="113"/>
  <c r="F224" i="113"/>
  <c r="D224" i="113"/>
  <c r="B224" i="113"/>
  <c r="F223" i="113"/>
  <c r="D223" i="113"/>
  <c r="B223" i="113"/>
  <c r="F222" i="113"/>
  <c r="D222" i="113"/>
  <c r="B222" i="113"/>
  <c r="F221" i="113"/>
  <c r="D221" i="113"/>
  <c r="B221" i="113"/>
  <c r="F220" i="113"/>
  <c r="D220" i="113"/>
  <c r="B220" i="113"/>
  <c r="F219" i="113"/>
  <c r="D219" i="113"/>
  <c r="B219" i="113"/>
  <c r="F218" i="113"/>
  <c r="D218" i="113"/>
  <c r="B218" i="113"/>
  <c r="F217" i="113"/>
  <c r="D217" i="113"/>
  <c r="B217" i="113"/>
  <c r="F216" i="113"/>
  <c r="D216" i="113"/>
  <c r="B216" i="113"/>
  <c r="F215" i="113"/>
  <c r="D215" i="113"/>
  <c r="B215" i="113"/>
  <c r="F214" i="113"/>
  <c r="D214" i="113"/>
  <c r="B214" i="113"/>
  <c r="F213" i="113"/>
  <c r="D213" i="113"/>
  <c r="B213" i="113"/>
  <c r="F212" i="113"/>
  <c r="D212" i="113"/>
  <c r="B212" i="113"/>
  <c r="F211" i="113"/>
  <c r="D211" i="113"/>
  <c r="B211" i="113"/>
  <c r="F210" i="113"/>
  <c r="D210" i="113"/>
  <c r="B210" i="113"/>
  <c r="F209" i="113"/>
  <c r="D209" i="113"/>
  <c r="B209" i="113"/>
  <c r="F208" i="113"/>
  <c r="D208" i="113"/>
  <c r="B208" i="113"/>
  <c r="F207" i="113"/>
  <c r="D207" i="113"/>
  <c r="B207" i="113"/>
  <c r="F206" i="113"/>
  <c r="D206" i="113"/>
  <c r="B206" i="113"/>
  <c r="S30" i="105"/>
  <c r="R30" i="105" s="1"/>
  <c r="R29" i="105" s="1"/>
  <c r="R47" i="105"/>
  <c r="S46" i="105"/>
  <c r="P47" i="105"/>
  <c r="P46" i="105" s="1"/>
  <c r="S29" i="105" l="1"/>
  <c r="R46" i="105"/>
  <c r="F159" i="68" l="1"/>
  <c r="D159" i="68"/>
  <c r="B159" i="68"/>
  <c r="F158" i="68"/>
  <c r="D158" i="68"/>
  <c r="B158" i="68"/>
  <c r="F157" i="68"/>
  <c r="D157" i="68"/>
  <c r="B157" i="68"/>
  <c r="F156" i="68"/>
  <c r="D156" i="68"/>
  <c r="B156" i="68"/>
  <c r="F155" i="68"/>
  <c r="D155" i="68"/>
  <c r="B155" i="68"/>
  <c r="F154" i="68"/>
  <c r="D154" i="68"/>
  <c r="B154" i="68"/>
  <c r="F153" i="68"/>
  <c r="D153" i="68"/>
  <c r="B153" i="68"/>
  <c r="F152" i="68"/>
  <c r="D152" i="68"/>
  <c r="B152" i="68"/>
  <c r="F151" i="68"/>
  <c r="D151" i="68"/>
  <c r="B151" i="68"/>
  <c r="F150" i="68"/>
  <c r="D150" i="68"/>
  <c r="B150" i="68"/>
  <c r="F149" i="68"/>
  <c r="D149" i="68"/>
  <c r="B149" i="68"/>
  <c r="F148" i="68"/>
  <c r="D148" i="68"/>
  <c r="B148" i="68"/>
  <c r="F147" i="68"/>
  <c r="D147" i="68"/>
  <c r="B147" i="68"/>
  <c r="F146" i="68"/>
  <c r="D146" i="68"/>
  <c r="B146" i="68"/>
  <c r="F145" i="68"/>
  <c r="D145" i="68"/>
  <c r="B145" i="68"/>
  <c r="F144" i="68"/>
  <c r="D144" i="68"/>
  <c r="B144" i="68"/>
  <c r="F143" i="68"/>
  <c r="D143" i="68"/>
  <c r="B143" i="68"/>
  <c r="F142" i="68"/>
  <c r="D142" i="68"/>
  <c r="B142" i="68"/>
  <c r="F141" i="68"/>
  <c r="D141" i="68"/>
  <c r="B141" i="68"/>
  <c r="F140" i="68"/>
  <c r="D140" i="68"/>
  <c r="B140" i="68"/>
  <c r="F139" i="68"/>
  <c r="D139" i="68"/>
  <c r="B139" i="68"/>
  <c r="F138" i="68"/>
  <c r="D138" i="68"/>
  <c r="B138" i="68"/>
  <c r="F137" i="68"/>
  <c r="D137" i="68"/>
  <c r="B137" i="68"/>
  <c r="F136" i="68"/>
  <c r="D136" i="68"/>
  <c r="B136" i="68"/>
  <c r="F135" i="68"/>
  <c r="D135" i="68"/>
  <c r="B135" i="68"/>
  <c r="F134" i="68"/>
  <c r="D134" i="68"/>
  <c r="B134" i="68"/>
  <c r="F133" i="68"/>
  <c r="D133" i="68"/>
  <c r="B133" i="68"/>
  <c r="F132" i="68"/>
  <c r="D132" i="68"/>
  <c r="B132" i="68"/>
  <c r="F131" i="68"/>
  <c r="D131" i="68"/>
  <c r="B131" i="68"/>
  <c r="F130" i="68"/>
  <c r="D130" i="68"/>
  <c r="B130" i="68"/>
  <c r="F129" i="68"/>
  <c r="D129" i="68"/>
  <c r="B129" i="68"/>
  <c r="F128" i="68"/>
  <c r="D128" i="68"/>
  <c r="B128" i="68"/>
  <c r="F127" i="68"/>
  <c r="D127" i="68"/>
  <c r="B127" i="68"/>
  <c r="F126" i="68"/>
  <c r="D126" i="68"/>
  <c r="B126" i="68"/>
  <c r="F125" i="68"/>
  <c r="D125" i="68"/>
  <c r="B125" i="68"/>
  <c r="F124" i="68"/>
  <c r="D124" i="68"/>
  <c r="B124" i="68"/>
  <c r="F123" i="68"/>
  <c r="D123" i="68"/>
  <c r="B123" i="68"/>
  <c r="F122" i="68"/>
  <c r="D122" i="68"/>
  <c r="B122" i="68"/>
  <c r="F121" i="68"/>
  <c r="D121" i="68"/>
  <c r="B121" i="68"/>
  <c r="F120" i="68"/>
  <c r="D120" i="68"/>
  <c r="B120" i="68"/>
  <c r="F119" i="68"/>
  <c r="D119" i="68"/>
  <c r="B119" i="68"/>
  <c r="F118" i="68"/>
  <c r="D118" i="68"/>
  <c r="B118" i="68"/>
  <c r="F117" i="68"/>
  <c r="D117" i="68"/>
  <c r="B117" i="68"/>
  <c r="F116" i="68"/>
  <c r="D116" i="68"/>
  <c r="B116" i="68"/>
  <c r="F115" i="68"/>
  <c r="D115" i="68"/>
  <c r="B115" i="68"/>
  <c r="F114" i="68"/>
  <c r="D114" i="68"/>
  <c r="B114" i="68"/>
  <c r="F113" i="68"/>
  <c r="D113" i="68"/>
  <c r="B113" i="68"/>
  <c r="F112" i="68"/>
  <c r="D112" i="68"/>
  <c r="B112" i="68"/>
  <c r="F111" i="68"/>
  <c r="D111" i="68"/>
  <c r="B111" i="68"/>
  <c r="F108" i="68"/>
  <c r="D108" i="68"/>
  <c r="B108" i="68"/>
  <c r="F107" i="68"/>
  <c r="D107" i="68"/>
  <c r="B107" i="68"/>
  <c r="F106" i="68"/>
  <c r="D106" i="68"/>
  <c r="B106" i="68"/>
  <c r="F105" i="68"/>
  <c r="D105" i="68"/>
  <c r="B105" i="68"/>
  <c r="F104" i="68"/>
  <c r="D104" i="68"/>
  <c r="B104" i="68"/>
  <c r="F103" i="68"/>
  <c r="D103" i="68"/>
  <c r="B103" i="68"/>
  <c r="F102" i="68"/>
  <c r="D102" i="68"/>
  <c r="B102" i="68"/>
  <c r="F101" i="68"/>
  <c r="D101" i="68"/>
  <c r="B101" i="68"/>
  <c r="F100" i="68"/>
  <c r="D100" i="68"/>
  <c r="B100" i="68"/>
  <c r="F99" i="68"/>
  <c r="D99" i="68"/>
  <c r="B99" i="68"/>
  <c r="F98" i="68"/>
  <c r="D98" i="68"/>
  <c r="B98" i="68"/>
  <c r="F97" i="68"/>
  <c r="D97" i="68"/>
  <c r="B97" i="68"/>
  <c r="F96" i="68"/>
  <c r="D96" i="68"/>
  <c r="B96" i="68"/>
  <c r="F95" i="68"/>
  <c r="D95" i="68"/>
  <c r="B95" i="68"/>
  <c r="F94" i="68"/>
  <c r="D94" i="68"/>
  <c r="B94" i="68"/>
  <c r="F93" i="68"/>
  <c r="D93" i="68"/>
  <c r="B93" i="68"/>
  <c r="F92" i="68"/>
  <c r="D92" i="68"/>
  <c r="B92" i="68"/>
  <c r="F91" i="68"/>
  <c r="D91" i="68"/>
  <c r="B91" i="68"/>
  <c r="F90" i="68"/>
  <c r="D90" i="68"/>
  <c r="B90" i="68"/>
  <c r="F89" i="68"/>
  <c r="D89" i="68"/>
  <c r="B89" i="68"/>
  <c r="F88" i="68"/>
  <c r="D88" i="68"/>
  <c r="B88" i="68"/>
  <c r="F87" i="68"/>
  <c r="D87" i="68"/>
  <c r="B87" i="68"/>
  <c r="F86" i="68"/>
  <c r="D86" i="68"/>
  <c r="B86" i="68"/>
  <c r="F85" i="68"/>
  <c r="D85" i="68"/>
  <c r="B85" i="68"/>
  <c r="F84" i="68"/>
  <c r="D84" i="68"/>
  <c r="B84" i="68"/>
  <c r="F83" i="68"/>
  <c r="D83" i="68"/>
  <c r="B83" i="68"/>
  <c r="F82" i="68"/>
  <c r="D82" i="68"/>
  <c r="B82" i="68"/>
  <c r="F81" i="68"/>
  <c r="D81" i="68"/>
  <c r="B81" i="68"/>
  <c r="F80" i="68"/>
  <c r="D80" i="68"/>
  <c r="B80" i="68"/>
  <c r="F79" i="68"/>
  <c r="D79" i="68"/>
  <c r="B79" i="68"/>
  <c r="F78" i="68"/>
  <c r="D78" i="68"/>
  <c r="B78" i="68"/>
  <c r="F77" i="68"/>
  <c r="D77" i="68"/>
  <c r="B77" i="68"/>
  <c r="F76" i="68"/>
  <c r="D76" i="68"/>
  <c r="B76" i="68"/>
  <c r="F75" i="68"/>
  <c r="D75" i="68"/>
  <c r="B75" i="68"/>
  <c r="F74" i="68"/>
  <c r="D74" i="68"/>
  <c r="B74" i="68"/>
  <c r="F73" i="68"/>
  <c r="D73" i="68"/>
  <c r="B73" i="68"/>
  <c r="F72" i="68"/>
  <c r="D72" i="68"/>
  <c r="B72" i="68"/>
  <c r="F71" i="68"/>
  <c r="D71" i="68"/>
  <c r="B71" i="68"/>
  <c r="F70" i="68"/>
  <c r="D70" i="68"/>
  <c r="B70" i="68"/>
  <c r="F69" i="68"/>
  <c r="D69" i="68"/>
  <c r="B69" i="68"/>
  <c r="F68" i="68"/>
  <c r="D68" i="68"/>
  <c r="B68" i="68"/>
  <c r="F67" i="68"/>
  <c r="D67" i="68"/>
  <c r="B67" i="68"/>
  <c r="F66" i="68"/>
  <c r="D66" i="68"/>
  <c r="B66" i="68"/>
  <c r="F65" i="68"/>
  <c r="D65" i="68"/>
  <c r="B65" i="68"/>
  <c r="F64" i="68"/>
  <c r="D64" i="68"/>
  <c r="B64" i="68"/>
  <c r="F63" i="68"/>
  <c r="D63" i="68"/>
  <c r="B63" i="68"/>
  <c r="F62" i="68"/>
  <c r="D62" i="68"/>
  <c r="B62" i="68"/>
  <c r="F61" i="68"/>
  <c r="D61" i="68"/>
  <c r="B61" i="68"/>
  <c r="F60" i="68"/>
  <c r="D60" i="68"/>
  <c r="B60" i="68"/>
  <c r="F57" i="68"/>
  <c r="D57" i="68"/>
  <c r="B57" i="68"/>
  <c r="F56" i="68"/>
  <c r="D56" i="68"/>
  <c r="B56" i="68"/>
  <c r="F55" i="68"/>
  <c r="D55" i="68"/>
  <c r="B55" i="68"/>
  <c r="F54" i="68"/>
  <c r="D54" i="68"/>
  <c r="B54" i="68"/>
  <c r="F53" i="68"/>
  <c r="D53" i="68"/>
  <c r="B53" i="68"/>
  <c r="F52" i="68"/>
  <c r="D52" i="68"/>
  <c r="B52" i="68"/>
  <c r="F51" i="68"/>
  <c r="D51" i="68"/>
  <c r="B51" i="68"/>
  <c r="F50" i="68"/>
  <c r="D50" i="68"/>
  <c r="B50" i="68"/>
  <c r="F49" i="68"/>
  <c r="D49" i="68"/>
  <c r="B49" i="68"/>
  <c r="F48" i="68"/>
  <c r="D48" i="68"/>
  <c r="B48" i="68"/>
  <c r="F47" i="68"/>
  <c r="D47" i="68"/>
  <c r="B47" i="68"/>
  <c r="F46" i="68"/>
  <c r="D46" i="68"/>
  <c r="B46" i="68"/>
  <c r="F45" i="68"/>
  <c r="D45" i="68"/>
  <c r="B45" i="68"/>
  <c r="F44" i="68"/>
  <c r="D44" i="68"/>
  <c r="B44" i="68"/>
  <c r="F43" i="68"/>
  <c r="D43" i="68"/>
  <c r="B43" i="68"/>
  <c r="F42" i="68"/>
  <c r="D42" i="68"/>
  <c r="B42" i="68"/>
  <c r="F41" i="68"/>
  <c r="D41" i="68"/>
  <c r="B41" i="68"/>
  <c r="F40" i="68"/>
  <c r="D40" i="68"/>
  <c r="B40" i="68"/>
  <c r="F39" i="68"/>
  <c r="D39" i="68"/>
  <c r="B39" i="68"/>
  <c r="F38" i="68"/>
  <c r="D38" i="68"/>
  <c r="B38" i="68"/>
  <c r="F37" i="68"/>
  <c r="D37" i="68"/>
  <c r="B37" i="68"/>
  <c r="F36" i="68"/>
  <c r="D36" i="68"/>
  <c r="B36" i="68"/>
  <c r="F35" i="68"/>
  <c r="D35" i="68"/>
  <c r="B35" i="68"/>
  <c r="F34" i="68"/>
  <c r="D34" i="68"/>
  <c r="B34" i="68"/>
  <c r="F33" i="68"/>
  <c r="D33" i="68"/>
  <c r="B33" i="68"/>
  <c r="F32" i="68"/>
  <c r="D32" i="68"/>
  <c r="B32" i="68"/>
  <c r="F31" i="68"/>
  <c r="D31" i="68"/>
  <c r="B31" i="68"/>
  <c r="F30" i="68"/>
  <c r="D30" i="68"/>
  <c r="B30" i="68"/>
  <c r="F29" i="68"/>
  <c r="D29" i="68"/>
  <c r="B29" i="68"/>
  <c r="F28" i="68"/>
  <c r="D28" i="68"/>
  <c r="B28" i="68"/>
  <c r="F27" i="68"/>
  <c r="D27" i="68"/>
  <c r="B27" i="68"/>
  <c r="F26" i="68"/>
  <c r="D26" i="68"/>
  <c r="B26" i="68"/>
  <c r="F25" i="68"/>
  <c r="D25" i="68"/>
  <c r="B25" i="68"/>
  <c r="F24" i="68"/>
  <c r="D24" i="68"/>
  <c r="B24" i="68"/>
  <c r="F23" i="68"/>
  <c r="D23" i="68"/>
  <c r="B23" i="68"/>
  <c r="F22" i="68"/>
  <c r="D22" i="68"/>
  <c r="B22" i="68"/>
  <c r="F21" i="68"/>
  <c r="D21" i="68"/>
  <c r="B21" i="68"/>
  <c r="F20" i="68"/>
  <c r="D20" i="68"/>
  <c r="B20" i="68"/>
  <c r="F19" i="68"/>
  <c r="D19" i="68"/>
  <c r="B19" i="68"/>
  <c r="F18" i="68"/>
  <c r="D18" i="68"/>
  <c r="B18" i="68"/>
  <c r="F17" i="68"/>
  <c r="D17" i="68"/>
  <c r="B17" i="68"/>
  <c r="F16" i="68"/>
  <c r="D16" i="68"/>
  <c r="B16" i="68"/>
  <c r="F15" i="68"/>
  <c r="D15" i="68"/>
  <c r="B15" i="68"/>
  <c r="F14" i="68"/>
  <c r="D14" i="68"/>
  <c r="B14" i="68"/>
  <c r="F13" i="68"/>
  <c r="D13" i="68"/>
  <c r="B13" i="68"/>
  <c r="F12" i="68"/>
  <c r="D12" i="68"/>
  <c r="B12" i="68"/>
  <c r="F11" i="68"/>
  <c r="D11" i="68"/>
  <c r="B11" i="68"/>
  <c r="F10" i="68"/>
  <c r="D10" i="68"/>
  <c r="B10" i="68"/>
  <c r="F9" i="68"/>
  <c r="D9" i="68"/>
  <c r="B9" i="68"/>
  <c r="F159" i="67"/>
  <c r="D159" i="67"/>
  <c r="B159" i="67"/>
  <c r="F158" i="67"/>
  <c r="D158" i="67"/>
  <c r="B158" i="67"/>
  <c r="F157" i="67"/>
  <c r="D157" i="67"/>
  <c r="B157" i="67"/>
  <c r="F156" i="67"/>
  <c r="D156" i="67"/>
  <c r="B156" i="67"/>
  <c r="F155" i="67"/>
  <c r="D155" i="67"/>
  <c r="B155" i="67"/>
  <c r="F154" i="67"/>
  <c r="D154" i="67"/>
  <c r="B154" i="67"/>
  <c r="F153" i="67"/>
  <c r="D153" i="67"/>
  <c r="B153" i="67"/>
  <c r="F152" i="67"/>
  <c r="D152" i="67"/>
  <c r="B152" i="67"/>
  <c r="F151" i="67"/>
  <c r="D151" i="67"/>
  <c r="B151" i="67"/>
  <c r="F150" i="67"/>
  <c r="D150" i="67"/>
  <c r="B150" i="67"/>
  <c r="F149" i="67"/>
  <c r="D149" i="67"/>
  <c r="B149" i="67"/>
  <c r="F148" i="67"/>
  <c r="D148" i="67"/>
  <c r="B148" i="67"/>
  <c r="F147" i="67"/>
  <c r="D147" i="67"/>
  <c r="B147" i="67"/>
  <c r="F146" i="67"/>
  <c r="D146" i="67"/>
  <c r="B146" i="67"/>
  <c r="F145" i="67"/>
  <c r="D145" i="67"/>
  <c r="B145" i="67"/>
  <c r="F144" i="67"/>
  <c r="D144" i="67"/>
  <c r="B144" i="67"/>
  <c r="F143" i="67"/>
  <c r="D143" i="67"/>
  <c r="B143" i="67"/>
  <c r="F142" i="67"/>
  <c r="D142" i="67"/>
  <c r="B142" i="67"/>
  <c r="F141" i="67"/>
  <c r="D141" i="67"/>
  <c r="B141" i="67"/>
  <c r="F140" i="67"/>
  <c r="D140" i="67"/>
  <c r="B140" i="67"/>
  <c r="F139" i="67"/>
  <c r="D139" i="67"/>
  <c r="B139" i="67"/>
  <c r="F138" i="67"/>
  <c r="D138" i="67"/>
  <c r="B138" i="67"/>
  <c r="F137" i="67"/>
  <c r="D137" i="67"/>
  <c r="B137" i="67"/>
  <c r="F136" i="67"/>
  <c r="D136" i="67"/>
  <c r="B136" i="67"/>
  <c r="F135" i="67"/>
  <c r="D135" i="67"/>
  <c r="B135" i="67"/>
  <c r="F134" i="67"/>
  <c r="D134" i="67"/>
  <c r="B134" i="67"/>
  <c r="F133" i="67"/>
  <c r="D133" i="67"/>
  <c r="B133" i="67"/>
  <c r="F132" i="67"/>
  <c r="D132" i="67"/>
  <c r="B132" i="67"/>
  <c r="F131" i="67"/>
  <c r="D131" i="67"/>
  <c r="B131" i="67"/>
  <c r="F130" i="67"/>
  <c r="D130" i="67"/>
  <c r="B130" i="67"/>
  <c r="F129" i="67"/>
  <c r="D129" i="67"/>
  <c r="B129" i="67"/>
  <c r="F128" i="67"/>
  <c r="D128" i="67"/>
  <c r="B128" i="67"/>
  <c r="F127" i="67"/>
  <c r="D127" i="67"/>
  <c r="B127" i="67"/>
  <c r="F126" i="67"/>
  <c r="D126" i="67"/>
  <c r="B126" i="67"/>
  <c r="F125" i="67"/>
  <c r="D125" i="67"/>
  <c r="B125" i="67"/>
  <c r="F124" i="67"/>
  <c r="D124" i="67"/>
  <c r="B124" i="67"/>
  <c r="F123" i="67"/>
  <c r="D123" i="67"/>
  <c r="B123" i="67"/>
  <c r="F122" i="67"/>
  <c r="D122" i="67"/>
  <c r="B122" i="67"/>
  <c r="F121" i="67"/>
  <c r="D121" i="67"/>
  <c r="B121" i="67"/>
  <c r="F120" i="67"/>
  <c r="D120" i="67"/>
  <c r="B120" i="67"/>
  <c r="F119" i="67"/>
  <c r="D119" i="67"/>
  <c r="B119" i="67"/>
  <c r="F118" i="67"/>
  <c r="D118" i="67"/>
  <c r="B118" i="67"/>
  <c r="F117" i="67"/>
  <c r="D117" i="67"/>
  <c r="B117" i="67"/>
  <c r="F116" i="67"/>
  <c r="D116" i="67"/>
  <c r="B116" i="67"/>
  <c r="F115" i="67"/>
  <c r="D115" i="67"/>
  <c r="B115" i="67"/>
  <c r="F114" i="67"/>
  <c r="D114" i="67"/>
  <c r="B114" i="67"/>
  <c r="F113" i="67"/>
  <c r="D113" i="67"/>
  <c r="B113" i="67"/>
  <c r="F112" i="67"/>
  <c r="D112" i="67"/>
  <c r="B112" i="67"/>
  <c r="F111" i="67"/>
  <c r="D111" i="67"/>
  <c r="B111" i="67"/>
  <c r="F108" i="67"/>
  <c r="D108" i="67"/>
  <c r="B108" i="67"/>
  <c r="F107" i="67"/>
  <c r="D107" i="67"/>
  <c r="B107" i="67"/>
  <c r="F106" i="67"/>
  <c r="D106" i="67"/>
  <c r="B106" i="67"/>
  <c r="F105" i="67"/>
  <c r="D105" i="67"/>
  <c r="B105" i="67"/>
  <c r="F104" i="67"/>
  <c r="D104" i="67"/>
  <c r="B104" i="67"/>
  <c r="F103" i="67"/>
  <c r="D103" i="67"/>
  <c r="B103" i="67"/>
  <c r="F102" i="67"/>
  <c r="D102" i="67"/>
  <c r="B102" i="67"/>
  <c r="F101" i="67"/>
  <c r="D101" i="67"/>
  <c r="B101" i="67"/>
  <c r="F100" i="67"/>
  <c r="D100" i="67"/>
  <c r="B100" i="67"/>
  <c r="F99" i="67"/>
  <c r="D99" i="67"/>
  <c r="B99" i="67"/>
  <c r="F98" i="67"/>
  <c r="D98" i="67"/>
  <c r="B98" i="67"/>
  <c r="F97" i="67"/>
  <c r="D97" i="67"/>
  <c r="B97" i="67"/>
  <c r="F96" i="67"/>
  <c r="D96" i="67"/>
  <c r="B96" i="67"/>
  <c r="F95" i="67"/>
  <c r="D95" i="67"/>
  <c r="B95" i="67"/>
  <c r="F94" i="67"/>
  <c r="D94" i="67"/>
  <c r="B94" i="67"/>
  <c r="F93" i="67"/>
  <c r="D93" i="67"/>
  <c r="B93" i="67"/>
  <c r="F92" i="67"/>
  <c r="D92" i="67"/>
  <c r="B92" i="67"/>
  <c r="F91" i="67"/>
  <c r="D91" i="67"/>
  <c r="B91" i="67"/>
  <c r="F90" i="67"/>
  <c r="D90" i="67"/>
  <c r="B90" i="67"/>
  <c r="F89" i="67"/>
  <c r="D89" i="67"/>
  <c r="B89" i="67"/>
  <c r="F88" i="67"/>
  <c r="D88" i="67"/>
  <c r="B88" i="67"/>
  <c r="F87" i="67"/>
  <c r="D87" i="67"/>
  <c r="B87" i="67"/>
  <c r="F86" i="67"/>
  <c r="D86" i="67"/>
  <c r="B86" i="67"/>
  <c r="F85" i="67"/>
  <c r="D85" i="67"/>
  <c r="B85" i="67"/>
  <c r="F84" i="67"/>
  <c r="D84" i="67"/>
  <c r="B84" i="67"/>
  <c r="F83" i="67"/>
  <c r="D83" i="67"/>
  <c r="B83" i="67"/>
  <c r="F82" i="67"/>
  <c r="D82" i="67"/>
  <c r="B82" i="67"/>
  <c r="F81" i="67"/>
  <c r="D81" i="67"/>
  <c r="B81" i="67"/>
  <c r="F80" i="67"/>
  <c r="D80" i="67"/>
  <c r="B80" i="67"/>
  <c r="F79" i="67"/>
  <c r="D79" i="67"/>
  <c r="B79" i="67"/>
  <c r="F78" i="67"/>
  <c r="D78" i="67"/>
  <c r="B78" i="67"/>
  <c r="F77" i="67"/>
  <c r="D77" i="67"/>
  <c r="B77" i="67"/>
  <c r="F76" i="67"/>
  <c r="D76" i="67"/>
  <c r="B76" i="67"/>
  <c r="F75" i="67"/>
  <c r="D75" i="67"/>
  <c r="B75" i="67"/>
  <c r="F74" i="67"/>
  <c r="D74" i="67"/>
  <c r="B74" i="67"/>
  <c r="F73" i="67"/>
  <c r="D73" i="67"/>
  <c r="B73" i="67"/>
  <c r="F72" i="67"/>
  <c r="D72" i="67"/>
  <c r="B72" i="67"/>
  <c r="F71" i="67"/>
  <c r="D71" i="67"/>
  <c r="B71" i="67"/>
  <c r="F70" i="67"/>
  <c r="D70" i="67"/>
  <c r="B70" i="67"/>
  <c r="F69" i="67"/>
  <c r="D69" i="67"/>
  <c r="B69" i="67"/>
  <c r="F68" i="67"/>
  <c r="D68" i="67"/>
  <c r="B68" i="67"/>
  <c r="F67" i="67"/>
  <c r="D67" i="67"/>
  <c r="B67" i="67"/>
  <c r="F66" i="67"/>
  <c r="D66" i="67"/>
  <c r="B66" i="67"/>
  <c r="F65" i="67"/>
  <c r="D65" i="67"/>
  <c r="B65" i="67"/>
  <c r="F64" i="67"/>
  <c r="D64" i="67"/>
  <c r="B64" i="67"/>
  <c r="F63" i="67"/>
  <c r="D63" i="67"/>
  <c r="B63" i="67"/>
  <c r="F62" i="67"/>
  <c r="D62" i="67"/>
  <c r="B62" i="67"/>
  <c r="F61" i="67"/>
  <c r="D61" i="67"/>
  <c r="B61" i="67"/>
  <c r="F60" i="67"/>
  <c r="D60" i="67"/>
  <c r="B60" i="67"/>
  <c r="F57" i="67"/>
  <c r="D57" i="67"/>
  <c r="B57" i="67"/>
  <c r="F56" i="67"/>
  <c r="D56" i="67"/>
  <c r="B56" i="67"/>
  <c r="F55" i="67"/>
  <c r="D55" i="67"/>
  <c r="B55" i="67"/>
  <c r="F54" i="67"/>
  <c r="D54" i="67"/>
  <c r="B54" i="67"/>
  <c r="F53" i="67"/>
  <c r="D53" i="67"/>
  <c r="B53" i="67"/>
  <c r="F52" i="67"/>
  <c r="D52" i="67"/>
  <c r="B52" i="67"/>
  <c r="F51" i="67"/>
  <c r="D51" i="67"/>
  <c r="B51" i="67"/>
  <c r="F50" i="67"/>
  <c r="D50" i="67"/>
  <c r="B50" i="67"/>
  <c r="F49" i="67"/>
  <c r="D49" i="67"/>
  <c r="B49" i="67"/>
  <c r="F48" i="67"/>
  <c r="D48" i="67"/>
  <c r="B48" i="67"/>
  <c r="F47" i="67"/>
  <c r="D47" i="67"/>
  <c r="B47" i="67"/>
  <c r="F46" i="67"/>
  <c r="D46" i="67"/>
  <c r="B46" i="67"/>
  <c r="F45" i="67"/>
  <c r="D45" i="67"/>
  <c r="B45" i="67"/>
  <c r="F44" i="67"/>
  <c r="D44" i="67"/>
  <c r="B44" i="67"/>
  <c r="F43" i="67"/>
  <c r="D43" i="67"/>
  <c r="B43" i="67"/>
  <c r="F42" i="67"/>
  <c r="D42" i="67"/>
  <c r="B42" i="67"/>
  <c r="F41" i="67"/>
  <c r="D41" i="67"/>
  <c r="B41" i="67"/>
  <c r="F40" i="67"/>
  <c r="D40" i="67"/>
  <c r="B40" i="67"/>
  <c r="F39" i="67"/>
  <c r="D39" i="67"/>
  <c r="B39" i="67"/>
  <c r="F38" i="67"/>
  <c r="D38" i="67"/>
  <c r="B38" i="67"/>
  <c r="F37" i="67"/>
  <c r="D37" i="67"/>
  <c r="B37" i="67"/>
  <c r="F36" i="67"/>
  <c r="D36" i="67"/>
  <c r="B36" i="67"/>
  <c r="F35" i="67"/>
  <c r="D35" i="67"/>
  <c r="B35" i="67"/>
  <c r="F34" i="67"/>
  <c r="D34" i="67"/>
  <c r="B34" i="67"/>
  <c r="F33" i="67"/>
  <c r="D33" i="67"/>
  <c r="B33" i="67"/>
  <c r="F32" i="67"/>
  <c r="D32" i="67"/>
  <c r="B32" i="67"/>
  <c r="F31" i="67"/>
  <c r="D31" i="67"/>
  <c r="B31" i="67"/>
  <c r="F30" i="67"/>
  <c r="D30" i="67"/>
  <c r="B30" i="67"/>
  <c r="F29" i="67"/>
  <c r="D29" i="67"/>
  <c r="B29" i="67"/>
  <c r="F28" i="67"/>
  <c r="D28" i="67"/>
  <c r="B28" i="67"/>
  <c r="F27" i="67"/>
  <c r="D27" i="67"/>
  <c r="B27" i="67"/>
  <c r="F26" i="67"/>
  <c r="D26" i="67"/>
  <c r="B26" i="67"/>
  <c r="F25" i="67"/>
  <c r="D25" i="67"/>
  <c r="B25" i="67"/>
  <c r="F24" i="67"/>
  <c r="D24" i="67"/>
  <c r="B24" i="67"/>
  <c r="F23" i="67"/>
  <c r="D23" i="67"/>
  <c r="B23" i="67"/>
  <c r="F22" i="67"/>
  <c r="D22" i="67"/>
  <c r="B22" i="67"/>
  <c r="F21" i="67"/>
  <c r="D21" i="67"/>
  <c r="B21" i="67"/>
  <c r="F20" i="67"/>
  <c r="D20" i="67"/>
  <c r="B20" i="67"/>
  <c r="F19" i="67"/>
  <c r="D19" i="67"/>
  <c r="B19" i="67"/>
  <c r="F18" i="67"/>
  <c r="D18" i="67"/>
  <c r="B18" i="67"/>
  <c r="F17" i="67"/>
  <c r="D17" i="67"/>
  <c r="B17" i="67"/>
  <c r="F16" i="67"/>
  <c r="D16" i="67"/>
  <c r="B16" i="67"/>
  <c r="F15" i="67"/>
  <c r="D15" i="67"/>
  <c r="B15" i="67"/>
  <c r="F14" i="67"/>
  <c r="D14" i="67"/>
  <c r="B14" i="67"/>
  <c r="F13" i="67"/>
  <c r="D13" i="67"/>
  <c r="B13" i="67"/>
  <c r="F12" i="67"/>
  <c r="D12" i="67"/>
  <c r="B12" i="67"/>
  <c r="F11" i="67"/>
  <c r="D11" i="67"/>
  <c r="B11" i="67"/>
  <c r="F10" i="67"/>
  <c r="D10" i="67"/>
  <c r="B10" i="67"/>
  <c r="F9" i="67"/>
  <c r="D9" i="67"/>
  <c r="B9" i="67"/>
  <c r="F159" i="69"/>
  <c r="D159" i="69"/>
  <c r="B159" i="69"/>
  <c r="F158" i="69"/>
  <c r="D158" i="69"/>
  <c r="B158" i="69"/>
  <c r="F157" i="69"/>
  <c r="D157" i="69"/>
  <c r="B157" i="69"/>
  <c r="F156" i="69"/>
  <c r="D156" i="69"/>
  <c r="B156" i="69"/>
  <c r="F155" i="69"/>
  <c r="D155" i="69"/>
  <c r="B155" i="69"/>
  <c r="F154" i="69"/>
  <c r="D154" i="69"/>
  <c r="B154" i="69"/>
  <c r="F153" i="69"/>
  <c r="D153" i="69"/>
  <c r="B153" i="69"/>
  <c r="F152" i="69"/>
  <c r="D152" i="69"/>
  <c r="B152" i="69"/>
  <c r="F151" i="69"/>
  <c r="D151" i="69"/>
  <c r="B151" i="69"/>
  <c r="F150" i="69"/>
  <c r="D150" i="69"/>
  <c r="B150" i="69"/>
  <c r="F149" i="69"/>
  <c r="D149" i="69"/>
  <c r="B149" i="69"/>
  <c r="F148" i="69"/>
  <c r="D148" i="69"/>
  <c r="B148" i="69"/>
  <c r="F147" i="69"/>
  <c r="D147" i="69"/>
  <c r="B147" i="69"/>
  <c r="F146" i="69"/>
  <c r="D146" i="69"/>
  <c r="B146" i="69"/>
  <c r="F145" i="69"/>
  <c r="D145" i="69"/>
  <c r="B145" i="69"/>
  <c r="F144" i="69"/>
  <c r="D144" i="69"/>
  <c r="B144" i="69"/>
  <c r="F143" i="69"/>
  <c r="D143" i="69"/>
  <c r="B143" i="69"/>
  <c r="F142" i="69"/>
  <c r="D142" i="69"/>
  <c r="B142" i="69"/>
  <c r="F141" i="69"/>
  <c r="D141" i="69"/>
  <c r="B141" i="69"/>
  <c r="F140" i="69"/>
  <c r="D140" i="69"/>
  <c r="B140" i="69"/>
  <c r="F139" i="69"/>
  <c r="D139" i="69"/>
  <c r="B139" i="69"/>
  <c r="F138" i="69"/>
  <c r="D138" i="69"/>
  <c r="B138" i="69"/>
  <c r="F137" i="69"/>
  <c r="D137" i="69"/>
  <c r="B137" i="69"/>
  <c r="F136" i="69"/>
  <c r="D136" i="69"/>
  <c r="B136" i="69"/>
  <c r="F135" i="69"/>
  <c r="D135" i="69"/>
  <c r="B135" i="69"/>
  <c r="F134" i="69"/>
  <c r="D134" i="69"/>
  <c r="B134" i="69"/>
  <c r="F133" i="69"/>
  <c r="D133" i="69"/>
  <c r="B133" i="69"/>
  <c r="F132" i="69"/>
  <c r="D132" i="69"/>
  <c r="B132" i="69"/>
  <c r="F131" i="69"/>
  <c r="D131" i="69"/>
  <c r="B131" i="69"/>
  <c r="F130" i="69"/>
  <c r="D130" i="69"/>
  <c r="B130" i="69"/>
  <c r="F129" i="69"/>
  <c r="D129" i="69"/>
  <c r="B129" i="69"/>
  <c r="F128" i="69"/>
  <c r="D128" i="69"/>
  <c r="B128" i="69"/>
  <c r="F127" i="69"/>
  <c r="D127" i="69"/>
  <c r="B127" i="69"/>
  <c r="F126" i="69"/>
  <c r="D126" i="69"/>
  <c r="B126" i="69"/>
  <c r="F125" i="69"/>
  <c r="D125" i="69"/>
  <c r="B125" i="69"/>
  <c r="F124" i="69"/>
  <c r="D124" i="69"/>
  <c r="B124" i="69"/>
  <c r="F123" i="69"/>
  <c r="D123" i="69"/>
  <c r="B123" i="69"/>
  <c r="F122" i="69"/>
  <c r="D122" i="69"/>
  <c r="B122" i="69"/>
  <c r="F121" i="69"/>
  <c r="D121" i="69"/>
  <c r="B121" i="69"/>
  <c r="F120" i="69"/>
  <c r="D120" i="69"/>
  <c r="B120" i="69"/>
  <c r="F119" i="69"/>
  <c r="D119" i="69"/>
  <c r="B119" i="69"/>
  <c r="F118" i="69"/>
  <c r="D118" i="69"/>
  <c r="B118" i="69"/>
  <c r="F117" i="69"/>
  <c r="D117" i="69"/>
  <c r="B117" i="69"/>
  <c r="F116" i="69"/>
  <c r="D116" i="69"/>
  <c r="B116" i="69"/>
  <c r="F115" i="69"/>
  <c r="D115" i="69"/>
  <c r="B115" i="69"/>
  <c r="F114" i="69"/>
  <c r="D114" i="69"/>
  <c r="B114" i="69"/>
  <c r="F113" i="69"/>
  <c r="D113" i="69"/>
  <c r="B113" i="69"/>
  <c r="F112" i="69"/>
  <c r="D112" i="69"/>
  <c r="B112" i="69"/>
  <c r="F111" i="69"/>
  <c r="D111" i="69"/>
  <c r="B111" i="69"/>
  <c r="F108" i="69"/>
  <c r="D108" i="69"/>
  <c r="B108" i="69"/>
  <c r="F107" i="69"/>
  <c r="D107" i="69"/>
  <c r="B107" i="69"/>
  <c r="F106" i="69"/>
  <c r="D106" i="69"/>
  <c r="B106" i="69"/>
  <c r="F105" i="69"/>
  <c r="D105" i="69"/>
  <c r="B105" i="69"/>
  <c r="F104" i="69"/>
  <c r="D104" i="69"/>
  <c r="B104" i="69"/>
  <c r="F103" i="69"/>
  <c r="D103" i="69"/>
  <c r="B103" i="69"/>
  <c r="F102" i="69"/>
  <c r="D102" i="69"/>
  <c r="B102" i="69"/>
  <c r="F101" i="69"/>
  <c r="D101" i="69"/>
  <c r="B101" i="69"/>
  <c r="F100" i="69"/>
  <c r="D100" i="69"/>
  <c r="B100" i="69"/>
  <c r="F99" i="69"/>
  <c r="D99" i="69"/>
  <c r="B99" i="69"/>
  <c r="F98" i="69"/>
  <c r="D98" i="69"/>
  <c r="B98" i="69"/>
  <c r="F97" i="69"/>
  <c r="D97" i="69"/>
  <c r="B97" i="69"/>
  <c r="F96" i="69"/>
  <c r="D96" i="69"/>
  <c r="B96" i="69"/>
  <c r="F95" i="69"/>
  <c r="D95" i="69"/>
  <c r="B95" i="69"/>
  <c r="F94" i="69"/>
  <c r="D94" i="69"/>
  <c r="B94" i="69"/>
  <c r="F93" i="69"/>
  <c r="D93" i="69"/>
  <c r="B93" i="69"/>
  <c r="F92" i="69"/>
  <c r="D92" i="69"/>
  <c r="B92" i="69"/>
  <c r="F91" i="69"/>
  <c r="D91" i="69"/>
  <c r="B91" i="69"/>
  <c r="F90" i="69"/>
  <c r="D90" i="69"/>
  <c r="B90" i="69"/>
  <c r="F89" i="69"/>
  <c r="D89" i="69"/>
  <c r="B89" i="69"/>
  <c r="F88" i="69"/>
  <c r="D88" i="69"/>
  <c r="B88" i="69"/>
  <c r="F87" i="69"/>
  <c r="D87" i="69"/>
  <c r="B87" i="69"/>
  <c r="F86" i="69"/>
  <c r="D86" i="69"/>
  <c r="B86" i="69"/>
  <c r="F85" i="69"/>
  <c r="D85" i="69"/>
  <c r="B85" i="69"/>
  <c r="F84" i="69"/>
  <c r="D84" i="69"/>
  <c r="B84" i="69"/>
  <c r="F83" i="69"/>
  <c r="D83" i="69"/>
  <c r="B83" i="69"/>
  <c r="F82" i="69"/>
  <c r="D82" i="69"/>
  <c r="B82" i="69"/>
  <c r="F81" i="69"/>
  <c r="D81" i="69"/>
  <c r="B81" i="69"/>
  <c r="F80" i="69"/>
  <c r="D80" i="69"/>
  <c r="B80" i="69"/>
  <c r="F79" i="69"/>
  <c r="D79" i="69"/>
  <c r="B79" i="69"/>
  <c r="F78" i="69"/>
  <c r="D78" i="69"/>
  <c r="B78" i="69"/>
  <c r="F77" i="69"/>
  <c r="D77" i="69"/>
  <c r="B77" i="69"/>
  <c r="F76" i="69"/>
  <c r="D76" i="69"/>
  <c r="B76" i="69"/>
  <c r="F75" i="69"/>
  <c r="D75" i="69"/>
  <c r="B75" i="69"/>
  <c r="F74" i="69"/>
  <c r="D74" i="69"/>
  <c r="B74" i="69"/>
  <c r="F73" i="69"/>
  <c r="D73" i="69"/>
  <c r="B73" i="69"/>
  <c r="F72" i="69"/>
  <c r="D72" i="69"/>
  <c r="B72" i="69"/>
  <c r="F71" i="69"/>
  <c r="D71" i="69"/>
  <c r="B71" i="69"/>
  <c r="F70" i="69"/>
  <c r="D70" i="69"/>
  <c r="B70" i="69"/>
  <c r="F69" i="69"/>
  <c r="D69" i="69"/>
  <c r="B69" i="69"/>
  <c r="F68" i="69"/>
  <c r="D68" i="69"/>
  <c r="B68" i="69"/>
  <c r="F67" i="69"/>
  <c r="D67" i="69"/>
  <c r="B67" i="69"/>
  <c r="F66" i="69"/>
  <c r="D66" i="69"/>
  <c r="B66" i="69"/>
  <c r="F65" i="69"/>
  <c r="D65" i="69"/>
  <c r="B65" i="69"/>
  <c r="F64" i="69"/>
  <c r="D64" i="69"/>
  <c r="B64" i="69"/>
  <c r="F63" i="69"/>
  <c r="D63" i="69"/>
  <c r="B63" i="69"/>
  <c r="F62" i="69"/>
  <c r="D62" i="69"/>
  <c r="B62" i="69"/>
  <c r="F61" i="69"/>
  <c r="D61" i="69"/>
  <c r="B61" i="69"/>
  <c r="F60" i="69"/>
  <c r="D60" i="69"/>
  <c r="B60" i="69"/>
  <c r="F57" i="69"/>
  <c r="D57" i="69"/>
  <c r="B57" i="69"/>
  <c r="F56" i="69"/>
  <c r="D56" i="69"/>
  <c r="B56" i="69"/>
  <c r="F55" i="69"/>
  <c r="D55" i="69"/>
  <c r="B55" i="69"/>
  <c r="F54" i="69"/>
  <c r="D54" i="69"/>
  <c r="B54" i="69"/>
  <c r="F53" i="69"/>
  <c r="D53" i="69"/>
  <c r="B53" i="69"/>
  <c r="F52" i="69"/>
  <c r="D52" i="69"/>
  <c r="B52" i="69"/>
  <c r="F51" i="69"/>
  <c r="D51" i="69"/>
  <c r="B51" i="69"/>
  <c r="F50" i="69"/>
  <c r="D50" i="69"/>
  <c r="B50" i="69"/>
  <c r="F49" i="69"/>
  <c r="D49" i="69"/>
  <c r="B49" i="69"/>
  <c r="F48" i="69"/>
  <c r="D48" i="69"/>
  <c r="B48" i="69"/>
  <c r="F47" i="69"/>
  <c r="D47" i="69"/>
  <c r="B47" i="69"/>
  <c r="F46" i="69"/>
  <c r="D46" i="69"/>
  <c r="B46" i="69"/>
  <c r="F45" i="69"/>
  <c r="D45" i="69"/>
  <c r="B45" i="69"/>
  <c r="F44" i="69"/>
  <c r="D44" i="69"/>
  <c r="B44" i="69"/>
  <c r="F43" i="69"/>
  <c r="D43" i="69"/>
  <c r="B43" i="69"/>
  <c r="F42" i="69"/>
  <c r="D42" i="69"/>
  <c r="B42" i="69"/>
  <c r="F41" i="69"/>
  <c r="D41" i="69"/>
  <c r="B41" i="69"/>
  <c r="F40" i="69"/>
  <c r="D40" i="69"/>
  <c r="B40" i="69"/>
  <c r="F39" i="69"/>
  <c r="D39" i="69"/>
  <c r="B39" i="69"/>
  <c r="F38" i="69"/>
  <c r="D38" i="69"/>
  <c r="B38" i="69"/>
  <c r="F37" i="69"/>
  <c r="D37" i="69"/>
  <c r="B37" i="69"/>
  <c r="F36" i="69"/>
  <c r="D36" i="69"/>
  <c r="B36" i="69"/>
  <c r="F35" i="69"/>
  <c r="D35" i="69"/>
  <c r="B35" i="69"/>
  <c r="F34" i="69"/>
  <c r="D34" i="69"/>
  <c r="B34" i="69"/>
  <c r="F33" i="69"/>
  <c r="D33" i="69"/>
  <c r="B33" i="69"/>
  <c r="F32" i="69"/>
  <c r="D32" i="69"/>
  <c r="B32" i="69"/>
  <c r="F31" i="69"/>
  <c r="D31" i="69"/>
  <c r="B31" i="69"/>
  <c r="F30" i="69"/>
  <c r="D30" i="69"/>
  <c r="B30" i="69"/>
  <c r="F29" i="69"/>
  <c r="D29" i="69"/>
  <c r="B29" i="69"/>
  <c r="F28" i="69"/>
  <c r="D28" i="69"/>
  <c r="B28" i="69"/>
  <c r="F27" i="69"/>
  <c r="D27" i="69"/>
  <c r="B27" i="69"/>
  <c r="F26" i="69"/>
  <c r="D26" i="69"/>
  <c r="B26" i="69"/>
  <c r="F25" i="69"/>
  <c r="D25" i="69"/>
  <c r="B25" i="69"/>
  <c r="F24" i="69"/>
  <c r="D24" i="69"/>
  <c r="B24" i="69"/>
  <c r="F23" i="69"/>
  <c r="D23" i="69"/>
  <c r="B23" i="69"/>
  <c r="F22" i="69"/>
  <c r="D22" i="69"/>
  <c r="B22" i="69"/>
  <c r="F21" i="69"/>
  <c r="D21" i="69"/>
  <c r="B21" i="69"/>
  <c r="F20" i="69"/>
  <c r="D20" i="69"/>
  <c r="B20" i="69"/>
  <c r="F19" i="69"/>
  <c r="D19" i="69"/>
  <c r="B19" i="69"/>
  <c r="F18" i="69"/>
  <c r="D18" i="69"/>
  <c r="B18" i="69"/>
  <c r="F17" i="69"/>
  <c r="D17" i="69"/>
  <c r="B17" i="69"/>
  <c r="F16" i="69"/>
  <c r="D16" i="69"/>
  <c r="B16" i="69"/>
  <c r="F15" i="69"/>
  <c r="D15" i="69"/>
  <c r="B15" i="69"/>
  <c r="F14" i="69"/>
  <c r="D14" i="69"/>
  <c r="B14" i="69"/>
  <c r="F13" i="69"/>
  <c r="D13" i="69"/>
  <c r="B13" i="69"/>
  <c r="F12" i="69"/>
  <c r="D12" i="69"/>
  <c r="B12" i="69"/>
  <c r="F11" i="69"/>
  <c r="D11" i="69"/>
  <c r="B11" i="69"/>
  <c r="F10" i="69"/>
  <c r="D10" i="69"/>
  <c r="B10" i="69"/>
  <c r="F9" i="69"/>
  <c r="D9" i="69"/>
  <c r="B9" i="69"/>
  <c r="F159" i="66"/>
  <c r="D159" i="66"/>
  <c r="B159" i="66"/>
  <c r="F158" i="66"/>
  <c r="D158" i="66"/>
  <c r="B158" i="66"/>
  <c r="F157" i="66"/>
  <c r="D157" i="66"/>
  <c r="B157" i="66"/>
  <c r="F156" i="66"/>
  <c r="D156" i="66"/>
  <c r="B156" i="66"/>
  <c r="F155" i="66"/>
  <c r="D155" i="66"/>
  <c r="B155" i="66"/>
  <c r="F154" i="66"/>
  <c r="D154" i="66"/>
  <c r="B154" i="66"/>
  <c r="F153" i="66"/>
  <c r="D153" i="66"/>
  <c r="B153" i="66"/>
  <c r="F152" i="66"/>
  <c r="D152" i="66"/>
  <c r="B152" i="66"/>
  <c r="F151" i="66"/>
  <c r="D151" i="66"/>
  <c r="B151" i="66"/>
  <c r="F150" i="66"/>
  <c r="D150" i="66"/>
  <c r="B150" i="66"/>
  <c r="F149" i="66"/>
  <c r="D149" i="66"/>
  <c r="B149" i="66"/>
  <c r="F148" i="66"/>
  <c r="D148" i="66"/>
  <c r="B148" i="66"/>
  <c r="F147" i="66"/>
  <c r="D147" i="66"/>
  <c r="B147" i="66"/>
  <c r="F146" i="66"/>
  <c r="D146" i="66"/>
  <c r="B146" i="66"/>
  <c r="F145" i="66"/>
  <c r="D145" i="66"/>
  <c r="B145" i="66"/>
  <c r="F144" i="66"/>
  <c r="D144" i="66"/>
  <c r="B144" i="66"/>
  <c r="F143" i="66"/>
  <c r="D143" i="66"/>
  <c r="B143" i="66"/>
  <c r="F142" i="66"/>
  <c r="D142" i="66"/>
  <c r="B142" i="66"/>
  <c r="F141" i="66"/>
  <c r="D141" i="66"/>
  <c r="B141" i="66"/>
  <c r="F140" i="66"/>
  <c r="D140" i="66"/>
  <c r="B140" i="66"/>
  <c r="F139" i="66"/>
  <c r="D139" i="66"/>
  <c r="B139" i="66"/>
  <c r="F138" i="66"/>
  <c r="D138" i="66"/>
  <c r="B138" i="66"/>
  <c r="F137" i="66"/>
  <c r="D137" i="66"/>
  <c r="B137" i="66"/>
  <c r="F136" i="66"/>
  <c r="D136" i="66"/>
  <c r="B136" i="66"/>
  <c r="F135" i="66"/>
  <c r="D135" i="66"/>
  <c r="B135" i="66"/>
  <c r="F134" i="66"/>
  <c r="D134" i="66"/>
  <c r="B134" i="66"/>
  <c r="F133" i="66"/>
  <c r="D133" i="66"/>
  <c r="B133" i="66"/>
  <c r="F132" i="66"/>
  <c r="D132" i="66"/>
  <c r="B132" i="66"/>
  <c r="F131" i="66"/>
  <c r="D131" i="66"/>
  <c r="B131" i="66"/>
  <c r="F130" i="66"/>
  <c r="D130" i="66"/>
  <c r="B130" i="66"/>
  <c r="F129" i="66"/>
  <c r="D129" i="66"/>
  <c r="B129" i="66"/>
  <c r="F128" i="66"/>
  <c r="D128" i="66"/>
  <c r="B128" i="66"/>
  <c r="F127" i="66"/>
  <c r="D127" i="66"/>
  <c r="B127" i="66"/>
  <c r="F126" i="66"/>
  <c r="D126" i="66"/>
  <c r="B126" i="66"/>
  <c r="F125" i="66"/>
  <c r="D125" i="66"/>
  <c r="B125" i="66"/>
  <c r="F124" i="66"/>
  <c r="D124" i="66"/>
  <c r="B124" i="66"/>
  <c r="F123" i="66"/>
  <c r="D123" i="66"/>
  <c r="B123" i="66"/>
  <c r="F122" i="66"/>
  <c r="D122" i="66"/>
  <c r="B122" i="66"/>
  <c r="F121" i="66"/>
  <c r="D121" i="66"/>
  <c r="B121" i="66"/>
  <c r="F120" i="66"/>
  <c r="D120" i="66"/>
  <c r="B120" i="66"/>
  <c r="F119" i="66"/>
  <c r="D119" i="66"/>
  <c r="B119" i="66"/>
  <c r="F118" i="66"/>
  <c r="D118" i="66"/>
  <c r="B118" i="66"/>
  <c r="F117" i="66"/>
  <c r="D117" i="66"/>
  <c r="B117" i="66"/>
  <c r="F116" i="66"/>
  <c r="D116" i="66"/>
  <c r="B116" i="66"/>
  <c r="F115" i="66"/>
  <c r="D115" i="66"/>
  <c r="B115" i="66"/>
  <c r="F114" i="66"/>
  <c r="D114" i="66"/>
  <c r="B114" i="66"/>
  <c r="F113" i="66"/>
  <c r="D113" i="66"/>
  <c r="B113" i="66"/>
  <c r="F112" i="66"/>
  <c r="D112" i="66"/>
  <c r="B112" i="66"/>
  <c r="F111" i="66"/>
  <c r="D111" i="66"/>
  <c r="B111" i="66"/>
  <c r="F108" i="66"/>
  <c r="D108" i="66"/>
  <c r="B108" i="66"/>
  <c r="F107" i="66"/>
  <c r="D107" i="66"/>
  <c r="B107" i="66"/>
  <c r="F106" i="66"/>
  <c r="D106" i="66"/>
  <c r="B106" i="66"/>
  <c r="F105" i="66"/>
  <c r="D105" i="66"/>
  <c r="B105" i="66"/>
  <c r="F104" i="66"/>
  <c r="D104" i="66"/>
  <c r="B104" i="66"/>
  <c r="F103" i="66"/>
  <c r="D103" i="66"/>
  <c r="B103" i="66"/>
  <c r="F102" i="66"/>
  <c r="D102" i="66"/>
  <c r="B102" i="66"/>
  <c r="F101" i="66"/>
  <c r="D101" i="66"/>
  <c r="B101" i="66"/>
  <c r="F100" i="66"/>
  <c r="D100" i="66"/>
  <c r="B100" i="66"/>
  <c r="F99" i="66"/>
  <c r="D99" i="66"/>
  <c r="B99" i="66"/>
  <c r="F98" i="66"/>
  <c r="D98" i="66"/>
  <c r="B98" i="66"/>
  <c r="F97" i="66"/>
  <c r="D97" i="66"/>
  <c r="B97" i="66"/>
  <c r="F96" i="66"/>
  <c r="D96" i="66"/>
  <c r="B96" i="66"/>
  <c r="F95" i="66"/>
  <c r="D95" i="66"/>
  <c r="B95" i="66"/>
  <c r="F94" i="66"/>
  <c r="D94" i="66"/>
  <c r="B94" i="66"/>
  <c r="F93" i="66"/>
  <c r="D93" i="66"/>
  <c r="B93" i="66"/>
  <c r="F92" i="66"/>
  <c r="D92" i="66"/>
  <c r="B92" i="66"/>
  <c r="F91" i="66"/>
  <c r="D91" i="66"/>
  <c r="B91" i="66"/>
  <c r="F90" i="66"/>
  <c r="D90" i="66"/>
  <c r="B90" i="66"/>
  <c r="F89" i="66"/>
  <c r="D89" i="66"/>
  <c r="B89" i="66"/>
  <c r="F88" i="66"/>
  <c r="D88" i="66"/>
  <c r="B88" i="66"/>
  <c r="F87" i="66"/>
  <c r="D87" i="66"/>
  <c r="B87" i="66"/>
  <c r="F86" i="66"/>
  <c r="D86" i="66"/>
  <c r="B86" i="66"/>
  <c r="F85" i="66"/>
  <c r="D85" i="66"/>
  <c r="B85" i="66"/>
  <c r="F84" i="66"/>
  <c r="D84" i="66"/>
  <c r="B84" i="66"/>
  <c r="F83" i="66"/>
  <c r="D83" i="66"/>
  <c r="B83" i="66"/>
  <c r="F82" i="66"/>
  <c r="D82" i="66"/>
  <c r="B82" i="66"/>
  <c r="F81" i="66"/>
  <c r="D81" i="66"/>
  <c r="B81" i="66"/>
  <c r="F80" i="66"/>
  <c r="D80" i="66"/>
  <c r="B80" i="66"/>
  <c r="F79" i="66"/>
  <c r="D79" i="66"/>
  <c r="B79" i="66"/>
  <c r="F78" i="66"/>
  <c r="D78" i="66"/>
  <c r="B78" i="66"/>
  <c r="F77" i="66"/>
  <c r="D77" i="66"/>
  <c r="B77" i="66"/>
  <c r="F76" i="66"/>
  <c r="D76" i="66"/>
  <c r="B76" i="66"/>
  <c r="F75" i="66"/>
  <c r="D75" i="66"/>
  <c r="B75" i="66"/>
  <c r="F74" i="66"/>
  <c r="D74" i="66"/>
  <c r="B74" i="66"/>
  <c r="F73" i="66"/>
  <c r="D73" i="66"/>
  <c r="B73" i="66"/>
  <c r="F72" i="66"/>
  <c r="D72" i="66"/>
  <c r="B72" i="66"/>
  <c r="F71" i="66"/>
  <c r="D71" i="66"/>
  <c r="B71" i="66"/>
  <c r="F70" i="66"/>
  <c r="D70" i="66"/>
  <c r="B70" i="66"/>
  <c r="F69" i="66"/>
  <c r="D69" i="66"/>
  <c r="B69" i="66"/>
  <c r="F68" i="66"/>
  <c r="D68" i="66"/>
  <c r="B68" i="66"/>
  <c r="F67" i="66"/>
  <c r="D67" i="66"/>
  <c r="B67" i="66"/>
  <c r="F66" i="66"/>
  <c r="D66" i="66"/>
  <c r="B66" i="66"/>
  <c r="F65" i="66"/>
  <c r="D65" i="66"/>
  <c r="B65" i="66"/>
  <c r="F64" i="66"/>
  <c r="D64" i="66"/>
  <c r="B64" i="66"/>
  <c r="F63" i="66"/>
  <c r="D63" i="66"/>
  <c r="B63" i="66"/>
  <c r="F62" i="66"/>
  <c r="D62" i="66"/>
  <c r="B62" i="66"/>
  <c r="F61" i="66"/>
  <c r="D61" i="66"/>
  <c r="B61" i="66"/>
  <c r="F60" i="66"/>
  <c r="D60" i="66"/>
  <c r="B60" i="66"/>
  <c r="F57" i="66"/>
  <c r="D57" i="66"/>
  <c r="B57" i="66"/>
  <c r="F56" i="66"/>
  <c r="D56" i="66"/>
  <c r="B56" i="66"/>
  <c r="F55" i="66"/>
  <c r="D55" i="66"/>
  <c r="B55" i="66"/>
  <c r="F54" i="66"/>
  <c r="D54" i="66"/>
  <c r="B54" i="66"/>
  <c r="F53" i="66"/>
  <c r="D53" i="66"/>
  <c r="B53" i="66"/>
  <c r="F52" i="66"/>
  <c r="D52" i="66"/>
  <c r="B52" i="66"/>
  <c r="F51" i="66"/>
  <c r="D51" i="66"/>
  <c r="B51" i="66"/>
  <c r="F50" i="66"/>
  <c r="D50" i="66"/>
  <c r="B50" i="66"/>
  <c r="F49" i="66"/>
  <c r="D49" i="66"/>
  <c r="B49" i="66"/>
  <c r="F48" i="66"/>
  <c r="D48" i="66"/>
  <c r="B48" i="66"/>
  <c r="F47" i="66"/>
  <c r="D47" i="66"/>
  <c r="B47" i="66"/>
  <c r="F46" i="66"/>
  <c r="D46" i="66"/>
  <c r="B46" i="66"/>
  <c r="F45" i="66"/>
  <c r="D45" i="66"/>
  <c r="B45" i="66"/>
  <c r="F44" i="66"/>
  <c r="D44" i="66"/>
  <c r="B44" i="66"/>
  <c r="F43" i="66"/>
  <c r="D43" i="66"/>
  <c r="B43" i="66"/>
  <c r="F42" i="66"/>
  <c r="D42" i="66"/>
  <c r="B42" i="66"/>
  <c r="F41" i="66"/>
  <c r="D41" i="66"/>
  <c r="B41" i="66"/>
  <c r="F40" i="66"/>
  <c r="D40" i="66"/>
  <c r="B40" i="66"/>
  <c r="F39" i="66"/>
  <c r="D39" i="66"/>
  <c r="B39" i="66"/>
  <c r="F38" i="66"/>
  <c r="D38" i="66"/>
  <c r="B38" i="66"/>
  <c r="F37" i="66"/>
  <c r="D37" i="66"/>
  <c r="B37" i="66"/>
  <c r="F36" i="66"/>
  <c r="D36" i="66"/>
  <c r="B36" i="66"/>
  <c r="F35" i="66"/>
  <c r="D35" i="66"/>
  <c r="B35" i="66"/>
  <c r="F34" i="66"/>
  <c r="D34" i="66"/>
  <c r="B34" i="66"/>
  <c r="F33" i="66"/>
  <c r="D33" i="66"/>
  <c r="B33" i="66"/>
  <c r="F32" i="66"/>
  <c r="D32" i="66"/>
  <c r="B32" i="66"/>
  <c r="F31" i="66"/>
  <c r="D31" i="66"/>
  <c r="B31" i="66"/>
  <c r="F30" i="66"/>
  <c r="D30" i="66"/>
  <c r="B30" i="66"/>
  <c r="F29" i="66"/>
  <c r="D29" i="66"/>
  <c r="B29" i="66"/>
  <c r="F28" i="66"/>
  <c r="D28" i="66"/>
  <c r="B28" i="66"/>
  <c r="F27" i="66"/>
  <c r="D27" i="66"/>
  <c r="B27" i="66"/>
  <c r="F26" i="66"/>
  <c r="D26" i="66"/>
  <c r="B26" i="66"/>
  <c r="F25" i="66"/>
  <c r="D25" i="66"/>
  <c r="B25" i="66"/>
  <c r="F24" i="66"/>
  <c r="D24" i="66"/>
  <c r="B24" i="66"/>
  <c r="F23" i="66"/>
  <c r="D23" i="66"/>
  <c r="B23" i="66"/>
  <c r="F22" i="66"/>
  <c r="D22" i="66"/>
  <c r="B22" i="66"/>
  <c r="F21" i="66"/>
  <c r="D21" i="66"/>
  <c r="B21" i="66"/>
  <c r="F20" i="66"/>
  <c r="D20" i="66"/>
  <c r="B20" i="66"/>
  <c r="F19" i="66"/>
  <c r="D19" i="66"/>
  <c r="B19" i="66"/>
  <c r="F18" i="66"/>
  <c r="D18" i="66"/>
  <c r="B18" i="66"/>
  <c r="F17" i="66"/>
  <c r="D17" i="66"/>
  <c r="B17" i="66"/>
  <c r="F16" i="66"/>
  <c r="D16" i="66"/>
  <c r="B16" i="66"/>
  <c r="F15" i="66"/>
  <c r="D15" i="66"/>
  <c r="B15" i="66"/>
  <c r="F14" i="66"/>
  <c r="D14" i="66"/>
  <c r="B14" i="66"/>
  <c r="F13" i="66"/>
  <c r="D13" i="66"/>
  <c r="B13" i="66"/>
  <c r="F12" i="66"/>
  <c r="D12" i="66"/>
  <c r="B12" i="66"/>
  <c r="F11" i="66"/>
  <c r="D11" i="66"/>
  <c r="B11" i="66"/>
  <c r="F10" i="66"/>
  <c r="D10" i="66"/>
  <c r="B10" i="66"/>
  <c r="F9" i="66"/>
  <c r="D9" i="66"/>
  <c r="B9" i="66"/>
  <c r="F210" i="65"/>
  <c r="D210" i="65"/>
  <c r="B210" i="65"/>
  <c r="F209" i="65"/>
  <c r="D209" i="65"/>
  <c r="B209" i="65"/>
  <c r="F208" i="65"/>
  <c r="D208" i="65"/>
  <c r="B208" i="65"/>
  <c r="F207" i="65"/>
  <c r="D207" i="65"/>
  <c r="B207" i="65"/>
  <c r="F206" i="65"/>
  <c r="D206" i="65"/>
  <c r="B206" i="65"/>
  <c r="F205" i="65"/>
  <c r="D205" i="65"/>
  <c r="B205" i="65"/>
  <c r="F204" i="65"/>
  <c r="D204" i="65"/>
  <c r="B204" i="65"/>
  <c r="F203" i="65"/>
  <c r="D203" i="65"/>
  <c r="B203" i="65"/>
  <c r="F202" i="65"/>
  <c r="D202" i="65"/>
  <c r="B202" i="65"/>
  <c r="F201" i="65"/>
  <c r="D201" i="65"/>
  <c r="B201" i="65"/>
  <c r="F200" i="65"/>
  <c r="D200" i="65"/>
  <c r="B200" i="65"/>
  <c r="F199" i="65"/>
  <c r="D199" i="65"/>
  <c r="B199" i="65"/>
  <c r="F198" i="65"/>
  <c r="D198" i="65"/>
  <c r="B198" i="65"/>
  <c r="F197" i="65"/>
  <c r="D197" i="65"/>
  <c r="B197" i="65"/>
  <c r="F196" i="65"/>
  <c r="D196" i="65"/>
  <c r="B196" i="65"/>
  <c r="F195" i="65"/>
  <c r="D195" i="65"/>
  <c r="B195" i="65"/>
  <c r="F194" i="65"/>
  <c r="D194" i="65"/>
  <c r="B194" i="65"/>
  <c r="F193" i="65"/>
  <c r="D193" i="65"/>
  <c r="B193" i="65"/>
  <c r="F192" i="65"/>
  <c r="D192" i="65"/>
  <c r="B192" i="65"/>
  <c r="F191" i="65"/>
  <c r="D191" i="65"/>
  <c r="B191" i="65"/>
  <c r="F190" i="65"/>
  <c r="D190" i="65"/>
  <c r="B190" i="65"/>
  <c r="F189" i="65"/>
  <c r="D189" i="65"/>
  <c r="B189" i="65"/>
  <c r="F188" i="65"/>
  <c r="D188" i="65"/>
  <c r="B188" i="65"/>
  <c r="F187" i="65"/>
  <c r="D187" i="65"/>
  <c r="B187" i="65"/>
  <c r="F186" i="65"/>
  <c r="D186" i="65"/>
  <c r="B186" i="65"/>
  <c r="F185" i="65"/>
  <c r="D185" i="65"/>
  <c r="B185" i="65"/>
  <c r="F184" i="65"/>
  <c r="D184" i="65"/>
  <c r="B184" i="65"/>
  <c r="F183" i="65"/>
  <c r="D183" i="65"/>
  <c r="B183" i="65"/>
  <c r="F182" i="65"/>
  <c r="D182" i="65"/>
  <c r="B182" i="65"/>
  <c r="F181" i="65"/>
  <c r="D181" i="65"/>
  <c r="B181" i="65"/>
  <c r="F180" i="65"/>
  <c r="D180" i="65"/>
  <c r="B180" i="65"/>
  <c r="F179" i="65"/>
  <c r="D179" i="65"/>
  <c r="B179" i="65"/>
  <c r="F178" i="65"/>
  <c r="D178" i="65"/>
  <c r="B178" i="65"/>
  <c r="F177" i="65"/>
  <c r="D177" i="65"/>
  <c r="B177" i="65"/>
  <c r="F176" i="65"/>
  <c r="D176" i="65"/>
  <c r="B176" i="65"/>
  <c r="F175" i="65"/>
  <c r="D175" i="65"/>
  <c r="B175" i="65"/>
  <c r="F174" i="65"/>
  <c r="D174" i="65"/>
  <c r="B174" i="65"/>
  <c r="F173" i="65"/>
  <c r="D173" i="65"/>
  <c r="B173" i="65"/>
  <c r="F172" i="65"/>
  <c r="D172" i="65"/>
  <c r="B172" i="65"/>
  <c r="F171" i="65"/>
  <c r="D171" i="65"/>
  <c r="B171" i="65"/>
  <c r="F170" i="65"/>
  <c r="D170" i="65"/>
  <c r="B170" i="65"/>
  <c r="F169" i="65"/>
  <c r="D169" i="65"/>
  <c r="B169" i="65"/>
  <c r="F168" i="65"/>
  <c r="D168" i="65"/>
  <c r="B168" i="65"/>
  <c r="F167" i="65"/>
  <c r="D167" i="65"/>
  <c r="B167" i="65"/>
  <c r="F166" i="65"/>
  <c r="D166" i="65"/>
  <c r="B166" i="65"/>
  <c r="F165" i="65"/>
  <c r="D165" i="65"/>
  <c r="B165" i="65"/>
  <c r="F164" i="65"/>
  <c r="D164" i="65"/>
  <c r="B164" i="65"/>
  <c r="F163" i="65"/>
  <c r="D163" i="65"/>
  <c r="B163" i="65"/>
  <c r="F162" i="65"/>
  <c r="D162" i="65"/>
  <c r="B162" i="65"/>
  <c r="F159" i="65"/>
  <c r="D159" i="65"/>
  <c r="B159" i="65"/>
  <c r="F158" i="65"/>
  <c r="D158" i="65"/>
  <c r="B158" i="65"/>
  <c r="F157" i="65"/>
  <c r="D157" i="65"/>
  <c r="B157" i="65"/>
  <c r="F156" i="65"/>
  <c r="D156" i="65"/>
  <c r="B156" i="65"/>
  <c r="F155" i="65"/>
  <c r="D155" i="65"/>
  <c r="B155" i="65"/>
  <c r="F154" i="65"/>
  <c r="D154" i="65"/>
  <c r="B154" i="65"/>
  <c r="F153" i="65"/>
  <c r="D153" i="65"/>
  <c r="B153" i="65"/>
  <c r="F152" i="65"/>
  <c r="D152" i="65"/>
  <c r="B152" i="65"/>
  <c r="F151" i="65"/>
  <c r="D151" i="65"/>
  <c r="B151" i="65"/>
  <c r="F150" i="65"/>
  <c r="D150" i="65"/>
  <c r="B150" i="65"/>
  <c r="F149" i="65"/>
  <c r="D149" i="65"/>
  <c r="B149" i="65"/>
  <c r="F148" i="65"/>
  <c r="D148" i="65"/>
  <c r="B148" i="65"/>
  <c r="F147" i="65"/>
  <c r="D147" i="65"/>
  <c r="B147" i="65"/>
  <c r="F146" i="65"/>
  <c r="D146" i="65"/>
  <c r="B146" i="65"/>
  <c r="F145" i="65"/>
  <c r="D145" i="65"/>
  <c r="B145" i="65"/>
  <c r="F144" i="65"/>
  <c r="D144" i="65"/>
  <c r="B144" i="65"/>
  <c r="F143" i="65"/>
  <c r="D143" i="65"/>
  <c r="B143" i="65"/>
  <c r="F142" i="65"/>
  <c r="D142" i="65"/>
  <c r="B142" i="65"/>
  <c r="F141" i="65"/>
  <c r="D141" i="65"/>
  <c r="B141" i="65"/>
  <c r="F140" i="65"/>
  <c r="D140" i="65"/>
  <c r="B140" i="65"/>
  <c r="F139" i="65"/>
  <c r="D139" i="65"/>
  <c r="B139" i="65"/>
  <c r="F138" i="65"/>
  <c r="D138" i="65"/>
  <c r="B138" i="65"/>
  <c r="F137" i="65"/>
  <c r="D137" i="65"/>
  <c r="B137" i="65"/>
  <c r="F136" i="65"/>
  <c r="D136" i="65"/>
  <c r="B136" i="65"/>
  <c r="F135" i="65"/>
  <c r="D135" i="65"/>
  <c r="B135" i="65"/>
  <c r="F134" i="65"/>
  <c r="D134" i="65"/>
  <c r="B134" i="65"/>
  <c r="F133" i="65"/>
  <c r="D133" i="65"/>
  <c r="B133" i="65"/>
  <c r="F132" i="65"/>
  <c r="D132" i="65"/>
  <c r="B132" i="65"/>
  <c r="F131" i="65"/>
  <c r="D131" i="65"/>
  <c r="B131" i="65"/>
  <c r="F130" i="65"/>
  <c r="D130" i="65"/>
  <c r="B130" i="65"/>
  <c r="F129" i="65"/>
  <c r="D129" i="65"/>
  <c r="B129" i="65"/>
  <c r="F128" i="65"/>
  <c r="D128" i="65"/>
  <c r="B128" i="65"/>
  <c r="F127" i="65"/>
  <c r="D127" i="65"/>
  <c r="B127" i="65"/>
  <c r="F126" i="65"/>
  <c r="D126" i="65"/>
  <c r="B126" i="65"/>
  <c r="F125" i="65"/>
  <c r="D125" i="65"/>
  <c r="B125" i="65"/>
  <c r="F124" i="65"/>
  <c r="D124" i="65"/>
  <c r="B124" i="65"/>
  <c r="F123" i="65"/>
  <c r="D123" i="65"/>
  <c r="B123" i="65"/>
  <c r="F122" i="65"/>
  <c r="D122" i="65"/>
  <c r="B122" i="65"/>
  <c r="F121" i="65"/>
  <c r="D121" i="65"/>
  <c r="B121" i="65"/>
  <c r="F120" i="65"/>
  <c r="D120" i="65"/>
  <c r="B120" i="65"/>
  <c r="F119" i="65"/>
  <c r="D119" i="65"/>
  <c r="B119" i="65"/>
  <c r="F118" i="65"/>
  <c r="D118" i="65"/>
  <c r="B118" i="65"/>
  <c r="F117" i="65"/>
  <c r="D117" i="65"/>
  <c r="B117" i="65"/>
  <c r="F116" i="65"/>
  <c r="D116" i="65"/>
  <c r="B116" i="65"/>
  <c r="F115" i="65"/>
  <c r="D115" i="65"/>
  <c r="B115" i="65"/>
  <c r="F114" i="65"/>
  <c r="D114" i="65"/>
  <c r="B114" i="65"/>
  <c r="F113" i="65"/>
  <c r="D113" i="65"/>
  <c r="B113" i="65"/>
  <c r="F112" i="65"/>
  <c r="D112" i="65"/>
  <c r="B112" i="65"/>
  <c r="F111" i="65"/>
  <c r="D111" i="65"/>
  <c r="B111" i="65"/>
  <c r="F108" i="65"/>
  <c r="D108" i="65"/>
  <c r="B108" i="65"/>
  <c r="F107" i="65"/>
  <c r="D107" i="65"/>
  <c r="B107" i="65"/>
  <c r="F106" i="65"/>
  <c r="D106" i="65"/>
  <c r="B106" i="65"/>
  <c r="F105" i="65"/>
  <c r="D105" i="65"/>
  <c r="B105" i="65"/>
  <c r="F104" i="65"/>
  <c r="D104" i="65"/>
  <c r="B104" i="65"/>
  <c r="F103" i="65"/>
  <c r="D103" i="65"/>
  <c r="B103" i="65"/>
  <c r="F102" i="65"/>
  <c r="D102" i="65"/>
  <c r="B102" i="65"/>
  <c r="F101" i="65"/>
  <c r="D101" i="65"/>
  <c r="B101" i="65"/>
  <c r="F100" i="65"/>
  <c r="D100" i="65"/>
  <c r="B100" i="65"/>
  <c r="F99" i="65"/>
  <c r="D99" i="65"/>
  <c r="B99" i="65"/>
  <c r="F98" i="65"/>
  <c r="D98" i="65"/>
  <c r="B98" i="65"/>
  <c r="F97" i="65"/>
  <c r="D97" i="65"/>
  <c r="B97" i="65"/>
  <c r="F96" i="65"/>
  <c r="D96" i="65"/>
  <c r="B96" i="65"/>
  <c r="F95" i="65"/>
  <c r="D95" i="65"/>
  <c r="B95" i="65"/>
  <c r="F94" i="65"/>
  <c r="D94" i="65"/>
  <c r="B94" i="65"/>
  <c r="F93" i="65"/>
  <c r="D93" i="65"/>
  <c r="B93" i="65"/>
  <c r="F92" i="65"/>
  <c r="D92" i="65"/>
  <c r="B92" i="65"/>
  <c r="F91" i="65"/>
  <c r="D91" i="65"/>
  <c r="B91" i="65"/>
  <c r="F90" i="65"/>
  <c r="D90" i="65"/>
  <c r="B90" i="65"/>
  <c r="F89" i="65"/>
  <c r="D89" i="65"/>
  <c r="B89" i="65"/>
  <c r="F88" i="65"/>
  <c r="D88" i="65"/>
  <c r="B88" i="65"/>
  <c r="F87" i="65"/>
  <c r="D87" i="65"/>
  <c r="B87" i="65"/>
  <c r="F86" i="65"/>
  <c r="D86" i="65"/>
  <c r="B86" i="65"/>
  <c r="F85" i="65"/>
  <c r="D85" i="65"/>
  <c r="B85" i="65"/>
  <c r="F84" i="65"/>
  <c r="D84" i="65"/>
  <c r="B84" i="65"/>
  <c r="F83" i="65"/>
  <c r="D83" i="65"/>
  <c r="B83" i="65"/>
  <c r="F82" i="65"/>
  <c r="D82" i="65"/>
  <c r="B82" i="65"/>
  <c r="F81" i="65"/>
  <c r="D81" i="65"/>
  <c r="B81" i="65"/>
  <c r="F80" i="65"/>
  <c r="D80" i="65"/>
  <c r="B80" i="65"/>
  <c r="F79" i="65"/>
  <c r="D79" i="65"/>
  <c r="B79" i="65"/>
  <c r="F78" i="65"/>
  <c r="D78" i="65"/>
  <c r="B78" i="65"/>
  <c r="F77" i="65"/>
  <c r="D77" i="65"/>
  <c r="B77" i="65"/>
  <c r="F76" i="65"/>
  <c r="D76" i="65"/>
  <c r="B76" i="65"/>
  <c r="F75" i="65"/>
  <c r="D75" i="65"/>
  <c r="B75" i="65"/>
  <c r="F74" i="65"/>
  <c r="D74" i="65"/>
  <c r="B74" i="65"/>
  <c r="F73" i="65"/>
  <c r="D73" i="65"/>
  <c r="B73" i="65"/>
  <c r="F72" i="65"/>
  <c r="D72" i="65"/>
  <c r="B72" i="65"/>
  <c r="F71" i="65"/>
  <c r="D71" i="65"/>
  <c r="B71" i="65"/>
  <c r="F70" i="65"/>
  <c r="D70" i="65"/>
  <c r="B70" i="65"/>
  <c r="F69" i="65"/>
  <c r="D69" i="65"/>
  <c r="B69" i="65"/>
  <c r="F68" i="65"/>
  <c r="D68" i="65"/>
  <c r="B68" i="65"/>
  <c r="F67" i="65"/>
  <c r="D67" i="65"/>
  <c r="B67" i="65"/>
  <c r="F66" i="65"/>
  <c r="D66" i="65"/>
  <c r="B66" i="65"/>
  <c r="F65" i="65"/>
  <c r="D65" i="65"/>
  <c r="B65" i="65"/>
  <c r="F64" i="65"/>
  <c r="D64" i="65"/>
  <c r="B64" i="65"/>
  <c r="F63" i="65"/>
  <c r="D63" i="65"/>
  <c r="B63" i="65"/>
  <c r="F62" i="65"/>
  <c r="D62" i="65"/>
  <c r="B62" i="65"/>
  <c r="F61" i="65"/>
  <c r="D61" i="65"/>
  <c r="B61" i="65"/>
  <c r="F60" i="65"/>
  <c r="D60" i="65"/>
  <c r="B60" i="65"/>
  <c r="F466" i="47"/>
  <c r="D466" i="47"/>
  <c r="B466" i="47"/>
  <c r="F465" i="47"/>
  <c r="D465" i="47"/>
  <c r="B465" i="47"/>
  <c r="F464" i="47"/>
  <c r="D464" i="47"/>
  <c r="B464" i="47"/>
  <c r="F463" i="47"/>
  <c r="D463" i="47"/>
  <c r="B463" i="47"/>
  <c r="F462" i="47"/>
  <c r="D462" i="47"/>
  <c r="B462" i="47"/>
  <c r="F461" i="47"/>
  <c r="D461" i="47"/>
  <c r="B461" i="47"/>
  <c r="F460" i="47"/>
  <c r="D460" i="47"/>
  <c r="B460" i="47"/>
  <c r="F459" i="47"/>
  <c r="D459" i="47"/>
  <c r="B459" i="47"/>
  <c r="F458" i="47"/>
  <c r="D458" i="47"/>
  <c r="B458" i="47"/>
  <c r="F457" i="47"/>
  <c r="D457" i="47"/>
  <c r="B457" i="47"/>
  <c r="F456" i="47"/>
  <c r="D456" i="47"/>
  <c r="B456" i="47"/>
  <c r="F455" i="47"/>
  <c r="D455" i="47"/>
  <c r="B455" i="47"/>
  <c r="F454" i="47"/>
  <c r="D454" i="47"/>
  <c r="B454" i="47"/>
  <c r="F453" i="47"/>
  <c r="D453" i="47"/>
  <c r="B453" i="47"/>
  <c r="F452" i="47"/>
  <c r="D452" i="47"/>
  <c r="B452" i="47"/>
  <c r="F451" i="47"/>
  <c r="D451" i="47"/>
  <c r="B451" i="47"/>
  <c r="F450" i="47"/>
  <c r="D450" i="47"/>
  <c r="B450" i="47"/>
  <c r="F449" i="47"/>
  <c r="D449" i="47"/>
  <c r="B449" i="47"/>
  <c r="F448" i="47"/>
  <c r="D448" i="47"/>
  <c r="B448" i="47"/>
  <c r="F447" i="47"/>
  <c r="D447" i="47"/>
  <c r="B447" i="47"/>
  <c r="F446" i="47"/>
  <c r="D446" i="47"/>
  <c r="B446" i="47"/>
  <c r="F445" i="47"/>
  <c r="D445" i="47"/>
  <c r="B445" i="47"/>
  <c r="F444" i="47"/>
  <c r="D444" i="47"/>
  <c r="B444" i="47"/>
  <c r="F443" i="47"/>
  <c r="D443" i="47"/>
  <c r="B443" i="47"/>
  <c r="F442" i="47"/>
  <c r="D442" i="47"/>
  <c r="B442" i="47"/>
  <c r="F441" i="47"/>
  <c r="D441" i="47"/>
  <c r="B441" i="47"/>
  <c r="F440" i="47"/>
  <c r="D440" i="47"/>
  <c r="B440" i="47"/>
  <c r="F439" i="47"/>
  <c r="D439" i="47"/>
  <c r="B439" i="47"/>
  <c r="F438" i="47"/>
  <c r="D438" i="47"/>
  <c r="B438" i="47"/>
  <c r="F437" i="47"/>
  <c r="D437" i="47"/>
  <c r="B437" i="47"/>
  <c r="F436" i="47"/>
  <c r="D436" i="47"/>
  <c r="B436" i="47"/>
  <c r="F435" i="47"/>
  <c r="D435" i="47"/>
  <c r="B435" i="47"/>
  <c r="F434" i="47"/>
  <c r="D434" i="47"/>
  <c r="B434" i="47"/>
  <c r="F433" i="47"/>
  <c r="D433" i="47"/>
  <c r="B433" i="47"/>
  <c r="F432" i="47"/>
  <c r="D432" i="47"/>
  <c r="B432" i="47"/>
  <c r="F431" i="47"/>
  <c r="D431" i="47"/>
  <c r="B431" i="47"/>
  <c r="F430" i="47"/>
  <c r="D430" i="47"/>
  <c r="B430" i="47"/>
  <c r="F429" i="47"/>
  <c r="D429" i="47"/>
  <c r="B429" i="47"/>
  <c r="F428" i="47"/>
  <c r="D428" i="47"/>
  <c r="B428" i="47"/>
  <c r="F427" i="47"/>
  <c r="D427" i="47"/>
  <c r="B427" i="47"/>
  <c r="F426" i="47"/>
  <c r="D426" i="47"/>
  <c r="B426" i="47"/>
  <c r="F425" i="47"/>
  <c r="D425" i="47"/>
  <c r="B425" i="47"/>
  <c r="F424" i="47"/>
  <c r="D424" i="47"/>
  <c r="B424" i="47"/>
  <c r="F423" i="47"/>
  <c r="D423" i="47"/>
  <c r="B423" i="47"/>
  <c r="F422" i="47"/>
  <c r="D422" i="47"/>
  <c r="B422" i="47"/>
  <c r="F421" i="47"/>
  <c r="D421" i="47"/>
  <c r="B421" i="47"/>
  <c r="F420" i="47"/>
  <c r="D420" i="47"/>
  <c r="B420" i="47"/>
  <c r="F419" i="47"/>
  <c r="D419" i="47"/>
  <c r="B419" i="47"/>
  <c r="F418" i="47"/>
  <c r="D418" i="47"/>
  <c r="B418" i="47"/>
  <c r="F415" i="47"/>
  <c r="D415" i="47"/>
  <c r="B415" i="47"/>
  <c r="F414" i="47"/>
  <c r="D414" i="47"/>
  <c r="B414" i="47"/>
  <c r="F413" i="47"/>
  <c r="D413" i="47"/>
  <c r="B413" i="47"/>
  <c r="F412" i="47"/>
  <c r="D412" i="47"/>
  <c r="B412" i="47"/>
  <c r="F411" i="47"/>
  <c r="D411" i="47"/>
  <c r="B411" i="47"/>
  <c r="F410" i="47"/>
  <c r="D410" i="47"/>
  <c r="B410" i="47"/>
  <c r="F409" i="47"/>
  <c r="D409" i="47"/>
  <c r="B409" i="47"/>
  <c r="F408" i="47"/>
  <c r="D408" i="47"/>
  <c r="B408" i="47"/>
  <c r="F407" i="47"/>
  <c r="D407" i="47"/>
  <c r="B407" i="47"/>
  <c r="F406" i="47"/>
  <c r="D406" i="47"/>
  <c r="B406" i="47"/>
  <c r="F405" i="47"/>
  <c r="D405" i="47"/>
  <c r="B405" i="47"/>
  <c r="F404" i="47"/>
  <c r="D404" i="47"/>
  <c r="B404" i="47"/>
  <c r="F403" i="47"/>
  <c r="D403" i="47"/>
  <c r="B403" i="47"/>
  <c r="F402" i="47"/>
  <c r="D402" i="47"/>
  <c r="B402" i="47"/>
  <c r="F401" i="47"/>
  <c r="D401" i="47"/>
  <c r="B401" i="47"/>
  <c r="F400" i="47"/>
  <c r="D400" i="47"/>
  <c r="B400" i="47"/>
  <c r="F399" i="47"/>
  <c r="D399" i="47"/>
  <c r="B399" i="47"/>
  <c r="F398" i="47"/>
  <c r="D398" i="47"/>
  <c r="B398" i="47"/>
  <c r="F397" i="47"/>
  <c r="D397" i="47"/>
  <c r="B397" i="47"/>
  <c r="F396" i="47"/>
  <c r="D396" i="47"/>
  <c r="B396" i="47"/>
  <c r="F395" i="47"/>
  <c r="D395" i="47"/>
  <c r="B395" i="47"/>
  <c r="F394" i="47"/>
  <c r="D394" i="47"/>
  <c r="B394" i="47"/>
  <c r="F393" i="47"/>
  <c r="D393" i="47"/>
  <c r="B393" i="47"/>
  <c r="F392" i="47"/>
  <c r="D392" i="47"/>
  <c r="B392" i="47"/>
  <c r="F391" i="47"/>
  <c r="D391" i="47"/>
  <c r="B391" i="47"/>
  <c r="F390" i="47"/>
  <c r="D390" i="47"/>
  <c r="B390" i="47"/>
  <c r="F389" i="47"/>
  <c r="D389" i="47"/>
  <c r="B389" i="47"/>
  <c r="F388" i="47"/>
  <c r="D388" i="47"/>
  <c r="B388" i="47"/>
  <c r="F387" i="47"/>
  <c r="D387" i="47"/>
  <c r="B387" i="47"/>
  <c r="F386" i="47"/>
  <c r="D386" i="47"/>
  <c r="B386" i="47"/>
  <c r="F385" i="47"/>
  <c r="D385" i="47"/>
  <c r="B385" i="47"/>
  <c r="F384" i="47"/>
  <c r="D384" i="47"/>
  <c r="B384" i="47"/>
  <c r="F383" i="47"/>
  <c r="D383" i="47"/>
  <c r="B383" i="47"/>
  <c r="F382" i="47"/>
  <c r="D382" i="47"/>
  <c r="B382" i="47"/>
  <c r="F381" i="47"/>
  <c r="D381" i="47"/>
  <c r="B381" i="47"/>
  <c r="F380" i="47"/>
  <c r="D380" i="47"/>
  <c r="B380" i="47"/>
  <c r="F379" i="47"/>
  <c r="D379" i="47"/>
  <c r="B379" i="47"/>
  <c r="F378" i="47"/>
  <c r="D378" i="47"/>
  <c r="B378" i="47"/>
  <c r="F377" i="47"/>
  <c r="D377" i="47"/>
  <c r="B377" i="47"/>
  <c r="F376" i="47"/>
  <c r="D376" i="47"/>
  <c r="B376" i="47"/>
  <c r="F375" i="47"/>
  <c r="D375" i="47"/>
  <c r="B375" i="47"/>
  <c r="F374" i="47"/>
  <c r="D374" i="47"/>
  <c r="B374" i="47"/>
  <c r="F373" i="47"/>
  <c r="D373" i="47"/>
  <c r="B373" i="47"/>
  <c r="F372" i="47"/>
  <c r="D372" i="47"/>
  <c r="B372" i="47"/>
  <c r="F371" i="47"/>
  <c r="D371" i="47"/>
  <c r="B371" i="47"/>
  <c r="F370" i="47"/>
  <c r="D370" i="47"/>
  <c r="B370" i="47"/>
  <c r="F369" i="47"/>
  <c r="D369" i="47"/>
  <c r="B369" i="47"/>
  <c r="F368" i="47"/>
  <c r="D368" i="47"/>
  <c r="B368" i="47"/>
  <c r="F367" i="47"/>
  <c r="D367" i="47"/>
  <c r="B367" i="47"/>
  <c r="F364" i="47"/>
  <c r="D364" i="47"/>
  <c r="B364" i="47"/>
  <c r="F363" i="47"/>
  <c r="D363" i="47"/>
  <c r="B363" i="47"/>
  <c r="F362" i="47"/>
  <c r="D362" i="47"/>
  <c r="B362" i="47"/>
  <c r="F361" i="47"/>
  <c r="D361" i="47"/>
  <c r="B361" i="47"/>
  <c r="F360" i="47"/>
  <c r="D360" i="47"/>
  <c r="B360" i="47"/>
  <c r="F359" i="47"/>
  <c r="D359" i="47"/>
  <c r="B359" i="47"/>
  <c r="F358" i="47"/>
  <c r="D358" i="47"/>
  <c r="B358" i="47"/>
  <c r="F357" i="47"/>
  <c r="D357" i="47"/>
  <c r="B357" i="47"/>
  <c r="F356" i="47"/>
  <c r="D356" i="47"/>
  <c r="B356" i="47"/>
  <c r="F355" i="47"/>
  <c r="D355" i="47"/>
  <c r="B355" i="47"/>
  <c r="F354" i="47"/>
  <c r="D354" i="47"/>
  <c r="B354" i="47"/>
  <c r="F353" i="47"/>
  <c r="D353" i="47"/>
  <c r="B353" i="47"/>
  <c r="F352" i="47"/>
  <c r="D352" i="47"/>
  <c r="B352" i="47"/>
  <c r="F351" i="47"/>
  <c r="D351" i="47"/>
  <c r="B351" i="47"/>
  <c r="F350" i="47"/>
  <c r="D350" i="47"/>
  <c r="B350" i="47"/>
  <c r="F349" i="47"/>
  <c r="D349" i="47"/>
  <c r="B349" i="47"/>
  <c r="F348" i="47"/>
  <c r="D348" i="47"/>
  <c r="B348" i="47"/>
  <c r="F347" i="47"/>
  <c r="D347" i="47"/>
  <c r="B347" i="47"/>
  <c r="F346" i="47"/>
  <c r="D346" i="47"/>
  <c r="B346" i="47"/>
  <c r="F345" i="47"/>
  <c r="D345" i="47"/>
  <c r="B345" i="47"/>
  <c r="F344" i="47"/>
  <c r="D344" i="47"/>
  <c r="B344" i="47"/>
  <c r="F343" i="47"/>
  <c r="D343" i="47"/>
  <c r="B343" i="47"/>
  <c r="F342" i="47"/>
  <c r="D342" i="47"/>
  <c r="B342" i="47"/>
  <c r="F341" i="47"/>
  <c r="D341" i="47"/>
  <c r="B341" i="47"/>
  <c r="F340" i="47"/>
  <c r="D340" i="47"/>
  <c r="B340" i="47"/>
  <c r="F339" i="47"/>
  <c r="D339" i="47"/>
  <c r="B339" i="47"/>
  <c r="F338" i="47"/>
  <c r="D338" i="47"/>
  <c r="B338" i="47"/>
  <c r="F337" i="47"/>
  <c r="D337" i="47"/>
  <c r="B337" i="47"/>
  <c r="F336" i="47"/>
  <c r="D336" i="47"/>
  <c r="B336" i="47"/>
  <c r="F335" i="47"/>
  <c r="D335" i="47"/>
  <c r="B335" i="47"/>
  <c r="F334" i="47"/>
  <c r="D334" i="47"/>
  <c r="B334" i="47"/>
  <c r="F333" i="47"/>
  <c r="D333" i="47"/>
  <c r="B333" i="47"/>
  <c r="F332" i="47"/>
  <c r="D332" i="47"/>
  <c r="B332" i="47"/>
  <c r="F331" i="47"/>
  <c r="D331" i="47"/>
  <c r="B331" i="47"/>
  <c r="F330" i="47"/>
  <c r="D330" i="47"/>
  <c r="B330" i="47"/>
  <c r="F329" i="47"/>
  <c r="D329" i="47"/>
  <c r="B329" i="47"/>
  <c r="F328" i="47"/>
  <c r="D328" i="47"/>
  <c r="B328" i="47"/>
  <c r="F327" i="47"/>
  <c r="D327" i="47"/>
  <c r="B327" i="47"/>
  <c r="F326" i="47"/>
  <c r="D326" i="47"/>
  <c r="B326" i="47"/>
  <c r="F325" i="47"/>
  <c r="D325" i="47"/>
  <c r="B325" i="47"/>
  <c r="F324" i="47"/>
  <c r="D324" i="47"/>
  <c r="B324" i="47"/>
  <c r="F323" i="47"/>
  <c r="D323" i="47"/>
  <c r="B323" i="47"/>
  <c r="F322" i="47"/>
  <c r="D322" i="47"/>
  <c r="B322" i="47"/>
  <c r="F321" i="47"/>
  <c r="D321" i="47"/>
  <c r="B321" i="47"/>
  <c r="F320" i="47"/>
  <c r="D320" i="47"/>
  <c r="B320" i="47"/>
  <c r="F319" i="47"/>
  <c r="D319" i="47"/>
  <c r="B319" i="47"/>
  <c r="F318" i="47"/>
  <c r="D318" i="47"/>
  <c r="B318" i="47"/>
  <c r="F317" i="47"/>
  <c r="D317" i="47"/>
  <c r="B317" i="47"/>
  <c r="F316" i="47"/>
  <c r="D316" i="47"/>
  <c r="B316" i="47"/>
  <c r="F313" i="47"/>
  <c r="D313" i="47"/>
  <c r="B313" i="47"/>
  <c r="F312" i="47"/>
  <c r="D312" i="47"/>
  <c r="B312" i="47"/>
  <c r="F311" i="47"/>
  <c r="D311" i="47"/>
  <c r="B311" i="47"/>
  <c r="F310" i="47"/>
  <c r="D310" i="47"/>
  <c r="B310" i="47"/>
  <c r="F309" i="47"/>
  <c r="D309" i="47"/>
  <c r="B309" i="47"/>
  <c r="F308" i="47"/>
  <c r="D308" i="47"/>
  <c r="B308" i="47"/>
  <c r="F307" i="47"/>
  <c r="D307" i="47"/>
  <c r="B307" i="47"/>
  <c r="F306" i="47"/>
  <c r="D306" i="47"/>
  <c r="B306" i="47"/>
  <c r="F305" i="47"/>
  <c r="D305" i="47"/>
  <c r="B305" i="47"/>
  <c r="F304" i="47"/>
  <c r="D304" i="47"/>
  <c r="B304" i="47"/>
  <c r="F303" i="47"/>
  <c r="D303" i="47"/>
  <c r="B303" i="47"/>
  <c r="F302" i="47"/>
  <c r="D302" i="47"/>
  <c r="B302" i="47"/>
  <c r="F301" i="47"/>
  <c r="D301" i="47"/>
  <c r="B301" i="47"/>
  <c r="F300" i="47"/>
  <c r="D300" i="47"/>
  <c r="B300" i="47"/>
  <c r="F299" i="47"/>
  <c r="D299" i="47"/>
  <c r="B299" i="47"/>
  <c r="F298" i="47"/>
  <c r="D298" i="47"/>
  <c r="B298" i="47"/>
  <c r="F297" i="47"/>
  <c r="D297" i="47"/>
  <c r="B297" i="47"/>
  <c r="F296" i="47"/>
  <c r="D296" i="47"/>
  <c r="B296" i="47"/>
  <c r="F295" i="47"/>
  <c r="D295" i="47"/>
  <c r="B295" i="47"/>
  <c r="F294" i="47"/>
  <c r="D294" i="47"/>
  <c r="B294" i="47"/>
  <c r="F293" i="47"/>
  <c r="D293" i="47"/>
  <c r="B293" i="47"/>
  <c r="F292" i="47"/>
  <c r="D292" i="47"/>
  <c r="B292" i="47"/>
  <c r="F291" i="47"/>
  <c r="D291" i="47"/>
  <c r="B291" i="47"/>
  <c r="F290" i="47"/>
  <c r="D290" i="47"/>
  <c r="B290" i="47"/>
  <c r="F289" i="47"/>
  <c r="D289" i="47"/>
  <c r="B289" i="47"/>
  <c r="F288" i="47"/>
  <c r="D288" i="47"/>
  <c r="B288" i="47"/>
  <c r="F287" i="47"/>
  <c r="D287" i="47"/>
  <c r="B287" i="47"/>
  <c r="F286" i="47"/>
  <c r="D286" i="47"/>
  <c r="B286" i="47"/>
  <c r="F285" i="47"/>
  <c r="D285" i="47"/>
  <c r="B285" i="47"/>
  <c r="F284" i="47"/>
  <c r="D284" i="47"/>
  <c r="B284" i="47"/>
  <c r="F283" i="47"/>
  <c r="D283" i="47"/>
  <c r="B283" i="47"/>
  <c r="F282" i="47"/>
  <c r="D282" i="47"/>
  <c r="B282" i="47"/>
  <c r="F281" i="47"/>
  <c r="D281" i="47"/>
  <c r="B281" i="47"/>
  <c r="F280" i="47"/>
  <c r="D280" i="47"/>
  <c r="B280" i="47"/>
  <c r="F279" i="47"/>
  <c r="D279" i="47"/>
  <c r="B279" i="47"/>
  <c r="F278" i="47"/>
  <c r="D278" i="47"/>
  <c r="B278" i="47"/>
  <c r="F277" i="47"/>
  <c r="D277" i="47"/>
  <c r="B277" i="47"/>
  <c r="F276" i="47"/>
  <c r="D276" i="47"/>
  <c r="B276" i="47"/>
  <c r="F275" i="47"/>
  <c r="D275" i="47"/>
  <c r="B275" i="47"/>
  <c r="F274" i="47"/>
  <c r="D274" i="47"/>
  <c r="B274" i="47"/>
  <c r="F273" i="47"/>
  <c r="D273" i="47"/>
  <c r="B273" i="47"/>
  <c r="F272" i="47"/>
  <c r="D272" i="47"/>
  <c r="B272" i="47"/>
  <c r="F271" i="47"/>
  <c r="D271" i="47"/>
  <c r="B271" i="47"/>
  <c r="F270" i="47"/>
  <c r="D270" i="47"/>
  <c r="B270" i="47"/>
  <c r="F269" i="47"/>
  <c r="D269" i="47"/>
  <c r="B269" i="47"/>
  <c r="F268" i="47"/>
  <c r="D268" i="47"/>
  <c r="B268" i="47"/>
  <c r="F267" i="47"/>
  <c r="D267" i="47"/>
  <c r="B267" i="47"/>
  <c r="F266" i="47"/>
  <c r="D266" i="47"/>
  <c r="B266" i="47"/>
  <c r="F265" i="47"/>
  <c r="D265" i="47"/>
  <c r="B265" i="47"/>
  <c r="F262" i="47"/>
  <c r="D262" i="47"/>
  <c r="B262" i="47"/>
  <c r="F261" i="47"/>
  <c r="D261" i="47"/>
  <c r="B261" i="47"/>
  <c r="F260" i="47"/>
  <c r="D260" i="47"/>
  <c r="B260" i="47"/>
  <c r="F259" i="47"/>
  <c r="D259" i="47"/>
  <c r="B259" i="47"/>
  <c r="F258" i="47"/>
  <c r="D258" i="47"/>
  <c r="B258" i="47"/>
  <c r="F257" i="47"/>
  <c r="D257" i="47"/>
  <c r="B257" i="47"/>
  <c r="F256" i="47"/>
  <c r="D256" i="47"/>
  <c r="B256" i="47"/>
  <c r="F255" i="47"/>
  <c r="D255" i="47"/>
  <c r="B255" i="47"/>
  <c r="F254" i="47"/>
  <c r="D254" i="47"/>
  <c r="B254" i="47"/>
  <c r="F253" i="47"/>
  <c r="D253" i="47"/>
  <c r="B253" i="47"/>
  <c r="F252" i="47"/>
  <c r="D252" i="47"/>
  <c r="B252" i="47"/>
  <c r="F251" i="47"/>
  <c r="D251" i="47"/>
  <c r="B251" i="47"/>
  <c r="F250" i="47"/>
  <c r="D250" i="47"/>
  <c r="B250" i="47"/>
  <c r="F249" i="47"/>
  <c r="D249" i="47"/>
  <c r="B249" i="47"/>
  <c r="F248" i="47"/>
  <c r="D248" i="47"/>
  <c r="B248" i="47"/>
  <c r="F247" i="47"/>
  <c r="D247" i="47"/>
  <c r="B247" i="47"/>
  <c r="F246" i="47"/>
  <c r="D246" i="47"/>
  <c r="B246" i="47"/>
  <c r="F245" i="47"/>
  <c r="D245" i="47"/>
  <c r="B245" i="47"/>
  <c r="F244" i="47"/>
  <c r="D244" i="47"/>
  <c r="B244" i="47"/>
  <c r="F243" i="47"/>
  <c r="D243" i="47"/>
  <c r="B243" i="47"/>
  <c r="F242" i="47"/>
  <c r="D242" i="47"/>
  <c r="B242" i="47"/>
  <c r="F241" i="47"/>
  <c r="D241" i="47"/>
  <c r="B241" i="47"/>
  <c r="F240" i="47"/>
  <c r="D240" i="47"/>
  <c r="B240" i="47"/>
  <c r="F239" i="47"/>
  <c r="D239" i="47"/>
  <c r="B239" i="47"/>
  <c r="F238" i="47"/>
  <c r="D238" i="47"/>
  <c r="B238" i="47"/>
  <c r="F237" i="47"/>
  <c r="D237" i="47"/>
  <c r="B237" i="47"/>
  <c r="F236" i="47"/>
  <c r="D236" i="47"/>
  <c r="B236" i="47"/>
  <c r="F235" i="47"/>
  <c r="D235" i="47"/>
  <c r="B235" i="47"/>
  <c r="F234" i="47"/>
  <c r="D234" i="47"/>
  <c r="B234" i="47"/>
  <c r="F233" i="47"/>
  <c r="D233" i="47"/>
  <c r="B233" i="47"/>
  <c r="F232" i="47"/>
  <c r="D232" i="47"/>
  <c r="B232" i="47"/>
  <c r="F231" i="47"/>
  <c r="D231" i="47"/>
  <c r="B231" i="47"/>
  <c r="F230" i="47"/>
  <c r="D230" i="47"/>
  <c r="B230" i="47"/>
  <c r="F229" i="47"/>
  <c r="D229" i="47"/>
  <c r="B229" i="47"/>
  <c r="F228" i="47"/>
  <c r="D228" i="47"/>
  <c r="B228" i="47"/>
  <c r="F227" i="47"/>
  <c r="D227" i="47"/>
  <c r="B227" i="47"/>
  <c r="F226" i="47"/>
  <c r="D226" i="47"/>
  <c r="B226" i="47"/>
  <c r="F225" i="47"/>
  <c r="D225" i="47"/>
  <c r="B225" i="47"/>
  <c r="F224" i="47"/>
  <c r="D224" i="47"/>
  <c r="B224" i="47"/>
  <c r="F223" i="47"/>
  <c r="D223" i="47"/>
  <c r="B223" i="47"/>
  <c r="F222" i="47"/>
  <c r="D222" i="47"/>
  <c r="B222" i="47"/>
  <c r="F221" i="47"/>
  <c r="D221" i="47"/>
  <c r="B221" i="47"/>
  <c r="F220" i="47"/>
  <c r="D220" i="47"/>
  <c r="B220" i="47"/>
  <c r="F219" i="47"/>
  <c r="D219" i="47"/>
  <c r="B219" i="47"/>
  <c r="F218" i="47"/>
  <c r="D218" i="47"/>
  <c r="B218" i="47"/>
  <c r="F217" i="47"/>
  <c r="D217" i="47"/>
  <c r="B217" i="47"/>
  <c r="F216" i="47"/>
  <c r="D216" i="47"/>
  <c r="B216" i="47"/>
  <c r="F215" i="47"/>
  <c r="D215" i="47"/>
  <c r="B215" i="47"/>
  <c r="F214" i="47"/>
  <c r="D214" i="47"/>
  <c r="B214" i="47"/>
  <c r="F211" i="47"/>
  <c r="D211" i="47"/>
  <c r="B211" i="47"/>
  <c r="F210" i="47"/>
  <c r="D210" i="47"/>
  <c r="B210" i="47"/>
  <c r="F209" i="47"/>
  <c r="D209" i="47"/>
  <c r="B209" i="47"/>
  <c r="F208" i="47"/>
  <c r="D208" i="47"/>
  <c r="B208" i="47"/>
  <c r="F207" i="47"/>
  <c r="D207" i="47"/>
  <c r="B207" i="47"/>
  <c r="F206" i="47"/>
  <c r="D206" i="47"/>
  <c r="B206" i="47"/>
  <c r="F205" i="47"/>
  <c r="D205" i="47"/>
  <c r="B205" i="47"/>
  <c r="F204" i="47"/>
  <c r="D204" i="47"/>
  <c r="B204" i="47"/>
  <c r="F203" i="47"/>
  <c r="D203" i="47"/>
  <c r="B203" i="47"/>
  <c r="F202" i="47"/>
  <c r="D202" i="47"/>
  <c r="B202" i="47"/>
  <c r="F201" i="47"/>
  <c r="D201" i="47"/>
  <c r="B201" i="47"/>
  <c r="F200" i="47"/>
  <c r="D200" i="47"/>
  <c r="B200" i="47"/>
  <c r="F199" i="47"/>
  <c r="D199" i="47"/>
  <c r="B199" i="47"/>
  <c r="F198" i="47"/>
  <c r="D198" i="47"/>
  <c r="B198" i="47"/>
  <c r="F197" i="47"/>
  <c r="D197" i="47"/>
  <c r="B197" i="47"/>
  <c r="F196" i="47"/>
  <c r="D196" i="47"/>
  <c r="B196" i="47"/>
  <c r="F195" i="47"/>
  <c r="D195" i="47"/>
  <c r="B195" i="47"/>
  <c r="F194" i="47"/>
  <c r="D194" i="47"/>
  <c r="B194" i="47"/>
  <c r="F193" i="47"/>
  <c r="D193" i="47"/>
  <c r="B193" i="47"/>
  <c r="F192" i="47"/>
  <c r="D192" i="47"/>
  <c r="B192" i="47"/>
  <c r="F191" i="47"/>
  <c r="D191" i="47"/>
  <c r="B191" i="47"/>
  <c r="F190" i="47"/>
  <c r="D190" i="47"/>
  <c r="B190" i="47"/>
  <c r="F189" i="47"/>
  <c r="D189" i="47"/>
  <c r="B189" i="47"/>
  <c r="F188" i="47"/>
  <c r="D188" i="47"/>
  <c r="B188" i="47"/>
  <c r="F187" i="47"/>
  <c r="D187" i="47"/>
  <c r="B187" i="47"/>
  <c r="F186" i="47"/>
  <c r="D186" i="47"/>
  <c r="B186" i="47"/>
  <c r="F185" i="47"/>
  <c r="D185" i="47"/>
  <c r="B185" i="47"/>
  <c r="F184" i="47"/>
  <c r="D184" i="47"/>
  <c r="B184" i="47"/>
  <c r="F183" i="47"/>
  <c r="D183" i="47"/>
  <c r="B183" i="47"/>
  <c r="F182" i="47"/>
  <c r="D182" i="47"/>
  <c r="B182" i="47"/>
  <c r="F181" i="47"/>
  <c r="D181" i="47"/>
  <c r="B181" i="47"/>
  <c r="F180" i="47"/>
  <c r="D180" i="47"/>
  <c r="B180" i="47"/>
  <c r="F179" i="47"/>
  <c r="D179" i="47"/>
  <c r="B179" i="47"/>
  <c r="F178" i="47"/>
  <c r="D178" i="47"/>
  <c r="B178" i="47"/>
  <c r="F177" i="47"/>
  <c r="D177" i="47"/>
  <c r="B177" i="47"/>
  <c r="F176" i="47"/>
  <c r="D176" i="47"/>
  <c r="B176" i="47"/>
  <c r="F175" i="47"/>
  <c r="D175" i="47"/>
  <c r="B175" i="47"/>
  <c r="F174" i="47"/>
  <c r="D174" i="47"/>
  <c r="B174" i="47"/>
  <c r="F173" i="47"/>
  <c r="D173" i="47"/>
  <c r="B173" i="47"/>
  <c r="F172" i="47"/>
  <c r="D172" i="47"/>
  <c r="B172" i="47"/>
  <c r="F171" i="47"/>
  <c r="D171" i="47"/>
  <c r="B171" i="47"/>
  <c r="F170" i="47"/>
  <c r="D170" i="47"/>
  <c r="B170" i="47"/>
  <c r="F169" i="47"/>
  <c r="D169" i="47"/>
  <c r="B169" i="47"/>
  <c r="F168" i="47"/>
  <c r="D168" i="47"/>
  <c r="B168" i="47"/>
  <c r="F167" i="47"/>
  <c r="D167" i="47"/>
  <c r="B167" i="47"/>
  <c r="F166" i="47"/>
  <c r="D166" i="47"/>
  <c r="B166" i="47"/>
  <c r="F165" i="47"/>
  <c r="D165" i="47"/>
  <c r="B165" i="47"/>
  <c r="F164" i="47"/>
  <c r="D164" i="47"/>
  <c r="B164" i="47"/>
  <c r="F163" i="47"/>
  <c r="D163" i="47"/>
  <c r="B163" i="47"/>
  <c r="F160" i="47"/>
  <c r="D160" i="47"/>
  <c r="B160" i="47"/>
  <c r="F159" i="47"/>
  <c r="D159" i="47"/>
  <c r="B159" i="47"/>
  <c r="F158" i="47"/>
  <c r="D158" i="47"/>
  <c r="B158" i="47"/>
  <c r="F157" i="47"/>
  <c r="D157" i="47"/>
  <c r="B157" i="47"/>
  <c r="F156" i="47"/>
  <c r="D156" i="47"/>
  <c r="B156" i="47"/>
  <c r="F155" i="47"/>
  <c r="D155" i="47"/>
  <c r="B155" i="47"/>
  <c r="F154" i="47"/>
  <c r="D154" i="47"/>
  <c r="B154" i="47"/>
  <c r="F153" i="47"/>
  <c r="D153" i="47"/>
  <c r="B153" i="47"/>
  <c r="F152" i="47"/>
  <c r="D152" i="47"/>
  <c r="B152" i="47"/>
  <c r="F151" i="47"/>
  <c r="D151" i="47"/>
  <c r="B151" i="47"/>
  <c r="F150" i="47"/>
  <c r="D150" i="47"/>
  <c r="B150" i="47"/>
  <c r="F149" i="47"/>
  <c r="D149" i="47"/>
  <c r="B149" i="47"/>
  <c r="F148" i="47"/>
  <c r="D148" i="47"/>
  <c r="B148" i="47"/>
  <c r="F147" i="47"/>
  <c r="D147" i="47"/>
  <c r="B147" i="47"/>
  <c r="F146" i="47"/>
  <c r="D146" i="47"/>
  <c r="B146" i="47"/>
  <c r="F145" i="47"/>
  <c r="D145" i="47"/>
  <c r="B145" i="47"/>
  <c r="F144" i="47"/>
  <c r="D144" i="47"/>
  <c r="B144" i="47"/>
  <c r="F143" i="47"/>
  <c r="D143" i="47"/>
  <c r="B143" i="47"/>
  <c r="F142" i="47"/>
  <c r="D142" i="47"/>
  <c r="B142" i="47"/>
  <c r="F141" i="47"/>
  <c r="D141" i="47"/>
  <c r="B141" i="47"/>
  <c r="F140" i="47"/>
  <c r="D140" i="47"/>
  <c r="B140" i="47"/>
  <c r="F139" i="47"/>
  <c r="D139" i="47"/>
  <c r="B139" i="47"/>
  <c r="F138" i="47"/>
  <c r="D138" i="47"/>
  <c r="B138" i="47"/>
  <c r="F137" i="47"/>
  <c r="D137" i="47"/>
  <c r="B137" i="47"/>
  <c r="F136" i="47"/>
  <c r="D136" i="47"/>
  <c r="B136" i="47"/>
  <c r="F135" i="47"/>
  <c r="D135" i="47"/>
  <c r="B135" i="47"/>
  <c r="F134" i="47"/>
  <c r="D134" i="47"/>
  <c r="B134" i="47"/>
  <c r="F133" i="47"/>
  <c r="D133" i="47"/>
  <c r="B133" i="47"/>
  <c r="F132" i="47"/>
  <c r="D132" i="47"/>
  <c r="B132" i="47"/>
  <c r="F131" i="47"/>
  <c r="D131" i="47"/>
  <c r="B131" i="47"/>
  <c r="F130" i="47"/>
  <c r="D130" i="47"/>
  <c r="B130" i="47"/>
  <c r="F129" i="47"/>
  <c r="D129" i="47"/>
  <c r="B129" i="47"/>
  <c r="F128" i="47"/>
  <c r="D128" i="47"/>
  <c r="B128" i="47"/>
  <c r="F127" i="47"/>
  <c r="D127" i="47"/>
  <c r="B127" i="47"/>
  <c r="F126" i="47"/>
  <c r="D126" i="47"/>
  <c r="B126" i="47"/>
  <c r="F125" i="47"/>
  <c r="D125" i="47"/>
  <c r="B125" i="47"/>
  <c r="F124" i="47"/>
  <c r="D124" i="47"/>
  <c r="B124" i="47"/>
  <c r="F123" i="47"/>
  <c r="D123" i="47"/>
  <c r="B123" i="47"/>
  <c r="F122" i="47"/>
  <c r="D122" i="47"/>
  <c r="B122" i="47"/>
  <c r="F121" i="47"/>
  <c r="D121" i="47"/>
  <c r="B121" i="47"/>
  <c r="F120" i="47"/>
  <c r="D120" i="47"/>
  <c r="B120" i="47"/>
  <c r="F119" i="47"/>
  <c r="D119" i="47"/>
  <c r="B119" i="47"/>
  <c r="F118" i="47"/>
  <c r="D118" i="47"/>
  <c r="B118" i="47"/>
  <c r="F117" i="47"/>
  <c r="D117" i="47"/>
  <c r="B117" i="47"/>
  <c r="F116" i="47"/>
  <c r="D116" i="47"/>
  <c r="B116" i="47"/>
  <c r="F115" i="47"/>
  <c r="D115" i="47"/>
  <c r="B115" i="47"/>
  <c r="F114" i="47"/>
  <c r="D114" i="47"/>
  <c r="B114" i="47"/>
  <c r="F113" i="47"/>
  <c r="D113" i="47"/>
  <c r="B113" i="47"/>
  <c r="F112" i="47"/>
  <c r="D112" i="47"/>
  <c r="B112" i="47"/>
  <c r="F109" i="47"/>
  <c r="D109" i="47"/>
  <c r="B109" i="47"/>
  <c r="F108" i="47"/>
  <c r="D108" i="47"/>
  <c r="B108" i="47"/>
  <c r="F107" i="47"/>
  <c r="D107" i="47"/>
  <c r="B107" i="47"/>
  <c r="F106" i="47"/>
  <c r="D106" i="47"/>
  <c r="B106" i="47"/>
  <c r="F105" i="47"/>
  <c r="D105" i="47"/>
  <c r="B105" i="47"/>
  <c r="F104" i="47"/>
  <c r="D104" i="47"/>
  <c r="B104" i="47"/>
  <c r="F103" i="47"/>
  <c r="D103" i="47"/>
  <c r="B103" i="47"/>
  <c r="F102" i="47"/>
  <c r="D102" i="47"/>
  <c r="B102" i="47"/>
  <c r="F101" i="47"/>
  <c r="D101" i="47"/>
  <c r="B101" i="47"/>
  <c r="F100" i="47"/>
  <c r="D100" i="47"/>
  <c r="B100" i="47"/>
  <c r="F99" i="47"/>
  <c r="D99" i="47"/>
  <c r="B99" i="47"/>
  <c r="F98" i="47"/>
  <c r="D98" i="47"/>
  <c r="B98" i="47"/>
  <c r="F97" i="47"/>
  <c r="D97" i="47"/>
  <c r="B97" i="47"/>
  <c r="F96" i="47"/>
  <c r="D96" i="47"/>
  <c r="B96" i="47"/>
  <c r="F95" i="47"/>
  <c r="D95" i="47"/>
  <c r="B95" i="47"/>
  <c r="F94" i="47"/>
  <c r="D94" i="47"/>
  <c r="B94" i="47"/>
  <c r="F93" i="47"/>
  <c r="D93" i="47"/>
  <c r="B93" i="47"/>
  <c r="F92" i="47"/>
  <c r="D92" i="47"/>
  <c r="B92" i="47"/>
  <c r="F91" i="47"/>
  <c r="D91" i="47"/>
  <c r="B91" i="47"/>
  <c r="F90" i="47"/>
  <c r="D90" i="47"/>
  <c r="B90" i="47"/>
  <c r="F89" i="47"/>
  <c r="D89" i="47"/>
  <c r="B89" i="47"/>
  <c r="F88" i="47"/>
  <c r="D88" i="47"/>
  <c r="B88" i="47"/>
  <c r="F87" i="47"/>
  <c r="D87" i="47"/>
  <c r="B87" i="47"/>
  <c r="F86" i="47"/>
  <c r="D86" i="47"/>
  <c r="B86" i="47"/>
  <c r="F85" i="47"/>
  <c r="D85" i="47"/>
  <c r="B85" i="47"/>
  <c r="F84" i="47"/>
  <c r="D84" i="47"/>
  <c r="B84" i="47"/>
  <c r="F83" i="47"/>
  <c r="D83" i="47"/>
  <c r="B83" i="47"/>
  <c r="F82" i="47"/>
  <c r="D82" i="47"/>
  <c r="B82" i="47"/>
  <c r="F81" i="47"/>
  <c r="D81" i="47"/>
  <c r="B81" i="47"/>
  <c r="F80" i="47"/>
  <c r="D80" i="47"/>
  <c r="B80" i="47"/>
  <c r="F79" i="47"/>
  <c r="D79" i="47"/>
  <c r="B79" i="47"/>
  <c r="F78" i="47"/>
  <c r="D78" i="47"/>
  <c r="B78" i="47"/>
  <c r="F77" i="47"/>
  <c r="D77" i="47"/>
  <c r="B77" i="47"/>
  <c r="F76" i="47"/>
  <c r="D76" i="47"/>
  <c r="B76" i="47"/>
  <c r="F75" i="47"/>
  <c r="D75" i="47"/>
  <c r="B75" i="47"/>
  <c r="F74" i="47"/>
  <c r="D74" i="47"/>
  <c r="B74" i="47"/>
  <c r="F73" i="47"/>
  <c r="D73" i="47"/>
  <c r="B73" i="47"/>
  <c r="F72" i="47"/>
  <c r="D72" i="47"/>
  <c r="B72" i="47"/>
  <c r="F71" i="47"/>
  <c r="D71" i="47"/>
  <c r="B71" i="47"/>
  <c r="F70" i="47"/>
  <c r="D70" i="47"/>
  <c r="B70" i="47"/>
  <c r="F69" i="47"/>
  <c r="D69" i="47"/>
  <c r="B69" i="47"/>
  <c r="F68" i="47"/>
  <c r="D68" i="47"/>
  <c r="B68" i="47"/>
  <c r="F67" i="47"/>
  <c r="D67" i="47"/>
  <c r="B67" i="47"/>
  <c r="F66" i="47"/>
  <c r="D66" i="47"/>
  <c r="B66" i="47"/>
  <c r="F65" i="47"/>
  <c r="D65" i="47"/>
  <c r="B65" i="47"/>
  <c r="F64" i="47"/>
  <c r="D64" i="47"/>
  <c r="B64" i="47"/>
  <c r="F63" i="47"/>
  <c r="D63" i="47"/>
  <c r="B63" i="47"/>
  <c r="F62" i="47"/>
  <c r="D62" i="47"/>
  <c r="B62" i="47"/>
  <c r="F61" i="47"/>
  <c r="D61" i="47"/>
  <c r="B61" i="47"/>
  <c r="F58" i="47"/>
  <c r="D58" i="47"/>
  <c r="B58" i="47"/>
  <c r="F57" i="47"/>
  <c r="D57" i="47"/>
  <c r="B57" i="47"/>
  <c r="F56" i="47"/>
  <c r="D56" i="47"/>
  <c r="B56" i="47"/>
  <c r="F55" i="47"/>
  <c r="D55" i="47"/>
  <c r="B55" i="47"/>
  <c r="F54" i="47"/>
  <c r="D54" i="47"/>
  <c r="B54" i="47"/>
  <c r="F53" i="47"/>
  <c r="D53" i="47"/>
  <c r="B53" i="47"/>
  <c r="F52" i="47"/>
  <c r="D52" i="47"/>
  <c r="B52" i="47"/>
  <c r="F51" i="47"/>
  <c r="D51" i="47"/>
  <c r="B51" i="47"/>
  <c r="F50" i="47"/>
  <c r="D50" i="47"/>
  <c r="B50" i="47"/>
  <c r="F49" i="47"/>
  <c r="D49" i="47"/>
  <c r="B49" i="47"/>
  <c r="F48" i="47"/>
  <c r="D48" i="47"/>
  <c r="B48" i="47"/>
  <c r="F47" i="47"/>
  <c r="D47" i="47"/>
  <c r="B47" i="47"/>
  <c r="F46" i="47"/>
  <c r="D46" i="47"/>
  <c r="B46" i="47"/>
  <c r="F45" i="47"/>
  <c r="D45" i="47"/>
  <c r="B45" i="47"/>
  <c r="F44" i="47"/>
  <c r="D44" i="47"/>
  <c r="B44" i="47"/>
  <c r="F43" i="47"/>
  <c r="D43" i="47"/>
  <c r="B43" i="47"/>
  <c r="F42" i="47"/>
  <c r="D42" i="47"/>
  <c r="B42" i="47"/>
  <c r="F41" i="47"/>
  <c r="D41" i="47"/>
  <c r="B41" i="47"/>
  <c r="F40" i="47"/>
  <c r="D40" i="47"/>
  <c r="B40" i="47"/>
  <c r="F39" i="47"/>
  <c r="D39" i="47"/>
  <c r="B39" i="47"/>
  <c r="F38" i="47"/>
  <c r="D38" i="47"/>
  <c r="B38" i="47"/>
  <c r="F37" i="47"/>
  <c r="D37" i="47"/>
  <c r="B37" i="47"/>
  <c r="F36" i="47"/>
  <c r="D36" i="47"/>
  <c r="B36" i="47"/>
  <c r="F35" i="47"/>
  <c r="D35" i="47"/>
  <c r="B35" i="47"/>
  <c r="F34" i="47"/>
  <c r="D34" i="47"/>
  <c r="B34" i="47"/>
  <c r="F33" i="47"/>
  <c r="D33" i="47"/>
  <c r="B33" i="47"/>
  <c r="F32" i="47"/>
  <c r="D32" i="47"/>
  <c r="B32" i="47"/>
  <c r="F31" i="47"/>
  <c r="D31" i="47"/>
  <c r="B31" i="47"/>
  <c r="F30" i="47"/>
  <c r="D30" i="47"/>
  <c r="B30" i="47"/>
  <c r="F29" i="47"/>
  <c r="D29" i="47"/>
  <c r="B29" i="47"/>
  <c r="F28" i="47"/>
  <c r="D28" i="47"/>
  <c r="B28" i="47"/>
  <c r="F27" i="47"/>
  <c r="D27" i="47"/>
  <c r="B27" i="47"/>
  <c r="F26" i="47"/>
  <c r="D26" i="47"/>
  <c r="B26" i="47"/>
  <c r="F25" i="47"/>
  <c r="D25" i="47"/>
  <c r="B25" i="47"/>
  <c r="F24" i="47"/>
  <c r="D24" i="47"/>
  <c r="B24" i="47"/>
  <c r="F23" i="47"/>
  <c r="D23" i="47"/>
  <c r="B23" i="47"/>
  <c r="F22" i="47"/>
  <c r="D22" i="47"/>
  <c r="B22" i="47"/>
  <c r="F21" i="47"/>
  <c r="D21" i="47"/>
  <c r="B21" i="47"/>
  <c r="F20" i="47"/>
  <c r="D20" i="47"/>
  <c r="B20" i="47"/>
  <c r="F19" i="47"/>
  <c r="D19" i="47"/>
  <c r="B19" i="47"/>
  <c r="F18" i="47"/>
  <c r="D18" i="47"/>
  <c r="B18" i="47"/>
  <c r="F17" i="47"/>
  <c r="D17" i="47"/>
  <c r="B17" i="47"/>
  <c r="F16" i="47"/>
  <c r="D16" i="47"/>
  <c r="B16" i="47"/>
  <c r="F15" i="47"/>
  <c r="D15" i="47"/>
  <c r="B15" i="47"/>
  <c r="F14" i="47"/>
  <c r="D14" i="47"/>
  <c r="B14" i="47"/>
  <c r="F13" i="47"/>
  <c r="D13" i="47"/>
  <c r="B13" i="47"/>
  <c r="F12" i="47"/>
  <c r="D12" i="47"/>
  <c r="B12" i="47"/>
  <c r="F11" i="47"/>
  <c r="D11" i="47"/>
  <c r="B11" i="47"/>
  <c r="F10" i="47"/>
  <c r="D10" i="47"/>
  <c r="B10" i="47"/>
  <c r="F466" i="107"/>
  <c r="D466" i="107"/>
  <c r="B466" i="107"/>
  <c r="F465" i="107"/>
  <c r="D465" i="107"/>
  <c r="B465" i="107"/>
  <c r="F464" i="107"/>
  <c r="D464" i="107"/>
  <c r="B464" i="107"/>
  <c r="F463" i="107"/>
  <c r="D463" i="107"/>
  <c r="B463" i="107"/>
  <c r="F462" i="107"/>
  <c r="D462" i="107"/>
  <c r="B462" i="107"/>
  <c r="F461" i="107"/>
  <c r="D461" i="107"/>
  <c r="B461" i="107"/>
  <c r="F460" i="107"/>
  <c r="D460" i="107"/>
  <c r="B460" i="107"/>
  <c r="F459" i="107"/>
  <c r="D459" i="107"/>
  <c r="B459" i="107"/>
  <c r="F458" i="107"/>
  <c r="D458" i="107"/>
  <c r="B458" i="107"/>
  <c r="F457" i="107"/>
  <c r="D457" i="107"/>
  <c r="B457" i="107"/>
  <c r="F456" i="107"/>
  <c r="D456" i="107"/>
  <c r="B456" i="107"/>
  <c r="F455" i="107"/>
  <c r="D455" i="107"/>
  <c r="B455" i="107"/>
  <c r="F454" i="107"/>
  <c r="D454" i="107"/>
  <c r="B454" i="107"/>
  <c r="F453" i="107"/>
  <c r="D453" i="107"/>
  <c r="B453" i="107"/>
  <c r="F452" i="107"/>
  <c r="D452" i="107"/>
  <c r="B452" i="107"/>
  <c r="F451" i="107"/>
  <c r="D451" i="107"/>
  <c r="B451" i="107"/>
  <c r="F450" i="107"/>
  <c r="D450" i="107"/>
  <c r="B450" i="107"/>
  <c r="F449" i="107"/>
  <c r="D449" i="107"/>
  <c r="B449" i="107"/>
  <c r="F448" i="107"/>
  <c r="D448" i="107"/>
  <c r="B448" i="107"/>
  <c r="F447" i="107"/>
  <c r="D447" i="107"/>
  <c r="B447" i="107"/>
  <c r="F446" i="107"/>
  <c r="D446" i="107"/>
  <c r="B446" i="107"/>
  <c r="F445" i="107"/>
  <c r="D445" i="107"/>
  <c r="B445" i="107"/>
  <c r="F444" i="107"/>
  <c r="D444" i="107"/>
  <c r="B444" i="107"/>
  <c r="F443" i="107"/>
  <c r="D443" i="107"/>
  <c r="B443" i="107"/>
  <c r="F442" i="107"/>
  <c r="D442" i="107"/>
  <c r="B442" i="107"/>
  <c r="F441" i="107"/>
  <c r="D441" i="107"/>
  <c r="B441" i="107"/>
  <c r="F440" i="107"/>
  <c r="D440" i="107"/>
  <c r="B440" i="107"/>
  <c r="F439" i="107"/>
  <c r="D439" i="107"/>
  <c r="B439" i="107"/>
  <c r="F438" i="107"/>
  <c r="D438" i="107"/>
  <c r="B438" i="107"/>
  <c r="F437" i="107"/>
  <c r="D437" i="107"/>
  <c r="B437" i="107"/>
  <c r="F436" i="107"/>
  <c r="D436" i="107"/>
  <c r="B436" i="107"/>
  <c r="F435" i="107"/>
  <c r="D435" i="107"/>
  <c r="B435" i="107"/>
  <c r="F434" i="107"/>
  <c r="D434" i="107"/>
  <c r="B434" i="107"/>
  <c r="F433" i="107"/>
  <c r="D433" i="107"/>
  <c r="B433" i="107"/>
  <c r="F432" i="107"/>
  <c r="D432" i="107"/>
  <c r="B432" i="107"/>
  <c r="F431" i="107"/>
  <c r="D431" i="107"/>
  <c r="B431" i="107"/>
  <c r="F430" i="107"/>
  <c r="D430" i="107"/>
  <c r="B430" i="107"/>
  <c r="F429" i="107"/>
  <c r="D429" i="107"/>
  <c r="B429" i="107"/>
  <c r="F428" i="107"/>
  <c r="D428" i="107"/>
  <c r="B428" i="107"/>
  <c r="F427" i="107"/>
  <c r="D427" i="107"/>
  <c r="B427" i="107"/>
  <c r="F426" i="107"/>
  <c r="D426" i="107"/>
  <c r="B426" i="107"/>
  <c r="F425" i="107"/>
  <c r="D425" i="107"/>
  <c r="B425" i="107"/>
  <c r="F424" i="107"/>
  <c r="D424" i="107"/>
  <c r="B424" i="107"/>
  <c r="F423" i="107"/>
  <c r="D423" i="107"/>
  <c r="B423" i="107"/>
  <c r="F422" i="107"/>
  <c r="D422" i="107"/>
  <c r="B422" i="107"/>
  <c r="F421" i="107"/>
  <c r="D421" i="107"/>
  <c r="B421" i="107"/>
  <c r="F420" i="107"/>
  <c r="D420" i="107"/>
  <c r="B420" i="107"/>
  <c r="F419" i="107"/>
  <c r="D419" i="107"/>
  <c r="B419" i="107"/>
  <c r="F418" i="107"/>
  <c r="D418" i="107"/>
  <c r="B418" i="107"/>
  <c r="F415" i="107"/>
  <c r="D415" i="107"/>
  <c r="B415" i="107"/>
  <c r="F414" i="107"/>
  <c r="D414" i="107"/>
  <c r="B414" i="107"/>
  <c r="F413" i="107"/>
  <c r="D413" i="107"/>
  <c r="B413" i="107"/>
  <c r="F412" i="107"/>
  <c r="D412" i="107"/>
  <c r="B412" i="107"/>
  <c r="F411" i="107"/>
  <c r="D411" i="107"/>
  <c r="B411" i="107"/>
  <c r="F410" i="107"/>
  <c r="D410" i="107"/>
  <c r="B410" i="107"/>
  <c r="F409" i="107"/>
  <c r="D409" i="107"/>
  <c r="B409" i="107"/>
  <c r="F408" i="107"/>
  <c r="D408" i="107"/>
  <c r="B408" i="107"/>
  <c r="F407" i="107"/>
  <c r="D407" i="107"/>
  <c r="B407" i="107"/>
  <c r="F406" i="107"/>
  <c r="D406" i="107"/>
  <c r="B406" i="107"/>
  <c r="F405" i="107"/>
  <c r="D405" i="107"/>
  <c r="B405" i="107"/>
  <c r="F404" i="107"/>
  <c r="D404" i="107"/>
  <c r="B404" i="107"/>
  <c r="F403" i="107"/>
  <c r="D403" i="107"/>
  <c r="B403" i="107"/>
  <c r="F402" i="107"/>
  <c r="D402" i="107"/>
  <c r="B402" i="107"/>
  <c r="F401" i="107"/>
  <c r="D401" i="107"/>
  <c r="B401" i="107"/>
  <c r="F400" i="107"/>
  <c r="D400" i="107"/>
  <c r="B400" i="107"/>
  <c r="F399" i="107"/>
  <c r="D399" i="107"/>
  <c r="B399" i="107"/>
  <c r="F398" i="107"/>
  <c r="D398" i="107"/>
  <c r="B398" i="107"/>
  <c r="F397" i="107"/>
  <c r="D397" i="107"/>
  <c r="B397" i="107"/>
  <c r="F396" i="107"/>
  <c r="D396" i="107"/>
  <c r="B396" i="107"/>
  <c r="F395" i="107"/>
  <c r="D395" i="107"/>
  <c r="B395" i="107"/>
  <c r="F394" i="107"/>
  <c r="D394" i="107"/>
  <c r="B394" i="107"/>
  <c r="F393" i="107"/>
  <c r="D393" i="107"/>
  <c r="B393" i="107"/>
  <c r="F392" i="107"/>
  <c r="D392" i="107"/>
  <c r="B392" i="107"/>
  <c r="F391" i="107"/>
  <c r="D391" i="107"/>
  <c r="B391" i="107"/>
  <c r="F390" i="107"/>
  <c r="D390" i="107"/>
  <c r="B390" i="107"/>
  <c r="F389" i="107"/>
  <c r="D389" i="107"/>
  <c r="B389" i="107"/>
  <c r="F388" i="107"/>
  <c r="D388" i="107"/>
  <c r="B388" i="107"/>
  <c r="F387" i="107"/>
  <c r="D387" i="107"/>
  <c r="B387" i="107"/>
  <c r="F386" i="107"/>
  <c r="D386" i="107"/>
  <c r="B386" i="107"/>
  <c r="F385" i="107"/>
  <c r="D385" i="107"/>
  <c r="B385" i="107"/>
  <c r="F384" i="107"/>
  <c r="D384" i="107"/>
  <c r="B384" i="107"/>
  <c r="F383" i="107"/>
  <c r="D383" i="107"/>
  <c r="B383" i="107"/>
  <c r="F382" i="107"/>
  <c r="D382" i="107"/>
  <c r="B382" i="107"/>
  <c r="F381" i="107"/>
  <c r="D381" i="107"/>
  <c r="B381" i="107"/>
  <c r="F380" i="107"/>
  <c r="D380" i="107"/>
  <c r="B380" i="107"/>
  <c r="F379" i="107"/>
  <c r="D379" i="107"/>
  <c r="B379" i="107"/>
  <c r="F378" i="107"/>
  <c r="D378" i="107"/>
  <c r="B378" i="107"/>
  <c r="F377" i="107"/>
  <c r="D377" i="107"/>
  <c r="B377" i="107"/>
  <c r="F376" i="107"/>
  <c r="D376" i="107"/>
  <c r="B376" i="107"/>
  <c r="F375" i="107"/>
  <c r="D375" i="107"/>
  <c r="B375" i="107"/>
  <c r="F374" i="107"/>
  <c r="D374" i="107"/>
  <c r="B374" i="107"/>
  <c r="F373" i="107"/>
  <c r="D373" i="107"/>
  <c r="B373" i="107"/>
  <c r="F372" i="107"/>
  <c r="D372" i="107"/>
  <c r="B372" i="107"/>
  <c r="F371" i="107"/>
  <c r="D371" i="107"/>
  <c r="B371" i="107"/>
  <c r="F370" i="107"/>
  <c r="D370" i="107"/>
  <c r="B370" i="107"/>
  <c r="F369" i="107"/>
  <c r="D369" i="107"/>
  <c r="B369" i="107"/>
  <c r="F368" i="107"/>
  <c r="D368" i="107"/>
  <c r="B368" i="107"/>
  <c r="F367" i="107"/>
  <c r="D367" i="107"/>
  <c r="B367" i="107"/>
  <c r="F364" i="107"/>
  <c r="D364" i="107"/>
  <c r="B364" i="107"/>
  <c r="F363" i="107"/>
  <c r="D363" i="107"/>
  <c r="B363" i="107"/>
  <c r="F362" i="107"/>
  <c r="D362" i="107"/>
  <c r="B362" i="107"/>
  <c r="F361" i="107"/>
  <c r="D361" i="107"/>
  <c r="B361" i="107"/>
  <c r="F360" i="107"/>
  <c r="D360" i="107"/>
  <c r="B360" i="107"/>
  <c r="F359" i="107"/>
  <c r="D359" i="107"/>
  <c r="B359" i="107"/>
  <c r="F358" i="107"/>
  <c r="D358" i="107"/>
  <c r="B358" i="107"/>
  <c r="F357" i="107"/>
  <c r="D357" i="107"/>
  <c r="B357" i="107"/>
  <c r="F356" i="107"/>
  <c r="D356" i="107"/>
  <c r="B356" i="107"/>
  <c r="F355" i="107"/>
  <c r="D355" i="107"/>
  <c r="B355" i="107"/>
  <c r="F354" i="107"/>
  <c r="D354" i="107"/>
  <c r="B354" i="107"/>
  <c r="F353" i="107"/>
  <c r="D353" i="107"/>
  <c r="B353" i="107"/>
  <c r="F352" i="107"/>
  <c r="D352" i="107"/>
  <c r="B352" i="107"/>
  <c r="F351" i="107"/>
  <c r="D351" i="107"/>
  <c r="B351" i="107"/>
  <c r="F350" i="107"/>
  <c r="D350" i="107"/>
  <c r="B350" i="107"/>
  <c r="F349" i="107"/>
  <c r="D349" i="107"/>
  <c r="B349" i="107"/>
  <c r="F348" i="107"/>
  <c r="D348" i="107"/>
  <c r="B348" i="107"/>
  <c r="F347" i="107"/>
  <c r="D347" i="107"/>
  <c r="B347" i="107"/>
  <c r="F346" i="107"/>
  <c r="D346" i="107"/>
  <c r="B346" i="107"/>
  <c r="F345" i="107"/>
  <c r="D345" i="107"/>
  <c r="B345" i="107"/>
  <c r="F344" i="107"/>
  <c r="D344" i="107"/>
  <c r="B344" i="107"/>
  <c r="F343" i="107"/>
  <c r="D343" i="107"/>
  <c r="B343" i="107"/>
  <c r="F342" i="107"/>
  <c r="D342" i="107"/>
  <c r="B342" i="107"/>
  <c r="F341" i="107"/>
  <c r="D341" i="107"/>
  <c r="B341" i="107"/>
  <c r="F340" i="107"/>
  <c r="D340" i="107"/>
  <c r="B340" i="107"/>
  <c r="F339" i="107"/>
  <c r="D339" i="107"/>
  <c r="B339" i="107"/>
  <c r="F338" i="107"/>
  <c r="D338" i="107"/>
  <c r="B338" i="107"/>
  <c r="F337" i="107"/>
  <c r="D337" i="107"/>
  <c r="B337" i="107"/>
  <c r="F336" i="107"/>
  <c r="D336" i="107"/>
  <c r="B336" i="107"/>
  <c r="F335" i="107"/>
  <c r="D335" i="107"/>
  <c r="B335" i="107"/>
  <c r="F334" i="107"/>
  <c r="D334" i="107"/>
  <c r="B334" i="107"/>
  <c r="F333" i="107"/>
  <c r="D333" i="107"/>
  <c r="B333" i="107"/>
  <c r="F332" i="107"/>
  <c r="D332" i="107"/>
  <c r="B332" i="107"/>
  <c r="F331" i="107"/>
  <c r="D331" i="107"/>
  <c r="B331" i="107"/>
  <c r="F330" i="107"/>
  <c r="D330" i="107"/>
  <c r="B330" i="107"/>
  <c r="F329" i="107"/>
  <c r="D329" i="107"/>
  <c r="B329" i="107"/>
  <c r="F328" i="107"/>
  <c r="D328" i="107"/>
  <c r="B328" i="107"/>
  <c r="F327" i="107"/>
  <c r="D327" i="107"/>
  <c r="B327" i="107"/>
  <c r="F326" i="107"/>
  <c r="D326" i="107"/>
  <c r="B326" i="107"/>
  <c r="F325" i="107"/>
  <c r="D325" i="107"/>
  <c r="B325" i="107"/>
  <c r="F324" i="107"/>
  <c r="D324" i="107"/>
  <c r="B324" i="107"/>
  <c r="F323" i="107"/>
  <c r="D323" i="107"/>
  <c r="B323" i="107"/>
  <c r="F322" i="107"/>
  <c r="D322" i="107"/>
  <c r="B322" i="107"/>
  <c r="F321" i="107"/>
  <c r="D321" i="107"/>
  <c r="B321" i="107"/>
  <c r="F320" i="107"/>
  <c r="D320" i="107"/>
  <c r="B320" i="107"/>
  <c r="F319" i="107"/>
  <c r="D319" i="107"/>
  <c r="B319" i="107"/>
  <c r="F318" i="107"/>
  <c r="D318" i="107"/>
  <c r="B318" i="107"/>
  <c r="F317" i="107"/>
  <c r="D317" i="107"/>
  <c r="B317" i="107"/>
  <c r="F316" i="107"/>
  <c r="D316" i="107"/>
  <c r="B316" i="107"/>
  <c r="F313" i="107"/>
  <c r="D313" i="107"/>
  <c r="B313" i="107"/>
  <c r="F312" i="107"/>
  <c r="D312" i="107"/>
  <c r="B312" i="107"/>
  <c r="F311" i="107"/>
  <c r="D311" i="107"/>
  <c r="B311" i="107"/>
  <c r="F310" i="107"/>
  <c r="D310" i="107"/>
  <c r="B310" i="107"/>
  <c r="F309" i="107"/>
  <c r="D309" i="107"/>
  <c r="B309" i="107"/>
  <c r="F308" i="107"/>
  <c r="D308" i="107"/>
  <c r="B308" i="107"/>
  <c r="F307" i="107"/>
  <c r="D307" i="107"/>
  <c r="B307" i="107"/>
  <c r="F306" i="107"/>
  <c r="D306" i="107"/>
  <c r="B306" i="107"/>
  <c r="F305" i="107"/>
  <c r="D305" i="107"/>
  <c r="B305" i="107"/>
  <c r="F304" i="107"/>
  <c r="D304" i="107"/>
  <c r="B304" i="107"/>
  <c r="F303" i="107"/>
  <c r="D303" i="107"/>
  <c r="B303" i="107"/>
  <c r="F302" i="107"/>
  <c r="D302" i="107"/>
  <c r="B302" i="107"/>
  <c r="F301" i="107"/>
  <c r="D301" i="107"/>
  <c r="B301" i="107"/>
  <c r="F300" i="107"/>
  <c r="D300" i="107"/>
  <c r="B300" i="107"/>
  <c r="F299" i="107"/>
  <c r="D299" i="107"/>
  <c r="B299" i="107"/>
  <c r="F298" i="107"/>
  <c r="D298" i="107"/>
  <c r="B298" i="107"/>
  <c r="F297" i="107"/>
  <c r="D297" i="107"/>
  <c r="B297" i="107"/>
  <c r="F296" i="107"/>
  <c r="D296" i="107"/>
  <c r="B296" i="107"/>
  <c r="F295" i="107"/>
  <c r="D295" i="107"/>
  <c r="B295" i="107"/>
  <c r="F294" i="107"/>
  <c r="D294" i="107"/>
  <c r="B294" i="107"/>
  <c r="F293" i="107"/>
  <c r="D293" i="107"/>
  <c r="B293" i="107"/>
  <c r="F292" i="107"/>
  <c r="D292" i="107"/>
  <c r="B292" i="107"/>
  <c r="F291" i="107"/>
  <c r="D291" i="107"/>
  <c r="B291" i="107"/>
  <c r="F290" i="107"/>
  <c r="D290" i="107"/>
  <c r="B290" i="107"/>
  <c r="F289" i="107"/>
  <c r="D289" i="107"/>
  <c r="B289" i="107"/>
  <c r="F288" i="107"/>
  <c r="D288" i="107"/>
  <c r="B288" i="107"/>
  <c r="F287" i="107"/>
  <c r="D287" i="107"/>
  <c r="B287" i="107"/>
  <c r="F286" i="107"/>
  <c r="D286" i="107"/>
  <c r="B286" i="107"/>
  <c r="F285" i="107"/>
  <c r="D285" i="107"/>
  <c r="B285" i="107"/>
  <c r="F284" i="107"/>
  <c r="D284" i="107"/>
  <c r="B284" i="107"/>
  <c r="F283" i="107"/>
  <c r="D283" i="107"/>
  <c r="B283" i="107"/>
  <c r="F282" i="107"/>
  <c r="D282" i="107"/>
  <c r="B282" i="107"/>
  <c r="F281" i="107"/>
  <c r="D281" i="107"/>
  <c r="B281" i="107"/>
  <c r="F280" i="107"/>
  <c r="D280" i="107"/>
  <c r="B280" i="107"/>
  <c r="F279" i="107"/>
  <c r="D279" i="107"/>
  <c r="B279" i="107"/>
  <c r="F278" i="107"/>
  <c r="D278" i="107"/>
  <c r="B278" i="107"/>
  <c r="F277" i="107"/>
  <c r="D277" i="107"/>
  <c r="B277" i="107"/>
  <c r="F276" i="107"/>
  <c r="D276" i="107"/>
  <c r="B276" i="107"/>
  <c r="F275" i="107"/>
  <c r="D275" i="107"/>
  <c r="B275" i="107"/>
  <c r="F274" i="107"/>
  <c r="D274" i="107"/>
  <c r="B274" i="107"/>
  <c r="F273" i="107"/>
  <c r="D273" i="107"/>
  <c r="B273" i="107"/>
  <c r="F272" i="107"/>
  <c r="D272" i="107"/>
  <c r="B272" i="107"/>
  <c r="F271" i="107"/>
  <c r="D271" i="107"/>
  <c r="B271" i="107"/>
  <c r="F270" i="107"/>
  <c r="D270" i="107"/>
  <c r="B270" i="107"/>
  <c r="F269" i="107"/>
  <c r="D269" i="107"/>
  <c r="B269" i="107"/>
  <c r="F268" i="107"/>
  <c r="D268" i="107"/>
  <c r="B268" i="107"/>
  <c r="F267" i="107"/>
  <c r="D267" i="107"/>
  <c r="B267" i="107"/>
  <c r="F266" i="107"/>
  <c r="D266" i="107"/>
  <c r="B266" i="107"/>
  <c r="F265" i="107"/>
  <c r="D265" i="107"/>
  <c r="B265" i="107"/>
  <c r="F262" i="107"/>
  <c r="D262" i="107"/>
  <c r="B262" i="107"/>
  <c r="F261" i="107"/>
  <c r="D261" i="107"/>
  <c r="B261" i="107"/>
  <c r="F260" i="107"/>
  <c r="D260" i="107"/>
  <c r="B260" i="107"/>
  <c r="F259" i="107"/>
  <c r="D259" i="107"/>
  <c r="B259" i="107"/>
  <c r="F258" i="107"/>
  <c r="D258" i="107"/>
  <c r="B258" i="107"/>
  <c r="F257" i="107"/>
  <c r="D257" i="107"/>
  <c r="B257" i="107"/>
  <c r="F256" i="107"/>
  <c r="D256" i="107"/>
  <c r="B256" i="107"/>
  <c r="F255" i="107"/>
  <c r="D255" i="107"/>
  <c r="B255" i="107"/>
  <c r="F254" i="107"/>
  <c r="D254" i="107"/>
  <c r="B254" i="107"/>
  <c r="F253" i="107"/>
  <c r="D253" i="107"/>
  <c r="B253" i="107"/>
  <c r="F252" i="107"/>
  <c r="D252" i="107"/>
  <c r="B252" i="107"/>
  <c r="F251" i="107"/>
  <c r="D251" i="107"/>
  <c r="B251" i="107"/>
  <c r="F250" i="107"/>
  <c r="D250" i="107"/>
  <c r="B250" i="107"/>
  <c r="F249" i="107"/>
  <c r="D249" i="107"/>
  <c r="B249" i="107"/>
  <c r="F248" i="107"/>
  <c r="D248" i="107"/>
  <c r="B248" i="107"/>
  <c r="F247" i="107"/>
  <c r="D247" i="107"/>
  <c r="B247" i="107"/>
  <c r="F246" i="107"/>
  <c r="D246" i="107"/>
  <c r="B246" i="107"/>
  <c r="F245" i="107"/>
  <c r="D245" i="107"/>
  <c r="B245" i="107"/>
  <c r="F244" i="107"/>
  <c r="D244" i="107"/>
  <c r="B244" i="107"/>
  <c r="F243" i="107"/>
  <c r="D243" i="107"/>
  <c r="B243" i="107"/>
  <c r="F242" i="107"/>
  <c r="D242" i="107"/>
  <c r="B242" i="107"/>
  <c r="F241" i="107"/>
  <c r="D241" i="107"/>
  <c r="B241" i="107"/>
  <c r="F240" i="107"/>
  <c r="D240" i="107"/>
  <c r="B240" i="107"/>
  <c r="F239" i="107"/>
  <c r="D239" i="107"/>
  <c r="B239" i="107"/>
  <c r="F238" i="107"/>
  <c r="D238" i="107"/>
  <c r="B238" i="107"/>
  <c r="F237" i="107"/>
  <c r="D237" i="107"/>
  <c r="B237" i="107"/>
  <c r="F236" i="107"/>
  <c r="D236" i="107"/>
  <c r="B236" i="107"/>
  <c r="F235" i="107"/>
  <c r="D235" i="107"/>
  <c r="B235" i="107"/>
  <c r="F234" i="107"/>
  <c r="D234" i="107"/>
  <c r="B234" i="107"/>
  <c r="F233" i="107"/>
  <c r="D233" i="107"/>
  <c r="B233" i="107"/>
  <c r="F232" i="107"/>
  <c r="D232" i="107"/>
  <c r="B232" i="107"/>
  <c r="F231" i="107"/>
  <c r="D231" i="107"/>
  <c r="B231" i="107"/>
  <c r="F230" i="107"/>
  <c r="D230" i="107"/>
  <c r="B230" i="107"/>
  <c r="F229" i="107"/>
  <c r="D229" i="107"/>
  <c r="B229" i="107"/>
  <c r="F228" i="107"/>
  <c r="D228" i="107"/>
  <c r="B228" i="107"/>
  <c r="F227" i="107"/>
  <c r="D227" i="107"/>
  <c r="B227" i="107"/>
  <c r="F226" i="107"/>
  <c r="D226" i="107"/>
  <c r="B226" i="107"/>
  <c r="F225" i="107"/>
  <c r="D225" i="107"/>
  <c r="B225" i="107"/>
  <c r="F224" i="107"/>
  <c r="D224" i="107"/>
  <c r="B224" i="107"/>
  <c r="F223" i="107"/>
  <c r="D223" i="107"/>
  <c r="B223" i="107"/>
  <c r="F222" i="107"/>
  <c r="D222" i="107"/>
  <c r="B222" i="107"/>
  <c r="F221" i="107"/>
  <c r="D221" i="107"/>
  <c r="B221" i="107"/>
  <c r="F220" i="107"/>
  <c r="D220" i="107"/>
  <c r="B220" i="107"/>
  <c r="F219" i="107"/>
  <c r="D219" i="107"/>
  <c r="B219" i="107"/>
  <c r="F218" i="107"/>
  <c r="D218" i="107"/>
  <c r="B218" i="107"/>
  <c r="F217" i="107"/>
  <c r="D217" i="107"/>
  <c r="B217" i="107"/>
  <c r="F216" i="107"/>
  <c r="D216" i="107"/>
  <c r="B216" i="107"/>
  <c r="F215" i="107"/>
  <c r="D215" i="107"/>
  <c r="B215" i="107"/>
  <c r="F214" i="107"/>
  <c r="D214" i="107"/>
  <c r="B214" i="107"/>
  <c r="F211" i="107"/>
  <c r="D211" i="107"/>
  <c r="B211" i="107"/>
  <c r="F210" i="107"/>
  <c r="D210" i="107"/>
  <c r="B210" i="107"/>
  <c r="F209" i="107"/>
  <c r="D209" i="107"/>
  <c r="B209" i="107"/>
  <c r="F208" i="107"/>
  <c r="D208" i="107"/>
  <c r="B208" i="107"/>
  <c r="F207" i="107"/>
  <c r="D207" i="107"/>
  <c r="B207" i="107"/>
  <c r="F206" i="107"/>
  <c r="D206" i="107"/>
  <c r="B206" i="107"/>
  <c r="F205" i="107"/>
  <c r="D205" i="107"/>
  <c r="B205" i="107"/>
  <c r="F204" i="107"/>
  <c r="D204" i="107"/>
  <c r="B204" i="107"/>
  <c r="F203" i="107"/>
  <c r="D203" i="107"/>
  <c r="B203" i="107"/>
  <c r="F202" i="107"/>
  <c r="D202" i="107"/>
  <c r="B202" i="107"/>
  <c r="F201" i="107"/>
  <c r="D201" i="107"/>
  <c r="B201" i="107"/>
  <c r="F200" i="107"/>
  <c r="D200" i="107"/>
  <c r="B200" i="107"/>
  <c r="F199" i="107"/>
  <c r="D199" i="107"/>
  <c r="B199" i="107"/>
  <c r="F198" i="107"/>
  <c r="D198" i="107"/>
  <c r="B198" i="107"/>
  <c r="F197" i="107"/>
  <c r="D197" i="107"/>
  <c r="B197" i="107"/>
  <c r="F196" i="107"/>
  <c r="D196" i="107"/>
  <c r="B196" i="107"/>
  <c r="F195" i="107"/>
  <c r="D195" i="107"/>
  <c r="B195" i="107"/>
  <c r="F194" i="107"/>
  <c r="D194" i="107"/>
  <c r="B194" i="107"/>
  <c r="F193" i="107"/>
  <c r="D193" i="107"/>
  <c r="B193" i="107"/>
  <c r="F192" i="107"/>
  <c r="D192" i="107"/>
  <c r="B192" i="107"/>
  <c r="F191" i="107"/>
  <c r="D191" i="107"/>
  <c r="B191" i="107"/>
  <c r="F190" i="107"/>
  <c r="D190" i="107"/>
  <c r="B190" i="107"/>
  <c r="F189" i="107"/>
  <c r="D189" i="107"/>
  <c r="B189" i="107"/>
  <c r="F188" i="107"/>
  <c r="D188" i="107"/>
  <c r="B188" i="107"/>
  <c r="F187" i="107"/>
  <c r="D187" i="107"/>
  <c r="B187" i="107"/>
  <c r="F186" i="107"/>
  <c r="D186" i="107"/>
  <c r="B186" i="107"/>
  <c r="F185" i="107"/>
  <c r="D185" i="107"/>
  <c r="B185" i="107"/>
  <c r="F184" i="107"/>
  <c r="D184" i="107"/>
  <c r="B184" i="107"/>
  <c r="F183" i="107"/>
  <c r="D183" i="107"/>
  <c r="B183" i="107"/>
  <c r="F182" i="107"/>
  <c r="D182" i="107"/>
  <c r="B182" i="107"/>
  <c r="F181" i="107"/>
  <c r="D181" i="107"/>
  <c r="B181" i="107"/>
  <c r="F180" i="107"/>
  <c r="D180" i="107"/>
  <c r="B180" i="107"/>
  <c r="F179" i="107"/>
  <c r="D179" i="107"/>
  <c r="B179" i="107"/>
  <c r="F178" i="107"/>
  <c r="D178" i="107"/>
  <c r="B178" i="107"/>
  <c r="F177" i="107"/>
  <c r="D177" i="107"/>
  <c r="B177" i="107"/>
  <c r="F176" i="107"/>
  <c r="D176" i="107"/>
  <c r="B176" i="107"/>
  <c r="F175" i="107"/>
  <c r="D175" i="107"/>
  <c r="B175" i="107"/>
  <c r="F174" i="107"/>
  <c r="D174" i="107"/>
  <c r="B174" i="107"/>
  <c r="F173" i="107"/>
  <c r="D173" i="107"/>
  <c r="B173" i="107"/>
  <c r="F172" i="107"/>
  <c r="D172" i="107"/>
  <c r="B172" i="107"/>
  <c r="F171" i="107"/>
  <c r="D171" i="107"/>
  <c r="B171" i="107"/>
  <c r="F170" i="107"/>
  <c r="D170" i="107"/>
  <c r="B170" i="107"/>
  <c r="F169" i="107"/>
  <c r="D169" i="107"/>
  <c r="B169" i="107"/>
  <c r="F168" i="107"/>
  <c r="D168" i="107"/>
  <c r="B168" i="107"/>
  <c r="F167" i="107"/>
  <c r="D167" i="107"/>
  <c r="B167" i="107"/>
  <c r="F166" i="107"/>
  <c r="D166" i="107"/>
  <c r="B166" i="107"/>
  <c r="F165" i="107"/>
  <c r="D165" i="107"/>
  <c r="B165" i="107"/>
  <c r="F164" i="107"/>
  <c r="D164" i="107"/>
  <c r="B164" i="107"/>
  <c r="F163" i="107"/>
  <c r="D163" i="107"/>
  <c r="B163" i="107"/>
  <c r="F160" i="107"/>
  <c r="D160" i="107"/>
  <c r="B160" i="107"/>
  <c r="F159" i="107"/>
  <c r="D159" i="107"/>
  <c r="B159" i="107"/>
  <c r="F158" i="107"/>
  <c r="D158" i="107"/>
  <c r="B158" i="107"/>
  <c r="F157" i="107"/>
  <c r="D157" i="107"/>
  <c r="B157" i="107"/>
  <c r="F156" i="107"/>
  <c r="D156" i="107"/>
  <c r="B156" i="107"/>
  <c r="F155" i="107"/>
  <c r="D155" i="107"/>
  <c r="B155" i="107"/>
  <c r="F154" i="107"/>
  <c r="D154" i="107"/>
  <c r="B154" i="107"/>
  <c r="F153" i="107"/>
  <c r="D153" i="107"/>
  <c r="B153" i="107"/>
  <c r="F152" i="107"/>
  <c r="D152" i="107"/>
  <c r="B152" i="107"/>
  <c r="F151" i="107"/>
  <c r="D151" i="107"/>
  <c r="B151" i="107"/>
  <c r="F150" i="107"/>
  <c r="D150" i="107"/>
  <c r="B150" i="107"/>
  <c r="F149" i="107"/>
  <c r="D149" i="107"/>
  <c r="B149" i="107"/>
  <c r="F148" i="107"/>
  <c r="D148" i="107"/>
  <c r="B148" i="107"/>
  <c r="F147" i="107"/>
  <c r="D147" i="107"/>
  <c r="B147" i="107"/>
  <c r="F146" i="107"/>
  <c r="D146" i="107"/>
  <c r="B146" i="107"/>
  <c r="F145" i="107"/>
  <c r="D145" i="107"/>
  <c r="B145" i="107"/>
  <c r="F144" i="107"/>
  <c r="D144" i="107"/>
  <c r="B144" i="107"/>
  <c r="F143" i="107"/>
  <c r="D143" i="107"/>
  <c r="B143" i="107"/>
  <c r="F142" i="107"/>
  <c r="D142" i="107"/>
  <c r="B142" i="107"/>
  <c r="F141" i="107"/>
  <c r="D141" i="107"/>
  <c r="B141" i="107"/>
  <c r="F140" i="107"/>
  <c r="D140" i="107"/>
  <c r="B140" i="107"/>
  <c r="F139" i="107"/>
  <c r="D139" i="107"/>
  <c r="B139" i="107"/>
  <c r="F138" i="107"/>
  <c r="D138" i="107"/>
  <c r="B138" i="107"/>
  <c r="F137" i="107"/>
  <c r="D137" i="107"/>
  <c r="B137" i="107"/>
  <c r="F136" i="107"/>
  <c r="D136" i="107"/>
  <c r="B136" i="107"/>
  <c r="F135" i="107"/>
  <c r="D135" i="107"/>
  <c r="B135" i="107"/>
  <c r="F134" i="107"/>
  <c r="D134" i="107"/>
  <c r="B134" i="107"/>
  <c r="F133" i="107"/>
  <c r="D133" i="107"/>
  <c r="B133" i="107"/>
  <c r="F132" i="107"/>
  <c r="D132" i="107"/>
  <c r="B132" i="107"/>
  <c r="F131" i="107"/>
  <c r="D131" i="107"/>
  <c r="B131" i="107"/>
  <c r="F130" i="107"/>
  <c r="D130" i="107"/>
  <c r="B130" i="107"/>
  <c r="F129" i="107"/>
  <c r="D129" i="107"/>
  <c r="B129" i="107"/>
  <c r="F128" i="107"/>
  <c r="D128" i="107"/>
  <c r="B128" i="107"/>
  <c r="F127" i="107"/>
  <c r="D127" i="107"/>
  <c r="B127" i="107"/>
  <c r="F126" i="107"/>
  <c r="D126" i="107"/>
  <c r="B126" i="107"/>
  <c r="F125" i="107"/>
  <c r="D125" i="107"/>
  <c r="B125" i="107"/>
  <c r="F124" i="107"/>
  <c r="D124" i="107"/>
  <c r="B124" i="107"/>
  <c r="F123" i="107"/>
  <c r="D123" i="107"/>
  <c r="B123" i="107"/>
  <c r="F122" i="107"/>
  <c r="D122" i="107"/>
  <c r="B122" i="107"/>
  <c r="F121" i="107"/>
  <c r="D121" i="107"/>
  <c r="B121" i="107"/>
  <c r="F120" i="107"/>
  <c r="D120" i="107"/>
  <c r="B120" i="107"/>
  <c r="F119" i="107"/>
  <c r="D119" i="107"/>
  <c r="B119" i="107"/>
  <c r="F118" i="107"/>
  <c r="D118" i="107"/>
  <c r="B118" i="107"/>
  <c r="F117" i="107"/>
  <c r="D117" i="107"/>
  <c r="B117" i="107"/>
  <c r="F116" i="107"/>
  <c r="D116" i="107"/>
  <c r="B116" i="107"/>
  <c r="F115" i="107"/>
  <c r="D115" i="107"/>
  <c r="B115" i="107"/>
  <c r="F114" i="107"/>
  <c r="D114" i="107"/>
  <c r="B114" i="107"/>
  <c r="F113" i="107"/>
  <c r="D113" i="107"/>
  <c r="B113" i="107"/>
  <c r="F112" i="107"/>
  <c r="D112" i="107"/>
  <c r="B112" i="107"/>
  <c r="F109" i="107"/>
  <c r="D109" i="107"/>
  <c r="B109" i="107"/>
  <c r="F108" i="107"/>
  <c r="D108" i="107"/>
  <c r="B108" i="107"/>
  <c r="F107" i="107"/>
  <c r="D107" i="107"/>
  <c r="B107" i="107"/>
  <c r="F106" i="107"/>
  <c r="D106" i="107"/>
  <c r="B106" i="107"/>
  <c r="F105" i="107"/>
  <c r="D105" i="107"/>
  <c r="B105" i="107"/>
  <c r="F104" i="107"/>
  <c r="D104" i="107"/>
  <c r="B104" i="107"/>
  <c r="F103" i="107"/>
  <c r="D103" i="107"/>
  <c r="B103" i="107"/>
  <c r="F102" i="107"/>
  <c r="D102" i="107"/>
  <c r="B102" i="107"/>
  <c r="F101" i="107"/>
  <c r="D101" i="107"/>
  <c r="B101" i="107"/>
  <c r="F100" i="107"/>
  <c r="D100" i="107"/>
  <c r="B100" i="107"/>
  <c r="F99" i="107"/>
  <c r="D99" i="107"/>
  <c r="B99" i="107"/>
  <c r="F98" i="107"/>
  <c r="D98" i="107"/>
  <c r="B98" i="107"/>
  <c r="F97" i="107"/>
  <c r="D97" i="107"/>
  <c r="B97" i="107"/>
  <c r="F96" i="107"/>
  <c r="D96" i="107"/>
  <c r="B96" i="107"/>
  <c r="F95" i="107"/>
  <c r="D95" i="107"/>
  <c r="B95" i="107"/>
  <c r="F94" i="107"/>
  <c r="D94" i="107"/>
  <c r="B94" i="107"/>
  <c r="F93" i="107"/>
  <c r="D93" i="107"/>
  <c r="B93" i="107"/>
  <c r="F92" i="107"/>
  <c r="D92" i="107"/>
  <c r="B92" i="107"/>
  <c r="F91" i="107"/>
  <c r="D91" i="107"/>
  <c r="B91" i="107"/>
  <c r="F90" i="107"/>
  <c r="D90" i="107"/>
  <c r="B90" i="107"/>
  <c r="F89" i="107"/>
  <c r="D89" i="107"/>
  <c r="B89" i="107"/>
  <c r="F88" i="107"/>
  <c r="D88" i="107"/>
  <c r="B88" i="107"/>
  <c r="F87" i="107"/>
  <c r="D87" i="107"/>
  <c r="B87" i="107"/>
  <c r="F86" i="107"/>
  <c r="D86" i="107"/>
  <c r="B86" i="107"/>
  <c r="F85" i="107"/>
  <c r="D85" i="107"/>
  <c r="B85" i="107"/>
  <c r="F84" i="107"/>
  <c r="D84" i="107"/>
  <c r="B84" i="107"/>
  <c r="F83" i="107"/>
  <c r="D83" i="107"/>
  <c r="B83" i="107"/>
  <c r="F82" i="107"/>
  <c r="D82" i="107"/>
  <c r="B82" i="107"/>
  <c r="F81" i="107"/>
  <c r="D81" i="107"/>
  <c r="B81" i="107"/>
  <c r="F80" i="107"/>
  <c r="D80" i="107"/>
  <c r="B80" i="107"/>
  <c r="F79" i="107"/>
  <c r="D79" i="107"/>
  <c r="B79" i="107"/>
  <c r="F78" i="107"/>
  <c r="D78" i="107"/>
  <c r="B78" i="107"/>
  <c r="F77" i="107"/>
  <c r="D77" i="107"/>
  <c r="B77" i="107"/>
  <c r="F76" i="107"/>
  <c r="D76" i="107"/>
  <c r="B76" i="107"/>
  <c r="F75" i="107"/>
  <c r="D75" i="107"/>
  <c r="B75" i="107"/>
  <c r="F74" i="107"/>
  <c r="D74" i="107"/>
  <c r="B74" i="107"/>
  <c r="F73" i="107"/>
  <c r="D73" i="107"/>
  <c r="B73" i="107"/>
  <c r="F72" i="107"/>
  <c r="D72" i="107"/>
  <c r="B72" i="107"/>
  <c r="F71" i="107"/>
  <c r="D71" i="107"/>
  <c r="B71" i="107"/>
  <c r="F70" i="107"/>
  <c r="D70" i="107"/>
  <c r="B70" i="107"/>
  <c r="F69" i="107"/>
  <c r="D69" i="107"/>
  <c r="B69" i="107"/>
  <c r="F68" i="107"/>
  <c r="D68" i="107"/>
  <c r="B68" i="107"/>
  <c r="F67" i="107"/>
  <c r="D67" i="107"/>
  <c r="B67" i="107"/>
  <c r="F66" i="107"/>
  <c r="D66" i="107"/>
  <c r="B66" i="107"/>
  <c r="F65" i="107"/>
  <c r="D65" i="107"/>
  <c r="B65" i="107"/>
  <c r="F64" i="107"/>
  <c r="D64" i="107"/>
  <c r="B64" i="107"/>
  <c r="F63" i="107"/>
  <c r="D63" i="107"/>
  <c r="B63" i="107"/>
  <c r="F62" i="107"/>
  <c r="D62" i="107"/>
  <c r="B62" i="107"/>
  <c r="F61" i="107"/>
  <c r="D61" i="107"/>
  <c r="B61" i="107"/>
  <c r="F58" i="107"/>
  <c r="D58" i="107"/>
  <c r="B58" i="107"/>
  <c r="F57" i="107"/>
  <c r="D57" i="107"/>
  <c r="B57" i="107"/>
  <c r="F56" i="107"/>
  <c r="D56" i="107"/>
  <c r="B56" i="107"/>
  <c r="F55" i="107"/>
  <c r="D55" i="107"/>
  <c r="B55" i="107"/>
  <c r="F54" i="107"/>
  <c r="D54" i="107"/>
  <c r="B54" i="107"/>
  <c r="F53" i="107"/>
  <c r="D53" i="107"/>
  <c r="B53" i="107"/>
  <c r="F52" i="107"/>
  <c r="D52" i="107"/>
  <c r="B52" i="107"/>
  <c r="F51" i="107"/>
  <c r="D51" i="107"/>
  <c r="B51" i="107"/>
  <c r="F50" i="107"/>
  <c r="D50" i="107"/>
  <c r="B50" i="107"/>
  <c r="F49" i="107"/>
  <c r="D49" i="107"/>
  <c r="B49" i="107"/>
  <c r="F48" i="107"/>
  <c r="D48" i="107"/>
  <c r="B48" i="107"/>
  <c r="F47" i="107"/>
  <c r="D47" i="107"/>
  <c r="B47" i="107"/>
  <c r="F46" i="107"/>
  <c r="D46" i="107"/>
  <c r="B46" i="107"/>
  <c r="F45" i="107"/>
  <c r="D45" i="107"/>
  <c r="B45" i="107"/>
  <c r="F44" i="107"/>
  <c r="D44" i="107"/>
  <c r="B44" i="107"/>
  <c r="F43" i="107"/>
  <c r="D43" i="107"/>
  <c r="B43" i="107"/>
  <c r="F42" i="107"/>
  <c r="D42" i="107"/>
  <c r="B42" i="107"/>
  <c r="F41" i="107"/>
  <c r="D41" i="107"/>
  <c r="B41" i="107"/>
  <c r="F40" i="107"/>
  <c r="D40" i="107"/>
  <c r="B40" i="107"/>
  <c r="F39" i="107"/>
  <c r="D39" i="107"/>
  <c r="B39" i="107"/>
  <c r="F38" i="107"/>
  <c r="D38" i="107"/>
  <c r="B38" i="107"/>
  <c r="F37" i="107"/>
  <c r="D37" i="107"/>
  <c r="B37" i="107"/>
  <c r="F36" i="107"/>
  <c r="D36" i="107"/>
  <c r="B36" i="107"/>
  <c r="F35" i="107"/>
  <c r="D35" i="107"/>
  <c r="B35" i="107"/>
  <c r="F34" i="107"/>
  <c r="D34" i="107"/>
  <c r="B34" i="107"/>
  <c r="F33" i="107"/>
  <c r="D33" i="107"/>
  <c r="B33" i="107"/>
  <c r="F32" i="107"/>
  <c r="D32" i="107"/>
  <c r="B32" i="107"/>
  <c r="F31" i="107"/>
  <c r="D31" i="107"/>
  <c r="B31" i="107"/>
  <c r="F30" i="107"/>
  <c r="D30" i="107"/>
  <c r="B30" i="107"/>
  <c r="F29" i="107"/>
  <c r="D29" i="107"/>
  <c r="B29" i="107"/>
  <c r="F28" i="107"/>
  <c r="D28" i="107"/>
  <c r="B28" i="107"/>
  <c r="F27" i="107"/>
  <c r="D27" i="107"/>
  <c r="B27" i="107"/>
  <c r="F26" i="107"/>
  <c r="D26" i="107"/>
  <c r="B26" i="107"/>
  <c r="F25" i="107"/>
  <c r="D25" i="107"/>
  <c r="B25" i="107"/>
  <c r="F24" i="107"/>
  <c r="D24" i="107"/>
  <c r="B24" i="107"/>
  <c r="F23" i="107"/>
  <c r="D23" i="107"/>
  <c r="B23" i="107"/>
  <c r="F22" i="107"/>
  <c r="D22" i="107"/>
  <c r="B22" i="107"/>
  <c r="F21" i="107"/>
  <c r="D21" i="107"/>
  <c r="B21" i="107"/>
  <c r="F20" i="107"/>
  <c r="D20" i="107"/>
  <c r="B20" i="107"/>
  <c r="F19" i="107"/>
  <c r="D19" i="107"/>
  <c r="B19" i="107"/>
  <c r="F18" i="107"/>
  <c r="D18" i="107"/>
  <c r="B18" i="107"/>
  <c r="F17" i="107"/>
  <c r="D17" i="107"/>
  <c r="B17" i="107"/>
  <c r="F16" i="107"/>
  <c r="D16" i="107"/>
  <c r="B16" i="107"/>
  <c r="F15" i="107"/>
  <c r="D15" i="107"/>
  <c r="B15" i="107"/>
  <c r="F14" i="107"/>
  <c r="D14" i="107"/>
  <c r="B14" i="107"/>
  <c r="F13" i="107"/>
  <c r="D13" i="107"/>
  <c r="B13" i="107"/>
  <c r="F12" i="107"/>
  <c r="D12" i="107"/>
  <c r="B12" i="107"/>
  <c r="F11" i="107"/>
  <c r="D11" i="107"/>
  <c r="B11" i="107"/>
  <c r="F10" i="107"/>
  <c r="D10" i="107"/>
  <c r="B10" i="107"/>
  <c r="F413" i="46"/>
  <c r="D413" i="46"/>
  <c r="B413" i="46"/>
  <c r="F412" i="46"/>
  <c r="D412" i="46"/>
  <c r="B412" i="46"/>
  <c r="F411" i="46"/>
  <c r="D411" i="46"/>
  <c r="B411" i="46"/>
  <c r="F410" i="46"/>
  <c r="D410" i="46"/>
  <c r="B410" i="46"/>
  <c r="F409" i="46"/>
  <c r="D409" i="46"/>
  <c r="B409" i="46"/>
  <c r="F408" i="46"/>
  <c r="D408" i="46"/>
  <c r="B408" i="46"/>
  <c r="F407" i="46"/>
  <c r="D407" i="46"/>
  <c r="B407" i="46"/>
  <c r="F406" i="46"/>
  <c r="D406" i="46"/>
  <c r="B406" i="46"/>
  <c r="F405" i="46"/>
  <c r="D405" i="46"/>
  <c r="B405" i="46"/>
  <c r="F404" i="46"/>
  <c r="D404" i="46"/>
  <c r="B404" i="46"/>
  <c r="F403" i="46"/>
  <c r="D403" i="46"/>
  <c r="B403" i="46"/>
  <c r="F402" i="46"/>
  <c r="D402" i="46"/>
  <c r="B402" i="46"/>
  <c r="F401" i="46"/>
  <c r="D401" i="46"/>
  <c r="B401" i="46"/>
  <c r="F400" i="46"/>
  <c r="D400" i="46"/>
  <c r="B400" i="46"/>
  <c r="F399" i="46"/>
  <c r="D399" i="46"/>
  <c r="B399" i="46"/>
  <c r="F398" i="46"/>
  <c r="D398" i="46"/>
  <c r="B398" i="46"/>
  <c r="F397" i="46"/>
  <c r="D397" i="46"/>
  <c r="B397" i="46"/>
  <c r="F396" i="46"/>
  <c r="D396" i="46"/>
  <c r="B396" i="46"/>
  <c r="F395" i="46"/>
  <c r="D395" i="46"/>
  <c r="B395" i="46"/>
  <c r="F394" i="46"/>
  <c r="D394" i="46"/>
  <c r="B394" i="46"/>
  <c r="F393" i="46"/>
  <c r="D393" i="46"/>
  <c r="B393" i="46"/>
  <c r="F392" i="46"/>
  <c r="D392" i="46"/>
  <c r="B392" i="46"/>
  <c r="F391" i="46"/>
  <c r="D391" i="46"/>
  <c r="B391" i="46"/>
  <c r="F390" i="46"/>
  <c r="D390" i="46"/>
  <c r="B390" i="46"/>
  <c r="F389" i="46"/>
  <c r="D389" i="46"/>
  <c r="B389" i="46"/>
  <c r="F388" i="46"/>
  <c r="D388" i="46"/>
  <c r="B388" i="46"/>
  <c r="F387" i="46"/>
  <c r="D387" i="46"/>
  <c r="B387" i="46"/>
  <c r="F386" i="46"/>
  <c r="D386" i="46"/>
  <c r="B386" i="46"/>
  <c r="F385" i="46"/>
  <c r="D385" i="46"/>
  <c r="B385" i="46"/>
  <c r="F384" i="46"/>
  <c r="D384" i="46"/>
  <c r="B384" i="46"/>
  <c r="F383" i="46"/>
  <c r="D383" i="46"/>
  <c r="B383" i="46"/>
  <c r="F382" i="46"/>
  <c r="D382" i="46"/>
  <c r="B382" i="46"/>
  <c r="F381" i="46"/>
  <c r="D381" i="46"/>
  <c r="B381" i="46"/>
  <c r="F380" i="46"/>
  <c r="D380" i="46"/>
  <c r="B380" i="46"/>
  <c r="F379" i="46"/>
  <c r="D379" i="46"/>
  <c r="B379" i="46"/>
  <c r="F378" i="46"/>
  <c r="D378" i="46"/>
  <c r="B378" i="46"/>
  <c r="F377" i="46"/>
  <c r="D377" i="46"/>
  <c r="B377" i="46"/>
  <c r="F376" i="46"/>
  <c r="D376" i="46"/>
  <c r="B376" i="46"/>
  <c r="F375" i="46"/>
  <c r="D375" i="46"/>
  <c r="B375" i="46"/>
  <c r="F374" i="46"/>
  <c r="D374" i="46"/>
  <c r="B374" i="46"/>
  <c r="F373" i="46"/>
  <c r="D373" i="46"/>
  <c r="B373" i="46"/>
  <c r="F372" i="46"/>
  <c r="D372" i="46"/>
  <c r="B372" i="46"/>
  <c r="F371" i="46"/>
  <c r="D371" i="46"/>
  <c r="B371" i="46"/>
  <c r="F370" i="46"/>
  <c r="D370" i="46"/>
  <c r="B370" i="46"/>
  <c r="F369" i="46"/>
  <c r="D369" i="46"/>
  <c r="B369" i="46"/>
  <c r="F368" i="46"/>
  <c r="D368" i="46"/>
  <c r="B368" i="46"/>
  <c r="F367" i="46"/>
  <c r="D367" i="46"/>
  <c r="B367" i="46"/>
  <c r="F366" i="46"/>
  <c r="D366" i="46"/>
  <c r="B366" i="46"/>
  <c r="F365" i="46"/>
  <c r="D365" i="46"/>
  <c r="B365" i="46"/>
  <c r="F363" i="46"/>
  <c r="D363" i="46"/>
  <c r="B363" i="46"/>
  <c r="F362" i="46"/>
  <c r="D362" i="46"/>
  <c r="B362" i="46"/>
  <c r="F361" i="46"/>
  <c r="D361" i="46"/>
  <c r="B361" i="46"/>
  <c r="F360" i="46"/>
  <c r="D360" i="46"/>
  <c r="B360" i="46"/>
  <c r="F359" i="46"/>
  <c r="D359" i="46"/>
  <c r="B359" i="46"/>
  <c r="F358" i="46"/>
  <c r="D358" i="46"/>
  <c r="B358" i="46"/>
  <c r="F357" i="46"/>
  <c r="D357" i="46"/>
  <c r="B357" i="46"/>
  <c r="F356" i="46"/>
  <c r="D356" i="46"/>
  <c r="B356" i="46"/>
  <c r="F355" i="46"/>
  <c r="D355" i="46"/>
  <c r="B355" i="46"/>
  <c r="F354" i="46"/>
  <c r="D354" i="46"/>
  <c r="B354" i="46"/>
  <c r="F353" i="46"/>
  <c r="D353" i="46"/>
  <c r="B353" i="46"/>
  <c r="F352" i="46"/>
  <c r="D352" i="46"/>
  <c r="B352" i="46"/>
  <c r="F351" i="46"/>
  <c r="D351" i="46"/>
  <c r="B351" i="46"/>
  <c r="F350" i="46"/>
  <c r="D350" i="46"/>
  <c r="B350" i="46"/>
  <c r="F349" i="46"/>
  <c r="D349" i="46"/>
  <c r="B349" i="46"/>
  <c r="F348" i="46"/>
  <c r="D348" i="46"/>
  <c r="B348" i="46"/>
  <c r="F347" i="46"/>
  <c r="D347" i="46"/>
  <c r="B347" i="46"/>
  <c r="F346" i="46"/>
  <c r="D346" i="46"/>
  <c r="B346" i="46"/>
  <c r="F345" i="46"/>
  <c r="D345" i="46"/>
  <c r="B345" i="46"/>
  <c r="F344" i="46"/>
  <c r="D344" i="46"/>
  <c r="B344" i="46"/>
  <c r="F343" i="46"/>
  <c r="D343" i="46"/>
  <c r="B343" i="46"/>
  <c r="F342" i="46"/>
  <c r="D342" i="46"/>
  <c r="B342" i="46"/>
  <c r="F341" i="46"/>
  <c r="D341" i="46"/>
  <c r="B341" i="46"/>
  <c r="F340" i="46"/>
  <c r="D340" i="46"/>
  <c r="B340" i="46"/>
  <c r="F339" i="46"/>
  <c r="D339" i="46"/>
  <c r="B339" i="46"/>
  <c r="F338" i="46"/>
  <c r="D338" i="46"/>
  <c r="B338" i="46"/>
  <c r="F337" i="46"/>
  <c r="D337" i="46"/>
  <c r="B337" i="46"/>
  <c r="F336" i="46"/>
  <c r="D336" i="46"/>
  <c r="B336" i="46"/>
  <c r="F335" i="46"/>
  <c r="D335" i="46"/>
  <c r="B335" i="46"/>
  <c r="F334" i="46"/>
  <c r="D334" i="46"/>
  <c r="B334" i="46"/>
  <c r="F333" i="46"/>
  <c r="D333" i="46"/>
  <c r="B333" i="46"/>
  <c r="F332" i="46"/>
  <c r="D332" i="46"/>
  <c r="B332" i="46"/>
  <c r="F331" i="46"/>
  <c r="D331" i="46"/>
  <c r="B331" i="46"/>
  <c r="F330" i="46"/>
  <c r="D330" i="46"/>
  <c r="B330" i="46"/>
  <c r="F329" i="46"/>
  <c r="D329" i="46"/>
  <c r="B329" i="46"/>
  <c r="F328" i="46"/>
  <c r="D328" i="46"/>
  <c r="B328" i="46"/>
  <c r="F327" i="46"/>
  <c r="D327" i="46"/>
  <c r="B327" i="46"/>
  <c r="F326" i="46"/>
  <c r="D326" i="46"/>
  <c r="B326" i="46"/>
  <c r="F325" i="46"/>
  <c r="D325" i="46"/>
  <c r="B325" i="46"/>
  <c r="F324" i="46"/>
  <c r="D324" i="46"/>
  <c r="B324" i="46"/>
  <c r="F323" i="46"/>
  <c r="D323" i="46"/>
  <c r="B323" i="46"/>
  <c r="F322" i="46"/>
  <c r="D322" i="46"/>
  <c r="B322" i="46"/>
  <c r="F321" i="46"/>
  <c r="D321" i="46"/>
  <c r="B321" i="46"/>
  <c r="F320" i="46"/>
  <c r="D320" i="46"/>
  <c r="B320" i="46"/>
  <c r="F319" i="46"/>
  <c r="D319" i="46"/>
  <c r="B319" i="46"/>
  <c r="F318" i="46"/>
  <c r="D318" i="46"/>
  <c r="B318" i="46"/>
  <c r="F317" i="46"/>
  <c r="D317" i="46"/>
  <c r="B317" i="46"/>
  <c r="F316" i="46"/>
  <c r="D316" i="46"/>
  <c r="B316" i="46"/>
  <c r="F315" i="46"/>
  <c r="D315" i="46"/>
  <c r="B315" i="46"/>
  <c r="F312" i="46"/>
  <c r="D312" i="46"/>
  <c r="B312" i="46"/>
  <c r="F311" i="46"/>
  <c r="D311" i="46"/>
  <c r="B311" i="46"/>
  <c r="F310" i="46"/>
  <c r="D310" i="46"/>
  <c r="B310" i="46"/>
  <c r="F309" i="46"/>
  <c r="D309" i="46"/>
  <c r="B309" i="46"/>
  <c r="F308" i="46"/>
  <c r="D308" i="46"/>
  <c r="B308" i="46"/>
  <c r="F307" i="46"/>
  <c r="D307" i="46"/>
  <c r="B307" i="46"/>
  <c r="F306" i="46"/>
  <c r="D306" i="46"/>
  <c r="B306" i="46"/>
  <c r="F305" i="46"/>
  <c r="D305" i="46"/>
  <c r="B305" i="46"/>
  <c r="F304" i="46"/>
  <c r="D304" i="46"/>
  <c r="B304" i="46"/>
  <c r="F303" i="46"/>
  <c r="D303" i="46"/>
  <c r="B303" i="46"/>
  <c r="F302" i="46"/>
  <c r="D302" i="46"/>
  <c r="B302" i="46"/>
  <c r="F301" i="46"/>
  <c r="D301" i="46"/>
  <c r="B301" i="46"/>
  <c r="F300" i="46"/>
  <c r="D300" i="46"/>
  <c r="B300" i="46"/>
  <c r="F299" i="46"/>
  <c r="D299" i="46"/>
  <c r="B299" i="46"/>
  <c r="F298" i="46"/>
  <c r="D298" i="46"/>
  <c r="B298" i="46"/>
  <c r="F297" i="46"/>
  <c r="D297" i="46"/>
  <c r="B297" i="46"/>
  <c r="F296" i="46"/>
  <c r="D296" i="46"/>
  <c r="B296" i="46"/>
  <c r="F295" i="46"/>
  <c r="D295" i="46"/>
  <c r="B295" i="46"/>
  <c r="F294" i="46"/>
  <c r="D294" i="46"/>
  <c r="B294" i="46"/>
  <c r="F293" i="46"/>
  <c r="D293" i="46"/>
  <c r="B293" i="46"/>
  <c r="F292" i="46"/>
  <c r="D292" i="46"/>
  <c r="B292" i="46"/>
  <c r="F291" i="46"/>
  <c r="D291" i="46"/>
  <c r="B291" i="46"/>
  <c r="F290" i="46"/>
  <c r="D290" i="46"/>
  <c r="B290" i="46"/>
  <c r="F289" i="46"/>
  <c r="D289" i="46"/>
  <c r="B289" i="46"/>
  <c r="F288" i="46"/>
  <c r="D288" i="46"/>
  <c r="B288" i="46"/>
  <c r="F287" i="46"/>
  <c r="D287" i="46"/>
  <c r="B287" i="46"/>
  <c r="F286" i="46"/>
  <c r="D286" i="46"/>
  <c r="B286" i="46"/>
  <c r="F285" i="46"/>
  <c r="D285" i="46"/>
  <c r="B285" i="46"/>
  <c r="F284" i="46"/>
  <c r="D284" i="46"/>
  <c r="B284" i="46"/>
  <c r="F283" i="46"/>
  <c r="D283" i="46"/>
  <c r="B283" i="46"/>
  <c r="F282" i="46"/>
  <c r="D282" i="46"/>
  <c r="B282" i="46"/>
  <c r="F281" i="46"/>
  <c r="D281" i="46"/>
  <c r="B281" i="46"/>
  <c r="F280" i="46"/>
  <c r="D280" i="46"/>
  <c r="B280" i="46"/>
  <c r="F279" i="46"/>
  <c r="D279" i="46"/>
  <c r="B279" i="46"/>
  <c r="F278" i="46"/>
  <c r="D278" i="46"/>
  <c r="B278" i="46"/>
  <c r="F277" i="46"/>
  <c r="D277" i="46"/>
  <c r="B277" i="46"/>
  <c r="F276" i="46"/>
  <c r="D276" i="46"/>
  <c r="B276" i="46"/>
  <c r="F275" i="46"/>
  <c r="D275" i="46"/>
  <c r="B275" i="46"/>
  <c r="F274" i="46"/>
  <c r="D274" i="46"/>
  <c r="B274" i="46"/>
  <c r="F273" i="46"/>
  <c r="D273" i="46"/>
  <c r="B273" i="46"/>
  <c r="F272" i="46"/>
  <c r="D272" i="46"/>
  <c r="B272" i="46"/>
  <c r="F271" i="46"/>
  <c r="D271" i="46"/>
  <c r="B271" i="46"/>
  <c r="F270" i="46"/>
  <c r="D270" i="46"/>
  <c r="B270" i="46"/>
  <c r="F269" i="46"/>
  <c r="D269" i="46"/>
  <c r="B269" i="46"/>
  <c r="F268" i="46"/>
  <c r="D268" i="46"/>
  <c r="B268" i="46"/>
  <c r="F267" i="46"/>
  <c r="D267" i="46"/>
  <c r="B267" i="46"/>
  <c r="F266" i="46"/>
  <c r="D266" i="46"/>
  <c r="B266" i="46"/>
  <c r="F265" i="46"/>
  <c r="D265" i="46"/>
  <c r="B265" i="46"/>
  <c r="F264" i="46"/>
  <c r="D264" i="46"/>
  <c r="B264" i="46"/>
  <c r="F261" i="46"/>
  <c r="D261" i="46"/>
  <c r="B261" i="46"/>
  <c r="F260" i="46"/>
  <c r="D260" i="46"/>
  <c r="B260" i="46"/>
  <c r="F259" i="46"/>
  <c r="D259" i="46"/>
  <c r="B259" i="46"/>
  <c r="F258" i="46"/>
  <c r="D258" i="46"/>
  <c r="B258" i="46"/>
  <c r="F257" i="46"/>
  <c r="D257" i="46"/>
  <c r="B257" i="46"/>
  <c r="F256" i="46"/>
  <c r="D256" i="46"/>
  <c r="B256" i="46"/>
  <c r="F255" i="46"/>
  <c r="D255" i="46"/>
  <c r="B255" i="46"/>
  <c r="F254" i="46"/>
  <c r="D254" i="46"/>
  <c r="B254" i="46"/>
  <c r="F253" i="46"/>
  <c r="D253" i="46"/>
  <c r="B253" i="46"/>
  <c r="F252" i="46"/>
  <c r="D252" i="46"/>
  <c r="B252" i="46"/>
  <c r="F251" i="46"/>
  <c r="D251" i="46"/>
  <c r="B251" i="46"/>
  <c r="F250" i="46"/>
  <c r="D250" i="46"/>
  <c r="B250" i="46"/>
  <c r="F249" i="46"/>
  <c r="D249" i="46"/>
  <c r="B249" i="46"/>
  <c r="F248" i="46"/>
  <c r="D248" i="46"/>
  <c r="B248" i="46"/>
  <c r="F247" i="46"/>
  <c r="D247" i="46"/>
  <c r="B247" i="46"/>
  <c r="F246" i="46"/>
  <c r="D246" i="46"/>
  <c r="B246" i="46"/>
  <c r="F245" i="46"/>
  <c r="D245" i="46"/>
  <c r="B245" i="46"/>
  <c r="F244" i="46"/>
  <c r="D244" i="46"/>
  <c r="B244" i="46"/>
  <c r="F243" i="46"/>
  <c r="D243" i="46"/>
  <c r="B243" i="46"/>
  <c r="F242" i="46"/>
  <c r="D242" i="46"/>
  <c r="B242" i="46"/>
  <c r="F241" i="46"/>
  <c r="D241" i="46"/>
  <c r="B241" i="46"/>
  <c r="F240" i="46"/>
  <c r="D240" i="46"/>
  <c r="B240" i="46"/>
  <c r="F239" i="46"/>
  <c r="D239" i="46"/>
  <c r="B239" i="46"/>
  <c r="F238" i="46"/>
  <c r="D238" i="46"/>
  <c r="B238" i="46"/>
  <c r="F237" i="46"/>
  <c r="D237" i="46"/>
  <c r="B237" i="46"/>
  <c r="F236" i="46"/>
  <c r="D236" i="46"/>
  <c r="B236" i="46"/>
  <c r="F235" i="46"/>
  <c r="D235" i="46"/>
  <c r="B235" i="46"/>
  <c r="F234" i="46"/>
  <c r="D234" i="46"/>
  <c r="B234" i="46"/>
  <c r="F233" i="46"/>
  <c r="D233" i="46"/>
  <c r="B233" i="46"/>
  <c r="F232" i="46"/>
  <c r="D232" i="46"/>
  <c r="B232" i="46"/>
  <c r="F231" i="46"/>
  <c r="D231" i="46"/>
  <c r="B231" i="46"/>
  <c r="F230" i="46"/>
  <c r="D230" i="46"/>
  <c r="B230" i="46"/>
  <c r="F229" i="46"/>
  <c r="D229" i="46"/>
  <c r="B229" i="46"/>
  <c r="F228" i="46"/>
  <c r="D228" i="46"/>
  <c r="B228" i="46"/>
  <c r="F227" i="46"/>
  <c r="D227" i="46"/>
  <c r="B227" i="46"/>
  <c r="F226" i="46"/>
  <c r="D226" i="46"/>
  <c r="B226" i="46"/>
  <c r="F225" i="46"/>
  <c r="D225" i="46"/>
  <c r="B225" i="46"/>
  <c r="F224" i="46"/>
  <c r="D224" i="46"/>
  <c r="B224" i="46"/>
  <c r="F223" i="46"/>
  <c r="D223" i="46"/>
  <c r="B223" i="46"/>
  <c r="F222" i="46"/>
  <c r="D222" i="46"/>
  <c r="B222" i="46"/>
  <c r="F221" i="46"/>
  <c r="D221" i="46"/>
  <c r="B221" i="46"/>
  <c r="F220" i="46"/>
  <c r="D220" i="46"/>
  <c r="B220" i="46"/>
  <c r="F219" i="46"/>
  <c r="D219" i="46"/>
  <c r="B219" i="46"/>
  <c r="F218" i="46"/>
  <c r="D218" i="46"/>
  <c r="B218" i="46"/>
  <c r="F217" i="46"/>
  <c r="D217" i="46"/>
  <c r="B217" i="46"/>
  <c r="F216" i="46"/>
  <c r="D216" i="46"/>
  <c r="B216" i="46"/>
  <c r="F215" i="46"/>
  <c r="D215" i="46"/>
  <c r="B215" i="46"/>
  <c r="F214" i="46"/>
  <c r="D214" i="46"/>
  <c r="B214" i="46"/>
  <c r="F213" i="46"/>
  <c r="D213" i="46"/>
  <c r="B213" i="46"/>
  <c r="F211" i="46"/>
  <c r="D211" i="46"/>
  <c r="B211" i="46"/>
  <c r="F210" i="46"/>
  <c r="D210" i="46"/>
  <c r="B210" i="46"/>
  <c r="F209" i="46"/>
  <c r="D209" i="46"/>
  <c r="B209" i="46"/>
  <c r="F208" i="46"/>
  <c r="D208" i="46"/>
  <c r="B208" i="46"/>
  <c r="F207" i="46"/>
  <c r="D207" i="46"/>
  <c r="B207" i="46"/>
  <c r="F206" i="46"/>
  <c r="D206" i="46"/>
  <c r="B206" i="46"/>
  <c r="F205" i="46"/>
  <c r="D205" i="46"/>
  <c r="B205" i="46"/>
  <c r="F204" i="46"/>
  <c r="D204" i="46"/>
  <c r="B204" i="46"/>
  <c r="F203" i="46"/>
  <c r="D203" i="46"/>
  <c r="B203" i="46"/>
  <c r="F202" i="46"/>
  <c r="D202" i="46"/>
  <c r="B202" i="46"/>
  <c r="F201" i="46"/>
  <c r="D201" i="46"/>
  <c r="B201" i="46"/>
  <c r="F200" i="46"/>
  <c r="D200" i="46"/>
  <c r="B200" i="46"/>
  <c r="F199" i="46"/>
  <c r="D199" i="46"/>
  <c r="B199" i="46"/>
  <c r="F198" i="46"/>
  <c r="D198" i="46"/>
  <c r="B198" i="46"/>
  <c r="F197" i="46"/>
  <c r="D197" i="46"/>
  <c r="B197" i="46"/>
  <c r="F196" i="46"/>
  <c r="D196" i="46"/>
  <c r="B196" i="46"/>
  <c r="F195" i="46"/>
  <c r="D195" i="46"/>
  <c r="B195" i="46"/>
  <c r="F194" i="46"/>
  <c r="D194" i="46"/>
  <c r="B194" i="46"/>
  <c r="F193" i="46"/>
  <c r="D193" i="46"/>
  <c r="B193" i="46"/>
  <c r="F192" i="46"/>
  <c r="D192" i="46"/>
  <c r="B192" i="46"/>
  <c r="F191" i="46"/>
  <c r="D191" i="46"/>
  <c r="B191" i="46"/>
  <c r="F190" i="46"/>
  <c r="D190" i="46"/>
  <c r="B190" i="46"/>
  <c r="F189" i="46"/>
  <c r="D189" i="46"/>
  <c r="B189" i="46"/>
  <c r="F188" i="46"/>
  <c r="D188" i="46"/>
  <c r="B188" i="46"/>
  <c r="F187" i="46"/>
  <c r="D187" i="46"/>
  <c r="B187" i="46"/>
  <c r="F186" i="46"/>
  <c r="D186" i="46"/>
  <c r="B186" i="46"/>
  <c r="F185" i="46"/>
  <c r="D185" i="46"/>
  <c r="B185" i="46"/>
  <c r="F184" i="46"/>
  <c r="D184" i="46"/>
  <c r="B184" i="46"/>
  <c r="F183" i="46"/>
  <c r="D183" i="46"/>
  <c r="B183" i="46"/>
  <c r="F182" i="46"/>
  <c r="D182" i="46"/>
  <c r="B182" i="46"/>
  <c r="F181" i="46"/>
  <c r="D181" i="46"/>
  <c r="B181" i="46"/>
  <c r="F180" i="46"/>
  <c r="D180" i="46"/>
  <c r="B180" i="46"/>
  <c r="F179" i="46"/>
  <c r="D179" i="46"/>
  <c r="B179" i="46"/>
  <c r="F178" i="46"/>
  <c r="D178" i="46"/>
  <c r="B178" i="46"/>
  <c r="F177" i="46"/>
  <c r="D177" i="46"/>
  <c r="B177" i="46"/>
  <c r="F176" i="46"/>
  <c r="D176" i="46"/>
  <c r="B176" i="46"/>
  <c r="F175" i="46"/>
  <c r="D175" i="46"/>
  <c r="B175" i="46"/>
  <c r="F174" i="46"/>
  <c r="D174" i="46"/>
  <c r="B174" i="46"/>
  <c r="F173" i="46"/>
  <c r="D173" i="46"/>
  <c r="B173" i="46"/>
  <c r="F172" i="46"/>
  <c r="D172" i="46"/>
  <c r="B172" i="46"/>
  <c r="F171" i="46"/>
  <c r="D171" i="46"/>
  <c r="B171" i="46"/>
  <c r="F170" i="46"/>
  <c r="D170" i="46"/>
  <c r="B170" i="46"/>
  <c r="F169" i="46"/>
  <c r="D169" i="46"/>
  <c r="B169" i="46"/>
  <c r="F168" i="46"/>
  <c r="D168" i="46"/>
  <c r="B168" i="46"/>
  <c r="F167" i="46"/>
  <c r="D167" i="46"/>
  <c r="B167" i="46"/>
  <c r="F166" i="46"/>
  <c r="D166" i="46"/>
  <c r="B166" i="46"/>
  <c r="F165" i="46"/>
  <c r="D165" i="46"/>
  <c r="B165" i="46"/>
  <c r="F164" i="46"/>
  <c r="D164" i="46"/>
  <c r="B164" i="46"/>
  <c r="F163" i="46"/>
  <c r="D163" i="46"/>
  <c r="B163" i="46"/>
  <c r="F160" i="46"/>
  <c r="D160" i="46"/>
  <c r="B160" i="46"/>
  <c r="F159" i="46"/>
  <c r="D159" i="46"/>
  <c r="B159" i="46"/>
  <c r="F158" i="46"/>
  <c r="D158" i="46"/>
  <c r="B158" i="46"/>
  <c r="F157" i="46"/>
  <c r="D157" i="46"/>
  <c r="B157" i="46"/>
  <c r="F156" i="46"/>
  <c r="D156" i="46"/>
  <c r="B156" i="46"/>
  <c r="F155" i="46"/>
  <c r="D155" i="46"/>
  <c r="B155" i="46"/>
  <c r="F154" i="46"/>
  <c r="D154" i="46"/>
  <c r="B154" i="46"/>
  <c r="F153" i="46"/>
  <c r="D153" i="46"/>
  <c r="B153" i="46"/>
  <c r="F152" i="46"/>
  <c r="D152" i="46"/>
  <c r="B152" i="46"/>
  <c r="F151" i="46"/>
  <c r="D151" i="46"/>
  <c r="B151" i="46"/>
  <c r="F150" i="46"/>
  <c r="D150" i="46"/>
  <c r="B150" i="46"/>
  <c r="F149" i="46"/>
  <c r="D149" i="46"/>
  <c r="B149" i="46"/>
  <c r="F148" i="46"/>
  <c r="D148" i="46"/>
  <c r="B148" i="46"/>
  <c r="F147" i="46"/>
  <c r="D147" i="46"/>
  <c r="B147" i="46"/>
  <c r="F146" i="46"/>
  <c r="D146" i="46"/>
  <c r="B146" i="46"/>
  <c r="F145" i="46"/>
  <c r="D145" i="46"/>
  <c r="B145" i="46"/>
  <c r="F144" i="46"/>
  <c r="D144" i="46"/>
  <c r="B144" i="46"/>
  <c r="F143" i="46"/>
  <c r="D143" i="46"/>
  <c r="B143" i="46"/>
  <c r="F142" i="46"/>
  <c r="D142" i="46"/>
  <c r="B142" i="46"/>
  <c r="F141" i="46"/>
  <c r="D141" i="46"/>
  <c r="B141" i="46"/>
  <c r="F140" i="46"/>
  <c r="D140" i="46"/>
  <c r="B140" i="46"/>
  <c r="F139" i="46"/>
  <c r="D139" i="46"/>
  <c r="B139" i="46"/>
  <c r="F138" i="46"/>
  <c r="D138" i="46"/>
  <c r="B138" i="46"/>
  <c r="F137" i="46"/>
  <c r="D137" i="46"/>
  <c r="B137" i="46"/>
  <c r="F136" i="46"/>
  <c r="D136" i="46"/>
  <c r="B136" i="46"/>
  <c r="F135" i="46"/>
  <c r="D135" i="46"/>
  <c r="B135" i="46"/>
  <c r="F134" i="46"/>
  <c r="D134" i="46"/>
  <c r="B134" i="46"/>
  <c r="F133" i="46"/>
  <c r="D133" i="46"/>
  <c r="B133" i="46"/>
  <c r="F132" i="46"/>
  <c r="D132" i="46"/>
  <c r="B132" i="46"/>
  <c r="F131" i="46"/>
  <c r="D131" i="46"/>
  <c r="B131" i="46"/>
  <c r="F130" i="46"/>
  <c r="D130" i="46"/>
  <c r="B130" i="46"/>
  <c r="F129" i="46"/>
  <c r="D129" i="46"/>
  <c r="B129" i="46"/>
  <c r="F128" i="46"/>
  <c r="D128" i="46"/>
  <c r="B128" i="46"/>
  <c r="F127" i="46"/>
  <c r="D127" i="46"/>
  <c r="B127" i="46"/>
  <c r="F126" i="46"/>
  <c r="D126" i="46"/>
  <c r="B126" i="46"/>
  <c r="F125" i="46"/>
  <c r="D125" i="46"/>
  <c r="B125" i="46"/>
  <c r="F124" i="46"/>
  <c r="D124" i="46"/>
  <c r="B124" i="46"/>
  <c r="F123" i="46"/>
  <c r="D123" i="46"/>
  <c r="B123" i="46"/>
  <c r="F122" i="46"/>
  <c r="D122" i="46"/>
  <c r="B122" i="46"/>
  <c r="F121" i="46"/>
  <c r="D121" i="46"/>
  <c r="B121" i="46"/>
  <c r="F120" i="46"/>
  <c r="D120" i="46"/>
  <c r="B120" i="46"/>
  <c r="F119" i="46"/>
  <c r="D119" i="46"/>
  <c r="B119" i="46"/>
  <c r="F118" i="46"/>
  <c r="D118" i="46"/>
  <c r="B118" i="46"/>
  <c r="F117" i="46"/>
  <c r="D117" i="46"/>
  <c r="B117" i="46"/>
  <c r="F116" i="46"/>
  <c r="D116" i="46"/>
  <c r="B116" i="46"/>
  <c r="F115" i="46"/>
  <c r="D115" i="46"/>
  <c r="B115" i="46"/>
  <c r="F114" i="46"/>
  <c r="D114" i="46"/>
  <c r="B114" i="46"/>
  <c r="F113" i="46"/>
  <c r="D113" i="46"/>
  <c r="B113" i="46"/>
  <c r="F112" i="46"/>
  <c r="D112" i="46"/>
  <c r="B112" i="46"/>
  <c r="F109" i="46"/>
  <c r="D109" i="46"/>
  <c r="B109" i="46"/>
  <c r="F108" i="46"/>
  <c r="D108" i="46"/>
  <c r="B108" i="46"/>
  <c r="F107" i="46"/>
  <c r="D107" i="46"/>
  <c r="B107" i="46"/>
  <c r="F106" i="46"/>
  <c r="D106" i="46"/>
  <c r="B106" i="46"/>
  <c r="F105" i="46"/>
  <c r="D105" i="46"/>
  <c r="B105" i="46"/>
  <c r="F104" i="46"/>
  <c r="D104" i="46"/>
  <c r="B104" i="46"/>
  <c r="F103" i="46"/>
  <c r="D103" i="46"/>
  <c r="B103" i="46"/>
  <c r="F102" i="46"/>
  <c r="D102" i="46"/>
  <c r="B102" i="46"/>
  <c r="F101" i="46"/>
  <c r="D101" i="46"/>
  <c r="B101" i="46"/>
  <c r="F100" i="46"/>
  <c r="D100" i="46"/>
  <c r="B100" i="46"/>
  <c r="F99" i="46"/>
  <c r="D99" i="46"/>
  <c r="B99" i="46"/>
  <c r="F98" i="46"/>
  <c r="D98" i="46"/>
  <c r="B98" i="46"/>
  <c r="F97" i="46"/>
  <c r="D97" i="46"/>
  <c r="B97" i="46"/>
  <c r="F96" i="46"/>
  <c r="D96" i="46"/>
  <c r="B96" i="46"/>
  <c r="F95" i="46"/>
  <c r="D95" i="46"/>
  <c r="B95" i="46"/>
  <c r="F94" i="46"/>
  <c r="D94" i="46"/>
  <c r="B94" i="46"/>
  <c r="F93" i="46"/>
  <c r="D93" i="46"/>
  <c r="B93" i="46"/>
  <c r="F92" i="46"/>
  <c r="D92" i="46"/>
  <c r="B92" i="46"/>
  <c r="F91" i="46"/>
  <c r="D91" i="46"/>
  <c r="B91" i="46"/>
  <c r="F90" i="46"/>
  <c r="D90" i="46"/>
  <c r="B90" i="46"/>
  <c r="F89" i="46"/>
  <c r="D89" i="46"/>
  <c r="B89" i="46"/>
  <c r="F88" i="46"/>
  <c r="D88" i="46"/>
  <c r="B88" i="46"/>
  <c r="F87" i="46"/>
  <c r="D87" i="46"/>
  <c r="B87" i="46"/>
  <c r="F86" i="46"/>
  <c r="D86" i="46"/>
  <c r="B86" i="46"/>
  <c r="F85" i="46"/>
  <c r="D85" i="46"/>
  <c r="B85" i="46"/>
  <c r="F84" i="46"/>
  <c r="D84" i="46"/>
  <c r="B84" i="46"/>
  <c r="F83" i="46"/>
  <c r="D83" i="46"/>
  <c r="B83" i="46"/>
  <c r="F82" i="46"/>
  <c r="D82" i="46"/>
  <c r="B82" i="46"/>
  <c r="F81" i="46"/>
  <c r="D81" i="46"/>
  <c r="B81" i="46"/>
  <c r="F80" i="46"/>
  <c r="D80" i="46"/>
  <c r="B80" i="46"/>
  <c r="F79" i="46"/>
  <c r="D79" i="46"/>
  <c r="B79" i="46"/>
  <c r="F78" i="46"/>
  <c r="D78" i="46"/>
  <c r="B78" i="46"/>
  <c r="F77" i="46"/>
  <c r="D77" i="46"/>
  <c r="B77" i="46"/>
  <c r="F76" i="46"/>
  <c r="D76" i="46"/>
  <c r="B76" i="46"/>
  <c r="F75" i="46"/>
  <c r="D75" i="46"/>
  <c r="B75" i="46"/>
  <c r="F74" i="46"/>
  <c r="D74" i="46"/>
  <c r="B74" i="46"/>
  <c r="F73" i="46"/>
  <c r="D73" i="46"/>
  <c r="B73" i="46"/>
  <c r="F72" i="46"/>
  <c r="D72" i="46"/>
  <c r="B72" i="46"/>
  <c r="F71" i="46"/>
  <c r="D71" i="46"/>
  <c r="B71" i="46"/>
  <c r="F70" i="46"/>
  <c r="D70" i="46"/>
  <c r="B70" i="46"/>
  <c r="F69" i="46"/>
  <c r="D69" i="46"/>
  <c r="B69" i="46"/>
  <c r="F68" i="46"/>
  <c r="D68" i="46"/>
  <c r="B68" i="46"/>
  <c r="F67" i="46"/>
  <c r="D67" i="46"/>
  <c r="B67" i="46"/>
  <c r="F66" i="46"/>
  <c r="D66" i="46"/>
  <c r="B66" i="46"/>
  <c r="F65" i="46"/>
  <c r="D65" i="46"/>
  <c r="B65" i="46"/>
  <c r="F64" i="46"/>
  <c r="D64" i="46"/>
  <c r="B64" i="46"/>
  <c r="F63" i="46"/>
  <c r="D63" i="46"/>
  <c r="B63" i="46"/>
  <c r="F62" i="46"/>
  <c r="D62" i="46"/>
  <c r="B62" i="46"/>
  <c r="F61" i="46"/>
  <c r="D61" i="46"/>
  <c r="B61" i="46"/>
  <c r="F58" i="46"/>
  <c r="D58" i="46"/>
  <c r="B58" i="46"/>
  <c r="F57" i="46"/>
  <c r="D57" i="46"/>
  <c r="B57" i="46"/>
  <c r="F56" i="46"/>
  <c r="D56" i="46"/>
  <c r="B56" i="46"/>
  <c r="F55" i="46"/>
  <c r="D55" i="46"/>
  <c r="B55" i="46"/>
  <c r="F54" i="46"/>
  <c r="D54" i="46"/>
  <c r="B54" i="46"/>
  <c r="F53" i="46"/>
  <c r="D53" i="46"/>
  <c r="B53" i="46"/>
  <c r="F52" i="46"/>
  <c r="D52" i="46"/>
  <c r="B52" i="46"/>
  <c r="F51" i="46"/>
  <c r="D51" i="46"/>
  <c r="B51" i="46"/>
  <c r="F50" i="46"/>
  <c r="D50" i="46"/>
  <c r="B50" i="46"/>
  <c r="F49" i="46"/>
  <c r="D49" i="46"/>
  <c r="B49" i="46"/>
  <c r="F48" i="46"/>
  <c r="D48" i="46"/>
  <c r="B48" i="46"/>
  <c r="F47" i="46"/>
  <c r="D47" i="46"/>
  <c r="B47" i="46"/>
  <c r="F46" i="46"/>
  <c r="D46" i="46"/>
  <c r="B46" i="46"/>
  <c r="F45" i="46"/>
  <c r="D45" i="46"/>
  <c r="B45" i="46"/>
  <c r="F44" i="46"/>
  <c r="D44" i="46"/>
  <c r="B44" i="46"/>
  <c r="F43" i="46"/>
  <c r="D43" i="46"/>
  <c r="B43" i="46"/>
  <c r="F42" i="46"/>
  <c r="D42" i="46"/>
  <c r="B42" i="46"/>
  <c r="F41" i="46"/>
  <c r="D41" i="46"/>
  <c r="B41" i="46"/>
  <c r="F40" i="46"/>
  <c r="D40" i="46"/>
  <c r="B40" i="46"/>
  <c r="F39" i="46"/>
  <c r="D39" i="46"/>
  <c r="B39" i="46"/>
  <c r="F38" i="46"/>
  <c r="D38" i="46"/>
  <c r="B38" i="46"/>
  <c r="F37" i="46"/>
  <c r="D37" i="46"/>
  <c r="B37" i="46"/>
  <c r="F36" i="46"/>
  <c r="D36" i="46"/>
  <c r="B36" i="46"/>
  <c r="F35" i="46"/>
  <c r="D35" i="46"/>
  <c r="B35" i="46"/>
  <c r="F34" i="46"/>
  <c r="D34" i="46"/>
  <c r="B34" i="46"/>
  <c r="F33" i="46"/>
  <c r="D33" i="46"/>
  <c r="B33" i="46"/>
  <c r="F32" i="46"/>
  <c r="D32" i="46"/>
  <c r="B32" i="46"/>
  <c r="F31" i="46"/>
  <c r="D31" i="46"/>
  <c r="B31" i="46"/>
  <c r="F30" i="46"/>
  <c r="D30" i="46"/>
  <c r="B30" i="46"/>
  <c r="F29" i="46"/>
  <c r="D29" i="46"/>
  <c r="B29" i="46"/>
  <c r="F28" i="46"/>
  <c r="D28" i="46"/>
  <c r="B28" i="46"/>
  <c r="F27" i="46"/>
  <c r="D27" i="46"/>
  <c r="B27" i="46"/>
  <c r="F26" i="46"/>
  <c r="D26" i="46"/>
  <c r="B26" i="46"/>
  <c r="F25" i="46"/>
  <c r="D25" i="46"/>
  <c r="B25" i="46"/>
  <c r="F24" i="46"/>
  <c r="D24" i="46"/>
  <c r="B24" i="46"/>
  <c r="F23" i="46"/>
  <c r="D23" i="46"/>
  <c r="B23" i="46"/>
  <c r="F22" i="46"/>
  <c r="D22" i="46"/>
  <c r="B22" i="46"/>
  <c r="F21" i="46"/>
  <c r="D21" i="46"/>
  <c r="B21" i="46"/>
  <c r="F20" i="46"/>
  <c r="D20" i="46"/>
  <c r="B20" i="46"/>
  <c r="F19" i="46"/>
  <c r="D19" i="46"/>
  <c r="B19" i="46"/>
  <c r="F18" i="46"/>
  <c r="D18" i="46"/>
  <c r="B18" i="46"/>
  <c r="F17" i="46"/>
  <c r="D17" i="46"/>
  <c r="B17" i="46"/>
  <c r="F16" i="46"/>
  <c r="D16" i="46"/>
  <c r="B16" i="46"/>
  <c r="F15" i="46"/>
  <c r="D15" i="46"/>
  <c r="B15" i="46"/>
  <c r="F14" i="46"/>
  <c r="D14" i="46"/>
  <c r="B14" i="46"/>
  <c r="F13" i="46"/>
  <c r="D13" i="46"/>
  <c r="B13" i="46"/>
  <c r="F12" i="46"/>
  <c r="D12" i="46"/>
  <c r="B12" i="46"/>
  <c r="F11" i="46"/>
  <c r="D11" i="46"/>
  <c r="B11" i="46"/>
  <c r="F10" i="46"/>
  <c r="D10" i="46"/>
  <c r="B10" i="46"/>
  <c r="F413" i="42"/>
  <c r="D413" i="42"/>
  <c r="B413" i="42"/>
  <c r="F412" i="42"/>
  <c r="D412" i="42"/>
  <c r="B412" i="42"/>
  <c r="F411" i="42"/>
  <c r="D411" i="42"/>
  <c r="B411" i="42"/>
  <c r="F410" i="42"/>
  <c r="D410" i="42"/>
  <c r="B410" i="42"/>
  <c r="F409" i="42"/>
  <c r="D409" i="42"/>
  <c r="B409" i="42"/>
  <c r="F408" i="42"/>
  <c r="D408" i="42"/>
  <c r="B408" i="42"/>
  <c r="F407" i="42"/>
  <c r="D407" i="42"/>
  <c r="B407" i="42"/>
  <c r="F406" i="42"/>
  <c r="D406" i="42"/>
  <c r="B406" i="42"/>
  <c r="F405" i="42"/>
  <c r="D405" i="42"/>
  <c r="B405" i="42"/>
  <c r="F404" i="42"/>
  <c r="D404" i="42"/>
  <c r="B404" i="42"/>
  <c r="F403" i="42"/>
  <c r="D403" i="42"/>
  <c r="B403" i="42"/>
  <c r="F402" i="42"/>
  <c r="D402" i="42"/>
  <c r="B402" i="42"/>
  <c r="F401" i="42"/>
  <c r="D401" i="42"/>
  <c r="B401" i="42"/>
  <c r="F400" i="42"/>
  <c r="D400" i="42"/>
  <c r="B400" i="42"/>
  <c r="F399" i="42"/>
  <c r="D399" i="42"/>
  <c r="B399" i="42"/>
  <c r="F398" i="42"/>
  <c r="D398" i="42"/>
  <c r="B398" i="42"/>
  <c r="F397" i="42"/>
  <c r="D397" i="42"/>
  <c r="B397" i="42"/>
  <c r="F396" i="42"/>
  <c r="D396" i="42"/>
  <c r="B396" i="42"/>
  <c r="F395" i="42"/>
  <c r="D395" i="42"/>
  <c r="B395" i="42"/>
  <c r="F394" i="42"/>
  <c r="D394" i="42"/>
  <c r="B394" i="42"/>
  <c r="F393" i="42"/>
  <c r="D393" i="42"/>
  <c r="B393" i="42"/>
  <c r="F392" i="42"/>
  <c r="D392" i="42"/>
  <c r="B392" i="42"/>
  <c r="F391" i="42"/>
  <c r="D391" i="42"/>
  <c r="B391" i="42"/>
  <c r="F390" i="42"/>
  <c r="D390" i="42"/>
  <c r="B390" i="42"/>
  <c r="F389" i="42"/>
  <c r="D389" i="42"/>
  <c r="B389" i="42"/>
  <c r="F388" i="42"/>
  <c r="D388" i="42"/>
  <c r="B388" i="42"/>
  <c r="F387" i="42"/>
  <c r="D387" i="42"/>
  <c r="B387" i="42"/>
  <c r="F386" i="42"/>
  <c r="D386" i="42"/>
  <c r="B386" i="42"/>
  <c r="F385" i="42"/>
  <c r="D385" i="42"/>
  <c r="B385" i="42"/>
  <c r="F384" i="42"/>
  <c r="D384" i="42"/>
  <c r="B384" i="42"/>
  <c r="F383" i="42"/>
  <c r="D383" i="42"/>
  <c r="B383" i="42"/>
  <c r="F382" i="42"/>
  <c r="D382" i="42"/>
  <c r="B382" i="42"/>
  <c r="F381" i="42"/>
  <c r="D381" i="42"/>
  <c r="B381" i="42"/>
  <c r="F380" i="42"/>
  <c r="D380" i="42"/>
  <c r="B380" i="42"/>
  <c r="F379" i="42"/>
  <c r="D379" i="42"/>
  <c r="B379" i="42"/>
  <c r="F378" i="42"/>
  <c r="D378" i="42"/>
  <c r="B378" i="42"/>
  <c r="F377" i="42"/>
  <c r="D377" i="42"/>
  <c r="B377" i="42"/>
  <c r="F376" i="42"/>
  <c r="D376" i="42"/>
  <c r="B376" i="42"/>
  <c r="F375" i="42"/>
  <c r="D375" i="42"/>
  <c r="B375" i="42"/>
  <c r="F374" i="42"/>
  <c r="D374" i="42"/>
  <c r="B374" i="42"/>
  <c r="F373" i="42"/>
  <c r="D373" i="42"/>
  <c r="B373" i="42"/>
  <c r="F372" i="42"/>
  <c r="D372" i="42"/>
  <c r="B372" i="42"/>
  <c r="F371" i="42"/>
  <c r="D371" i="42"/>
  <c r="B371" i="42"/>
  <c r="F370" i="42"/>
  <c r="D370" i="42"/>
  <c r="B370" i="42"/>
  <c r="F369" i="42"/>
  <c r="D369" i="42"/>
  <c r="B369" i="42"/>
  <c r="F368" i="42"/>
  <c r="D368" i="42"/>
  <c r="B368" i="42"/>
  <c r="F367" i="42"/>
  <c r="D367" i="42"/>
  <c r="B367" i="42"/>
  <c r="F366" i="42"/>
  <c r="D366" i="42"/>
  <c r="B366" i="42"/>
  <c r="F365" i="42"/>
  <c r="D365" i="42"/>
  <c r="B365" i="42"/>
  <c r="F363" i="42"/>
  <c r="D363" i="42"/>
  <c r="B363" i="42"/>
  <c r="F362" i="42"/>
  <c r="D362" i="42"/>
  <c r="B362" i="42"/>
  <c r="F361" i="42"/>
  <c r="D361" i="42"/>
  <c r="B361" i="42"/>
  <c r="F360" i="42"/>
  <c r="D360" i="42"/>
  <c r="B360" i="42"/>
  <c r="F359" i="42"/>
  <c r="D359" i="42"/>
  <c r="B359" i="42"/>
  <c r="F358" i="42"/>
  <c r="D358" i="42"/>
  <c r="B358" i="42"/>
  <c r="F357" i="42"/>
  <c r="D357" i="42"/>
  <c r="B357" i="42"/>
  <c r="F356" i="42"/>
  <c r="D356" i="42"/>
  <c r="B356" i="42"/>
  <c r="F355" i="42"/>
  <c r="D355" i="42"/>
  <c r="B355" i="42"/>
  <c r="F354" i="42"/>
  <c r="D354" i="42"/>
  <c r="B354" i="42"/>
  <c r="F353" i="42"/>
  <c r="D353" i="42"/>
  <c r="B353" i="42"/>
  <c r="F352" i="42"/>
  <c r="D352" i="42"/>
  <c r="B352" i="42"/>
  <c r="F351" i="42"/>
  <c r="D351" i="42"/>
  <c r="B351" i="42"/>
  <c r="F350" i="42"/>
  <c r="D350" i="42"/>
  <c r="B350" i="42"/>
  <c r="F349" i="42"/>
  <c r="D349" i="42"/>
  <c r="B349" i="42"/>
  <c r="F348" i="42"/>
  <c r="D348" i="42"/>
  <c r="B348" i="42"/>
  <c r="F347" i="42"/>
  <c r="D347" i="42"/>
  <c r="B347" i="42"/>
  <c r="F346" i="42"/>
  <c r="D346" i="42"/>
  <c r="B346" i="42"/>
  <c r="F345" i="42"/>
  <c r="D345" i="42"/>
  <c r="B345" i="42"/>
  <c r="F344" i="42"/>
  <c r="D344" i="42"/>
  <c r="B344" i="42"/>
  <c r="F343" i="42"/>
  <c r="D343" i="42"/>
  <c r="B343" i="42"/>
  <c r="F342" i="42"/>
  <c r="D342" i="42"/>
  <c r="B342" i="42"/>
  <c r="F341" i="42"/>
  <c r="D341" i="42"/>
  <c r="B341" i="42"/>
  <c r="F340" i="42"/>
  <c r="D340" i="42"/>
  <c r="B340" i="42"/>
  <c r="F339" i="42"/>
  <c r="D339" i="42"/>
  <c r="B339" i="42"/>
  <c r="F338" i="42"/>
  <c r="D338" i="42"/>
  <c r="B338" i="42"/>
  <c r="F337" i="42"/>
  <c r="D337" i="42"/>
  <c r="B337" i="42"/>
  <c r="F336" i="42"/>
  <c r="D336" i="42"/>
  <c r="B336" i="42"/>
  <c r="F335" i="42"/>
  <c r="D335" i="42"/>
  <c r="B335" i="42"/>
  <c r="F334" i="42"/>
  <c r="D334" i="42"/>
  <c r="B334" i="42"/>
  <c r="F333" i="42"/>
  <c r="D333" i="42"/>
  <c r="B333" i="42"/>
  <c r="F332" i="42"/>
  <c r="D332" i="42"/>
  <c r="B332" i="42"/>
  <c r="F331" i="42"/>
  <c r="D331" i="42"/>
  <c r="B331" i="42"/>
  <c r="F330" i="42"/>
  <c r="D330" i="42"/>
  <c r="B330" i="42"/>
  <c r="F329" i="42"/>
  <c r="D329" i="42"/>
  <c r="B329" i="42"/>
  <c r="F328" i="42"/>
  <c r="D328" i="42"/>
  <c r="B328" i="42"/>
  <c r="F327" i="42"/>
  <c r="D327" i="42"/>
  <c r="B327" i="42"/>
  <c r="F326" i="42"/>
  <c r="D326" i="42"/>
  <c r="B326" i="42"/>
  <c r="F325" i="42"/>
  <c r="D325" i="42"/>
  <c r="B325" i="42"/>
  <c r="F324" i="42"/>
  <c r="D324" i="42"/>
  <c r="B324" i="42"/>
  <c r="F323" i="42"/>
  <c r="D323" i="42"/>
  <c r="B323" i="42"/>
  <c r="F322" i="42"/>
  <c r="D322" i="42"/>
  <c r="B322" i="42"/>
  <c r="F321" i="42"/>
  <c r="D321" i="42"/>
  <c r="B321" i="42"/>
  <c r="F320" i="42"/>
  <c r="D320" i="42"/>
  <c r="B320" i="42"/>
  <c r="F319" i="42"/>
  <c r="D319" i="42"/>
  <c r="B319" i="42"/>
  <c r="F318" i="42"/>
  <c r="D318" i="42"/>
  <c r="B318" i="42"/>
  <c r="F317" i="42"/>
  <c r="D317" i="42"/>
  <c r="B317" i="42"/>
  <c r="F316" i="42"/>
  <c r="D316" i="42"/>
  <c r="B316" i="42"/>
  <c r="F315" i="42"/>
  <c r="D315" i="42"/>
  <c r="B315" i="42"/>
  <c r="F312" i="42"/>
  <c r="D312" i="42"/>
  <c r="B312" i="42"/>
  <c r="F311" i="42"/>
  <c r="D311" i="42"/>
  <c r="B311" i="42"/>
  <c r="F310" i="42"/>
  <c r="D310" i="42"/>
  <c r="B310" i="42"/>
  <c r="F309" i="42"/>
  <c r="D309" i="42"/>
  <c r="B309" i="42"/>
  <c r="F308" i="42"/>
  <c r="D308" i="42"/>
  <c r="B308" i="42"/>
  <c r="F307" i="42"/>
  <c r="D307" i="42"/>
  <c r="B307" i="42"/>
  <c r="F306" i="42"/>
  <c r="D306" i="42"/>
  <c r="B306" i="42"/>
  <c r="F305" i="42"/>
  <c r="D305" i="42"/>
  <c r="B305" i="42"/>
  <c r="F304" i="42"/>
  <c r="D304" i="42"/>
  <c r="B304" i="42"/>
  <c r="F303" i="42"/>
  <c r="D303" i="42"/>
  <c r="B303" i="42"/>
  <c r="F302" i="42"/>
  <c r="D302" i="42"/>
  <c r="B302" i="42"/>
  <c r="F301" i="42"/>
  <c r="D301" i="42"/>
  <c r="B301" i="42"/>
  <c r="F300" i="42"/>
  <c r="D300" i="42"/>
  <c r="B300" i="42"/>
  <c r="F299" i="42"/>
  <c r="D299" i="42"/>
  <c r="B299" i="42"/>
  <c r="F298" i="42"/>
  <c r="D298" i="42"/>
  <c r="B298" i="42"/>
  <c r="F297" i="42"/>
  <c r="D297" i="42"/>
  <c r="B297" i="42"/>
  <c r="F296" i="42"/>
  <c r="D296" i="42"/>
  <c r="B296" i="42"/>
  <c r="F295" i="42"/>
  <c r="D295" i="42"/>
  <c r="B295" i="42"/>
  <c r="F294" i="42"/>
  <c r="D294" i="42"/>
  <c r="B294" i="42"/>
  <c r="F293" i="42"/>
  <c r="D293" i="42"/>
  <c r="B293" i="42"/>
  <c r="F292" i="42"/>
  <c r="D292" i="42"/>
  <c r="B292" i="42"/>
  <c r="F291" i="42"/>
  <c r="D291" i="42"/>
  <c r="B291" i="42"/>
  <c r="F290" i="42"/>
  <c r="D290" i="42"/>
  <c r="B290" i="42"/>
  <c r="F289" i="42"/>
  <c r="D289" i="42"/>
  <c r="B289" i="42"/>
  <c r="F288" i="42"/>
  <c r="D288" i="42"/>
  <c r="B288" i="42"/>
  <c r="F287" i="42"/>
  <c r="D287" i="42"/>
  <c r="B287" i="42"/>
  <c r="F286" i="42"/>
  <c r="D286" i="42"/>
  <c r="B286" i="42"/>
  <c r="F285" i="42"/>
  <c r="D285" i="42"/>
  <c r="B285" i="42"/>
  <c r="F284" i="42"/>
  <c r="D284" i="42"/>
  <c r="B284" i="42"/>
  <c r="F283" i="42"/>
  <c r="D283" i="42"/>
  <c r="B283" i="42"/>
  <c r="F282" i="42"/>
  <c r="D282" i="42"/>
  <c r="B282" i="42"/>
  <c r="F281" i="42"/>
  <c r="D281" i="42"/>
  <c r="B281" i="42"/>
  <c r="F280" i="42"/>
  <c r="D280" i="42"/>
  <c r="B280" i="42"/>
  <c r="F279" i="42"/>
  <c r="D279" i="42"/>
  <c r="B279" i="42"/>
  <c r="F278" i="42"/>
  <c r="D278" i="42"/>
  <c r="B278" i="42"/>
  <c r="F277" i="42"/>
  <c r="D277" i="42"/>
  <c r="B277" i="42"/>
  <c r="F276" i="42"/>
  <c r="D276" i="42"/>
  <c r="B276" i="42"/>
  <c r="F275" i="42"/>
  <c r="D275" i="42"/>
  <c r="B275" i="42"/>
  <c r="F274" i="42"/>
  <c r="D274" i="42"/>
  <c r="B274" i="42"/>
  <c r="F273" i="42"/>
  <c r="D273" i="42"/>
  <c r="B273" i="42"/>
  <c r="F272" i="42"/>
  <c r="D272" i="42"/>
  <c r="B272" i="42"/>
  <c r="F271" i="42"/>
  <c r="D271" i="42"/>
  <c r="B271" i="42"/>
  <c r="F270" i="42"/>
  <c r="D270" i="42"/>
  <c r="B270" i="42"/>
  <c r="F269" i="42"/>
  <c r="D269" i="42"/>
  <c r="B269" i="42"/>
  <c r="F268" i="42"/>
  <c r="D268" i="42"/>
  <c r="B268" i="42"/>
  <c r="F267" i="42"/>
  <c r="D267" i="42"/>
  <c r="B267" i="42"/>
  <c r="F266" i="42"/>
  <c r="D266" i="42"/>
  <c r="B266" i="42"/>
  <c r="F265" i="42"/>
  <c r="D265" i="42"/>
  <c r="B265" i="42"/>
  <c r="F264" i="42"/>
  <c r="D264" i="42"/>
  <c r="B264" i="42"/>
  <c r="F261" i="42"/>
  <c r="D261" i="42"/>
  <c r="B261" i="42"/>
  <c r="F260" i="42"/>
  <c r="D260" i="42"/>
  <c r="B260" i="42"/>
  <c r="F259" i="42"/>
  <c r="D259" i="42"/>
  <c r="B259" i="42"/>
  <c r="F258" i="42"/>
  <c r="D258" i="42"/>
  <c r="B258" i="42"/>
  <c r="F257" i="42"/>
  <c r="D257" i="42"/>
  <c r="B257" i="42"/>
  <c r="F256" i="42"/>
  <c r="D256" i="42"/>
  <c r="B256" i="42"/>
  <c r="F255" i="42"/>
  <c r="D255" i="42"/>
  <c r="B255" i="42"/>
  <c r="F254" i="42"/>
  <c r="D254" i="42"/>
  <c r="B254" i="42"/>
  <c r="F253" i="42"/>
  <c r="D253" i="42"/>
  <c r="B253" i="42"/>
  <c r="F252" i="42"/>
  <c r="D252" i="42"/>
  <c r="B252" i="42"/>
  <c r="F251" i="42"/>
  <c r="D251" i="42"/>
  <c r="B251" i="42"/>
  <c r="F250" i="42"/>
  <c r="D250" i="42"/>
  <c r="B250" i="42"/>
  <c r="F249" i="42"/>
  <c r="D249" i="42"/>
  <c r="B249" i="42"/>
  <c r="F248" i="42"/>
  <c r="D248" i="42"/>
  <c r="B248" i="42"/>
  <c r="F247" i="42"/>
  <c r="D247" i="42"/>
  <c r="B247" i="42"/>
  <c r="F246" i="42"/>
  <c r="D246" i="42"/>
  <c r="B246" i="42"/>
  <c r="F245" i="42"/>
  <c r="D245" i="42"/>
  <c r="B245" i="42"/>
  <c r="F244" i="42"/>
  <c r="D244" i="42"/>
  <c r="B244" i="42"/>
  <c r="F243" i="42"/>
  <c r="D243" i="42"/>
  <c r="B243" i="42"/>
  <c r="F242" i="42"/>
  <c r="D242" i="42"/>
  <c r="B242" i="42"/>
  <c r="F241" i="42"/>
  <c r="D241" i="42"/>
  <c r="B241" i="42"/>
  <c r="F240" i="42"/>
  <c r="D240" i="42"/>
  <c r="B240" i="42"/>
  <c r="F239" i="42"/>
  <c r="D239" i="42"/>
  <c r="B239" i="42"/>
  <c r="F238" i="42"/>
  <c r="D238" i="42"/>
  <c r="B238" i="42"/>
  <c r="F237" i="42"/>
  <c r="D237" i="42"/>
  <c r="B237" i="42"/>
  <c r="F236" i="42"/>
  <c r="D236" i="42"/>
  <c r="B236" i="42"/>
  <c r="F235" i="42"/>
  <c r="D235" i="42"/>
  <c r="B235" i="42"/>
  <c r="F234" i="42"/>
  <c r="D234" i="42"/>
  <c r="B234" i="42"/>
  <c r="F233" i="42"/>
  <c r="D233" i="42"/>
  <c r="B233" i="42"/>
  <c r="F232" i="42"/>
  <c r="D232" i="42"/>
  <c r="B232" i="42"/>
  <c r="F231" i="42"/>
  <c r="D231" i="42"/>
  <c r="B231" i="42"/>
  <c r="F230" i="42"/>
  <c r="D230" i="42"/>
  <c r="B230" i="42"/>
  <c r="F229" i="42"/>
  <c r="D229" i="42"/>
  <c r="B229" i="42"/>
  <c r="F228" i="42"/>
  <c r="D228" i="42"/>
  <c r="B228" i="42"/>
  <c r="F227" i="42"/>
  <c r="D227" i="42"/>
  <c r="B227" i="42"/>
  <c r="F226" i="42"/>
  <c r="D226" i="42"/>
  <c r="B226" i="42"/>
  <c r="F225" i="42"/>
  <c r="D225" i="42"/>
  <c r="B225" i="42"/>
  <c r="F224" i="42"/>
  <c r="D224" i="42"/>
  <c r="B224" i="42"/>
  <c r="F223" i="42"/>
  <c r="D223" i="42"/>
  <c r="B223" i="42"/>
  <c r="F222" i="42"/>
  <c r="D222" i="42"/>
  <c r="B222" i="42"/>
  <c r="F221" i="42"/>
  <c r="D221" i="42"/>
  <c r="B221" i="42"/>
  <c r="F220" i="42"/>
  <c r="D220" i="42"/>
  <c r="B220" i="42"/>
  <c r="F219" i="42"/>
  <c r="D219" i="42"/>
  <c r="B219" i="42"/>
  <c r="F218" i="42"/>
  <c r="D218" i="42"/>
  <c r="B218" i="42"/>
  <c r="F217" i="42"/>
  <c r="D217" i="42"/>
  <c r="B217" i="42"/>
  <c r="F216" i="42"/>
  <c r="D216" i="42"/>
  <c r="B216" i="42"/>
  <c r="F215" i="42"/>
  <c r="D215" i="42"/>
  <c r="B215" i="42"/>
  <c r="F214" i="42"/>
  <c r="D214" i="42"/>
  <c r="B214" i="42"/>
  <c r="F213" i="42"/>
  <c r="D213" i="42"/>
  <c r="B213" i="42"/>
  <c r="F211" i="42"/>
  <c r="D211" i="42"/>
  <c r="B211" i="42"/>
  <c r="F210" i="42"/>
  <c r="D210" i="42"/>
  <c r="B210" i="42"/>
  <c r="F209" i="42"/>
  <c r="D209" i="42"/>
  <c r="B209" i="42"/>
  <c r="F208" i="42"/>
  <c r="D208" i="42"/>
  <c r="B208" i="42"/>
  <c r="F207" i="42"/>
  <c r="D207" i="42"/>
  <c r="B207" i="42"/>
  <c r="F206" i="42"/>
  <c r="D206" i="42"/>
  <c r="B206" i="42"/>
  <c r="F205" i="42"/>
  <c r="D205" i="42"/>
  <c r="B205" i="42"/>
  <c r="F204" i="42"/>
  <c r="D204" i="42"/>
  <c r="B204" i="42"/>
  <c r="F203" i="42"/>
  <c r="D203" i="42"/>
  <c r="B203" i="42"/>
  <c r="F202" i="42"/>
  <c r="D202" i="42"/>
  <c r="B202" i="42"/>
  <c r="F201" i="42"/>
  <c r="D201" i="42"/>
  <c r="B201" i="42"/>
  <c r="F200" i="42"/>
  <c r="D200" i="42"/>
  <c r="B200" i="42"/>
  <c r="F199" i="42"/>
  <c r="D199" i="42"/>
  <c r="B199" i="42"/>
  <c r="F198" i="42"/>
  <c r="D198" i="42"/>
  <c r="B198" i="42"/>
  <c r="F197" i="42"/>
  <c r="D197" i="42"/>
  <c r="B197" i="42"/>
  <c r="F196" i="42"/>
  <c r="D196" i="42"/>
  <c r="B196" i="42"/>
  <c r="F195" i="42"/>
  <c r="D195" i="42"/>
  <c r="B195" i="42"/>
  <c r="F194" i="42"/>
  <c r="D194" i="42"/>
  <c r="B194" i="42"/>
  <c r="F193" i="42"/>
  <c r="D193" i="42"/>
  <c r="B193" i="42"/>
  <c r="F192" i="42"/>
  <c r="D192" i="42"/>
  <c r="B192" i="42"/>
  <c r="F191" i="42"/>
  <c r="D191" i="42"/>
  <c r="B191" i="42"/>
  <c r="F190" i="42"/>
  <c r="D190" i="42"/>
  <c r="B190" i="42"/>
  <c r="F189" i="42"/>
  <c r="D189" i="42"/>
  <c r="B189" i="42"/>
  <c r="F188" i="42"/>
  <c r="D188" i="42"/>
  <c r="B188" i="42"/>
  <c r="F187" i="42"/>
  <c r="D187" i="42"/>
  <c r="B187" i="42"/>
  <c r="F186" i="42"/>
  <c r="D186" i="42"/>
  <c r="B186" i="42"/>
  <c r="F185" i="42"/>
  <c r="D185" i="42"/>
  <c r="B185" i="42"/>
  <c r="F184" i="42"/>
  <c r="D184" i="42"/>
  <c r="B184" i="42"/>
  <c r="F183" i="42"/>
  <c r="D183" i="42"/>
  <c r="B183" i="42"/>
  <c r="F182" i="42"/>
  <c r="D182" i="42"/>
  <c r="B182" i="42"/>
  <c r="F181" i="42"/>
  <c r="D181" i="42"/>
  <c r="B181" i="42"/>
  <c r="F180" i="42"/>
  <c r="D180" i="42"/>
  <c r="B180" i="42"/>
  <c r="F179" i="42"/>
  <c r="D179" i="42"/>
  <c r="B179" i="42"/>
  <c r="F178" i="42"/>
  <c r="D178" i="42"/>
  <c r="B178" i="42"/>
  <c r="F177" i="42"/>
  <c r="D177" i="42"/>
  <c r="B177" i="42"/>
  <c r="F176" i="42"/>
  <c r="D176" i="42"/>
  <c r="B176" i="42"/>
  <c r="F175" i="42"/>
  <c r="D175" i="42"/>
  <c r="B175" i="42"/>
  <c r="F174" i="42"/>
  <c r="D174" i="42"/>
  <c r="B174" i="42"/>
  <c r="F173" i="42"/>
  <c r="D173" i="42"/>
  <c r="B173" i="42"/>
  <c r="F172" i="42"/>
  <c r="D172" i="42"/>
  <c r="B172" i="42"/>
  <c r="F171" i="42"/>
  <c r="D171" i="42"/>
  <c r="B171" i="42"/>
  <c r="F170" i="42"/>
  <c r="D170" i="42"/>
  <c r="B170" i="42"/>
  <c r="F169" i="42"/>
  <c r="D169" i="42"/>
  <c r="B169" i="42"/>
  <c r="F168" i="42"/>
  <c r="D168" i="42"/>
  <c r="B168" i="42"/>
  <c r="F167" i="42"/>
  <c r="D167" i="42"/>
  <c r="B167" i="42"/>
  <c r="F166" i="42"/>
  <c r="D166" i="42"/>
  <c r="B166" i="42"/>
  <c r="F165" i="42"/>
  <c r="D165" i="42"/>
  <c r="B165" i="42"/>
  <c r="F164" i="42"/>
  <c r="D164" i="42"/>
  <c r="B164" i="42"/>
  <c r="F163" i="42"/>
  <c r="D163" i="42"/>
  <c r="B163" i="42"/>
  <c r="F160" i="42"/>
  <c r="D160" i="42"/>
  <c r="B160" i="42"/>
  <c r="F159" i="42"/>
  <c r="D159" i="42"/>
  <c r="B159" i="42"/>
  <c r="F158" i="42"/>
  <c r="D158" i="42"/>
  <c r="B158" i="42"/>
  <c r="F157" i="42"/>
  <c r="D157" i="42"/>
  <c r="B157" i="42"/>
  <c r="F156" i="42"/>
  <c r="D156" i="42"/>
  <c r="B156" i="42"/>
  <c r="F155" i="42"/>
  <c r="D155" i="42"/>
  <c r="B155" i="42"/>
  <c r="F154" i="42"/>
  <c r="D154" i="42"/>
  <c r="B154" i="42"/>
  <c r="F153" i="42"/>
  <c r="D153" i="42"/>
  <c r="B153" i="42"/>
  <c r="F152" i="42"/>
  <c r="D152" i="42"/>
  <c r="B152" i="42"/>
  <c r="F151" i="42"/>
  <c r="D151" i="42"/>
  <c r="B151" i="42"/>
  <c r="F150" i="42"/>
  <c r="D150" i="42"/>
  <c r="B150" i="42"/>
  <c r="F149" i="42"/>
  <c r="D149" i="42"/>
  <c r="B149" i="42"/>
  <c r="F148" i="42"/>
  <c r="D148" i="42"/>
  <c r="B148" i="42"/>
  <c r="F147" i="42"/>
  <c r="D147" i="42"/>
  <c r="B147" i="42"/>
  <c r="F146" i="42"/>
  <c r="D146" i="42"/>
  <c r="B146" i="42"/>
  <c r="F145" i="42"/>
  <c r="D145" i="42"/>
  <c r="B145" i="42"/>
  <c r="F144" i="42"/>
  <c r="D144" i="42"/>
  <c r="B144" i="42"/>
  <c r="F143" i="42"/>
  <c r="D143" i="42"/>
  <c r="B143" i="42"/>
  <c r="F142" i="42"/>
  <c r="D142" i="42"/>
  <c r="B142" i="42"/>
  <c r="F141" i="42"/>
  <c r="D141" i="42"/>
  <c r="B141" i="42"/>
  <c r="F140" i="42"/>
  <c r="D140" i="42"/>
  <c r="B140" i="42"/>
  <c r="F139" i="42"/>
  <c r="D139" i="42"/>
  <c r="B139" i="42"/>
  <c r="F138" i="42"/>
  <c r="D138" i="42"/>
  <c r="B138" i="42"/>
  <c r="F137" i="42"/>
  <c r="D137" i="42"/>
  <c r="B137" i="42"/>
  <c r="F136" i="42"/>
  <c r="D136" i="42"/>
  <c r="B136" i="42"/>
  <c r="F135" i="42"/>
  <c r="D135" i="42"/>
  <c r="B135" i="42"/>
  <c r="F134" i="42"/>
  <c r="D134" i="42"/>
  <c r="B134" i="42"/>
  <c r="F133" i="42"/>
  <c r="D133" i="42"/>
  <c r="B133" i="42"/>
  <c r="F132" i="42"/>
  <c r="D132" i="42"/>
  <c r="B132" i="42"/>
  <c r="F131" i="42"/>
  <c r="D131" i="42"/>
  <c r="B131" i="42"/>
  <c r="F130" i="42"/>
  <c r="D130" i="42"/>
  <c r="B130" i="42"/>
  <c r="F129" i="42"/>
  <c r="D129" i="42"/>
  <c r="B129" i="42"/>
  <c r="F128" i="42"/>
  <c r="D128" i="42"/>
  <c r="B128" i="42"/>
  <c r="F127" i="42"/>
  <c r="D127" i="42"/>
  <c r="B127" i="42"/>
  <c r="F126" i="42"/>
  <c r="D126" i="42"/>
  <c r="B126" i="42"/>
  <c r="F125" i="42"/>
  <c r="D125" i="42"/>
  <c r="B125" i="42"/>
  <c r="F124" i="42"/>
  <c r="D124" i="42"/>
  <c r="B124" i="42"/>
  <c r="F123" i="42"/>
  <c r="D123" i="42"/>
  <c r="B123" i="42"/>
  <c r="F122" i="42"/>
  <c r="D122" i="42"/>
  <c r="B122" i="42"/>
  <c r="F121" i="42"/>
  <c r="D121" i="42"/>
  <c r="B121" i="42"/>
  <c r="F120" i="42"/>
  <c r="D120" i="42"/>
  <c r="B120" i="42"/>
  <c r="F119" i="42"/>
  <c r="D119" i="42"/>
  <c r="B119" i="42"/>
  <c r="F118" i="42"/>
  <c r="D118" i="42"/>
  <c r="B118" i="42"/>
  <c r="F117" i="42"/>
  <c r="D117" i="42"/>
  <c r="B117" i="42"/>
  <c r="F116" i="42"/>
  <c r="D116" i="42"/>
  <c r="B116" i="42"/>
  <c r="F115" i="42"/>
  <c r="D115" i="42"/>
  <c r="B115" i="42"/>
  <c r="F114" i="42"/>
  <c r="D114" i="42"/>
  <c r="B114" i="42"/>
  <c r="F113" i="42"/>
  <c r="D113" i="42"/>
  <c r="B113" i="42"/>
  <c r="F112" i="42"/>
  <c r="D112" i="42"/>
  <c r="B112" i="42"/>
  <c r="F109" i="42"/>
  <c r="D109" i="42"/>
  <c r="B109" i="42"/>
  <c r="F108" i="42"/>
  <c r="D108" i="42"/>
  <c r="B108" i="42"/>
  <c r="F107" i="42"/>
  <c r="D107" i="42"/>
  <c r="B107" i="42"/>
  <c r="F106" i="42"/>
  <c r="D106" i="42"/>
  <c r="B106" i="42"/>
  <c r="F105" i="42"/>
  <c r="D105" i="42"/>
  <c r="B105" i="42"/>
  <c r="F104" i="42"/>
  <c r="D104" i="42"/>
  <c r="B104" i="42"/>
  <c r="F103" i="42"/>
  <c r="D103" i="42"/>
  <c r="B103" i="42"/>
  <c r="F102" i="42"/>
  <c r="D102" i="42"/>
  <c r="B102" i="42"/>
  <c r="F101" i="42"/>
  <c r="D101" i="42"/>
  <c r="B101" i="42"/>
  <c r="F100" i="42"/>
  <c r="D100" i="42"/>
  <c r="B100" i="42"/>
  <c r="F99" i="42"/>
  <c r="D99" i="42"/>
  <c r="B99" i="42"/>
  <c r="F98" i="42"/>
  <c r="D98" i="42"/>
  <c r="B98" i="42"/>
  <c r="F97" i="42"/>
  <c r="D97" i="42"/>
  <c r="B97" i="42"/>
  <c r="F96" i="42"/>
  <c r="D96" i="42"/>
  <c r="B96" i="42"/>
  <c r="F95" i="42"/>
  <c r="D95" i="42"/>
  <c r="B95" i="42"/>
  <c r="F94" i="42"/>
  <c r="D94" i="42"/>
  <c r="B94" i="42"/>
  <c r="F93" i="42"/>
  <c r="D93" i="42"/>
  <c r="B93" i="42"/>
  <c r="F92" i="42"/>
  <c r="D92" i="42"/>
  <c r="B92" i="42"/>
  <c r="F91" i="42"/>
  <c r="D91" i="42"/>
  <c r="B91" i="42"/>
  <c r="F90" i="42"/>
  <c r="D90" i="42"/>
  <c r="B90" i="42"/>
  <c r="F89" i="42"/>
  <c r="D89" i="42"/>
  <c r="B89" i="42"/>
  <c r="F88" i="42"/>
  <c r="D88" i="42"/>
  <c r="B88" i="42"/>
  <c r="F87" i="42"/>
  <c r="D87" i="42"/>
  <c r="B87" i="42"/>
  <c r="F86" i="42"/>
  <c r="D86" i="42"/>
  <c r="B86" i="42"/>
  <c r="F85" i="42"/>
  <c r="D85" i="42"/>
  <c r="B85" i="42"/>
  <c r="F84" i="42"/>
  <c r="D84" i="42"/>
  <c r="B84" i="42"/>
  <c r="F83" i="42"/>
  <c r="D83" i="42"/>
  <c r="B83" i="42"/>
  <c r="F82" i="42"/>
  <c r="D82" i="42"/>
  <c r="B82" i="42"/>
  <c r="F81" i="42"/>
  <c r="D81" i="42"/>
  <c r="B81" i="42"/>
  <c r="F80" i="42"/>
  <c r="D80" i="42"/>
  <c r="B80" i="42"/>
  <c r="F79" i="42"/>
  <c r="D79" i="42"/>
  <c r="B79" i="42"/>
  <c r="F78" i="42"/>
  <c r="D78" i="42"/>
  <c r="B78" i="42"/>
  <c r="F77" i="42"/>
  <c r="D77" i="42"/>
  <c r="B77" i="42"/>
  <c r="F76" i="42"/>
  <c r="D76" i="42"/>
  <c r="B76" i="42"/>
  <c r="F75" i="42"/>
  <c r="D75" i="42"/>
  <c r="B75" i="42"/>
  <c r="F74" i="42"/>
  <c r="D74" i="42"/>
  <c r="B74" i="42"/>
  <c r="F73" i="42"/>
  <c r="D73" i="42"/>
  <c r="B73" i="42"/>
  <c r="F72" i="42"/>
  <c r="D72" i="42"/>
  <c r="B72" i="42"/>
  <c r="F71" i="42"/>
  <c r="D71" i="42"/>
  <c r="B71" i="42"/>
  <c r="F70" i="42"/>
  <c r="D70" i="42"/>
  <c r="B70" i="42"/>
  <c r="F69" i="42"/>
  <c r="D69" i="42"/>
  <c r="B69" i="42"/>
  <c r="F68" i="42"/>
  <c r="D68" i="42"/>
  <c r="B68" i="42"/>
  <c r="F67" i="42"/>
  <c r="D67" i="42"/>
  <c r="B67" i="42"/>
  <c r="F66" i="42"/>
  <c r="D66" i="42"/>
  <c r="B66" i="42"/>
  <c r="F65" i="42"/>
  <c r="D65" i="42"/>
  <c r="B65" i="42"/>
  <c r="F64" i="42"/>
  <c r="D64" i="42"/>
  <c r="B64" i="42"/>
  <c r="F63" i="42"/>
  <c r="D63" i="42"/>
  <c r="B63" i="42"/>
  <c r="F62" i="42"/>
  <c r="D62" i="42"/>
  <c r="B62" i="42"/>
  <c r="F61" i="42"/>
  <c r="D61" i="42"/>
  <c r="B61" i="42"/>
  <c r="F58" i="42"/>
  <c r="D58" i="42"/>
  <c r="B58" i="42"/>
  <c r="F57" i="42"/>
  <c r="D57" i="42"/>
  <c r="B57" i="42"/>
  <c r="F56" i="42"/>
  <c r="D56" i="42"/>
  <c r="B56" i="42"/>
  <c r="F55" i="42"/>
  <c r="D55" i="42"/>
  <c r="B55" i="42"/>
  <c r="F54" i="42"/>
  <c r="D54" i="42"/>
  <c r="B54" i="42"/>
  <c r="F53" i="42"/>
  <c r="D53" i="42"/>
  <c r="B53" i="42"/>
  <c r="F52" i="42"/>
  <c r="D52" i="42"/>
  <c r="B52" i="42"/>
  <c r="F51" i="42"/>
  <c r="D51" i="42"/>
  <c r="B51" i="42"/>
  <c r="F50" i="42"/>
  <c r="D50" i="42"/>
  <c r="B50" i="42"/>
  <c r="F49" i="42"/>
  <c r="D49" i="42"/>
  <c r="B49" i="42"/>
  <c r="F48" i="42"/>
  <c r="D48" i="42"/>
  <c r="B48" i="42"/>
  <c r="F47" i="42"/>
  <c r="D47" i="42"/>
  <c r="B47" i="42"/>
  <c r="F46" i="42"/>
  <c r="D46" i="42"/>
  <c r="B46" i="42"/>
  <c r="F45" i="42"/>
  <c r="D45" i="42"/>
  <c r="B45" i="42"/>
  <c r="F44" i="42"/>
  <c r="D44" i="42"/>
  <c r="B44" i="42"/>
  <c r="F43" i="42"/>
  <c r="D43" i="42"/>
  <c r="B43" i="42"/>
  <c r="F42" i="42"/>
  <c r="D42" i="42"/>
  <c r="B42" i="42"/>
  <c r="F41" i="42"/>
  <c r="D41" i="42"/>
  <c r="B41" i="42"/>
  <c r="F40" i="42"/>
  <c r="D40" i="42"/>
  <c r="B40" i="42"/>
  <c r="F39" i="42"/>
  <c r="D39" i="42"/>
  <c r="B39" i="42"/>
  <c r="F38" i="42"/>
  <c r="D38" i="42"/>
  <c r="B38" i="42"/>
  <c r="F37" i="42"/>
  <c r="D37" i="42"/>
  <c r="B37" i="42"/>
  <c r="F36" i="42"/>
  <c r="D36" i="42"/>
  <c r="B36" i="42"/>
  <c r="F35" i="42"/>
  <c r="D35" i="42"/>
  <c r="B35" i="42"/>
  <c r="F34" i="42"/>
  <c r="D34" i="42"/>
  <c r="B34" i="42"/>
  <c r="F33" i="42"/>
  <c r="D33" i="42"/>
  <c r="B33" i="42"/>
  <c r="F32" i="42"/>
  <c r="D32" i="42"/>
  <c r="B32" i="42"/>
  <c r="F31" i="42"/>
  <c r="D31" i="42"/>
  <c r="B31" i="42"/>
  <c r="F30" i="42"/>
  <c r="D30" i="42"/>
  <c r="B30" i="42"/>
  <c r="F29" i="42"/>
  <c r="D29" i="42"/>
  <c r="B29" i="42"/>
  <c r="F28" i="42"/>
  <c r="D28" i="42"/>
  <c r="B28" i="42"/>
  <c r="F27" i="42"/>
  <c r="D27" i="42"/>
  <c r="B27" i="42"/>
  <c r="F26" i="42"/>
  <c r="D26" i="42"/>
  <c r="B26" i="42"/>
  <c r="F25" i="42"/>
  <c r="D25" i="42"/>
  <c r="B25" i="42"/>
  <c r="F24" i="42"/>
  <c r="D24" i="42"/>
  <c r="B24" i="42"/>
  <c r="F23" i="42"/>
  <c r="D23" i="42"/>
  <c r="B23" i="42"/>
  <c r="F22" i="42"/>
  <c r="D22" i="42"/>
  <c r="B22" i="42"/>
  <c r="F21" i="42"/>
  <c r="D21" i="42"/>
  <c r="B21" i="42"/>
  <c r="F20" i="42"/>
  <c r="D20" i="42"/>
  <c r="B20" i="42"/>
  <c r="F19" i="42"/>
  <c r="D19" i="42"/>
  <c r="B19" i="42"/>
  <c r="F18" i="42"/>
  <c r="D18" i="42"/>
  <c r="B18" i="42"/>
  <c r="F17" i="42"/>
  <c r="D17" i="42"/>
  <c r="B17" i="42"/>
  <c r="F16" i="42"/>
  <c r="D16" i="42"/>
  <c r="B16" i="42"/>
  <c r="F15" i="42"/>
  <c r="D15" i="42"/>
  <c r="B15" i="42"/>
  <c r="F14" i="42"/>
  <c r="D14" i="42"/>
  <c r="B14" i="42"/>
  <c r="F13" i="42"/>
  <c r="D13" i="42"/>
  <c r="B13" i="42"/>
  <c r="F12" i="42"/>
  <c r="D12" i="42"/>
  <c r="B12" i="42"/>
  <c r="F11" i="42"/>
  <c r="D11" i="42"/>
  <c r="B11" i="42"/>
  <c r="F10" i="42"/>
  <c r="D10" i="42"/>
  <c r="B10" i="42"/>
  <c r="F413" i="75"/>
  <c r="D413" i="75"/>
  <c r="B413" i="75"/>
  <c r="F412" i="75"/>
  <c r="D412" i="75"/>
  <c r="B412" i="75"/>
  <c r="F411" i="75"/>
  <c r="D411" i="75"/>
  <c r="B411" i="75"/>
  <c r="F410" i="75"/>
  <c r="D410" i="75"/>
  <c r="B410" i="75"/>
  <c r="F409" i="75"/>
  <c r="D409" i="75"/>
  <c r="B409" i="75"/>
  <c r="F408" i="75"/>
  <c r="D408" i="75"/>
  <c r="B408" i="75"/>
  <c r="F407" i="75"/>
  <c r="D407" i="75"/>
  <c r="B407" i="75"/>
  <c r="F406" i="75"/>
  <c r="D406" i="75"/>
  <c r="B406" i="75"/>
  <c r="F405" i="75"/>
  <c r="D405" i="75"/>
  <c r="B405" i="75"/>
  <c r="F404" i="75"/>
  <c r="D404" i="75"/>
  <c r="B404" i="75"/>
  <c r="F403" i="75"/>
  <c r="D403" i="75"/>
  <c r="B403" i="75"/>
  <c r="F402" i="75"/>
  <c r="D402" i="75"/>
  <c r="B402" i="75"/>
  <c r="F401" i="75"/>
  <c r="D401" i="75"/>
  <c r="B401" i="75"/>
  <c r="F400" i="75"/>
  <c r="D400" i="75"/>
  <c r="B400" i="75"/>
  <c r="F399" i="75"/>
  <c r="D399" i="75"/>
  <c r="B399" i="75"/>
  <c r="F398" i="75"/>
  <c r="D398" i="75"/>
  <c r="B398" i="75"/>
  <c r="F397" i="75"/>
  <c r="D397" i="75"/>
  <c r="B397" i="75"/>
  <c r="F396" i="75"/>
  <c r="D396" i="75"/>
  <c r="B396" i="75"/>
  <c r="F395" i="75"/>
  <c r="D395" i="75"/>
  <c r="B395" i="75"/>
  <c r="F394" i="75"/>
  <c r="D394" i="75"/>
  <c r="B394" i="75"/>
  <c r="F393" i="75"/>
  <c r="D393" i="75"/>
  <c r="B393" i="75"/>
  <c r="F392" i="75"/>
  <c r="D392" i="75"/>
  <c r="B392" i="75"/>
  <c r="F391" i="75"/>
  <c r="D391" i="75"/>
  <c r="B391" i="75"/>
  <c r="F390" i="75"/>
  <c r="D390" i="75"/>
  <c r="B390" i="75"/>
  <c r="F389" i="75"/>
  <c r="D389" i="75"/>
  <c r="B389" i="75"/>
  <c r="F388" i="75"/>
  <c r="D388" i="75"/>
  <c r="B388" i="75"/>
  <c r="F387" i="75"/>
  <c r="D387" i="75"/>
  <c r="B387" i="75"/>
  <c r="F386" i="75"/>
  <c r="D386" i="75"/>
  <c r="B386" i="75"/>
  <c r="F385" i="75"/>
  <c r="D385" i="75"/>
  <c r="B385" i="75"/>
  <c r="F384" i="75"/>
  <c r="D384" i="75"/>
  <c r="B384" i="75"/>
  <c r="F383" i="75"/>
  <c r="D383" i="75"/>
  <c r="B383" i="75"/>
  <c r="F382" i="75"/>
  <c r="D382" i="75"/>
  <c r="B382" i="75"/>
  <c r="F381" i="75"/>
  <c r="D381" i="75"/>
  <c r="B381" i="75"/>
  <c r="F380" i="75"/>
  <c r="D380" i="75"/>
  <c r="B380" i="75"/>
  <c r="F379" i="75"/>
  <c r="D379" i="75"/>
  <c r="B379" i="75"/>
  <c r="F378" i="75"/>
  <c r="D378" i="75"/>
  <c r="B378" i="75"/>
  <c r="F377" i="75"/>
  <c r="D377" i="75"/>
  <c r="B377" i="75"/>
  <c r="F376" i="75"/>
  <c r="D376" i="75"/>
  <c r="B376" i="75"/>
  <c r="F375" i="75"/>
  <c r="D375" i="75"/>
  <c r="B375" i="75"/>
  <c r="F374" i="75"/>
  <c r="D374" i="75"/>
  <c r="B374" i="75"/>
  <c r="F373" i="75"/>
  <c r="D373" i="75"/>
  <c r="B373" i="75"/>
  <c r="F372" i="75"/>
  <c r="D372" i="75"/>
  <c r="B372" i="75"/>
  <c r="F371" i="75"/>
  <c r="D371" i="75"/>
  <c r="B371" i="75"/>
  <c r="F370" i="75"/>
  <c r="D370" i="75"/>
  <c r="B370" i="75"/>
  <c r="F369" i="75"/>
  <c r="D369" i="75"/>
  <c r="B369" i="75"/>
  <c r="F368" i="75"/>
  <c r="D368" i="75"/>
  <c r="B368" i="75"/>
  <c r="F367" i="75"/>
  <c r="D367" i="75"/>
  <c r="B367" i="75"/>
  <c r="F366" i="75"/>
  <c r="D366" i="75"/>
  <c r="B366" i="75"/>
  <c r="F365" i="75"/>
  <c r="D365" i="75"/>
  <c r="B365" i="75"/>
  <c r="F363" i="75"/>
  <c r="D363" i="75"/>
  <c r="B363" i="75"/>
  <c r="F362" i="75"/>
  <c r="D362" i="75"/>
  <c r="B362" i="75"/>
  <c r="F361" i="75"/>
  <c r="D361" i="75"/>
  <c r="B361" i="75"/>
  <c r="F360" i="75"/>
  <c r="D360" i="75"/>
  <c r="B360" i="75"/>
  <c r="F359" i="75"/>
  <c r="D359" i="75"/>
  <c r="B359" i="75"/>
  <c r="F358" i="75"/>
  <c r="D358" i="75"/>
  <c r="B358" i="75"/>
  <c r="F357" i="75"/>
  <c r="D357" i="75"/>
  <c r="B357" i="75"/>
  <c r="F356" i="75"/>
  <c r="D356" i="75"/>
  <c r="B356" i="75"/>
  <c r="F355" i="75"/>
  <c r="D355" i="75"/>
  <c r="B355" i="75"/>
  <c r="F354" i="75"/>
  <c r="D354" i="75"/>
  <c r="B354" i="75"/>
  <c r="F353" i="75"/>
  <c r="D353" i="75"/>
  <c r="B353" i="75"/>
  <c r="F352" i="75"/>
  <c r="D352" i="75"/>
  <c r="B352" i="75"/>
  <c r="F351" i="75"/>
  <c r="D351" i="75"/>
  <c r="B351" i="75"/>
  <c r="F350" i="75"/>
  <c r="D350" i="75"/>
  <c r="B350" i="75"/>
  <c r="F349" i="75"/>
  <c r="D349" i="75"/>
  <c r="B349" i="75"/>
  <c r="F348" i="75"/>
  <c r="D348" i="75"/>
  <c r="B348" i="75"/>
  <c r="F347" i="75"/>
  <c r="D347" i="75"/>
  <c r="B347" i="75"/>
  <c r="F346" i="75"/>
  <c r="D346" i="75"/>
  <c r="B346" i="75"/>
  <c r="F345" i="75"/>
  <c r="D345" i="75"/>
  <c r="B345" i="75"/>
  <c r="F344" i="75"/>
  <c r="D344" i="75"/>
  <c r="B344" i="75"/>
  <c r="F343" i="75"/>
  <c r="D343" i="75"/>
  <c r="B343" i="75"/>
  <c r="F342" i="75"/>
  <c r="D342" i="75"/>
  <c r="B342" i="75"/>
  <c r="F341" i="75"/>
  <c r="D341" i="75"/>
  <c r="B341" i="75"/>
  <c r="F340" i="75"/>
  <c r="D340" i="75"/>
  <c r="B340" i="75"/>
  <c r="F339" i="75"/>
  <c r="D339" i="75"/>
  <c r="B339" i="75"/>
  <c r="F338" i="75"/>
  <c r="D338" i="75"/>
  <c r="B338" i="75"/>
  <c r="F337" i="75"/>
  <c r="D337" i="75"/>
  <c r="B337" i="75"/>
  <c r="F336" i="75"/>
  <c r="D336" i="75"/>
  <c r="B336" i="75"/>
  <c r="F335" i="75"/>
  <c r="D335" i="75"/>
  <c r="B335" i="75"/>
  <c r="F334" i="75"/>
  <c r="D334" i="75"/>
  <c r="B334" i="75"/>
  <c r="F333" i="75"/>
  <c r="D333" i="75"/>
  <c r="B333" i="75"/>
  <c r="F332" i="75"/>
  <c r="D332" i="75"/>
  <c r="B332" i="75"/>
  <c r="F331" i="75"/>
  <c r="D331" i="75"/>
  <c r="B331" i="75"/>
  <c r="F330" i="75"/>
  <c r="D330" i="75"/>
  <c r="B330" i="75"/>
  <c r="F329" i="75"/>
  <c r="D329" i="75"/>
  <c r="B329" i="75"/>
  <c r="F328" i="75"/>
  <c r="D328" i="75"/>
  <c r="B328" i="75"/>
  <c r="F327" i="75"/>
  <c r="D327" i="75"/>
  <c r="B327" i="75"/>
  <c r="F326" i="75"/>
  <c r="D326" i="75"/>
  <c r="B326" i="75"/>
  <c r="F325" i="75"/>
  <c r="D325" i="75"/>
  <c r="B325" i="75"/>
  <c r="F324" i="75"/>
  <c r="D324" i="75"/>
  <c r="B324" i="75"/>
  <c r="F323" i="75"/>
  <c r="D323" i="75"/>
  <c r="B323" i="75"/>
  <c r="F322" i="75"/>
  <c r="D322" i="75"/>
  <c r="B322" i="75"/>
  <c r="F321" i="75"/>
  <c r="D321" i="75"/>
  <c r="B321" i="75"/>
  <c r="F320" i="75"/>
  <c r="D320" i="75"/>
  <c r="B320" i="75"/>
  <c r="F319" i="75"/>
  <c r="D319" i="75"/>
  <c r="B319" i="75"/>
  <c r="F318" i="75"/>
  <c r="D318" i="75"/>
  <c r="B318" i="75"/>
  <c r="F317" i="75"/>
  <c r="D317" i="75"/>
  <c r="B317" i="75"/>
  <c r="F316" i="75"/>
  <c r="D316" i="75"/>
  <c r="B316" i="75"/>
  <c r="F315" i="75"/>
  <c r="D315" i="75"/>
  <c r="B315" i="75"/>
  <c r="F312" i="75"/>
  <c r="D312" i="75"/>
  <c r="B312" i="75"/>
  <c r="F311" i="75"/>
  <c r="D311" i="75"/>
  <c r="B311" i="75"/>
  <c r="F310" i="75"/>
  <c r="D310" i="75"/>
  <c r="B310" i="75"/>
  <c r="F309" i="75"/>
  <c r="D309" i="75"/>
  <c r="B309" i="75"/>
  <c r="F308" i="75"/>
  <c r="D308" i="75"/>
  <c r="B308" i="75"/>
  <c r="F307" i="75"/>
  <c r="D307" i="75"/>
  <c r="B307" i="75"/>
  <c r="F306" i="75"/>
  <c r="D306" i="75"/>
  <c r="B306" i="75"/>
  <c r="F305" i="75"/>
  <c r="D305" i="75"/>
  <c r="B305" i="75"/>
  <c r="F304" i="75"/>
  <c r="D304" i="75"/>
  <c r="B304" i="75"/>
  <c r="F303" i="75"/>
  <c r="D303" i="75"/>
  <c r="B303" i="75"/>
  <c r="F302" i="75"/>
  <c r="D302" i="75"/>
  <c r="B302" i="75"/>
  <c r="F301" i="75"/>
  <c r="D301" i="75"/>
  <c r="B301" i="75"/>
  <c r="F300" i="75"/>
  <c r="D300" i="75"/>
  <c r="B300" i="75"/>
  <c r="F299" i="75"/>
  <c r="D299" i="75"/>
  <c r="B299" i="75"/>
  <c r="F298" i="75"/>
  <c r="D298" i="75"/>
  <c r="B298" i="75"/>
  <c r="F297" i="75"/>
  <c r="D297" i="75"/>
  <c r="B297" i="75"/>
  <c r="F296" i="75"/>
  <c r="D296" i="75"/>
  <c r="B296" i="75"/>
  <c r="F295" i="75"/>
  <c r="D295" i="75"/>
  <c r="B295" i="75"/>
  <c r="F294" i="75"/>
  <c r="D294" i="75"/>
  <c r="B294" i="75"/>
  <c r="F293" i="75"/>
  <c r="D293" i="75"/>
  <c r="B293" i="75"/>
  <c r="F292" i="75"/>
  <c r="D292" i="75"/>
  <c r="B292" i="75"/>
  <c r="F291" i="75"/>
  <c r="D291" i="75"/>
  <c r="B291" i="75"/>
  <c r="F290" i="75"/>
  <c r="D290" i="75"/>
  <c r="B290" i="75"/>
  <c r="F289" i="75"/>
  <c r="D289" i="75"/>
  <c r="B289" i="75"/>
  <c r="F288" i="75"/>
  <c r="D288" i="75"/>
  <c r="B288" i="75"/>
  <c r="F287" i="75"/>
  <c r="D287" i="75"/>
  <c r="B287" i="75"/>
  <c r="F286" i="75"/>
  <c r="D286" i="75"/>
  <c r="B286" i="75"/>
  <c r="F285" i="75"/>
  <c r="D285" i="75"/>
  <c r="B285" i="75"/>
  <c r="F284" i="75"/>
  <c r="D284" i="75"/>
  <c r="B284" i="75"/>
  <c r="F283" i="75"/>
  <c r="D283" i="75"/>
  <c r="B283" i="75"/>
  <c r="F282" i="75"/>
  <c r="D282" i="75"/>
  <c r="B282" i="75"/>
  <c r="F281" i="75"/>
  <c r="D281" i="75"/>
  <c r="B281" i="75"/>
  <c r="F280" i="75"/>
  <c r="D280" i="75"/>
  <c r="B280" i="75"/>
  <c r="F279" i="75"/>
  <c r="D279" i="75"/>
  <c r="B279" i="75"/>
  <c r="F278" i="75"/>
  <c r="D278" i="75"/>
  <c r="B278" i="75"/>
  <c r="F277" i="75"/>
  <c r="D277" i="75"/>
  <c r="B277" i="75"/>
  <c r="F276" i="75"/>
  <c r="D276" i="75"/>
  <c r="B276" i="75"/>
  <c r="F275" i="75"/>
  <c r="D275" i="75"/>
  <c r="B275" i="75"/>
  <c r="F274" i="75"/>
  <c r="D274" i="75"/>
  <c r="B274" i="75"/>
  <c r="F273" i="75"/>
  <c r="D273" i="75"/>
  <c r="B273" i="75"/>
  <c r="F272" i="75"/>
  <c r="D272" i="75"/>
  <c r="B272" i="75"/>
  <c r="F271" i="75"/>
  <c r="D271" i="75"/>
  <c r="B271" i="75"/>
  <c r="F270" i="75"/>
  <c r="D270" i="75"/>
  <c r="B270" i="75"/>
  <c r="F269" i="75"/>
  <c r="D269" i="75"/>
  <c r="B269" i="75"/>
  <c r="F268" i="75"/>
  <c r="D268" i="75"/>
  <c r="B268" i="75"/>
  <c r="F267" i="75"/>
  <c r="D267" i="75"/>
  <c r="B267" i="75"/>
  <c r="F266" i="75"/>
  <c r="D266" i="75"/>
  <c r="B266" i="75"/>
  <c r="F265" i="75"/>
  <c r="D265" i="75"/>
  <c r="B265" i="75"/>
  <c r="F264" i="75"/>
  <c r="D264" i="75"/>
  <c r="B264" i="75"/>
  <c r="F261" i="75"/>
  <c r="D261" i="75"/>
  <c r="B261" i="75"/>
  <c r="F260" i="75"/>
  <c r="D260" i="75"/>
  <c r="B260" i="75"/>
  <c r="F259" i="75"/>
  <c r="D259" i="75"/>
  <c r="B259" i="75"/>
  <c r="F258" i="75"/>
  <c r="D258" i="75"/>
  <c r="B258" i="75"/>
  <c r="F257" i="75"/>
  <c r="D257" i="75"/>
  <c r="B257" i="75"/>
  <c r="F256" i="75"/>
  <c r="D256" i="75"/>
  <c r="B256" i="75"/>
  <c r="F255" i="75"/>
  <c r="D255" i="75"/>
  <c r="B255" i="75"/>
  <c r="F254" i="75"/>
  <c r="D254" i="75"/>
  <c r="B254" i="75"/>
  <c r="F253" i="75"/>
  <c r="D253" i="75"/>
  <c r="B253" i="75"/>
  <c r="F252" i="75"/>
  <c r="D252" i="75"/>
  <c r="B252" i="75"/>
  <c r="F251" i="75"/>
  <c r="D251" i="75"/>
  <c r="B251" i="75"/>
  <c r="F250" i="75"/>
  <c r="D250" i="75"/>
  <c r="B250" i="75"/>
  <c r="F249" i="75"/>
  <c r="D249" i="75"/>
  <c r="B249" i="75"/>
  <c r="F248" i="75"/>
  <c r="D248" i="75"/>
  <c r="B248" i="75"/>
  <c r="F247" i="75"/>
  <c r="D247" i="75"/>
  <c r="B247" i="75"/>
  <c r="F246" i="75"/>
  <c r="D246" i="75"/>
  <c r="B246" i="75"/>
  <c r="F245" i="75"/>
  <c r="D245" i="75"/>
  <c r="B245" i="75"/>
  <c r="F244" i="75"/>
  <c r="D244" i="75"/>
  <c r="B244" i="75"/>
  <c r="F243" i="75"/>
  <c r="D243" i="75"/>
  <c r="B243" i="75"/>
  <c r="F242" i="75"/>
  <c r="D242" i="75"/>
  <c r="B242" i="75"/>
  <c r="F241" i="75"/>
  <c r="D241" i="75"/>
  <c r="B241" i="75"/>
  <c r="F240" i="75"/>
  <c r="D240" i="75"/>
  <c r="B240" i="75"/>
  <c r="F239" i="75"/>
  <c r="D239" i="75"/>
  <c r="B239" i="75"/>
  <c r="F238" i="75"/>
  <c r="D238" i="75"/>
  <c r="B238" i="75"/>
  <c r="F237" i="75"/>
  <c r="D237" i="75"/>
  <c r="B237" i="75"/>
  <c r="F236" i="75"/>
  <c r="D236" i="75"/>
  <c r="B236" i="75"/>
  <c r="F235" i="75"/>
  <c r="D235" i="75"/>
  <c r="B235" i="75"/>
  <c r="F234" i="75"/>
  <c r="D234" i="75"/>
  <c r="B234" i="75"/>
  <c r="F233" i="75"/>
  <c r="D233" i="75"/>
  <c r="B233" i="75"/>
  <c r="F232" i="75"/>
  <c r="D232" i="75"/>
  <c r="B232" i="75"/>
  <c r="F231" i="75"/>
  <c r="D231" i="75"/>
  <c r="B231" i="75"/>
  <c r="F230" i="75"/>
  <c r="D230" i="75"/>
  <c r="B230" i="75"/>
  <c r="F229" i="75"/>
  <c r="D229" i="75"/>
  <c r="B229" i="75"/>
  <c r="F228" i="75"/>
  <c r="D228" i="75"/>
  <c r="B228" i="75"/>
  <c r="F227" i="75"/>
  <c r="D227" i="75"/>
  <c r="B227" i="75"/>
  <c r="F226" i="75"/>
  <c r="D226" i="75"/>
  <c r="B226" i="75"/>
  <c r="F225" i="75"/>
  <c r="D225" i="75"/>
  <c r="B225" i="75"/>
  <c r="F224" i="75"/>
  <c r="D224" i="75"/>
  <c r="B224" i="75"/>
  <c r="F223" i="75"/>
  <c r="D223" i="75"/>
  <c r="B223" i="75"/>
  <c r="F222" i="75"/>
  <c r="D222" i="75"/>
  <c r="B222" i="75"/>
  <c r="F221" i="75"/>
  <c r="D221" i="75"/>
  <c r="B221" i="75"/>
  <c r="F220" i="75"/>
  <c r="D220" i="75"/>
  <c r="B220" i="75"/>
  <c r="F219" i="75"/>
  <c r="D219" i="75"/>
  <c r="B219" i="75"/>
  <c r="F218" i="75"/>
  <c r="D218" i="75"/>
  <c r="B218" i="75"/>
  <c r="F217" i="75"/>
  <c r="D217" i="75"/>
  <c r="B217" i="75"/>
  <c r="F216" i="75"/>
  <c r="D216" i="75"/>
  <c r="B216" i="75"/>
  <c r="F215" i="75"/>
  <c r="D215" i="75"/>
  <c r="B215" i="75"/>
  <c r="F214" i="75"/>
  <c r="D214" i="75"/>
  <c r="B214" i="75"/>
  <c r="F213" i="75"/>
  <c r="D213" i="75"/>
  <c r="B213" i="75"/>
  <c r="F211" i="75"/>
  <c r="D211" i="75"/>
  <c r="B211" i="75"/>
  <c r="F210" i="75"/>
  <c r="D210" i="75"/>
  <c r="B210" i="75"/>
  <c r="F209" i="75"/>
  <c r="D209" i="75"/>
  <c r="B209" i="75"/>
  <c r="F208" i="75"/>
  <c r="D208" i="75"/>
  <c r="B208" i="75"/>
  <c r="F207" i="75"/>
  <c r="D207" i="75"/>
  <c r="B207" i="75"/>
  <c r="F206" i="75"/>
  <c r="D206" i="75"/>
  <c r="B206" i="75"/>
  <c r="F205" i="75"/>
  <c r="D205" i="75"/>
  <c r="B205" i="75"/>
  <c r="F204" i="75"/>
  <c r="D204" i="75"/>
  <c r="B204" i="75"/>
  <c r="F203" i="75"/>
  <c r="D203" i="75"/>
  <c r="B203" i="75"/>
  <c r="F202" i="75"/>
  <c r="D202" i="75"/>
  <c r="B202" i="75"/>
  <c r="F201" i="75"/>
  <c r="D201" i="75"/>
  <c r="B201" i="75"/>
  <c r="F200" i="75"/>
  <c r="D200" i="75"/>
  <c r="B200" i="75"/>
  <c r="F199" i="75"/>
  <c r="D199" i="75"/>
  <c r="B199" i="75"/>
  <c r="F198" i="75"/>
  <c r="D198" i="75"/>
  <c r="B198" i="75"/>
  <c r="F197" i="75"/>
  <c r="D197" i="75"/>
  <c r="B197" i="75"/>
  <c r="F196" i="75"/>
  <c r="D196" i="75"/>
  <c r="B196" i="75"/>
  <c r="F195" i="75"/>
  <c r="D195" i="75"/>
  <c r="B195" i="75"/>
  <c r="F194" i="75"/>
  <c r="D194" i="75"/>
  <c r="B194" i="75"/>
  <c r="F193" i="75"/>
  <c r="D193" i="75"/>
  <c r="B193" i="75"/>
  <c r="F192" i="75"/>
  <c r="D192" i="75"/>
  <c r="B192" i="75"/>
  <c r="F191" i="75"/>
  <c r="D191" i="75"/>
  <c r="B191" i="75"/>
  <c r="F190" i="75"/>
  <c r="D190" i="75"/>
  <c r="B190" i="75"/>
  <c r="F189" i="75"/>
  <c r="D189" i="75"/>
  <c r="B189" i="75"/>
  <c r="F188" i="75"/>
  <c r="D188" i="75"/>
  <c r="B188" i="75"/>
  <c r="F187" i="75"/>
  <c r="D187" i="75"/>
  <c r="B187" i="75"/>
  <c r="F186" i="75"/>
  <c r="D186" i="75"/>
  <c r="B186" i="75"/>
  <c r="F185" i="75"/>
  <c r="D185" i="75"/>
  <c r="B185" i="75"/>
  <c r="F184" i="75"/>
  <c r="D184" i="75"/>
  <c r="B184" i="75"/>
  <c r="F183" i="75"/>
  <c r="D183" i="75"/>
  <c r="B183" i="75"/>
  <c r="F182" i="75"/>
  <c r="D182" i="75"/>
  <c r="B182" i="75"/>
  <c r="F181" i="75"/>
  <c r="D181" i="75"/>
  <c r="B181" i="75"/>
  <c r="F180" i="75"/>
  <c r="D180" i="75"/>
  <c r="B180" i="75"/>
  <c r="F179" i="75"/>
  <c r="D179" i="75"/>
  <c r="B179" i="75"/>
  <c r="F178" i="75"/>
  <c r="D178" i="75"/>
  <c r="B178" i="75"/>
  <c r="F177" i="75"/>
  <c r="D177" i="75"/>
  <c r="B177" i="75"/>
  <c r="F176" i="75"/>
  <c r="D176" i="75"/>
  <c r="B176" i="75"/>
  <c r="F175" i="75"/>
  <c r="D175" i="75"/>
  <c r="B175" i="75"/>
  <c r="F174" i="75"/>
  <c r="D174" i="75"/>
  <c r="B174" i="75"/>
  <c r="F173" i="75"/>
  <c r="D173" i="75"/>
  <c r="B173" i="75"/>
  <c r="F172" i="75"/>
  <c r="D172" i="75"/>
  <c r="B172" i="75"/>
  <c r="F171" i="75"/>
  <c r="D171" i="75"/>
  <c r="B171" i="75"/>
  <c r="F170" i="75"/>
  <c r="D170" i="75"/>
  <c r="B170" i="75"/>
  <c r="F169" i="75"/>
  <c r="D169" i="75"/>
  <c r="B169" i="75"/>
  <c r="F168" i="75"/>
  <c r="D168" i="75"/>
  <c r="B168" i="75"/>
  <c r="F167" i="75"/>
  <c r="D167" i="75"/>
  <c r="B167" i="75"/>
  <c r="F166" i="75"/>
  <c r="D166" i="75"/>
  <c r="B166" i="75"/>
  <c r="F165" i="75"/>
  <c r="D165" i="75"/>
  <c r="B165" i="75"/>
  <c r="F164" i="75"/>
  <c r="D164" i="75"/>
  <c r="B164" i="75"/>
  <c r="F163" i="75"/>
  <c r="D163" i="75"/>
  <c r="B163" i="75"/>
  <c r="F160" i="75"/>
  <c r="D160" i="75"/>
  <c r="B160" i="75"/>
  <c r="F159" i="75"/>
  <c r="D159" i="75"/>
  <c r="B159" i="75"/>
  <c r="F158" i="75"/>
  <c r="D158" i="75"/>
  <c r="B158" i="75"/>
  <c r="F157" i="75"/>
  <c r="D157" i="75"/>
  <c r="B157" i="75"/>
  <c r="F156" i="75"/>
  <c r="D156" i="75"/>
  <c r="B156" i="75"/>
  <c r="F155" i="75"/>
  <c r="D155" i="75"/>
  <c r="B155" i="75"/>
  <c r="F154" i="75"/>
  <c r="D154" i="75"/>
  <c r="B154" i="75"/>
  <c r="F153" i="75"/>
  <c r="D153" i="75"/>
  <c r="B153" i="75"/>
  <c r="F152" i="75"/>
  <c r="D152" i="75"/>
  <c r="B152" i="75"/>
  <c r="F151" i="75"/>
  <c r="D151" i="75"/>
  <c r="B151" i="75"/>
  <c r="F150" i="75"/>
  <c r="D150" i="75"/>
  <c r="B150" i="75"/>
  <c r="F149" i="75"/>
  <c r="D149" i="75"/>
  <c r="B149" i="75"/>
  <c r="F148" i="75"/>
  <c r="D148" i="75"/>
  <c r="B148" i="75"/>
  <c r="F147" i="75"/>
  <c r="D147" i="75"/>
  <c r="B147" i="75"/>
  <c r="F146" i="75"/>
  <c r="D146" i="75"/>
  <c r="B146" i="75"/>
  <c r="F145" i="75"/>
  <c r="D145" i="75"/>
  <c r="B145" i="75"/>
  <c r="F144" i="75"/>
  <c r="D144" i="75"/>
  <c r="B144" i="75"/>
  <c r="F143" i="75"/>
  <c r="D143" i="75"/>
  <c r="B143" i="75"/>
  <c r="F142" i="75"/>
  <c r="D142" i="75"/>
  <c r="B142" i="75"/>
  <c r="F141" i="75"/>
  <c r="D141" i="75"/>
  <c r="B141" i="75"/>
  <c r="F140" i="75"/>
  <c r="D140" i="75"/>
  <c r="B140" i="75"/>
  <c r="F139" i="75"/>
  <c r="D139" i="75"/>
  <c r="B139" i="75"/>
  <c r="F138" i="75"/>
  <c r="D138" i="75"/>
  <c r="B138" i="75"/>
  <c r="F137" i="75"/>
  <c r="D137" i="75"/>
  <c r="B137" i="75"/>
  <c r="F136" i="75"/>
  <c r="D136" i="75"/>
  <c r="B136" i="75"/>
  <c r="F135" i="75"/>
  <c r="D135" i="75"/>
  <c r="B135" i="75"/>
  <c r="F134" i="75"/>
  <c r="D134" i="75"/>
  <c r="B134" i="75"/>
  <c r="F133" i="75"/>
  <c r="D133" i="75"/>
  <c r="B133" i="75"/>
  <c r="F132" i="75"/>
  <c r="D132" i="75"/>
  <c r="B132" i="75"/>
  <c r="F131" i="75"/>
  <c r="D131" i="75"/>
  <c r="B131" i="75"/>
  <c r="F130" i="75"/>
  <c r="D130" i="75"/>
  <c r="B130" i="75"/>
  <c r="F129" i="75"/>
  <c r="D129" i="75"/>
  <c r="B129" i="75"/>
  <c r="F128" i="75"/>
  <c r="D128" i="75"/>
  <c r="B128" i="75"/>
  <c r="F127" i="75"/>
  <c r="D127" i="75"/>
  <c r="B127" i="75"/>
  <c r="F126" i="75"/>
  <c r="D126" i="75"/>
  <c r="B126" i="75"/>
  <c r="F125" i="75"/>
  <c r="D125" i="75"/>
  <c r="B125" i="75"/>
  <c r="F124" i="75"/>
  <c r="D124" i="75"/>
  <c r="B124" i="75"/>
  <c r="F123" i="75"/>
  <c r="D123" i="75"/>
  <c r="B123" i="75"/>
  <c r="F122" i="75"/>
  <c r="D122" i="75"/>
  <c r="B122" i="75"/>
  <c r="F121" i="75"/>
  <c r="D121" i="75"/>
  <c r="B121" i="75"/>
  <c r="F120" i="75"/>
  <c r="D120" i="75"/>
  <c r="B120" i="75"/>
  <c r="F119" i="75"/>
  <c r="D119" i="75"/>
  <c r="B119" i="75"/>
  <c r="F118" i="75"/>
  <c r="D118" i="75"/>
  <c r="B118" i="75"/>
  <c r="F117" i="75"/>
  <c r="D117" i="75"/>
  <c r="B117" i="75"/>
  <c r="F116" i="75"/>
  <c r="D116" i="75"/>
  <c r="B116" i="75"/>
  <c r="F115" i="75"/>
  <c r="D115" i="75"/>
  <c r="B115" i="75"/>
  <c r="F114" i="75"/>
  <c r="D114" i="75"/>
  <c r="B114" i="75"/>
  <c r="F113" i="75"/>
  <c r="D113" i="75"/>
  <c r="B113" i="75"/>
  <c r="F112" i="75"/>
  <c r="D112" i="75"/>
  <c r="B112" i="75"/>
  <c r="F109" i="75"/>
  <c r="D109" i="75"/>
  <c r="B109" i="75"/>
  <c r="F108" i="75"/>
  <c r="D108" i="75"/>
  <c r="B108" i="75"/>
  <c r="F107" i="75"/>
  <c r="D107" i="75"/>
  <c r="B107" i="75"/>
  <c r="F106" i="75"/>
  <c r="D106" i="75"/>
  <c r="B106" i="75"/>
  <c r="F105" i="75"/>
  <c r="D105" i="75"/>
  <c r="B105" i="75"/>
  <c r="F104" i="75"/>
  <c r="D104" i="75"/>
  <c r="B104" i="75"/>
  <c r="F103" i="75"/>
  <c r="D103" i="75"/>
  <c r="B103" i="75"/>
  <c r="F102" i="75"/>
  <c r="D102" i="75"/>
  <c r="B102" i="75"/>
  <c r="F101" i="75"/>
  <c r="D101" i="75"/>
  <c r="B101" i="75"/>
  <c r="F100" i="75"/>
  <c r="D100" i="75"/>
  <c r="B100" i="75"/>
  <c r="F99" i="75"/>
  <c r="D99" i="75"/>
  <c r="B99" i="75"/>
  <c r="F98" i="75"/>
  <c r="D98" i="75"/>
  <c r="B98" i="75"/>
  <c r="F97" i="75"/>
  <c r="D97" i="75"/>
  <c r="B97" i="75"/>
  <c r="F96" i="75"/>
  <c r="D96" i="75"/>
  <c r="B96" i="75"/>
  <c r="F95" i="75"/>
  <c r="D95" i="75"/>
  <c r="B95" i="75"/>
  <c r="F94" i="75"/>
  <c r="D94" i="75"/>
  <c r="B94" i="75"/>
  <c r="F93" i="75"/>
  <c r="D93" i="75"/>
  <c r="B93" i="75"/>
  <c r="F92" i="75"/>
  <c r="D92" i="75"/>
  <c r="B92" i="75"/>
  <c r="F91" i="75"/>
  <c r="D91" i="75"/>
  <c r="B91" i="75"/>
  <c r="F90" i="75"/>
  <c r="D90" i="75"/>
  <c r="B90" i="75"/>
  <c r="F89" i="75"/>
  <c r="D89" i="75"/>
  <c r="B89" i="75"/>
  <c r="F88" i="75"/>
  <c r="D88" i="75"/>
  <c r="B88" i="75"/>
  <c r="F87" i="75"/>
  <c r="D87" i="75"/>
  <c r="B87" i="75"/>
  <c r="F86" i="75"/>
  <c r="D86" i="75"/>
  <c r="B86" i="75"/>
  <c r="F85" i="75"/>
  <c r="D85" i="75"/>
  <c r="B85" i="75"/>
  <c r="F84" i="75"/>
  <c r="D84" i="75"/>
  <c r="B84" i="75"/>
  <c r="F83" i="75"/>
  <c r="D83" i="75"/>
  <c r="B83" i="75"/>
  <c r="F82" i="75"/>
  <c r="D82" i="75"/>
  <c r="B82" i="75"/>
  <c r="F81" i="75"/>
  <c r="D81" i="75"/>
  <c r="B81" i="75"/>
  <c r="F80" i="75"/>
  <c r="D80" i="75"/>
  <c r="B80" i="75"/>
  <c r="F79" i="75"/>
  <c r="D79" i="75"/>
  <c r="B79" i="75"/>
  <c r="F78" i="75"/>
  <c r="D78" i="75"/>
  <c r="B78" i="75"/>
  <c r="F77" i="75"/>
  <c r="D77" i="75"/>
  <c r="B77" i="75"/>
  <c r="F76" i="75"/>
  <c r="D76" i="75"/>
  <c r="B76" i="75"/>
  <c r="F75" i="75"/>
  <c r="D75" i="75"/>
  <c r="B75" i="75"/>
  <c r="F74" i="75"/>
  <c r="D74" i="75"/>
  <c r="B74" i="75"/>
  <c r="F73" i="75"/>
  <c r="D73" i="75"/>
  <c r="B73" i="75"/>
  <c r="F72" i="75"/>
  <c r="D72" i="75"/>
  <c r="B72" i="75"/>
  <c r="F71" i="75"/>
  <c r="D71" i="75"/>
  <c r="B71" i="75"/>
  <c r="F70" i="75"/>
  <c r="D70" i="75"/>
  <c r="B70" i="75"/>
  <c r="F69" i="75"/>
  <c r="D69" i="75"/>
  <c r="B69" i="75"/>
  <c r="F68" i="75"/>
  <c r="D68" i="75"/>
  <c r="B68" i="75"/>
  <c r="F67" i="75"/>
  <c r="D67" i="75"/>
  <c r="B67" i="75"/>
  <c r="F66" i="75"/>
  <c r="D66" i="75"/>
  <c r="B66" i="75"/>
  <c r="F65" i="75"/>
  <c r="D65" i="75"/>
  <c r="B65" i="75"/>
  <c r="F64" i="75"/>
  <c r="D64" i="75"/>
  <c r="B64" i="75"/>
  <c r="F63" i="75"/>
  <c r="D63" i="75"/>
  <c r="B63" i="75"/>
  <c r="F62" i="75"/>
  <c r="D62" i="75"/>
  <c r="B62" i="75"/>
  <c r="F61" i="75"/>
  <c r="D61" i="75"/>
  <c r="B61" i="75"/>
  <c r="F58" i="75"/>
  <c r="D58" i="75"/>
  <c r="B58" i="75"/>
  <c r="F57" i="75"/>
  <c r="D57" i="75"/>
  <c r="B57" i="75"/>
  <c r="F56" i="75"/>
  <c r="D56" i="75"/>
  <c r="B56" i="75"/>
  <c r="F55" i="75"/>
  <c r="D55" i="75"/>
  <c r="B55" i="75"/>
  <c r="F54" i="75"/>
  <c r="D54" i="75"/>
  <c r="B54" i="75"/>
  <c r="F53" i="75"/>
  <c r="D53" i="75"/>
  <c r="B53" i="75"/>
  <c r="F52" i="75"/>
  <c r="D52" i="75"/>
  <c r="B52" i="75"/>
  <c r="F51" i="75"/>
  <c r="D51" i="75"/>
  <c r="B51" i="75"/>
  <c r="F50" i="75"/>
  <c r="D50" i="75"/>
  <c r="B50" i="75"/>
  <c r="F49" i="75"/>
  <c r="D49" i="75"/>
  <c r="B49" i="75"/>
  <c r="F48" i="75"/>
  <c r="D48" i="75"/>
  <c r="B48" i="75"/>
  <c r="F47" i="75"/>
  <c r="D47" i="75"/>
  <c r="B47" i="75"/>
  <c r="F46" i="75"/>
  <c r="D46" i="75"/>
  <c r="B46" i="75"/>
  <c r="F45" i="75"/>
  <c r="D45" i="75"/>
  <c r="B45" i="75"/>
  <c r="F44" i="75"/>
  <c r="D44" i="75"/>
  <c r="B44" i="75"/>
  <c r="F43" i="75"/>
  <c r="D43" i="75"/>
  <c r="B43" i="75"/>
  <c r="F42" i="75"/>
  <c r="D42" i="75"/>
  <c r="B42" i="75"/>
  <c r="F41" i="75"/>
  <c r="D41" i="75"/>
  <c r="B41" i="75"/>
  <c r="F40" i="75"/>
  <c r="D40" i="75"/>
  <c r="B40" i="75"/>
  <c r="F39" i="75"/>
  <c r="D39" i="75"/>
  <c r="B39" i="75"/>
  <c r="F38" i="75"/>
  <c r="D38" i="75"/>
  <c r="B38" i="75"/>
  <c r="F37" i="75"/>
  <c r="D37" i="75"/>
  <c r="B37" i="75"/>
  <c r="F36" i="75"/>
  <c r="D36" i="75"/>
  <c r="B36" i="75"/>
  <c r="F35" i="75"/>
  <c r="D35" i="75"/>
  <c r="B35" i="75"/>
  <c r="F34" i="75"/>
  <c r="D34" i="75"/>
  <c r="B34" i="75"/>
  <c r="F33" i="75"/>
  <c r="D33" i="75"/>
  <c r="B33" i="75"/>
  <c r="F32" i="75"/>
  <c r="D32" i="75"/>
  <c r="B32" i="75"/>
  <c r="F31" i="75"/>
  <c r="D31" i="75"/>
  <c r="B31" i="75"/>
  <c r="F30" i="75"/>
  <c r="D30" i="75"/>
  <c r="B30" i="75"/>
  <c r="F29" i="75"/>
  <c r="D29" i="75"/>
  <c r="B29" i="75"/>
  <c r="F28" i="75"/>
  <c r="D28" i="75"/>
  <c r="B28" i="75"/>
  <c r="F27" i="75"/>
  <c r="D27" i="75"/>
  <c r="B27" i="75"/>
  <c r="F26" i="75"/>
  <c r="D26" i="75"/>
  <c r="B26" i="75"/>
  <c r="F25" i="75"/>
  <c r="D25" i="75"/>
  <c r="B25" i="75"/>
  <c r="F24" i="75"/>
  <c r="D24" i="75"/>
  <c r="B24" i="75"/>
  <c r="F23" i="75"/>
  <c r="D23" i="75"/>
  <c r="B23" i="75"/>
  <c r="F22" i="75"/>
  <c r="D22" i="75"/>
  <c r="B22" i="75"/>
  <c r="F21" i="75"/>
  <c r="D21" i="75"/>
  <c r="B21" i="75"/>
  <c r="F20" i="75"/>
  <c r="D20" i="75"/>
  <c r="B20" i="75"/>
  <c r="F19" i="75"/>
  <c r="D19" i="75"/>
  <c r="B19" i="75"/>
  <c r="F18" i="75"/>
  <c r="D18" i="75"/>
  <c r="B18" i="75"/>
  <c r="F17" i="75"/>
  <c r="D17" i="75"/>
  <c r="B17" i="75"/>
  <c r="F16" i="75"/>
  <c r="D16" i="75"/>
  <c r="B16" i="75"/>
  <c r="F15" i="75"/>
  <c r="D15" i="75"/>
  <c r="B15" i="75"/>
  <c r="F14" i="75"/>
  <c r="D14" i="75"/>
  <c r="B14" i="75"/>
  <c r="F13" i="75"/>
  <c r="D13" i="75"/>
  <c r="B13" i="75"/>
  <c r="F12" i="75"/>
  <c r="D12" i="75"/>
  <c r="B12" i="75"/>
  <c r="F11" i="75"/>
  <c r="D11" i="75"/>
  <c r="B11" i="75"/>
  <c r="F10" i="75"/>
  <c r="D10" i="75"/>
  <c r="B10" i="75"/>
  <c r="F413" i="45"/>
  <c r="D413" i="45"/>
  <c r="B413" i="45"/>
  <c r="F412" i="45"/>
  <c r="D412" i="45"/>
  <c r="B412" i="45"/>
  <c r="F411" i="45"/>
  <c r="D411" i="45"/>
  <c r="B411" i="45"/>
  <c r="F410" i="45"/>
  <c r="D410" i="45"/>
  <c r="B410" i="45"/>
  <c r="F409" i="45"/>
  <c r="D409" i="45"/>
  <c r="B409" i="45"/>
  <c r="F408" i="45"/>
  <c r="D408" i="45"/>
  <c r="B408" i="45"/>
  <c r="F407" i="45"/>
  <c r="D407" i="45"/>
  <c r="B407" i="45"/>
  <c r="F406" i="45"/>
  <c r="D406" i="45"/>
  <c r="B406" i="45"/>
  <c r="F405" i="45"/>
  <c r="D405" i="45"/>
  <c r="B405" i="45"/>
  <c r="F404" i="45"/>
  <c r="D404" i="45"/>
  <c r="B404" i="45"/>
  <c r="F403" i="45"/>
  <c r="D403" i="45"/>
  <c r="B403" i="45"/>
  <c r="F402" i="45"/>
  <c r="D402" i="45"/>
  <c r="B402" i="45"/>
  <c r="F401" i="45"/>
  <c r="D401" i="45"/>
  <c r="B401" i="45"/>
  <c r="F400" i="45"/>
  <c r="D400" i="45"/>
  <c r="B400" i="45"/>
  <c r="F399" i="45"/>
  <c r="D399" i="45"/>
  <c r="B399" i="45"/>
  <c r="F398" i="45"/>
  <c r="D398" i="45"/>
  <c r="B398" i="45"/>
  <c r="F397" i="45"/>
  <c r="D397" i="45"/>
  <c r="B397" i="45"/>
  <c r="F396" i="45"/>
  <c r="D396" i="45"/>
  <c r="B396" i="45"/>
  <c r="F395" i="45"/>
  <c r="D395" i="45"/>
  <c r="B395" i="45"/>
  <c r="F394" i="45"/>
  <c r="D394" i="45"/>
  <c r="B394" i="45"/>
  <c r="F393" i="45"/>
  <c r="D393" i="45"/>
  <c r="B393" i="45"/>
  <c r="F392" i="45"/>
  <c r="D392" i="45"/>
  <c r="B392" i="45"/>
  <c r="F391" i="45"/>
  <c r="D391" i="45"/>
  <c r="B391" i="45"/>
  <c r="F390" i="45"/>
  <c r="D390" i="45"/>
  <c r="B390" i="45"/>
  <c r="F389" i="45"/>
  <c r="D389" i="45"/>
  <c r="B389" i="45"/>
  <c r="F388" i="45"/>
  <c r="D388" i="45"/>
  <c r="B388" i="45"/>
  <c r="F387" i="45"/>
  <c r="D387" i="45"/>
  <c r="B387" i="45"/>
  <c r="F386" i="45"/>
  <c r="D386" i="45"/>
  <c r="B386" i="45"/>
  <c r="F385" i="45"/>
  <c r="D385" i="45"/>
  <c r="B385" i="45"/>
  <c r="F384" i="45"/>
  <c r="D384" i="45"/>
  <c r="B384" i="45"/>
  <c r="F383" i="45"/>
  <c r="D383" i="45"/>
  <c r="B383" i="45"/>
  <c r="F382" i="45"/>
  <c r="D382" i="45"/>
  <c r="B382" i="45"/>
  <c r="F381" i="45"/>
  <c r="D381" i="45"/>
  <c r="B381" i="45"/>
  <c r="F380" i="45"/>
  <c r="D380" i="45"/>
  <c r="B380" i="45"/>
  <c r="F379" i="45"/>
  <c r="D379" i="45"/>
  <c r="B379" i="45"/>
  <c r="F378" i="45"/>
  <c r="D378" i="45"/>
  <c r="B378" i="45"/>
  <c r="F377" i="45"/>
  <c r="D377" i="45"/>
  <c r="B377" i="45"/>
  <c r="F376" i="45"/>
  <c r="D376" i="45"/>
  <c r="B376" i="45"/>
  <c r="F375" i="45"/>
  <c r="D375" i="45"/>
  <c r="B375" i="45"/>
  <c r="F374" i="45"/>
  <c r="D374" i="45"/>
  <c r="B374" i="45"/>
  <c r="F373" i="45"/>
  <c r="D373" i="45"/>
  <c r="B373" i="45"/>
  <c r="F372" i="45"/>
  <c r="D372" i="45"/>
  <c r="B372" i="45"/>
  <c r="F371" i="45"/>
  <c r="D371" i="45"/>
  <c r="B371" i="45"/>
  <c r="F370" i="45"/>
  <c r="D370" i="45"/>
  <c r="B370" i="45"/>
  <c r="F369" i="45"/>
  <c r="D369" i="45"/>
  <c r="B369" i="45"/>
  <c r="F368" i="45"/>
  <c r="D368" i="45"/>
  <c r="B368" i="45"/>
  <c r="F367" i="45"/>
  <c r="D367" i="45"/>
  <c r="B367" i="45"/>
  <c r="F366" i="45"/>
  <c r="D366" i="45"/>
  <c r="B366" i="45"/>
  <c r="F365" i="45"/>
  <c r="D365" i="45"/>
  <c r="B365" i="45"/>
  <c r="F363" i="45"/>
  <c r="D363" i="45"/>
  <c r="B363" i="45"/>
  <c r="F362" i="45"/>
  <c r="D362" i="45"/>
  <c r="B362" i="45"/>
  <c r="F361" i="45"/>
  <c r="D361" i="45"/>
  <c r="B361" i="45"/>
  <c r="F360" i="45"/>
  <c r="D360" i="45"/>
  <c r="B360" i="45"/>
  <c r="F359" i="45"/>
  <c r="D359" i="45"/>
  <c r="B359" i="45"/>
  <c r="F358" i="45"/>
  <c r="D358" i="45"/>
  <c r="B358" i="45"/>
  <c r="F357" i="45"/>
  <c r="D357" i="45"/>
  <c r="B357" i="45"/>
  <c r="F356" i="45"/>
  <c r="D356" i="45"/>
  <c r="B356" i="45"/>
  <c r="F355" i="45"/>
  <c r="D355" i="45"/>
  <c r="B355" i="45"/>
  <c r="F354" i="45"/>
  <c r="D354" i="45"/>
  <c r="B354" i="45"/>
  <c r="F353" i="45"/>
  <c r="D353" i="45"/>
  <c r="B353" i="45"/>
  <c r="F352" i="45"/>
  <c r="D352" i="45"/>
  <c r="B352" i="45"/>
  <c r="F351" i="45"/>
  <c r="D351" i="45"/>
  <c r="B351" i="45"/>
  <c r="F350" i="45"/>
  <c r="D350" i="45"/>
  <c r="B350" i="45"/>
  <c r="F349" i="45"/>
  <c r="D349" i="45"/>
  <c r="B349" i="45"/>
  <c r="F348" i="45"/>
  <c r="D348" i="45"/>
  <c r="B348" i="45"/>
  <c r="F347" i="45"/>
  <c r="D347" i="45"/>
  <c r="B347" i="45"/>
  <c r="F346" i="45"/>
  <c r="D346" i="45"/>
  <c r="B346" i="45"/>
  <c r="F345" i="45"/>
  <c r="D345" i="45"/>
  <c r="B345" i="45"/>
  <c r="F344" i="45"/>
  <c r="D344" i="45"/>
  <c r="B344" i="45"/>
  <c r="F343" i="45"/>
  <c r="D343" i="45"/>
  <c r="B343" i="45"/>
  <c r="F342" i="45"/>
  <c r="D342" i="45"/>
  <c r="B342" i="45"/>
  <c r="F341" i="45"/>
  <c r="D341" i="45"/>
  <c r="B341" i="45"/>
  <c r="F340" i="45"/>
  <c r="D340" i="45"/>
  <c r="B340" i="45"/>
  <c r="F339" i="45"/>
  <c r="D339" i="45"/>
  <c r="B339" i="45"/>
  <c r="F338" i="45"/>
  <c r="D338" i="45"/>
  <c r="B338" i="45"/>
  <c r="F337" i="45"/>
  <c r="D337" i="45"/>
  <c r="B337" i="45"/>
  <c r="F336" i="45"/>
  <c r="D336" i="45"/>
  <c r="B336" i="45"/>
  <c r="F335" i="45"/>
  <c r="D335" i="45"/>
  <c r="B335" i="45"/>
  <c r="F334" i="45"/>
  <c r="D334" i="45"/>
  <c r="B334" i="45"/>
  <c r="F333" i="45"/>
  <c r="D333" i="45"/>
  <c r="B333" i="45"/>
  <c r="F332" i="45"/>
  <c r="D332" i="45"/>
  <c r="B332" i="45"/>
  <c r="F331" i="45"/>
  <c r="D331" i="45"/>
  <c r="B331" i="45"/>
  <c r="F330" i="45"/>
  <c r="D330" i="45"/>
  <c r="B330" i="45"/>
  <c r="F329" i="45"/>
  <c r="D329" i="45"/>
  <c r="B329" i="45"/>
  <c r="F328" i="45"/>
  <c r="D328" i="45"/>
  <c r="B328" i="45"/>
  <c r="F327" i="45"/>
  <c r="D327" i="45"/>
  <c r="B327" i="45"/>
  <c r="F326" i="45"/>
  <c r="D326" i="45"/>
  <c r="B326" i="45"/>
  <c r="F325" i="45"/>
  <c r="D325" i="45"/>
  <c r="B325" i="45"/>
  <c r="F324" i="45"/>
  <c r="D324" i="45"/>
  <c r="B324" i="45"/>
  <c r="F323" i="45"/>
  <c r="D323" i="45"/>
  <c r="B323" i="45"/>
  <c r="F322" i="45"/>
  <c r="D322" i="45"/>
  <c r="B322" i="45"/>
  <c r="F321" i="45"/>
  <c r="D321" i="45"/>
  <c r="B321" i="45"/>
  <c r="F320" i="45"/>
  <c r="D320" i="45"/>
  <c r="B320" i="45"/>
  <c r="F319" i="45"/>
  <c r="D319" i="45"/>
  <c r="B319" i="45"/>
  <c r="F318" i="45"/>
  <c r="D318" i="45"/>
  <c r="B318" i="45"/>
  <c r="F317" i="45"/>
  <c r="D317" i="45"/>
  <c r="B317" i="45"/>
  <c r="F316" i="45"/>
  <c r="D316" i="45"/>
  <c r="B316" i="45"/>
  <c r="F315" i="45"/>
  <c r="D315" i="45"/>
  <c r="B315" i="45"/>
  <c r="F312" i="45"/>
  <c r="D312" i="45"/>
  <c r="B312" i="45"/>
  <c r="F311" i="45"/>
  <c r="D311" i="45"/>
  <c r="B311" i="45"/>
  <c r="F310" i="45"/>
  <c r="D310" i="45"/>
  <c r="B310" i="45"/>
  <c r="F309" i="45"/>
  <c r="D309" i="45"/>
  <c r="B309" i="45"/>
  <c r="F308" i="45"/>
  <c r="D308" i="45"/>
  <c r="B308" i="45"/>
  <c r="F307" i="45"/>
  <c r="D307" i="45"/>
  <c r="B307" i="45"/>
  <c r="F306" i="45"/>
  <c r="D306" i="45"/>
  <c r="B306" i="45"/>
  <c r="F305" i="45"/>
  <c r="D305" i="45"/>
  <c r="B305" i="45"/>
  <c r="F304" i="45"/>
  <c r="D304" i="45"/>
  <c r="B304" i="45"/>
  <c r="F303" i="45"/>
  <c r="D303" i="45"/>
  <c r="B303" i="45"/>
  <c r="F302" i="45"/>
  <c r="D302" i="45"/>
  <c r="B302" i="45"/>
  <c r="F301" i="45"/>
  <c r="D301" i="45"/>
  <c r="B301" i="45"/>
  <c r="F300" i="45"/>
  <c r="D300" i="45"/>
  <c r="B300" i="45"/>
  <c r="F299" i="45"/>
  <c r="D299" i="45"/>
  <c r="B299" i="45"/>
  <c r="F298" i="45"/>
  <c r="D298" i="45"/>
  <c r="B298" i="45"/>
  <c r="F297" i="45"/>
  <c r="D297" i="45"/>
  <c r="B297" i="45"/>
  <c r="F296" i="45"/>
  <c r="D296" i="45"/>
  <c r="B296" i="45"/>
  <c r="F295" i="45"/>
  <c r="D295" i="45"/>
  <c r="B295" i="45"/>
  <c r="F294" i="45"/>
  <c r="D294" i="45"/>
  <c r="B294" i="45"/>
  <c r="F293" i="45"/>
  <c r="D293" i="45"/>
  <c r="B293" i="45"/>
  <c r="F292" i="45"/>
  <c r="D292" i="45"/>
  <c r="B292" i="45"/>
  <c r="F291" i="45"/>
  <c r="D291" i="45"/>
  <c r="B291" i="45"/>
  <c r="F290" i="45"/>
  <c r="D290" i="45"/>
  <c r="B290" i="45"/>
  <c r="F289" i="45"/>
  <c r="D289" i="45"/>
  <c r="B289" i="45"/>
  <c r="F288" i="45"/>
  <c r="D288" i="45"/>
  <c r="B288" i="45"/>
  <c r="F287" i="45"/>
  <c r="D287" i="45"/>
  <c r="B287" i="45"/>
  <c r="F286" i="45"/>
  <c r="D286" i="45"/>
  <c r="B286" i="45"/>
  <c r="F285" i="45"/>
  <c r="D285" i="45"/>
  <c r="B285" i="45"/>
  <c r="F284" i="45"/>
  <c r="D284" i="45"/>
  <c r="B284" i="45"/>
  <c r="F283" i="45"/>
  <c r="D283" i="45"/>
  <c r="B283" i="45"/>
  <c r="F282" i="45"/>
  <c r="D282" i="45"/>
  <c r="B282" i="45"/>
  <c r="F281" i="45"/>
  <c r="D281" i="45"/>
  <c r="B281" i="45"/>
  <c r="F280" i="45"/>
  <c r="D280" i="45"/>
  <c r="B280" i="45"/>
  <c r="F279" i="45"/>
  <c r="D279" i="45"/>
  <c r="B279" i="45"/>
  <c r="F278" i="45"/>
  <c r="D278" i="45"/>
  <c r="B278" i="45"/>
  <c r="F277" i="45"/>
  <c r="D277" i="45"/>
  <c r="B277" i="45"/>
  <c r="F276" i="45"/>
  <c r="D276" i="45"/>
  <c r="B276" i="45"/>
  <c r="F275" i="45"/>
  <c r="D275" i="45"/>
  <c r="B275" i="45"/>
  <c r="F274" i="45"/>
  <c r="D274" i="45"/>
  <c r="B274" i="45"/>
  <c r="F273" i="45"/>
  <c r="D273" i="45"/>
  <c r="B273" i="45"/>
  <c r="F272" i="45"/>
  <c r="D272" i="45"/>
  <c r="B272" i="45"/>
  <c r="F271" i="45"/>
  <c r="D271" i="45"/>
  <c r="B271" i="45"/>
  <c r="F270" i="45"/>
  <c r="D270" i="45"/>
  <c r="B270" i="45"/>
  <c r="F269" i="45"/>
  <c r="D269" i="45"/>
  <c r="B269" i="45"/>
  <c r="F268" i="45"/>
  <c r="D268" i="45"/>
  <c r="B268" i="45"/>
  <c r="F267" i="45"/>
  <c r="D267" i="45"/>
  <c r="B267" i="45"/>
  <c r="F266" i="45"/>
  <c r="D266" i="45"/>
  <c r="B266" i="45"/>
  <c r="F265" i="45"/>
  <c r="D265" i="45"/>
  <c r="B265" i="45"/>
  <c r="F264" i="45"/>
  <c r="D264" i="45"/>
  <c r="B264" i="45"/>
  <c r="F261" i="45"/>
  <c r="D261" i="45"/>
  <c r="B261" i="45"/>
  <c r="F260" i="45"/>
  <c r="D260" i="45"/>
  <c r="B260" i="45"/>
  <c r="F259" i="45"/>
  <c r="D259" i="45"/>
  <c r="B259" i="45"/>
  <c r="F258" i="45"/>
  <c r="D258" i="45"/>
  <c r="B258" i="45"/>
  <c r="F257" i="45"/>
  <c r="D257" i="45"/>
  <c r="B257" i="45"/>
  <c r="F256" i="45"/>
  <c r="D256" i="45"/>
  <c r="B256" i="45"/>
  <c r="F255" i="45"/>
  <c r="D255" i="45"/>
  <c r="B255" i="45"/>
  <c r="F254" i="45"/>
  <c r="D254" i="45"/>
  <c r="B254" i="45"/>
  <c r="F253" i="45"/>
  <c r="D253" i="45"/>
  <c r="B253" i="45"/>
  <c r="F252" i="45"/>
  <c r="D252" i="45"/>
  <c r="B252" i="45"/>
  <c r="F251" i="45"/>
  <c r="D251" i="45"/>
  <c r="B251" i="45"/>
  <c r="F250" i="45"/>
  <c r="D250" i="45"/>
  <c r="B250" i="45"/>
  <c r="F249" i="45"/>
  <c r="D249" i="45"/>
  <c r="B249" i="45"/>
  <c r="F248" i="45"/>
  <c r="D248" i="45"/>
  <c r="B248" i="45"/>
  <c r="F247" i="45"/>
  <c r="D247" i="45"/>
  <c r="B247" i="45"/>
  <c r="F246" i="45"/>
  <c r="D246" i="45"/>
  <c r="B246" i="45"/>
  <c r="F245" i="45"/>
  <c r="D245" i="45"/>
  <c r="B245" i="45"/>
  <c r="F244" i="45"/>
  <c r="D244" i="45"/>
  <c r="B244" i="45"/>
  <c r="F243" i="45"/>
  <c r="D243" i="45"/>
  <c r="B243" i="45"/>
  <c r="F242" i="45"/>
  <c r="D242" i="45"/>
  <c r="B242" i="45"/>
  <c r="F241" i="45"/>
  <c r="D241" i="45"/>
  <c r="B241" i="45"/>
  <c r="F240" i="45"/>
  <c r="D240" i="45"/>
  <c r="B240" i="45"/>
  <c r="F239" i="45"/>
  <c r="D239" i="45"/>
  <c r="B239" i="45"/>
  <c r="F238" i="45"/>
  <c r="D238" i="45"/>
  <c r="B238" i="45"/>
  <c r="F237" i="45"/>
  <c r="D237" i="45"/>
  <c r="B237" i="45"/>
  <c r="F236" i="45"/>
  <c r="D236" i="45"/>
  <c r="B236" i="45"/>
  <c r="F235" i="45"/>
  <c r="D235" i="45"/>
  <c r="B235" i="45"/>
  <c r="F234" i="45"/>
  <c r="D234" i="45"/>
  <c r="B234" i="45"/>
  <c r="F233" i="45"/>
  <c r="D233" i="45"/>
  <c r="B233" i="45"/>
  <c r="F232" i="45"/>
  <c r="D232" i="45"/>
  <c r="B232" i="45"/>
  <c r="F231" i="45"/>
  <c r="D231" i="45"/>
  <c r="B231" i="45"/>
  <c r="F230" i="45"/>
  <c r="D230" i="45"/>
  <c r="B230" i="45"/>
  <c r="F229" i="45"/>
  <c r="D229" i="45"/>
  <c r="B229" i="45"/>
  <c r="F228" i="45"/>
  <c r="D228" i="45"/>
  <c r="B228" i="45"/>
  <c r="F227" i="45"/>
  <c r="D227" i="45"/>
  <c r="B227" i="45"/>
  <c r="F226" i="45"/>
  <c r="D226" i="45"/>
  <c r="B226" i="45"/>
  <c r="F225" i="45"/>
  <c r="D225" i="45"/>
  <c r="B225" i="45"/>
  <c r="F224" i="45"/>
  <c r="D224" i="45"/>
  <c r="B224" i="45"/>
  <c r="F223" i="45"/>
  <c r="D223" i="45"/>
  <c r="B223" i="45"/>
  <c r="F222" i="45"/>
  <c r="D222" i="45"/>
  <c r="B222" i="45"/>
  <c r="F221" i="45"/>
  <c r="D221" i="45"/>
  <c r="B221" i="45"/>
  <c r="F220" i="45"/>
  <c r="D220" i="45"/>
  <c r="B220" i="45"/>
  <c r="F219" i="45"/>
  <c r="D219" i="45"/>
  <c r="B219" i="45"/>
  <c r="F218" i="45"/>
  <c r="D218" i="45"/>
  <c r="B218" i="45"/>
  <c r="F217" i="45"/>
  <c r="D217" i="45"/>
  <c r="B217" i="45"/>
  <c r="F216" i="45"/>
  <c r="D216" i="45"/>
  <c r="B216" i="45"/>
  <c r="F215" i="45"/>
  <c r="D215" i="45"/>
  <c r="B215" i="45"/>
  <c r="F214" i="45"/>
  <c r="D214" i="45"/>
  <c r="B214" i="45"/>
  <c r="F213" i="45"/>
  <c r="D213" i="45"/>
  <c r="B213" i="45"/>
  <c r="F211" i="45"/>
  <c r="D211" i="45"/>
  <c r="B211" i="45"/>
  <c r="F210" i="45"/>
  <c r="D210" i="45"/>
  <c r="B210" i="45"/>
  <c r="F209" i="45"/>
  <c r="D209" i="45"/>
  <c r="B209" i="45"/>
  <c r="F208" i="45"/>
  <c r="D208" i="45"/>
  <c r="B208" i="45"/>
  <c r="F207" i="45"/>
  <c r="D207" i="45"/>
  <c r="B207" i="45"/>
  <c r="F206" i="45"/>
  <c r="D206" i="45"/>
  <c r="B206" i="45"/>
  <c r="F205" i="45"/>
  <c r="D205" i="45"/>
  <c r="B205" i="45"/>
  <c r="F204" i="45"/>
  <c r="D204" i="45"/>
  <c r="B204" i="45"/>
  <c r="F203" i="45"/>
  <c r="D203" i="45"/>
  <c r="B203" i="45"/>
  <c r="F202" i="45"/>
  <c r="D202" i="45"/>
  <c r="B202" i="45"/>
  <c r="F201" i="45"/>
  <c r="D201" i="45"/>
  <c r="B201" i="45"/>
  <c r="F200" i="45"/>
  <c r="D200" i="45"/>
  <c r="B200" i="45"/>
  <c r="F199" i="45"/>
  <c r="D199" i="45"/>
  <c r="B199" i="45"/>
  <c r="F198" i="45"/>
  <c r="D198" i="45"/>
  <c r="B198" i="45"/>
  <c r="F197" i="45"/>
  <c r="D197" i="45"/>
  <c r="B197" i="45"/>
  <c r="F196" i="45"/>
  <c r="D196" i="45"/>
  <c r="B196" i="45"/>
  <c r="F195" i="45"/>
  <c r="D195" i="45"/>
  <c r="B195" i="45"/>
  <c r="F194" i="45"/>
  <c r="D194" i="45"/>
  <c r="B194" i="45"/>
  <c r="F193" i="45"/>
  <c r="D193" i="45"/>
  <c r="B193" i="45"/>
  <c r="F192" i="45"/>
  <c r="D192" i="45"/>
  <c r="B192" i="45"/>
  <c r="F191" i="45"/>
  <c r="D191" i="45"/>
  <c r="B191" i="45"/>
  <c r="F190" i="45"/>
  <c r="D190" i="45"/>
  <c r="B190" i="45"/>
  <c r="F189" i="45"/>
  <c r="D189" i="45"/>
  <c r="B189" i="45"/>
  <c r="F188" i="45"/>
  <c r="D188" i="45"/>
  <c r="B188" i="45"/>
  <c r="F187" i="45"/>
  <c r="D187" i="45"/>
  <c r="B187" i="45"/>
  <c r="F186" i="45"/>
  <c r="D186" i="45"/>
  <c r="B186" i="45"/>
  <c r="F185" i="45"/>
  <c r="D185" i="45"/>
  <c r="B185" i="45"/>
  <c r="F184" i="45"/>
  <c r="D184" i="45"/>
  <c r="B184" i="45"/>
  <c r="F183" i="45"/>
  <c r="D183" i="45"/>
  <c r="B183" i="45"/>
  <c r="F182" i="45"/>
  <c r="D182" i="45"/>
  <c r="B182" i="45"/>
  <c r="F181" i="45"/>
  <c r="D181" i="45"/>
  <c r="B181" i="45"/>
  <c r="F180" i="45"/>
  <c r="D180" i="45"/>
  <c r="B180" i="45"/>
  <c r="F179" i="45"/>
  <c r="D179" i="45"/>
  <c r="B179" i="45"/>
  <c r="F178" i="45"/>
  <c r="D178" i="45"/>
  <c r="B178" i="45"/>
  <c r="F177" i="45"/>
  <c r="D177" i="45"/>
  <c r="B177" i="45"/>
  <c r="F176" i="45"/>
  <c r="D176" i="45"/>
  <c r="B176" i="45"/>
  <c r="F175" i="45"/>
  <c r="D175" i="45"/>
  <c r="B175" i="45"/>
  <c r="F174" i="45"/>
  <c r="D174" i="45"/>
  <c r="B174" i="45"/>
  <c r="F173" i="45"/>
  <c r="D173" i="45"/>
  <c r="B173" i="45"/>
  <c r="F172" i="45"/>
  <c r="D172" i="45"/>
  <c r="B172" i="45"/>
  <c r="F171" i="45"/>
  <c r="D171" i="45"/>
  <c r="B171" i="45"/>
  <c r="F170" i="45"/>
  <c r="D170" i="45"/>
  <c r="B170" i="45"/>
  <c r="F169" i="45"/>
  <c r="D169" i="45"/>
  <c r="B169" i="45"/>
  <c r="F168" i="45"/>
  <c r="D168" i="45"/>
  <c r="B168" i="45"/>
  <c r="F167" i="45"/>
  <c r="D167" i="45"/>
  <c r="B167" i="45"/>
  <c r="F166" i="45"/>
  <c r="D166" i="45"/>
  <c r="B166" i="45"/>
  <c r="F165" i="45"/>
  <c r="D165" i="45"/>
  <c r="B165" i="45"/>
  <c r="F164" i="45"/>
  <c r="D164" i="45"/>
  <c r="B164" i="45"/>
  <c r="F163" i="45"/>
  <c r="D163" i="45"/>
  <c r="B163" i="45"/>
  <c r="F160" i="45"/>
  <c r="D160" i="45"/>
  <c r="B160" i="45"/>
  <c r="F159" i="45"/>
  <c r="D159" i="45"/>
  <c r="B159" i="45"/>
  <c r="F158" i="45"/>
  <c r="D158" i="45"/>
  <c r="B158" i="45"/>
  <c r="F157" i="45"/>
  <c r="D157" i="45"/>
  <c r="B157" i="45"/>
  <c r="F156" i="45"/>
  <c r="D156" i="45"/>
  <c r="B156" i="45"/>
  <c r="F155" i="45"/>
  <c r="D155" i="45"/>
  <c r="B155" i="45"/>
  <c r="F154" i="45"/>
  <c r="D154" i="45"/>
  <c r="B154" i="45"/>
  <c r="F153" i="45"/>
  <c r="D153" i="45"/>
  <c r="B153" i="45"/>
  <c r="F152" i="45"/>
  <c r="D152" i="45"/>
  <c r="B152" i="45"/>
  <c r="F151" i="45"/>
  <c r="D151" i="45"/>
  <c r="B151" i="45"/>
  <c r="F150" i="45"/>
  <c r="D150" i="45"/>
  <c r="B150" i="45"/>
  <c r="F149" i="45"/>
  <c r="D149" i="45"/>
  <c r="B149" i="45"/>
  <c r="F148" i="45"/>
  <c r="D148" i="45"/>
  <c r="B148" i="45"/>
  <c r="F147" i="45"/>
  <c r="D147" i="45"/>
  <c r="B147" i="45"/>
  <c r="F146" i="45"/>
  <c r="D146" i="45"/>
  <c r="B146" i="45"/>
  <c r="F145" i="45"/>
  <c r="D145" i="45"/>
  <c r="B145" i="45"/>
  <c r="F144" i="45"/>
  <c r="D144" i="45"/>
  <c r="B144" i="45"/>
  <c r="F143" i="45"/>
  <c r="D143" i="45"/>
  <c r="B143" i="45"/>
  <c r="F142" i="45"/>
  <c r="D142" i="45"/>
  <c r="B142" i="45"/>
  <c r="F141" i="45"/>
  <c r="D141" i="45"/>
  <c r="B141" i="45"/>
  <c r="F140" i="45"/>
  <c r="D140" i="45"/>
  <c r="B140" i="45"/>
  <c r="F139" i="45"/>
  <c r="D139" i="45"/>
  <c r="B139" i="45"/>
  <c r="F138" i="45"/>
  <c r="D138" i="45"/>
  <c r="B138" i="45"/>
  <c r="F137" i="45"/>
  <c r="D137" i="45"/>
  <c r="B137" i="45"/>
  <c r="F136" i="45"/>
  <c r="D136" i="45"/>
  <c r="B136" i="45"/>
  <c r="F135" i="45"/>
  <c r="D135" i="45"/>
  <c r="B135" i="45"/>
  <c r="F134" i="45"/>
  <c r="D134" i="45"/>
  <c r="B134" i="45"/>
  <c r="F133" i="45"/>
  <c r="D133" i="45"/>
  <c r="B133" i="45"/>
  <c r="F132" i="45"/>
  <c r="D132" i="45"/>
  <c r="B132" i="45"/>
  <c r="F131" i="45"/>
  <c r="D131" i="45"/>
  <c r="B131" i="45"/>
  <c r="F130" i="45"/>
  <c r="D130" i="45"/>
  <c r="B130" i="45"/>
  <c r="F129" i="45"/>
  <c r="D129" i="45"/>
  <c r="B129" i="45"/>
  <c r="F128" i="45"/>
  <c r="D128" i="45"/>
  <c r="B128" i="45"/>
  <c r="F127" i="45"/>
  <c r="D127" i="45"/>
  <c r="B127" i="45"/>
  <c r="F126" i="45"/>
  <c r="D126" i="45"/>
  <c r="B126" i="45"/>
  <c r="F125" i="45"/>
  <c r="D125" i="45"/>
  <c r="B125" i="45"/>
  <c r="F124" i="45"/>
  <c r="D124" i="45"/>
  <c r="B124" i="45"/>
  <c r="F123" i="45"/>
  <c r="D123" i="45"/>
  <c r="B123" i="45"/>
  <c r="F122" i="45"/>
  <c r="D122" i="45"/>
  <c r="B122" i="45"/>
  <c r="F121" i="45"/>
  <c r="D121" i="45"/>
  <c r="B121" i="45"/>
  <c r="F120" i="45"/>
  <c r="D120" i="45"/>
  <c r="B120" i="45"/>
  <c r="F119" i="45"/>
  <c r="D119" i="45"/>
  <c r="B119" i="45"/>
  <c r="F118" i="45"/>
  <c r="D118" i="45"/>
  <c r="B118" i="45"/>
  <c r="F117" i="45"/>
  <c r="D117" i="45"/>
  <c r="B117" i="45"/>
  <c r="F116" i="45"/>
  <c r="D116" i="45"/>
  <c r="B116" i="45"/>
  <c r="F115" i="45"/>
  <c r="D115" i="45"/>
  <c r="B115" i="45"/>
  <c r="F114" i="45"/>
  <c r="D114" i="45"/>
  <c r="B114" i="45"/>
  <c r="F113" i="45"/>
  <c r="D113" i="45"/>
  <c r="B113" i="45"/>
  <c r="F112" i="45"/>
  <c r="D112" i="45"/>
  <c r="B112" i="45"/>
  <c r="F109" i="45"/>
  <c r="D109" i="45"/>
  <c r="B109" i="45"/>
  <c r="F108" i="45"/>
  <c r="D108" i="45"/>
  <c r="B108" i="45"/>
  <c r="F107" i="45"/>
  <c r="D107" i="45"/>
  <c r="B107" i="45"/>
  <c r="F106" i="45"/>
  <c r="D106" i="45"/>
  <c r="B106" i="45"/>
  <c r="F105" i="45"/>
  <c r="D105" i="45"/>
  <c r="B105" i="45"/>
  <c r="F104" i="45"/>
  <c r="D104" i="45"/>
  <c r="B104" i="45"/>
  <c r="F103" i="45"/>
  <c r="D103" i="45"/>
  <c r="B103" i="45"/>
  <c r="F102" i="45"/>
  <c r="D102" i="45"/>
  <c r="B102" i="45"/>
  <c r="F101" i="45"/>
  <c r="D101" i="45"/>
  <c r="B101" i="45"/>
  <c r="F100" i="45"/>
  <c r="D100" i="45"/>
  <c r="B100" i="45"/>
  <c r="F99" i="45"/>
  <c r="D99" i="45"/>
  <c r="B99" i="45"/>
  <c r="F98" i="45"/>
  <c r="D98" i="45"/>
  <c r="B98" i="45"/>
  <c r="F97" i="45"/>
  <c r="D97" i="45"/>
  <c r="B97" i="45"/>
  <c r="F96" i="45"/>
  <c r="D96" i="45"/>
  <c r="B96" i="45"/>
  <c r="F95" i="45"/>
  <c r="D95" i="45"/>
  <c r="B95" i="45"/>
  <c r="F94" i="45"/>
  <c r="D94" i="45"/>
  <c r="B94" i="45"/>
  <c r="F93" i="45"/>
  <c r="D93" i="45"/>
  <c r="B93" i="45"/>
  <c r="F92" i="45"/>
  <c r="D92" i="45"/>
  <c r="B92" i="45"/>
  <c r="F91" i="45"/>
  <c r="D91" i="45"/>
  <c r="B91" i="45"/>
  <c r="F90" i="45"/>
  <c r="D90" i="45"/>
  <c r="B90" i="45"/>
  <c r="F89" i="45"/>
  <c r="D89" i="45"/>
  <c r="B89" i="45"/>
  <c r="F88" i="45"/>
  <c r="D88" i="45"/>
  <c r="B88" i="45"/>
  <c r="F87" i="45"/>
  <c r="D87" i="45"/>
  <c r="B87" i="45"/>
  <c r="F86" i="45"/>
  <c r="D86" i="45"/>
  <c r="B86" i="45"/>
  <c r="F85" i="45"/>
  <c r="D85" i="45"/>
  <c r="B85" i="45"/>
  <c r="F84" i="45"/>
  <c r="D84" i="45"/>
  <c r="B84" i="45"/>
  <c r="F83" i="45"/>
  <c r="D83" i="45"/>
  <c r="B83" i="45"/>
  <c r="F82" i="45"/>
  <c r="D82" i="45"/>
  <c r="B82" i="45"/>
  <c r="F81" i="45"/>
  <c r="D81" i="45"/>
  <c r="B81" i="45"/>
  <c r="F80" i="45"/>
  <c r="D80" i="45"/>
  <c r="B80" i="45"/>
  <c r="F79" i="45"/>
  <c r="D79" i="45"/>
  <c r="B79" i="45"/>
  <c r="F78" i="45"/>
  <c r="D78" i="45"/>
  <c r="B78" i="45"/>
  <c r="F77" i="45"/>
  <c r="D77" i="45"/>
  <c r="B77" i="45"/>
  <c r="F76" i="45"/>
  <c r="D76" i="45"/>
  <c r="B76" i="45"/>
  <c r="F75" i="45"/>
  <c r="D75" i="45"/>
  <c r="B75" i="45"/>
  <c r="F74" i="45"/>
  <c r="D74" i="45"/>
  <c r="B74" i="45"/>
  <c r="F73" i="45"/>
  <c r="D73" i="45"/>
  <c r="B73" i="45"/>
  <c r="F72" i="45"/>
  <c r="D72" i="45"/>
  <c r="B72" i="45"/>
  <c r="F71" i="45"/>
  <c r="D71" i="45"/>
  <c r="B71" i="45"/>
  <c r="F70" i="45"/>
  <c r="D70" i="45"/>
  <c r="B70" i="45"/>
  <c r="F69" i="45"/>
  <c r="D69" i="45"/>
  <c r="B69" i="45"/>
  <c r="F68" i="45"/>
  <c r="D68" i="45"/>
  <c r="B68" i="45"/>
  <c r="F67" i="45"/>
  <c r="D67" i="45"/>
  <c r="B67" i="45"/>
  <c r="F66" i="45"/>
  <c r="D66" i="45"/>
  <c r="B66" i="45"/>
  <c r="F65" i="45"/>
  <c r="D65" i="45"/>
  <c r="B65" i="45"/>
  <c r="F64" i="45"/>
  <c r="D64" i="45"/>
  <c r="B64" i="45"/>
  <c r="F63" i="45"/>
  <c r="D63" i="45"/>
  <c r="B63" i="45"/>
  <c r="F62" i="45"/>
  <c r="D62" i="45"/>
  <c r="B62" i="45"/>
  <c r="F61" i="45"/>
  <c r="D61" i="45"/>
  <c r="B61" i="45"/>
  <c r="F58" i="45"/>
  <c r="D58" i="45"/>
  <c r="B58" i="45"/>
  <c r="F57" i="45"/>
  <c r="D57" i="45"/>
  <c r="B57" i="45"/>
  <c r="F56" i="45"/>
  <c r="D56" i="45"/>
  <c r="B56" i="45"/>
  <c r="F55" i="45"/>
  <c r="D55" i="45"/>
  <c r="B55" i="45"/>
  <c r="F54" i="45"/>
  <c r="D54" i="45"/>
  <c r="B54" i="45"/>
  <c r="F53" i="45"/>
  <c r="D53" i="45"/>
  <c r="B53" i="45"/>
  <c r="F52" i="45"/>
  <c r="D52" i="45"/>
  <c r="B52" i="45"/>
  <c r="F51" i="45"/>
  <c r="D51" i="45"/>
  <c r="B51" i="45"/>
  <c r="F50" i="45"/>
  <c r="D50" i="45"/>
  <c r="B50" i="45"/>
  <c r="F49" i="45"/>
  <c r="D49" i="45"/>
  <c r="B49" i="45"/>
  <c r="F48" i="45"/>
  <c r="D48" i="45"/>
  <c r="B48" i="45"/>
  <c r="F47" i="45"/>
  <c r="D47" i="45"/>
  <c r="B47" i="45"/>
  <c r="F46" i="45"/>
  <c r="D46" i="45"/>
  <c r="B46" i="45"/>
  <c r="F45" i="45"/>
  <c r="D45" i="45"/>
  <c r="B45" i="45"/>
  <c r="F44" i="45"/>
  <c r="D44" i="45"/>
  <c r="B44" i="45"/>
  <c r="F43" i="45"/>
  <c r="D43" i="45"/>
  <c r="B43" i="45"/>
  <c r="F42" i="45"/>
  <c r="D42" i="45"/>
  <c r="B42" i="45"/>
  <c r="F41" i="45"/>
  <c r="D41" i="45"/>
  <c r="B41" i="45"/>
  <c r="F40" i="45"/>
  <c r="D40" i="45"/>
  <c r="B40" i="45"/>
  <c r="F39" i="45"/>
  <c r="D39" i="45"/>
  <c r="B39" i="45"/>
  <c r="F38" i="45"/>
  <c r="D38" i="45"/>
  <c r="B38" i="45"/>
  <c r="F37" i="45"/>
  <c r="D37" i="45"/>
  <c r="B37" i="45"/>
  <c r="F36" i="45"/>
  <c r="D36" i="45"/>
  <c r="B36" i="45"/>
  <c r="F35" i="45"/>
  <c r="D35" i="45"/>
  <c r="B35" i="45"/>
  <c r="F34" i="45"/>
  <c r="D34" i="45"/>
  <c r="B34" i="45"/>
  <c r="F33" i="45"/>
  <c r="D33" i="45"/>
  <c r="B33" i="45"/>
  <c r="F32" i="45"/>
  <c r="D32" i="45"/>
  <c r="B32" i="45"/>
  <c r="F31" i="45"/>
  <c r="D31" i="45"/>
  <c r="B31" i="45"/>
  <c r="F30" i="45"/>
  <c r="D30" i="45"/>
  <c r="B30" i="45"/>
  <c r="F29" i="45"/>
  <c r="D29" i="45"/>
  <c r="B29" i="45"/>
  <c r="F28" i="45"/>
  <c r="D28" i="45"/>
  <c r="B28" i="45"/>
  <c r="F27" i="45"/>
  <c r="D27" i="45"/>
  <c r="B27" i="45"/>
  <c r="F26" i="45"/>
  <c r="D26" i="45"/>
  <c r="B26" i="45"/>
  <c r="F25" i="45"/>
  <c r="D25" i="45"/>
  <c r="B25" i="45"/>
  <c r="F24" i="45"/>
  <c r="D24" i="45"/>
  <c r="B24" i="45"/>
  <c r="F23" i="45"/>
  <c r="D23" i="45"/>
  <c r="B23" i="45"/>
  <c r="F22" i="45"/>
  <c r="D22" i="45"/>
  <c r="B22" i="45"/>
  <c r="F21" i="45"/>
  <c r="D21" i="45"/>
  <c r="B21" i="45"/>
  <c r="F20" i="45"/>
  <c r="D20" i="45"/>
  <c r="B20" i="45"/>
  <c r="F19" i="45"/>
  <c r="D19" i="45"/>
  <c r="B19" i="45"/>
  <c r="F18" i="45"/>
  <c r="D18" i="45"/>
  <c r="B18" i="45"/>
  <c r="F17" i="45"/>
  <c r="D17" i="45"/>
  <c r="B17" i="45"/>
  <c r="F16" i="45"/>
  <c r="D16" i="45"/>
  <c r="B16" i="45"/>
  <c r="F15" i="45"/>
  <c r="D15" i="45"/>
  <c r="B15" i="45"/>
  <c r="F14" i="45"/>
  <c r="D14" i="45"/>
  <c r="B14" i="45"/>
  <c r="F13" i="45"/>
  <c r="D13" i="45"/>
  <c r="B13" i="45"/>
  <c r="F12" i="45"/>
  <c r="D12" i="45"/>
  <c r="B12" i="45"/>
  <c r="F11" i="45"/>
  <c r="D11" i="45"/>
  <c r="B11" i="45"/>
  <c r="F10" i="45"/>
  <c r="D10" i="45"/>
  <c r="B10" i="45"/>
  <c r="F264" i="74"/>
  <c r="D264" i="74"/>
  <c r="B264" i="74"/>
  <c r="F263" i="74"/>
  <c r="D263" i="74"/>
  <c r="B263" i="74"/>
  <c r="F262" i="74"/>
  <c r="D262" i="74"/>
  <c r="B262" i="74"/>
  <c r="F261" i="74"/>
  <c r="D261" i="74"/>
  <c r="B261" i="74"/>
  <c r="F260" i="74"/>
  <c r="D260" i="74"/>
  <c r="B260" i="74"/>
  <c r="F259" i="74"/>
  <c r="D259" i="74"/>
  <c r="B259" i="74"/>
  <c r="F258" i="74"/>
  <c r="D258" i="74"/>
  <c r="B258" i="74"/>
  <c r="F257" i="74"/>
  <c r="D257" i="74"/>
  <c r="B257" i="74"/>
  <c r="F256" i="74"/>
  <c r="D256" i="74"/>
  <c r="B256" i="74"/>
  <c r="F255" i="74"/>
  <c r="D255" i="74"/>
  <c r="B255" i="74"/>
  <c r="F254" i="74"/>
  <c r="D254" i="74"/>
  <c r="B254" i="74"/>
  <c r="F253" i="74"/>
  <c r="D253" i="74"/>
  <c r="B253" i="74"/>
  <c r="F252" i="74"/>
  <c r="D252" i="74"/>
  <c r="B252" i="74"/>
  <c r="F251" i="74"/>
  <c r="D251" i="74"/>
  <c r="B251" i="74"/>
  <c r="F250" i="74"/>
  <c r="D250" i="74"/>
  <c r="B250" i="74"/>
  <c r="F249" i="74"/>
  <c r="D249" i="74"/>
  <c r="B249" i="74"/>
  <c r="F248" i="74"/>
  <c r="D248" i="74"/>
  <c r="B248" i="74"/>
  <c r="F247" i="74"/>
  <c r="D247" i="74"/>
  <c r="B247" i="74"/>
  <c r="F246" i="74"/>
  <c r="D246" i="74"/>
  <c r="B246" i="74"/>
  <c r="F245" i="74"/>
  <c r="D245" i="74"/>
  <c r="B245" i="74"/>
  <c r="F244" i="74"/>
  <c r="D244" i="74"/>
  <c r="B244" i="74"/>
  <c r="F243" i="74"/>
  <c r="D243" i="74"/>
  <c r="B243" i="74"/>
  <c r="F242" i="74"/>
  <c r="D242" i="74"/>
  <c r="B242" i="74"/>
  <c r="F241" i="74"/>
  <c r="D241" i="74"/>
  <c r="B241" i="74"/>
  <c r="F240" i="74"/>
  <c r="D240" i="74"/>
  <c r="B240" i="74"/>
  <c r="F239" i="74"/>
  <c r="D239" i="74"/>
  <c r="B239" i="74"/>
  <c r="F238" i="74"/>
  <c r="D238" i="74"/>
  <c r="B238" i="74"/>
  <c r="F237" i="74"/>
  <c r="D237" i="74"/>
  <c r="B237" i="74"/>
  <c r="F236" i="74"/>
  <c r="D236" i="74"/>
  <c r="B236" i="74"/>
  <c r="F235" i="74"/>
  <c r="D235" i="74"/>
  <c r="B235" i="74"/>
  <c r="F234" i="74"/>
  <c r="D234" i="74"/>
  <c r="B234" i="74"/>
  <c r="F233" i="74"/>
  <c r="D233" i="74"/>
  <c r="B233" i="74"/>
  <c r="F232" i="74"/>
  <c r="D232" i="74"/>
  <c r="B232" i="74"/>
  <c r="F231" i="74"/>
  <c r="D231" i="74"/>
  <c r="B231" i="74"/>
  <c r="F230" i="74"/>
  <c r="D230" i="74"/>
  <c r="B230" i="74"/>
  <c r="F229" i="74"/>
  <c r="D229" i="74"/>
  <c r="B229" i="74"/>
  <c r="F228" i="74"/>
  <c r="D228" i="74"/>
  <c r="B228" i="74"/>
  <c r="F227" i="74"/>
  <c r="D227" i="74"/>
  <c r="B227" i="74"/>
  <c r="F226" i="74"/>
  <c r="D226" i="74"/>
  <c r="B226" i="74"/>
  <c r="F225" i="74"/>
  <c r="D225" i="74"/>
  <c r="B225" i="74"/>
  <c r="F224" i="74"/>
  <c r="D224" i="74"/>
  <c r="B224" i="74"/>
  <c r="F223" i="74"/>
  <c r="D223" i="74"/>
  <c r="B223" i="74"/>
  <c r="F222" i="74"/>
  <c r="D222" i="74"/>
  <c r="B222" i="74"/>
  <c r="F221" i="74"/>
  <c r="D221" i="74"/>
  <c r="B221" i="74"/>
  <c r="F220" i="74"/>
  <c r="D220" i="74"/>
  <c r="B220" i="74"/>
  <c r="F219" i="74"/>
  <c r="D219" i="74"/>
  <c r="B219" i="74"/>
  <c r="F218" i="74"/>
  <c r="D218" i="74"/>
  <c r="B218" i="74"/>
  <c r="F217" i="74"/>
  <c r="D217" i="74"/>
  <c r="B217" i="74"/>
  <c r="F216" i="74"/>
  <c r="D216" i="74"/>
  <c r="B216" i="74"/>
  <c r="F214" i="74"/>
  <c r="D214" i="74"/>
  <c r="B214" i="74"/>
  <c r="F213" i="74"/>
  <c r="D213" i="74"/>
  <c r="B213" i="74"/>
  <c r="F212" i="74"/>
  <c r="D212" i="74"/>
  <c r="B212" i="74"/>
  <c r="F211" i="74"/>
  <c r="D211" i="74"/>
  <c r="B211" i="74"/>
  <c r="F210" i="74"/>
  <c r="D210" i="74"/>
  <c r="B210" i="74"/>
  <c r="F209" i="74"/>
  <c r="D209" i="74"/>
  <c r="B209" i="74"/>
  <c r="F208" i="74"/>
  <c r="D208" i="74"/>
  <c r="B208" i="74"/>
  <c r="F207" i="74"/>
  <c r="D207" i="74"/>
  <c r="B207" i="74"/>
  <c r="F206" i="74"/>
  <c r="D206" i="74"/>
  <c r="B206" i="74"/>
  <c r="F205" i="74"/>
  <c r="D205" i="74"/>
  <c r="B205" i="74"/>
  <c r="F204" i="74"/>
  <c r="D204" i="74"/>
  <c r="B204" i="74"/>
  <c r="F203" i="74"/>
  <c r="D203" i="74"/>
  <c r="B203" i="74"/>
  <c r="F202" i="74"/>
  <c r="D202" i="74"/>
  <c r="B202" i="74"/>
  <c r="F201" i="74"/>
  <c r="D201" i="74"/>
  <c r="B201" i="74"/>
  <c r="F200" i="74"/>
  <c r="D200" i="74"/>
  <c r="B200" i="74"/>
  <c r="F199" i="74"/>
  <c r="D199" i="74"/>
  <c r="B199" i="74"/>
  <c r="F198" i="74"/>
  <c r="D198" i="74"/>
  <c r="B198" i="74"/>
  <c r="F197" i="74"/>
  <c r="D197" i="74"/>
  <c r="B197" i="74"/>
  <c r="F196" i="74"/>
  <c r="D196" i="74"/>
  <c r="B196" i="74"/>
  <c r="F195" i="74"/>
  <c r="D195" i="74"/>
  <c r="B195" i="74"/>
  <c r="F194" i="74"/>
  <c r="D194" i="74"/>
  <c r="B194" i="74"/>
  <c r="F193" i="74"/>
  <c r="D193" i="74"/>
  <c r="B193" i="74"/>
  <c r="F192" i="74"/>
  <c r="D192" i="74"/>
  <c r="B192" i="74"/>
  <c r="F191" i="74"/>
  <c r="D191" i="74"/>
  <c r="B191" i="74"/>
  <c r="F190" i="74"/>
  <c r="D190" i="74"/>
  <c r="B190" i="74"/>
  <c r="F189" i="74"/>
  <c r="D189" i="74"/>
  <c r="B189" i="74"/>
  <c r="F188" i="74"/>
  <c r="D188" i="74"/>
  <c r="B188" i="74"/>
  <c r="F187" i="74"/>
  <c r="D187" i="74"/>
  <c r="B187" i="74"/>
  <c r="F186" i="74"/>
  <c r="D186" i="74"/>
  <c r="B186" i="74"/>
  <c r="F185" i="74"/>
  <c r="D185" i="74"/>
  <c r="B185" i="74"/>
  <c r="F184" i="74"/>
  <c r="D184" i="74"/>
  <c r="B184" i="74"/>
  <c r="F183" i="74"/>
  <c r="D183" i="74"/>
  <c r="B183" i="74"/>
  <c r="F182" i="74"/>
  <c r="D182" i="74"/>
  <c r="B182" i="74"/>
  <c r="F181" i="74"/>
  <c r="D181" i="74"/>
  <c r="B181" i="74"/>
  <c r="F180" i="74"/>
  <c r="D180" i="74"/>
  <c r="B180" i="74"/>
  <c r="F179" i="74"/>
  <c r="D179" i="74"/>
  <c r="B179" i="74"/>
  <c r="F178" i="74"/>
  <c r="D178" i="74"/>
  <c r="B178" i="74"/>
  <c r="F177" i="74"/>
  <c r="D177" i="74"/>
  <c r="B177" i="74"/>
  <c r="F176" i="74"/>
  <c r="D176" i="74"/>
  <c r="B176" i="74"/>
  <c r="F175" i="74"/>
  <c r="D175" i="74"/>
  <c r="B175" i="74"/>
  <c r="F174" i="74"/>
  <c r="D174" i="74"/>
  <c r="B174" i="74"/>
  <c r="F173" i="74"/>
  <c r="D173" i="74"/>
  <c r="B173" i="74"/>
  <c r="F172" i="74"/>
  <c r="D172" i="74"/>
  <c r="B172" i="74"/>
  <c r="F171" i="74"/>
  <c r="D171" i="74"/>
  <c r="B171" i="74"/>
  <c r="F170" i="74"/>
  <c r="D170" i="74"/>
  <c r="B170" i="74"/>
  <c r="F169" i="74"/>
  <c r="D169" i="74"/>
  <c r="B169" i="74"/>
  <c r="F168" i="74"/>
  <c r="D168" i="74"/>
  <c r="B168" i="74"/>
  <c r="F167" i="74"/>
  <c r="D167" i="74"/>
  <c r="B167" i="74"/>
  <c r="F166" i="74"/>
  <c r="D166" i="74"/>
  <c r="B166" i="74"/>
  <c r="F162" i="74"/>
  <c r="D162" i="74"/>
  <c r="B162" i="74"/>
  <c r="F161" i="74"/>
  <c r="D161" i="74"/>
  <c r="B161" i="74"/>
  <c r="F160" i="74"/>
  <c r="D160" i="74"/>
  <c r="B160" i="74"/>
  <c r="F159" i="74"/>
  <c r="D159" i="74"/>
  <c r="B159" i="74"/>
  <c r="F158" i="74"/>
  <c r="D158" i="74"/>
  <c r="B158" i="74"/>
  <c r="F157" i="74"/>
  <c r="D157" i="74"/>
  <c r="B157" i="74"/>
  <c r="F156" i="74"/>
  <c r="D156" i="74"/>
  <c r="B156" i="74"/>
  <c r="F155" i="74"/>
  <c r="D155" i="74"/>
  <c r="B155" i="74"/>
  <c r="F154" i="74"/>
  <c r="D154" i="74"/>
  <c r="B154" i="74"/>
  <c r="F153" i="74"/>
  <c r="D153" i="74"/>
  <c r="B153" i="74"/>
  <c r="F152" i="74"/>
  <c r="D152" i="74"/>
  <c r="B152" i="74"/>
  <c r="F151" i="74"/>
  <c r="D151" i="74"/>
  <c r="B151" i="74"/>
  <c r="F150" i="74"/>
  <c r="D150" i="74"/>
  <c r="B150" i="74"/>
  <c r="F149" i="74"/>
  <c r="D149" i="74"/>
  <c r="B149" i="74"/>
  <c r="F148" i="74"/>
  <c r="D148" i="74"/>
  <c r="B148" i="74"/>
  <c r="F147" i="74"/>
  <c r="D147" i="74"/>
  <c r="B147" i="74"/>
  <c r="F146" i="74"/>
  <c r="D146" i="74"/>
  <c r="B146" i="74"/>
  <c r="F145" i="74"/>
  <c r="D145" i="74"/>
  <c r="B145" i="74"/>
  <c r="F144" i="74"/>
  <c r="D144" i="74"/>
  <c r="B144" i="74"/>
  <c r="F143" i="74"/>
  <c r="D143" i="74"/>
  <c r="B143" i="74"/>
  <c r="F142" i="74"/>
  <c r="D142" i="74"/>
  <c r="B142" i="74"/>
  <c r="F141" i="74"/>
  <c r="D141" i="74"/>
  <c r="B141" i="74"/>
  <c r="F140" i="74"/>
  <c r="D140" i="74"/>
  <c r="B140" i="74"/>
  <c r="F139" i="74"/>
  <c r="D139" i="74"/>
  <c r="B139" i="74"/>
  <c r="F138" i="74"/>
  <c r="D138" i="74"/>
  <c r="B138" i="74"/>
  <c r="F137" i="74"/>
  <c r="D137" i="74"/>
  <c r="B137" i="74"/>
  <c r="F136" i="74"/>
  <c r="D136" i="74"/>
  <c r="B136" i="74"/>
  <c r="F135" i="74"/>
  <c r="D135" i="74"/>
  <c r="B135" i="74"/>
  <c r="F134" i="74"/>
  <c r="D134" i="74"/>
  <c r="B134" i="74"/>
  <c r="F133" i="74"/>
  <c r="D133" i="74"/>
  <c r="B133" i="74"/>
  <c r="F132" i="74"/>
  <c r="D132" i="74"/>
  <c r="B132" i="74"/>
  <c r="F131" i="74"/>
  <c r="D131" i="74"/>
  <c r="B131" i="74"/>
  <c r="F130" i="74"/>
  <c r="D130" i="74"/>
  <c r="B130" i="74"/>
  <c r="F129" i="74"/>
  <c r="D129" i="74"/>
  <c r="B129" i="74"/>
  <c r="F128" i="74"/>
  <c r="D128" i="74"/>
  <c r="B128" i="74"/>
  <c r="F127" i="74"/>
  <c r="D127" i="74"/>
  <c r="B127" i="74"/>
  <c r="F126" i="74"/>
  <c r="D126" i="74"/>
  <c r="B126" i="74"/>
  <c r="F125" i="74"/>
  <c r="D125" i="74"/>
  <c r="B125" i="74"/>
  <c r="F124" i="74"/>
  <c r="D124" i="74"/>
  <c r="B124" i="74"/>
  <c r="F123" i="74"/>
  <c r="D123" i="74"/>
  <c r="B123" i="74"/>
  <c r="F122" i="74"/>
  <c r="D122" i="74"/>
  <c r="B122" i="74"/>
  <c r="F121" i="74"/>
  <c r="D121" i="74"/>
  <c r="B121" i="74"/>
  <c r="F120" i="74"/>
  <c r="D120" i="74"/>
  <c r="B120" i="74"/>
  <c r="F119" i="74"/>
  <c r="D119" i="74"/>
  <c r="B119" i="74"/>
  <c r="F118" i="74"/>
  <c r="D118" i="74"/>
  <c r="B118" i="74"/>
  <c r="F117" i="74"/>
  <c r="D117" i="74"/>
  <c r="B117" i="74"/>
  <c r="F116" i="74"/>
  <c r="D116" i="74"/>
  <c r="B116" i="74"/>
  <c r="F115" i="74"/>
  <c r="D115" i="74"/>
  <c r="B115" i="74"/>
  <c r="F114" i="74"/>
  <c r="D114" i="74"/>
  <c r="B114" i="74"/>
  <c r="F110" i="74"/>
  <c r="D110" i="74"/>
  <c r="B110" i="74"/>
  <c r="F109" i="74"/>
  <c r="D109" i="74"/>
  <c r="B109" i="74"/>
  <c r="F108" i="74"/>
  <c r="D108" i="74"/>
  <c r="B108" i="74"/>
  <c r="F107" i="74"/>
  <c r="D107" i="74"/>
  <c r="B107" i="74"/>
  <c r="F106" i="74"/>
  <c r="D106" i="74"/>
  <c r="B106" i="74"/>
  <c r="F105" i="74"/>
  <c r="D105" i="74"/>
  <c r="B105" i="74"/>
  <c r="F104" i="74"/>
  <c r="D104" i="74"/>
  <c r="B104" i="74"/>
  <c r="F103" i="74"/>
  <c r="D103" i="74"/>
  <c r="B103" i="74"/>
  <c r="F102" i="74"/>
  <c r="D102" i="74"/>
  <c r="B102" i="74"/>
  <c r="F101" i="74"/>
  <c r="D101" i="74"/>
  <c r="B101" i="74"/>
  <c r="F100" i="74"/>
  <c r="D100" i="74"/>
  <c r="B100" i="74"/>
  <c r="F99" i="74"/>
  <c r="D99" i="74"/>
  <c r="B99" i="74"/>
  <c r="F98" i="74"/>
  <c r="D98" i="74"/>
  <c r="B98" i="74"/>
  <c r="F97" i="74"/>
  <c r="D97" i="74"/>
  <c r="B97" i="74"/>
  <c r="F96" i="74"/>
  <c r="D96" i="74"/>
  <c r="B96" i="74"/>
  <c r="F95" i="74"/>
  <c r="D95" i="74"/>
  <c r="B95" i="74"/>
  <c r="F94" i="74"/>
  <c r="D94" i="74"/>
  <c r="B94" i="74"/>
  <c r="F93" i="74"/>
  <c r="D93" i="74"/>
  <c r="B93" i="74"/>
  <c r="F92" i="74"/>
  <c r="D92" i="74"/>
  <c r="B92" i="74"/>
  <c r="F91" i="74"/>
  <c r="D91" i="74"/>
  <c r="B91" i="74"/>
  <c r="F90" i="74"/>
  <c r="D90" i="74"/>
  <c r="B90" i="74"/>
  <c r="F89" i="74"/>
  <c r="D89" i="74"/>
  <c r="B89" i="74"/>
  <c r="F88" i="74"/>
  <c r="D88" i="74"/>
  <c r="B88" i="74"/>
  <c r="F87" i="74"/>
  <c r="D87" i="74"/>
  <c r="B87" i="74"/>
  <c r="F86" i="74"/>
  <c r="D86" i="74"/>
  <c r="B86" i="74"/>
  <c r="F85" i="74"/>
  <c r="D85" i="74"/>
  <c r="B85" i="74"/>
  <c r="F84" i="74"/>
  <c r="D84" i="74"/>
  <c r="B84" i="74"/>
  <c r="F83" i="74"/>
  <c r="D83" i="74"/>
  <c r="B83" i="74"/>
  <c r="F82" i="74"/>
  <c r="D82" i="74"/>
  <c r="B82" i="74"/>
  <c r="F81" i="74"/>
  <c r="D81" i="74"/>
  <c r="B81" i="74"/>
  <c r="F80" i="74"/>
  <c r="D80" i="74"/>
  <c r="B80" i="74"/>
  <c r="F79" i="74"/>
  <c r="D79" i="74"/>
  <c r="B79" i="74"/>
  <c r="F78" i="74"/>
  <c r="D78" i="74"/>
  <c r="B78" i="74"/>
  <c r="F77" i="74"/>
  <c r="D77" i="74"/>
  <c r="B77" i="74"/>
  <c r="F76" i="74"/>
  <c r="D76" i="74"/>
  <c r="B76" i="74"/>
  <c r="F75" i="74"/>
  <c r="D75" i="74"/>
  <c r="B75" i="74"/>
  <c r="F74" i="74"/>
  <c r="D74" i="74"/>
  <c r="B74" i="74"/>
  <c r="F73" i="74"/>
  <c r="D73" i="74"/>
  <c r="B73" i="74"/>
  <c r="F72" i="74"/>
  <c r="D72" i="74"/>
  <c r="B72" i="74"/>
  <c r="F71" i="74"/>
  <c r="D71" i="74"/>
  <c r="B71" i="74"/>
  <c r="F70" i="74"/>
  <c r="D70" i="74"/>
  <c r="B70" i="74"/>
  <c r="F69" i="74"/>
  <c r="D69" i="74"/>
  <c r="B69" i="74"/>
  <c r="F68" i="74"/>
  <c r="D68" i="74"/>
  <c r="B68" i="74"/>
  <c r="F67" i="74"/>
  <c r="D67" i="74"/>
  <c r="B67" i="74"/>
  <c r="F66" i="74"/>
  <c r="D66" i="74"/>
  <c r="B66" i="74"/>
  <c r="F65" i="74"/>
  <c r="D65" i="74"/>
  <c r="B65" i="74"/>
  <c r="F64" i="74"/>
  <c r="D64" i="74"/>
  <c r="B64" i="74"/>
  <c r="F63" i="74"/>
  <c r="D63" i="74"/>
  <c r="B63" i="74"/>
  <c r="F62" i="74"/>
  <c r="D62" i="74"/>
  <c r="B62" i="74"/>
  <c r="F58" i="74"/>
  <c r="D58" i="74"/>
  <c r="B58" i="74"/>
  <c r="F57" i="74"/>
  <c r="D57" i="74"/>
  <c r="B57" i="74"/>
  <c r="F56" i="74"/>
  <c r="D56" i="74"/>
  <c r="B56" i="74"/>
  <c r="F55" i="74"/>
  <c r="D55" i="74"/>
  <c r="B55" i="74"/>
  <c r="F54" i="74"/>
  <c r="D54" i="74"/>
  <c r="B54" i="74"/>
  <c r="F53" i="74"/>
  <c r="D53" i="74"/>
  <c r="B53" i="74"/>
  <c r="F52" i="74"/>
  <c r="D52" i="74"/>
  <c r="B52" i="74"/>
  <c r="F51" i="74"/>
  <c r="D51" i="74"/>
  <c r="B51" i="74"/>
  <c r="F50" i="74"/>
  <c r="D50" i="74"/>
  <c r="B50" i="74"/>
  <c r="F49" i="74"/>
  <c r="D49" i="74"/>
  <c r="B49" i="74"/>
  <c r="F48" i="74"/>
  <c r="D48" i="74"/>
  <c r="B48" i="74"/>
  <c r="F47" i="74"/>
  <c r="D47" i="74"/>
  <c r="B47" i="74"/>
  <c r="F46" i="74"/>
  <c r="D46" i="74"/>
  <c r="B46" i="74"/>
  <c r="F45" i="74"/>
  <c r="D45" i="74"/>
  <c r="B45" i="74"/>
  <c r="F44" i="74"/>
  <c r="D44" i="74"/>
  <c r="B44" i="74"/>
  <c r="F43" i="74"/>
  <c r="D43" i="74"/>
  <c r="B43" i="74"/>
  <c r="F42" i="74"/>
  <c r="D42" i="74"/>
  <c r="B42" i="74"/>
  <c r="F41" i="74"/>
  <c r="D41" i="74"/>
  <c r="B41" i="74"/>
  <c r="F40" i="74"/>
  <c r="D40" i="74"/>
  <c r="B40" i="74"/>
  <c r="F39" i="74"/>
  <c r="D39" i="74"/>
  <c r="B39" i="74"/>
  <c r="F38" i="74"/>
  <c r="D38" i="74"/>
  <c r="B38" i="74"/>
  <c r="F37" i="74"/>
  <c r="D37" i="74"/>
  <c r="B37" i="74"/>
  <c r="F36" i="74"/>
  <c r="D36" i="74"/>
  <c r="B36" i="74"/>
  <c r="F35" i="74"/>
  <c r="D35" i="74"/>
  <c r="B35" i="74"/>
  <c r="F34" i="74"/>
  <c r="D34" i="74"/>
  <c r="B34" i="74"/>
  <c r="F33" i="74"/>
  <c r="D33" i="74"/>
  <c r="B33" i="74"/>
  <c r="F32" i="74"/>
  <c r="D32" i="74"/>
  <c r="B32" i="74"/>
  <c r="F31" i="74"/>
  <c r="D31" i="74"/>
  <c r="B31" i="74"/>
  <c r="F30" i="74"/>
  <c r="D30" i="74"/>
  <c r="B30" i="74"/>
  <c r="F29" i="74"/>
  <c r="D29" i="74"/>
  <c r="B29" i="74"/>
  <c r="F28" i="74"/>
  <c r="D28" i="74"/>
  <c r="B28" i="74"/>
  <c r="F27" i="74"/>
  <c r="D27" i="74"/>
  <c r="B27" i="74"/>
  <c r="F26" i="74"/>
  <c r="D26" i="74"/>
  <c r="B26" i="74"/>
  <c r="F25" i="74"/>
  <c r="D25" i="74"/>
  <c r="B25" i="74"/>
  <c r="F24" i="74"/>
  <c r="D24" i="74"/>
  <c r="B24" i="74"/>
  <c r="F23" i="74"/>
  <c r="D23" i="74"/>
  <c r="B23" i="74"/>
  <c r="F22" i="74"/>
  <c r="D22" i="74"/>
  <c r="B22" i="74"/>
  <c r="F21" i="74"/>
  <c r="D21" i="74"/>
  <c r="B21" i="74"/>
  <c r="F20" i="74"/>
  <c r="D20" i="74"/>
  <c r="B20" i="74"/>
  <c r="F19" i="74"/>
  <c r="D19" i="74"/>
  <c r="B19" i="74"/>
  <c r="F18" i="74"/>
  <c r="D18" i="74"/>
  <c r="B18" i="74"/>
  <c r="F17" i="74"/>
  <c r="D17" i="74"/>
  <c r="B17" i="74"/>
  <c r="F16" i="74"/>
  <c r="D16" i="74"/>
  <c r="B16" i="74"/>
  <c r="F15" i="74"/>
  <c r="D15" i="74"/>
  <c r="B15" i="74"/>
  <c r="F14" i="74"/>
  <c r="D14" i="74"/>
  <c r="B14" i="74"/>
  <c r="F13" i="74"/>
  <c r="D13" i="74"/>
  <c r="B13" i="74"/>
  <c r="F12" i="74"/>
  <c r="D12" i="74"/>
  <c r="B12" i="74"/>
  <c r="F11" i="74"/>
  <c r="D11" i="74"/>
  <c r="B11" i="74"/>
  <c r="F10" i="74"/>
  <c r="D10" i="74"/>
  <c r="B10" i="74"/>
  <c r="F264" i="73"/>
  <c r="D264" i="73"/>
  <c r="B264" i="73"/>
  <c r="F263" i="73"/>
  <c r="D263" i="73"/>
  <c r="B263" i="73"/>
  <c r="F262" i="73"/>
  <c r="D262" i="73"/>
  <c r="B262" i="73"/>
  <c r="F261" i="73"/>
  <c r="D261" i="73"/>
  <c r="B261" i="73"/>
  <c r="F260" i="73"/>
  <c r="D260" i="73"/>
  <c r="B260" i="73"/>
  <c r="F259" i="73"/>
  <c r="D259" i="73"/>
  <c r="B259" i="73"/>
  <c r="F258" i="73"/>
  <c r="D258" i="73"/>
  <c r="B258" i="73"/>
  <c r="F257" i="73"/>
  <c r="D257" i="73"/>
  <c r="B257" i="73"/>
  <c r="F256" i="73"/>
  <c r="D256" i="73"/>
  <c r="B256" i="73"/>
  <c r="F255" i="73"/>
  <c r="D255" i="73"/>
  <c r="B255" i="73"/>
  <c r="F254" i="73"/>
  <c r="D254" i="73"/>
  <c r="B254" i="73"/>
  <c r="F253" i="73"/>
  <c r="D253" i="73"/>
  <c r="B253" i="73"/>
  <c r="F252" i="73"/>
  <c r="D252" i="73"/>
  <c r="B252" i="73"/>
  <c r="F251" i="73"/>
  <c r="D251" i="73"/>
  <c r="B251" i="73"/>
  <c r="F250" i="73"/>
  <c r="D250" i="73"/>
  <c r="B250" i="73"/>
  <c r="F249" i="73"/>
  <c r="D249" i="73"/>
  <c r="B249" i="73"/>
  <c r="F248" i="73"/>
  <c r="D248" i="73"/>
  <c r="B248" i="73"/>
  <c r="F247" i="73"/>
  <c r="D247" i="73"/>
  <c r="B247" i="73"/>
  <c r="F246" i="73"/>
  <c r="D246" i="73"/>
  <c r="B246" i="73"/>
  <c r="F245" i="73"/>
  <c r="D245" i="73"/>
  <c r="B245" i="73"/>
  <c r="F244" i="73"/>
  <c r="D244" i="73"/>
  <c r="B244" i="73"/>
  <c r="F243" i="73"/>
  <c r="D243" i="73"/>
  <c r="B243" i="73"/>
  <c r="F242" i="73"/>
  <c r="D242" i="73"/>
  <c r="B242" i="73"/>
  <c r="F241" i="73"/>
  <c r="D241" i="73"/>
  <c r="B241" i="73"/>
  <c r="F240" i="73"/>
  <c r="D240" i="73"/>
  <c r="B240" i="73"/>
  <c r="F239" i="73"/>
  <c r="D239" i="73"/>
  <c r="B239" i="73"/>
  <c r="F238" i="73"/>
  <c r="D238" i="73"/>
  <c r="B238" i="73"/>
  <c r="F237" i="73"/>
  <c r="D237" i="73"/>
  <c r="B237" i="73"/>
  <c r="F236" i="73"/>
  <c r="D236" i="73"/>
  <c r="B236" i="73"/>
  <c r="F235" i="73"/>
  <c r="D235" i="73"/>
  <c r="B235" i="73"/>
  <c r="F234" i="73"/>
  <c r="D234" i="73"/>
  <c r="B234" i="73"/>
  <c r="F233" i="73"/>
  <c r="D233" i="73"/>
  <c r="B233" i="73"/>
  <c r="F232" i="73"/>
  <c r="D232" i="73"/>
  <c r="B232" i="73"/>
  <c r="F231" i="73"/>
  <c r="D231" i="73"/>
  <c r="B231" i="73"/>
  <c r="F230" i="73"/>
  <c r="D230" i="73"/>
  <c r="B230" i="73"/>
  <c r="F229" i="73"/>
  <c r="D229" i="73"/>
  <c r="B229" i="73"/>
  <c r="F228" i="73"/>
  <c r="D228" i="73"/>
  <c r="B228" i="73"/>
  <c r="F227" i="73"/>
  <c r="D227" i="73"/>
  <c r="B227" i="73"/>
  <c r="F226" i="73"/>
  <c r="D226" i="73"/>
  <c r="B226" i="73"/>
  <c r="F225" i="73"/>
  <c r="D225" i="73"/>
  <c r="B225" i="73"/>
  <c r="F224" i="73"/>
  <c r="D224" i="73"/>
  <c r="B224" i="73"/>
  <c r="F223" i="73"/>
  <c r="D223" i="73"/>
  <c r="B223" i="73"/>
  <c r="F222" i="73"/>
  <c r="D222" i="73"/>
  <c r="B222" i="73"/>
  <c r="F221" i="73"/>
  <c r="D221" i="73"/>
  <c r="B221" i="73"/>
  <c r="F220" i="73"/>
  <c r="D220" i="73"/>
  <c r="B220" i="73"/>
  <c r="F219" i="73"/>
  <c r="D219" i="73"/>
  <c r="B219" i="73"/>
  <c r="F218" i="73"/>
  <c r="D218" i="73"/>
  <c r="B218" i="73"/>
  <c r="F217" i="73"/>
  <c r="D217" i="73"/>
  <c r="B217" i="73"/>
  <c r="F216" i="73"/>
  <c r="D216" i="73"/>
  <c r="B216" i="73"/>
  <c r="F214" i="73"/>
  <c r="D214" i="73"/>
  <c r="B214" i="73"/>
  <c r="F213" i="73"/>
  <c r="D213" i="73"/>
  <c r="B213" i="73"/>
  <c r="F212" i="73"/>
  <c r="D212" i="73"/>
  <c r="B212" i="73"/>
  <c r="F211" i="73"/>
  <c r="D211" i="73"/>
  <c r="B211" i="73"/>
  <c r="F210" i="73"/>
  <c r="D210" i="73"/>
  <c r="B210" i="73"/>
  <c r="F209" i="73"/>
  <c r="D209" i="73"/>
  <c r="B209" i="73"/>
  <c r="F208" i="73"/>
  <c r="D208" i="73"/>
  <c r="B208" i="73"/>
  <c r="F207" i="73"/>
  <c r="D207" i="73"/>
  <c r="B207" i="73"/>
  <c r="F206" i="73"/>
  <c r="D206" i="73"/>
  <c r="B206" i="73"/>
  <c r="F205" i="73"/>
  <c r="D205" i="73"/>
  <c r="B205" i="73"/>
  <c r="F204" i="73"/>
  <c r="D204" i="73"/>
  <c r="B204" i="73"/>
  <c r="F203" i="73"/>
  <c r="D203" i="73"/>
  <c r="B203" i="73"/>
  <c r="F202" i="73"/>
  <c r="D202" i="73"/>
  <c r="B202" i="73"/>
  <c r="F201" i="73"/>
  <c r="D201" i="73"/>
  <c r="B201" i="73"/>
  <c r="F200" i="73"/>
  <c r="D200" i="73"/>
  <c r="B200" i="73"/>
  <c r="F199" i="73"/>
  <c r="D199" i="73"/>
  <c r="B199" i="73"/>
  <c r="F198" i="73"/>
  <c r="D198" i="73"/>
  <c r="B198" i="73"/>
  <c r="F197" i="73"/>
  <c r="D197" i="73"/>
  <c r="B197" i="73"/>
  <c r="F196" i="73"/>
  <c r="D196" i="73"/>
  <c r="B196" i="73"/>
  <c r="F195" i="73"/>
  <c r="D195" i="73"/>
  <c r="B195" i="73"/>
  <c r="F194" i="73"/>
  <c r="D194" i="73"/>
  <c r="B194" i="73"/>
  <c r="F193" i="73"/>
  <c r="D193" i="73"/>
  <c r="B193" i="73"/>
  <c r="F192" i="73"/>
  <c r="D192" i="73"/>
  <c r="B192" i="73"/>
  <c r="F191" i="73"/>
  <c r="D191" i="73"/>
  <c r="B191" i="73"/>
  <c r="F190" i="73"/>
  <c r="D190" i="73"/>
  <c r="B190" i="73"/>
  <c r="F189" i="73"/>
  <c r="D189" i="73"/>
  <c r="B189" i="73"/>
  <c r="F188" i="73"/>
  <c r="D188" i="73"/>
  <c r="B188" i="73"/>
  <c r="F187" i="73"/>
  <c r="D187" i="73"/>
  <c r="B187" i="73"/>
  <c r="F186" i="73"/>
  <c r="D186" i="73"/>
  <c r="B186" i="73"/>
  <c r="F185" i="73"/>
  <c r="D185" i="73"/>
  <c r="B185" i="73"/>
  <c r="F184" i="73"/>
  <c r="D184" i="73"/>
  <c r="B184" i="73"/>
  <c r="F183" i="73"/>
  <c r="D183" i="73"/>
  <c r="B183" i="73"/>
  <c r="F182" i="73"/>
  <c r="D182" i="73"/>
  <c r="B182" i="73"/>
  <c r="F181" i="73"/>
  <c r="D181" i="73"/>
  <c r="B181" i="73"/>
  <c r="F180" i="73"/>
  <c r="D180" i="73"/>
  <c r="B180" i="73"/>
  <c r="F179" i="73"/>
  <c r="D179" i="73"/>
  <c r="B179" i="73"/>
  <c r="F178" i="73"/>
  <c r="D178" i="73"/>
  <c r="B178" i="73"/>
  <c r="F177" i="73"/>
  <c r="D177" i="73"/>
  <c r="B177" i="73"/>
  <c r="F176" i="73"/>
  <c r="D176" i="73"/>
  <c r="B176" i="73"/>
  <c r="F175" i="73"/>
  <c r="D175" i="73"/>
  <c r="B175" i="73"/>
  <c r="F174" i="73"/>
  <c r="D174" i="73"/>
  <c r="B174" i="73"/>
  <c r="F173" i="73"/>
  <c r="D173" i="73"/>
  <c r="B173" i="73"/>
  <c r="F172" i="73"/>
  <c r="D172" i="73"/>
  <c r="B172" i="73"/>
  <c r="F171" i="73"/>
  <c r="D171" i="73"/>
  <c r="B171" i="73"/>
  <c r="F170" i="73"/>
  <c r="D170" i="73"/>
  <c r="B170" i="73"/>
  <c r="F169" i="73"/>
  <c r="D169" i="73"/>
  <c r="B169" i="73"/>
  <c r="F168" i="73"/>
  <c r="D168" i="73"/>
  <c r="B168" i="73"/>
  <c r="F167" i="73"/>
  <c r="D167" i="73"/>
  <c r="B167" i="73"/>
  <c r="F166" i="73"/>
  <c r="D166" i="73"/>
  <c r="B166" i="73"/>
  <c r="F162" i="73"/>
  <c r="D162" i="73"/>
  <c r="B162" i="73"/>
  <c r="F161" i="73"/>
  <c r="D161" i="73"/>
  <c r="B161" i="73"/>
  <c r="F160" i="73"/>
  <c r="D160" i="73"/>
  <c r="B160" i="73"/>
  <c r="F159" i="73"/>
  <c r="D159" i="73"/>
  <c r="B159" i="73"/>
  <c r="F158" i="73"/>
  <c r="D158" i="73"/>
  <c r="B158" i="73"/>
  <c r="F157" i="73"/>
  <c r="D157" i="73"/>
  <c r="B157" i="73"/>
  <c r="F156" i="73"/>
  <c r="D156" i="73"/>
  <c r="B156" i="73"/>
  <c r="F155" i="73"/>
  <c r="D155" i="73"/>
  <c r="B155" i="73"/>
  <c r="F154" i="73"/>
  <c r="D154" i="73"/>
  <c r="B154" i="73"/>
  <c r="F153" i="73"/>
  <c r="D153" i="73"/>
  <c r="B153" i="73"/>
  <c r="F152" i="73"/>
  <c r="D152" i="73"/>
  <c r="B152" i="73"/>
  <c r="F151" i="73"/>
  <c r="D151" i="73"/>
  <c r="B151" i="73"/>
  <c r="F150" i="73"/>
  <c r="D150" i="73"/>
  <c r="B150" i="73"/>
  <c r="F149" i="73"/>
  <c r="D149" i="73"/>
  <c r="B149" i="73"/>
  <c r="F148" i="73"/>
  <c r="D148" i="73"/>
  <c r="B148" i="73"/>
  <c r="F147" i="73"/>
  <c r="D147" i="73"/>
  <c r="B147" i="73"/>
  <c r="F146" i="73"/>
  <c r="D146" i="73"/>
  <c r="B146" i="73"/>
  <c r="F145" i="73"/>
  <c r="D145" i="73"/>
  <c r="B145" i="73"/>
  <c r="F144" i="73"/>
  <c r="D144" i="73"/>
  <c r="B144" i="73"/>
  <c r="F143" i="73"/>
  <c r="D143" i="73"/>
  <c r="B143" i="73"/>
  <c r="F142" i="73"/>
  <c r="D142" i="73"/>
  <c r="B142" i="73"/>
  <c r="F141" i="73"/>
  <c r="D141" i="73"/>
  <c r="B141" i="73"/>
  <c r="F140" i="73"/>
  <c r="D140" i="73"/>
  <c r="B140" i="73"/>
  <c r="F139" i="73"/>
  <c r="D139" i="73"/>
  <c r="B139" i="73"/>
  <c r="F138" i="73"/>
  <c r="D138" i="73"/>
  <c r="B138" i="73"/>
  <c r="F137" i="73"/>
  <c r="D137" i="73"/>
  <c r="B137" i="73"/>
  <c r="F136" i="73"/>
  <c r="D136" i="73"/>
  <c r="B136" i="73"/>
  <c r="F135" i="73"/>
  <c r="D135" i="73"/>
  <c r="B135" i="73"/>
  <c r="F134" i="73"/>
  <c r="D134" i="73"/>
  <c r="B134" i="73"/>
  <c r="F133" i="73"/>
  <c r="D133" i="73"/>
  <c r="B133" i="73"/>
  <c r="F132" i="73"/>
  <c r="D132" i="73"/>
  <c r="B132" i="73"/>
  <c r="F131" i="73"/>
  <c r="D131" i="73"/>
  <c r="B131" i="73"/>
  <c r="F130" i="73"/>
  <c r="D130" i="73"/>
  <c r="B130" i="73"/>
  <c r="F129" i="73"/>
  <c r="D129" i="73"/>
  <c r="B129" i="73"/>
  <c r="F128" i="73"/>
  <c r="D128" i="73"/>
  <c r="B128" i="73"/>
  <c r="F127" i="73"/>
  <c r="D127" i="73"/>
  <c r="B127" i="73"/>
  <c r="F126" i="73"/>
  <c r="D126" i="73"/>
  <c r="B126" i="73"/>
  <c r="F125" i="73"/>
  <c r="D125" i="73"/>
  <c r="B125" i="73"/>
  <c r="F124" i="73"/>
  <c r="D124" i="73"/>
  <c r="B124" i="73"/>
  <c r="F123" i="73"/>
  <c r="D123" i="73"/>
  <c r="B123" i="73"/>
  <c r="F122" i="73"/>
  <c r="D122" i="73"/>
  <c r="B122" i="73"/>
  <c r="F121" i="73"/>
  <c r="D121" i="73"/>
  <c r="B121" i="73"/>
  <c r="F120" i="73"/>
  <c r="D120" i="73"/>
  <c r="B120" i="73"/>
  <c r="F119" i="73"/>
  <c r="D119" i="73"/>
  <c r="B119" i="73"/>
  <c r="F118" i="73"/>
  <c r="D118" i="73"/>
  <c r="B118" i="73"/>
  <c r="F117" i="73"/>
  <c r="D117" i="73"/>
  <c r="B117" i="73"/>
  <c r="F116" i="73"/>
  <c r="D116" i="73"/>
  <c r="B116" i="73"/>
  <c r="F115" i="73"/>
  <c r="D115" i="73"/>
  <c r="B115" i="73"/>
  <c r="F114" i="73"/>
  <c r="D114" i="73"/>
  <c r="B114" i="73"/>
  <c r="F110" i="73"/>
  <c r="D110" i="73"/>
  <c r="B110" i="73"/>
  <c r="F109" i="73"/>
  <c r="D109" i="73"/>
  <c r="B109" i="73"/>
  <c r="F108" i="73"/>
  <c r="D108" i="73"/>
  <c r="B108" i="73"/>
  <c r="F107" i="73"/>
  <c r="D107" i="73"/>
  <c r="B107" i="73"/>
  <c r="F106" i="73"/>
  <c r="D106" i="73"/>
  <c r="B106" i="73"/>
  <c r="F105" i="73"/>
  <c r="D105" i="73"/>
  <c r="B105" i="73"/>
  <c r="F104" i="73"/>
  <c r="D104" i="73"/>
  <c r="B104" i="73"/>
  <c r="F103" i="73"/>
  <c r="D103" i="73"/>
  <c r="B103" i="73"/>
  <c r="F102" i="73"/>
  <c r="D102" i="73"/>
  <c r="B102" i="73"/>
  <c r="F101" i="73"/>
  <c r="D101" i="73"/>
  <c r="B101" i="73"/>
  <c r="F100" i="73"/>
  <c r="D100" i="73"/>
  <c r="B100" i="73"/>
  <c r="F99" i="73"/>
  <c r="D99" i="73"/>
  <c r="B99" i="73"/>
  <c r="F98" i="73"/>
  <c r="D98" i="73"/>
  <c r="B98" i="73"/>
  <c r="F97" i="73"/>
  <c r="D97" i="73"/>
  <c r="B97" i="73"/>
  <c r="F96" i="73"/>
  <c r="D96" i="73"/>
  <c r="B96" i="73"/>
  <c r="F95" i="73"/>
  <c r="D95" i="73"/>
  <c r="B95" i="73"/>
  <c r="F94" i="73"/>
  <c r="D94" i="73"/>
  <c r="B94" i="73"/>
  <c r="F93" i="73"/>
  <c r="D93" i="73"/>
  <c r="B93" i="73"/>
  <c r="F92" i="73"/>
  <c r="D92" i="73"/>
  <c r="B92" i="73"/>
  <c r="F91" i="73"/>
  <c r="D91" i="73"/>
  <c r="B91" i="73"/>
  <c r="F90" i="73"/>
  <c r="D90" i="73"/>
  <c r="B90" i="73"/>
  <c r="F89" i="73"/>
  <c r="D89" i="73"/>
  <c r="B89" i="73"/>
  <c r="F88" i="73"/>
  <c r="D88" i="73"/>
  <c r="B88" i="73"/>
  <c r="F87" i="73"/>
  <c r="D87" i="73"/>
  <c r="B87" i="73"/>
  <c r="F86" i="73"/>
  <c r="D86" i="73"/>
  <c r="B86" i="73"/>
  <c r="F85" i="73"/>
  <c r="D85" i="73"/>
  <c r="B85" i="73"/>
  <c r="F84" i="73"/>
  <c r="D84" i="73"/>
  <c r="B84" i="73"/>
  <c r="F83" i="73"/>
  <c r="D83" i="73"/>
  <c r="B83" i="73"/>
  <c r="F82" i="73"/>
  <c r="D82" i="73"/>
  <c r="B82" i="73"/>
  <c r="F81" i="73"/>
  <c r="D81" i="73"/>
  <c r="B81" i="73"/>
  <c r="F80" i="73"/>
  <c r="D80" i="73"/>
  <c r="B80" i="73"/>
  <c r="F79" i="73"/>
  <c r="D79" i="73"/>
  <c r="B79" i="73"/>
  <c r="F78" i="73"/>
  <c r="D78" i="73"/>
  <c r="B78" i="73"/>
  <c r="F77" i="73"/>
  <c r="D77" i="73"/>
  <c r="B77" i="73"/>
  <c r="F76" i="73"/>
  <c r="D76" i="73"/>
  <c r="B76" i="73"/>
  <c r="F75" i="73"/>
  <c r="D75" i="73"/>
  <c r="B75" i="73"/>
  <c r="F74" i="73"/>
  <c r="D74" i="73"/>
  <c r="B74" i="73"/>
  <c r="F73" i="73"/>
  <c r="D73" i="73"/>
  <c r="B73" i="73"/>
  <c r="F72" i="73"/>
  <c r="D72" i="73"/>
  <c r="B72" i="73"/>
  <c r="F71" i="73"/>
  <c r="D71" i="73"/>
  <c r="B71" i="73"/>
  <c r="F70" i="73"/>
  <c r="D70" i="73"/>
  <c r="B70" i="73"/>
  <c r="F69" i="73"/>
  <c r="D69" i="73"/>
  <c r="B69" i="73"/>
  <c r="F68" i="73"/>
  <c r="D68" i="73"/>
  <c r="B68" i="73"/>
  <c r="F67" i="73"/>
  <c r="D67" i="73"/>
  <c r="B67" i="73"/>
  <c r="F66" i="73"/>
  <c r="D66" i="73"/>
  <c r="B66" i="73"/>
  <c r="F65" i="73"/>
  <c r="D65" i="73"/>
  <c r="B65" i="73"/>
  <c r="F64" i="73"/>
  <c r="D64" i="73"/>
  <c r="B64" i="73"/>
  <c r="F63" i="73"/>
  <c r="D63" i="73"/>
  <c r="B63" i="73"/>
  <c r="F62" i="73"/>
  <c r="D62" i="73"/>
  <c r="B62" i="73"/>
  <c r="F58" i="73"/>
  <c r="D58" i="73"/>
  <c r="B58" i="73"/>
  <c r="F57" i="73"/>
  <c r="D57" i="73"/>
  <c r="B57" i="73"/>
  <c r="F56" i="73"/>
  <c r="D56" i="73"/>
  <c r="B56" i="73"/>
  <c r="F55" i="73"/>
  <c r="D55" i="73"/>
  <c r="B55" i="73"/>
  <c r="F54" i="73"/>
  <c r="D54" i="73"/>
  <c r="B54" i="73"/>
  <c r="F53" i="73"/>
  <c r="D53" i="73"/>
  <c r="B53" i="73"/>
  <c r="F52" i="73"/>
  <c r="D52" i="73"/>
  <c r="B52" i="73"/>
  <c r="F51" i="73"/>
  <c r="D51" i="73"/>
  <c r="B51" i="73"/>
  <c r="F50" i="73"/>
  <c r="D50" i="73"/>
  <c r="B50" i="73"/>
  <c r="F49" i="73"/>
  <c r="D49" i="73"/>
  <c r="B49" i="73"/>
  <c r="F48" i="73"/>
  <c r="D48" i="73"/>
  <c r="B48" i="73"/>
  <c r="F47" i="73"/>
  <c r="D47" i="73"/>
  <c r="B47" i="73"/>
  <c r="F46" i="73"/>
  <c r="D46" i="73"/>
  <c r="B46" i="73"/>
  <c r="F45" i="73"/>
  <c r="D45" i="73"/>
  <c r="B45" i="73"/>
  <c r="F44" i="73"/>
  <c r="D44" i="73"/>
  <c r="B44" i="73"/>
  <c r="F43" i="73"/>
  <c r="D43" i="73"/>
  <c r="B43" i="73"/>
  <c r="F42" i="73"/>
  <c r="D42" i="73"/>
  <c r="B42" i="73"/>
  <c r="F41" i="73"/>
  <c r="D41" i="73"/>
  <c r="B41" i="73"/>
  <c r="F40" i="73"/>
  <c r="D40" i="73"/>
  <c r="B40" i="73"/>
  <c r="F39" i="73"/>
  <c r="D39" i="73"/>
  <c r="B39" i="73"/>
  <c r="F38" i="73"/>
  <c r="D38" i="73"/>
  <c r="B38" i="73"/>
  <c r="F37" i="73"/>
  <c r="D37" i="73"/>
  <c r="B37" i="73"/>
  <c r="F36" i="73"/>
  <c r="D36" i="73"/>
  <c r="B36" i="73"/>
  <c r="F35" i="73"/>
  <c r="D35" i="73"/>
  <c r="B35" i="73"/>
  <c r="F34" i="73"/>
  <c r="D34" i="73"/>
  <c r="B34" i="73"/>
  <c r="F33" i="73"/>
  <c r="D33" i="73"/>
  <c r="B33" i="73"/>
  <c r="F32" i="73"/>
  <c r="D32" i="73"/>
  <c r="B32" i="73"/>
  <c r="F31" i="73"/>
  <c r="D31" i="73"/>
  <c r="B31" i="73"/>
  <c r="F30" i="73"/>
  <c r="D30" i="73"/>
  <c r="B30" i="73"/>
  <c r="F29" i="73"/>
  <c r="D29" i="73"/>
  <c r="B29" i="73"/>
  <c r="F28" i="73"/>
  <c r="D28" i="73"/>
  <c r="B28" i="73"/>
  <c r="F27" i="73"/>
  <c r="D27" i="73"/>
  <c r="B27" i="73"/>
  <c r="F26" i="73"/>
  <c r="D26" i="73"/>
  <c r="B26" i="73"/>
  <c r="F25" i="73"/>
  <c r="D25" i="73"/>
  <c r="B25" i="73"/>
  <c r="F24" i="73"/>
  <c r="D24" i="73"/>
  <c r="B24" i="73"/>
  <c r="F23" i="73"/>
  <c r="D23" i="73"/>
  <c r="B23" i="73"/>
  <c r="F22" i="73"/>
  <c r="D22" i="73"/>
  <c r="B22" i="73"/>
  <c r="F21" i="73"/>
  <c r="D21" i="73"/>
  <c r="B21" i="73"/>
  <c r="F20" i="73"/>
  <c r="D20" i="73"/>
  <c r="B20" i="73"/>
  <c r="F19" i="73"/>
  <c r="D19" i="73"/>
  <c r="B19" i="73"/>
  <c r="F18" i="73"/>
  <c r="D18" i="73"/>
  <c r="B18" i="73"/>
  <c r="F17" i="73"/>
  <c r="D17" i="73"/>
  <c r="B17" i="73"/>
  <c r="F16" i="73"/>
  <c r="D16" i="73"/>
  <c r="B16" i="73"/>
  <c r="F15" i="73"/>
  <c r="D15" i="73"/>
  <c r="B15" i="73"/>
  <c r="F14" i="73"/>
  <c r="D14" i="73"/>
  <c r="B14" i="73"/>
  <c r="F13" i="73"/>
  <c r="D13" i="73"/>
  <c r="B13" i="73"/>
  <c r="F12" i="73"/>
  <c r="D12" i="73"/>
  <c r="B12" i="73"/>
  <c r="F11" i="73"/>
  <c r="D11" i="73"/>
  <c r="B11" i="73"/>
  <c r="F10" i="73"/>
  <c r="D10" i="73"/>
  <c r="B10" i="73"/>
  <c r="F264" i="79"/>
  <c r="D264" i="79"/>
  <c r="B264" i="79"/>
  <c r="F263" i="79"/>
  <c r="D263" i="79"/>
  <c r="B263" i="79"/>
  <c r="F262" i="79"/>
  <c r="D262" i="79"/>
  <c r="B262" i="79"/>
  <c r="F261" i="79"/>
  <c r="D261" i="79"/>
  <c r="B261" i="79"/>
  <c r="F260" i="79"/>
  <c r="D260" i="79"/>
  <c r="B260" i="79"/>
  <c r="F259" i="79"/>
  <c r="D259" i="79"/>
  <c r="B259" i="79"/>
  <c r="F258" i="79"/>
  <c r="D258" i="79"/>
  <c r="B258" i="79"/>
  <c r="F257" i="79"/>
  <c r="D257" i="79"/>
  <c r="B257" i="79"/>
  <c r="F256" i="79"/>
  <c r="D256" i="79"/>
  <c r="B256" i="79"/>
  <c r="F255" i="79"/>
  <c r="D255" i="79"/>
  <c r="B255" i="79"/>
  <c r="F254" i="79"/>
  <c r="D254" i="79"/>
  <c r="B254" i="79"/>
  <c r="F253" i="79"/>
  <c r="D253" i="79"/>
  <c r="B253" i="79"/>
  <c r="F252" i="79"/>
  <c r="D252" i="79"/>
  <c r="B252" i="79"/>
  <c r="F251" i="79"/>
  <c r="D251" i="79"/>
  <c r="B251" i="79"/>
  <c r="F250" i="79"/>
  <c r="D250" i="79"/>
  <c r="B250" i="79"/>
  <c r="F249" i="79"/>
  <c r="D249" i="79"/>
  <c r="B249" i="79"/>
  <c r="F248" i="79"/>
  <c r="D248" i="79"/>
  <c r="B248" i="79"/>
  <c r="F247" i="79"/>
  <c r="D247" i="79"/>
  <c r="B247" i="79"/>
  <c r="F246" i="79"/>
  <c r="D246" i="79"/>
  <c r="B246" i="79"/>
  <c r="F245" i="79"/>
  <c r="D245" i="79"/>
  <c r="B245" i="79"/>
  <c r="F244" i="79"/>
  <c r="D244" i="79"/>
  <c r="B244" i="79"/>
  <c r="F243" i="79"/>
  <c r="D243" i="79"/>
  <c r="B243" i="79"/>
  <c r="F242" i="79"/>
  <c r="D242" i="79"/>
  <c r="B242" i="79"/>
  <c r="F241" i="79"/>
  <c r="D241" i="79"/>
  <c r="B241" i="79"/>
  <c r="F240" i="79"/>
  <c r="D240" i="79"/>
  <c r="B240" i="79"/>
  <c r="F239" i="79"/>
  <c r="D239" i="79"/>
  <c r="B239" i="79"/>
  <c r="F238" i="79"/>
  <c r="D238" i="79"/>
  <c r="B238" i="79"/>
  <c r="F237" i="79"/>
  <c r="D237" i="79"/>
  <c r="B237" i="79"/>
  <c r="F236" i="79"/>
  <c r="D236" i="79"/>
  <c r="B236" i="79"/>
  <c r="F235" i="79"/>
  <c r="D235" i="79"/>
  <c r="B235" i="79"/>
  <c r="F234" i="79"/>
  <c r="D234" i="79"/>
  <c r="B234" i="79"/>
  <c r="F233" i="79"/>
  <c r="D233" i="79"/>
  <c r="B233" i="79"/>
  <c r="F232" i="79"/>
  <c r="D232" i="79"/>
  <c r="B232" i="79"/>
  <c r="F231" i="79"/>
  <c r="D231" i="79"/>
  <c r="B231" i="79"/>
  <c r="F230" i="79"/>
  <c r="D230" i="79"/>
  <c r="B230" i="79"/>
  <c r="F229" i="79"/>
  <c r="D229" i="79"/>
  <c r="B229" i="79"/>
  <c r="F228" i="79"/>
  <c r="D228" i="79"/>
  <c r="B228" i="79"/>
  <c r="F227" i="79"/>
  <c r="D227" i="79"/>
  <c r="B227" i="79"/>
  <c r="F226" i="79"/>
  <c r="D226" i="79"/>
  <c r="B226" i="79"/>
  <c r="F225" i="79"/>
  <c r="D225" i="79"/>
  <c r="B225" i="79"/>
  <c r="F224" i="79"/>
  <c r="D224" i="79"/>
  <c r="B224" i="79"/>
  <c r="F223" i="79"/>
  <c r="D223" i="79"/>
  <c r="B223" i="79"/>
  <c r="F222" i="79"/>
  <c r="D222" i="79"/>
  <c r="B222" i="79"/>
  <c r="F221" i="79"/>
  <c r="D221" i="79"/>
  <c r="B221" i="79"/>
  <c r="F220" i="79"/>
  <c r="D220" i="79"/>
  <c r="B220" i="79"/>
  <c r="F219" i="79"/>
  <c r="D219" i="79"/>
  <c r="B219" i="79"/>
  <c r="F218" i="79"/>
  <c r="D218" i="79"/>
  <c r="B218" i="79"/>
  <c r="F217" i="79"/>
  <c r="D217" i="79"/>
  <c r="B217" i="79"/>
  <c r="F216" i="79"/>
  <c r="D216" i="79"/>
  <c r="B216" i="79"/>
  <c r="F214" i="79"/>
  <c r="D214" i="79"/>
  <c r="B214" i="79"/>
  <c r="F213" i="79"/>
  <c r="D213" i="79"/>
  <c r="B213" i="79"/>
  <c r="F212" i="79"/>
  <c r="D212" i="79"/>
  <c r="B212" i="79"/>
  <c r="F211" i="79"/>
  <c r="D211" i="79"/>
  <c r="B211" i="79"/>
  <c r="F210" i="79"/>
  <c r="D210" i="79"/>
  <c r="B210" i="79"/>
  <c r="F209" i="79"/>
  <c r="D209" i="79"/>
  <c r="B209" i="79"/>
  <c r="F208" i="79"/>
  <c r="D208" i="79"/>
  <c r="B208" i="79"/>
  <c r="F207" i="79"/>
  <c r="D207" i="79"/>
  <c r="B207" i="79"/>
  <c r="F206" i="79"/>
  <c r="D206" i="79"/>
  <c r="B206" i="79"/>
  <c r="F205" i="79"/>
  <c r="D205" i="79"/>
  <c r="B205" i="79"/>
  <c r="F204" i="79"/>
  <c r="D204" i="79"/>
  <c r="B204" i="79"/>
  <c r="F203" i="79"/>
  <c r="D203" i="79"/>
  <c r="B203" i="79"/>
  <c r="F202" i="79"/>
  <c r="D202" i="79"/>
  <c r="B202" i="79"/>
  <c r="F201" i="79"/>
  <c r="D201" i="79"/>
  <c r="B201" i="79"/>
  <c r="F200" i="79"/>
  <c r="D200" i="79"/>
  <c r="B200" i="79"/>
  <c r="F199" i="79"/>
  <c r="D199" i="79"/>
  <c r="B199" i="79"/>
  <c r="F198" i="79"/>
  <c r="D198" i="79"/>
  <c r="B198" i="79"/>
  <c r="F197" i="79"/>
  <c r="D197" i="79"/>
  <c r="B197" i="79"/>
  <c r="F196" i="79"/>
  <c r="D196" i="79"/>
  <c r="B196" i="79"/>
  <c r="F195" i="79"/>
  <c r="D195" i="79"/>
  <c r="B195" i="79"/>
  <c r="F194" i="79"/>
  <c r="D194" i="79"/>
  <c r="B194" i="79"/>
  <c r="F193" i="79"/>
  <c r="D193" i="79"/>
  <c r="B193" i="79"/>
  <c r="F192" i="79"/>
  <c r="D192" i="79"/>
  <c r="B192" i="79"/>
  <c r="F191" i="79"/>
  <c r="D191" i="79"/>
  <c r="B191" i="79"/>
  <c r="F190" i="79"/>
  <c r="D190" i="79"/>
  <c r="B190" i="79"/>
  <c r="F189" i="79"/>
  <c r="D189" i="79"/>
  <c r="B189" i="79"/>
  <c r="F188" i="79"/>
  <c r="D188" i="79"/>
  <c r="B188" i="79"/>
  <c r="F187" i="79"/>
  <c r="D187" i="79"/>
  <c r="B187" i="79"/>
  <c r="F186" i="79"/>
  <c r="D186" i="79"/>
  <c r="B186" i="79"/>
  <c r="F185" i="79"/>
  <c r="D185" i="79"/>
  <c r="B185" i="79"/>
  <c r="F184" i="79"/>
  <c r="D184" i="79"/>
  <c r="B184" i="79"/>
  <c r="F183" i="79"/>
  <c r="D183" i="79"/>
  <c r="B183" i="79"/>
  <c r="F182" i="79"/>
  <c r="D182" i="79"/>
  <c r="B182" i="79"/>
  <c r="F181" i="79"/>
  <c r="D181" i="79"/>
  <c r="B181" i="79"/>
  <c r="F180" i="79"/>
  <c r="D180" i="79"/>
  <c r="B180" i="79"/>
  <c r="F179" i="79"/>
  <c r="D179" i="79"/>
  <c r="B179" i="79"/>
  <c r="F178" i="79"/>
  <c r="D178" i="79"/>
  <c r="B178" i="79"/>
  <c r="F177" i="79"/>
  <c r="D177" i="79"/>
  <c r="B177" i="79"/>
  <c r="F176" i="79"/>
  <c r="D176" i="79"/>
  <c r="B176" i="79"/>
  <c r="F175" i="79"/>
  <c r="D175" i="79"/>
  <c r="B175" i="79"/>
  <c r="F174" i="79"/>
  <c r="D174" i="79"/>
  <c r="B174" i="79"/>
  <c r="F173" i="79"/>
  <c r="D173" i="79"/>
  <c r="B173" i="79"/>
  <c r="F172" i="79"/>
  <c r="D172" i="79"/>
  <c r="B172" i="79"/>
  <c r="F171" i="79"/>
  <c r="D171" i="79"/>
  <c r="B171" i="79"/>
  <c r="F170" i="79"/>
  <c r="D170" i="79"/>
  <c r="B170" i="79"/>
  <c r="F169" i="79"/>
  <c r="D169" i="79"/>
  <c r="B169" i="79"/>
  <c r="F168" i="79"/>
  <c r="D168" i="79"/>
  <c r="B168" i="79"/>
  <c r="F167" i="79"/>
  <c r="D167" i="79"/>
  <c r="B167" i="79"/>
  <c r="F166" i="79"/>
  <c r="D166" i="79"/>
  <c r="B166" i="79"/>
  <c r="F162" i="79"/>
  <c r="D162" i="79"/>
  <c r="B162" i="79"/>
  <c r="F161" i="79"/>
  <c r="D161" i="79"/>
  <c r="B161" i="79"/>
  <c r="F160" i="79"/>
  <c r="D160" i="79"/>
  <c r="B160" i="79"/>
  <c r="F159" i="79"/>
  <c r="D159" i="79"/>
  <c r="B159" i="79"/>
  <c r="F158" i="79"/>
  <c r="D158" i="79"/>
  <c r="B158" i="79"/>
  <c r="F157" i="79"/>
  <c r="D157" i="79"/>
  <c r="B157" i="79"/>
  <c r="F156" i="79"/>
  <c r="D156" i="79"/>
  <c r="B156" i="79"/>
  <c r="F155" i="79"/>
  <c r="D155" i="79"/>
  <c r="B155" i="79"/>
  <c r="F154" i="79"/>
  <c r="D154" i="79"/>
  <c r="B154" i="79"/>
  <c r="F153" i="79"/>
  <c r="D153" i="79"/>
  <c r="B153" i="79"/>
  <c r="F152" i="79"/>
  <c r="D152" i="79"/>
  <c r="B152" i="79"/>
  <c r="F151" i="79"/>
  <c r="D151" i="79"/>
  <c r="B151" i="79"/>
  <c r="F150" i="79"/>
  <c r="D150" i="79"/>
  <c r="B150" i="79"/>
  <c r="F149" i="79"/>
  <c r="D149" i="79"/>
  <c r="B149" i="79"/>
  <c r="F148" i="79"/>
  <c r="D148" i="79"/>
  <c r="B148" i="79"/>
  <c r="F147" i="79"/>
  <c r="D147" i="79"/>
  <c r="B147" i="79"/>
  <c r="F146" i="79"/>
  <c r="D146" i="79"/>
  <c r="B146" i="79"/>
  <c r="F145" i="79"/>
  <c r="D145" i="79"/>
  <c r="B145" i="79"/>
  <c r="F144" i="79"/>
  <c r="D144" i="79"/>
  <c r="B144" i="79"/>
  <c r="F143" i="79"/>
  <c r="D143" i="79"/>
  <c r="B143" i="79"/>
  <c r="F142" i="79"/>
  <c r="D142" i="79"/>
  <c r="B142" i="79"/>
  <c r="F141" i="79"/>
  <c r="D141" i="79"/>
  <c r="B141" i="79"/>
  <c r="F140" i="79"/>
  <c r="D140" i="79"/>
  <c r="B140" i="79"/>
  <c r="F139" i="79"/>
  <c r="D139" i="79"/>
  <c r="B139" i="79"/>
  <c r="F138" i="79"/>
  <c r="D138" i="79"/>
  <c r="B138" i="79"/>
  <c r="F137" i="79"/>
  <c r="D137" i="79"/>
  <c r="B137" i="79"/>
  <c r="F136" i="79"/>
  <c r="D136" i="79"/>
  <c r="B136" i="79"/>
  <c r="F135" i="79"/>
  <c r="D135" i="79"/>
  <c r="B135" i="79"/>
  <c r="F134" i="79"/>
  <c r="D134" i="79"/>
  <c r="B134" i="79"/>
  <c r="F133" i="79"/>
  <c r="D133" i="79"/>
  <c r="B133" i="79"/>
  <c r="F132" i="79"/>
  <c r="D132" i="79"/>
  <c r="B132" i="79"/>
  <c r="F131" i="79"/>
  <c r="D131" i="79"/>
  <c r="B131" i="79"/>
  <c r="F130" i="79"/>
  <c r="D130" i="79"/>
  <c r="B130" i="79"/>
  <c r="F129" i="79"/>
  <c r="D129" i="79"/>
  <c r="B129" i="79"/>
  <c r="F128" i="79"/>
  <c r="D128" i="79"/>
  <c r="B128" i="79"/>
  <c r="F127" i="79"/>
  <c r="D127" i="79"/>
  <c r="B127" i="79"/>
  <c r="F126" i="79"/>
  <c r="D126" i="79"/>
  <c r="B126" i="79"/>
  <c r="F125" i="79"/>
  <c r="D125" i="79"/>
  <c r="B125" i="79"/>
  <c r="F124" i="79"/>
  <c r="D124" i="79"/>
  <c r="B124" i="79"/>
  <c r="F123" i="79"/>
  <c r="D123" i="79"/>
  <c r="B123" i="79"/>
  <c r="F122" i="79"/>
  <c r="D122" i="79"/>
  <c r="B122" i="79"/>
  <c r="F121" i="79"/>
  <c r="D121" i="79"/>
  <c r="B121" i="79"/>
  <c r="F120" i="79"/>
  <c r="D120" i="79"/>
  <c r="B120" i="79"/>
  <c r="F119" i="79"/>
  <c r="D119" i="79"/>
  <c r="B119" i="79"/>
  <c r="F118" i="79"/>
  <c r="D118" i="79"/>
  <c r="B118" i="79"/>
  <c r="F117" i="79"/>
  <c r="D117" i="79"/>
  <c r="B117" i="79"/>
  <c r="F116" i="79"/>
  <c r="D116" i="79"/>
  <c r="B116" i="79"/>
  <c r="F115" i="79"/>
  <c r="D115" i="79"/>
  <c r="B115" i="79"/>
  <c r="F114" i="79"/>
  <c r="D114" i="79"/>
  <c r="B114" i="79"/>
  <c r="F110" i="79"/>
  <c r="D110" i="79"/>
  <c r="B110" i="79"/>
  <c r="F109" i="79"/>
  <c r="D109" i="79"/>
  <c r="B109" i="79"/>
  <c r="F108" i="79"/>
  <c r="D108" i="79"/>
  <c r="B108" i="79"/>
  <c r="F107" i="79"/>
  <c r="D107" i="79"/>
  <c r="B107" i="79"/>
  <c r="F106" i="79"/>
  <c r="D106" i="79"/>
  <c r="B106" i="79"/>
  <c r="F105" i="79"/>
  <c r="D105" i="79"/>
  <c r="B105" i="79"/>
  <c r="F104" i="79"/>
  <c r="D104" i="79"/>
  <c r="B104" i="79"/>
  <c r="F103" i="79"/>
  <c r="D103" i="79"/>
  <c r="B103" i="79"/>
  <c r="F102" i="79"/>
  <c r="D102" i="79"/>
  <c r="B102" i="79"/>
  <c r="F101" i="79"/>
  <c r="D101" i="79"/>
  <c r="B101" i="79"/>
  <c r="F100" i="79"/>
  <c r="D100" i="79"/>
  <c r="B100" i="79"/>
  <c r="F99" i="79"/>
  <c r="D99" i="79"/>
  <c r="B99" i="79"/>
  <c r="F98" i="79"/>
  <c r="D98" i="79"/>
  <c r="B98" i="79"/>
  <c r="F97" i="79"/>
  <c r="D97" i="79"/>
  <c r="B97" i="79"/>
  <c r="F96" i="79"/>
  <c r="D96" i="79"/>
  <c r="B96" i="79"/>
  <c r="F95" i="79"/>
  <c r="D95" i="79"/>
  <c r="B95" i="79"/>
  <c r="F94" i="79"/>
  <c r="D94" i="79"/>
  <c r="B94" i="79"/>
  <c r="F93" i="79"/>
  <c r="D93" i="79"/>
  <c r="B93" i="79"/>
  <c r="F92" i="79"/>
  <c r="D92" i="79"/>
  <c r="B92" i="79"/>
  <c r="F91" i="79"/>
  <c r="D91" i="79"/>
  <c r="B91" i="79"/>
  <c r="F90" i="79"/>
  <c r="D90" i="79"/>
  <c r="B90" i="79"/>
  <c r="F89" i="79"/>
  <c r="D89" i="79"/>
  <c r="B89" i="79"/>
  <c r="F88" i="79"/>
  <c r="D88" i="79"/>
  <c r="B88" i="79"/>
  <c r="F87" i="79"/>
  <c r="D87" i="79"/>
  <c r="B87" i="79"/>
  <c r="F86" i="79"/>
  <c r="D86" i="79"/>
  <c r="B86" i="79"/>
  <c r="F85" i="79"/>
  <c r="D85" i="79"/>
  <c r="B85" i="79"/>
  <c r="F84" i="79"/>
  <c r="D84" i="79"/>
  <c r="B84" i="79"/>
  <c r="F83" i="79"/>
  <c r="D83" i="79"/>
  <c r="B83" i="79"/>
  <c r="F82" i="79"/>
  <c r="D82" i="79"/>
  <c r="B82" i="79"/>
  <c r="F81" i="79"/>
  <c r="D81" i="79"/>
  <c r="B81" i="79"/>
  <c r="F80" i="79"/>
  <c r="D80" i="79"/>
  <c r="B80" i="79"/>
  <c r="F79" i="79"/>
  <c r="D79" i="79"/>
  <c r="B79" i="79"/>
  <c r="F78" i="79"/>
  <c r="D78" i="79"/>
  <c r="B78" i="79"/>
  <c r="F77" i="79"/>
  <c r="D77" i="79"/>
  <c r="B77" i="79"/>
  <c r="F76" i="79"/>
  <c r="D76" i="79"/>
  <c r="B76" i="79"/>
  <c r="F75" i="79"/>
  <c r="D75" i="79"/>
  <c r="B75" i="79"/>
  <c r="F74" i="79"/>
  <c r="D74" i="79"/>
  <c r="B74" i="79"/>
  <c r="F73" i="79"/>
  <c r="D73" i="79"/>
  <c r="B73" i="79"/>
  <c r="F72" i="79"/>
  <c r="D72" i="79"/>
  <c r="B72" i="79"/>
  <c r="F71" i="79"/>
  <c r="D71" i="79"/>
  <c r="B71" i="79"/>
  <c r="F70" i="79"/>
  <c r="D70" i="79"/>
  <c r="B70" i="79"/>
  <c r="F69" i="79"/>
  <c r="D69" i="79"/>
  <c r="B69" i="79"/>
  <c r="F68" i="79"/>
  <c r="D68" i="79"/>
  <c r="B68" i="79"/>
  <c r="F67" i="79"/>
  <c r="D67" i="79"/>
  <c r="B67" i="79"/>
  <c r="F66" i="79"/>
  <c r="D66" i="79"/>
  <c r="B66" i="79"/>
  <c r="F65" i="79"/>
  <c r="D65" i="79"/>
  <c r="B65" i="79"/>
  <c r="F64" i="79"/>
  <c r="D64" i="79"/>
  <c r="B64" i="79"/>
  <c r="F63" i="79"/>
  <c r="D63" i="79"/>
  <c r="B63" i="79"/>
  <c r="F62" i="79"/>
  <c r="D62" i="79"/>
  <c r="B62" i="79"/>
  <c r="F58" i="79"/>
  <c r="D58" i="79"/>
  <c r="B58" i="79"/>
  <c r="F57" i="79"/>
  <c r="D57" i="79"/>
  <c r="B57" i="79"/>
  <c r="F56" i="79"/>
  <c r="D56" i="79"/>
  <c r="B56" i="79"/>
  <c r="F55" i="79"/>
  <c r="D55" i="79"/>
  <c r="B55" i="79"/>
  <c r="F54" i="79"/>
  <c r="D54" i="79"/>
  <c r="B54" i="79"/>
  <c r="F53" i="79"/>
  <c r="D53" i="79"/>
  <c r="B53" i="79"/>
  <c r="F52" i="79"/>
  <c r="D52" i="79"/>
  <c r="B52" i="79"/>
  <c r="F51" i="79"/>
  <c r="D51" i="79"/>
  <c r="B51" i="79"/>
  <c r="F50" i="79"/>
  <c r="D50" i="79"/>
  <c r="B50" i="79"/>
  <c r="F49" i="79"/>
  <c r="D49" i="79"/>
  <c r="B49" i="79"/>
  <c r="F48" i="79"/>
  <c r="D48" i="79"/>
  <c r="B48" i="79"/>
  <c r="F47" i="79"/>
  <c r="D47" i="79"/>
  <c r="B47" i="79"/>
  <c r="F46" i="79"/>
  <c r="D46" i="79"/>
  <c r="B46" i="79"/>
  <c r="F45" i="79"/>
  <c r="D45" i="79"/>
  <c r="B45" i="79"/>
  <c r="F44" i="79"/>
  <c r="D44" i="79"/>
  <c r="B44" i="79"/>
  <c r="F43" i="79"/>
  <c r="D43" i="79"/>
  <c r="B43" i="79"/>
  <c r="F42" i="79"/>
  <c r="D42" i="79"/>
  <c r="B42" i="79"/>
  <c r="F41" i="79"/>
  <c r="D41" i="79"/>
  <c r="B41" i="79"/>
  <c r="F40" i="79"/>
  <c r="D40" i="79"/>
  <c r="B40" i="79"/>
  <c r="F39" i="79"/>
  <c r="D39" i="79"/>
  <c r="B39" i="79"/>
  <c r="F38" i="79"/>
  <c r="D38" i="79"/>
  <c r="B38" i="79"/>
  <c r="F37" i="79"/>
  <c r="D37" i="79"/>
  <c r="B37" i="79"/>
  <c r="F36" i="79"/>
  <c r="D36" i="79"/>
  <c r="B36" i="79"/>
  <c r="F35" i="79"/>
  <c r="D35" i="79"/>
  <c r="B35" i="79"/>
  <c r="F34" i="79"/>
  <c r="D34" i="79"/>
  <c r="B34" i="79"/>
  <c r="F33" i="79"/>
  <c r="D33" i="79"/>
  <c r="B33" i="79"/>
  <c r="F32" i="79"/>
  <c r="D32" i="79"/>
  <c r="B32" i="79"/>
  <c r="F31" i="79"/>
  <c r="D31" i="79"/>
  <c r="B31" i="79"/>
  <c r="F30" i="79"/>
  <c r="D30" i="79"/>
  <c r="B30" i="79"/>
  <c r="F29" i="79"/>
  <c r="D29" i="79"/>
  <c r="B29" i="79"/>
  <c r="F28" i="79"/>
  <c r="D28" i="79"/>
  <c r="B28" i="79"/>
  <c r="F27" i="79"/>
  <c r="D27" i="79"/>
  <c r="B27" i="79"/>
  <c r="F26" i="79"/>
  <c r="D26" i="79"/>
  <c r="B26" i="79"/>
  <c r="F25" i="79"/>
  <c r="D25" i="79"/>
  <c r="B25" i="79"/>
  <c r="F24" i="79"/>
  <c r="D24" i="79"/>
  <c r="B24" i="79"/>
  <c r="F23" i="79"/>
  <c r="D23" i="79"/>
  <c r="B23" i="79"/>
  <c r="F22" i="79"/>
  <c r="D22" i="79"/>
  <c r="B22" i="79"/>
  <c r="F21" i="79"/>
  <c r="D21" i="79"/>
  <c r="B21" i="79"/>
  <c r="F20" i="79"/>
  <c r="D20" i="79"/>
  <c r="B20" i="79"/>
  <c r="F19" i="79"/>
  <c r="D19" i="79"/>
  <c r="B19" i="79"/>
  <c r="F18" i="79"/>
  <c r="D18" i="79"/>
  <c r="B18" i="79"/>
  <c r="F17" i="79"/>
  <c r="D17" i="79"/>
  <c r="B17" i="79"/>
  <c r="F16" i="79"/>
  <c r="D16" i="79"/>
  <c r="B16" i="79"/>
  <c r="F15" i="79"/>
  <c r="D15" i="79"/>
  <c r="B15" i="79"/>
  <c r="F14" i="79"/>
  <c r="D14" i="79"/>
  <c r="B14" i="79"/>
  <c r="F13" i="79"/>
  <c r="D13" i="79"/>
  <c r="B13" i="79"/>
  <c r="F12" i="79"/>
  <c r="D12" i="79"/>
  <c r="B12" i="79"/>
  <c r="F11" i="79"/>
  <c r="D11" i="79"/>
  <c r="B11" i="79"/>
  <c r="F10" i="79"/>
  <c r="D10" i="79"/>
  <c r="B10" i="79"/>
  <c r="F301" i="88"/>
  <c r="D301" i="88"/>
  <c r="B301" i="88"/>
  <c r="F300" i="88"/>
  <c r="D300" i="88"/>
  <c r="B300" i="88"/>
  <c r="F299" i="88"/>
  <c r="D299" i="88"/>
  <c r="B299" i="88"/>
  <c r="F298" i="88"/>
  <c r="D298" i="88"/>
  <c r="B298" i="88"/>
  <c r="F297" i="88"/>
  <c r="D297" i="88"/>
  <c r="B297" i="88"/>
  <c r="F296" i="88"/>
  <c r="D296" i="88"/>
  <c r="B296" i="88"/>
  <c r="F295" i="88"/>
  <c r="D295" i="88"/>
  <c r="B295" i="88"/>
  <c r="F294" i="88"/>
  <c r="D294" i="88"/>
  <c r="B294" i="88"/>
  <c r="F293" i="88"/>
  <c r="D293" i="88"/>
  <c r="B293" i="88"/>
  <c r="F292" i="88"/>
  <c r="D292" i="88"/>
  <c r="B292" i="88"/>
  <c r="F291" i="88"/>
  <c r="D291" i="88"/>
  <c r="B291" i="88"/>
  <c r="F290" i="88"/>
  <c r="D290" i="88"/>
  <c r="B290" i="88"/>
  <c r="F289" i="88"/>
  <c r="D289" i="88"/>
  <c r="B289" i="88"/>
  <c r="F288" i="88"/>
  <c r="D288" i="88"/>
  <c r="B288" i="88"/>
  <c r="F287" i="88"/>
  <c r="D287" i="88"/>
  <c r="B287" i="88"/>
  <c r="F286" i="88"/>
  <c r="D286" i="88"/>
  <c r="B286" i="88"/>
  <c r="F285" i="88"/>
  <c r="D285" i="88"/>
  <c r="B285" i="88"/>
  <c r="F284" i="88"/>
  <c r="D284" i="88"/>
  <c r="B284" i="88"/>
  <c r="F283" i="88"/>
  <c r="D283" i="88"/>
  <c r="B283" i="88"/>
  <c r="F282" i="88"/>
  <c r="D282" i="88"/>
  <c r="B282" i="88"/>
  <c r="F281" i="88"/>
  <c r="D281" i="88"/>
  <c r="B281" i="88"/>
  <c r="F280" i="88"/>
  <c r="D280" i="88"/>
  <c r="B280" i="88"/>
  <c r="F279" i="88"/>
  <c r="D279" i="88"/>
  <c r="B279" i="88"/>
  <c r="F278" i="88"/>
  <c r="D278" i="88"/>
  <c r="B278" i="88"/>
  <c r="F277" i="88"/>
  <c r="D277" i="88"/>
  <c r="B277" i="88"/>
  <c r="F276" i="88"/>
  <c r="D276" i="88"/>
  <c r="B276" i="88"/>
  <c r="F275" i="88"/>
  <c r="D275" i="88"/>
  <c r="B275" i="88"/>
  <c r="F274" i="88"/>
  <c r="D274" i="88"/>
  <c r="B274" i="88"/>
  <c r="F273" i="88"/>
  <c r="D273" i="88"/>
  <c r="B273" i="88"/>
  <c r="F272" i="88"/>
  <c r="D272" i="88"/>
  <c r="B272" i="88"/>
  <c r="F271" i="88"/>
  <c r="D271" i="88"/>
  <c r="B271" i="88"/>
  <c r="F270" i="88"/>
  <c r="D270" i="88"/>
  <c r="B270" i="88"/>
  <c r="F269" i="88"/>
  <c r="D269" i="88"/>
  <c r="B269" i="88"/>
  <c r="F268" i="88"/>
  <c r="D268" i="88"/>
  <c r="B268" i="88"/>
  <c r="F267" i="88"/>
  <c r="D267" i="88"/>
  <c r="B267" i="88"/>
  <c r="F266" i="88"/>
  <c r="D266" i="88"/>
  <c r="B266" i="88"/>
  <c r="F265" i="88"/>
  <c r="D265" i="88"/>
  <c r="B265" i="88"/>
  <c r="F264" i="88"/>
  <c r="D264" i="88"/>
  <c r="B264" i="88"/>
  <c r="F263" i="88"/>
  <c r="D263" i="88"/>
  <c r="B263" i="88"/>
  <c r="F262" i="88"/>
  <c r="D262" i="88"/>
  <c r="B262" i="88"/>
  <c r="F261" i="88"/>
  <c r="D261" i="88"/>
  <c r="B261" i="88"/>
  <c r="F260" i="88"/>
  <c r="D260" i="88"/>
  <c r="B260" i="88"/>
  <c r="F259" i="88"/>
  <c r="D259" i="88"/>
  <c r="B259" i="88"/>
  <c r="F258" i="88"/>
  <c r="D258" i="88"/>
  <c r="B258" i="88"/>
  <c r="F257" i="88"/>
  <c r="D257" i="88"/>
  <c r="B257" i="88"/>
  <c r="F256" i="88"/>
  <c r="D256" i="88"/>
  <c r="B256" i="88"/>
  <c r="F255" i="88"/>
  <c r="D255" i="88"/>
  <c r="B255" i="88"/>
  <c r="F203" i="88"/>
  <c r="D203" i="88"/>
  <c r="B203" i="88"/>
  <c r="F202" i="88"/>
  <c r="D202" i="88"/>
  <c r="B202" i="88"/>
  <c r="F201" i="88"/>
  <c r="D201" i="88"/>
  <c r="B201" i="88"/>
  <c r="F200" i="88"/>
  <c r="D200" i="88"/>
  <c r="B200" i="88"/>
  <c r="F199" i="88"/>
  <c r="D199" i="88"/>
  <c r="B199" i="88"/>
  <c r="F198" i="88"/>
  <c r="D198" i="88"/>
  <c r="B198" i="88"/>
  <c r="F197" i="88"/>
  <c r="D197" i="88"/>
  <c r="B197" i="88"/>
  <c r="F196" i="88"/>
  <c r="D196" i="88"/>
  <c r="B196" i="88"/>
  <c r="F195" i="88"/>
  <c r="D195" i="88"/>
  <c r="B195" i="88"/>
  <c r="F194" i="88"/>
  <c r="D194" i="88"/>
  <c r="B194" i="88"/>
  <c r="F193" i="88"/>
  <c r="D193" i="88"/>
  <c r="B193" i="88"/>
  <c r="F192" i="88"/>
  <c r="D192" i="88"/>
  <c r="B192" i="88"/>
  <c r="F191" i="88"/>
  <c r="D191" i="88"/>
  <c r="B191" i="88"/>
  <c r="F190" i="88"/>
  <c r="D190" i="88"/>
  <c r="B190" i="88"/>
  <c r="F189" i="88"/>
  <c r="D189" i="88"/>
  <c r="B189" i="88"/>
  <c r="F188" i="88"/>
  <c r="D188" i="88"/>
  <c r="B188" i="88"/>
  <c r="F187" i="88"/>
  <c r="D187" i="88"/>
  <c r="B187" i="88"/>
  <c r="F186" i="88"/>
  <c r="D186" i="88"/>
  <c r="B186" i="88"/>
  <c r="F185" i="88"/>
  <c r="D185" i="88"/>
  <c r="B185" i="88"/>
  <c r="F184" i="88"/>
  <c r="D184" i="88"/>
  <c r="B184" i="88"/>
  <c r="F183" i="88"/>
  <c r="D183" i="88"/>
  <c r="B183" i="88"/>
  <c r="F182" i="88"/>
  <c r="D182" i="88"/>
  <c r="B182" i="88"/>
  <c r="F181" i="88"/>
  <c r="D181" i="88"/>
  <c r="B181" i="88"/>
  <c r="F180" i="88"/>
  <c r="D180" i="88"/>
  <c r="B180" i="88"/>
  <c r="F179" i="88"/>
  <c r="D179" i="88"/>
  <c r="B179" i="88"/>
  <c r="F178" i="88"/>
  <c r="D178" i="88"/>
  <c r="B178" i="88"/>
  <c r="F177" i="88"/>
  <c r="D177" i="88"/>
  <c r="B177" i="88"/>
  <c r="F176" i="88"/>
  <c r="D176" i="88"/>
  <c r="B176" i="88"/>
  <c r="F175" i="88"/>
  <c r="D175" i="88"/>
  <c r="B175" i="88"/>
  <c r="F174" i="88"/>
  <c r="D174" i="88"/>
  <c r="B174" i="88"/>
  <c r="F173" i="88"/>
  <c r="D173" i="88"/>
  <c r="B173" i="88"/>
  <c r="F172" i="88"/>
  <c r="D172" i="88"/>
  <c r="B172" i="88"/>
  <c r="F171" i="88"/>
  <c r="D171" i="88"/>
  <c r="B171" i="88"/>
  <c r="F170" i="88"/>
  <c r="D170" i="88"/>
  <c r="B170" i="88"/>
  <c r="F169" i="88"/>
  <c r="D169" i="88"/>
  <c r="B169" i="88"/>
  <c r="F168" i="88"/>
  <c r="D168" i="88"/>
  <c r="B168" i="88"/>
  <c r="F167" i="88"/>
  <c r="D167" i="88"/>
  <c r="B167" i="88"/>
  <c r="F166" i="88"/>
  <c r="D166" i="88"/>
  <c r="B166" i="88"/>
  <c r="F165" i="88"/>
  <c r="D165" i="88"/>
  <c r="B165" i="88"/>
  <c r="F164" i="88"/>
  <c r="D164" i="88"/>
  <c r="B164" i="88"/>
  <c r="F163" i="88"/>
  <c r="D163" i="88"/>
  <c r="B163" i="88"/>
  <c r="F162" i="88"/>
  <c r="D162" i="88"/>
  <c r="B162" i="88"/>
  <c r="F161" i="88"/>
  <c r="D161" i="88"/>
  <c r="B161" i="88"/>
  <c r="F160" i="88"/>
  <c r="D160" i="88"/>
  <c r="B160" i="88"/>
  <c r="F159" i="88"/>
  <c r="D159" i="88"/>
  <c r="B159" i="88"/>
  <c r="F158" i="88"/>
  <c r="D158" i="88"/>
  <c r="B158" i="88"/>
  <c r="F157" i="88"/>
  <c r="D157" i="88"/>
  <c r="B157" i="88"/>
  <c r="F154" i="88"/>
  <c r="D154" i="88"/>
  <c r="B154" i="88"/>
  <c r="F153" i="88"/>
  <c r="D153" i="88"/>
  <c r="B153" i="88"/>
  <c r="F152" i="88"/>
  <c r="D152" i="88"/>
  <c r="B152" i="88"/>
  <c r="F151" i="88"/>
  <c r="D151" i="88"/>
  <c r="B151" i="88"/>
  <c r="F150" i="88"/>
  <c r="D150" i="88"/>
  <c r="B150" i="88"/>
  <c r="F149" i="88"/>
  <c r="D149" i="88"/>
  <c r="B149" i="88"/>
  <c r="F148" i="88"/>
  <c r="D148" i="88"/>
  <c r="B148" i="88"/>
  <c r="F147" i="88"/>
  <c r="D147" i="88"/>
  <c r="B147" i="88"/>
  <c r="F146" i="88"/>
  <c r="D146" i="88"/>
  <c r="B146" i="88"/>
  <c r="F145" i="88"/>
  <c r="D145" i="88"/>
  <c r="B145" i="88"/>
  <c r="F144" i="88"/>
  <c r="D144" i="88"/>
  <c r="B144" i="88"/>
  <c r="F143" i="88"/>
  <c r="D143" i="88"/>
  <c r="B143" i="88"/>
  <c r="F142" i="88"/>
  <c r="D142" i="88"/>
  <c r="B142" i="88"/>
  <c r="F141" i="88"/>
  <c r="D141" i="88"/>
  <c r="B141" i="88"/>
  <c r="F140" i="88"/>
  <c r="D140" i="88"/>
  <c r="B140" i="88"/>
  <c r="F139" i="88"/>
  <c r="D139" i="88"/>
  <c r="B139" i="88"/>
  <c r="F138" i="88"/>
  <c r="D138" i="88"/>
  <c r="B138" i="88"/>
  <c r="F137" i="88"/>
  <c r="D137" i="88"/>
  <c r="B137" i="88"/>
  <c r="F136" i="88"/>
  <c r="D136" i="88"/>
  <c r="B136" i="88"/>
  <c r="F135" i="88"/>
  <c r="D135" i="88"/>
  <c r="B135" i="88"/>
  <c r="F134" i="88"/>
  <c r="D134" i="88"/>
  <c r="B134" i="88"/>
  <c r="F133" i="88"/>
  <c r="D133" i="88"/>
  <c r="B133" i="88"/>
  <c r="F132" i="88"/>
  <c r="D132" i="88"/>
  <c r="B132" i="88"/>
  <c r="F131" i="88"/>
  <c r="D131" i="88"/>
  <c r="B131" i="88"/>
  <c r="F130" i="88"/>
  <c r="D130" i="88"/>
  <c r="B130" i="88"/>
  <c r="F129" i="88"/>
  <c r="D129" i="88"/>
  <c r="B129" i="88"/>
  <c r="F128" i="88"/>
  <c r="D128" i="88"/>
  <c r="B128" i="88"/>
  <c r="F127" i="88"/>
  <c r="D127" i="88"/>
  <c r="B127" i="88"/>
  <c r="F126" i="88"/>
  <c r="D126" i="88"/>
  <c r="B126" i="88"/>
  <c r="F125" i="88"/>
  <c r="D125" i="88"/>
  <c r="B125" i="88"/>
  <c r="F124" i="88"/>
  <c r="D124" i="88"/>
  <c r="B124" i="88"/>
  <c r="F123" i="88"/>
  <c r="D123" i="88"/>
  <c r="B123" i="88"/>
  <c r="F122" i="88"/>
  <c r="D122" i="88"/>
  <c r="B122" i="88"/>
  <c r="F121" i="88"/>
  <c r="D121" i="88"/>
  <c r="B121" i="88"/>
  <c r="F120" i="88"/>
  <c r="D120" i="88"/>
  <c r="B120" i="88"/>
  <c r="F119" i="88"/>
  <c r="D119" i="88"/>
  <c r="B119" i="88"/>
  <c r="F118" i="88"/>
  <c r="D118" i="88"/>
  <c r="B118" i="88"/>
  <c r="F117" i="88"/>
  <c r="D117" i="88"/>
  <c r="B117" i="88"/>
  <c r="F116" i="88"/>
  <c r="D116" i="88"/>
  <c r="B116" i="88"/>
  <c r="F115" i="88"/>
  <c r="D115" i="88"/>
  <c r="B115" i="88"/>
  <c r="F114" i="88"/>
  <c r="D114" i="88"/>
  <c r="B114" i="88"/>
  <c r="F113" i="88"/>
  <c r="D113" i="88"/>
  <c r="B113" i="88"/>
  <c r="F112" i="88"/>
  <c r="D112" i="88"/>
  <c r="B112" i="88"/>
  <c r="F111" i="88"/>
  <c r="D111" i="88"/>
  <c r="B111" i="88"/>
  <c r="F110" i="88"/>
  <c r="D110" i="88"/>
  <c r="B110" i="88"/>
  <c r="F109" i="88"/>
  <c r="D109" i="88"/>
  <c r="B109" i="88"/>
  <c r="F108" i="88"/>
  <c r="D108" i="88"/>
  <c r="B108" i="88"/>
  <c r="F105" i="88"/>
  <c r="D105" i="88"/>
  <c r="B105" i="88"/>
  <c r="F104" i="88"/>
  <c r="D104" i="88"/>
  <c r="B104" i="88"/>
  <c r="F103" i="88"/>
  <c r="D103" i="88"/>
  <c r="B103" i="88"/>
  <c r="F102" i="88"/>
  <c r="D102" i="88"/>
  <c r="B102" i="88"/>
  <c r="F101" i="88"/>
  <c r="D101" i="88"/>
  <c r="B101" i="88"/>
  <c r="F100" i="88"/>
  <c r="D100" i="88"/>
  <c r="B100" i="88"/>
  <c r="F99" i="88"/>
  <c r="D99" i="88"/>
  <c r="B99" i="88"/>
  <c r="F98" i="88"/>
  <c r="D98" i="88"/>
  <c r="B98" i="88"/>
  <c r="F97" i="88"/>
  <c r="D97" i="88"/>
  <c r="B97" i="88"/>
  <c r="F96" i="88"/>
  <c r="D96" i="88"/>
  <c r="B96" i="88"/>
  <c r="F95" i="88"/>
  <c r="D95" i="88"/>
  <c r="B95" i="88"/>
  <c r="F94" i="88"/>
  <c r="D94" i="88"/>
  <c r="B94" i="88"/>
  <c r="F93" i="88"/>
  <c r="D93" i="88"/>
  <c r="B93" i="88"/>
  <c r="F92" i="88"/>
  <c r="D92" i="88"/>
  <c r="B92" i="88"/>
  <c r="F91" i="88"/>
  <c r="D91" i="88"/>
  <c r="B91" i="88"/>
  <c r="F90" i="88"/>
  <c r="D90" i="88"/>
  <c r="B90" i="88"/>
  <c r="F89" i="88"/>
  <c r="D89" i="88"/>
  <c r="B89" i="88"/>
  <c r="F88" i="88"/>
  <c r="D88" i="88"/>
  <c r="B88" i="88"/>
  <c r="F87" i="88"/>
  <c r="D87" i="88"/>
  <c r="B87" i="88"/>
  <c r="F86" i="88"/>
  <c r="D86" i="88"/>
  <c r="B86" i="88"/>
  <c r="F85" i="88"/>
  <c r="D85" i="88"/>
  <c r="B85" i="88"/>
  <c r="F84" i="88"/>
  <c r="D84" i="88"/>
  <c r="B84" i="88"/>
  <c r="F83" i="88"/>
  <c r="D83" i="88"/>
  <c r="B83" i="88"/>
  <c r="F82" i="88"/>
  <c r="D82" i="88"/>
  <c r="B82" i="88"/>
  <c r="F81" i="88"/>
  <c r="D81" i="88"/>
  <c r="B81" i="88"/>
  <c r="F80" i="88"/>
  <c r="D80" i="88"/>
  <c r="B80" i="88"/>
  <c r="F79" i="88"/>
  <c r="D79" i="88"/>
  <c r="B79" i="88"/>
  <c r="F78" i="88"/>
  <c r="D78" i="88"/>
  <c r="B78" i="88"/>
  <c r="F77" i="88"/>
  <c r="D77" i="88"/>
  <c r="B77" i="88"/>
  <c r="F76" i="88"/>
  <c r="D76" i="88"/>
  <c r="B76" i="88"/>
  <c r="F75" i="88"/>
  <c r="D75" i="88"/>
  <c r="B75" i="88"/>
  <c r="F74" i="88"/>
  <c r="D74" i="88"/>
  <c r="B74" i="88"/>
  <c r="F73" i="88"/>
  <c r="D73" i="88"/>
  <c r="B73" i="88"/>
  <c r="F72" i="88"/>
  <c r="D72" i="88"/>
  <c r="B72" i="88"/>
  <c r="F71" i="88"/>
  <c r="D71" i="88"/>
  <c r="B71" i="88"/>
  <c r="F70" i="88"/>
  <c r="D70" i="88"/>
  <c r="B70" i="88"/>
  <c r="F69" i="88"/>
  <c r="D69" i="88"/>
  <c r="B69" i="88"/>
  <c r="F68" i="88"/>
  <c r="D68" i="88"/>
  <c r="B68" i="88"/>
  <c r="F67" i="88"/>
  <c r="D67" i="88"/>
  <c r="B67" i="88"/>
  <c r="F66" i="88"/>
  <c r="D66" i="88"/>
  <c r="B66" i="88"/>
  <c r="F65" i="88"/>
  <c r="D65" i="88"/>
  <c r="B65" i="88"/>
  <c r="F64" i="88"/>
  <c r="D64" i="88"/>
  <c r="B64" i="88"/>
  <c r="F63" i="88"/>
  <c r="D63" i="88"/>
  <c r="B63" i="88"/>
  <c r="F62" i="88"/>
  <c r="D62" i="88"/>
  <c r="B62" i="88"/>
  <c r="F61" i="88"/>
  <c r="D61" i="88"/>
  <c r="B61" i="88"/>
  <c r="F60" i="88"/>
  <c r="D60" i="88"/>
  <c r="B60" i="88"/>
  <c r="F59" i="88"/>
  <c r="D59" i="88"/>
  <c r="B59" i="88"/>
  <c r="F56" i="88"/>
  <c r="D56" i="88"/>
  <c r="B56" i="88"/>
  <c r="F55" i="88"/>
  <c r="D55" i="88"/>
  <c r="B55" i="88"/>
  <c r="F54" i="88"/>
  <c r="D54" i="88"/>
  <c r="B54" i="88"/>
  <c r="F53" i="88"/>
  <c r="D53" i="88"/>
  <c r="B53" i="88"/>
  <c r="F52" i="88"/>
  <c r="D52" i="88"/>
  <c r="B52" i="88"/>
  <c r="F51" i="88"/>
  <c r="D51" i="88"/>
  <c r="B51" i="88"/>
  <c r="F50" i="88"/>
  <c r="D50" i="88"/>
  <c r="B50" i="88"/>
  <c r="F49" i="88"/>
  <c r="D49" i="88"/>
  <c r="B49" i="88"/>
  <c r="F48" i="88"/>
  <c r="D48" i="88"/>
  <c r="B48" i="88"/>
  <c r="F47" i="88"/>
  <c r="D47" i="88"/>
  <c r="B47" i="88"/>
  <c r="F46" i="88"/>
  <c r="D46" i="88"/>
  <c r="B46" i="88"/>
  <c r="F45" i="88"/>
  <c r="D45" i="88"/>
  <c r="B45" i="88"/>
  <c r="F44" i="88"/>
  <c r="D44" i="88"/>
  <c r="B44" i="88"/>
  <c r="F43" i="88"/>
  <c r="D43" i="88"/>
  <c r="B43" i="88"/>
  <c r="F42" i="88"/>
  <c r="D42" i="88"/>
  <c r="B42" i="88"/>
  <c r="F41" i="88"/>
  <c r="D41" i="88"/>
  <c r="B41" i="88"/>
  <c r="F40" i="88"/>
  <c r="D40" i="88"/>
  <c r="B40" i="88"/>
  <c r="F39" i="88"/>
  <c r="D39" i="88"/>
  <c r="B39" i="88"/>
  <c r="F38" i="88"/>
  <c r="D38" i="88"/>
  <c r="B38" i="88"/>
  <c r="F37" i="88"/>
  <c r="D37" i="88"/>
  <c r="B37" i="88"/>
  <c r="F36" i="88"/>
  <c r="D36" i="88"/>
  <c r="B36" i="88"/>
  <c r="F35" i="88"/>
  <c r="D35" i="88"/>
  <c r="B35" i="88"/>
  <c r="F34" i="88"/>
  <c r="D34" i="88"/>
  <c r="B34" i="88"/>
  <c r="F33" i="88"/>
  <c r="D33" i="88"/>
  <c r="B33" i="88"/>
  <c r="F32" i="88"/>
  <c r="D32" i="88"/>
  <c r="B32" i="88"/>
  <c r="F31" i="88"/>
  <c r="D31" i="88"/>
  <c r="B31" i="88"/>
  <c r="F30" i="88"/>
  <c r="D30" i="88"/>
  <c r="B30" i="88"/>
  <c r="F29" i="88"/>
  <c r="D29" i="88"/>
  <c r="B29" i="88"/>
  <c r="F28" i="88"/>
  <c r="D28" i="88"/>
  <c r="B28" i="88"/>
  <c r="F27" i="88"/>
  <c r="D27" i="88"/>
  <c r="B27" i="88"/>
  <c r="F26" i="88"/>
  <c r="D26" i="88"/>
  <c r="B26" i="88"/>
  <c r="F25" i="88"/>
  <c r="D25" i="88"/>
  <c r="B25" i="88"/>
  <c r="F24" i="88"/>
  <c r="D24" i="88"/>
  <c r="B24" i="88"/>
  <c r="F23" i="88"/>
  <c r="D23" i="88"/>
  <c r="B23" i="88"/>
  <c r="F22" i="88"/>
  <c r="D22" i="88"/>
  <c r="B22" i="88"/>
  <c r="F21" i="88"/>
  <c r="D21" i="88"/>
  <c r="B21" i="88"/>
  <c r="F20" i="88"/>
  <c r="D20" i="88"/>
  <c r="B20" i="88"/>
  <c r="F19" i="88"/>
  <c r="D19" i="88"/>
  <c r="B19" i="88"/>
  <c r="F18" i="88"/>
  <c r="D18" i="88"/>
  <c r="B18" i="88"/>
  <c r="F17" i="88"/>
  <c r="D17" i="88"/>
  <c r="B17" i="88"/>
  <c r="F16" i="88"/>
  <c r="D16" i="88"/>
  <c r="B16" i="88"/>
  <c r="F15" i="88"/>
  <c r="D15" i="88"/>
  <c r="B15" i="88"/>
  <c r="F14" i="88"/>
  <c r="D14" i="88"/>
  <c r="B14" i="88"/>
  <c r="F13" i="88"/>
  <c r="D13" i="88"/>
  <c r="B13" i="88"/>
  <c r="F12" i="88"/>
  <c r="D12" i="88"/>
  <c r="B12" i="88"/>
  <c r="F11" i="88"/>
  <c r="D11" i="88"/>
  <c r="B11" i="88"/>
  <c r="F10" i="88"/>
  <c r="D10" i="88"/>
  <c r="B10" i="88"/>
  <c r="F301" i="113"/>
  <c r="D301" i="113"/>
  <c r="B301" i="113"/>
  <c r="F300" i="113"/>
  <c r="D300" i="113"/>
  <c r="B300" i="113"/>
  <c r="F299" i="113"/>
  <c r="D299" i="113"/>
  <c r="B299" i="113"/>
  <c r="F298" i="113"/>
  <c r="D298" i="113"/>
  <c r="B298" i="113"/>
  <c r="F297" i="113"/>
  <c r="D297" i="113"/>
  <c r="B297" i="113"/>
  <c r="F296" i="113"/>
  <c r="D296" i="113"/>
  <c r="B296" i="113"/>
  <c r="F295" i="113"/>
  <c r="D295" i="113"/>
  <c r="B295" i="113"/>
  <c r="F294" i="113"/>
  <c r="D294" i="113"/>
  <c r="B294" i="113"/>
  <c r="F293" i="113"/>
  <c r="D293" i="113"/>
  <c r="B293" i="113"/>
  <c r="F292" i="113"/>
  <c r="D292" i="113"/>
  <c r="B292" i="113"/>
  <c r="F291" i="113"/>
  <c r="D291" i="113"/>
  <c r="B291" i="113"/>
  <c r="F290" i="113"/>
  <c r="D290" i="113"/>
  <c r="B290" i="113"/>
  <c r="F289" i="113"/>
  <c r="D289" i="113"/>
  <c r="B289" i="113"/>
  <c r="F288" i="113"/>
  <c r="D288" i="113"/>
  <c r="B288" i="113"/>
  <c r="F287" i="113"/>
  <c r="D287" i="113"/>
  <c r="B287" i="113"/>
  <c r="F286" i="113"/>
  <c r="D286" i="113"/>
  <c r="B286" i="113"/>
  <c r="F285" i="113"/>
  <c r="D285" i="113"/>
  <c r="B285" i="113"/>
  <c r="F284" i="113"/>
  <c r="D284" i="113"/>
  <c r="B284" i="113"/>
  <c r="F283" i="113"/>
  <c r="D283" i="113"/>
  <c r="B283" i="113"/>
  <c r="F282" i="113"/>
  <c r="D282" i="113"/>
  <c r="B282" i="113"/>
  <c r="F281" i="113"/>
  <c r="D281" i="113"/>
  <c r="B281" i="113"/>
  <c r="F280" i="113"/>
  <c r="D280" i="113"/>
  <c r="B280" i="113"/>
  <c r="F279" i="113"/>
  <c r="D279" i="113"/>
  <c r="B279" i="113"/>
  <c r="F278" i="113"/>
  <c r="D278" i="113"/>
  <c r="B278" i="113"/>
  <c r="F277" i="113"/>
  <c r="D277" i="113"/>
  <c r="B277" i="113"/>
  <c r="F276" i="113"/>
  <c r="D276" i="113"/>
  <c r="B276" i="113"/>
  <c r="F275" i="113"/>
  <c r="D275" i="113"/>
  <c r="B275" i="113"/>
  <c r="F274" i="113"/>
  <c r="D274" i="113"/>
  <c r="B274" i="113"/>
  <c r="F273" i="113"/>
  <c r="D273" i="113"/>
  <c r="B273" i="113"/>
  <c r="F272" i="113"/>
  <c r="D272" i="113"/>
  <c r="B272" i="113"/>
  <c r="F271" i="113"/>
  <c r="D271" i="113"/>
  <c r="B271" i="113"/>
  <c r="F270" i="113"/>
  <c r="D270" i="113"/>
  <c r="B270" i="113"/>
  <c r="F269" i="113"/>
  <c r="D269" i="113"/>
  <c r="B269" i="113"/>
  <c r="F268" i="113"/>
  <c r="D268" i="113"/>
  <c r="B268" i="113"/>
  <c r="F267" i="113"/>
  <c r="D267" i="113"/>
  <c r="B267" i="113"/>
  <c r="F266" i="113"/>
  <c r="D266" i="113"/>
  <c r="B266" i="113"/>
  <c r="F265" i="113"/>
  <c r="D265" i="113"/>
  <c r="B265" i="113"/>
  <c r="F264" i="113"/>
  <c r="D264" i="113"/>
  <c r="B264" i="113"/>
  <c r="F263" i="113"/>
  <c r="D263" i="113"/>
  <c r="B263" i="113"/>
  <c r="F262" i="113"/>
  <c r="D262" i="113"/>
  <c r="B262" i="113"/>
  <c r="F261" i="113"/>
  <c r="D261" i="113"/>
  <c r="B261" i="113"/>
  <c r="F260" i="113"/>
  <c r="D260" i="113"/>
  <c r="B260" i="113"/>
  <c r="F259" i="113"/>
  <c r="D259" i="113"/>
  <c r="B259" i="113"/>
  <c r="F258" i="113"/>
  <c r="D258" i="113"/>
  <c r="B258" i="113"/>
  <c r="F257" i="113"/>
  <c r="D257" i="113"/>
  <c r="B257" i="113"/>
  <c r="F256" i="113"/>
  <c r="D256" i="113"/>
  <c r="B256" i="113"/>
  <c r="F255" i="113"/>
  <c r="D255" i="113"/>
  <c r="B255" i="113"/>
  <c r="F203" i="113"/>
  <c r="D203" i="113"/>
  <c r="B203" i="113"/>
  <c r="F202" i="113"/>
  <c r="D202" i="113"/>
  <c r="B202" i="113"/>
  <c r="F201" i="113"/>
  <c r="D201" i="113"/>
  <c r="B201" i="113"/>
  <c r="F200" i="113"/>
  <c r="D200" i="113"/>
  <c r="B200" i="113"/>
  <c r="F199" i="113"/>
  <c r="D199" i="113"/>
  <c r="B199" i="113"/>
  <c r="F198" i="113"/>
  <c r="D198" i="113"/>
  <c r="B198" i="113"/>
  <c r="F197" i="113"/>
  <c r="D197" i="113"/>
  <c r="B197" i="113"/>
  <c r="F196" i="113"/>
  <c r="D196" i="113"/>
  <c r="B196" i="113"/>
  <c r="F195" i="113"/>
  <c r="D195" i="113"/>
  <c r="B195" i="113"/>
  <c r="F194" i="113"/>
  <c r="D194" i="113"/>
  <c r="B194" i="113"/>
  <c r="F193" i="113"/>
  <c r="D193" i="113"/>
  <c r="B193" i="113"/>
  <c r="F192" i="113"/>
  <c r="D192" i="113"/>
  <c r="B192" i="113"/>
  <c r="F191" i="113"/>
  <c r="D191" i="113"/>
  <c r="B191" i="113"/>
  <c r="F190" i="113"/>
  <c r="D190" i="113"/>
  <c r="B190" i="113"/>
  <c r="F189" i="113"/>
  <c r="D189" i="113"/>
  <c r="B189" i="113"/>
  <c r="F188" i="113"/>
  <c r="D188" i="113"/>
  <c r="B188" i="113"/>
  <c r="F187" i="113"/>
  <c r="D187" i="113"/>
  <c r="B187" i="113"/>
  <c r="F186" i="113"/>
  <c r="D186" i="113"/>
  <c r="B186" i="113"/>
  <c r="F185" i="113"/>
  <c r="D185" i="113"/>
  <c r="B185" i="113"/>
  <c r="F184" i="113"/>
  <c r="D184" i="113"/>
  <c r="B184" i="113"/>
  <c r="F183" i="113"/>
  <c r="D183" i="113"/>
  <c r="B183" i="113"/>
  <c r="F182" i="113"/>
  <c r="D182" i="113"/>
  <c r="B182" i="113"/>
  <c r="F181" i="113"/>
  <c r="D181" i="113"/>
  <c r="B181" i="113"/>
  <c r="F180" i="113"/>
  <c r="D180" i="113"/>
  <c r="B180" i="113"/>
  <c r="F179" i="113"/>
  <c r="D179" i="113"/>
  <c r="B179" i="113"/>
  <c r="F178" i="113"/>
  <c r="D178" i="113"/>
  <c r="B178" i="113"/>
  <c r="F177" i="113"/>
  <c r="D177" i="113"/>
  <c r="B177" i="113"/>
  <c r="F176" i="113"/>
  <c r="D176" i="113"/>
  <c r="B176" i="113"/>
  <c r="F175" i="113"/>
  <c r="D175" i="113"/>
  <c r="B175" i="113"/>
  <c r="F174" i="113"/>
  <c r="D174" i="113"/>
  <c r="B174" i="113"/>
  <c r="F173" i="113"/>
  <c r="D173" i="113"/>
  <c r="B173" i="113"/>
  <c r="F172" i="113"/>
  <c r="D172" i="113"/>
  <c r="B172" i="113"/>
  <c r="F171" i="113"/>
  <c r="D171" i="113"/>
  <c r="B171" i="113"/>
  <c r="F170" i="113"/>
  <c r="D170" i="113"/>
  <c r="B170" i="113"/>
  <c r="F169" i="113"/>
  <c r="D169" i="113"/>
  <c r="B169" i="113"/>
  <c r="F168" i="113"/>
  <c r="D168" i="113"/>
  <c r="B168" i="113"/>
  <c r="F167" i="113"/>
  <c r="D167" i="113"/>
  <c r="B167" i="113"/>
  <c r="F166" i="113"/>
  <c r="D166" i="113"/>
  <c r="B166" i="113"/>
  <c r="F165" i="113"/>
  <c r="D165" i="113"/>
  <c r="B165" i="113"/>
  <c r="F164" i="113"/>
  <c r="D164" i="113"/>
  <c r="B164" i="113"/>
  <c r="F163" i="113"/>
  <c r="D163" i="113"/>
  <c r="B163" i="113"/>
  <c r="F162" i="113"/>
  <c r="D162" i="113"/>
  <c r="B162" i="113"/>
  <c r="F161" i="113"/>
  <c r="D161" i="113"/>
  <c r="B161" i="113"/>
  <c r="F160" i="113"/>
  <c r="D160" i="113"/>
  <c r="B160" i="113"/>
  <c r="F159" i="113"/>
  <c r="D159" i="113"/>
  <c r="B159" i="113"/>
  <c r="F158" i="113"/>
  <c r="D158" i="113"/>
  <c r="B158" i="113"/>
  <c r="F157" i="113"/>
  <c r="D157" i="113"/>
  <c r="B157" i="113"/>
  <c r="F154" i="113"/>
  <c r="D154" i="113"/>
  <c r="B154" i="113"/>
  <c r="F153" i="113"/>
  <c r="D153" i="113"/>
  <c r="B153" i="113"/>
  <c r="F152" i="113"/>
  <c r="D152" i="113"/>
  <c r="B152" i="113"/>
  <c r="F151" i="113"/>
  <c r="D151" i="113"/>
  <c r="B151" i="113"/>
  <c r="F150" i="113"/>
  <c r="D150" i="113"/>
  <c r="B150" i="113"/>
  <c r="F149" i="113"/>
  <c r="D149" i="113"/>
  <c r="B149" i="113"/>
  <c r="F148" i="113"/>
  <c r="D148" i="113"/>
  <c r="B148" i="113"/>
  <c r="F147" i="113"/>
  <c r="D147" i="113"/>
  <c r="B147" i="113"/>
  <c r="F146" i="113"/>
  <c r="D146" i="113"/>
  <c r="B146" i="113"/>
  <c r="F145" i="113"/>
  <c r="D145" i="113"/>
  <c r="B145" i="113"/>
  <c r="F144" i="113"/>
  <c r="D144" i="113"/>
  <c r="B144" i="113"/>
  <c r="F143" i="113"/>
  <c r="D143" i="113"/>
  <c r="B143" i="113"/>
  <c r="F142" i="113"/>
  <c r="D142" i="113"/>
  <c r="B142" i="113"/>
  <c r="F141" i="113"/>
  <c r="D141" i="113"/>
  <c r="B141" i="113"/>
  <c r="F140" i="113"/>
  <c r="D140" i="113"/>
  <c r="B140" i="113"/>
  <c r="F139" i="113"/>
  <c r="D139" i="113"/>
  <c r="B139" i="113"/>
  <c r="F138" i="113"/>
  <c r="D138" i="113"/>
  <c r="B138" i="113"/>
  <c r="F137" i="113"/>
  <c r="D137" i="113"/>
  <c r="B137" i="113"/>
  <c r="F136" i="113"/>
  <c r="D136" i="113"/>
  <c r="B136" i="113"/>
  <c r="F135" i="113"/>
  <c r="D135" i="113"/>
  <c r="B135" i="113"/>
  <c r="F134" i="113"/>
  <c r="D134" i="113"/>
  <c r="B134" i="113"/>
  <c r="F133" i="113"/>
  <c r="D133" i="113"/>
  <c r="B133" i="113"/>
  <c r="F132" i="113"/>
  <c r="D132" i="113"/>
  <c r="B132" i="113"/>
  <c r="F131" i="113"/>
  <c r="D131" i="113"/>
  <c r="B131" i="113"/>
  <c r="F130" i="113"/>
  <c r="D130" i="113"/>
  <c r="B130" i="113"/>
  <c r="F129" i="113"/>
  <c r="D129" i="113"/>
  <c r="B129" i="113"/>
  <c r="F128" i="113"/>
  <c r="D128" i="113"/>
  <c r="B128" i="113"/>
  <c r="F127" i="113"/>
  <c r="D127" i="113"/>
  <c r="B127" i="113"/>
  <c r="F126" i="113"/>
  <c r="D126" i="113"/>
  <c r="B126" i="113"/>
  <c r="F125" i="113"/>
  <c r="D125" i="113"/>
  <c r="B125" i="113"/>
  <c r="F124" i="113"/>
  <c r="D124" i="113"/>
  <c r="B124" i="113"/>
  <c r="F123" i="113"/>
  <c r="D123" i="113"/>
  <c r="B123" i="113"/>
  <c r="F122" i="113"/>
  <c r="D122" i="113"/>
  <c r="B122" i="113"/>
  <c r="F121" i="113"/>
  <c r="D121" i="113"/>
  <c r="B121" i="113"/>
  <c r="F120" i="113"/>
  <c r="D120" i="113"/>
  <c r="B120" i="113"/>
  <c r="F119" i="113"/>
  <c r="D119" i="113"/>
  <c r="B119" i="113"/>
  <c r="F118" i="113"/>
  <c r="D118" i="113"/>
  <c r="B118" i="113"/>
  <c r="F117" i="113"/>
  <c r="D117" i="113"/>
  <c r="B117" i="113"/>
  <c r="F116" i="113"/>
  <c r="D116" i="113"/>
  <c r="B116" i="113"/>
  <c r="F115" i="113"/>
  <c r="D115" i="113"/>
  <c r="B115" i="113"/>
  <c r="F114" i="113"/>
  <c r="D114" i="113"/>
  <c r="B114" i="113"/>
  <c r="F113" i="113"/>
  <c r="D113" i="113"/>
  <c r="B113" i="113"/>
  <c r="F112" i="113"/>
  <c r="D112" i="113"/>
  <c r="B112" i="113"/>
  <c r="F111" i="113"/>
  <c r="D111" i="113"/>
  <c r="B111" i="113"/>
  <c r="F110" i="113"/>
  <c r="D110" i="113"/>
  <c r="B110" i="113"/>
  <c r="F109" i="113"/>
  <c r="D109" i="113"/>
  <c r="B109" i="113"/>
  <c r="F108" i="113"/>
  <c r="D108" i="113"/>
  <c r="B108" i="113"/>
  <c r="F105" i="113"/>
  <c r="D105" i="113"/>
  <c r="B105" i="113"/>
  <c r="F104" i="113"/>
  <c r="D104" i="113"/>
  <c r="B104" i="113"/>
  <c r="F103" i="113"/>
  <c r="D103" i="113"/>
  <c r="B103" i="113"/>
  <c r="F102" i="113"/>
  <c r="D102" i="113"/>
  <c r="B102" i="113"/>
  <c r="F101" i="113"/>
  <c r="D101" i="113"/>
  <c r="B101" i="113"/>
  <c r="F100" i="113"/>
  <c r="D100" i="113"/>
  <c r="B100" i="113"/>
  <c r="F99" i="113"/>
  <c r="D99" i="113"/>
  <c r="B99" i="113"/>
  <c r="F98" i="113"/>
  <c r="D98" i="113"/>
  <c r="B98" i="113"/>
  <c r="F97" i="113"/>
  <c r="D97" i="113"/>
  <c r="B97" i="113"/>
  <c r="F96" i="113"/>
  <c r="D96" i="113"/>
  <c r="B96" i="113"/>
  <c r="F95" i="113"/>
  <c r="D95" i="113"/>
  <c r="B95" i="113"/>
  <c r="F94" i="113"/>
  <c r="D94" i="113"/>
  <c r="B94" i="113"/>
  <c r="F93" i="113"/>
  <c r="D93" i="113"/>
  <c r="B93" i="113"/>
  <c r="F92" i="113"/>
  <c r="D92" i="113"/>
  <c r="B92" i="113"/>
  <c r="F91" i="113"/>
  <c r="D91" i="113"/>
  <c r="B91" i="113"/>
  <c r="F90" i="113"/>
  <c r="D90" i="113"/>
  <c r="B90" i="113"/>
  <c r="F89" i="113"/>
  <c r="D89" i="113"/>
  <c r="B89" i="113"/>
  <c r="F88" i="113"/>
  <c r="D88" i="113"/>
  <c r="B88" i="113"/>
  <c r="F87" i="113"/>
  <c r="D87" i="113"/>
  <c r="B87" i="113"/>
  <c r="F86" i="113"/>
  <c r="D86" i="113"/>
  <c r="B86" i="113"/>
  <c r="F85" i="113"/>
  <c r="D85" i="113"/>
  <c r="B85" i="113"/>
  <c r="F84" i="113"/>
  <c r="D84" i="113"/>
  <c r="B84" i="113"/>
  <c r="F83" i="113"/>
  <c r="D83" i="113"/>
  <c r="B83" i="113"/>
  <c r="F82" i="113"/>
  <c r="D82" i="113"/>
  <c r="B82" i="113"/>
  <c r="F81" i="113"/>
  <c r="D81" i="113"/>
  <c r="B81" i="113"/>
  <c r="F80" i="113"/>
  <c r="D80" i="113"/>
  <c r="B80" i="113"/>
  <c r="F79" i="113"/>
  <c r="D79" i="113"/>
  <c r="B79" i="113"/>
  <c r="F78" i="113"/>
  <c r="D78" i="113"/>
  <c r="B78" i="113"/>
  <c r="F77" i="113"/>
  <c r="D77" i="113"/>
  <c r="B77" i="113"/>
  <c r="F76" i="113"/>
  <c r="D76" i="113"/>
  <c r="B76" i="113"/>
  <c r="F75" i="113"/>
  <c r="D75" i="113"/>
  <c r="B75" i="113"/>
  <c r="F74" i="113"/>
  <c r="D74" i="113"/>
  <c r="B74" i="113"/>
  <c r="F73" i="113"/>
  <c r="D73" i="113"/>
  <c r="B73" i="113"/>
  <c r="F72" i="113"/>
  <c r="D72" i="113"/>
  <c r="B72" i="113"/>
  <c r="F71" i="113"/>
  <c r="D71" i="113"/>
  <c r="B71" i="113"/>
  <c r="F70" i="113"/>
  <c r="D70" i="113"/>
  <c r="B70" i="113"/>
  <c r="F69" i="113"/>
  <c r="D69" i="113"/>
  <c r="B69" i="113"/>
  <c r="F68" i="113"/>
  <c r="D68" i="113"/>
  <c r="B68" i="113"/>
  <c r="F67" i="113"/>
  <c r="D67" i="113"/>
  <c r="B67" i="113"/>
  <c r="F66" i="113"/>
  <c r="D66" i="113"/>
  <c r="B66" i="113"/>
  <c r="F65" i="113"/>
  <c r="D65" i="113"/>
  <c r="B65" i="113"/>
  <c r="F64" i="113"/>
  <c r="D64" i="113"/>
  <c r="B64" i="113"/>
  <c r="F63" i="113"/>
  <c r="D63" i="113"/>
  <c r="B63" i="113"/>
  <c r="F62" i="113"/>
  <c r="D62" i="113"/>
  <c r="B62" i="113"/>
  <c r="F61" i="113"/>
  <c r="D61" i="113"/>
  <c r="B61" i="113"/>
  <c r="F60" i="113"/>
  <c r="D60" i="113"/>
  <c r="B60" i="113"/>
  <c r="F59" i="113"/>
  <c r="D59" i="113"/>
  <c r="B59" i="113"/>
  <c r="F56" i="113"/>
  <c r="D56" i="113"/>
  <c r="B56" i="113"/>
  <c r="F55" i="113"/>
  <c r="D55" i="113"/>
  <c r="B55" i="113"/>
  <c r="F54" i="113"/>
  <c r="D54" i="113"/>
  <c r="B54" i="113"/>
  <c r="F53" i="113"/>
  <c r="D53" i="113"/>
  <c r="B53" i="113"/>
  <c r="F52" i="113"/>
  <c r="D52" i="113"/>
  <c r="B52" i="113"/>
  <c r="F51" i="113"/>
  <c r="D51" i="113"/>
  <c r="B51" i="113"/>
  <c r="F50" i="113"/>
  <c r="D50" i="113"/>
  <c r="B50" i="113"/>
  <c r="F49" i="113"/>
  <c r="D49" i="113"/>
  <c r="B49" i="113"/>
  <c r="F48" i="113"/>
  <c r="D48" i="113"/>
  <c r="B48" i="113"/>
  <c r="F47" i="113"/>
  <c r="D47" i="113"/>
  <c r="B47" i="113"/>
  <c r="F46" i="113"/>
  <c r="D46" i="113"/>
  <c r="B46" i="113"/>
  <c r="F45" i="113"/>
  <c r="D45" i="113"/>
  <c r="B45" i="113"/>
  <c r="F44" i="113"/>
  <c r="D44" i="113"/>
  <c r="B44" i="113"/>
  <c r="F43" i="113"/>
  <c r="D43" i="113"/>
  <c r="B43" i="113"/>
  <c r="F42" i="113"/>
  <c r="D42" i="113"/>
  <c r="B42" i="113"/>
  <c r="F41" i="113"/>
  <c r="D41" i="113"/>
  <c r="B41" i="113"/>
  <c r="F40" i="113"/>
  <c r="D40" i="113"/>
  <c r="B40" i="113"/>
  <c r="F39" i="113"/>
  <c r="D39" i="113"/>
  <c r="B39" i="113"/>
  <c r="F38" i="113"/>
  <c r="D38" i="113"/>
  <c r="B38" i="113"/>
  <c r="F37" i="113"/>
  <c r="D37" i="113"/>
  <c r="B37" i="113"/>
  <c r="F36" i="113"/>
  <c r="D36" i="113"/>
  <c r="B36" i="113"/>
  <c r="F35" i="113"/>
  <c r="D35" i="113"/>
  <c r="B35" i="113"/>
  <c r="F34" i="113"/>
  <c r="D34" i="113"/>
  <c r="B34" i="113"/>
  <c r="F33" i="113"/>
  <c r="D33" i="113"/>
  <c r="B33" i="113"/>
  <c r="F32" i="113"/>
  <c r="D32" i="113"/>
  <c r="B32" i="113"/>
  <c r="F31" i="113"/>
  <c r="D31" i="113"/>
  <c r="B31" i="113"/>
  <c r="F30" i="113"/>
  <c r="D30" i="113"/>
  <c r="B30" i="113"/>
  <c r="F29" i="113"/>
  <c r="D29" i="113"/>
  <c r="B29" i="113"/>
  <c r="F28" i="113"/>
  <c r="D28" i="113"/>
  <c r="B28" i="113"/>
  <c r="F27" i="113"/>
  <c r="D27" i="113"/>
  <c r="B27" i="113"/>
  <c r="F26" i="113"/>
  <c r="D26" i="113"/>
  <c r="B26" i="113"/>
  <c r="F25" i="113"/>
  <c r="D25" i="113"/>
  <c r="B25" i="113"/>
  <c r="F24" i="113"/>
  <c r="D24" i="113"/>
  <c r="B24" i="113"/>
  <c r="F23" i="113"/>
  <c r="D23" i="113"/>
  <c r="B23" i="113"/>
  <c r="F22" i="113"/>
  <c r="D22" i="113"/>
  <c r="B22" i="113"/>
  <c r="F21" i="113"/>
  <c r="D21" i="113"/>
  <c r="B21" i="113"/>
  <c r="F20" i="113"/>
  <c r="D20" i="113"/>
  <c r="B20" i="113"/>
  <c r="F19" i="113"/>
  <c r="D19" i="113"/>
  <c r="B19" i="113"/>
  <c r="F18" i="113"/>
  <c r="D18" i="113"/>
  <c r="B18" i="113"/>
  <c r="F17" i="113"/>
  <c r="D17" i="113"/>
  <c r="B17" i="113"/>
  <c r="F16" i="113"/>
  <c r="D16" i="113"/>
  <c r="B16" i="113"/>
  <c r="F15" i="113"/>
  <c r="D15" i="113"/>
  <c r="B15" i="113"/>
  <c r="F14" i="113"/>
  <c r="D14" i="113"/>
  <c r="B14" i="113"/>
  <c r="F13" i="113"/>
  <c r="D13" i="113"/>
  <c r="B13" i="113"/>
  <c r="F12" i="113"/>
  <c r="D12" i="113"/>
  <c r="B12" i="113"/>
  <c r="F11" i="113"/>
  <c r="D11" i="113"/>
  <c r="B11" i="113"/>
  <c r="F10" i="113"/>
  <c r="D10" i="113"/>
  <c r="B10" i="113"/>
  <c r="F204" i="87"/>
  <c r="D204" i="87"/>
  <c r="B204" i="87"/>
  <c r="F203" i="87"/>
  <c r="D203" i="87"/>
  <c r="B203" i="87"/>
  <c r="F202" i="87"/>
  <c r="D202" i="87"/>
  <c r="B202" i="87"/>
  <c r="F201" i="87"/>
  <c r="D201" i="87"/>
  <c r="B201" i="87"/>
  <c r="F200" i="87"/>
  <c r="D200" i="87"/>
  <c r="B200" i="87"/>
  <c r="F199" i="87"/>
  <c r="D199" i="87"/>
  <c r="B199" i="87"/>
  <c r="F198" i="87"/>
  <c r="D198" i="87"/>
  <c r="B198" i="87"/>
  <c r="F197" i="87"/>
  <c r="D197" i="87"/>
  <c r="B197" i="87"/>
  <c r="F196" i="87"/>
  <c r="D196" i="87"/>
  <c r="B196" i="87"/>
  <c r="F195" i="87"/>
  <c r="D195" i="87"/>
  <c r="B195" i="87"/>
  <c r="F194" i="87"/>
  <c r="D194" i="87"/>
  <c r="B194" i="87"/>
  <c r="F193" i="87"/>
  <c r="D193" i="87"/>
  <c r="B193" i="87"/>
  <c r="F192" i="87"/>
  <c r="D192" i="87"/>
  <c r="B192" i="87"/>
  <c r="F191" i="87"/>
  <c r="D191" i="87"/>
  <c r="B191" i="87"/>
  <c r="F190" i="87"/>
  <c r="D190" i="87"/>
  <c r="B190" i="87"/>
  <c r="F189" i="87"/>
  <c r="D189" i="87"/>
  <c r="B189" i="87"/>
  <c r="F188" i="87"/>
  <c r="D188" i="87"/>
  <c r="B188" i="87"/>
  <c r="F187" i="87"/>
  <c r="D187" i="87"/>
  <c r="B187" i="87"/>
  <c r="F186" i="87"/>
  <c r="D186" i="87"/>
  <c r="B186" i="87"/>
  <c r="F185" i="87"/>
  <c r="D185" i="87"/>
  <c r="B185" i="87"/>
  <c r="F184" i="87"/>
  <c r="D184" i="87"/>
  <c r="B184" i="87"/>
  <c r="F183" i="87"/>
  <c r="D183" i="87"/>
  <c r="B183" i="87"/>
  <c r="F182" i="87"/>
  <c r="D182" i="87"/>
  <c r="B182" i="87"/>
  <c r="F181" i="87"/>
  <c r="D181" i="87"/>
  <c r="B181" i="87"/>
  <c r="F180" i="87"/>
  <c r="D180" i="87"/>
  <c r="B180" i="87"/>
  <c r="F179" i="87"/>
  <c r="D179" i="87"/>
  <c r="B179" i="87"/>
  <c r="F178" i="87"/>
  <c r="D178" i="87"/>
  <c r="B178" i="87"/>
  <c r="F177" i="87"/>
  <c r="D177" i="87"/>
  <c r="B177" i="87"/>
  <c r="F176" i="87"/>
  <c r="D176" i="87"/>
  <c r="B176" i="87"/>
  <c r="F175" i="87"/>
  <c r="D175" i="87"/>
  <c r="B175" i="87"/>
  <c r="F174" i="87"/>
  <c r="D174" i="87"/>
  <c r="B174" i="87"/>
  <c r="F173" i="87"/>
  <c r="D173" i="87"/>
  <c r="B173" i="87"/>
  <c r="F172" i="87"/>
  <c r="D172" i="87"/>
  <c r="B172" i="87"/>
  <c r="F171" i="87"/>
  <c r="D171" i="87"/>
  <c r="B171" i="87"/>
  <c r="F170" i="87"/>
  <c r="D170" i="87"/>
  <c r="B170" i="87"/>
  <c r="F169" i="87"/>
  <c r="D169" i="87"/>
  <c r="B169" i="87"/>
  <c r="F168" i="87"/>
  <c r="D168" i="87"/>
  <c r="B168" i="87"/>
  <c r="F167" i="87"/>
  <c r="D167" i="87"/>
  <c r="B167" i="87"/>
  <c r="F166" i="87"/>
  <c r="D166" i="87"/>
  <c r="B166" i="87"/>
  <c r="F165" i="87"/>
  <c r="D165" i="87"/>
  <c r="B165" i="87"/>
  <c r="F164" i="87"/>
  <c r="D164" i="87"/>
  <c r="B164" i="87"/>
  <c r="F163" i="87"/>
  <c r="D163" i="87"/>
  <c r="B163" i="87"/>
  <c r="F162" i="87"/>
  <c r="D162" i="87"/>
  <c r="B162" i="87"/>
  <c r="F161" i="87"/>
  <c r="D161" i="87"/>
  <c r="B161" i="87"/>
  <c r="F160" i="87"/>
  <c r="D160" i="87"/>
  <c r="B160" i="87"/>
  <c r="F159" i="87"/>
  <c r="D159" i="87"/>
  <c r="B159" i="87"/>
  <c r="F158" i="87"/>
  <c r="D158" i="87"/>
  <c r="B158" i="87"/>
  <c r="F155" i="87"/>
  <c r="D155" i="87"/>
  <c r="B155" i="87"/>
  <c r="F154" i="87"/>
  <c r="D154" i="87"/>
  <c r="B154" i="87"/>
  <c r="F153" i="87"/>
  <c r="D153" i="87"/>
  <c r="B153" i="87"/>
  <c r="F152" i="87"/>
  <c r="D152" i="87"/>
  <c r="B152" i="87"/>
  <c r="F151" i="87"/>
  <c r="D151" i="87"/>
  <c r="B151" i="87"/>
  <c r="F150" i="87"/>
  <c r="D150" i="87"/>
  <c r="B150" i="87"/>
  <c r="F149" i="87"/>
  <c r="D149" i="87"/>
  <c r="B149" i="87"/>
  <c r="F148" i="87"/>
  <c r="D148" i="87"/>
  <c r="B148" i="87"/>
  <c r="F147" i="87"/>
  <c r="D147" i="87"/>
  <c r="B147" i="87"/>
  <c r="F146" i="87"/>
  <c r="D146" i="87"/>
  <c r="B146" i="87"/>
  <c r="F145" i="87"/>
  <c r="D145" i="87"/>
  <c r="B145" i="87"/>
  <c r="F144" i="87"/>
  <c r="D144" i="87"/>
  <c r="B144" i="87"/>
  <c r="F143" i="87"/>
  <c r="D143" i="87"/>
  <c r="B143" i="87"/>
  <c r="F142" i="87"/>
  <c r="D142" i="87"/>
  <c r="B142" i="87"/>
  <c r="F141" i="87"/>
  <c r="D141" i="87"/>
  <c r="B141" i="87"/>
  <c r="F140" i="87"/>
  <c r="D140" i="87"/>
  <c r="B140" i="87"/>
  <c r="F139" i="87"/>
  <c r="D139" i="87"/>
  <c r="B139" i="87"/>
  <c r="F138" i="87"/>
  <c r="D138" i="87"/>
  <c r="B138" i="87"/>
  <c r="F137" i="87"/>
  <c r="D137" i="87"/>
  <c r="B137" i="87"/>
  <c r="F136" i="87"/>
  <c r="D136" i="87"/>
  <c r="B136" i="87"/>
  <c r="F135" i="87"/>
  <c r="D135" i="87"/>
  <c r="B135" i="87"/>
  <c r="F134" i="87"/>
  <c r="D134" i="87"/>
  <c r="B134" i="87"/>
  <c r="F133" i="87"/>
  <c r="D133" i="87"/>
  <c r="B133" i="87"/>
  <c r="F132" i="87"/>
  <c r="D132" i="87"/>
  <c r="B132" i="87"/>
  <c r="F131" i="87"/>
  <c r="D131" i="87"/>
  <c r="B131" i="87"/>
  <c r="F130" i="87"/>
  <c r="D130" i="87"/>
  <c r="B130" i="87"/>
  <c r="F129" i="87"/>
  <c r="D129" i="87"/>
  <c r="B129" i="87"/>
  <c r="F128" i="87"/>
  <c r="D128" i="87"/>
  <c r="B128" i="87"/>
  <c r="F127" i="87"/>
  <c r="D127" i="87"/>
  <c r="B127" i="87"/>
  <c r="F126" i="87"/>
  <c r="D126" i="87"/>
  <c r="B126" i="87"/>
  <c r="F125" i="87"/>
  <c r="D125" i="87"/>
  <c r="B125" i="87"/>
  <c r="F124" i="87"/>
  <c r="D124" i="87"/>
  <c r="B124" i="87"/>
  <c r="F123" i="87"/>
  <c r="D123" i="87"/>
  <c r="B123" i="87"/>
  <c r="F122" i="87"/>
  <c r="D122" i="87"/>
  <c r="B122" i="87"/>
  <c r="F121" i="87"/>
  <c r="D121" i="87"/>
  <c r="B121" i="87"/>
  <c r="F120" i="87"/>
  <c r="D120" i="87"/>
  <c r="B120" i="87"/>
  <c r="F119" i="87"/>
  <c r="D119" i="87"/>
  <c r="B119" i="87"/>
  <c r="F118" i="87"/>
  <c r="D118" i="87"/>
  <c r="B118" i="87"/>
  <c r="F117" i="87"/>
  <c r="D117" i="87"/>
  <c r="B117" i="87"/>
  <c r="F116" i="87"/>
  <c r="D116" i="87"/>
  <c r="B116" i="87"/>
  <c r="F115" i="87"/>
  <c r="D115" i="87"/>
  <c r="B115" i="87"/>
  <c r="F114" i="87"/>
  <c r="D114" i="87"/>
  <c r="B114" i="87"/>
  <c r="F113" i="87"/>
  <c r="D113" i="87"/>
  <c r="B113" i="87"/>
  <c r="F112" i="87"/>
  <c r="D112" i="87"/>
  <c r="B112" i="87"/>
  <c r="F111" i="87"/>
  <c r="D111" i="87"/>
  <c r="B111" i="87"/>
  <c r="F110" i="87"/>
  <c r="D110" i="87"/>
  <c r="B110" i="87"/>
  <c r="F109" i="87"/>
  <c r="D109" i="87"/>
  <c r="B109" i="87"/>
  <c r="F106" i="87"/>
  <c r="D106" i="87"/>
  <c r="B106" i="87"/>
  <c r="F105" i="87"/>
  <c r="D105" i="87"/>
  <c r="B105" i="87"/>
  <c r="F104" i="87"/>
  <c r="D104" i="87"/>
  <c r="B104" i="87"/>
  <c r="F103" i="87"/>
  <c r="D103" i="87"/>
  <c r="B103" i="87"/>
  <c r="F102" i="87"/>
  <c r="D102" i="87"/>
  <c r="B102" i="87"/>
  <c r="F101" i="87"/>
  <c r="D101" i="87"/>
  <c r="B101" i="87"/>
  <c r="F100" i="87"/>
  <c r="D100" i="87"/>
  <c r="B100" i="87"/>
  <c r="F99" i="87"/>
  <c r="D99" i="87"/>
  <c r="B99" i="87"/>
  <c r="F98" i="87"/>
  <c r="D98" i="87"/>
  <c r="B98" i="87"/>
  <c r="F97" i="87"/>
  <c r="D97" i="87"/>
  <c r="B97" i="87"/>
  <c r="F96" i="87"/>
  <c r="D96" i="87"/>
  <c r="B96" i="87"/>
  <c r="F95" i="87"/>
  <c r="D95" i="87"/>
  <c r="B95" i="87"/>
  <c r="F94" i="87"/>
  <c r="D94" i="87"/>
  <c r="B94" i="87"/>
  <c r="F93" i="87"/>
  <c r="D93" i="87"/>
  <c r="B93" i="87"/>
  <c r="F92" i="87"/>
  <c r="D92" i="87"/>
  <c r="B92" i="87"/>
  <c r="F91" i="87"/>
  <c r="D91" i="87"/>
  <c r="B91" i="87"/>
  <c r="F90" i="87"/>
  <c r="D90" i="87"/>
  <c r="B90" i="87"/>
  <c r="F89" i="87"/>
  <c r="D89" i="87"/>
  <c r="B89" i="87"/>
  <c r="F88" i="87"/>
  <c r="D88" i="87"/>
  <c r="B88" i="87"/>
  <c r="F87" i="87"/>
  <c r="D87" i="87"/>
  <c r="B87" i="87"/>
  <c r="F86" i="87"/>
  <c r="D86" i="87"/>
  <c r="B86" i="87"/>
  <c r="F85" i="87"/>
  <c r="D85" i="87"/>
  <c r="B85" i="87"/>
  <c r="F84" i="87"/>
  <c r="D84" i="87"/>
  <c r="B84" i="87"/>
  <c r="F83" i="87"/>
  <c r="D83" i="87"/>
  <c r="B83" i="87"/>
  <c r="F82" i="87"/>
  <c r="D82" i="87"/>
  <c r="B82" i="87"/>
  <c r="F81" i="87"/>
  <c r="D81" i="87"/>
  <c r="B81" i="87"/>
  <c r="F80" i="87"/>
  <c r="D80" i="87"/>
  <c r="B80" i="87"/>
  <c r="F79" i="87"/>
  <c r="D79" i="87"/>
  <c r="B79" i="87"/>
  <c r="F78" i="87"/>
  <c r="D78" i="87"/>
  <c r="B78" i="87"/>
  <c r="F77" i="87"/>
  <c r="D77" i="87"/>
  <c r="B77" i="87"/>
  <c r="F76" i="87"/>
  <c r="D76" i="87"/>
  <c r="B76" i="87"/>
  <c r="F75" i="87"/>
  <c r="D75" i="87"/>
  <c r="B75" i="87"/>
  <c r="F74" i="87"/>
  <c r="D74" i="87"/>
  <c r="B74" i="87"/>
  <c r="F73" i="87"/>
  <c r="D73" i="87"/>
  <c r="B73" i="87"/>
  <c r="F72" i="87"/>
  <c r="D72" i="87"/>
  <c r="B72" i="87"/>
  <c r="F71" i="87"/>
  <c r="D71" i="87"/>
  <c r="B71" i="87"/>
  <c r="F70" i="87"/>
  <c r="D70" i="87"/>
  <c r="B70" i="87"/>
  <c r="F69" i="87"/>
  <c r="D69" i="87"/>
  <c r="B69" i="87"/>
  <c r="F68" i="87"/>
  <c r="D68" i="87"/>
  <c r="B68" i="87"/>
  <c r="F67" i="87"/>
  <c r="D67" i="87"/>
  <c r="B67" i="87"/>
  <c r="F66" i="87"/>
  <c r="D66" i="87"/>
  <c r="B66" i="87"/>
  <c r="F65" i="87"/>
  <c r="D65" i="87"/>
  <c r="B65" i="87"/>
  <c r="F64" i="87"/>
  <c r="D64" i="87"/>
  <c r="B64" i="87"/>
  <c r="F63" i="87"/>
  <c r="D63" i="87"/>
  <c r="B63" i="87"/>
  <c r="F62" i="87"/>
  <c r="D62" i="87"/>
  <c r="B62" i="87"/>
  <c r="F61" i="87"/>
  <c r="D61" i="87"/>
  <c r="B61" i="87"/>
  <c r="F60" i="87"/>
  <c r="D60" i="87"/>
  <c r="B60" i="87"/>
  <c r="F57" i="87"/>
  <c r="D57" i="87"/>
  <c r="B57" i="87"/>
  <c r="F56" i="87"/>
  <c r="D56" i="87"/>
  <c r="B56" i="87"/>
  <c r="F55" i="87"/>
  <c r="D55" i="87"/>
  <c r="B55" i="87"/>
  <c r="F54" i="87"/>
  <c r="D54" i="87"/>
  <c r="B54" i="87"/>
  <c r="F53" i="87"/>
  <c r="D53" i="87"/>
  <c r="B53" i="87"/>
  <c r="F52" i="87"/>
  <c r="D52" i="87"/>
  <c r="B52" i="87"/>
  <c r="F51" i="87"/>
  <c r="D51" i="87"/>
  <c r="B51" i="87"/>
  <c r="F50" i="87"/>
  <c r="D50" i="87"/>
  <c r="B50" i="87"/>
  <c r="F49" i="87"/>
  <c r="D49" i="87"/>
  <c r="B49" i="87"/>
  <c r="F48" i="87"/>
  <c r="D48" i="87"/>
  <c r="B48" i="87"/>
  <c r="F47" i="87"/>
  <c r="D47" i="87"/>
  <c r="B47" i="87"/>
  <c r="F46" i="87"/>
  <c r="D46" i="87"/>
  <c r="B46" i="87"/>
  <c r="F45" i="87"/>
  <c r="D45" i="87"/>
  <c r="B45" i="87"/>
  <c r="F44" i="87"/>
  <c r="D44" i="87"/>
  <c r="B44" i="87"/>
  <c r="F43" i="87"/>
  <c r="D43" i="87"/>
  <c r="B43" i="87"/>
  <c r="F42" i="87"/>
  <c r="D42" i="87"/>
  <c r="B42" i="87"/>
  <c r="F41" i="87"/>
  <c r="D41" i="87"/>
  <c r="B41" i="87"/>
  <c r="F40" i="87"/>
  <c r="D40" i="87"/>
  <c r="B40" i="87"/>
  <c r="F39" i="87"/>
  <c r="D39" i="87"/>
  <c r="B39" i="87"/>
  <c r="F38" i="87"/>
  <c r="D38" i="87"/>
  <c r="B38" i="87"/>
  <c r="F37" i="87"/>
  <c r="D37" i="87"/>
  <c r="B37" i="87"/>
  <c r="F36" i="87"/>
  <c r="D36" i="87"/>
  <c r="B36" i="87"/>
  <c r="F35" i="87"/>
  <c r="D35" i="87"/>
  <c r="B35" i="87"/>
  <c r="F34" i="87"/>
  <c r="D34" i="87"/>
  <c r="B34" i="87"/>
  <c r="F33" i="87"/>
  <c r="D33" i="87"/>
  <c r="B33" i="87"/>
  <c r="F32" i="87"/>
  <c r="D32" i="87"/>
  <c r="B32" i="87"/>
  <c r="F31" i="87"/>
  <c r="D31" i="87"/>
  <c r="B31" i="87"/>
  <c r="F30" i="87"/>
  <c r="D30" i="87"/>
  <c r="B30" i="87"/>
  <c r="F29" i="87"/>
  <c r="D29" i="87"/>
  <c r="B29" i="87"/>
  <c r="F28" i="87"/>
  <c r="D28" i="87"/>
  <c r="B28" i="87"/>
  <c r="F27" i="87"/>
  <c r="D27" i="87"/>
  <c r="B27" i="87"/>
  <c r="F26" i="87"/>
  <c r="D26" i="87"/>
  <c r="B26" i="87"/>
  <c r="F25" i="87"/>
  <c r="D25" i="87"/>
  <c r="B25" i="87"/>
  <c r="F24" i="87"/>
  <c r="D24" i="87"/>
  <c r="B24" i="87"/>
  <c r="F23" i="87"/>
  <c r="D23" i="87"/>
  <c r="B23" i="87"/>
  <c r="F22" i="87"/>
  <c r="D22" i="87"/>
  <c r="B22" i="87"/>
  <c r="F21" i="87"/>
  <c r="D21" i="87"/>
  <c r="B21" i="87"/>
  <c r="F20" i="87"/>
  <c r="D20" i="87"/>
  <c r="B20" i="87"/>
  <c r="F19" i="87"/>
  <c r="D19" i="87"/>
  <c r="B19" i="87"/>
  <c r="F18" i="87"/>
  <c r="D18" i="87"/>
  <c r="B18" i="87"/>
  <c r="F17" i="87"/>
  <c r="D17" i="87"/>
  <c r="B17" i="87"/>
  <c r="F16" i="87"/>
  <c r="D16" i="87"/>
  <c r="B16" i="87"/>
  <c r="F15" i="87"/>
  <c r="D15" i="87"/>
  <c r="B15" i="87"/>
  <c r="F14" i="87"/>
  <c r="D14" i="87"/>
  <c r="B14" i="87"/>
  <c r="F13" i="87"/>
  <c r="D13" i="87"/>
  <c r="B13" i="87"/>
  <c r="F12" i="87"/>
  <c r="D12" i="87"/>
  <c r="B12" i="87"/>
  <c r="F11" i="87"/>
  <c r="D11" i="87"/>
  <c r="B11" i="87"/>
  <c r="F253" i="86"/>
  <c r="D253" i="86"/>
  <c r="B253" i="86"/>
  <c r="F252" i="86"/>
  <c r="D252" i="86"/>
  <c r="B252" i="86"/>
  <c r="F251" i="86"/>
  <c r="D251" i="86"/>
  <c r="B251" i="86"/>
  <c r="F250" i="86"/>
  <c r="D250" i="86"/>
  <c r="B250" i="86"/>
  <c r="F249" i="86"/>
  <c r="D249" i="86"/>
  <c r="B249" i="86"/>
  <c r="F248" i="86"/>
  <c r="D248" i="86"/>
  <c r="B248" i="86"/>
  <c r="F247" i="86"/>
  <c r="D247" i="86"/>
  <c r="B247" i="86"/>
  <c r="F246" i="86"/>
  <c r="D246" i="86"/>
  <c r="B246" i="86"/>
  <c r="F245" i="86"/>
  <c r="D245" i="86"/>
  <c r="B245" i="86"/>
  <c r="F244" i="86"/>
  <c r="D244" i="86"/>
  <c r="B244" i="86"/>
  <c r="F243" i="86"/>
  <c r="D243" i="86"/>
  <c r="B243" i="86"/>
  <c r="F242" i="86"/>
  <c r="D242" i="86"/>
  <c r="B242" i="86"/>
  <c r="F241" i="86"/>
  <c r="D241" i="86"/>
  <c r="B241" i="86"/>
  <c r="F240" i="86"/>
  <c r="D240" i="86"/>
  <c r="B240" i="86"/>
  <c r="F239" i="86"/>
  <c r="D239" i="86"/>
  <c r="B239" i="86"/>
  <c r="F238" i="86"/>
  <c r="D238" i="86"/>
  <c r="B238" i="86"/>
  <c r="F237" i="86"/>
  <c r="D237" i="86"/>
  <c r="B237" i="86"/>
  <c r="F236" i="86"/>
  <c r="D236" i="86"/>
  <c r="B236" i="86"/>
  <c r="F235" i="86"/>
  <c r="D235" i="86"/>
  <c r="B235" i="86"/>
  <c r="F234" i="86"/>
  <c r="D234" i="86"/>
  <c r="B234" i="86"/>
  <c r="F233" i="86"/>
  <c r="D233" i="86"/>
  <c r="B233" i="86"/>
  <c r="F232" i="86"/>
  <c r="D232" i="86"/>
  <c r="B232" i="86"/>
  <c r="F231" i="86"/>
  <c r="D231" i="86"/>
  <c r="B231" i="86"/>
  <c r="F230" i="86"/>
  <c r="D230" i="86"/>
  <c r="B230" i="86"/>
  <c r="F229" i="86"/>
  <c r="D229" i="86"/>
  <c r="B229" i="86"/>
  <c r="F228" i="86"/>
  <c r="D228" i="86"/>
  <c r="B228" i="86"/>
  <c r="F227" i="86"/>
  <c r="D227" i="86"/>
  <c r="B227" i="86"/>
  <c r="F226" i="86"/>
  <c r="D226" i="86"/>
  <c r="B226" i="86"/>
  <c r="F225" i="86"/>
  <c r="D225" i="86"/>
  <c r="B225" i="86"/>
  <c r="F224" i="86"/>
  <c r="D224" i="86"/>
  <c r="B224" i="86"/>
  <c r="F223" i="86"/>
  <c r="D223" i="86"/>
  <c r="B223" i="86"/>
  <c r="F222" i="86"/>
  <c r="D222" i="86"/>
  <c r="B222" i="86"/>
  <c r="F221" i="86"/>
  <c r="D221" i="86"/>
  <c r="B221" i="86"/>
  <c r="F220" i="86"/>
  <c r="D220" i="86"/>
  <c r="B220" i="86"/>
  <c r="F219" i="86"/>
  <c r="D219" i="86"/>
  <c r="B219" i="86"/>
  <c r="F218" i="86"/>
  <c r="D218" i="86"/>
  <c r="B218" i="86"/>
  <c r="F217" i="86"/>
  <c r="D217" i="86"/>
  <c r="B217" i="86"/>
  <c r="F216" i="86"/>
  <c r="D216" i="86"/>
  <c r="B216" i="86"/>
  <c r="F215" i="86"/>
  <c r="D215" i="86"/>
  <c r="B215" i="86"/>
  <c r="F214" i="86"/>
  <c r="D214" i="86"/>
  <c r="B214" i="86"/>
  <c r="F213" i="86"/>
  <c r="D213" i="86"/>
  <c r="B213" i="86"/>
  <c r="F212" i="86"/>
  <c r="D212" i="86"/>
  <c r="B212" i="86"/>
  <c r="F211" i="86"/>
  <c r="D211" i="86"/>
  <c r="B211" i="86"/>
  <c r="F210" i="86"/>
  <c r="D210" i="86"/>
  <c r="B210" i="86"/>
  <c r="F209" i="86"/>
  <c r="D209" i="86"/>
  <c r="B209" i="86"/>
  <c r="F208" i="86"/>
  <c r="D208" i="86"/>
  <c r="B208" i="86"/>
  <c r="F207" i="86"/>
  <c r="D207" i="86"/>
  <c r="B207" i="86"/>
  <c r="F204" i="86"/>
  <c r="D204" i="86"/>
  <c r="B204" i="86"/>
  <c r="F203" i="86"/>
  <c r="D203" i="86"/>
  <c r="B203" i="86"/>
  <c r="F202" i="86"/>
  <c r="D202" i="86"/>
  <c r="B202" i="86"/>
  <c r="F201" i="86"/>
  <c r="D201" i="86"/>
  <c r="B201" i="86"/>
  <c r="F200" i="86"/>
  <c r="D200" i="86"/>
  <c r="B200" i="86"/>
  <c r="F199" i="86"/>
  <c r="D199" i="86"/>
  <c r="B199" i="86"/>
  <c r="F198" i="86"/>
  <c r="D198" i="86"/>
  <c r="B198" i="86"/>
  <c r="F197" i="86"/>
  <c r="D197" i="86"/>
  <c r="B197" i="86"/>
  <c r="F196" i="86"/>
  <c r="D196" i="86"/>
  <c r="B196" i="86"/>
  <c r="F195" i="86"/>
  <c r="D195" i="86"/>
  <c r="B195" i="86"/>
  <c r="F194" i="86"/>
  <c r="D194" i="86"/>
  <c r="B194" i="86"/>
  <c r="F193" i="86"/>
  <c r="D193" i="86"/>
  <c r="B193" i="86"/>
  <c r="F192" i="86"/>
  <c r="D192" i="86"/>
  <c r="B192" i="86"/>
  <c r="F191" i="86"/>
  <c r="D191" i="86"/>
  <c r="B191" i="86"/>
  <c r="F190" i="86"/>
  <c r="D190" i="86"/>
  <c r="B190" i="86"/>
  <c r="F189" i="86"/>
  <c r="D189" i="86"/>
  <c r="B189" i="86"/>
  <c r="F188" i="86"/>
  <c r="D188" i="86"/>
  <c r="B188" i="86"/>
  <c r="F187" i="86"/>
  <c r="D187" i="86"/>
  <c r="B187" i="86"/>
  <c r="F186" i="86"/>
  <c r="D186" i="86"/>
  <c r="B186" i="86"/>
  <c r="F185" i="86"/>
  <c r="D185" i="86"/>
  <c r="B185" i="86"/>
  <c r="F184" i="86"/>
  <c r="D184" i="86"/>
  <c r="B184" i="86"/>
  <c r="F183" i="86"/>
  <c r="D183" i="86"/>
  <c r="B183" i="86"/>
  <c r="F182" i="86"/>
  <c r="D182" i="86"/>
  <c r="B182" i="86"/>
  <c r="F181" i="86"/>
  <c r="D181" i="86"/>
  <c r="B181" i="86"/>
  <c r="F180" i="86"/>
  <c r="D180" i="86"/>
  <c r="B180" i="86"/>
  <c r="F179" i="86"/>
  <c r="D179" i="86"/>
  <c r="B179" i="86"/>
  <c r="F178" i="86"/>
  <c r="D178" i="86"/>
  <c r="B178" i="86"/>
  <c r="F177" i="86"/>
  <c r="D177" i="86"/>
  <c r="B177" i="86"/>
  <c r="F176" i="86"/>
  <c r="D176" i="86"/>
  <c r="B176" i="86"/>
  <c r="F175" i="86"/>
  <c r="D175" i="86"/>
  <c r="B175" i="86"/>
  <c r="F174" i="86"/>
  <c r="D174" i="86"/>
  <c r="B174" i="86"/>
  <c r="F173" i="86"/>
  <c r="D173" i="86"/>
  <c r="B173" i="86"/>
  <c r="F172" i="86"/>
  <c r="D172" i="86"/>
  <c r="B172" i="86"/>
  <c r="F171" i="86"/>
  <c r="D171" i="86"/>
  <c r="B171" i="86"/>
  <c r="F170" i="86"/>
  <c r="D170" i="86"/>
  <c r="B170" i="86"/>
  <c r="F169" i="86"/>
  <c r="D169" i="86"/>
  <c r="B169" i="86"/>
  <c r="F168" i="86"/>
  <c r="D168" i="86"/>
  <c r="B168" i="86"/>
  <c r="F167" i="86"/>
  <c r="D167" i="86"/>
  <c r="B167" i="86"/>
  <c r="F166" i="86"/>
  <c r="D166" i="86"/>
  <c r="B166" i="86"/>
  <c r="F165" i="86"/>
  <c r="D165" i="86"/>
  <c r="B165" i="86"/>
  <c r="F164" i="86"/>
  <c r="D164" i="86"/>
  <c r="B164" i="86"/>
  <c r="F163" i="86"/>
  <c r="D163" i="86"/>
  <c r="B163" i="86"/>
  <c r="F162" i="86"/>
  <c r="D162" i="86"/>
  <c r="B162" i="86"/>
  <c r="F161" i="86"/>
  <c r="D161" i="86"/>
  <c r="B161" i="86"/>
  <c r="F160" i="86"/>
  <c r="D160" i="86"/>
  <c r="B160" i="86"/>
  <c r="F159" i="86"/>
  <c r="D159" i="86"/>
  <c r="B159" i="86"/>
  <c r="F158" i="86"/>
  <c r="D158" i="86"/>
  <c r="B158" i="86"/>
  <c r="F155" i="86"/>
  <c r="D155" i="86"/>
  <c r="B155" i="86"/>
  <c r="F154" i="86"/>
  <c r="D154" i="86"/>
  <c r="B154" i="86"/>
  <c r="F153" i="86"/>
  <c r="D153" i="86"/>
  <c r="B153" i="86"/>
  <c r="F152" i="86"/>
  <c r="D152" i="86"/>
  <c r="B152" i="86"/>
  <c r="F151" i="86"/>
  <c r="D151" i="86"/>
  <c r="B151" i="86"/>
  <c r="F150" i="86"/>
  <c r="D150" i="86"/>
  <c r="B150" i="86"/>
  <c r="F149" i="86"/>
  <c r="D149" i="86"/>
  <c r="B149" i="86"/>
  <c r="F148" i="86"/>
  <c r="D148" i="86"/>
  <c r="B148" i="86"/>
  <c r="F147" i="86"/>
  <c r="D147" i="86"/>
  <c r="B147" i="86"/>
  <c r="F146" i="86"/>
  <c r="D146" i="86"/>
  <c r="B146" i="86"/>
  <c r="F145" i="86"/>
  <c r="D145" i="86"/>
  <c r="B145" i="86"/>
  <c r="F144" i="86"/>
  <c r="D144" i="86"/>
  <c r="B144" i="86"/>
  <c r="F143" i="86"/>
  <c r="D143" i="86"/>
  <c r="B143" i="86"/>
  <c r="F142" i="86"/>
  <c r="D142" i="86"/>
  <c r="B142" i="86"/>
  <c r="F141" i="86"/>
  <c r="D141" i="86"/>
  <c r="B141" i="86"/>
  <c r="F140" i="86"/>
  <c r="D140" i="86"/>
  <c r="B140" i="86"/>
  <c r="F139" i="86"/>
  <c r="D139" i="86"/>
  <c r="B139" i="86"/>
  <c r="F138" i="86"/>
  <c r="D138" i="86"/>
  <c r="B138" i="86"/>
  <c r="F137" i="86"/>
  <c r="D137" i="86"/>
  <c r="B137" i="86"/>
  <c r="F136" i="86"/>
  <c r="D136" i="86"/>
  <c r="B136" i="86"/>
  <c r="F135" i="86"/>
  <c r="D135" i="86"/>
  <c r="B135" i="86"/>
  <c r="F134" i="86"/>
  <c r="D134" i="86"/>
  <c r="B134" i="86"/>
  <c r="F133" i="86"/>
  <c r="D133" i="86"/>
  <c r="B133" i="86"/>
  <c r="F132" i="86"/>
  <c r="D132" i="86"/>
  <c r="B132" i="86"/>
  <c r="F131" i="86"/>
  <c r="D131" i="86"/>
  <c r="B131" i="86"/>
  <c r="F130" i="86"/>
  <c r="D130" i="86"/>
  <c r="B130" i="86"/>
  <c r="F129" i="86"/>
  <c r="D129" i="86"/>
  <c r="B129" i="86"/>
  <c r="F128" i="86"/>
  <c r="D128" i="86"/>
  <c r="B128" i="86"/>
  <c r="F127" i="86"/>
  <c r="D127" i="86"/>
  <c r="B127" i="86"/>
  <c r="F126" i="86"/>
  <c r="D126" i="86"/>
  <c r="B126" i="86"/>
  <c r="F125" i="86"/>
  <c r="D125" i="86"/>
  <c r="B125" i="86"/>
  <c r="F124" i="86"/>
  <c r="D124" i="86"/>
  <c r="B124" i="86"/>
  <c r="F123" i="86"/>
  <c r="D123" i="86"/>
  <c r="B123" i="86"/>
  <c r="F122" i="86"/>
  <c r="D122" i="86"/>
  <c r="B122" i="86"/>
  <c r="F121" i="86"/>
  <c r="D121" i="86"/>
  <c r="B121" i="86"/>
  <c r="F120" i="86"/>
  <c r="D120" i="86"/>
  <c r="B120" i="86"/>
  <c r="F119" i="86"/>
  <c r="D119" i="86"/>
  <c r="B119" i="86"/>
  <c r="F118" i="86"/>
  <c r="D118" i="86"/>
  <c r="B118" i="86"/>
  <c r="F117" i="86"/>
  <c r="D117" i="86"/>
  <c r="B117" i="86"/>
  <c r="F116" i="86"/>
  <c r="D116" i="86"/>
  <c r="B116" i="86"/>
  <c r="F115" i="86"/>
  <c r="D115" i="86"/>
  <c r="B115" i="86"/>
  <c r="F114" i="86"/>
  <c r="D114" i="86"/>
  <c r="B114" i="86"/>
  <c r="F113" i="86"/>
  <c r="D113" i="86"/>
  <c r="B113" i="86"/>
  <c r="F112" i="86"/>
  <c r="D112" i="86"/>
  <c r="B112" i="86"/>
  <c r="F111" i="86"/>
  <c r="D111" i="86"/>
  <c r="B111" i="86"/>
  <c r="F110" i="86"/>
  <c r="D110" i="86"/>
  <c r="B110" i="86"/>
  <c r="F109" i="86"/>
  <c r="D109" i="86"/>
  <c r="B109" i="86"/>
  <c r="F106" i="86"/>
  <c r="D106" i="86"/>
  <c r="B106" i="86"/>
  <c r="F105" i="86"/>
  <c r="D105" i="86"/>
  <c r="B105" i="86"/>
  <c r="F104" i="86"/>
  <c r="D104" i="86"/>
  <c r="B104" i="86"/>
  <c r="F103" i="86"/>
  <c r="D103" i="86"/>
  <c r="B103" i="86"/>
  <c r="F102" i="86"/>
  <c r="D102" i="86"/>
  <c r="B102" i="86"/>
  <c r="F101" i="86"/>
  <c r="D101" i="86"/>
  <c r="B101" i="86"/>
  <c r="F100" i="86"/>
  <c r="D100" i="86"/>
  <c r="B100" i="86"/>
  <c r="F99" i="86"/>
  <c r="D99" i="86"/>
  <c r="B99" i="86"/>
  <c r="F98" i="86"/>
  <c r="D98" i="86"/>
  <c r="B98" i="86"/>
  <c r="F97" i="86"/>
  <c r="D97" i="86"/>
  <c r="B97" i="86"/>
  <c r="F96" i="86"/>
  <c r="D96" i="86"/>
  <c r="B96" i="86"/>
  <c r="F95" i="86"/>
  <c r="D95" i="86"/>
  <c r="B95" i="86"/>
  <c r="F94" i="86"/>
  <c r="D94" i="86"/>
  <c r="B94" i="86"/>
  <c r="F93" i="86"/>
  <c r="D93" i="86"/>
  <c r="B93" i="86"/>
  <c r="F92" i="86"/>
  <c r="D92" i="86"/>
  <c r="B92" i="86"/>
  <c r="F91" i="86"/>
  <c r="D91" i="86"/>
  <c r="B91" i="86"/>
  <c r="F90" i="86"/>
  <c r="D90" i="86"/>
  <c r="B90" i="86"/>
  <c r="F89" i="86"/>
  <c r="D89" i="86"/>
  <c r="B89" i="86"/>
  <c r="F88" i="86"/>
  <c r="D88" i="86"/>
  <c r="B88" i="86"/>
  <c r="F87" i="86"/>
  <c r="D87" i="86"/>
  <c r="B87" i="86"/>
  <c r="F86" i="86"/>
  <c r="D86" i="86"/>
  <c r="B86" i="86"/>
  <c r="F85" i="86"/>
  <c r="D85" i="86"/>
  <c r="B85" i="86"/>
  <c r="F84" i="86"/>
  <c r="D84" i="86"/>
  <c r="B84" i="86"/>
  <c r="F83" i="86"/>
  <c r="D83" i="86"/>
  <c r="B83" i="86"/>
  <c r="F82" i="86"/>
  <c r="D82" i="86"/>
  <c r="B82" i="86"/>
  <c r="F81" i="86"/>
  <c r="D81" i="86"/>
  <c r="B81" i="86"/>
  <c r="F80" i="86"/>
  <c r="D80" i="86"/>
  <c r="B80" i="86"/>
  <c r="F79" i="86"/>
  <c r="D79" i="86"/>
  <c r="B79" i="86"/>
  <c r="F78" i="86"/>
  <c r="D78" i="86"/>
  <c r="B78" i="86"/>
  <c r="F77" i="86"/>
  <c r="D77" i="86"/>
  <c r="B77" i="86"/>
  <c r="F76" i="86"/>
  <c r="D76" i="86"/>
  <c r="B76" i="86"/>
  <c r="F75" i="86"/>
  <c r="D75" i="86"/>
  <c r="B75" i="86"/>
  <c r="F74" i="86"/>
  <c r="D74" i="86"/>
  <c r="B74" i="86"/>
  <c r="F73" i="86"/>
  <c r="D73" i="86"/>
  <c r="B73" i="86"/>
  <c r="F72" i="86"/>
  <c r="D72" i="86"/>
  <c r="B72" i="86"/>
  <c r="F71" i="86"/>
  <c r="D71" i="86"/>
  <c r="B71" i="86"/>
  <c r="F70" i="86"/>
  <c r="D70" i="86"/>
  <c r="B70" i="86"/>
  <c r="F69" i="86"/>
  <c r="D69" i="86"/>
  <c r="B69" i="86"/>
  <c r="F68" i="86"/>
  <c r="D68" i="86"/>
  <c r="B68" i="86"/>
  <c r="F67" i="86"/>
  <c r="D67" i="86"/>
  <c r="B67" i="86"/>
  <c r="F66" i="86"/>
  <c r="D66" i="86"/>
  <c r="B66" i="86"/>
  <c r="F65" i="86"/>
  <c r="D65" i="86"/>
  <c r="B65" i="86"/>
  <c r="F64" i="86"/>
  <c r="D64" i="86"/>
  <c r="B64" i="86"/>
  <c r="F63" i="86"/>
  <c r="D63" i="86"/>
  <c r="B63" i="86"/>
  <c r="F62" i="86"/>
  <c r="D62" i="86"/>
  <c r="B62" i="86"/>
  <c r="F61" i="86"/>
  <c r="D61" i="86"/>
  <c r="B61" i="86"/>
  <c r="F60" i="86"/>
  <c r="D60" i="86"/>
  <c r="B60" i="86"/>
  <c r="F57" i="86"/>
  <c r="D57" i="86"/>
  <c r="B57" i="86"/>
  <c r="F56" i="86"/>
  <c r="D56" i="86"/>
  <c r="B56" i="86"/>
  <c r="F55" i="86"/>
  <c r="D55" i="86"/>
  <c r="B55" i="86"/>
  <c r="F54" i="86"/>
  <c r="D54" i="86"/>
  <c r="B54" i="86"/>
  <c r="F53" i="86"/>
  <c r="D53" i="86"/>
  <c r="B53" i="86"/>
  <c r="F52" i="86"/>
  <c r="D52" i="86"/>
  <c r="B52" i="86"/>
  <c r="F51" i="86"/>
  <c r="D51" i="86"/>
  <c r="B51" i="86"/>
  <c r="F50" i="86"/>
  <c r="D50" i="86"/>
  <c r="B50" i="86"/>
  <c r="F49" i="86"/>
  <c r="D49" i="86"/>
  <c r="B49" i="86"/>
  <c r="F48" i="86"/>
  <c r="D48" i="86"/>
  <c r="B48" i="86"/>
  <c r="F47" i="86"/>
  <c r="D47" i="86"/>
  <c r="B47" i="86"/>
  <c r="F46" i="86"/>
  <c r="D46" i="86"/>
  <c r="B46" i="86"/>
  <c r="F45" i="86"/>
  <c r="D45" i="86"/>
  <c r="B45" i="86"/>
  <c r="F44" i="86"/>
  <c r="D44" i="86"/>
  <c r="B44" i="86"/>
  <c r="F43" i="86"/>
  <c r="D43" i="86"/>
  <c r="B43" i="86"/>
  <c r="F42" i="86"/>
  <c r="D42" i="86"/>
  <c r="B42" i="86"/>
  <c r="F41" i="86"/>
  <c r="D41" i="86"/>
  <c r="B41" i="86"/>
  <c r="F40" i="86"/>
  <c r="D40" i="86"/>
  <c r="B40" i="86"/>
  <c r="F39" i="86"/>
  <c r="D39" i="86"/>
  <c r="B39" i="86"/>
  <c r="F38" i="86"/>
  <c r="D38" i="86"/>
  <c r="B38" i="86"/>
  <c r="F37" i="86"/>
  <c r="D37" i="86"/>
  <c r="B37" i="86"/>
  <c r="F36" i="86"/>
  <c r="D36" i="86"/>
  <c r="B36" i="86"/>
  <c r="F35" i="86"/>
  <c r="D35" i="86"/>
  <c r="B35" i="86"/>
  <c r="F34" i="86"/>
  <c r="D34" i="86"/>
  <c r="B34" i="86"/>
  <c r="F33" i="86"/>
  <c r="D33" i="86"/>
  <c r="B33" i="86"/>
  <c r="F32" i="86"/>
  <c r="D32" i="86"/>
  <c r="B32" i="86"/>
  <c r="F31" i="86"/>
  <c r="D31" i="86"/>
  <c r="B31" i="86"/>
  <c r="F30" i="86"/>
  <c r="D30" i="86"/>
  <c r="B30" i="86"/>
  <c r="F29" i="86"/>
  <c r="D29" i="86"/>
  <c r="B29" i="86"/>
  <c r="F28" i="86"/>
  <c r="D28" i="86"/>
  <c r="B28" i="86"/>
  <c r="F27" i="86"/>
  <c r="D27" i="86"/>
  <c r="B27" i="86"/>
  <c r="F26" i="86"/>
  <c r="D26" i="86"/>
  <c r="B26" i="86"/>
  <c r="F25" i="86"/>
  <c r="D25" i="86"/>
  <c r="B25" i="86"/>
  <c r="F24" i="86"/>
  <c r="D24" i="86"/>
  <c r="B24" i="86"/>
  <c r="F23" i="86"/>
  <c r="D23" i="86"/>
  <c r="B23" i="86"/>
  <c r="F22" i="86"/>
  <c r="D22" i="86"/>
  <c r="B22" i="86"/>
  <c r="F21" i="86"/>
  <c r="D21" i="86"/>
  <c r="B21" i="86"/>
  <c r="F20" i="86"/>
  <c r="D20" i="86"/>
  <c r="B20" i="86"/>
  <c r="F19" i="86"/>
  <c r="D19" i="86"/>
  <c r="B19" i="86"/>
  <c r="F18" i="86"/>
  <c r="D18" i="86"/>
  <c r="B18" i="86"/>
  <c r="F17" i="86"/>
  <c r="D17" i="86"/>
  <c r="B17" i="86"/>
  <c r="F16" i="86"/>
  <c r="D16" i="86"/>
  <c r="B16" i="86"/>
  <c r="F15" i="86"/>
  <c r="D15" i="86"/>
  <c r="B15" i="86"/>
  <c r="F14" i="86"/>
  <c r="D14" i="86"/>
  <c r="B14" i="86"/>
  <c r="F13" i="86"/>
  <c r="D13" i="86"/>
  <c r="B13" i="86"/>
  <c r="F12" i="86"/>
  <c r="D12" i="86"/>
  <c r="B12" i="86"/>
  <c r="F11" i="86"/>
  <c r="D11" i="86"/>
  <c r="B11" i="86"/>
  <c r="F203" i="85"/>
  <c r="D203" i="85"/>
  <c r="B203" i="85"/>
  <c r="F202" i="85"/>
  <c r="D202" i="85"/>
  <c r="B202" i="85"/>
  <c r="F201" i="85"/>
  <c r="D201" i="85"/>
  <c r="B201" i="85"/>
  <c r="F200" i="85"/>
  <c r="D200" i="85"/>
  <c r="B200" i="85"/>
  <c r="F199" i="85"/>
  <c r="D199" i="85"/>
  <c r="B199" i="85"/>
  <c r="F198" i="85"/>
  <c r="D198" i="85"/>
  <c r="B198" i="85"/>
  <c r="F197" i="85"/>
  <c r="D197" i="85"/>
  <c r="B197" i="85"/>
  <c r="F196" i="85"/>
  <c r="D196" i="85"/>
  <c r="B196" i="85"/>
  <c r="F195" i="85"/>
  <c r="D195" i="85"/>
  <c r="B195" i="85"/>
  <c r="F194" i="85"/>
  <c r="D194" i="85"/>
  <c r="B194" i="85"/>
  <c r="F193" i="85"/>
  <c r="D193" i="85"/>
  <c r="B193" i="85"/>
  <c r="F192" i="85"/>
  <c r="D192" i="85"/>
  <c r="B192" i="85"/>
  <c r="F191" i="85"/>
  <c r="D191" i="85"/>
  <c r="B191" i="85"/>
  <c r="F190" i="85"/>
  <c r="D190" i="85"/>
  <c r="B190" i="85"/>
  <c r="F189" i="85"/>
  <c r="D189" i="85"/>
  <c r="B189" i="85"/>
  <c r="F188" i="85"/>
  <c r="D188" i="85"/>
  <c r="B188" i="85"/>
  <c r="F187" i="85"/>
  <c r="D187" i="85"/>
  <c r="B187" i="85"/>
  <c r="F186" i="85"/>
  <c r="D186" i="85"/>
  <c r="B186" i="85"/>
  <c r="F185" i="85"/>
  <c r="D185" i="85"/>
  <c r="B185" i="85"/>
  <c r="F184" i="85"/>
  <c r="D184" i="85"/>
  <c r="B184" i="85"/>
  <c r="F183" i="85"/>
  <c r="D183" i="85"/>
  <c r="B183" i="85"/>
  <c r="F182" i="85"/>
  <c r="D182" i="85"/>
  <c r="B182" i="85"/>
  <c r="F181" i="85"/>
  <c r="D181" i="85"/>
  <c r="B181" i="85"/>
  <c r="F180" i="85"/>
  <c r="D180" i="85"/>
  <c r="B180" i="85"/>
  <c r="F179" i="85"/>
  <c r="D179" i="85"/>
  <c r="B179" i="85"/>
  <c r="F178" i="85"/>
  <c r="D178" i="85"/>
  <c r="B178" i="85"/>
  <c r="F177" i="85"/>
  <c r="D177" i="85"/>
  <c r="B177" i="85"/>
  <c r="F176" i="85"/>
  <c r="D176" i="85"/>
  <c r="B176" i="85"/>
  <c r="F175" i="85"/>
  <c r="D175" i="85"/>
  <c r="B175" i="85"/>
  <c r="F174" i="85"/>
  <c r="D174" i="85"/>
  <c r="B174" i="85"/>
  <c r="F173" i="85"/>
  <c r="D173" i="85"/>
  <c r="B173" i="85"/>
  <c r="F172" i="85"/>
  <c r="D172" i="85"/>
  <c r="B172" i="85"/>
  <c r="F171" i="85"/>
  <c r="D171" i="85"/>
  <c r="B171" i="85"/>
  <c r="F170" i="85"/>
  <c r="D170" i="85"/>
  <c r="B170" i="85"/>
  <c r="F169" i="85"/>
  <c r="D169" i="85"/>
  <c r="B169" i="85"/>
  <c r="F168" i="85"/>
  <c r="D168" i="85"/>
  <c r="B168" i="85"/>
  <c r="F167" i="85"/>
  <c r="D167" i="85"/>
  <c r="B167" i="85"/>
  <c r="F166" i="85"/>
  <c r="D166" i="85"/>
  <c r="B166" i="85"/>
  <c r="F165" i="85"/>
  <c r="D165" i="85"/>
  <c r="B165" i="85"/>
  <c r="F164" i="85"/>
  <c r="D164" i="85"/>
  <c r="B164" i="85"/>
  <c r="F163" i="85"/>
  <c r="D163" i="85"/>
  <c r="B163" i="85"/>
  <c r="F162" i="85"/>
  <c r="D162" i="85"/>
  <c r="B162" i="85"/>
  <c r="F161" i="85"/>
  <c r="D161" i="85"/>
  <c r="B161" i="85"/>
  <c r="F160" i="85"/>
  <c r="D160" i="85"/>
  <c r="B160" i="85"/>
  <c r="F159" i="85"/>
  <c r="D159" i="85"/>
  <c r="B159" i="85"/>
  <c r="F158" i="85"/>
  <c r="D158" i="85"/>
  <c r="B158" i="85"/>
  <c r="F157" i="85"/>
  <c r="D157" i="85"/>
  <c r="B157" i="85"/>
  <c r="F154" i="85"/>
  <c r="D154" i="85"/>
  <c r="B154" i="85"/>
  <c r="F153" i="85"/>
  <c r="D153" i="85"/>
  <c r="B153" i="85"/>
  <c r="F152" i="85"/>
  <c r="D152" i="85"/>
  <c r="B152" i="85"/>
  <c r="F151" i="85"/>
  <c r="D151" i="85"/>
  <c r="B151" i="85"/>
  <c r="F150" i="85"/>
  <c r="D150" i="85"/>
  <c r="B150" i="85"/>
  <c r="F149" i="85"/>
  <c r="D149" i="85"/>
  <c r="B149" i="85"/>
  <c r="F148" i="85"/>
  <c r="D148" i="85"/>
  <c r="B148" i="85"/>
  <c r="F147" i="85"/>
  <c r="D147" i="85"/>
  <c r="B147" i="85"/>
  <c r="F146" i="85"/>
  <c r="D146" i="85"/>
  <c r="B146" i="85"/>
  <c r="F145" i="85"/>
  <c r="D145" i="85"/>
  <c r="B145" i="85"/>
  <c r="F144" i="85"/>
  <c r="D144" i="85"/>
  <c r="B144" i="85"/>
  <c r="F143" i="85"/>
  <c r="D143" i="85"/>
  <c r="B143" i="85"/>
  <c r="F142" i="85"/>
  <c r="D142" i="85"/>
  <c r="B142" i="85"/>
  <c r="F141" i="85"/>
  <c r="D141" i="85"/>
  <c r="B141" i="85"/>
  <c r="F140" i="85"/>
  <c r="D140" i="85"/>
  <c r="B140" i="85"/>
  <c r="F139" i="85"/>
  <c r="D139" i="85"/>
  <c r="B139" i="85"/>
  <c r="F138" i="85"/>
  <c r="D138" i="85"/>
  <c r="B138" i="85"/>
  <c r="F137" i="85"/>
  <c r="D137" i="85"/>
  <c r="B137" i="85"/>
  <c r="F136" i="85"/>
  <c r="D136" i="85"/>
  <c r="B136" i="85"/>
  <c r="F135" i="85"/>
  <c r="D135" i="85"/>
  <c r="B135" i="85"/>
  <c r="F134" i="85"/>
  <c r="D134" i="85"/>
  <c r="B134" i="85"/>
  <c r="F133" i="85"/>
  <c r="D133" i="85"/>
  <c r="B133" i="85"/>
  <c r="F132" i="85"/>
  <c r="D132" i="85"/>
  <c r="B132" i="85"/>
  <c r="F131" i="85"/>
  <c r="D131" i="85"/>
  <c r="B131" i="85"/>
  <c r="F130" i="85"/>
  <c r="D130" i="85"/>
  <c r="B130" i="85"/>
  <c r="F129" i="85"/>
  <c r="D129" i="85"/>
  <c r="B129" i="85"/>
  <c r="F128" i="85"/>
  <c r="D128" i="85"/>
  <c r="B128" i="85"/>
  <c r="F127" i="85"/>
  <c r="D127" i="85"/>
  <c r="B127" i="85"/>
  <c r="F126" i="85"/>
  <c r="D126" i="85"/>
  <c r="B126" i="85"/>
  <c r="F125" i="85"/>
  <c r="D125" i="85"/>
  <c r="B125" i="85"/>
  <c r="F124" i="85"/>
  <c r="D124" i="85"/>
  <c r="B124" i="85"/>
  <c r="F123" i="85"/>
  <c r="D123" i="85"/>
  <c r="B123" i="85"/>
  <c r="F122" i="85"/>
  <c r="D122" i="85"/>
  <c r="B122" i="85"/>
  <c r="F121" i="85"/>
  <c r="D121" i="85"/>
  <c r="B121" i="85"/>
  <c r="F120" i="85"/>
  <c r="D120" i="85"/>
  <c r="B120" i="85"/>
  <c r="F119" i="85"/>
  <c r="D119" i="85"/>
  <c r="B119" i="85"/>
  <c r="F118" i="85"/>
  <c r="D118" i="85"/>
  <c r="B118" i="85"/>
  <c r="F117" i="85"/>
  <c r="D117" i="85"/>
  <c r="B117" i="85"/>
  <c r="F116" i="85"/>
  <c r="D116" i="85"/>
  <c r="B116" i="85"/>
  <c r="F115" i="85"/>
  <c r="D115" i="85"/>
  <c r="B115" i="85"/>
  <c r="F114" i="85"/>
  <c r="D114" i="85"/>
  <c r="B114" i="85"/>
  <c r="F113" i="85"/>
  <c r="D113" i="85"/>
  <c r="B113" i="85"/>
  <c r="F112" i="85"/>
  <c r="D112" i="85"/>
  <c r="B112" i="85"/>
  <c r="F111" i="85"/>
  <c r="D111" i="85"/>
  <c r="B111" i="85"/>
  <c r="F110" i="85"/>
  <c r="D110" i="85"/>
  <c r="B110" i="85"/>
  <c r="F109" i="85"/>
  <c r="D109" i="85"/>
  <c r="B109" i="85"/>
  <c r="F108" i="85"/>
  <c r="D108" i="85"/>
  <c r="B108" i="85"/>
  <c r="F105" i="85"/>
  <c r="D105" i="85"/>
  <c r="B105" i="85"/>
  <c r="F104" i="85"/>
  <c r="D104" i="85"/>
  <c r="B104" i="85"/>
  <c r="F103" i="85"/>
  <c r="D103" i="85"/>
  <c r="B103" i="85"/>
  <c r="F102" i="85"/>
  <c r="D102" i="85"/>
  <c r="B102" i="85"/>
  <c r="F101" i="85"/>
  <c r="D101" i="85"/>
  <c r="B101" i="85"/>
  <c r="F100" i="85"/>
  <c r="D100" i="85"/>
  <c r="B100" i="85"/>
  <c r="F99" i="85"/>
  <c r="D99" i="85"/>
  <c r="B99" i="85"/>
  <c r="F98" i="85"/>
  <c r="D98" i="85"/>
  <c r="B98" i="85"/>
  <c r="F97" i="85"/>
  <c r="D97" i="85"/>
  <c r="B97" i="85"/>
  <c r="F96" i="85"/>
  <c r="D96" i="85"/>
  <c r="B96" i="85"/>
  <c r="F95" i="85"/>
  <c r="D95" i="85"/>
  <c r="B95" i="85"/>
  <c r="F94" i="85"/>
  <c r="D94" i="85"/>
  <c r="B94" i="85"/>
  <c r="F93" i="85"/>
  <c r="D93" i="85"/>
  <c r="B93" i="85"/>
  <c r="F92" i="85"/>
  <c r="D92" i="85"/>
  <c r="B92" i="85"/>
  <c r="F91" i="85"/>
  <c r="D91" i="85"/>
  <c r="B91" i="85"/>
  <c r="F90" i="85"/>
  <c r="D90" i="85"/>
  <c r="B90" i="85"/>
  <c r="F89" i="85"/>
  <c r="D89" i="85"/>
  <c r="B89" i="85"/>
  <c r="F88" i="85"/>
  <c r="D88" i="85"/>
  <c r="B88" i="85"/>
  <c r="F87" i="85"/>
  <c r="D87" i="85"/>
  <c r="B87" i="85"/>
  <c r="F86" i="85"/>
  <c r="D86" i="85"/>
  <c r="B86" i="85"/>
  <c r="F85" i="85"/>
  <c r="D85" i="85"/>
  <c r="B85" i="85"/>
  <c r="F84" i="85"/>
  <c r="D84" i="85"/>
  <c r="B84" i="85"/>
  <c r="F83" i="85"/>
  <c r="D83" i="85"/>
  <c r="B83" i="85"/>
  <c r="F82" i="85"/>
  <c r="D82" i="85"/>
  <c r="B82" i="85"/>
  <c r="F81" i="85"/>
  <c r="D81" i="85"/>
  <c r="B81" i="85"/>
  <c r="F80" i="85"/>
  <c r="D80" i="85"/>
  <c r="B80" i="85"/>
  <c r="F79" i="85"/>
  <c r="D79" i="85"/>
  <c r="B79" i="85"/>
  <c r="F78" i="85"/>
  <c r="D78" i="85"/>
  <c r="B78" i="85"/>
  <c r="F77" i="85"/>
  <c r="D77" i="85"/>
  <c r="B77" i="85"/>
  <c r="F76" i="85"/>
  <c r="D76" i="85"/>
  <c r="B76" i="85"/>
  <c r="F75" i="85"/>
  <c r="D75" i="85"/>
  <c r="B75" i="85"/>
  <c r="F74" i="85"/>
  <c r="D74" i="85"/>
  <c r="B74" i="85"/>
  <c r="F73" i="85"/>
  <c r="D73" i="85"/>
  <c r="B73" i="85"/>
  <c r="F72" i="85"/>
  <c r="D72" i="85"/>
  <c r="B72" i="85"/>
  <c r="F71" i="85"/>
  <c r="D71" i="85"/>
  <c r="B71" i="85"/>
  <c r="F70" i="85"/>
  <c r="D70" i="85"/>
  <c r="B70" i="85"/>
  <c r="F69" i="85"/>
  <c r="D69" i="85"/>
  <c r="B69" i="85"/>
  <c r="F68" i="85"/>
  <c r="D68" i="85"/>
  <c r="B68" i="85"/>
  <c r="F67" i="85"/>
  <c r="D67" i="85"/>
  <c r="B67" i="85"/>
  <c r="F66" i="85"/>
  <c r="D66" i="85"/>
  <c r="B66" i="85"/>
  <c r="F65" i="85"/>
  <c r="D65" i="85"/>
  <c r="B65" i="85"/>
  <c r="F64" i="85"/>
  <c r="D64" i="85"/>
  <c r="B64" i="85"/>
  <c r="F63" i="85"/>
  <c r="D63" i="85"/>
  <c r="B63" i="85"/>
  <c r="F62" i="85"/>
  <c r="D62" i="85"/>
  <c r="B62" i="85"/>
  <c r="F61" i="85"/>
  <c r="D61" i="85"/>
  <c r="B61" i="85"/>
  <c r="F60" i="85"/>
  <c r="D60" i="85"/>
  <c r="B60" i="85"/>
  <c r="F59" i="85"/>
  <c r="D59" i="85"/>
  <c r="B59" i="85"/>
  <c r="F56" i="85"/>
  <c r="D56" i="85"/>
  <c r="B56" i="85"/>
  <c r="F55" i="85"/>
  <c r="D55" i="85"/>
  <c r="B55" i="85"/>
  <c r="F54" i="85"/>
  <c r="D54" i="85"/>
  <c r="B54" i="85"/>
  <c r="F53" i="85"/>
  <c r="D53" i="85"/>
  <c r="B53" i="85"/>
  <c r="F52" i="85"/>
  <c r="D52" i="85"/>
  <c r="B52" i="85"/>
  <c r="F51" i="85"/>
  <c r="D51" i="85"/>
  <c r="B51" i="85"/>
  <c r="F50" i="85"/>
  <c r="D50" i="85"/>
  <c r="B50" i="85"/>
  <c r="F49" i="85"/>
  <c r="D49" i="85"/>
  <c r="B49" i="85"/>
  <c r="F48" i="85"/>
  <c r="D48" i="85"/>
  <c r="B48" i="85"/>
  <c r="F47" i="85"/>
  <c r="D47" i="85"/>
  <c r="B47" i="85"/>
  <c r="F46" i="85"/>
  <c r="D46" i="85"/>
  <c r="B46" i="85"/>
  <c r="F45" i="85"/>
  <c r="D45" i="85"/>
  <c r="B45" i="85"/>
  <c r="F44" i="85"/>
  <c r="D44" i="85"/>
  <c r="B44" i="85"/>
  <c r="F43" i="85"/>
  <c r="D43" i="85"/>
  <c r="B43" i="85"/>
  <c r="F42" i="85"/>
  <c r="D42" i="85"/>
  <c r="B42" i="85"/>
  <c r="F41" i="85"/>
  <c r="D41" i="85"/>
  <c r="B41" i="85"/>
  <c r="F40" i="85"/>
  <c r="D40" i="85"/>
  <c r="B40" i="85"/>
  <c r="F39" i="85"/>
  <c r="D39" i="85"/>
  <c r="B39" i="85"/>
  <c r="F38" i="85"/>
  <c r="D38" i="85"/>
  <c r="B38" i="85"/>
  <c r="F37" i="85"/>
  <c r="D37" i="85"/>
  <c r="B37" i="85"/>
  <c r="F36" i="85"/>
  <c r="D36" i="85"/>
  <c r="B36" i="85"/>
  <c r="F35" i="85"/>
  <c r="D35" i="85"/>
  <c r="B35" i="85"/>
  <c r="F34" i="85"/>
  <c r="D34" i="85"/>
  <c r="B34" i="85"/>
  <c r="F33" i="85"/>
  <c r="D33" i="85"/>
  <c r="B33" i="85"/>
  <c r="F32" i="85"/>
  <c r="D32" i="85"/>
  <c r="B32" i="85"/>
  <c r="F31" i="85"/>
  <c r="D31" i="85"/>
  <c r="B31" i="85"/>
  <c r="F30" i="85"/>
  <c r="D30" i="85"/>
  <c r="B30" i="85"/>
  <c r="F29" i="85"/>
  <c r="D29" i="85"/>
  <c r="B29" i="85"/>
  <c r="F28" i="85"/>
  <c r="D28" i="85"/>
  <c r="B28" i="85"/>
  <c r="F27" i="85"/>
  <c r="D27" i="85"/>
  <c r="B27" i="85"/>
  <c r="F26" i="85"/>
  <c r="D26" i="85"/>
  <c r="B26" i="85"/>
  <c r="F25" i="85"/>
  <c r="D25" i="85"/>
  <c r="B25" i="85"/>
  <c r="F24" i="85"/>
  <c r="D24" i="85"/>
  <c r="B24" i="85"/>
  <c r="F23" i="85"/>
  <c r="D23" i="85"/>
  <c r="B23" i="85"/>
  <c r="F22" i="85"/>
  <c r="D22" i="85"/>
  <c r="B22" i="85"/>
  <c r="F21" i="85"/>
  <c r="D21" i="85"/>
  <c r="B21" i="85"/>
  <c r="F20" i="85"/>
  <c r="D20" i="85"/>
  <c r="B20" i="85"/>
  <c r="F19" i="85"/>
  <c r="D19" i="85"/>
  <c r="B19" i="85"/>
  <c r="F18" i="85"/>
  <c r="D18" i="85"/>
  <c r="B18" i="85"/>
  <c r="F17" i="85"/>
  <c r="D17" i="85"/>
  <c r="B17" i="85"/>
  <c r="F16" i="85"/>
  <c r="D16" i="85"/>
  <c r="B16" i="85"/>
  <c r="F15" i="85"/>
  <c r="D15" i="85"/>
  <c r="B15" i="85"/>
  <c r="F14" i="85"/>
  <c r="D14" i="85"/>
  <c r="B14" i="85"/>
  <c r="F13" i="85"/>
  <c r="D13" i="85"/>
  <c r="B13" i="85"/>
  <c r="F12" i="85"/>
  <c r="D12" i="85"/>
  <c r="B12" i="85"/>
  <c r="F11" i="85"/>
  <c r="D11" i="85"/>
  <c r="B11" i="85"/>
  <c r="F10" i="85"/>
  <c r="D10" i="85"/>
  <c r="B10" i="85"/>
  <c r="F203" i="84"/>
  <c r="D203" i="84"/>
  <c r="B203" i="84"/>
  <c r="F202" i="84"/>
  <c r="D202" i="84"/>
  <c r="B202" i="84"/>
  <c r="F201" i="84"/>
  <c r="D201" i="84"/>
  <c r="B201" i="84"/>
  <c r="F200" i="84"/>
  <c r="D200" i="84"/>
  <c r="B200" i="84"/>
  <c r="F199" i="84"/>
  <c r="D199" i="84"/>
  <c r="B199" i="84"/>
  <c r="F198" i="84"/>
  <c r="D198" i="84"/>
  <c r="B198" i="84"/>
  <c r="F197" i="84"/>
  <c r="D197" i="84"/>
  <c r="B197" i="84"/>
  <c r="F196" i="84"/>
  <c r="D196" i="84"/>
  <c r="B196" i="84"/>
  <c r="F195" i="84"/>
  <c r="D195" i="84"/>
  <c r="B195" i="84"/>
  <c r="F194" i="84"/>
  <c r="D194" i="84"/>
  <c r="B194" i="84"/>
  <c r="F193" i="84"/>
  <c r="D193" i="84"/>
  <c r="B193" i="84"/>
  <c r="F192" i="84"/>
  <c r="D192" i="84"/>
  <c r="B192" i="84"/>
  <c r="F191" i="84"/>
  <c r="D191" i="84"/>
  <c r="B191" i="84"/>
  <c r="F190" i="84"/>
  <c r="D190" i="84"/>
  <c r="B190" i="84"/>
  <c r="F189" i="84"/>
  <c r="D189" i="84"/>
  <c r="B189" i="84"/>
  <c r="F188" i="84"/>
  <c r="D188" i="84"/>
  <c r="B188" i="84"/>
  <c r="F187" i="84"/>
  <c r="D187" i="84"/>
  <c r="B187" i="84"/>
  <c r="F186" i="84"/>
  <c r="D186" i="84"/>
  <c r="B186" i="84"/>
  <c r="F185" i="84"/>
  <c r="D185" i="84"/>
  <c r="B185" i="84"/>
  <c r="F184" i="84"/>
  <c r="D184" i="84"/>
  <c r="B184" i="84"/>
  <c r="F183" i="84"/>
  <c r="D183" i="84"/>
  <c r="B183" i="84"/>
  <c r="F182" i="84"/>
  <c r="D182" i="84"/>
  <c r="B182" i="84"/>
  <c r="F181" i="84"/>
  <c r="D181" i="84"/>
  <c r="B181" i="84"/>
  <c r="F180" i="84"/>
  <c r="D180" i="84"/>
  <c r="B180" i="84"/>
  <c r="F179" i="84"/>
  <c r="D179" i="84"/>
  <c r="B179" i="84"/>
  <c r="F178" i="84"/>
  <c r="D178" i="84"/>
  <c r="B178" i="84"/>
  <c r="F177" i="84"/>
  <c r="D177" i="84"/>
  <c r="B177" i="84"/>
  <c r="F176" i="84"/>
  <c r="D176" i="84"/>
  <c r="B176" i="84"/>
  <c r="F175" i="84"/>
  <c r="D175" i="84"/>
  <c r="B175" i="84"/>
  <c r="F174" i="84"/>
  <c r="D174" i="84"/>
  <c r="B174" i="84"/>
  <c r="F173" i="84"/>
  <c r="D173" i="84"/>
  <c r="B173" i="84"/>
  <c r="F172" i="84"/>
  <c r="D172" i="84"/>
  <c r="B172" i="84"/>
  <c r="F171" i="84"/>
  <c r="D171" i="84"/>
  <c r="B171" i="84"/>
  <c r="F170" i="84"/>
  <c r="D170" i="84"/>
  <c r="B170" i="84"/>
  <c r="F169" i="84"/>
  <c r="D169" i="84"/>
  <c r="B169" i="84"/>
  <c r="F168" i="84"/>
  <c r="D168" i="84"/>
  <c r="B168" i="84"/>
  <c r="F167" i="84"/>
  <c r="D167" i="84"/>
  <c r="B167" i="84"/>
  <c r="F166" i="84"/>
  <c r="D166" i="84"/>
  <c r="B166" i="84"/>
  <c r="F165" i="84"/>
  <c r="D165" i="84"/>
  <c r="B165" i="84"/>
  <c r="F164" i="84"/>
  <c r="D164" i="84"/>
  <c r="B164" i="84"/>
  <c r="F163" i="84"/>
  <c r="D163" i="84"/>
  <c r="B163" i="84"/>
  <c r="F162" i="84"/>
  <c r="D162" i="84"/>
  <c r="B162" i="84"/>
  <c r="F161" i="84"/>
  <c r="D161" i="84"/>
  <c r="B161" i="84"/>
  <c r="F160" i="84"/>
  <c r="D160" i="84"/>
  <c r="B160" i="84"/>
  <c r="F159" i="84"/>
  <c r="D159" i="84"/>
  <c r="B159" i="84"/>
  <c r="F158" i="84"/>
  <c r="D158" i="84"/>
  <c r="B158" i="84"/>
  <c r="F157" i="84"/>
  <c r="D157" i="84"/>
  <c r="B157" i="84"/>
  <c r="F154" i="84"/>
  <c r="D154" i="84"/>
  <c r="B154" i="84"/>
  <c r="F153" i="84"/>
  <c r="D153" i="84"/>
  <c r="B153" i="84"/>
  <c r="F152" i="84"/>
  <c r="D152" i="84"/>
  <c r="B152" i="84"/>
  <c r="F151" i="84"/>
  <c r="D151" i="84"/>
  <c r="B151" i="84"/>
  <c r="F150" i="84"/>
  <c r="D150" i="84"/>
  <c r="B150" i="84"/>
  <c r="F149" i="84"/>
  <c r="D149" i="84"/>
  <c r="B149" i="84"/>
  <c r="F148" i="84"/>
  <c r="D148" i="84"/>
  <c r="B148" i="84"/>
  <c r="F147" i="84"/>
  <c r="D147" i="84"/>
  <c r="B147" i="84"/>
  <c r="F146" i="84"/>
  <c r="D146" i="84"/>
  <c r="B146" i="84"/>
  <c r="F145" i="84"/>
  <c r="D145" i="84"/>
  <c r="B145" i="84"/>
  <c r="F144" i="84"/>
  <c r="D144" i="84"/>
  <c r="B144" i="84"/>
  <c r="F143" i="84"/>
  <c r="D143" i="84"/>
  <c r="B143" i="84"/>
  <c r="F142" i="84"/>
  <c r="D142" i="84"/>
  <c r="B142" i="84"/>
  <c r="F141" i="84"/>
  <c r="D141" i="84"/>
  <c r="B141" i="84"/>
  <c r="F140" i="84"/>
  <c r="D140" i="84"/>
  <c r="B140" i="84"/>
  <c r="F139" i="84"/>
  <c r="D139" i="84"/>
  <c r="B139" i="84"/>
  <c r="F138" i="84"/>
  <c r="D138" i="84"/>
  <c r="B138" i="84"/>
  <c r="F137" i="84"/>
  <c r="D137" i="84"/>
  <c r="B137" i="84"/>
  <c r="F136" i="84"/>
  <c r="D136" i="84"/>
  <c r="B136" i="84"/>
  <c r="F135" i="84"/>
  <c r="D135" i="84"/>
  <c r="B135" i="84"/>
  <c r="F134" i="84"/>
  <c r="D134" i="84"/>
  <c r="B134" i="84"/>
  <c r="F133" i="84"/>
  <c r="D133" i="84"/>
  <c r="B133" i="84"/>
  <c r="F132" i="84"/>
  <c r="D132" i="84"/>
  <c r="B132" i="84"/>
  <c r="F131" i="84"/>
  <c r="D131" i="84"/>
  <c r="B131" i="84"/>
  <c r="F130" i="84"/>
  <c r="D130" i="84"/>
  <c r="B130" i="84"/>
  <c r="F129" i="84"/>
  <c r="D129" i="84"/>
  <c r="B129" i="84"/>
  <c r="F128" i="84"/>
  <c r="D128" i="84"/>
  <c r="B128" i="84"/>
  <c r="F127" i="84"/>
  <c r="D127" i="84"/>
  <c r="B127" i="84"/>
  <c r="F126" i="84"/>
  <c r="D126" i="84"/>
  <c r="B126" i="84"/>
  <c r="F125" i="84"/>
  <c r="D125" i="84"/>
  <c r="B125" i="84"/>
  <c r="F124" i="84"/>
  <c r="D124" i="84"/>
  <c r="B124" i="84"/>
  <c r="F123" i="84"/>
  <c r="D123" i="84"/>
  <c r="B123" i="84"/>
  <c r="F122" i="84"/>
  <c r="D122" i="84"/>
  <c r="B122" i="84"/>
  <c r="F121" i="84"/>
  <c r="D121" i="84"/>
  <c r="B121" i="84"/>
  <c r="F120" i="84"/>
  <c r="D120" i="84"/>
  <c r="B120" i="84"/>
  <c r="F119" i="84"/>
  <c r="D119" i="84"/>
  <c r="B119" i="84"/>
  <c r="F118" i="84"/>
  <c r="D118" i="84"/>
  <c r="B118" i="84"/>
  <c r="F117" i="84"/>
  <c r="D117" i="84"/>
  <c r="B117" i="84"/>
  <c r="F116" i="84"/>
  <c r="D116" i="84"/>
  <c r="B116" i="84"/>
  <c r="F115" i="84"/>
  <c r="D115" i="84"/>
  <c r="B115" i="84"/>
  <c r="F114" i="84"/>
  <c r="D114" i="84"/>
  <c r="B114" i="84"/>
  <c r="F113" i="84"/>
  <c r="D113" i="84"/>
  <c r="B113" i="84"/>
  <c r="F112" i="84"/>
  <c r="D112" i="84"/>
  <c r="B112" i="84"/>
  <c r="F111" i="84"/>
  <c r="D111" i="84"/>
  <c r="B111" i="84"/>
  <c r="F110" i="84"/>
  <c r="D110" i="84"/>
  <c r="B110" i="84"/>
  <c r="F109" i="84"/>
  <c r="D109" i="84"/>
  <c r="B109" i="84"/>
  <c r="F108" i="84"/>
  <c r="D108" i="84"/>
  <c r="B108" i="84"/>
  <c r="F105" i="84"/>
  <c r="D105" i="84"/>
  <c r="B105" i="84"/>
  <c r="F104" i="84"/>
  <c r="D104" i="84"/>
  <c r="B104" i="84"/>
  <c r="F103" i="84"/>
  <c r="D103" i="84"/>
  <c r="B103" i="84"/>
  <c r="F102" i="84"/>
  <c r="D102" i="84"/>
  <c r="B102" i="84"/>
  <c r="F101" i="84"/>
  <c r="D101" i="84"/>
  <c r="B101" i="84"/>
  <c r="F100" i="84"/>
  <c r="D100" i="84"/>
  <c r="B100" i="84"/>
  <c r="F99" i="84"/>
  <c r="D99" i="84"/>
  <c r="B99" i="84"/>
  <c r="F98" i="84"/>
  <c r="D98" i="84"/>
  <c r="B98" i="84"/>
  <c r="F97" i="84"/>
  <c r="D97" i="84"/>
  <c r="B97" i="84"/>
  <c r="F96" i="84"/>
  <c r="D96" i="84"/>
  <c r="B96" i="84"/>
  <c r="F95" i="84"/>
  <c r="D95" i="84"/>
  <c r="B95" i="84"/>
  <c r="F94" i="84"/>
  <c r="D94" i="84"/>
  <c r="B94" i="84"/>
  <c r="F93" i="84"/>
  <c r="D93" i="84"/>
  <c r="B93" i="84"/>
  <c r="F92" i="84"/>
  <c r="D92" i="84"/>
  <c r="B92" i="84"/>
  <c r="F91" i="84"/>
  <c r="D91" i="84"/>
  <c r="B91" i="84"/>
  <c r="F90" i="84"/>
  <c r="D90" i="84"/>
  <c r="B90" i="84"/>
  <c r="F89" i="84"/>
  <c r="D89" i="84"/>
  <c r="B89" i="84"/>
  <c r="F88" i="84"/>
  <c r="D88" i="84"/>
  <c r="B88" i="84"/>
  <c r="F87" i="84"/>
  <c r="D87" i="84"/>
  <c r="B87" i="84"/>
  <c r="F86" i="84"/>
  <c r="D86" i="84"/>
  <c r="B86" i="84"/>
  <c r="F85" i="84"/>
  <c r="D85" i="84"/>
  <c r="B85" i="84"/>
  <c r="F84" i="84"/>
  <c r="D84" i="84"/>
  <c r="B84" i="84"/>
  <c r="F83" i="84"/>
  <c r="D83" i="84"/>
  <c r="B83" i="84"/>
  <c r="F82" i="84"/>
  <c r="D82" i="84"/>
  <c r="B82" i="84"/>
  <c r="F81" i="84"/>
  <c r="D81" i="84"/>
  <c r="B81" i="84"/>
  <c r="F80" i="84"/>
  <c r="D80" i="84"/>
  <c r="B80" i="84"/>
  <c r="F79" i="84"/>
  <c r="D79" i="84"/>
  <c r="B79" i="84"/>
  <c r="F78" i="84"/>
  <c r="D78" i="84"/>
  <c r="B78" i="84"/>
  <c r="F77" i="84"/>
  <c r="D77" i="84"/>
  <c r="B77" i="84"/>
  <c r="F76" i="84"/>
  <c r="D76" i="84"/>
  <c r="B76" i="84"/>
  <c r="F75" i="84"/>
  <c r="D75" i="84"/>
  <c r="B75" i="84"/>
  <c r="F74" i="84"/>
  <c r="D74" i="84"/>
  <c r="B74" i="84"/>
  <c r="F73" i="84"/>
  <c r="D73" i="84"/>
  <c r="B73" i="84"/>
  <c r="F72" i="84"/>
  <c r="D72" i="84"/>
  <c r="B72" i="84"/>
  <c r="F71" i="84"/>
  <c r="D71" i="84"/>
  <c r="B71" i="84"/>
  <c r="F70" i="84"/>
  <c r="D70" i="84"/>
  <c r="B70" i="84"/>
  <c r="F69" i="84"/>
  <c r="D69" i="84"/>
  <c r="B69" i="84"/>
  <c r="F68" i="84"/>
  <c r="D68" i="84"/>
  <c r="B68" i="84"/>
  <c r="F67" i="84"/>
  <c r="D67" i="84"/>
  <c r="B67" i="84"/>
  <c r="F66" i="84"/>
  <c r="D66" i="84"/>
  <c r="B66" i="84"/>
  <c r="F65" i="84"/>
  <c r="D65" i="84"/>
  <c r="B65" i="84"/>
  <c r="F64" i="84"/>
  <c r="D64" i="84"/>
  <c r="B64" i="84"/>
  <c r="F63" i="84"/>
  <c r="D63" i="84"/>
  <c r="B63" i="84"/>
  <c r="F62" i="84"/>
  <c r="D62" i="84"/>
  <c r="B62" i="84"/>
  <c r="F61" i="84"/>
  <c r="D61" i="84"/>
  <c r="B61" i="84"/>
  <c r="F60" i="84"/>
  <c r="D60" i="84"/>
  <c r="B60" i="84"/>
  <c r="F59" i="84"/>
  <c r="D59" i="84"/>
  <c r="B59" i="84"/>
  <c r="F56" i="84"/>
  <c r="D56" i="84"/>
  <c r="B56" i="84"/>
  <c r="F55" i="84"/>
  <c r="D55" i="84"/>
  <c r="B55" i="84"/>
  <c r="F54" i="84"/>
  <c r="D54" i="84"/>
  <c r="B54" i="84"/>
  <c r="F53" i="84"/>
  <c r="D53" i="84"/>
  <c r="B53" i="84"/>
  <c r="F52" i="84"/>
  <c r="D52" i="84"/>
  <c r="B52" i="84"/>
  <c r="F51" i="84"/>
  <c r="D51" i="84"/>
  <c r="B51" i="84"/>
  <c r="F50" i="84"/>
  <c r="D50" i="84"/>
  <c r="B50" i="84"/>
  <c r="F49" i="84"/>
  <c r="D49" i="84"/>
  <c r="B49" i="84"/>
  <c r="F48" i="84"/>
  <c r="D48" i="84"/>
  <c r="B48" i="84"/>
  <c r="F47" i="84"/>
  <c r="D47" i="84"/>
  <c r="B47" i="84"/>
  <c r="F46" i="84"/>
  <c r="D46" i="84"/>
  <c r="B46" i="84"/>
  <c r="F45" i="84"/>
  <c r="D45" i="84"/>
  <c r="B45" i="84"/>
  <c r="F44" i="84"/>
  <c r="D44" i="84"/>
  <c r="B44" i="84"/>
  <c r="F43" i="84"/>
  <c r="D43" i="84"/>
  <c r="B43" i="84"/>
  <c r="F42" i="84"/>
  <c r="D42" i="84"/>
  <c r="B42" i="84"/>
  <c r="F41" i="84"/>
  <c r="D41" i="84"/>
  <c r="B41" i="84"/>
  <c r="F40" i="84"/>
  <c r="D40" i="84"/>
  <c r="B40" i="84"/>
  <c r="F39" i="84"/>
  <c r="D39" i="84"/>
  <c r="B39" i="84"/>
  <c r="F38" i="84"/>
  <c r="D38" i="84"/>
  <c r="B38" i="84"/>
  <c r="F37" i="84"/>
  <c r="D37" i="84"/>
  <c r="B37" i="84"/>
  <c r="F36" i="84"/>
  <c r="D36" i="84"/>
  <c r="B36" i="84"/>
  <c r="F35" i="84"/>
  <c r="D35" i="84"/>
  <c r="B35" i="84"/>
  <c r="F34" i="84"/>
  <c r="D34" i="84"/>
  <c r="B34" i="84"/>
  <c r="F33" i="84"/>
  <c r="D33" i="84"/>
  <c r="B33" i="84"/>
  <c r="F32" i="84"/>
  <c r="D32" i="84"/>
  <c r="B32" i="84"/>
  <c r="F31" i="84"/>
  <c r="D31" i="84"/>
  <c r="B31" i="84"/>
  <c r="F30" i="84"/>
  <c r="D30" i="84"/>
  <c r="B30" i="84"/>
  <c r="F29" i="84"/>
  <c r="D29" i="84"/>
  <c r="B29" i="84"/>
  <c r="F28" i="84"/>
  <c r="D28" i="84"/>
  <c r="B28" i="84"/>
  <c r="F27" i="84"/>
  <c r="D27" i="84"/>
  <c r="B27" i="84"/>
  <c r="F26" i="84"/>
  <c r="D26" i="84"/>
  <c r="B26" i="84"/>
  <c r="F25" i="84"/>
  <c r="D25" i="84"/>
  <c r="B25" i="84"/>
  <c r="F24" i="84"/>
  <c r="D24" i="84"/>
  <c r="B24" i="84"/>
  <c r="F23" i="84"/>
  <c r="D23" i="84"/>
  <c r="B23" i="84"/>
  <c r="F22" i="84"/>
  <c r="D22" i="84"/>
  <c r="B22" i="84"/>
  <c r="F21" i="84"/>
  <c r="D21" i="84"/>
  <c r="B21" i="84"/>
  <c r="F20" i="84"/>
  <c r="D20" i="84"/>
  <c r="B20" i="84"/>
  <c r="F19" i="84"/>
  <c r="D19" i="84"/>
  <c r="B19" i="84"/>
  <c r="F18" i="84"/>
  <c r="D18" i="84"/>
  <c r="B18" i="84"/>
  <c r="F17" i="84"/>
  <c r="D17" i="84"/>
  <c r="B17" i="84"/>
  <c r="F16" i="84"/>
  <c r="D16" i="84"/>
  <c r="B16" i="84"/>
  <c r="F15" i="84"/>
  <c r="D15" i="84"/>
  <c r="B15" i="84"/>
  <c r="F14" i="84"/>
  <c r="D14" i="84"/>
  <c r="B14" i="84"/>
  <c r="F13" i="84"/>
  <c r="D13" i="84"/>
  <c r="B13" i="84"/>
  <c r="F12" i="84"/>
  <c r="D12" i="84"/>
  <c r="B12" i="84"/>
  <c r="F11" i="84"/>
  <c r="D11" i="84"/>
  <c r="B11" i="84"/>
  <c r="F10" i="84"/>
  <c r="D10" i="84"/>
  <c r="B10" i="84"/>
  <c r="F106" i="83"/>
  <c r="D106" i="83"/>
  <c r="B106" i="83"/>
  <c r="F105" i="83"/>
  <c r="D105" i="83"/>
  <c r="B105" i="83"/>
  <c r="F104" i="83"/>
  <c r="D104" i="83"/>
  <c r="B104" i="83"/>
  <c r="F103" i="83"/>
  <c r="D103" i="83"/>
  <c r="B103" i="83"/>
  <c r="F102" i="83"/>
  <c r="D102" i="83"/>
  <c r="B102" i="83"/>
  <c r="F101" i="83"/>
  <c r="D101" i="83"/>
  <c r="B101" i="83"/>
  <c r="F100" i="83"/>
  <c r="D100" i="83"/>
  <c r="B100" i="83"/>
  <c r="F99" i="83"/>
  <c r="D99" i="83"/>
  <c r="B99" i="83"/>
  <c r="F98" i="83"/>
  <c r="D98" i="83"/>
  <c r="B98" i="83"/>
  <c r="F97" i="83"/>
  <c r="D97" i="83"/>
  <c r="B97" i="83"/>
  <c r="F96" i="83"/>
  <c r="D96" i="83"/>
  <c r="B96" i="83"/>
  <c r="F95" i="83"/>
  <c r="D95" i="83"/>
  <c r="B95" i="83"/>
  <c r="F94" i="83"/>
  <c r="D94" i="83"/>
  <c r="B94" i="83"/>
  <c r="F93" i="83"/>
  <c r="D93" i="83"/>
  <c r="B93" i="83"/>
  <c r="F92" i="83"/>
  <c r="D92" i="83"/>
  <c r="B92" i="83"/>
  <c r="F91" i="83"/>
  <c r="D91" i="83"/>
  <c r="B91" i="83"/>
  <c r="F90" i="83"/>
  <c r="D90" i="83"/>
  <c r="B90" i="83"/>
  <c r="F89" i="83"/>
  <c r="D89" i="83"/>
  <c r="B89" i="83"/>
  <c r="F88" i="83"/>
  <c r="D88" i="83"/>
  <c r="B88" i="83"/>
  <c r="F87" i="83"/>
  <c r="D87" i="83"/>
  <c r="B87" i="83"/>
  <c r="F86" i="83"/>
  <c r="D86" i="83"/>
  <c r="B86" i="83"/>
  <c r="F85" i="83"/>
  <c r="D85" i="83"/>
  <c r="B85" i="83"/>
  <c r="F84" i="83"/>
  <c r="D84" i="83"/>
  <c r="B84" i="83"/>
  <c r="F83" i="83"/>
  <c r="D83" i="83"/>
  <c r="B83" i="83"/>
  <c r="F82" i="83"/>
  <c r="D82" i="83"/>
  <c r="B82" i="83"/>
  <c r="F81" i="83"/>
  <c r="D81" i="83"/>
  <c r="B81" i="83"/>
  <c r="F80" i="83"/>
  <c r="D80" i="83"/>
  <c r="B80" i="83"/>
  <c r="F79" i="83"/>
  <c r="D79" i="83"/>
  <c r="B79" i="83"/>
  <c r="F78" i="83"/>
  <c r="D78" i="83"/>
  <c r="B78" i="83"/>
  <c r="F77" i="83"/>
  <c r="D77" i="83"/>
  <c r="B77" i="83"/>
  <c r="F76" i="83"/>
  <c r="D76" i="83"/>
  <c r="B76" i="83"/>
  <c r="F75" i="83"/>
  <c r="D75" i="83"/>
  <c r="B75" i="83"/>
  <c r="F74" i="83"/>
  <c r="D74" i="83"/>
  <c r="B74" i="83"/>
  <c r="F73" i="83"/>
  <c r="D73" i="83"/>
  <c r="B73" i="83"/>
  <c r="F72" i="83"/>
  <c r="D72" i="83"/>
  <c r="B72" i="83"/>
  <c r="F71" i="83"/>
  <c r="D71" i="83"/>
  <c r="B71" i="83"/>
  <c r="F70" i="83"/>
  <c r="D70" i="83"/>
  <c r="B70" i="83"/>
  <c r="F69" i="83"/>
  <c r="D69" i="83"/>
  <c r="B69" i="83"/>
  <c r="F68" i="83"/>
  <c r="D68" i="83"/>
  <c r="B68" i="83"/>
  <c r="F67" i="83"/>
  <c r="D67" i="83"/>
  <c r="B67" i="83"/>
  <c r="F66" i="83"/>
  <c r="D66" i="83"/>
  <c r="B66" i="83"/>
  <c r="F65" i="83"/>
  <c r="D65" i="83"/>
  <c r="B65" i="83"/>
  <c r="F64" i="83"/>
  <c r="D64" i="83"/>
  <c r="B64" i="83"/>
  <c r="F63" i="83"/>
  <c r="D63" i="83"/>
  <c r="B63" i="83"/>
  <c r="F62" i="83"/>
  <c r="D62" i="83"/>
  <c r="B62" i="83"/>
  <c r="F61" i="83"/>
  <c r="D61" i="83"/>
  <c r="B61" i="83"/>
  <c r="F60" i="83"/>
  <c r="D60" i="83"/>
  <c r="B60" i="83"/>
  <c r="F57" i="83"/>
  <c r="D57" i="83"/>
  <c r="B57" i="83"/>
  <c r="F56" i="83"/>
  <c r="D56" i="83"/>
  <c r="B56" i="83"/>
  <c r="F55" i="83"/>
  <c r="D55" i="83"/>
  <c r="B55" i="83"/>
  <c r="F54" i="83"/>
  <c r="D54" i="83"/>
  <c r="B54" i="83"/>
  <c r="F53" i="83"/>
  <c r="D53" i="83"/>
  <c r="B53" i="83"/>
  <c r="F52" i="83"/>
  <c r="D52" i="83"/>
  <c r="B52" i="83"/>
  <c r="F51" i="83"/>
  <c r="D51" i="83"/>
  <c r="B51" i="83"/>
  <c r="F50" i="83"/>
  <c r="D50" i="83"/>
  <c r="B50" i="83"/>
  <c r="F49" i="83"/>
  <c r="D49" i="83"/>
  <c r="B49" i="83"/>
  <c r="F48" i="83"/>
  <c r="D48" i="83"/>
  <c r="B48" i="83"/>
  <c r="F47" i="83"/>
  <c r="D47" i="83"/>
  <c r="B47" i="83"/>
  <c r="F46" i="83"/>
  <c r="D46" i="83"/>
  <c r="B46" i="83"/>
  <c r="F45" i="83"/>
  <c r="D45" i="83"/>
  <c r="B45" i="83"/>
  <c r="F44" i="83"/>
  <c r="D44" i="83"/>
  <c r="B44" i="83"/>
  <c r="F43" i="83"/>
  <c r="D43" i="83"/>
  <c r="B43" i="83"/>
  <c r="F42" i="83"/>
  <c r="D42" i="83"/>
  <c r="B42" i="83"/>
  <c r="F41" i="83"/>
  <c r="D41" i="83"/>
  <c r="B41" i="83"/>
  <c r="F40" i="83"/>
  <c r="D40" i="83"/>
  <c r="B40" i="83"/>
  <c r="F39" i="83"/>
  <c r="D39" i="83"/>
  <c r="B39" i="83"/>
  <c r="F38" i="83"/>
  <c r="D38" i="83"/>
  <c r="B38" i="83"/>
  <c r="F37" i="83"/>
  <c r="D37" i="83"/>
  <c r="B37" i="83"/>
  <c r="F36" i="83"/>
  <c r="D36" i="83"/>
  <c r="B36" i="83"/>
  <c r="F35" i="83"/>
  <c r="D35" i="83"/>
  <c r="B35" i="83"/>
  <c r="F34" i="83"/>
  <c r="D34" i="83"/>
  <c r="B34" i="83"/>
  <c r="F33" i="83"/>
  <c r="D33" i="83"/>
  <c r="B33" i="83"/>
  <c r="F32" i="83"/>
  <c r="D32" i="83"/>
  <c r="B32" i="83"/>
  <c r="F31" i="83"/>
  <c r="D31" i="83"/>
  <c r="B31" i="83"/>
  <c r="F30" i="83"/>
  <c r="D30" i="83"/>
  <c r="B30" i="83"/>
  <c r="F29" i="83"/>
  <c r="D29" i="83"/>
  <c r="B29" i="83"/>
  <c r="F28" i="83"/>
  <c r="D28" i="83"/>
  <c r="B28" i="83"/>
  <c r="F27" i="83"/>
  <c r="D27" i="83"/>
  <c r="B27" i="83"/>
  <c r="F26" i="83"/>
  <c r="D26" i="83"/>
  <c r="B26" i="83"/>
  <c r="F25" i="83"/>
  <c r="D25" i="83"/>
  <c r="B25" i="83"/>
  <c r="F24" i="83"/>
  <c r="D24" i="83"/>
  <c r="B24" i="83"/>
  <c r="F23" i="83"/>
  <c r="D23" i="83"/>
  <c r="B23" i="83"/>
  <c r="F22" i="83"/>
  <c r="D22" i="83"/>
  <c r="B22" i="83"/>
  <c r="F21" i="83"/>
  <c r="D21" i="83"/>
  <c r="B21" i="83"/>
  <c r="F20" i="83"/>
  <c r="D20" i="83"/>
  <c r="B20" i="83"/>
  <c r="F19" i="83"/>
  <c r="D19" i="83"/>
  <c r="B19" i="83"/>
  <c r="F18" i="83"/>
  <c r="D18" i="83"/>
  <c r="B18" i="83"/>
  <c r="F17" i="83"/>
  <c r="D17" i="83"/>
  <c r="B17" i="83"/>
  <c r="F16" i="83"/>
  <c r="D16" i="83"/>
  <c r="B16" i="83"/>
  <c r="F15" i="83"/>
  <c r="D15" i="83"/>
  <c r="B15" i="83"/>
  <c r="F14" i="83"/>
  <c r="D14" i="83"/>
  <c r="B14" i="83"/>
  <c r="F13" i="83"/>
  <c r="D13" i="83"/>
  <c r="B13" i="83"/>
  <c r="F12" i="83"/>
  <c r="D12" i="83"/>
  <c r="B12" i="83"/>
  <c r="F11" i="83"/>
  <c r="D11" i="83"/>
  <c r="B11" i="83"/>
  <c r="F106" i="82"/>
  <c r="D106" i="82"/>
  <c r="B106" i="82"/>
  <c r="F105" i="82"/>
  <c r="D105" i="82"/>
  <c r="B105" i="82"/>
  <c r="F104" i="82"/>
  <c r="D104" i="82"/>
  <c r="B104" i="82"/>
  <c r="F103" i="82"/>
  <c r="D103" i="82"/>
  <c r="B103" i="82"/>
  <c r="F102" i="82"/>
  <c r="D102" i="82"/>
  <c r="B102" i="82"/>
  <c r="F101" i="82"/>
  <c r="D101" i="82"/>
  <c r="B101" i="82"/>
  <c r="F100" i="82"/>
  <c r="D100" i="82"/>
  <c r="B100" i="82"/>
  <c r="F99" i="82"/>
  <c r="D99" i="82"/>
  <c r="B99" i="82"/>
  <c r="F98" i="82"/>
  <c r="D98" i="82"/>
  <c r="B98" i="82"/>
  <c r="F97" i="82"/>
  <c r="D97" i="82"/>
  <c r="B97" i="82"/>
  <c r="F96" i="82"/>
  <c r="D96" i="82"/>
  <c r="B96" i="82"/>
  <c r="F95" i="82"/>
  <c r="D95" i="82"/>
  <c r="B95" i="82"/>
  <c r="F94" i="82"/>
  <c r="D94" i="82"/>
  <c r="B94" i="82"/>
  <c r="F93" i="82"/>
  <c r="D93" i="82"/>
  <c r="B93" i="82"/>
  <c r="F92" i="82"/>
  <c r="D92" i="82"/>
  <c r="B92" i="82"/>
  <c r="F91" i="82"/>
  <c r="D91" i="82"/>
  <c r="B91" i="82"/>
  <c r="F90" i="82"/>
  <c r="D90" i="82"/>
  <c r="B90" i="82"/>
  <c r="F89" i="82"/>
  <c r="D89" i="82"/>
  <c r="B89" i="82"/>
  <c r="F88" i="82"/>
  <c r="D88" i="82"/>
  <c r="B88" i="82"/>
  <c r="F87" i="82"/>
  <c r="D87" i="82"/>
  <c r="B87" i="82"/>
  <c r="F86" i="82"/>
  <c r="D86" i="82"/>
  <c r="B86" i="82"/>
  <c r="F85" i="82"/>
  <c r="D85" i="82"/>
  <c r="B85" i="82"/>
  <c r="F84" i="82"/>
  <c r="D84" i="82"/>
  <c r="B84" i="82"/>
  <c r="F83" i="82"/>
  <c r="D83" i="82"/>
  <c r="B83" i="82"/>
  <c r="F82" i="82"/>
  <c r="D82" i="82"/>
  <c r="B82" i="82"/>
  <c r="F81" i="82"/>
  <c r="D81" i="82"/>
  <c r="B81" i="82"/>
  <c r="F80" i="82"/>
  <c r="D80" i="82"/>
  <c r="B80" i="82"/>
  <c r="F79" i="82"/>
  <c r="D79" i="82"/>
  <c r="B79" i="82"/>
  <c r="F78" i="82"/>
  <c r="D78" i="82"/>
  <c r="B78" i="82"/>
  <c r="F77" i="82"/>
  <c r="D77" i="82"/>
  <c r="B77" i="82"/>
  <c r="F76" i="82"/>
  <c r="D76" i="82"/>
  <c r="B76" i="82"/>
  <c r="F75" i="82"/>
  <c r="D75" i="82"/>
  <c r="B75" i="82"/>
  <c r="F74" i="82"/>
  <c r="D74" i="82"/>
  <c r="B74" i="82"/>
  <c r="F73" i="82"/>
  <c r="D73" i="82"/>
  <c r="B73" i="82"/>
  <c r="F72" i="82"/>
  <c r="D72" i="82"/>
  <c r="B72" i="82"/>
  <c r="F71" i="82"/>
  <c r="D71" i="82"/>
  <c r="B71" i="82"/>
  <c r="F70" i="82"/>
  <c r="D70" i="82"/>
  <c r="B70" i="82"/>
  <c r="F69" i="82"/>
  <c r="D69" i="82"/>
  <c r="B69" i="82"/>
  <c r="F68" i="82"/>
  <c r="D68" i="82"/>
  <c r="B68" i="82"/>
  <c r="F67" i="82"/>
  <c r="D67" i="82"/>
  <c r="B67" i="82"/>
  <c r="F66" i="82"/>
  <c r="D66" i="82"/>
  <c r="B66" i="82"/>
  <c r="F65" i="82"/>
  <c r="D65" i="82"/>
  <c r="B65" i="82"/>
  <c r="F64" i="82"/>
  <c r="D64" i="82"/>
  <c r="B64" i="82"/>
  <c r="F63" i="82"/>
  <c r="D63" i="82"/>
  <c r="B63" i="82"/>
  <c r="F62" i="82"/>
  <c r="D62" i="82"/>
  <c r="B62" i="82"/>
  <c r="F61" i="82"/>
  <c r="D61" i="82"/>
  <c r="B61" i="82"/>
  <c r="F60" i="82"/>
  <c r="D60" i="82"/>
  <c r="B60" i="82"/>
  <c r="F57" i="82"/>
  <c r="D57" i="82"/>
  <c r="B57" i="82"/>
  <c r="F56" i="82"/>
  <c r="D56" i="82"/>
  <c r="B56" i="82"/>
  <c r="F55" i="82"/>
  <c r="D55" i="82"/>
  <c r="B55" i="82"/>
  <c r="F54" i="82"/>
  <c r="D54" i="82"/>
  <c r="B54" i="82"/>
  <c r="F53" i="82"/>
  <c r="D53" i="82"/>
  <c r="B53" i="82"/>
  <c r="F52" i="82"/>
  <c r="D52" i="82"/>
  <c r="B52" i="82"/>
  <c r="F51" i="82"/>
  <c r="D51" i="82"/>
  <c r="B51" i="82"/>
  <c r="F50" i="82"/>
  <c r="D50" i="82"/>
  <c r="B50" i="82"/>
  <c r="F49" i="82"/>
  <c r="D49" i="82"/>
  <c r="B49" i="82"/>
  <c r="F48" i="82"/>
  <c r="D48" i="82"/>
  <c r="B48" i="82"/>
  <c r="F47" i="82"/>
  <c r="D47" i="82"/>
  <c r="B47" i="82"/>
  <c r="F46" i="82"/>
  <c r="D46" i="82"/>
  <c r="B46" i="82"/>
  <c r="F45" i="82"/>
  <c r="D45" i="82"/>
  <c r="B45" i="82"/>
  <c r="F44" i="82"/>
  <c r="D44" i="82"/>
  <c r="B44" i="82"/>
  <c r="F43" i="82"/>
  <c r="D43" i="82"/>
  <c r="B43" i="82"/>
  <c r="F42" i="82"/>
  <c r="D42" i="82"/>
  <c r="B42" i="82"/>
  <c r="F41" i="82"/>
  <c r="D41" i="82"/>
  <c r="B41" i="82"/>
  <c r="F40" i="82"/>
  <c r="D40" i="82"/>
  <c r="B40" i="82"/>
  <c r="F39" i="82"/>
  <c r="D39" i="82"/>
  <c r="B39" i="82"/>
  <c r="F38" i="82"/>
  <c r="D38" i="82"/>
  <c r="B38" i="82"/>
  <c r="F37" i="82"/>
  <c r="D37" i="82"/>
  <c r="B37" i="82"/>
  <c r="F36" i="82"/>
  <c r="D36" i="82"/>
  <c r="B36" i="82"/>
  <c r="F35" i="82"/>
  <c r="D35" i="82"/>
  <c r="B35" i="82"/>
  <c r="F34" i="82"/>
  <c r="D34" i="82"/>
  <c r="B34" i="82"/>
  <c r="F33" i="82"/>
  <c r="D33" i="82"/>
  <c r="B33" i="82"/>
  <c r="F32" i="82"/>
  <c r="D32" i="82"/>
  <c r="B32" i="82"/>
  <c r="F31" i="82"/>
  <c r="D31" i="82"/>
  <c r="B31" i="82"/>
  <c r="F30" i="82"/>
  <c r="D30" i="82"/>
  <c r="B30" i="82"/>
  <c r="F29" i="82"/>
  <c r="D29" i="82"/>
  <c r="B29" i="82"/>
  <c r="F28" i="82"/>
  <c r="D28" i="82"/>
  <c r="B28" i="82"/>
  <c r="F27" i="82"/>
  <c r="D27" i="82"/>
  <c r="B27" i="82"/>
  <c r="F26" i="82"/>
  <c r="D26" i="82"/>
  <c r="B26" i="82"/>
  <c r="F25" i="82"/>
  <c r="D25" i="82"/>
  <c r="B25" i="82"/>
  <c r="F24" i="82"/>
  <c r="D24" i="82"/>
  <c r="B24" i="82"/>
  <c r="F23" i="82"/>
  <c r="D23" i="82"/>
  <c r="B23" i="82"/>
  <c r="F22" i="82"/>
  <c r="D22" i="82"/>
  <c r="B22" i="82"/>
  <c r="F21" i="82"/>
  <c r="D21" i="82"/>
  <c r="B21" i="82"/>
  <c r="F20" i="82"/>
  <c r="D20" i="82"/>
  <c r="B20" i="82"/>
  <c r="F19" i="82"/>
  <c r="D19" i="82"/>
  <c r="B19" i="82"/>
  <c r="F18" i="82"/>
  <c r="D18" i="82"/>
  <c r="B18" i="82"/>
  <c r="F17" i="82"/>
  <c r="D17" i="82"/>
  <c r="B17" i="82"/>
  <c r="F16" i="82"/>
  <c r="D16" i="82"/>
  <c r="B16" i="82"/>
  <c r="F15" i="82"/>
  <c r="D15" i="82"/>
  <c r="B15" i="82"/>
  <c r="F14" i="82"/>
  <c r="D14" i="82"/>
  <c r="B14" i="82"/>
  <c r="F13" i="82"/>
  <c r="D13" i="82"/>
  <c r="B13" i="82"/>
  <c r="F12" i="82"/>
  <c r="D12" i="82"/>
  <c r="B12" i="82"/>
  <c r="F11" i="82"/>
  <c r="D11" i="82"/>
  <c r="B11" i="82"/>
  <c r="M59" i="105"/>
  <c r="M57" i="105" s="1"/>
  <c r="N59" i="105"/>
  <c r="N57" i="105" s="1"/>
  <c r="P59" i="105"/>
  <c r="P57" i="105" s="1"/>
  <c r="Q59" i="105"/>
  <c r="Q57" i="105" s="1"/>
  <c r="L61" i="105"/>
  <c r="L62" i="105" s="1"/>
  <c r="M61" i="105"/>
  <c r="N61" i="105"/>
  <c r="P61" i="105"/>
  <c r="Q61" i="105"/>
  <c r="M62" i="105"/>
  <c r="M60" i="105" s="1"/>
  <c r="M58" i="105" s="1"/>
  <c r="N62" i="105"/>
  <c r="N60" i="105" s="1"/>
  <c r="N58" i="105" s="1"/>
  <c r="Q62" i="105"/>
  <c r="Q60" i="105" s="1"/>
  <c r="Q58" i="105" s="1"/>
  <c r="K63" i="105"/>
  <c r="L63" i="105"/>
  <c r="L64" i="105" s="1"/>
  <c r="M63" i="105"/>
  <c r="O63" i="105"/>
  <c r="O64" i="105" s="1"/>
  <c r="O65" i="105" s="1"/>
  <c r="O66" i="105" s="1"/>
  <c r="O67" i="105" s="1"/>
  <c r="O68" i="105" s="1"/>
  <c r="P63" i="105"/>
  <c r="Q63" i="105"/>
  <c r="R64" i="105"/>
  <c r="R65" i="105" s="1"/>
  <c r="R66" i="105" s="1"/>
  <c r="R67" i="105" s="1"/>
  <c r="R68" i="105" s="1"/>
  <c r="L59" i="105" l="1"/>
  <c r="K59" i="105" s="1"/>
  <c r="K62" i="105"/>
  <c r="P62" i="105"/>
  <c r="P60" i="105" s="1"/>
  <c r="P58" i="105" s="1"/>
  <c r="K64" i="105"/>
  <c r="M64" i="105"/>
  <c r="N64" i="105" s="1"/>
  <c r="P64" i="105"/>
  <c r="Q64" i="105"/>
  <c r="L65" i="105"/>
  <c r="K61" i="105"/>
  <c r="P65" i="105" l="1"/>
  <c r="Q65" i="105"/>
  <c r="L66" i="105"/>
  <c r="M65" i="105"/>
  <c r="N65" i="105" s="1"/>
  <c r="K65" i="105"/>
  <c r="L67" i="105" l="1"/>
  <c r="Q66" i="105"/>
  <c r="K66" i="105"/>
  <c r="M66" i="105"/>
  <c r="N66" i="105" s="1"/>
  <c r="P66" i="105"/>
  <c r="K67" i="105" l="1"/>
  <c r="M67" i="105"/>
  <c r="N67" i="105" s="1"/>
  <c r="P67" i="105"/>
  <c r="Q67" i="105"/>
  <c r="L68" i="105"/>
  <c r="P68" i="105" l="1"/>
  <c r="Q68" i="105"/>
  <c r="M68" i="105"/>
  <c r="N68" i="105" s="1"/>
  <c r="K68" i="105"/>
  <c r="F56" i="114" l="1"/>
  <c r="D56" i="114"/>
  <c r="B56" i="114"/>
  <c r="F55" i="114"/>
  <c r="D55" i="114"/>
  <c r="B55" i="114"/>
  <c r="F54" i="114"/>
  <c r="D54" i="114"/>
  <c r="B54" i="114"/>
  <c r="F53" i="114"/>
  <c r="D53" i="114"/>
  <c r="B53" i="114"/>
  <c r="F52" i="114"/>
  <c r="D52" i="114"/>
  <c r="B52" i="114"/>
  <c r="F51" i="114"/>
  <c r="D51" i="114"/>
  <c r="B51" i="114"/>
  <c r="F50" i="114"/>
  <c r="D50" i="114"/>
  <c r="B50" i="114"/>
  <c r="F49" i="114"/>
  <c r="D49" i="114"/>
  <c r="B49" i="114"/>
  <c r="F48" i="114"/>
  <c r="D48" i="114"/>
  <c r="B48" i="114"/>
  <c r="F47" i="114"/>
  <c r="D47" i="114"/>
  <c r="B47" i="114"/>
  <c r="F46" i="114"/>
  <c r="D46" i="114"/>
  <c r="B46" i="114"/>
  <c r="F45" i="114"/>
  <c r="D45" i="114"/>
  <c r="B45" i="114"/>
  <c r="F44" i="114"/>
  <c r="D44" i="114"/>
  <c r="B44" i="114"/>
  <c r="F43" i="114"/>
  <c r="D43" i="114"/>
  <c r="B43" i="114"/>
  <c r="F42" i="114"/>
  <c r="D42" i="114"/>
  <c r="B42" i="114"/>
  <c r="F41" i="114"/>
  <c r="D41" i="114"/>
  <c r="B41" i="114"/>
  <c r="F40" i="114"/>
  <c r="D40" i="114"/>
  <c r="B40" i="114"/>
  <c r="F39" i="114"/>
  <c r="D39" i="114"/>
  <c r="B39" i="114"/>
  <c r="F38" i="114"/>
  <c r="D38" i="114"/>
  <c r="B38" i="114"/>
  <c r="F37" i="114"/>
  <c r="D37" i="114"/>
  <c r="B37" i="114"/>
  <c r="F36" i="114"/>
  <c r="D36" i="114"/>
  <c r="B36" i="114"/>
  <c r="F35" i="114"/>
  <c r="D35" i="114"/>
  <c r="B35" i="114"/>
  <c r="F34" i="114"/>
  <c r="D34" i="114"/>
  <c r="B34" i="114"/>
  <c r="F33" i="114"/>
  <c r="D33" i="114"/>
  <c r="B33" i="114"/>
  <c r="F32" i="114"/>
  <c r="D32" i="114"/>
  <c r="B32" i="114"/>
  <c r="F31" i="114"/>
  <c r="D31" i="114"/>
  <c r="B31" i="114"/>
  <c r="F30" i="114"/>
  <c r="D30" i="114"/>
  <c r="B30" i="114"/>
  <c r="F29" i="114"/>
  <c r="D29" i="114"/>
  <c r="B29" i="114"/>
  <c r="F28" i="114"/>
  <c r="D28" i="114"/>
  <c r="B28" i="114"/>
  <c r="F27" i="114"/>
  <c r="D27" i="114"/>
  <c r="B27" i="114"/>
  <c r="F26" i="114"/>
  <c r="D26" i="114"/>
  <c r="B26" i="114"/>
  <c r="F25" i="114"/>
  <c r="D25" i="114"/>
  <c r="B25" i="114"/>
  <c r="F24" i="114"/>
  <c r="D24" i="114"/>
  <c r="B24" i="114"/>
  <c r="F23" i="114"/>
  <c r="D23" i="114"/>
  <c r="B23" i="114"/>
  <c r="F22" i="114"/>
  <c r="D22" i="114"/>
  <c r="B22" i="114"/>
  <c r="F21" i="114"/>
  <c r="D21" i="114"/>
  <c r="B21" i="114"/>
  <c r="F20" i="114"/>
  <c r="D20" i="114"/>
  <c r="B20" i="114"/>
  <c r="F19" i="114"/>
  <c r="D19" i="114"/>
  <c r="B19" i="114"/>
  <c r="F18" i="114"/>
  <c r="D18" i="114"/>
  <c r="B18" i="114"/>
  <c r="F17" i="114"/>
  <c r="D17" i="114"/>
  <c r="B17" i="114"/>
  <c r="F16" i="114"/>
  <c r="D16" i="114"/>
  <c r="B16" i="114"/>
  <c r="F15" i="114"/>
  <c r="D15" i="114"/>
  <c r="B15" i="114"/>
  <c r="F14" i="114"/>
  <c r="D14" i="114"/>
  <c r="B14" i="114"/>
  <c r="F13" i="114"/>
  <c r="D13" i="114"/>
  <c r="B13" i="114"/>
  <c r="F12" i="114"/>
  <c r="D12" i="114"/>
  <c r="B12" i="114"/>
  <c r="F11" i="114"/>
  <c r="D11" i="114"/>
  <c r="B11" i="114"/>
  <c r="F10" i="114"/>
  <c r="D10" i="114"/>
  <c r="B10" i="114"/>
  <c r="Q46" i="105" l="1"/>
  <c r="O46" i="105"/>
  <c r="N46" i="105"/>
  <c r="M46" i="105"/>
  <c r="L46" i="105"/>
  <c r="K46" i="105"/>
  <c r="S157" i="105" l="1"/>
  <c r="AI157" i="105"/>
  <c r="AY157" i="105"/>
  <c r="AH157" i="105"/>
  <c r="T157" i="105"/>
  <c r="AJ157" i="105"/>
  <c r="AZ157" i="105"/>
  <c r="U157" i="105"/>
  <c r="AK157" i="105"/>
  <c r="BA157" i="105"/>
  <c r="AW157" i="105"/>
  <c r="AX157" i="105"/>
  <c r="V157" i="105"/>
  <c r="AL157" i="105"/>
  <c r="BB157" i="105"/>
  <c r="W157" i="105"/>
  <c r="AM157" i="105"/>
  <c r="BC157" i="105"/>
  <c r="X157" i="105"/>
  <c r="AN157" i="105"/>
  <c r="BD157" i="105"/>
  <c r="Q157" i="105"/>
  <c r="Y157" i="105"/>
  <c r="AO157" i="105"/>
  <c r="BE157" i="105"/>
  <c r="AG157" i="105"/>
  <c r="Z157" i="105"/>
  <c r="AP157" i="105"/>
  <c r="BF157" i="105"/>
  <c r="AA157" i="105"/>
  <c r="AQ157" i="105"/>
  <c r="L157" i="105"/>
  <c r="AB157" i="105"/>
  <c r="AR157" i="105"/>
  <c r="M157" i="105"/>
  <c r="AC157" i="105"/>
  <c r="AS157" i="105"/>
  <c r="N157" i="105"/>
  <c r="AD157" i="105"/>
  <c r="AT157" i="105"/>
  <c r="O157" i="105"/>
  <c r="AE157" i="105"/>
  <c r="AU157" i="105"/>
  <c r="P157" i="105"/>
  <c r="AF157" i="105"/>
  <c r="AV157" i="105"/>
  <c r="R157" i="105"/>
  <c r="N29" i="105"/>
  <c r="L29" i="104" l="1"/>
  <c r="M29" i="104" s="1"/>
  <c r="M28" i="104" s="1"/>
  <c r="O29" i="104"/>
  <c r="O28" i="104" s="1"/>
  <c r="S29" i="104"/>
  <c r="S28" i="104" s="1"/>
  <c r="Q34" i="104"/>
  <c r="AI40" i="104"/>
  <c r="AJ40" i="104"/>
  <c r="AK40" i="104"/>
  <c r="AL40" i="104"/>
  <c r="AM40" i="104"/>
  <c r="AN40" i="104"/>
  <c r="AO40" i="104"/>
  <c r="AP40" i="104"/>
  <c r="N29" i="104" l="1"/>
  <c r="N28" i="104" s="1"/>
  <c r="Q29" i="104"/>
  <c r="Q28" i="104" s="1"/>
  <c r="L28" i="104"/>
  <c r="L30" i="104"/>
  <c r="K29" i="104"/>
  <c r="K28" i="104" s="1"/>
  <c r="R29" i="104"/>
  <c r="R28" i="104" s="1"/>
  <c r="M30" i="104"/>
  <c r="N30" i="104" s="1"/>
  <c r="P29" i="104"/>
  <c r="P28" i="104" s="1"/>
  <c r="M31" i="104"/>
  <c r="Q30" i="104"/>
  <c r="Q31" i="104" s="1"/>
  <c r="Q32" i="104" s="1"/>
  <c r="Q33" i="104" s="1"/>
  <c r="N31" i="104" l="1"/>
  <c r="M32" i="104"/>
  <c r="N32" i="104" l="1"/>
  <c r="M33" i="104"/>
  <c r="S46" i="104"/>
  <c r="O46" i="104"/>
  <c r="N46" i="104" s="1"/>
  <c r="L46" i="104"/>
  <c r="M46" i="104" l="1"/>
  <c r="R46" i="104"/>
  <c r="R47" i="104" s="1"/>
  <c r="N33" i="104"/>
  <c r="M34" i="104"/>
  <c r="N34" i="104" s="1"/>
  <c r="O47" i="104"/>
  <c r="DF121" i="105" l="1"/>
  <c r="DE121" i="105"/>
  <c r="DD121" i="105"/>
  <c r="DC121" i="105"/>
  <c r="DB121" i="105"/>
  <c r="DA121" i="105"/>
  <c r="CZ121" i="105"/>
  <c r="CY121" i="105"/>
  <c r="CX121" i="105"/>
  <c r="CW121" i="105"/>
  <c r="CV121" i="105"/>
  <c r="CU121" i="105"/>
  <c r="CT121" i="105"/>
  <c r="CS121" i="105"/>
  <c r="CR121" i="105"/>
  <c r="CQ121" i="105"/>
  <c r="CP121" i="105"/>
  <c r="CO121" i="105"/>
  <c r="CN121" i="105"/>
  <c r="CM121" i="105"/>
  <c r="CL121" i="105"/>
  <c r="CK121" i="105"/>
  <c r="CJ121" i="105"/>
  <c r="CI121" i="105"/>
  <c r="CH121" i="105"/>
  <c r="CG121" i="105"/>
  <c r="CF121" i="105"/>
  <c r="CE121" i="105"/>
  <c r="CD121" i="105"/>
  <c r="CC121" i="105"/>
  <c r="CB121" i="105"/>
  <c r="CA121" i="105"/>
  <c r="BZ121" i="105"/>
  <c r="BY121" i="105"/>
  <c r="BX121" i="105"/>
  <c r="BW121" i="105"/>
  <c r="BV121" i="105"/>
  <c r="BU121" i="105"/>
  <c r="BT121" i="105"/>
  <c r="BS121" i="105"/>
  <c r="BR121" i="105"/>
  <c r="BQ121" i="105"/>
  <c r="BP121" i="105"/>
  <c r="BO121" i="105"/>
  <c r="BN121" i="105"/>
  <c r="BM121" i="105"/>
  <c r="BL121" i="105"/>
  <c r="BK121" i="105"/>
  <c r="BJ121" i="105"/>
  <c r="DF107" i="105"/>
  <c r="DE107" i="105"/>
  <c r="DD107" i="105"/>
  <c r="DC107" i="105"/>
  <c r="DB107" i="105"/>
  <c r="DA107" i="105"/>
  <c r="CZ107" i="105"/>
  <c r="CY107" i="105"/>
  <c r="CX107" i="105"/>
  <c r="CW107" i="105"/>
  <c r="CV107" i="105"/>
  <c r="CU107" i="105"/>
  <c r="CT107" i="105"/>
  <c r="CS107" i="105"/>
  <c r="CR107" i="105"/>
  <c r="CQ107" i="105"/>
  <c r="CP107" i="105"/>
  <c r="CO107" i="105"/>
  <c r="CN107" i="105"/>
  <c r="CM107" i="105"/>
  <c r="CL107" i="105"/>
  <c r="CK107" i="105"/>
  <c r="CJ107" i="105"/>
  <c r="CI107" i="105"/>
  <c r="CH107" i="105"/>
  <c r="CG107" i="105"/>
  <c r="CF107" i="105"/>
  <c r="CE107" i="105"/>
  <c r="CD107" i="105"/>
  <c r="CC107" i="105"/>
  <c r="CB107" i="105"/>
  <c r="CA107" i="105"/>
  <c r="BZ107" i="105"/>
  <c r="BY107" i="105"/>
  <c r="BX107" i="105"/>
  <c r="BW107" i="105"/>
  <c r="BV107" i="105"/>
  <c r="BU107" i="105"/>
  <c r="BT107" i="105"/>
  <c r="BS107" i="105"/>
  <c r="BR107" i="105"/>
  <c r="BQ107" i="105"/>
  <c r="BP107" i="105"/>
  <c r="BO107" i="105"/>
  <c r="BN107" i="105"/>
  <c r="BM107" i="105"/>
  <c r="BL107" i="105"/>
  <c r="BK107" i="105"/>
  <c r="BJ107" i="105"/>
  <c r="R77" i="105"/>
  <c r="R78" i="105" s="1"/>
  <c r="R79" i="105" s="1"/>
  <c r="R80" i="105" s="1"/>
  <c r="R81" i="105" s="1"/>
  <c r="Q76" i="105"/>
  <c r="P76" i="105"/>
  <c r="O76" i="105"/>
  <c r="O77" i="105" s="1"/>
  <c r="O78" i="105" s="1"/>
  <c r="O79" i="105" s="1"/>
  <c r="O80" i="105" s="1"/>
  <c r="O81" i="105" s="1"/>
  <c r="M76" i="105"/>
  <c r="L76" i="105"/>
  <c r="K76" i="105"/>
  <c r="Q75" i="105"/>
  <c r="N75" i="105"/>
  <c r="M75" i="105"/>
  <c r="Q74" i="105"/>
  <c r="P74" i="105"/>
  <c r="N74" i="105"/>
  <c r="M74" i="105"/>
  <c r="L74" i="105"/>
  <c r="K74" i="105" s="1"/>
  <c r="Q73" i="105"/>
  <c r="P73" i="105"/>
  <c r="N73" i="105"/>
  <c r="M73" i="105"/>
  <c r="AU51" i="105"/>
  <c r="AT51" i="105"/>
  <c r="AS51" i="105"/>
  <c r="AR51" i="105"/>
  <c r="AQ51" i="105"/>
  <c r="AP51" i="105"/>
  <c r="AO51" i="105"/>
  <c r="AN51" i="105"/>
  <c r="AU50" i="105"/>
  <c r="AT50" i="105"/>
  <c r="AS50" i="105"/>
  <c r="AR50" i="105"/>
  <c r="AQ50" i="105"/>
  <c r="AP50" i="105"/>
  <c r="AO50" i="105"/>
  <c r="AN50" i="105"/>
  <c r="AU49" i="105"/>
  <c r="AT49" i="105"/>
  <c r="AS49" i="105"/>
  <c r="AR49" i="105"/>
  <c r="AQ49" i="105"/>
  <c r="AP49" i="105"/>
  <c r="AO49" i="105"/>
  <c r="AN49" i="105"/>
  <c r="AU48" i="105"/>
  <c r="AT48" i="105"/>
  <c r="AS48" i="105"/>
  <c r="AR48" i="105"/>
  <c r="AQ48" i="105"/>
  <c r="AP48" i="105"/>
  <c r="AO48" i="105"/>
  <c r="AN48" i="105"/>
  <c r="AU47" i="105"/>
  <c r="AT47" i="105"/>
  <c r="AS47" i="105"/>
  <c r="AR47" i="105"/>
  <c r="AQ47" i="105"/>
  <c r="AP47" i="105"/>
  <c r="AO47" i="105"/>
  <c r="AN47" i="105"/>
  <c r="AU45" i="105"/>
  <c r="AT45" i="105"/>
  <c r="AS45" i="105"/>
  <c r="AR45" i="105"/>
  <c r="AQ45" i="105"/>
  <c r="AP45" i="105"/>
  <c r="AO45" i="105"/>
  <c r="AN45" i="105"/>
  <c r="AU44" i="105"/>
  <c r="AT44" i="105"/>
  <c r="AS44" i="105"/>
  <c r="AR44" i="105"/>
  <c r="AQ44" i="105"/>
  <c r="AP44" i="105"/>
  <c r="AO44" i="105"/>
  <c r="AN44" i="105"/>
  <c r="AU43" i="105"/>
  <c r="AT43" i="105"/>
  <c r="AS43" i="105"/>
  <c r="AR43" i="105"/>
  <c r="AQ43" i="105"/>
  <c r="AP43" i="105"/>
  <c r="AO43" i="105"/>
  <c r="AN43" i="105"/>
  <c r="AU42" i="105"/>
  <c r="AT42" i="105"/>
  <c r="AS42" i="105"/>
  <c r="AR42" i="105"/>
  <c r="AQ42" i="105"/>
  <c r="AP42" i="105"/>
  <c r="AO42" i="105"/>
  <c r="AN42" i="105"/>
  <c r="AU41" i="105"/>
  <c r="AT41" i="105"/>
  <c r="AS41" i="105"/>
  <c r="AR41" i="105"/>
  <c r="AQ41" i="105"/>
  <c r="AP41" i="105"/>
  <c r="AO41" i="105"/>
  <c r="AN41" i="105"/>
  <c r="AU40" i="105"/>
  <c r="AT40" i="105"/>
  <c r="AS40" i="105"/>
  <c r="AR40" i="105"/>
  <c r="AQ40" i="105"/>
  <c r="AP40" i="105"/>
  <c r="AO40" i="105"/>
  <c r="AN40" i="105"/>
  <c r="AU39" i="105"/>
  <c r="AT39" i="105"/>
  <c r="AS39" i="105"/>
  <c r="AR39" i="105"/>
  <c r="AQ39" i="105"/>
  <c r="AP39" i="105"/>
  <c r="Q30" i="105"/>
  <c r="O30" i="105"/>
  <c r="O29" i="105" s="1"/>
  <c r="M30" i="105"/>
  <c r="M29" i="105" s="1"/>
  <c r="L30" i="105"/>
  <c r="L29" i="105" s="1"/>
  <c r="K30" i="105"/>
  <c r="K29" i="105" s="1"/>
  <c r="R28" i="105"/>
  <c r="R26" i="105" s="1"/>
  <c r="N28" i="105"/>
  <c r="M28" i="105"/>
  <c r="R27" i="105"/>
  <c r="Q27" i="105"/>
  <c r="N27" i="105"/>
  <c r="M27" i="105"/>
  <c r="L27" i="105"/>
  <c r="R25" i="105"/>
  <c r="Q25" i="105"/>
  <c r="N25" i="105"/>
  <c r="M25" i="105"/>
  <c r="J12" i="105"/>
  <c r="J11" i="105"/>
  <c r="C8" i="105"/>
  <c r="R60" i="104"/>
  <c r="R61" i="104" s="1"/>
  <c r="R62" i="104" s="1"/>
  <c r="R63" i="104" s="1"/>
  <c r="R64" i="104" s="1"/>
  <c r="R65" i="104" s="1"/>
  <c r="O60" i="104"/>
  <c r="O61" i="104" s="1"/>
  <c r="O62" i="104" s="1"/>
  <c r="O63" i="104" s="1"/>
  <c r="O64" i="104" s="1"/>
  <c r="O65" i="104" s="1"/>
  <c r="L60" i="104"/>
  <c r="M60" i="104" s="1"/>
  <c r="R58" i="104"/>
  <c r="R59" i="104" s="1"/>
  <c r="O58" i="104"/>
  <c r="O59" i="104" s="1"/>
  <c r="M58" i="104"/>
  <c r="M57" i="104" s="1"/>
  <c r="L58" i="104"/>
  <c r="Q58" i="104" s="1"/>
  <c r="Q57" i="104" s="1"/>
  <c r="Q46" i="104"/>
  <c r="M47" i="104"/>
  <c r="S44" i="104"/>
  <c r="S45" i="104" s="1"/>
  <c r="O44" i="104"/>
  <c r="O45" i="104" s="1"/>
  <c r="M44" i="104"/>
  <c r="L44" i="104"/>
  <c r="S26" i="104"/>
  <c r="S24" i="104" s="1"/>
  <c r="S22" i="104" s="1"/>
  <c r="O26" i="104"/>
  <c r="O27" i="104" s="1"/>
  <c r="O25" i="104" s="1"/>
  <c r="O23" i="104" s="1"/>
  <c r="M26" i="104"/>
  <c r="M24" i="104" s="1"/>
  <c r="M22" i="104" s="1"/>
  <c r="L26" i="104"/>
  <c r="K26" i="104" s="1"/>
  <c r="AP22" i="104"/>
  <c r="AO22" i="104"/>
  <c r="AN22" i="104"/>
  <c r="AM22" i="104"/>
  <c r="AL22" i="104"/>
  <c r="AK22" i="104"/>
  <c r="AJ22" i="104"/>
  <c r="AI22" i="104"/>
  <c r="J12" i="104"/>
  <c r="J11" i="104"/>
  <c r="D11" i="104"/>
  <c r="D10" i="104"/>
  <c r="C8" i="104"/>
  <c r="AS227" i="104" l="1"/>
  <c r="AC227" i="104"/>
  <c r="M227" i="104"/>
  <c r="AW226" i="104"/>
  <c r="AG226" i="104"/>
  <c r="Q226" i="104"/>
  <c r="I226" i="104"/>
  <c r="AR227" i="104"/>
  <c r="AB227" i="104"/>
  <c r="L227" i="104"/>
  <c r="AV226" i="104"/>
  <c r="AF226" i="104"/>
  <c r="P226" i="104"/>
  <c r="AQ227" i="104"/>
  <c r="AA227" i="104"/>
  <c r="K227" i="104"/>
  <c r="AU226" i="104"/>
  <c r="AE226" i="104"/>
  <c r="O226" i="104"/>
  <c r="Z226" i="104"/>
  <c r="U227" i="104"/>
  <c r="BF227" i="104"/>
  <c r="BL227" i="104" s="1"/>
  <c r="AP227" i="104"/>
  <c r="Z227" i="104"/>
  <c r="J227" i="104"/>
  <c r="AT226" i="104"/>
  <c r="AD226" i="104"/>
  <c r="N226" i="104"/>
  <c r="V227" i="104"/>
  <c r="BF226" i="104"/>
  <c r="BL226" i="104" s="1"/>
  <c r="J226" i="104"/>
  <c r="BE227" i="104"/>
  <c r="AO227" i="104"/>
  <c r="Y227" i="104"/>
  <c r="I227" i="104"/>
  <c r="AS226" i="104"/>
  <c r="AC226" i="104"/>
  <c r="M226" i="104"/>
  <c r="BB227" i="104"/>
  <c r="AP226" i="104"/>
  <c r="AK227" i="104"/>
  <c r="BD227" i="104"/>
  <c r="AN227" i="104"/>
  <c r="X227" i="104"/>
  <c r="H227" i="104"/>
  <c r="AR226" i="104"/>
  <c r="AB226" i="104"/>
  <c r="L226" i="104"/>
  <c r="AL227" i="104"/>
  <c r="BC227" i="104"/>
  <c r="AM227" i="104"/>
  <c r="W227" i="104"/>
  <c r="AQ226" i="104"/>
  <c r="AA226" i="104"/>
  <c r="K226" i="104"/>
  <c r="AZ227" i="104"/>
  <c r="AJ227" i="104"/>
  <c r="T227" i="104"/>
  <c r="BD226" i="104"/>
  <c r="AN226" i="104"/>
  <c r="X226" i="104"/>
  <c r="H226" i="104"/>
  <c r="N227" i="104"/>
  <c r="AY227" i="104"/>
  <c r="AI227" i="104"/>
  <c r="S227" i="104"/>
  <c r="BC226" i="104"/>
  <c r="AM226" i="104"/>
  <c r="W226" i="104"/>
  <c r="AD227" i="104"/>
  <c r="R226" i="104"/>
  <c r="AO226" i="104"/>
  <c r="AX227" i="104"/>
  <c r="AH227" i="104"/>
  <c r="R227" i="104"/>
  <c r="BB226" i="104"/>
  <c r="AL226" i="104"/>
  <c r="V226" i="104"/>
  <c r="AT227" i="104"/>
  <c r="AW227" i="104"/>
  <c r="AG227" i="104"/>
  <c r="Q227" i="104"/>
  <c r="BA226" i="104"/>
  <c r="AK226" i="104"/>
  <c r="U226" i="104"/>
  <c r="AX226" i="104"/>
  <c r="BA227" i="104"/>
  <c r="AV227" i="104"/>
  <c r="AF227" i="104"/>
  <c r="P227" i="104"/>
  <c r="AZ226" i="104"/>
  <c r="AJ226" i="104"/>
  <c r="T226" i="104"/>
  <c r="Y226" i="104"/>
  <c r="AU227" i="104"/>
  <c r="AE227" i="104"/>
  <c r="O227" i="104"/>
  <c r="AY226" i="104"/>
  <c r="AI226" i="104"/>
  <c r="S226" i="104"/>
  <c r="AH226" i="104"/>
  <c r="BG226" i="104" s="1" a="1"/>
  <c r="BG226" i="104" s="1"/>
  <c r="BE226" i="104"/>
  <c r="AH188" i="104"/>
  <c r="BF228" i="104"/>
  <c r="BC228" i="104"/>
  <c r="Q228" i="104"/>
  <c r="AB228" i="104"/>
  <c r="P228" i="104"/>
  <c r="V228" i="104"/>
  <c r="AT228" i="104"/>
  <c r="R228" i="104"/>
  <c r="AN228" i="104"/>
  <c r="AG228" i="104"/>
  <c r="AP228" i="104"/>
  <c r="AM228" i="104"/>
  <c r="AV228" i="104"/>
  <c r="L228" i="104"/>
  <c r="AU228" i="104"/>
  <c r="AE228" i="104"/>
  <c r="BA228" i="104"/>
  <c r="N228" i="104"/>
  <c r="BD228" i="104"/>
  <c r="H228" i="104"/>
  <c r="Z228" i="104"/>
  <c r="W228" i="104"/>
  <c r="AF228" i="104"/>
  <c r="AQ228" i="104"/>
  <c r="AX228" i="104"/>
  <c r="AL228" i="104"/>
  <c r="O228" i="104"/>
  <c r="AK228" i="104"/>
  <c r="AH228" i="104"/>
  <c r="AS228" i="104"/>
  <c r="AC228" i="104"/>
  <c r="S228" i="104"/>
  <c r="J228" i="104"/>
  <c r="AI228" i="104"/>
  <c r="T228" i="104"/>
  <c r="AY228" i="104"/>
  <c r="BB228" i="104"/>
  <c r="AD228" i="104"/>
  <c r="K228" i="104"/>
  <c r="AJ228" i="104"/>
  <c r="M228" i="104"/>
  <c r="AR228" i="104"/>
  <c r="BE228" i="104"/>
  <c r="U228" i="104"/>
  <c r="AZ228" i="104"/>
  <c r="AW228" i="104"/>
  <c r="AO228" i="104"/>
  <c r="X228" i="104"/>
  <c r="Y228" i="104"/>
  <c r="AA228" i="104"/>
  <c r="I228" i="104"/>
  <c r="AR178" i="104"/>
  <c r="BD178" i="104"/>
  <c r="AI188" i="104"/>
  <c r="U178" i="104"/>
  <c r="AU188" i="104"/>
  <c r="I178" i="104"/>
  <c r="AO178" i="104"/>
  <c r="L188" i="104"/>
  <c r="AC178" i="104"/>
  <c r="BE178" i="104"/>
  <c r="X188" i="104"/>
  <c r="AS178" i="104"/>
  <c r="N178" i="104"/>
  <c r="AL188" i="104"/>
  <c r="K178" i="104"/>
  <c r="Z178" i="104"/>
  <c r="AX188" i="104"/>
  <c r="AD178" i="104"/>
  <c r="AL178" i="104"/>
  <c r="O188" i="104"/>
  <c r="AZ178" i="104"/>
  <c r="AX178" i="104"/>
  <c r="AA188" i="104"/>
  <c r="Q178" i="104"/>
  <c r="AB188" i="104"/>
  <c r="AQ188" i="104"/>
  <c r="AG178" i="104"/>
  <c r="AD188" i="104"/>
  <c r="BC188" i="104"/>
  <c r="BA178" i="104"/>
  <c r="AF188" i="104"/>
  <c r="I188" i="104"/>
  <c r="AI178" i="104"/>
  <c r="AN188" i="104"/>
  <c r="U188" i="104"/>
  <c r="R178" i="104"/>
  <c r="L178" i="104"/>
  <c r="J178" i="104"/>
  <c r="AP188" i="104"/>
  <c r="AJ188" i="104"/>
  <c r="AM188" i="104"/>
  <c r="AG188" i="104"/>
  <c r="X178" i="104"/>
  <c r="V178" i="104"/>
  <c r="AR188" i="104"/>
  <c r="AV188" i="104"/>
  <c r="AY188" i="104"/>
  <c r="AS188" i="104"/>
  <c r="BD165" i="104" a="1"/>
  <c r="BD165" i="104" s="1"/>
  <c r="AX165" i="104" a="1"/>
  <c r="AX165" i="104" s="1"/>
  <c r="AR165" i="104" a="1"/>
  <c r="AR165" i="104" s="1"/>
  <c r="AL165" i="104" a="1"/>
  <c r="AL165" i="104" s="1"/>
  <c r="AF165" i="104" a="1"/>
  <c r="AF165" i="104" s="1"/>
  <c r="Z165" i="104" a="1"/>
  <c r="Z165" i="104" s="1"/>
  <c r="T165" i="104" a="1"/>
  <c r="T165" i="104" s="1"/>
  <c r="N165" i="104" a="1"/>
  <c r="N165" i="104" s="1"/>
  <c r="H165" i="104" a="1"/>
  <c r="H165" i="104" s="1"/>
  <c r="BC165" i="104" a="1"/>
  <c r="BC165" i="104" s="1"/>
  <c r="AW165" i="104" a="1"/>
  <c r="AW165" i="104" s="1"/>
  <c r="AQ165" i="104" a="1"/>
  <c r="AQ165" i="104" s="1"/>
  <c r="AK165" i="104" a="1"/>
  <c r="AK165" i="104" s="1"/>
  <c r="AE165" i="104" a="1"/>
  <c r="AE165" i="104" s="1"/>
  <c r="Y165" i="104" a="1"/>
  <c r="Y165" i="104" s="1"/>
  <c r="S165" i="104" a="1"/>
  <c r="S165" i="104" s="1"/>
  <c r="M165" i="104" a="1"/>
  <c r="M165" i="104" s="1"/>
  <c r="BB165" i="104" a="1"/>
  <c r="BB165" i="104" s="1"/>
  <c r="AV165" i="104" a="1"/>
  <c r="AV165" i="104" s="1"/>
  <c r="AP165" i="104" a="1"/>
  <c r="AP165" i="104" s="1"/>
  <c r="AJ165" i="104" a="1"/>
  <c r="AJ165" i="104" s="1"/>
  <c r="AD165" i="104" a="1"/>
  <c r="AD165" i="104" s="1"/>
  <c r="X165" i="104" a="1"/>
  <c r="X165" i="104" s="1"/>
  <c r="R165" i="104" a="1"/>
  <c r="R165" i="104" s="1"/>
  <c r="L165" i="104" a="1"/>
  <c r="L165" i="104" s="1"/>
  <c r="BA165" i="104" a="1"/>
  <c r="BA165" i="104" s="1"/>
  <c r="AU165" i="104" a="1"/>
  <c r="AU165" i="104" s="1"/>
  <c r="AO165" i="104" a="1"/>
  <c r="AO165" i="104" s="1"/>
  <c r="AI165" i="104" a="1"/>
  <c r="AI165" i="104" s="1"/>
  <c r="AC165" i="104" a="1"/>
  <c r="AC165" i="104" s="1"/>
  <c r="W165" i="104" a="1"/>
  <c r="W165" i="104" s="1"/>
  <c r="Q165" i="104" a="1"/>
  <c r="Q165" i="104" s="1"/>
  <c r="K165" i="104" a="1"/>
  <c r="K165" i="104" s="1"/>
  <c r="BF165" i="104" a="1"/>
  <c r="BF165" i="104" s="1"/>
  <c r="AZ165" i="104" a="1"/>
  <c r="AZ165" i="104" s="1"/>
  <c r="AT165" i="104" a="1"/>
  <c r="AT165" i="104" s="1"/>
  <c r="AN165" i="104" a="1"/>
  <c r="AN165" i="104" s="1"/>
  <c r="AH165" i="104" a="1"/>
  <c r="AH165" i="104" s="1"/>
  <c r="AB165" i="104" a="1"/>
  <c r="AB165" i="104" s="1"/>
  <c r="V165" i="104" a="1"/>
  <c r="V165" i="104" s="1"/>
  <c r="P165" i="104" a="1"/>
  <c r="P165" i="104" s="1"/>
  <c r="J165" i="104" a="1"/>
  <c r="J165" i="104" s="1"/>
  <c r="BE165" i="104" a="1"/>
  <c r="BE165" i="104" s="1"/>
  <c r="AY165" i="104" a="1"/>
  <c r="AY165" i="104" s="1"/>
  <c r="AS165" i="104" a="1"/>
  <c r="AS165" i="104" s="1"/>
  <c r="AM165" i="104" a="1"/>
  <c r="AM165" i="104" s="1"/>
  <c r="AG165" i="104" a="1"/>
  <c r="AG165" i="104" s="1"/>
  <c r="AA165" i="104" a="1"/>
  <c r="AA165" i="104" s="1"/>
  <c r="U165" i="104" a="1"/>
  <c r="U165" i="104" s="1"/>
  <c r="O165" i="104" a="1"/>
  <c r="O165" i="104" s="1"/>
  <c r="I165" i="104" a="1"/>
  <c r="I165" i="104" s="1"/>
  <c r="AZ185" i="104"/>
  <c r="AN185" i="104"/>
  <c r="AB185" i="104"/>
  <c r="P185" i="104"/>
  <c r="AY185" i="104"/>
  <c r="AM185" i="104"/>
  <c r="AA185" i="104"/>
  <c r="O185" i="104"/>
  <c r="AW185" i="104"/>
  <c r="AK185" i="104"/>
  <c r="Y185" i="104"/>
  <c r="M185" i="104"/>
  <c r="BE185" i="104"/>
  <c r="AS185" i="104"/>
  <c r="AG185" i="104"/>
  <c r="U185" i="104"/>
  <c r="I185" i="104"/>
  <c r="BD185" i="104"/>
  <c r="AR185" i="104"/>
  <c r="AF185" i="104"/>
  <c r="T185" i="104"/>
  <c r="H185" i="104"/>
  <c r="BC185" i="104"/>
  <c r="AQ185" i="104"/>
  <c r="AE185" i="104"/>
  <c r="S185" i="104"/>
  <c r="BB185" i="104"/>
  <c r="AP185" i="104"/>
  <c r="AD185" i="104"/>
  <c r="R185" i="104"/>
  <c r="AO185" i="104"/>
  <c r="L185" i="104"/>
  <c r="AL185" i="104"/>
  <c r="K185" i="104"/>
  <c r="AJ185" i="104"/>
  <c r="J185" i="104"/>
  <c r="AI185" i="104"/>
  <c r="AH185" i="104"/>
  <c r="AC185" i="104"/>
  <c r="BF185" i="104"/>
  <c r="Z185" i="104"/>
  <c r="BA185" i="104"/>
  <c r="X185" i="104"/>
  <c r="AX185" i="104"/>
  <c r="W185" i="104"/>
  <c r="AV185" i="104"/>
  <c r="V185" i="104"/>
  <c r="AU185" i="104"/>
  <c r="Q185" i="104"/>
  <c r="AT185" i="104"/>
  <c r="N185" i="104"/>
  <c r="W178" i="104"/>
  <c r="AU178" i="104"/>
  <c r="BB178" i="104"/>
  <c r="AJ178" i="104"/>
  <c r="AH178" i="104"/>
  <c r="AZ188" i="104"/>
  <c r="M188" i="104"/>
  <c r="Q188" i="104"/>
  <c r="BE188" i="104"/>
  <c r="Q47" i="104"/>
  <c r="AZ181" i="104"/>
  <c r="AN181" i="104"/>
  <c r="AB181" i="104"/>
  <c r="P181" i="104"/>
  <c r="AY181" i="104"/>
  <c r="AM181" i="104"/>
  <c r="AA181" i="104"/>
  <c r="O181" i="104"/>
  <c r="AW181" i="104"/>
  <c r="AK181" i="104"/>
  <c r="Y181" i="104"/>
  <c r="M181" i="104"/>
  <c r="BE181" i="104"/>
  <c r="AS181" i="104"/>
  <c r="AG181" i="104"/>
  <c r="U181" i="104"/>
  <c r="BD181" i="104"/>
  <c r="AR181" i="104"/>
  <c r="AF181" i="104"/>
  <c r="T181" i="104"/>
  <c r="H181" i="104"/>
  <c r="BC181" i="104"/>
  <c r="AQ181" i="104"/>
  <c r="AE181" i="104"/>
  <c r="S181" i="104"/>
  <c r="BB181" i="104"/>
  <c r="AP181" i="104"/>
  <c r="AD181" i="104"/>
  <c r="R181" i="104"/>
  <c r="BF181" i="104"/>
  <c r="Z181" i="104"/>
  <c r="BA181" i="104"/>
  <c r="X181" i="104"/>
  <c r="AX181" i="104"/>
  <c r="W181" i="104"/>
  <c r="AV181" i="104"/>
  <c r="V181" i="104"/>
  <c r="AU181" i="104"/>
  <c r="Q181" i="104"/>
  <c r="AT181" i="104"/>
  <c r="N181" i="104"/>
  <c r="AO181" i="104"/>
  <c r="L181" i="104"/>
  <c r="AL181" i="104"/>
  <c r="K181" i="104"/>
  <c r="AJ181" i="104"/>
  <c r="J181" i="104"/>
  <c r="AI181" i="104"/>
  <c r="I181" i="104"/>
  <c r="AH181" i="104"/>
  <c r="AC181" i="104"/>
  <c r="AP178" i="104"/>
  <c r="O178" i="104"/>
  <c r="S178" i="104"/>
  <c r="AV178" i="104"/>
  <c r="AT178" i="104"/>
  <c r="BB188" i="104"/>
  <c r="Y188" i="104"/>
  <c r="AC188" i="104"/>
  <c r="J188" i="104"/>
  <c r="AA178" i="104"/>
  <c r="AE178" i="104"/>
  <c r="AM178" i="104"/>
  <c r="M178" i="104"/>
  <c r="BF178" i="104"/>
  <c r="H188" i="104"/>
  <c r="AK188" i="104"/>
  <c r="AO188" i="104"/>
  <c r="V188" i="104"/>
  <c r="AQ178" i="104"/>
  <c r="AY178" i="104"/>
  <c r="BC178" i="104"/>
  <c r="Y178" i="104"/>
  <c r="P188" i="104"/>
  <c r="BD188" i="104"/>
  <c r="AW188" i="104"/>
  <c r="BA188" i="104"/>
  <c r="N44" i="104"/>
  <c r="AU166" i="104"/>
  <c r="AI166" i="104"/>
  <c r="W166" i="104"/>
  <c r="K166" i="104"/>
  <c r="BF166" i="104"/>
  <c r="AT166" i="104"/>
  <c r="AH166" i="104"/>
  <c r="V166" i="104"/>
  <c r="J166" i="104"/>
  <c r="BE166" i="104"/>
  <c r="AS166" i="104"/>
  <c r="AG166" i="104"/>
  <c r="U166" i="104"/>
  <c r="I166" i="104"/>
  <c r="BD166" i="104"/>
  <c r="AR166" i="104"/>
  <c r="AF166" i="104"/>
  <c r="T166" i="104"/>
  <c r="H166" i="104"/>
  <c r="BC166" i="104"/>
  <c r="AQ166" i="104"/>
  <c r="AE166" i="104"/>
  <c r="S166" i="104"/>
  <c r="BB166" i="104"/>
  <c r="AP166" i="104"/>
  <c r="AD166" i="104"/>
  <c r="R166" i="104"/>
  <c r="BA166" i="104"/>
  <c r="AO166" i="104"/>
  <c r="AC166" i="104"/>
  <c r="Q166" i="104"/>
  <c r="AZ166" i="104"/>
  <c r="AN166" i="104"/>
  <c r="AB166" i="104"/>
  <c r="P166" i="104"/>
  <c r="AY166" i="104"/>
  <c r="AM166" i="104"/>
  <c r="AA166" i="104"/>
  <c r="O166" i="104"/>
  <c r="AX166" i="104"/>
  <c r="AL166" i="104"/>
  <c r="Z166" i="104"/>
  <c r="N166" i="104"/>
  <c r="AW166" i="104"/>
  <c r="AK166" i="104"/>
  <c r="Y166" i="104"/>
  <c r="M166" i="104"/>
  <c r="AV166" i="104"/>
  <c r="AJ166" i="104"/>
  <c r="X166" i="104"/>
  <c r="L166" i="104"/>
  <c r="AE177" i="104"/>
  <c r="BB177" i="104"/>
  <c r="AW177" i="104"/>
  <c r="AS177" i="104"/>
  <c r="AG182" i="104"/>
  <c r="AL182" i="104"/>
  <c r="BD182" i="104"/>
  <c r="AP182" i="104"/>
  <c r="AY179" i="104"/>
  <c r="S179" i="104"/>
  <c r="U179" i="104"/>
  <c r="AX179" i="104"/>
  <c r="L177" i="104"/>
  <c r="AO182" i="104"/>
  <c r="Q179" i="104"/>
  <c r="K182" i="104"/>
  <c r="BF179" i="104"/>
  <c r="BA182" i="104"/>
  <c r="R179" i="104"/>
  <c r="AT179" i="104"/>
  <c r="AF179" i="104"/>
  <c r="AJ177" i="104"/>
  <c r="T179" i="104"/>
  <c r="W179" i="104"/>
  <c r="AX177" i="104"/>
  <c r="R182" i="104"/>
  <c r="AH179" i="104"/>
  <c r="AL179" i="104"/>
  <c r="AZ177" i="104"/>
  <c r="S177" i="104"/>
  <c r="AL177" i="104"/>
  <c r="AH177" i="104"/>
  <c r="AA177" i="104"/>
  <c r="U182" i="104"/>
  <c r="Z182" i="104"/>
  <c r="AC182" i="104"/>
  <c r="P182" i="104"/>
  <c r="AM179" i="104"/>
  <c r="BB179" i="104"/>
  <c r="AK179" i="104"/>
  <c r="AG179" i="104"/>
  <c r="Q177" i="104"/>
  <c r="I182" i="104"/>
  <c r="BB182" i="104"/>
  <c r="AA179" i="104"/>
  <c r="AP179" i="104"/>
  <c r="K179" i="104"/>
  <c r="AW182" i="104"/>
  <c r="AD179" i="104"/>
  <c r="AW179" i="104"/>
  <c r="AN182" i="104"/>
  <c r="AJ179" i="104"/>
  <c r="AC179" i="104"/>
  <c r="W182" i="104"/>
  <c r="X179" i="104"/>
  <c r="J177" i="104"/>
  <c r="AI179" i="104"/>
  <c r="M179" i="104"/>
  <c r="BC179" i="104"/>
  <c r="V179" i="104"/>
  <c r="L179" i="104"/>
  <c r="AN177" i="104"/>
  <c r="Z177" i="104"/>
  <c r="W177" i="104"/>
  <c r="N182" i="104"/>
  <c r="H182" i="104"/>
  <c r="J179" i="104"/>
  <c r="AV179" i="104"/>
  <c r="AY182" i="104"/>
  <c r="AU179" i="104"/>
  <c r="AR182" i="104"/>
  <c r="AE179" i="104"/>
  <c r="AB177" i="104"/>
  <c r="K177" i="104"/>
  <c r="BA177" i="104"/>
  <c r="AV177" i="104"/>
  <c r="AP177" i="104"/>
  <c r="BC182" i="104"/>
  <c r="AB182" i="104"/>
  <c r="O179" i="104"/>
  <c r="Y182" i="104"/>
  <c r="AI182" i="104"/>
  <c r="AV182" i="104"/>
  <c r="AU182" i="104"/>
  <c r="X182" i="104"/>
  <c r="AQ179" i="104"/>
  <c r="P177" i="104"/>
  <c r="BF177" i="104"/>
  <c r="AK177" i="104"/>
  <c r="AG177" i="104"/>
  <c r="AQ182" i="104"/>
  <c r="AK182" i="104"/>
  <c r="BD179" i="104"/>
  <c r="AR179" i="104"/>
  <c r="AZ182" i="104"/>
  <c r="T182" i="104"/>
  <c r="AJ182" i="104"/>
  <c r="BA179" i="104"/>
  <c r="AB179" i="104"/>
  <c r="BD177" i="104"/>
  <c r="AO177" i="104"/>
  <c r="V177" i="104"/>
  <c r="O177" i="104"/>
  <c r="BF182" i="104"/>
  <c r="AE182" i="104"/>
  <c r="N179" i="104"/>
  <c r="AD177" i="104"/>
  <c r="AF182" i="104"/>
  <c r="H179" i="104"/>
  <c r="AT177" i="104"/>
  <c r="O182" i="104"/>
  <c r="AR177" i="104"/>
  <c r="Y177" i="104"/>
  <c r="AY177" i="104"/>
  <c r="AU177" i="104"/>
  <c r="AT182" i="104"/>
  <c r="S182" i="104"/>
  <c r="M182" i="104"/>
  <c r="BE179" i="104"/>
  <c r="AH182" i="104"/>
  <c r="AS179" i="104"/>
  <c r="AZ179" i="104"/>
  <c r="J182" i="104"/>
  <c r="AN179" i="104"/>
  <c r="Y179" i="104"/>
  <c r="Q182" i="104"/>
  <c r="AF177" i="104"/>
  <c r="Z179" i="104"/>
  <c r="AC177" i="104"/>
  <c r="T177" i="104"/>
  <c r="BE177" i="104"/>
  <c r="U177" i="104"/>
  <c r="N177" i="104"/>
  <c r="V182" i="104"/>
  <c r="AM182" i="104"/>
  <c r="I179" i="104"/>
  <c r="AO179" i="104"/>
  <c r="L182" i="104"/>
  <c r="H177" i="104"/>
  <c r="AM177" i="104"/>
  <c r="AA182" i="104"/>
  <c r="P179" i="104"/>
  <c r="BC177" i="104"/>
  <c r="X177" i="104"/>
  <c r="AI177" i="104"/>
  <c r="BE182" i="104"/>
  <c r="AQ177" i="104"/>
  <c r="I177" i="104"/>
  <c r="R177" i="104"/>
  <c r="M177" i="104"/>
  <c r="AS182" i="104"/>
  <c r="AX182" i="104"/>
  <c r="AD182" i="104"/>
  <c r="H178" i="104"/>
  <c r="P178" i="104"/>
  <c r="T178" i="104"/>
  <c r="AK178" i="104"/>
  <c r="R188" i="104"/>
  <c r="K188" i="104"/>
  <c r="N188" i="104"/>
  <c r="S188" i="104"/>
  <c r="AT188" i="104"/>
  <c r="AB178" i="104"/>
  <c r="AF178" i="104"/>
  <c r="AN178" i="104"/>
  <c r="AW178" i="104"/>
  <c r="T188" i="104"/>
  <c r="W188" i="104"/>
  <c r="Z188" i="104"/>
  <c r="AE188" i="104"/>
  <c r="BF188" i="104"/>
  <c r="DF112" i="105"/>
  <c r="CT112" i="105"/>
  <c r="CH112" i="105"/>
  <c r="BV112" i="105"/>
  <c r="BJ112" i="105"/>
  <c r="AX112" i="105"/>
  <c r="AL112" i="105"/>
  <c r="Z112" i="105"/>
  <c r="N112" i="105"/>
  <c r="AS112" i="105"/>
  <c r="AF112" i="105"/>
  <c r="CA112" i="105"/>
  <c r="BB112" i="105"/>
  <c r="AO112" i="105"/>
  <c r="BX112" i="105"/>
  <c r="AA112" i="105"/>
  <c r="DE112" i="105"/>
  <c r="CS112" i="105"/>
  <c r="CG112" i="105"/>
  <c r="BU112" i="105"/>
  <c r="BI112" i="105"/>
  <c r="AW112" i="105"/>
  <c r="AK112" i="105"/>
  <c r="Y112" i="105"/>
  <c r="M112" i="105"/>
  <c r="CO112" i="105"/>
  <c r="CB112" i="105"/>
  <c r="AQ112" i="105"/>
  <c r="R112" i="105"/>
  <c r="Q112" i="105"/>
  <c r="P112" i="105"/>
  <c r="AM112" i="105"/>
  <c r="DD112" i="105"/>
  <c r="CR112" i="105"/>
  <c r="CF112" i="105"/>
  <c r="BT112" i="105"/>
  <c r="BH112" i="105"/>
  <c r="AV112" i="105"/>
  <c r="AJ112" i="105"/>
  <c r="X112" i="105"/>
  <c r="L112" i="105"/>
  <c r="AG112" i="105"/>
  <c r="T112" i="105"/>
  <c r="BC112" i="105"/>
  <c r="BM112" i="105"/>
  <c r="AN112" i="105"/>
  <c r="AY112" i="105"/>
  <c r="DC112" i="105"/>
  <c r="CQ112" i="105"/>
  <c r="CE112" i="105"/>
  <c r="BS112" i="105"/>
  <c r="BG112" i="105"/>
  <c r="AU112" i="105"/>
  <c r="AI112" i="105"/>
  <c r="W112" i="105"/>
  <c r="BQ112" i="105"/>
  <c r="U112" i="105"/>
  <c r="BP112" i="105"/>
  <c r="CY112" i="105"/>
  <c r="S112" i="105"/>
  <c r="BY112" i="105"/>
  <c r="CI112" i="105"/>
  <c r="DB112" i="105"/>
  <c r="CP112" i="105"/>
  <c r="CD112" i="105"/>
  <c r="BR112" i="105"/>
  <c r="BF112" i="105"/>
  <c r="AT112" i="105"/>
  <c r="AH112" i="105"/>
  <c r="V112" i="105"/>
  <c r="BE112" i="105"/>
  <c r="BD112" i="105"/>
  <c r="CM112" i="105"/>
  <c r="AP112" i="105"/>
  <c r="CJ112" i="105"/>
  <c r="O112" i="105"/>
  <c r="DA112" i="105"/>
  <c r="CC112" i="105"/>
  <c r="AR112" i="105"/>
  <c r="BO112" i="105"/>
  <c r="AD112" i="105"/>
  <c r="BA112" i="105"/>
  <c r="BL112" i="105"/>
  <c r="BK112" i="105"/>
  <c r="CZ112" i="105"/>
  <c r="CN112" i="105"/>
  <c r="AE112" i="105"/>
  <c r="CK112" i="105"/>
  <c r="AB112" i="105"/>
  <c r="AZ112" i="105"/>
  <c r="CX112" i="105"/>
  <c r="CL112" i="105"/>
  <c r="BZ112" i="105"/>
  <c r="BN112" i="105"/>
  <c r="CV112" i="105"/>
  <c r="BW112" i="105"/>
  <c r="CW112" i="105"/>
  <c r="AC112" i="105"/>
  <c r="CU112" i="105"/>
  <c r="R126" i="105"/>
  <c r="AD126" i="105"/>
  <c r="AP126" i="105"/>
  <c r="BB126" i="105"/>
  <c r="BN126" i="105"/>
  <c r="BZ126" i="105"/>
  <c r="CL126" i="105"/>
  <c r="CX126" i="105"/>
  <c r="P128" i="105"/>
  <c r="AB128" i="105"/>
  <c r="AN128" i="105"/>
  <c r="AZ128" i="105"/>
  <c r="BL128" i="105"/>
  <c r="BX128" i="105"/>
  <c r="CJ128" i="105"/>
  <c r="CV128" i="105"/>
  <c r="L127" i="105"/>
  <c r="BY128" i="105"/>
  <c r="CW128" i="105"/>
  <c r="AT128" i="105"/>
  <c r="CD128" i="105"/>
  <c r="P126" i="105"/>
  <c r="CH128" i="105"/>
  <c r="S126" i="105"/>
  <c r="AE126" i="105"/>
  <c r="AQ126" i="105"/>
  <c r="BC126" i="105"/>
  <c r="BO126" i="105"/>
  <c r="CA126" i="105"/>
  <c r="CM126" i="105"/>
  <c r="CY126" i="105"/>
  <c r="Q128" i="105"/>
  <c r="AC128" i="105"/>
  <c r="AO128" i="105"/>
  <c r="BA128" i="105"/>
  <c r="BM128" i="105"/>
  <c r="CK128" i="105"/>
  <c r="L126" i="105"/>
  <c r="BI126" i="105"/>
  <c r="AI128" i="105"/>
  <c r="CE128" i="105"/>
  <c r="CF128" i="105"/>
  <c r="DE128" i="105"/>
  <c r="AZ126" i="105"/>
  <c r="T126" i="105"/>
  <c r="AF126" i="105"/>
  <c r="AR126" i="105"/>
  <c r="BD126" i="105"/>
  <c r="BP126" i="105"/>
  <c r="CB126" i="105"/>
  <c r="CN126" i="105"/>
  <c r="CZ126" i="105"/>
  <c r="R128" i="105"/>
  <c r="AD128" i="105"/>
  <c r="AP128" i="105"/>
  <c r="BB128" i="105"/>
  <c r="BN128" i="105"/>
  <c r="BZ128" i="105"/>
  <c r="CL128" i="105"/>
  <c r="CX128" i="105"/>
  <c r="W128" i="105"/>
  <c r="CQ128" i="105"/>
  <c r="BT128" i="105"/>
  <c r="CG128" i="105"/>
  <c r="Z128" i="105"/>
  <c r="U126" i="105"/>
  <c r="AG126" i="105"/>
  <c r="AS126" i="105"/>
  <c r="BE126" i="105"/>
  <c r="BQ126" i="105"/>
  <c r="CC126" i="105"/>
  <c r="CO126" i="105"/>
  <c r="DA126" i="105"/>
  <c r="S128" i="105"/>
  <c r="AE128" i="105"/>
  <c r="AQ128" i="105"/>
  <c r="BC128" i="105"/>
  <c r="BO128" i="105"/>
  <c r="CA128" i="105"/>
  <c r="CM128" i="105"/>
  <c r="CY128" i="105"/>
  <c r="AW126" i="105"/>
  <c r="DE126" i="105"/>
  <c r="BS128" i="105"/>
  <c r="X128" i="105"/>
  <c r="DD128" i="105"/>
  <c r="AB126" i="105"/>
  <c r="DF128" i="105"/>
  <c r="V126" i="105"/>
  <c r="AH126" i="105"/>
  <c r="AT126" i="105"/>
  <c r="BF126" i="105"/>
  <c r="BR126" i="105"/>
  <c r="CD126" i="105"/>
  <c r="CP126" i="105"/>
  <c r="DB126" i="105"/>
  <c r="T128" i="105"/>
  <c r="AF128" i="105"/>
  <c r="AR128" i="105"/>
  <c r="BD128" i="105"/>
  <c r="BP128" i="105"/>
  <c r="CB128" i="105"/>
  <c r="CN128" i="105"/>
  <c r="CZ128" i="105"/>
  <c r="BE128" i="105"/>
  <c r="CC128" i="105"/>
  <c r="DA128" i="105"/>
  <c r="BR128" i="105"/>
  <c r="DB128" i="105"/>
  <c r="CS126" i="105"/>
  <c r="DC128" i="105"/>
  <c r="AJ128" i="105"/>
  <c r="CV126" i="105"/>
  <c r="BV128" i="105"/>
  <c r="W126" i="105"/>
  <c r="AI126" i="105"/>
  <c r="AU126" i="105"/>
  <c r="BG126" i="105"/>
  <c r="BS126" i="105"/>
  <c r="CE126" i="105"/>
  <c r="CQ126" i="105"/>
  <c r="DC126" i="105"/>
  <c r="U128" i="105"/>
  <c r="AG128" i="105"/>
  <c r="AS128" i="105"/>
  <c r="BQ128" i="105"/>
  <c r="CO128" i="105"/>
  <c r="CH126" i="105"/>
  <c r="AV128" i="105"/>
  <c r="CJ126" i="105"/>
  <c r="AX128" i="105"/>
  <c r="X126" i="105"/>
  <c r="AJ126" i="105"/>
  <c r="AV126" i="105"/>
  <c r="BH126" i="105"/>
  <c r="BT126" i="105"/>
  <c r="CF126" i="105"/>
  <c r="CR126" i="105"/>
  <c r="DD126" i="105"/>
  <c r="V128" i="105"/>
  <c r="AH128" i="105"/>
  <c r="BF128" i="105"/>
  <c r="CP128" i="105"/>
  <c r="CG126" i="105"/>
  <c r="BG128" i="105"/>
  <c r="DF126" i="105"/>
  <c r="CR128" i="105"/>
  <c r="CS128" i="105"/>
  <c r="BL126" i="105"/>
  <c r="M126" i="105"/>
  <c r="Y126" i="105"/>
  <c r="AK126" i="105"/>
  <c r="BU126" i="105"/>
  <c r="AU128" i="105"/>
  <c r="BH128" i="105"/>
  <c r="BU128" i="105"/>
  <c r="BX126" i="105"/>
  <c r="N126" i="105"/>
  <c r="Z126" i="105"/>
  <c r="AL126" i="105"/>
  <c r="AX126" i="105"/>
  <c r="BJ126" i="105"/>
  <c r="BV126" i="105"/>
  <c r="CT126" i="105"/>
  <c r="AN126" i="105"/>
  <c r="CT128" i="105"/>
  <c r="O126" i="105"/>
  <c r="AA126" i="105"/>
  <c r="AM126" i="105"/>
  <c r="AY126" i="105"/>
  <c r="BK126" i="105"/>
  <c r="BW126" i="105"/>
  <c r="CI126" i="105"/>
  <c r="CU126" i="105"/>
  <c r="M128" i="105"/>
  <c r="Y128" i="105"/>
  <c r="AK128" i="105"/>
  <c r="AW128" i="105"/>
  <c r="BI128" i="105"/>
  <c r="AL128" i="105"/>
  <c r="Q126" i="105"/>
  <c r="AC126" i="105"/>
  <c r="AO126" i="105"/>
  <c r="BA126" i="105"/>
  <c r="BM126" i="105"/>
  <c r="BY126" i="105"/>
  <c r="CK126" i="105"/>
  <c r="CW126" i="105"/>
  <c r="O128" i="105"/>
  <c r="AA128" i="105"/>
  <c r="AM128" i="105"/>
  <c r="AY128" i="105"/>
  <c r="BK128" i="105"/>
  <c r="BW128" i="105"/>
  <c r="CI128" i="105"/>
  <c r="CU128" i="105"/>
  <c r="L128" i="105"/>
  <c r="N128" i="105"/>
  <c r="BJ128" i="105"/>
  <c r="N127" i="105"/>
  <c r="BN127" i="105"/>
  <c r="DC127" i="105"/>
  <c r="AL120" i="105"/>
  <c r="Z120" i="105"/>
  <c r="L120" i="105"/>
  <c r="BU127" i="105"/>
  <c r="AC125" i="105"/>
  <c r="AM125" i="105"/>
  <c r="CP127" i="105"/>
  <c r="AX125" i="105"/>
  <c r="CC127" i="105"/>
  <c r="AK125" i="105"/>
  <c r="Y117" i="105"/>
  <c r="CF125" i="105"/>
  <c r="AV117" i="105"/>
  <c r="CQ125" i="105"/>
  <c r="V117" i="105"/>
  <c r="BQ125" i="105"/>
  <c r="R120" i="105"/>
  <c r="AB127" i="105"/>
  <c r="AC120" i="105"/>
  <c r="AA127" i="105"/>
  <c r="AB120" i="105"/>
  <c r="CX125" i="105"/>
  <c r="P127" i="105"/>
  <c r="O127" i="105"/>
  <c r="CL125" i="105"/>
  <c r="AQ117" i="105"/>
  <c r="AQ120" i="105"/>
  <c r="BV127" i="105"/>
  <c r="BW127" i="105"/>
  <c r="DA125" i="105"/>
  <c r="O117" i="105"/>
  <c r="U120" i="105"/>
  <c r="AY127" i="105"/>
  <c r="CV125" i="105"/>
  <c r="AV127" i="105"/>
  <c r="AB117" i="105"/>
  <c r="Q117" i="105"/>
  <c r="AY120" i="105"/>
  <c r="BI127" i="105"/>
  <c r="Q125" i="105"/>
  <c r="AA125" i="105"/>
  <c r="CD127" i="105"/>
  <c r="AL125" i="105"/>
  <c r="BQ127" i="105"/>
  <c r="Y125" i="105"/>
  <c r="L125" i="105"/>
  <c r="BT125" i="105"/>
  <c r="AJ117" i="105"/>
  <c r="CE125" i="105"/>
  <c r="CW127" i="105"/>
  <c r="BE125" i="105"/>
  <c r="O119" i="105"/>
  <c r="Q120" i="105"/>
  <c r="BC117" i="105"/>
  <c r="BD125" i="105"/>
  <c r="AQ127" i="105"/>
  <c r="BJ127" i="105"/>
  <c r="AU117" i="105"/>
  <c r="CO125" i="105"/>
  <c r="S117" i="105"/>
  <c r="AB125" i="105"/>
  <c r="CD125" i="105"/>
  <c r="CR127" i="105"/>
  <c r="CL127" i="105"/>
  <c r="AM120" i="105"/>
  <c r="AW127" i="105"/>
  <c r="BS127" i="105"/>
  <c r="O125" i="105"/>
  <c r="BR127" i="105"/>
  <c r="Z125" i="105"/>
  <c r="BE127" i="105"/>
  <c r="M125" i="105"/>
  <c r="CZ127" i="105"/>
  <c r="BH125" i="105"/>
  <c r="X117" i="105"/>
  <c r="BS125" i="105"/>
  <c r="CK127" i="105"/>
  <c r="AS125" i="105"/>
  <c r="BE117" i="105"/>
  <c r="CZ125" i="105"/>
  <c r="BD117" i="105"/>
  <c r="CY125" i="105"/>
  <c r="BZ125" i="105"/>
  <c r="CU127" i="105"/>
  <c r="AS120" i="105"/>
  <c r="T125" i="105"/>
  <c r="BD120" i="105"/>
  <c r="BI125" i="105"/>
  <c r="P120" i="105"/>
  <c r="AO117" i="105"/>
  <c r="M120" i="105"/>
  <c r="AJ127" i="105"/>
  <c r="X127" i="105"/>
  <c r="AA120" i="105"/>
  <c r="AK127" i="105"/>
  <c r="BG127" i="105"/>
  <c r="Y120" i="105"/>
  <c r="BF127" i="105"/>
  <c r="N125" i="105"/>
  <c r="AS127" i="105"/>
  <c r="AW120" i="105"/>
  <c r="CN127" i="105"/>
  <c r="AV125" i="105"/>
  <c r="CY127" i="105"/>
  <c r="BG125" i="105"/>
  <c r="BY127" i="105"/>
  <c r="AG125" i="105"/>
  <c r="AS117" i="105"/>
  <c r="CN125" i="105"/>
  <c r="AR117" i="105"/>
  <c r="CM125" i="105"/>
  <c r="AE117" i="105"/>
  <c r="BN125" i="105"/>
  <c r="CH127" i="105"/>
  <c r="AF125" i="105"/>
  <c r="BL127" i="105"/>
  <c r="CE127" i="105"/>
  <c r="AP120" i="105"/>
  <c r="DB125" i="105"/>
  <c r="BH127" i="105"/>
  <c r="AI117" i="105"/>
  <c r="BR125" i="105"/>
  <c r="BF125" i="105"/>
  <c r="O120" i="105"/>
  <c r="Y127" i="105"/>
  <c r="AU127" i="105"/>
  <c r="AV120" i="105"/>
  <c r="AT127" i="105"/>
  <c r="M117" i="105"/>
  <c r="AG127" i="105"/>
  <c r="AU120" i="105"/>
  <c r="CB127" i="105"/>
  <c r="AJ125" i="105"/>
  <c r="CM127" i="105"/>
  <c r="AU125" i="105"/>
  <c r="BM127" i="105"/>
  <c r="U125" i="105"/>
  <c r="AG117" i="105"/>
  <c r="CB125" i="105"/>
  <c r="AF117" i="105"/>
  <c r="CA125" i="105"/>
  <c r="DF127" i="105"/>
  <c r="BB125" i="105"/>
  <c r="AC119" i="105"/>
  <c r="BP125" i="105"/>
  <c r="BO125" i="105"/>
  <c r="CT127" i="105"/>
  <c r="CV127" i="105"/>
  <c r="R125" i="105"/>
  <c r="AE125" i="105"/>
  <c r="BZ127" i="105"/>
  <c r="S127" i="105"/>
  <c r="AN125" i="105"/>
  <c r="CP125" i="105"/>
  <c r="AR120" i="105"/>
  <c r="AF120" i="105"/>
  <c r="CF127" i="105"/>
  <c r="BB117" i="105"/>
  <c r="M127" i="105"/>
  <c r="AI127" i="105"/>
  <c r="AJ120" i="105"/>
  <c r="AH127" i="105"/>
  <c r="AI120" i="105"/>
  <c r="U127" i="105"/>
  <c r="W120" i="105"/>
  <c r="BP127" i="105"/>
  <c r="X125" i="105"/>
  <c r="CA127" i="105"/>
  <c r="AI125" i="105"/>
  <c r="BA127" i="105"/>
  <c r="U117" i="105"/>
  <c r="T117" i="105"/>
  <c r="AP125" i="105"/>
  <c r="AD125" i="105"/>
  <c r="Q127" i="105"/>
  <c r="S125" i="105"/>
  <c r="BK125" i="105"/>
  <c r="DA127" i="105"/>
  <c r="BA120" i="105"/>
  <c r="BA117" i="105"/>
  <c r="V125" i="105"/>
  <c r="AC117" i="105"/>
  <c r="W117" i="105"/>
  <c r="R127" i="105"/>
  <c r="AP117" i="105"/>
  <c r="CW125" i="105"/>
  <c r="W127" i="105"/>
  <c r="X120" i="105"/>
  <c r="V127" i="105"/>
  <c r="AX117" i="105"/>
  <c r="DE125" i="105"/>
  <c r="BF120" i="105"/>
  <c r="BD127" i="105"/>
  <c r="AK120" i="105"/>
  <c r="BO127" i="105"/>
  <c r="W125" i="105"/>
  <c r="AO127" i="105"/>
  <c r="BC125" i="105"/>
  <c r="BX127" i="105"/>
  <c r="BF117" i="105"/>
  <c r="CS127" i="105"/>
  <c r="AT117" i="105"/>
  <c r="Z127" i="105"/>
  <c r="P117" i="105"/>
  <c r="AN117" i="105"/>
  <c r="CX127" i="105"/>
  <c r="CQ127" i="105"/>
  <c r="AZ125" i="105"/>
  <c r="AD117" i="105"/>
  <c r="CK125" i="105"/>
  <c r="CU125" i="105"/>
  <c r="AY117" i="105"/>
  <c r="DF125" i="105"/>
  <c r="AL117" i="105"/>
  <c r="CS125" i="105"/>
  <c r="AT120" i="105"/>
  <c r="AR127" i="105"/>
  <c r="BE120" i="105"/>
  <c r="BC127" i="105"/>
  <c r="BC120" i="105"/>
  <c r="AC127" i="105"/>
  <c r="S120" i="105"/>
  <c r="CJ127" i="105"/>
  <c r="AR125" i="105"/>
  <c r="CI127" i="105"/>
  <c r="AQ125" i="105"/>
  <c r="L117" i="105"/>
  <c r="BB120" i="105"/>
  <c r="CJ125" i="105"/>
  <c r="AZ127" i="105"/>
  <c r="AH125" i="105"/>
  <c r="DD127" i="105"/>
  <c r="AP127" i="105"/>
  <c r="AD127" i="105"/>
  <c r="T120" i="105"/>
  <c r="R117" i="105"/>
  <c r="BY125" i="105"/>
  <c r="CI125" i="105"/>
  <c r="AM117" i="105"/>
  <c r="CT125" i="105"/>
  <c r="Z117" i="105"/>
  <c r="CG125" i="105"/>
  <c r="AH120" i="105"/>
  <c r="AF127" i="105"/>
  <c r="AE120" i="105"/>
  <c r="AX127" i="105"/>
  <c r="BA125" i="105"/>
  <c r="AW117" i="105"/>
  <c r="AL127" i="105"/>
  <c r="AZ117" i="105"/>
  <c r="BB127" i="105"/>
  <c r="BX125" i="105"/>
  <c r="BL125" i="105"/>
  <c r="N120" i="105"/>
  <c r="DE127" i="105"/>
  <c r="BM125" i="105"/>
  <c r="BW125" i="105"/>
  <c r="AA117" i="105"/>
  <c r="CH125" i="105"/>
  <c r="N117" i="105"/>
  <c r="BU125" i="105"/>
  <c r="V120" i="105"/>
  <c r="T127" i="105"/>
  <c r="AG120" i="105"/>
  <c r="AE127" i="105"/>
  <c r="BK127" i="105"/>
  <c r="BV125" i="105"/>
  <c r="DD125" i="105"/>
  <c r="AZ120" i="105"/>
  <c r="BT127" i="105"/>
  <c r="P125" i="105"/>
  <c r="AX120" i="105"/>
  <c r="AT125" i="105"/>
  <c r="CG127" i="105"/>
  <c r="AO125" i="105"/>
  <c r="AY125" i="105"/>
  <c r="DB127" i="105"/>
  <c r="BJ125" i="105"/>
  <c r="CO127" i="105"/>
  <c r="AW125" i="105"/>
  <c r="AK117" i="105"/>
  <c r="CR125" i="105"/>
  <c r="AD119" i="105"/>
  <c r="DC125" i="105"/>
  <c r="AH117" i="105"/>
  <c r="CC125" i="105"/>
  <c r="AD120" i="105"/>
  <c r="AN127" i="105"/>
  <c r="AO120" i="105"/>
  <c r="AM127" i="105"/>
  <c r="AN120" i="105"/>
  <c r="Y119" i="105"/>
  <c r="X119" i="105"/>
  <c r="N119" i="105"/>
  <c r="P119" i="105"/>
  <c r="BF119" i="105"/>
  <c r="AK119" i="105"/>
  <c r="BC119" i="105"/>
  <c r="R119" i="105"/>
  <c r="AF119" i="105"/>
  <c r="AA119" i="105"/>
  <c r="AW119" i="105"/>
  <c r="AQ119" i="105"/>
  <c r="BE119" i="105"/>
  <c r="AX119" i="105"/>
  <c r="AZ119" i="105"/>
  <c r="M119" i="105"/>
  <c r="AB119" i="105"/>
  <c r="AP119" i="105"/>
  <c r="S119" i="105"/>
  <c r="AG119" i="105"/>
  <c r="AN119" i="105"/>
  <c r="BA119" i="105"/>
  <c r="Q119" i="105"/>
  <c r="U119" i="105"/>
  <c r="BB119" i="105"/>
  <c r="T119" i="105"/>
  <c r="Z119" i="105"/>
  <c r="AJ119" i="105"/>
  <c r="AY119" i="105"/>
  <c r="AE119" i="105"/>
  <c r="L119" i="105"/>
  <c r="V119" i="105"/>
  <c r="BD119" i="105"/>
  <c r="AU119" i="105"/>
  <c r="AT119" i="105"/>
  <c r="AR119" i="105"/>
  <c r="AL119" i="105"/>
  <c r="AO119" i="105"/>
  <c r="AS119" i="105"/>
  <c r="AV119" i="105"/>
  <c r="AH119" i="105"/>
  <c r="AI119" i="105"/>
  <c r="AM119" i="105"/>
  <c r="W119" i="105"/>
  <c r="V118" i="105"/>
  <c r="AV118" i="105"/>
  <c r="AB118" i="105"/>
  <c r="AD118" i="105"/>
  <c r="Z118" i="105"/>
  <c r="AN118" i="105"/>
  <c r="AP118" i="105"/>
  <c r="AT118" i="105"/>
  <c r="AZ118" i="105"/>
  <c r="BF118" i="105"/>
  <c r="BD118" i="105"/>
  <c r="AW118" i="105"/>
  <c r="O118" i="105"/>
  <c r="AU118" i="105"/>
  <c r="BA118" i="105"/>
  <c r="AJ118" i="105"/>
  <c r="AH118" i="105"/>
  <c r="BB118" i="105"/>
  <c r="Y118" i="105"/>
  <c r="AL118" i="105"/>
  <c r="AK118" i="105"/>
  <c r="W118" i="105"/>
  <c r="AI118" i="105"/>
  <c r="AC118" i="105"/>
  <c r="AA118" i="105"/>
  <c r="AM118" i="105"/>
  <c r="N118" i="105"/>
  <c r="BC118" i="105"/>
  <c r="P118" i="105"/>
  <c r="T118" i="105"/>
  <c r="AQ118" i="105"/>
  <c r="S118" i="105"/>
  <c r="Q118" i="105"/>
  <c r="L118" i="105"/>
  <c r="AY118" i="105"/>
  <c r="AR118" i="105"/>
  <c r="R118" i="105"/>
  <c r="M118" i="105"/>
  <c r="U118" i="105"/>
  <c r="AG118" i="105"/>
  <c r="AS118" i="105"/>
  <c r="BE118" i="105"/>
  <c r="X118" i="105"/>
  <c r="AF118" i="105"/>
  <c r="AO118" i="105"/>
  <c r="AX118" i="105"/>
  <c r="AE118" i="105"/>
  <c r="I146" i="104"/>
  <c r="BD146" i="104"/>
  <c r="K146" i="104"/>
  <c r="AR146" i="104"/>
  <c r="AO146" i="104"/>
  <c r="W146" i="104"/>
  <c r="AP146" i="104"/>
  <c r="AX146" i="104"/>
  <c r="BC146" i="104"/>
  <c r="P146" i="104"/>
  <c r="AT146" i="104"/>
  <c r="AC146" i="104"/>
  <c r="AD146" i="104"/>
  <c r="AL146" i="104"/>
  <c r="Q146" i="104"/>
  <c r="AB146" i="104"/>
  <c r="U146" i="104"/>
  <c r="J146" i="104"/>
  <c r="L146" i="104"/>
  <c r="BF146" i="104"/>
  <c r="AV146" i="104"/>
  <c r="M146" i="104"/>
  <c r="BB146" i="104"/>
  <c r="Z146" i="104"/>
  <c r="AG146" i="104"/>
  <c r="V146" i="104"/>
  <c r="AI146" i="104"/>
  <c r="H146" i="104"/>
  <c r="AF146" i="104"/>
  <c r="AY146" i="104"/>
  <c r="N146" i="104"/>
  <c r="AE146" i="104"/>
  <c r="AS146" i="104"/>
  <c r="AH146" i="104"/>
  <c r="AU146" i="104"/>
  <c r="AJ146" i="104"/>
  <c r="AW146" i="104"/>
  <c r="AA146" i="104"/>
  <c r="AQ146" i="104"/>
  <c r="AN146" i="104"/>
  <c r="BA146" i="104"/>
  <c r="S146" i="104"/>
  <c r="BE146" i="104"/>
  <c r="O146" i="104"/>
  <c r="T146" i="104"/>
  <c r="X146" i="104"/>
  <c r="Y146" i="104"/>
  <c r="AK146" i="104"/>
  <c r="AM146" i="104"/>
  <c r="R146" i="104"/>
  <c r="AZ146" i="104"/>
  <c r="Q29" i="105"/>
  <c r="P30" i="105"/>
  <c r="P29" i="105" s="1"/>
  <c r="M108" i="105"/>
  <c r="Y108" i="105"/>
  <c r="AK108" i="105"/>
  <c r="AW108" i="105"/>
  <c r="BI108" i="105"/>
  <c r="BU108" i="105"/>
  <c r="CG108" i="105"/>
  <c r="CS108" i="105"/>
  <c r="DE108" i="105"/>
  <c r="Z108" i="105"/>
  <c r="AX108" i="105"/>
  <c r="BJ108" i="105"/>
  <c r="CH108" i="105"/>
  <c r="DF108" i="105"/>
  <c r="AM108" i="105"/>
  <c r="BK108" i="105"/>
  <c r="CI108" i="105"/>
  <c r="CU108" i="105"/>
  <c r="CV108" i="105"/>
  <c r="CK108" i="105"/>
  <c r="BO108" i="105"/>
  <c r="AR108" i="105"/>
  <c r="AG108" i="105"/>
  <c r="BR108" i="105"/>
  <c r="BS108" i="105"/>
  <c r="N108" i="105"/>
  <c r="AL108" i="105"/>
  <c r="BV108" i="105"/>
  <c r="CT108" i="105"/>
  <c r="BW108" i="105"/>
  <c r="L108" i="105"/>
  <c r="BY108" i="105"/>
  <c r="CY108" i="105"/>
  <c r="CZ108" i="105"/>
  <c r="AT108" i="105"/>
  <c r="AI108" i="105"/>
  <c r="O108" i="105"/>
  <c r="AA108" i="105"/>
  <c r="AY108" i="105"/>
  <c r="BM108" i="105"/>
  <c r="CA108" i="105"/>
  <c r="CN108" i="105"/>
  <c r="CC108" i="105"/>
  <c r="DB108" i="105"/>
  <c r="CF108" i="105"/>
  <c r="P108" i="105"/>
  <c r="AB108" i="105"/>
  <c r="AN108" i="105"/>
  <c r="AZ108" i="105"/>
  <c r="BL108" i="105"/>
  <c r="BX108" i="105"/>
  <c r="CJ108" i="105"/>
  <c r="BC108" i="105"/>
  <c r="CM108" i="105"/>
  <c r="BP108" i="105"/>
  <c r="CO108" i="105"/>
  <c r="CE108" i="105"/>
  <c r="Q108" i="105"/>
  <c r="AC108" i="105"/>
  <c r="AO108" i="105"/>
  <c r="BA108" i="105"/>
  <c r="CW108" i="105"/>
  <c r="AF108" i="105"/>
  <c r="AS108" i="105"/>
  <c r="DA108" i="105"/>
  <c r="CD108" i="105"/>
  <c r="AU108" i="105"/>
  <c r="DC108" i="105"/>
  <c r="R108" i="105"/>
  <c r="AD108" i="105"/>
  <c r="AP108" i="105"/>
  <c r="BB108" i="105"/>
  <c r="BN108" i="105"/>
  <c r="BZ108" i="105"/>
  <c r="CL108" i="105"/>
  <c r="CX108" i="105"/>
  <c r="AE108" i="105"/>
  <c r="BD108" i="105"/>
  <c r="BE108" i="105"/>
  <c r="BF108" i="105"/>
  <c r="BG108" i="105"/>
  <c r="DD108" i="105"/>
  <c r="S108" i="105"/>
  <c r="AQ108" i="105"/>
  <c r="CB108" i="105"/>
  <c r="BQ108" i="105"/>
  <c r="W108" i="105"/>
  <c r="T108" i="105"/>
  <c r="CR108" i="105"/>
  <c r="U108" i="105"/>
  <c r="CQ108" i="105"/>
  <c r="V108" i="105"/>
  <c r="AH108" i="105"/>
  <c r="CP108" i="105"/>
  <c r="X108" i="105"/>
  <c r="AJ108" i="105"/>
  <c r="AV108" i="105"/>
  <c r="BH108" i="105"/>
  <c r="BT108" i="105"/>
  <c r="M113" i="105"/>
  <c r="AL113" i="105"/>
  <c r="BK113" i="105"/>
  <c r="CV113" i="105"/>
  <c r="AD113" i="105"/>
  <c r="BO113" i="105"/>
  <c r="CZ113" i="105"/>
  <c r="AH113" i="105"/>
  <c r="CF113" i="105"/>
  <c r="AJ114" i="105"/>
  <c r="BI114" i="105"/>
  <c r="CH114" i="105"/>
  <c r="CO114" i="105"/>
  <c r="AO114" i="105"/>
  <c r="BZ114" i="105"/>
  <c r="T114" i="105"/>
  <c r="AT114" i="105"/>
  <c r="CO115" i="105"/>
  <c r="CM115" i="105"/>
  <c r="AV115" i="105"/>
  <c r="BU115" i="105"/>
  <c r="DF115" i="105"/>
  <c r="AZ115" i="105"/>
  <c r="CK115" i="105"/>
  <c r="T115" i="105"/>
  <c r="BC116" i="105"/>
  <c r="CN116" i="105"/>
  <c r="AH116" i="105"/>
  <c r="CE116" i="105"/>
  <c r="Q116" i="105"/>
  <c r="Z116" i="105"/>
  <c r="AY116" i="105"/>
  <c r="CJ116" i="105"/>
  <c r="BN118" i="105"/>
  <c r="CM118" i="105"/>
  <c r="CC118" i="105"/>
  <c r="BR118" i="105"/>
  <c r="DC118" i="105"/>
  <c r="BJ118" i="105"/>
  <c r="CJ118" i="105"/>
  <c r="CF116" i="105"/>
  <c r="CB118" i="105"/>
  <c r="CE118" i="105"/>
  <c r="X114" i="105"/>
  <c r="BE114" i="105"/>
  <c r="AE115" i="105"/>
  <c r="CZ118" i="105"/>
  <c r="Y113" i="105"/>
  <c r="AX113" i="105"/>
  <c r="BW113" i="105"/>
  <c r="W113" i="105"/>
  <c r="AP113" i="105"/>
  <c r="CA113" i="105"/>
  <c r="AU113" i="105"/>
  <c r="AT113" i="105"/>
  <c r="CR113" i="105"/>
  <c r="AV114" i="105"/>
  <c r="BU114" i="105"/>
  <c r="CT114" i="105"/>
  <c r="P114" i="105"/>
  <c r="BA114" i="105"/>
  <c r="CL114" i="105"/>
  <c r="AF114" i="105"/>
  <c r="BF114" i="105"/>
  <c r="DA115" i="105"/>
  <c r="W115" i="105"/>
  <c r="BH115" i="105"/>
  <c r="CG115" i="105"/>
  <c r="O115" i="105"/>
  <c r="BL115" i="105"/>
  <c r="CW115" i="105"/>
  <c r="AF115" i="105"/>
  <c r="BO116" i="105"/>
  <c r="CZ116" i="105"/>
  <c r="AT116" i="105"/>
  <c r="CQ116" i="105"/>
  <c r="M116" i="105"/>
  <c r="AL116" i="105"/>
  <c r="BK116" i="105"/>
  <c r="CV116" i="105"/>
  <c r="BZ118" i="105"/>
  <c r="CY118" i="105"/>
  <c r="CD118" i="105"/>
  <c r="BV118" i="105"/>
  <c r="CV118" i="105"/>
  <c r="BH118" i="105"/>
  <c r="BQ118" i="105"/>
  <c r="DE118" i="105"/>
  <c r="CF118" i="105"/>
  <c r="AU116" i="105"/>
  <c r="CN118" i="105"/>
  <c r="BC113" i="105"/>
  <c r="CC115" i="105"/>
  <c r="BS116" i="105"/>
  <c r="CQ118" i="105"/>
  <c r="AK113" i="105"/>
  <c r="BJ113" i="105"/>
  <c r="CI113" i="105"/>
  <c r="Q113" i="105"/>
  <c r="BB113" i="105"/>
  <c r="CM113" i="105"/>
  <c r="U113" i="105"/>
  <c r="BF113" i="105"/>
  <c r="DD113" i="105"/>
  <c r="BH114" i="105"/>
  <c r="CG114" i="105"/>
  <c r="DF114" i="105"/>
  <c r="AB114" i="105"/>
  <c r="BM114" i="105"/>
  <c r="CX114" i="105"/>
  <c r="AR114" i="105"/>
  <c r="BR114" i="105"/>
  <c r="L115" i="105"/>
  <c r="AI115" i="105"/>
  <c r="BT115" i="105"/>
  <c r="CS115" i="105"/>
  <c r="AA115" i="105"/>
  <c r="BX115" i="105"/>
  <c r="CA115" i="105"/>
  <c r="AR115" i="105"/>
  <c r="CA116" i="105"/>
  <c r="U116" i="105"/>
  <c r="BF116" i="105"/>
  <c r="DC116" i="105"/>
  <c r="Y116" i="105"/>
  <c r="AX116" i="105"/>
  <c r="BW116" i="105"/>
  <c r="BM116" i="105"/>
  <c r="CL118" i="105"/>
  <c r="CO118" i="105"/>
  <c r="CP118" i="105"/>
  <c r="BI118" i="105"/>
  <c r="CH118" i="105"/>
  <c r="CU118" i="105"/>
  <c r="DF118" i="105"/>
  <c r="O116" i="105"/>
  <c r="R113" i="105"/>
  <c r="AJ115" i="105"/>
  <c r="AM116" i="105"/>
  <c r="AW113" i="105"/>
  <c r="BV113" i="105"/>
  <c r="CU113" i="105"/>
  <c r="AC113" i="105"/>
  <c r="BN113" i="105"/>
  <c r="CY113" i="105"/>
  <c r="AG113" i="105"/>
  <c r="BR113" i="105"/>
  <c r="W114" i="105"/>
  <c r="BT114" i="105"/>
  <c r="CS114" i="105"/>
  <c r="AS114" i="105"/>
  <c r="AN114" i="105"/>
  <c r="BY114" i="105"/>
  <c r="S114" i="105"/>
  <c r="BD114" i="105"/>
  <c r="CD114" i="105"/>
  <c r="BC115" i="105"/>
  <c r="AU115" i="105"/>
  <c r="CF115" i="105"/>
  <c r="DE115" i="105"/>
  <c r="AM115" i="105"/>
  <c r="CJ115" i="105"/>
  <c r="R115" i="105"/>
  <c r="BD115" i="105"/>
  <c r="CM116" i="105"/>
  <c r="AG116" i="105"/>
  <c r="BR116" i="105"/>
  <c r="AO116" i="105"/>
  <c r="AK116" i="105"/>
  <c r="BJ116" i="105"/>
  <c r="CI116" i="105"/>
  <c r="R116" i="105"/>
  <c r="CX118" i="105"/>
  <c r="DB118" i="105"/>
  <c r="BU118" i="105"/>
  <c r="CT118" i="105"/>
  <c r="CI118" i="105"/>
  <c r="DA116" i="105"/>
  <c r="DD118" i="105"/>
  <c r="BV114" i="105"/>
  <c r="AN115" i="105"/>
  <c r="BI113" i="105"/>
  <c r="CH113" i="105"/>
  <c r="L113" i="105"/>
  <c r="AO113" i="105"/>
  <c r="BZ113" i="105"/>
  <c r="CQ113" i="105"/>
  <c r="AS113" i="105"/>
  <c r="CD113" i="105"/>
  <c r="AI114" i="105"/>
  <c r="CF114" i="105"/>
  <c r="DE114" i="105"/>
  <c r="O114" i="105"/>
  <c r="AZ114" i="105"/>
  <c r="CK114" i="105"/>
  <c r="AE114" i="105"/>
  <c r="BP114" i="105"/>
  <c r="CP114" i="105"/>
  <c r="V115" i="105"/>
  <c r="BG115" i="105"/>
  <c r="CR115" i="105"/>
  <c r="N115" i="105"/>
  <c r="AY115" i="105"/>
  <c r="CV115" i="105"/>
  <c r="AD115" i="105"/>
  <c r="BP115" i="105"/>
  <c r="CY116" i="105"/>
  <c r="AS116" i="105"/>
  <c r="CD116" i="105"/>
  <c r="X116" i="105"/>
  <c r="AW116" i="105"/>
  <c r="BV116" i="105"/>
  <c r="CU116" i="105"/>
  <c r="AD116" i="105"/>
  <c r="BM118" i="105"/>
  <c r="DA118" i="105"/>
  <c r="BK118" i="105"/>
  <c r="CG118" i="105"/>
  <c r="BT118" i="105"/>
  <c r="BD116" i="105"/>
  <c r="BL116" i="105"/>
  <c r="V113" i="105"/>
  <c r="AH114" i="105"/>
  <c r="CB116" i="105"/>
  <c r="BU113" i="105"/>
  <c r="CT113" i="105"/>
  <c r="P113" i="105"/>
  <c r="BA113" i="105"/>
  <c r="CL113" i="105"/>
  <c r="T113" i="105"/>
  <c r="BE113" i="105"/>
  <c r="CP113" i="105"/>
  <c r="AU114" i="105"/>
  <c r="CR114" i="105"/>
  <c r="AG114" i="105"/>
  <c r="AA114" i="105"/>
  <c r="BL114" i="105"/>
  <c r="CW114" i="105"/>
  <c r="AQ114" i="105"/>
  <c r="CB114" i="105"/>
  <c r="DB114" i="105"/>
  <c r="AH115" i="105"/>
  <c r="BS115" i="105"/>
  <c r="DD115" i="105"/>
  <c r="Z115" i="105"/>
  <c r="BK115" i="105"/>
  <c r="S115" i="105"/>
  <c r="AP115" i="105"/>
  <c r="CB115" i="105"/>
  <c r="CW116" i="105"/>
  <c r="BE116" i="105"/>
  <c r="CP116" i="105"/>
  <c r="AJ116" i="105"/>
  <c r="BI116" i="105"/>
  <c r="CH116" i="105"/>
  <c r="BY116" i="105"/>
  <c r="AP116" i="105"/>
  <c r="BY118" i="105"/>
  <c r="CS118" i="105"/>
  <c r="BW118" i="105"/>
  <c r="CR118" i="105"/>
  <c r="CL116" i="105"/>
  <c r="AA116" i="105"/>
  <c r="BT113" i="105"/>
  <c r="CT115" i="105"/>
  <c r="CA118" i="105"/>
  <c r="CG113" i="105"/>
  <c r="DF113" i="105"/>
  <c r="AB113" i="105"/>
  <c r="BM113" i="105"/>
  <c r="CX113" i="105"/>
  <c r="AF113" i="105"/>
  <c r="BQ113" i="105"/>
  <c r="DB113" i="105"/>
  <c r="BG114" i="105"/>
  <c r="DD114" i="105"/>
  <c r="N114" i="105"/>
  <c r="AM114" i="105"/>
  <c r="BX114" i="105"/>
  <c r="DA114" i="105"/>
  <c r="BC114" i="105"/>
  <c r="CN114" i="105"/>
  <c r="U115" i="105"/>
  <c r="AT115" i="105"/>
  <c r="CE115" i="105"/>
  <c r="CY115" i="105"/>
  <c r="AL115" i="105"/>
  <c r="BW115" i="105"/>
  <c r="Q115" i="105"/>
  <c r="BB115" i="105"/>
  <c r="CN115" i="105"/>
  <c r="T116" i="105"/>
  <c r="BQ116" i="105"/>
  <c r="DB116" i="105"/>
  <c r="AV116" i="105"/>
  <c r="BU116" i="105"/>
  <c r="CT116" i="105"/>
  <c r="P116" i="105"/>
  <c r="BB116" i="105"/>
  <c r="CK118" i="105"/>
  <c r="DE116" i="105"/>
  <c r="AY113" i="105"/>
  <c r="AC114" i="105"/>
  <c r="AQ116" i="105"/>
  <c r="BX116" i="105"/>
  <c r="BX118" i="105"/>
  <c r="CS113" i="105"/>
  <c r="AI113" i="105"/>
  <c r="AN113" i="105"/>
  <c r="BY113" i="105"/>
  <c r="BG113" i="105"/>
  <c r="AR113" i="105"/>
  <c r="CC113" i="105"/>
  <c r="X113" i="105"/>
  <c r="BS114" i="105"/>
  <c r="L114" i="105"/>
  <c r="Z114" i="105"/>
  <c r="AY114" i="105"/>
  <c r="CJ114" i="105"/>
  <c r="R114" i="105"/>
  <c r="BO114" i="105"/>
  <c r="CZ114" i="105"/>
  <c r="AG115" i="105"/>
  <c r="BF115" i="105"/>
  <c r="CQ115" i="105"/>
  <c r="M115" i="105"/>
  <c r="AX115" i="105"/>
  <c r="CI115" i="105"/>
  <c r="AC115" i="105"/>
  <c r="BN115" i="105"/>
  <c r="CZ115" i="105"/>
  <c r="AF116" i="105"/>
  <c r="CC116" i="105"/>
  <c r="W116" i="105"/>
  <c r="BH116" i="105"/>
  <c r="CG116" i="105"/>
  <c r="DF116" i="105"/>
  <c r="AB116" i="105"/>
  <c r="BN116" i="105"/>
  <c r="CW118" i="105"/>
  <c r="BO118" i="105"/>
  <c r="BL118" i="105"/>
  <c r="AW114" i="105"/>
  <c r="BY115" i="105"/>
  <c r="N116" i="105"/>
  <c r="DE113" i="105"/>
  <c r="O113" i="105"/>
  <c r="AZ113" i="105"/>
  <c r="CK113" i="105"/>
  <c r="S113" i="105"/>
  <c r="BD113" i="105"/>
  <c r="CO113" i="105"/>
  <c r="AJ113" i="105"/>
  <c r="CE114" i="105"/>
  <c r="M114" i="105"/>
  <c r="AL114" i="105"/>
  <c r="BK114" i="105"/>
  <c r="CV114" i="105"/>
  <c r="AD114" i="105"/>
  <c r="CA114" i="105"/>
  <c r="U114" i="105"/>
  <c r="AS115" i="105"/>
  <c r="BR115" i="105"/>
  <c r="DC115" i="105"/>
  <c r="Y115" i="105"/>
  <c r="BJ115" i="105"/>
  <c r="CU115" i="105"/>
  <c r="AO115" i="105"/>
  <c r="BZ115" i="105"/>
  <c r="AQ115" i="105"/>
  <c r="AR116" i="105"/>
  <c r="CO116" i="105"/>
  <c r="AI116" i="105"/>
  <c r="BT116" i="105"/>
  <c r="CS116" i="105"/>
  <c r="CK116" i="105"/>
  <c r="AN116" i="105"/>
  <c r="BZ116" i="105"/>
  <c r="BP118" i="105"/>
  <c r="BG118" i="105"/>
  <c r="AC116" i="105"/>
  <c r="CJ113" i="105"/>
  <c r="DB115" i="105"/>
  <c r="L116" i="105"/>
  <c r="BS113" i="105"/>
  <c r="AA113" i="105"/>
  <c r="BL113" i="105"/>
  <c r="CW113" i="105"/>
  <c r="AE113" i="105"/>
  <c r="BP113" i="105"/>
  <c r="DA113" i="105"/>
  <c r="AV113" i="105"/>
  <c r="CQ114" i="105"/>
  <c r="Y114" i="105"/>
  <c r="AX114" i="105"/>
  <c r="BW114" i="105"/>
  <c r="CC114" i="105"/>
  <c r="AP114" i="105"/>
  <c r="CM114" i="105"/>
  <c r="BQ114" i="105"/>
  <c r="BE115" i="105"/>
  <c r="CD115" i="105"/>
  <c r="BO115" i="105"/>
  <c r="AK115" i="105"/>
  <c r="BV115" i="105"/>
  <c r="P115" i="105"/>
  <c r="BA115" i="105"/>
  <c r="CL115" i="105"/>
  <c r="S116" i="105"/>
  <c r="AZ116" i="105"/>
  <c r="BS118" i="105"/>
  <c r="Z113" i="105"/>
  <c r="CU114" i="105"/>
  <c r="V116" i="105"/>
  <c r="N113" i="105"/>
  <c r="AM113" i="105"/>
  <c r="BX113" i="105"/>
  <c r="CE113" i="105"/>
  <c r="AQ113" i="105"/>
  <c r="CB113" i="105"/>
  <c r="DC113" i="105"/>
  <c r="BH113" i="105"/>
  <c r="DC114" i="105"/>
  <c r="AK114" i="105"/>
  <c r="BJ114" i="105"/>
  <c r="CI114" i="105"/>
  <c r="Q114" i="105"/>
  <c r="BB114" i="105"/>
  <c r="CY114" i="105"/>
  <c r="V114" i="105"/>
  <c r="BQ115" i="105"/>
  <c r="CP115" i="105"/>
  <c r="X115" i="105"/>
  <c r="AW115" i="105"/>
  <c r="CH115" i="105"/>
  <c r="AB115" i="105"/>
  <c r="BM115" i="105"/>
  <c r="CX115" i="105"/>
  <c r="AE116" i="105"/>
  <c r="BP116" i="105"/>
  <c r="BA116" i="105"/>
  <c r="BG116" i="105"/>
  <c r="CR116" i="105"/>
  <c r="CX116" i="105"/>
  <c r="CN113" i="105"/>
  <c r="BN114" i="105"/>
  <c r="BI115" i="105"/>
  <c r="DD116" i="105"/>
  <c r="M124" i="105"/>
  <c r="Y124" i="105"/>
  <c r="AK124" i="105"/>
  <c r="AW124" i="105"/>
  <c r="Z124" i="105"/>
  <c r="AL124" i="105"/>
  <c r="O124" i="105"/>
  <c r="AM124" i="105"/>
  <c r="P124" i="105"/>
  <c r="AZ124" i="105"/>
  <c r="AC124" i="105"/>
  <c r="AD124" i="105"/>
  <c r="S124" i="105"/>
  <c r="V124" i="105"/>
  <c r="W124" i="105"/>
  <c r="N124" i="105"/>
  <c r="AX124" i="105"/>
  <c r="AY124" i="105"/>
  <c r="AB124" i="105"/>
  <c r="AN124" i="105"/>
  <c r="R124" i="105"/>
  <c r="AP124" i="105"/>
  <c r="AE124" i="105"/>
  <c r="T124" i="105"/>
  <c r="AG124" i="105"/>
  <c r="AI124" i="105"/>
  <c r="AA124" i="105"/>
  <c r="Q124" i="105"/>
  <c r="BB124" i="105"/>
  <c r="U124" i="105"/>
  <c r="AU124" i="105"/>
  <c r="BA124" i="105"/>
  <c r="AQ124" i="105"/>
  <c r="AF124" i="105"/>
  <c r="AS124" i="105"/>
  <c r="AH124" i="105"/>
  <c r="L124" i="105"/>
  <c r="AV124" i="105"/>
  <c r="AO124" i="105"/>
  <c r="BC124" i="105"/>
  <c r="BD124" i="105"/>
  <c r="BE124" i="105"/>
  <c r="BF124" i="105"/>
  <c r="AJ124" i="105"/>
  <c r="AR124" i="105"/>
  <c r="AT124" i="105"/>
  <c r="X124" i="105"/>
  <c r="AE129" i="104"/>
  <c r="N136" i="104"/>
  <c r="AB129" i="104"/>
  <c r="AK136" i="104"/>
  <c r="AQ132" i="104"/>
  <c r="AW132" i="104"/>
  <c r="J132" i="104"/>
  <c r="N132" i="104"/>
  <c r="AQ136" i="104"/>
  <c r="AF136" i="104"/>
  <c r="AG136" i="104"/>
  <c r="AE136" i="104"/>
  <c r="O136" i="104"/>
  <c r="J129" i="104"/>
  <c r="U136" i="104"/>
  <c r="AG129" i="104"/>
  <c r="AD136" i="104"/>
  <c r="U129" i="104"/>
  <c r="AJ129" i="104"/>
  <c r="I129" i="104"/>
  <c r="AH129" i="104"/>
  <c r="AF129" i="104"/>
  <c r="BE132" i="104"/>
  <c r="AR136" i="104"/>
  <c r="BB132" i="104"/>
  <c r="AA129" i="104"/>
  <c r="L132" i="104"/>
  <c r="T129" i="104"/>
  <c r="AC129" i="104"/>
  <c r="X136" i="104"/>
  <c r="BC132" i="104"/>
  <c r="AL132" i="104"/>
  <c r="V132" i="104"/>
  <c r="AA132" i="104"/>
  <c r="AW129" i="104"/>
  <c r="S136" i="104"/>
  <c r="BD136" i="104"/>
  <c r="M129" i="104"/>
  <c r="BE129" i="104"/>
  <c r="H132" i="104"/>
  <c r="AJ132" i="104"/>
  <c r="BA136" i="104"/>
  <c r="AL136" i="104"/>
  <c r="H129" i="104"/>
  <c r="AD132" i="104"/>
  <c r="BD129" i="104"/>
  <c r="AH136" i="104"/>
  <c r="L129" i="104"/>
  <c r="BD132" i="104"/>
  <c r="BA132" i="104"/>
  <c r="AN129" i="104"/>
  <c r="K129" i="104"/>
  <c r="I136" i="104"/>
  <c r="BB129" i="104"/>
  <c r="S129" i="104"/>
  <c r="AU136" i="104"/>
  <c r="BF132" i="104"/>
  <c r="AY132" i="104"/>
  <c r="AH132" i="104"/>
  <c r="Q132" i="104"/>
  <c r="AV136" i="104"/>
  <c r="Y129" i="104"/>
  <c r="BC136" i="104"/>
  <c r="R136" i="104"/>
  <c r="AS129" i="104"/>
  <c r="AX136" i="104"/>
  <c r="R132" i="104"/>
  <c r="AK129" i="104"/>
  <c r="AV129" i="104"/>
  <c r="Z136" i="104"/>
  <c r="AO136" i="104"/>
  <c r="AB136" i="104"/>
  <c r="P136" i="104"/>
  <c r="Y136" i="104"/>
  <c r="AN132" i="104"/>
  <c r="W136" i="104"/>
  <c r="S132" i="104"/>
  <c r="AN136" i="104"/>
  <c r="AP132" i="104"/>
  <c r="P129" i="104"/>
  <c r="R129" i="104"/>
  <c r="BF136" i="104"/>
  <c r="W132" i="104"/>
  <c r="AC132" i="104"/>
  <c r="AP136" i="104"/>
  <c r="AR129" i="104"/>
  <c r="AT129" i="104"/>
  <c r="L136" i="104"/>
  <c r="K136" i="104"/>
  <c r="AT132" i="104"/>
  <c r="W129" i="104"/>
  <c r="AI132" i="104"/>
  <c r="BE136" i="104"/>
  <c r="Y132" i="104"/>
  <c r="BA129" i="104"/>
  <c r="AZ129" i="104"/>
  <c r="J136" i="104"/>
  <c r="AU132" i="104"/>
  <c r="I132" i="104"/>
  <c r="M132" i="104"/>
  <c r="AZ132" i="104"/>
  <c r="BB136" i="104"/>
  <c r="AM132" i="104"/>
  <c r="N129" i="104"/>
  <c r="V129" i="104"/>
  <c r="AP129" i="104"/>
  <c r="AI136" i="104"/>
  <c r="X132" i="104"/>
  <c r="AM136" i="104"/>
  <c r="AX132" i="104"/>
  <c r="BF129" i="104"/>
  <c r="BC129" i="104"/>
  <c r="Q129" i="104"/>
  <c r="AX129" i="104"/>
  <c r="T132" i="104"/>
  <c r="U132" i="104"/>
  <c r="AK132" i="104"/>
  <c r="AZ136" i="104"/>
  <c r="AS132" i="104"/>
  <c r="AS136" i="104"/>
  <c r="AI129" i="104"/>
  <c r="T136" i="104"/>
  <c r="AO129" i="104"/>
  <c r="M136" i="104"/>
  <c r="AL129" i="104"/>
  <c r="AF132" i="104"/>
  <c r="AG132" i="104"/>
  <c r="Z132" i="104"/>
  <c r="P132" i="104"/>
  <c r="X129" i="104"/>
  <c r="Q136" i="104"/>
  <c r="AU129" i="104"/>
  <c r="AB132" i="104"/>
  <c r="AM129" i="104"/>
  <c r="AT136" i="104"/>
  <c r="AV132" i="104"/>
  <c r="O129" i="104"/>
  <c r="AA136" i="104"/>
  <c r="AY129" i="104"/>
  <c r="H136" i="104"/>
  <c r="Z129" i="104"/>
  <c r="AR132" i="104"/>
  <c r="O132" i="104"/>
  <c r="K132" i="104"/>
  <c r="AC136" i="104"/>
  <c r="AO132" i="104"/>
  <c r="AD129" i="104"/>
  <c r="AQ129" i="104"/>
  <c r="AW136" i="104"/>
  <c r="AY136" i="104"/>
  <c r="V136" i="104"/>
  <c r="AE132" i="104"/>
  <c r="AJ136" i="104"/>
  <c r="Q135" i="104"/>
  <c r="AR135" i="104"/>
  <c r="I135" i="104"/>
  <c r="AV135" i="104"/>
  <c r="BB134" i="104"/>
  <c r="V134" i="104"/>
  <c r="AE134" i="104"/>
  <c r="AX134" i="104"/>
  <c r="BE131" i="104"/>
  <c r="AY131" i="104"/>
  <c r="AF131" i="104"/>
  <c r="P131" i="104"/>
  <c r="AD130" i="104"/>
  <c r="S130" i="104"/>
  <c r="P130" i="104"/>
  <c r="AT130" i="104"/>
  <c r="BA130" i="104"/>
  <c r="W128" i="104"/>
  <c r="AE128" i="104"/>
  <c r="AB128" i="104"/>
  <c r="AD128" i="104"/>
  <c r="BC130" i="104"/>
  <c r="X128" i="104"/>
  <c r="AG128" i="104"/>
  <c r="S128" i="104"/>
  <c r="T128" i="104"/>
  <c r="AI130" i="104"/>
  <c r="V131" i="104"/>
  <c r="AB134" i="104"/>
  <c r="M130" i="104"/>
  <c r="AU135" i="104"/>
  <c r="BC131" i="104"/>
  <c r="Y135" i="104"/>
  <c r="R131" i="104"/>
  <c r="Y131" i="104"/>
  <c r="Q130" i="104"/>
  <c r="P135" i="104"/>
  <c r="AC135" i="104"/>
  <c r="AS135" i="104"/>
  <c r="BE135" i="104"/>
  <c r="N135" i="104"/>
  <c r="BC134" i="104"/>
  <c r="AW134" i="104"/>
  <c r="BD134" i="104"/>
  <c r="J134" i="104"/>
  <c r="AK131" i="104"/>
  <c r="AD131" i="104"/>
  <c r="L131" i="104"/>
  <c r="AB131" i="104"/>
  <c r="AP130" i="104"/>
  <c r="AE130" i="104"/>
  <c r="I130" i="104"/>
  <c r="K130" i="104"/>
  <c r="AC130" i="104"/>
  <c r="AI128" i="104"/>
  <c r="AF128" i="104"/>
  <c r="AN128" i="104"/>
  <c r="I128" i="104"/>
  <c r="AU130" i="104"/>
  <c r="Z128" i="104"/>
  <c r="AV128" i="104"/>
  <c r="L128" i="104"/>
  <c r="T131" i="104"/>
  <c r="AJ130" i="104"/>
  <c r="AO131" i="104"/>
  <c r="AA128" i="104"/>
  <c r="Z131" i="104"/>
  <c r="AM128" i="104"/>
  <c r="U134" i="104"/>
  <c r="AK128" i="104"/>
  <c r="AV134" i="104"/>
  <c r="AW128" i="104"/>
  <c r="AK135" i="104"/>
  <c r="K128" i="104"/>
  <c r="AB135" i="104"/>
  <c r="AO135" i="104"/>
  <c r="W135" i="104"/>
  <c r="AT135" i="104"/>
  <c r="Z135" i="104"/>
  <c r="T134" i="104"/>
  <c r="Z134" i="104"/>
  <c r="I134" i="104"/>
  <c r="W134" i="104"/>
  <c r="AX131" i="104"/>
  <c r="H131" i="104"/>
  <c r="X131" i="104"/>
  <c r="AZ131" i="104"/>
  <c r="BB130" i="104"/>
  <c r="AQ130" i="104"/>
  <c r="U130" i="104"/>
  <c r="Y130" i="104"/>
  <c r="AU128" i="104"/>
  <c r="N128" i="104"/>
  <c r="AZ128" i="104"/>
  <c r="U128" i="104"/>
  <c r="AG130" i="104"/>
  <c r="BB128" i="104"/>
  <c r="V128" i="104"/>
  <c r="AS128" i="104"/>
  <c r="BE128" i="104"/>
  <c r="AC131" i="104"/>
  <c r="Q128" i="104"/>
  <c r="AW130" i="104"/>
  <c r="BA134" i="104"/>
  <c r="AL130" i="104"/>
  <c r="U131" i="104"/>
  <c r="AQ128" i="104"/>
  <c r="AQ134" i="104"/>
  <c r="BD128" i="104"/>
  <c r="AS134" i="104"/>
  <c r="AN130" i="104"/>
  <c r="AN135" i="104"/>
  <c r="BA135" i="104"/>
  <c r="O135" i="104"/>
  <c r="AA135" i="104"/>
  <c r="AY135" i="104"/>
  <c r="AU134" i="104"/>
  <c r="Q134" i="104"/>
  <c r="BE134" i="104"/>
  <c r="X134" i="104"/>
  <c r="AA131" i="104"/>
  <c r="K131" i="104"/>
  <c r="AJ131" i="104"/>
  <c r="AE131" i="104"/>
  <c r="T130" i="104"/>
  <c r="J128" i="104"/>
  <c r="BF130" i="104"/>
  <c r="O128" i="104"/>
  <c r="W130" i="104"/>
  <c r="BF128" i="104"/>
  <c r="AG134" i="104"/>
  <c r="N130" i="104"/>
  <c r="AI135" i="104"/>
  <c r="AN131" i="104"/>
  <c r="BA128" i="104"/>
  <c r="BF131" i="104"/>
  <c r="BC128" i="104"/>
  <c r="AX135" i="104"/>
  <c r="R130" i="104"/>
  <c r="AZ135" i="104"/>
  <c r="AD135" i="104"/>
  <c r="S135" i="104"/>
  <c r="K135" i="104"/>
  <c r="O134" i="104"/>
  <c r="L134" i="104"/>
  <c r="AC134" i="104"/>
  <c r="AH134" i="104"/>
  <c r="AL134" i="104"/>
  <c r="AP131" i="104"/>
  <c r="W131" i="104"/>
  <c r="AV131" i="104"/>
  <c r="AR131" i="104"/>
  <c r="BD130" i="104"/>
  <c r="H130" i="104"/>
  <c r="AS130" i="104"/>
  <c r="L130" i="104"/>
  <c r="AL128" i="104"/>
  <c r="AT128" i="104"/>
  <c r="Y134" i="104"/>
  <c r="AC128" i="104"/>
  <c r="N131" i="104"/>
  <c r="AO128" i="104"/>
  <c r="AZ134" i="104"/>
  <c r="O130" i="104"/>
  <c r="AO134" i="104"/>
  <c r="O131" i="104"/>
  <c r="AL135" i="104"/>
  <c r="S131" i="104"/>
  <c r="R135" i="104"/>
  <c r="T135" i="104"/>
  <c r="AE135" i="104"/>
  <c r="M135" i="104"/>
  <c r="AA134" i="104"/>
  <c r="AK134" i="104"/>
  <c r="AP134" i="104"/>
  <c r="K134" i="104"/>
  <c r="M134" i="104"/>
  <c r="AQ131" i="104"/>
  <c r="AI131" i="104"/>
  <c r="AL131" i="104"/>
  <c r="Q131" i="104"/>
  <c r="V130" i="104"/>
  <c r="AR130" i="104"/>
  <c r="BE130" i="104"/>
  <c r="X130" i="104"/>
  <c r="AH128" i="104"/>
  <c r="AX128" i="104"/>
  <c r="AJ128" i="104"/>
  <c r="AW131" i="104"/>
  <c r="AV130" i="104"/>
  <c r="BF135" i="104"/>
  <c r="BA131" i="104"/>
  <c r="AJ135" i="104"/>
  <c r="AM131" i="104"/>
  <c r="AY128" i="104"/>
  <c r="AW135" i="104"/>
  <c r="BB131" i="104"/>
  <c r="AR128" i="104"/>
  <c r="BF134" i="104"/>
  <c r="P128" i="104"/>
  <c r="BB135" i="104"/>
  <c r="U135" i="104"/>
  <c r="AQ135" i="104"/>
  <c r="AM135" i="104"/>
  <c r="AM134" i="104"/>
  <c r="P134" i="104"/>
  <c r="S134" i="104"/>
  <c r="AJ134" i="104"/>
  <c r="H134" i="104"/>
  <c r="J131" i="104"/>
  <c r="AU131" i="104"/>
  <c r="J130" i="104"/>
  <c r="M131" i="104"/>
  <c r="M128" i="104"/>
  <c r="AH131" i="104"/>
  <c r="H128" i="104"/>
  <c r="AT134" i="104"/>
  <c r="AA130" i="104"/>
  <c r="AI134" i="104"/>
  <c r="AZ130" i="104"/>
  <c r="N134" i="104"/>
  <c r="AP128" i="104"/>
  <c r="BD135" i="104"/>
  <c r="AG135" i="104"/>
  <c r="BC135" i="104"/>
  <c r="V135" i="104"/>
  <c r="AY134" i="104"/>
  <c r="AN134" i="104"/>
  <c r="AF134" i="104"/>
  <c r="AK130" i="104"/>
  <c r="I131" i="104"/>
  <c r="Y128" i="104"/>
  <c r="X135" i="104"/>
  <c r="AX130" i="104"/>
  <c r="H135" i="104"/>
  <c r="AF130" i="104"/>
  <c r="AS131" i="104"/>
  <c r="AH130" i="104"/>
  <c r="AH135" i="104"/>
  <c r="J135" i="104"/>
  <c r="AF135" i="104"/>
  <c r="AR134" i="104"/>
  <c r="Z130" i="104"/>
  <c r="AT131" i="104"/>
  <c r="AY130" i="104"/>
  <c r="L135" i="104"/>
  <c r="AM130" i="104"/>
  <c r="R134" i="104"/>
  <c r="AO130" i="104"/>
  <c r="AD134" i="104"/>
  <c r="AG131" i="104"/>
  <c r="AB130" i="104"/>
  <c r="AP135" i="104"/>
  <c r="BD131" i="104"/>
  <c r="R128" i="104"/>
  <c r="Q133" i="104"/>
  <c r="AP133" i="104"/>
  <c r="AR133" i="104"/>
  <c r="X133" i="104"/>
  <c r="AA133" i="104"/>
  <c r="BE133" i="104"/>
  <c r="AO133" i="104"/>
  <c r="AI133" i="104"/>
  <c r="AM133" i="104"/>
  <c r="AJ133" i="104"/>
  <c r="AG133" i="104"/>
  <c r="J133" i="104"/>
  <c r="V133" i="104"/>
  <c r="L133" i="104"/>
  <c r="AK133" i="104"/>
  <c r="AY133" i="104"/>
  <c r="U133" i="104"/>
  <c r="H133" i="104"/>
  <c r="AC133" i="104"/>
  <c r="BB133" i="104"/>
  <c r="BD133" i="104"/>
  <c r="AN133" i="104"/>
  <c r="I133" i="104"/>
  <c r="BA133" i="104"/>
  <c r="BC133" i="104"/>
  <c r="AW133" i="104"/>
  <c r="M133" i="104"/>
  <c r="BF133" i="104"/>
  <c r="AV133" i="104"/>
  <c r="Y133" i="104"/>
  <c r="AB133" i="104"/>
  <c r="AZ133" i="104"/>
  <c r="AT133" i="104"/>
  <c r="W133" i="104"/>
  <c r="AQ133" i="104"/>
  <c r="AH133" i="104"/>
  <c r="K133" i="104"/>
  <c r="AS133" i="104"/>
  <c r="N133" i="104"/>
  <c r="AL133" i="104"/>
  <c r="O133" i="104"/>
  <c r="T133" i="104"/>
  <c r="P133" i="104"/>
  <c r="S133" i="104"/>
  <c r="AE133" i="104"/>
  <c r="AF133" i="104"/>
  <c r="AU133" i="104"/>
  <c r="Z133" i="104"/>
  <c r="R133" i="104"/>
  <c r="AD133" i="104"/>
  <c r="AX133" i="104"/>
  <c r="O24" i="104"/>
  <c r="O22" i="104" s="1"/>
  <c r="Y84" i="104" s="1"/>
  <c r="V87" i="105"/>
  <c r="AH87" i="105"/>
  <c r="AT87" i="105"/>
  <c r="BF87" i="105"/>
  <c r="X88" i="105"/>
  <c r="AJ88" i="105"/>
  <c r="AV88" i="105"/>
  <c r="N89" i="105"/>
  <c r="Z89" i="105"/>
  <c r="AL89" i="105"/>
  <c r="AX89" i="105"/>
  <c r="P90" i="105"/>
  <c r="AB90" i="105"/>
  <c r="AN90" i="105"/>
  <c r="AZ90" i="105"/>
  <c r="R91" i="105"/>
  <c r="AD91" i="105"/>
  <c r="AP91" i="105"/>
  <c r="BB91" i="105"/>
  <c r="T92" i="105"/>
  <c r="AF92" i="105"/>
  <c r="AR92" i="105"/>
  <c r="BD92" i="105"/>
  <c r="V93" i="105"/>
  <c r="AH93" i="105"/>
  <c r="AT93" i="105"/>
  <c r="BF93" i="105"/>
  <c r="X94" i="105"/>
  <c r="AJ94" i="105"/>
  <c r="AV94" i="105"/>
  <c r="N95" i="105"/>
  <c r="Z95" i="105"/>
  <c r="AL95" i="105"/>
  <c r="AX95" i="105"/>
  <c r="P96" i="105"/>
  <c r="AB96" i="105"/>
  <c r="AN96" i="105"/>
  <c r="AZ96" i="105"/>
  <c r="R97" i="105"/>
  <c r="AD97" i="105"/>
  <c r="AP97" i="105"/>
  <c r="BB97" i="105"/>
  <c r="T98" i="105"/>
  <c r="AF98" i="105"/>
  <c r="AR98" i="105"/>
  <c r="BD98" i="105"/>
  <c r="V99" i="105"/>
  <c r="AH99" i="105"/>
  <c r="AT99" i="105"/>
  <c r="BF99" i="105"/>
  <c r="X100" i="105"/>
  <c r="AJ100" i="105"/>
  <c r="AV100" i="105"/>
  <c r="N101" i="105"/>
  <c r="Z101" i="105"/>
  <c r="AL101" i="105"/>
  <c r="AX101" i="105"/>
  <c r="P102" i="105"/>
  <c r="AB102" i="105"/>
  <c r="AN102" i="105"/>
  <c r="AZ102" i="105"/>
  <c r="R103" i="105"/>
  <c r="AD103" i="105"/>
  <c r="AP103" i="105"/>
  <c r="BB103" i="105"/>
  <c r="T104" i="105"/>
  <c r="AF104" i="105"/>
  <c r="AR104" i="105"/>
  <c r="BD104" i="105"/>
  <c r="V105" i="105"/>
  <c r="AH105" i="105"/>
  <c r="AT105" i="105"/>
  <c r="BF105" i="105"/>
  <c r="X106" i="105"/>
  <c r="AJ106" i="105"/>
  <c r="AV106" i="105"/>
  <c r="N107" i="105"/>
  <c r="Z107" i="105"/>
  <c r="AL107" i="105"/>
  <c r="AX107" i="105"/>
  <c r="W87" i="105"/>
  <c r="AI87" i="105"/>
  <c r="AU87" i="105"/>
  <c r="M88" i="105"/>
  <c r="Y88" i="105"/>
  <c r="AK88" i="105"/>
  <c r="AW88" i="105"/>
  <c r="O89" i="105"/>
  <c r="AA89" i="105"/>
  <c r="AM89" i="105"/>
  <c r="AY89" i="105"/>
  <c r="Q90" i="105"/>
  <c r="AC90" i="105"/>
  <c r="AO90" i="105"/>
  <c r="BA90" i="105"/>
  <c r="S91" i="105"/>
  <c r="AE91" i="105"/>
  <c r="AQ91" i="105"/>
  <c r="BC91" i="105"/>
  <c r="U92" i="105"/>
  <c r="AG92" i="105"/>
  <c r="AS92" i="105"/>
  <c r="BE92" i="105"/>
  <c r="W93" i="105"/>
  <c r="AI93" i="105"/>
  <c r="AU93" i="105"/>
  <c r="M94" i="105"/>
  <c r="Y94" i="105"/>
  <c r="AK94" i="105"/>
  <c r="AW94" i="105"/>
  <c r="O95" i="105"/>
  <c r="AA95" i="105"/>
  <c r="AM95" i="105"/>
  <c r="AY95" i="105"/>
  <c r="Q96" i="105"/>
  <c r="AC96" i="105"/>
  <c r="AO96" i="105"/>
  <c r="BA96" i="105"/>
  <c r="S97" i="105"/>
  <c r="AE97" i="105"/>
  <c r="AQ97" i="105"/>
  <c r="BC97" i="105"/>
  <c r="U98" i="105"/>
  <c r="AG98" i="105"/>
  <c r="AS98" i="105"/>
  <c r="BE98" i="105"/>
  <c r="W99" i="105"/>
  <c r="AI99" i="105"/>
  <c r="AU99" i="105"/>
  <c r="M100" i="105"/>
  <c r="Y100" i="105"/>
  <c r="AK100" i="105"/>
  <c r="AW100" i="105"/>
  <c r="O101" i="105"/>
  <c r="AA101" i="105"/>
  <c r="AM101" i="105"/>
  <c r="AY101" i="105"/>
  <c r="Q102" i="105"/>
  <c r="X87" i="105"/>
  <c r="AJ87" i="105"/>
  <c r="AV87" i="105"/>
  <c r="N88" i="105"/>
  <c r="Z88" i="105"/>
  <c r="AL88" i="105"/>
  <c r="AX88" i="105"/>
  <c r="P89" i="105"/>
  <c r="AB89" i="105"/>
  <c r="AN89" i="105"/>
  <c r="AZ89" i="105"/>
  <c r="R90" i="105"/>
  <c r="AD90" i="105"/>
  <c r="AP90" i="105"/>
  <c r="BB90" i="105"/>
  <c r="T91" i="105"/>
  <c r="AF91" i="105"/>
  <c r="AR91" i="105"/>
  <c r="BD91" i="105"/>
  <c r="V92" i="105"/>
  <c r="AH92" i="105"/>
  <c r="AT92" i="105"/>
  <c r="BF92" i="105"/>
  <c r="X93" i="105"/>
  <c r="AJ93" i="105"/>
  <c r="AV93" i="105"/>
  <c r="N94" i="105"/>
  <c r="Z94" i="105"/>
  <c r="AL94" i="105"/>
  <c r="AX94" i="105"/>
  <c r="P95" i="105"/>
  <c r="AB95" i="105"/>
  <c r="AN95" i="105"/>
  <c r="AZ95" i="105"/>
  <c r="R96" i="105"/>
  <c r="AD96" i="105"/>
  <c r="AP96" i="105"/>
  <c r="BB96" i="105"/>
  <c r="T97" i="105"/>
  <c r="AF97" i="105"/>
  <c r="AR97" i="105"/>
  <c r="BD97" i="105"/>
  <c r="V98" i="105"/>
  <c r="AH98" i="105"/>
  <c r="AT98" i="105"/>
  <c r="BF98" i="105"/>
  <c r="X99" i="105"/>
  <c r="AJ99" i="105"/>
  <c r="AV99" i="105"/>
  <c r="N100" i="105"/>
  <c r="Z100" i="105"/>
  <c r="AL100" i="105"/>
  <c r="AX100" i="105"/>
  <c r="P101" i="105"/>
  <c r="AB101" i="105"/>
  <c r="AN101" i="105"/>
  <c r="AZ101" i="105"/>
  <c r="R102" i="105"/>
  <c r="AD102" i="105"/>
  <c r="AP102" i="105"/>
  <c r="BB102" i="105"/>
  <c r="T103" i="105"/>
  <c r="AF103" i="105"/>
  <c r="AR103" i="105"/>
  <c r="BD103" i="105"/>
  <c r="V104" i="105"/>
  <c r="AH104" i="105"/>
  <c r="AT104" i="105"/>
  <c r="BF104" i="105"/>
  <c r="X105" i="105"/>
  <c r="AJ105" i="105"/>
  <c r="AV105" i="105"/>
  <c r="N106" i="105"/>
  <c r="Z106" i="105"/>
  <c r="AL106" i="105"/>
  <c r="AX106" i="105"/>
  <c r="P107" i="105"/>
  <c r="AB107" i="105"/>
  <c r="AN107" i="105"/>
  <c r="M87" i="105"/>
  <c r="Y87" i="105"/>
  <c r="AK87" i="105"/>
  <c r="AW87" i="105"/>
  <c r="O88" i="105"/>
  <c r="AA88" i="105"/>
  <c r="AM88" i="105"/>
  <c r="AY88" i="105"/>
  <c r="Q89" i="105"/>
  <c r="AC89" i="105"/>
  <c r="AO89" i="105"/>
  <c r="BA89" i="105"/>
  <c r="S90" i="105"/>
  <c r="AE90" i="105"/>
  <c r="AQ90" i="105"/>
  <c r="BC90" i="105"/>
  <c r="U91" i="105"/>
  <c r="AG91" i="105"/>
  <c r="AS91" i="105"/>
  <c r="BE91" i="105"/>
  <c r="W92" i="105"/>
  <c r="AI92" i="105"/>
  <c r="AU92" i="105"/>
  <c r="M93" i="105"/>
  <c r="Y93" i="105"/>
  <c r="AK93" i="105"/>
  <c r="AW93" i="105"/>
  <c r="O94" i="105"/>
  <c r="AA94" i="105"/>
  <c r="AM94" i="105"/>
  <c r="AY94" i="105"/>
  <c r="Q95" i="105"/>
  <c r="AC95" i="105"/>
  <c r="AO95" i="105"/>
  <c r="BA95" i="105"/>
  <c r="S96" i="105"/>
  <c r="AE96" i="105"/>
  <c r="AQ96" i="105"/>
  <c r="BC96" i="105"/>
  <c r="U97" i="105"/>
  <c r="AG97" i="105"/>
  <c r="AS97" i="105"/>
  <c r="BE97" i="105"/>
  <c r="W98" i="105"/>
  <c r="AI98" i="105"/>
  <c r="AU98" i="105"/>
  <c r="M99" i="105"/>
  <c r="Y99" i="105"/>
  <c r="AK99" i="105"/>
  <c r="AW99" i="105"/>
  <c r="O100" i="105"/>
  <c r="AA100" i="105"/>
  <c r="AM100" i="105"/>
  <c r="AY100" i="105"/>
  <c r="Q101" i="105"/>
  <c r="AC101" i="105"/>
  <c r="AO101" i="105"/>
  <c r="BA101" i="105"/>
  <c r="S102" i="105"/>
  <c r="AE102" i="105"/>
  <c r="AQ102" i="105"/>
  <c r="BC102" i="105"/>
  <c r="U103" i="105"/>
  <c r="AG103" i="105"/>
  <c r="AS103" i="105"/>
  <c r="BE103" i="105"/>
  <c r="W104" i="105"/>
  <c r="AI104" i="105"/>
  <c r="AU104" i="105"/>
  <c r="M105" i="105"/>
  <c r="Y105" i="105"/>
  <c r="AK105" i="105"/>
  <c r="AW105" i="105"/>
  <c r="O106" i="105"/>
  <c r="AA106" i="105"/>
  <c r="AM106" i="105"/>
  <c r="AY106" i="105"/>
  <c r="Q107" i="105"/>
  <c r="AC107" i="105"/>
  <c r="AO107" i="105"/>
  <c r="BA107" i="105"/>
  <c r="N87" i="105"/>
  <c r="Z87" i="105"/>
  <c r="AL87" i="105"/>
  <c r="AX87" i="105"/>
  <c r="P88" i="105"/>
  <c r="AB88" i="105"/>
  <c r="AN88" i="105"/>
  <c r="AZ88" i="105"/>
  <c r="R89" i="105"/>
  <c r="AD89" i="105"/>
  <c r="AP89" i="105"/>
  <c r="BB89" i="105"/>
  <c r="T90" i="105"/>
  <c r="AF90" i="105"/>
  <c r="AR90" i="105"/>
  <c r="BD90" i="105"/>
  <c r="V91" i="105"/>
  <c r="AH91" i="105"/>
  <c r="AT91" i="105"/>
  <c r="BF91" i="105"/>
  <c r="X92" i="105"/>
  <c r="AJ92" i="105"/>
  <c r="AV92" i="105"/>
  <c r="N93" i="105"/>
  <c r="Z93" i="105"/>
  <c r="AL93" i="105"/>
  <c r="AX93" i="105"/>
  <c r="P94" i="105"/>
  <c r="AB94" i="105"/>
  <c r="AN94" i="105"/>
  <c r="AZ94" i="105"/>
  <c r="R95" i="105"/>
  <c r="AD95" i="105"/>
  <c r="AP95" i="105"/>
  <c r="BB95" i="105"/>
  <c r="T96" i="105"/>
  <c r="AF96" i="105"/>
  <c r="AR96" i="105"/>
  <c r="BD96" i="105"/>
  <c r="V97" i="105"/>
  <c r="AH97" i="105"/>
  <c r="AT97" i="105"/>
  <c r="BF97" i="105"/>
  <c r="X98" i="105"/>
  <c r="AJ98" i="105"/>
  <c r="AV98" i="105"/>
  <c r="N99" i="105"/>
  <c r="Z99" i="105"/>
  <c r="AL99" i="105"/>
  <c r="AX99" i="105"/>
  <c r="P100" i="105"/>
  <c r="AB100" i="105"/>
  <c r="AN100" i="105"/>
  <c r="AZ100" i="105"/>
  <c r="R101" i="105"/>
  <c r="AD101" i="105"/>
  <c r="AP101" i="105"/>
  <c r="BB101" i="105"/>
  <c r="T102" i="105"/>
  <c r="AF102" i="105"/>
  <c r="AR102" i="105"/>
  <c r="BD102" i="105"/>
  <c r="V103" i="105"/>
  <c r="AH103" i="105"/>
  <c r="AT103" i="105"/>
  <c r="BF103" i="105"/>
  <c r="X104" i="105"/>
  <c r="AJ104" i="105"/>
  <c r="AV104" i="105"/>
  <c r="N105" i="105"/>
  <c r="Z105" i="105"/>
  <c r="AL105" i="105"/>
  <c r="AX105" i="105"/>
  <c r="P106" i="105"/>
  <c r="AB106" i="105"/>
  <c r="AN106" i="105"/>
  <c r="AZ106" i="105"/>
  <c r="R107" i="105"/>
  <c r="AD107" i="105"/>
  <c r="AP107" i="105"/>
  <c r="BB107" i="105"/>
  <c r="O87" i="105"/>
  <c r="AA87" i="105"/>
  <c r="AM87" i="105"/>
  <c r="AY87" i="105"/>
  <c r="Q88" i="105"/>
  <c r="AC88" i="105"/>
  <c r="AO88" i="105"/>
  <c r="BA88" i="105"/>
  <c r="S89" i="105"/>
  <c r="AE89" i="105"/>
  <c r="AQ89" i="105"/>
  <c r="BC89" i="105"/>
  <c r="U90" i="105"/>
  <c r="AG90" i="105"/>
  <c r="AS90" i="105"/>
  <c r="BE90" i="105"/>
  <c r="W91" i="105"/>
  <c r="AI91" i="105"/>
  <c r="AU91" i="105"/>
  <c r="M92" i="105"/>
  <c r="Y92" i="105"/>
  <c r="AK92" i="105"/>
  <c r="AW92" i="105"/>
  <c r="O93" i="105"/>
  <c r="AA93" i="105"/>
  <c r="AM93" i="105"/>
  <c r="AY93" i="105"/>
  <c r="Q94" i="105"/>
  <c r="AC94" i="105"/>
  <c r="AO94" i="105"/>
  <c r="BA94" i="105"/>
  <c r="S95" i="105"/>
  <c r="AE95" i="105"/>
  <c r="AQ95" i="105"/>
  <c r="BC95" i="105"/>
  <c r="U96" i="105"/>
  <c r="AG96" i="105"/>
  <c r="AS96" i="105"/>
  <c r="BE96" i="105"/>
  <c r="W97" i="105"/>
  <c r="AI97" i="105"/>
  <c r="AU97" i="105"/>
  <c r="M98" i="105"/>
  <c r="Y98" i="105"/>
  <c r="AK98" i="105"/>
  <c r="AW98" i="105"/>
  <c r="O99" i="105"/>
  <c r="AA99" i="105"/>
  <c r="AM99" i="105"/>
  <c r="AY99" i="105"/>
  <c r="Q100" i="105"/>
  <c r="AC100" i="105"/>
  <c r="AO100" i="105"/>
  <c r="BA100" i="105"/>
  <c r="S101" i="105"/>
  <c r="AE101" i="105"/>
  <c r="AQ101" i="105"/>
  <c r="BC101" i="105"/>
  <c r="U102" i="105"/>
  <c r="AG102" i="105"/>
  <c r="AS102" i="105"/>
  <c r="BE102" i="105"/>
  <c r="W103" i="105"/>
  <c r="AI103" i="105"/>
  <c r="AU103" i="105"/>
  <c r="M104" i="105"/>
  <c r="Y104" i="105"/>
  <c r="AK104" i="105"/>
  <c r="AW104" i="105"/>
  <c r="O105" i="105"/>
  <c r="AA105" i="105"/>
  <c r="AM105" i="105"/>
  <c r="AY105" i="105"/>
  <c r="P87" i="105"/>
  <c r="AB87" i="105"/>
  <c r="AN87" i="105"/>
  <c r="AZ87" i="105"/>
  <c r="R88" i="105"/>
  <c r="AD88" i="105"/>
  <c r="AP88" i="105"/>
  <c r="BB88" i="105"/>
  <c r="T89" i="105"/>
  <c r="AF89" i="105"/>
  <c r="AR89" i="105"/>
  <c r="BD89" i="105"/>
  <c r="V90" i="105"/>
  <c r="AH90" i="105"/>
  <c r="AT90" i="105"/>
  <c r="BF90" i="105"/>
  <c r="X91" i="105"/>
  <c r="AJ91" i="105"/>
  <c r="AV91" i="105"/>
  <c r="N92" i="105"/>
  <c r="Z92" i="105"/>
  <c r="AL92" i="105"/>
  <c r="AX92" i="105"/>
  <c r="P93" i="105"/>
  <c r="AB93" i="105"/>
  <c r="AN93" i="105"/>
  <c r="AZ93" i="105"/>
  <c r="R94" i="105"/>
  <c r="AD94" i="105"/>
  <c r="AP94" i="105"/>
  <c r="BB94" i="105"/>
  <c r="T95" i="105"/>
  <c r="AF95" i="105"/>
  <c r="AR95" i="105"/>
  <c r="BD95" i="105"/>
  <c r="V96" i="105"/>
  <c r="AH96" i="105"/>
  <c r="AT96" i="105"/>
  <c r="BF96" i="105"/>
  <c r="X97" i="105"/>
  <c r="AJ97" i="105"/>
  <c r="AV97" i="105"/>
  <c r="N98" i="105"/>
  <c r="Z98" i="105"/>
  <c r="AL98" i="105"/>
  <c r="AX98" i="105"/>
  <c r="P99" i="105"/>
  <c r="AB99" i="105"/>
  <c r="AN99" i="105"/>
  <c r="AZ99" i="105"/>
  <c r="R100" i="105"/>
  <c r="AD100" i="105"/>
  <c r="AP100" i="105"/>
  <c r="BB100" i="105"/>
  <c r="Q87" i="105"/>
  <c r="AC87" i="105"/>
  <c r="AO87" i="105"/>
  <c r="BA87" i="105"/>
  <c r="S88" i="105"/>
  <c r="AE88" i="105"/>
  <c r="AQ88" i="105"/>
  <c r="BC88" i="105"/>
  <c r="U89" i="105"/>
  <c r="AG89" i="105"/>
  <c r="AS89" i="105"/>
  <c r="BE89" i="105"/>
  <c r="W90" i="105"/>
  <c r="AI90" i="105"/>
  <c r="AU90" i="105"/>
  <c r="M91" i="105"/>
  <c r="Y91" i="105"/>
  <c r="AK91" i="105"/>
  <c r="AW91" i="105"/>
  <c r="O92" i="105"/>
  <c r="AA92" i="105"/>
  <c r="AM92" i="105"/>
  <c r="AY92" i="105"/>
  <c r="Q93" i="105"/>
  <c r="AC93" i="105"/>
  <c r="AO93" i="105"/>
  <c r="BA93" i="105"/>
  <c r="S94" i="105"/>
  <c r="AE94" i="105"/>
  <c r="AQ94" i="105"/>
  <c r="BC94" i="105"/>
  <c r="U95" i="105"/>
  <c r="AG95" i="105"/>
  <c r="AS95" i="105"/>
  <c r="BE95" i="105"/>
  <c r="W96" i="105"/>
  <c r="AI96" i="105"/>
  <c r="AU96" i="105"/>
  <c r="M97" i="105"/>
  <c r="Y97" i="105"/>
  <c r="AK97" i="105"/>
  <c r="AW97" i="105"/>
  <c r="O98" i="105"/>
  <c r="AA98" i="105"/>
  <c r="AM98" i="105"/>
  <c r="AY98" i="105"/>
  <c r="Q99" i="105"/>
  <c r="AC99" i="105"/>
  <c r="AO99" i="105"/>
  <c r="BA99" i="105"/>
  <c r="S100" i="105"/>
  <c r="AE100" i="105"/>
  <c r="AQ100" i="105"/>
  <c r="BC100" i="105"/>
  <c r="U101" i="105"/>
  <c r="AG101" i="105"/>
  <c r="AS101" i="105"/>
  <c r="BE101" i="105"/>
  <c r="W102" i="105"/>
  <c r="AI102" i="105"/>
  <c r="AU102" i="105"/>
  <c r="M103" i="105"/>
  <c r="Y103" i="105"/>
  <c r="AK103" i="105"/>
  <c r="AW103" i="105"/>
  <c r="O104" i="105"/>
  <c r="AA104" i="105"/>
  <c r="AM104" i="105"/>
  <c r="AY104" i="105"/>
  <c r="Q105" i="105"/>
  <c r="AC105" i="105"/>
  <c r="AO105" i="105"/>
  <c r="BA105" i="105"/>
  <c r="S106" i="105"/>
  <c r="AE106" i="105"/>
  <c r="AQ106" i="105"/>
  <c r="BC106" i="105"/>
  <c r="U107" i="105"/>
  <c r="AG107" i="105"/>
  <c r="AS107" i="105"/>
  <c r="R87" i="105"/>
  <c r="AD87" i="105"/>
  <c r="AP87" i="105"/>
  <c r="BB87" i="105"/>
  <c r="T88" i="105"/>
  <c r="AF88" i="105"/>
  <c r="AR88" i="105"/>
  <c r="BD88" i="105"/>
  <c r="V89" i="105"/>
  <c r="AH89" i="105"/>
  <c r="AT89" i="105"/>
  <c r="BF89" i="105"/>
  <c r="X90" i="105"/>
  <c r="AJ90" i="105"/>
  <c r="AV90" i="105"/>
  <c r="N91" i="105"/>
  <c r="Z91" i="105"/>
  <c r="AL91" i="105"/>
  <c r="AX91" i="105"/>
  <c r="P92" i="105"/>
  <c r="AB92" i="105"/>
  <c r="AN92" i="105"/>
  <c r="AZ92" i="105"/>
  <c r="R93" i="105"/>
  <c r="AD93" i="105"/>
  <c r="AP93" i="105"/>
  <c r="BB93" i="105"/>
  <c r="T94" i="105"/>
  <c r="AF94" i="105"/>
  <c r="AR94" i="105"/>
  <c r="BD94" i="105"/>
  <c r="V95" i="105"/>
  <c r="AH95" i="105"/>
  <c r="AT95" i="105"/>
  <c r="BF95" i="105"/>
  <c r="X96" i="105"/>
  <c r="AJ96" i="105"/>
  <c r="AV96" i="105"/>
  <c r="N97" i="105"/>
  <c r="Z97" i="105"/>
  <c r="AL97" i="105"/>
  <c r="AX97" i="105"/>
  <c r="P98" i="105"/>
  <c r="AB98" i="105"/>
  <c r="AN98" i="105"/>
  <c r="AZ98" i="105"/>
  <c r="R99" i="105"/>
  <c r="AD99" i="105"/>
  <c r="AP99" i="105"/>
  <c r="BB99" i="105"/>
  <c r="T100" i="105"/>
  <c r="AF100" i="105"/>
  <c r="AR100" i="105"/>
  <c r="BD100" i="105"/>
  <c r="V101" i="105"/>
  <c r="AH101" i="105"/>
  <c r="AT101" i="105"/>
  <c r="BF101" i="105"/>
  <c r="X102" i="105"/>
  <c r="AJ102" i="105"/>
  <c r="AV102" i="105"/>
  <c r="N103" i="105"/>
  <c r="Z103" i="105"/>
  <c r="AL103" i="105"/>
  <c r="AX103" i="105"/>
  <c r="P104" i="105"/>
  <c r="AB104" i="105"/>
  <c r="AN104" i="105"/>
  <c r="AZ104" i="105"/>
  <c r="R105" i="105"/>
  <c r="AD105" i="105"/>
  <c r="AP105" i="105"/>
  <c r="BB105" i="105"/>
  <c r="T106" i="105"/>
  <c r="S87" i="105"/>
  <c r="AE87" i="105"/>
  <c r="AQ87" i="105"/>
  <c r="BC87" i="105"/>
  <c r="U88" i="105"/>
  <c r="AG88" i="105"/>
  <c r="AS88" i="105"/>
  <c r="BE88" i="105"/>
  <c r="W89" i="105"/>
  <c r="AI89" i="105"/>
  <c r="AU89" i="105"/>
  <c r="M90" i="105"/>
  <c r="Y90" i="105"/>
  <c r="AK90" i="105"/>
  <c r="AW90" i="105"/>
  <c r="O91" i="105"/>
  <c r="AA91" i="105"/>
  <c r="AM91" i="105"/>
  <c r="AY91" i="105"/>
  <c r="Q92" i="105"/>
  <c r="AC92" i="105"/>
  <c r="AO92" i="105"/>
  <c r="BA92" i="105"/>
  <c r="S93" i="105"/>
  <c r="AE93" i="105"/>
  <c r="AQ93" i="105"/>
  <c r="BC93" i="105"/>
  <c r="U94" i="105"/>
  <c r="AG94" i="105"/>
  <c r="AS94" i="105"/>
  <c r="BE94" i="105"/>
  <c r="W95" i="105"/>
  <c r="AI95" i="105"/>
  <c r="AU95" i="105"/>
  <c r="M96" i="105"/>
  <c r="Y96" i="105"/>
  <c r="AK96" i="105"/>
  <c r="AW96" i="105"/>
  <c r="O97" i="105"/>
  <c r="AA97" i="105"/>
  <c r="AM97" i="105"/>
  <c r="AY97" i="105"/>
  <c r="Q98" i="105"/>
  <c r="AC98" i="105"/>
  <c r="AO98" i="105"/>
  <c r="BA98" i="105"/>
  <c r="S99" i="105"/>
  <c r="AE99" i="105"/>
  <c r="AQ99" i="105"/>
  <c r="BC99" i="105"/>
  <c r="U100" i="105"/>
  <c r="AG100" i="105"/>
  <c r="AS100" i="105"/>
  <c r="BE100" i="105"/>
  <c r="W101" i="105"/>
  <c r="AI101" i="105"/>
  <c r="AU101" i="105"/>
  <c r="M102" i="105"/>
  <c r="Y102" i="105"/>
  <c r="AK102" i="105"/>
  <c r="W88" i="105"/>
  <c r="AW89" i="105"/>
  <c r="AC91" i="105"/>
  <c r="BC92" i="105"/>
  <c r="AI94" i="105"/>
  <c r="O96" i="105"/>
  <c r="AO97" i="105"/>
  <c r="U99" i="105"/>
  <c r="AU100" i="105"/>
  <c r="BD101" i="105"/>
  <c r="AW102" i="105"/>
  <c r="AC103" i="105"/>
  <c r="N104" i="105"/>
  <c r="AP104" i="105"/>
  <c r="W105" i="105"/>
  <c r="BC105" i="105"/>
  <c r="AF106" i="105"/>
  <c r="BA106" i="105"/>
  <c r="Y107" i="105"/>
  <c r="AU107" i="105"/>
  <c r="Q109" i="105"/>
  <c r="AC109" i="105"/>
  <c r="AO109" i="105"/>
  <c r="BA109" i="105"/>
  <c r="S110" i="105"/>
  <c r="AE110" i="105"/>
  <c r="AQ110" i="105"/>
  <c r="BC110" i="105"/>
  <c r="DC105" i="105" s="1"/>
  <c r="U111" i="105"/>
  <c r="AG111" i="105"/>
  <c r="AS111" i="105"/>
  <c r="BE111" i="105"/>
  <c r="W121" i="105"/>
  <c r="AI121" i="105"/>
  <c r="AU121" i="105"/>
  <c r="M122" i="105"/>
  <c r="Y122" i="105"/>
  <c r="AK122" i="105"/>
  <c r="AW122" i="105"/>
  <c r="O123" i="105"/>
  <c r="AA123" i="105"/>
  <c r="AM123" i="105"/>
  <c r="AY123" i="105"/>
  <c r="L96" i="105"/>
  <c r="L95" i="105"/>
  <c r="BD123" i="105"/>
  <c r="AH123" i="105"/>
  <c r="AJ89" i="105"/>
  <c r="BB111" i="105"/>
  <c r="AV123" i="105"/>
  <c r="AI100" i="105"/>
  <c r="S111" i="105"/>
  <c r="M123" i="105"/>
  <c r="AH88" i="105"/>
  <c r="N90" i="105"/>
  <c r="AN91" i="105"/>
  <c r="T93" i="105"/>
  <c r="AT94" i="105"/>
  <c r="Z96" i="105"/>
  <c r="AZ97" i="105"/>
  <c r="AF99" i="105"/>
  <c r="BF100" i="105"/>
  <c r="N102" i="105"/>
  <c r="AX102" i="105"/>
  <c r="AE103" i="105"/>
  <c r="Q104" i="105"/>
  <c r="AQ104" i="105"/>
  <c r="AB105" i="105"/>
  <c r="BD105" i="105"/>
  <c r="AG106" i="105"/>
  <c r="BB106" i="105"/>
  <c r="AA107" i="105"/>
  <c r="AV107" i="105"/>
  <c r="R109" i="105"/>
  <c r="AD109" i="105"/>
  <c r="AP109" i="105"/>
  <c r="BB109" i="105"/>
  <c r="T110" i="105"/>
  <c r="AF110" i="105"/>
  <c r="AR110" i="105"/>
  <c r="BD110" i="105"/>
  <c r="V111" i="105"/>
  <c r="AH111" i="105"/>
  <c r="AT111" i="105"/>
  <c r="BF111" i="105"/>
  <c r="X121" i="105"/>
  <c r="AJ121" i="105"/>
  <c r="AV121" i="105"/>
  <c r="N122" i="105"/>
  <c r="BN122" i="105" s="1"/>
  <c r="Z122" i="105"/>
  <c r="AL122" i="105"/>
  <c r="CL122" i="105" s="1"/>
  <c r="AX122" i="105"/>
  <c r="CX122" i="105" s="1"/>
  <c r="P123" i="105"/>
  <c r="AB123" i="105"/>
  <c r="AN123" i="105"/>
  <c r="AZ123" i="105"/>
  <c r="L107" i="105"/>
  <c r="L88" i="105"/>
  <c r="L90" i="105"/>
  <c r="BB98" i="105"/>
  <c r="AZ103" i="105"/>
  <c r="AT106" i="105"/>
  <c r="AL109" i="105"/>
  <c r="AP111" i="105"/>
  <c r="BF122" i="105"/>
  <c r="L99" i="105"/>
  <c r="W94" i="105"/>
  <c r="T105" i="105"/>
  <c r="AC110" i="105"/>
  <c r="W122" i="105"/>
  <c r="BW122" i="105" s="1"/>
  <c r="AI88" i="105"/>
  <c r="O90" i="105"/>
  <c r="AO91" i="105"/>
  <c r="U93" i="105"/>
  <c r="AU94" i="105"/>
  <c r="AA96" i="105"/>
  <c r="BA97" i="105"/>
  <c r="AG99" i="105"/>
  <c r="M101" i="105"/>
  <c r="O102" i="105"/>
  <c r="AY102" i="105"/>
  <c r="AJ103" i="105"/>
  <c r="R104" i="105"/>
  <c r="AS104" i="105"/>
  <c r="AE105" i="105"/>
  <c r="BE105" i="105"/>
  <c r="AH106" i="105"/>
  <c r="BD106" i="105"/>
  <c r="AE107" i="105"/>
  <c r="AW107" i="105"/>
  <c r="S109" i="105"/>
  <c r="AE109" i="105"/>
  <c r="AQ109" i="105"/>
  <c r="BC109" i="105"/>
  <c r="U110" i="105"/>
  <c r="AG110" i="105"/>
  <c r="AS110" i="105"/>
  <c r="BE110" i="105"/>
  <c r="W111" i="105"/>
  <c r="AI111" i="105"/>
  <c r="AU111" i="105"/>
  <c r="M121" i="105"/>
  <c r="Y121" i="105"/>
  <c r="AK121" i="105"/>
  <c r="AW121" i="105"/>
  <c r="O122" i="105"/>
  <c r="BO122" i="105" s="1"/>
  <c r="AA122" i="105"/>
  <c r="CA122" i="105" s="1"/>
  <c r="AM122" i="105"/>
  <c r="CM122" i="105" s="1"/>
  <c r="AY122" i="105"/>
  <c r="CY122" i="105" s="1"/>
  <c r="Q123" i="105"/>
  <c r="AC123" i="105"/>
  <c r="AO123" i="105"/>
  <c r="BA123" i="105"/>
  <c r="L106" i="105"/>
  <c r="L94" i="105"/>
  <c r="L104" i="105"/>
  <c r="AL111" i="105"/>
  <c r="AB121" i="105"/>
  <c r="R122" i="105"/>
  <c r="BR122" i="105" s="1"/>
  <c r="T123" i="105"/>
  <c r="V123" i="105"/>
  <c r="L122" i="105"/>
  <c r="BL122" i="105" s="1"/>
  <c r="L100" i="105"/>
  <c r="P91" i="105"/>
  <c r="AH100" i="105"/>
  <c r="S105" i="105"/>
  <c r="AB110" i="105"/>
  <c r="AR121" i="105"/>
  <c r="AQ92" i="105"/>
  <c r="AC106" i="105"/>
  <c r="AM109" i="105"/>
  <c r="U121" i="105"/>
  <c r="L98" i="105"/>
  <c r="T87" i="105"/>
  <c r="AT88" i="105"/>
  <c r="Z90" i="105"/>
  <c r="AZ91" i="105"/>
  <c r="AF93" i="105"/>
  <c r="BF94" i="105"/>
  <c r="AL96" i="105"/>
  <c r="R98" i="105"/>
  <c r="AR99" i="105"/>
  <c r="T101" i="105"/>
  <c r="V102" i="105"/>
  <c r="BA102" i="105"/>
  <c r="AM103" i="105"/>
  <c r="S104" i="105"/>
  <c r="AX104" i="105"/>
  <c r="AF105" i="105"/>
  <c r="M106" i="105"/>
  <c r="AI106" i="105"/>
  <c r="BE106" i="105"/>
  <c r="AF107" i="105"/>
  <c r="AY107" i="105"/>
  <c r="T109" i="105"/>
  <c r="AF109" i="105"/>
  <c r="AR109" i="105"/>
  <c r="BD109" i="105"/>
  <c r="V110" i="105"/>
  <c r="AH110" i="105"/>
  <c r="AT110" i="105"/>
  <c r="BF110" i="105"/>
  <c r="X111" i="105"/>
  <c r="AJ111" i="105"/>
  <c r="AV111" i="105"/>
  <c r="N121" i="105"/>
  <c r="Z121" i="105"/>
  <c r="AL121" i="105"/>
  <c r="AX121" i="105"/>
  <c r="P122" i="105"/>
  <c r="BP122" i="105" s="1"/>
  <c r="AB122" i="105"/>
  <c r="CB122" i="105" s="1"/>
  <c r="AN122" i="105"/>
  <c r="CN122" i="105" s="1"/>
  <c r="AZ122" i="105"/>
  <c r="CZ122" i="105" s="1"/>
  <c r="R123" i="105"/>
  <c r="AD123" i="105"/>
  <c r="AP123" i="105"/>
  <c r="BB123" i="105"/>
  <c r="L105" i="105"/>
  <c r="L93" i="105"/>
  <c r="Z111" i="105"/>
  <c r="P121" i="105"/>
  <c r="AN121" i="105"/>
  <c r="AD122" i="105"/>
  <c r="CD122" i="105" s="1"/>
  <c r="AP122" i="105"/>
  <c r="CP122" i="105" s="1"/>
  <c r="AF123" i="105"/>
  <c r="L103" i="105"/>
  <c r="BF123" i="105"/>
  <c r="V94" i="105"/>
  <c r="AR101" i="105"/>
  <c r="Y106" i="105"/>
  <c r="N109" i="105"/>
  <c r="AN110" i="105"/>
  <c r="BD121" i="105"/>
  <c r="Q91" i="105"/>
  <c r="AO102" i="105"/>
  <c r="AR107" i="105"/>
  <c r="AY109" i="105"/>
  <c r="BC111" i="105"/>
  <c r="AU122" i="105"/>
  <c r="U87" i="105"/>
  <c r="AU88" i="105"/>
  <c r="AA90" i="105"/>
  <c r="BA91" i="105"/>
  <c r="AG93" i="105"/>
  <c r="M95" i="105"/>
  <c r="AM96" i="105"/>
  <c r="S98" i="105"/>
  <c r="AS99" i="105"/>
  <c r="X101" i="105"/>
  <c r="Z102" i="105"/>
  <c r="BF102" i="105"/>
  <c r="AN103" i="105"/>
  <c r="U104" i="105"/>
  <c r="BA104" i="105"/>
  <c r="AG105" i="105"/>
  <c r="Q106" i="105"/>
  <c r="AK106" i="105"/>
  <c r="BF106" i="105"/>
  <c r="AH107" i="105"/>
  <c r="AZ107" i="105"/>
  <c r="U109" i="105"/>
  <c r="AG109" i="105"/>
  <c r="AS109" i="105"/>
  <c r="BE109" i="105"/>
  <c r="W110" i="105"/>
  <c r="AI110" i="105"/>
  <c r="AU110" i="105"/>
  <c r="M111" i="105"/>
  <c r="Y111" i="105"/>
  <c r="AK111" i="105"/>
  <c r="AW111" i="105"/>
  <c r="O121" i="105"/>
  <c r="AA121" i="105"/>
  <c r="AM121" i="105"/>
  <c r="AY121" i="105"/>
  <c r="Q122" i="105"/>
  <c r="AC122" i="105"/>
  <c r="AO122" i="105"/>
  <c r="BA122" i="105"/>
  <c r="S123" i="105"/>
  <c r="AE123" i="105"/>
  <c r="AQ123" i="105"/>
  <c r="BC123" i="105"/>
  <c r="L87" i="105"/>
  <c r="AX111" i="105"/>
  <c r="AZ121" i="105"/>
  <c r="BB122" i="105"/>
  <c r="DB122" i="105" s="1"/>
  <c r="AR123" i="105"/>
  <c r="AT123" i="105"/>
  <c r="L101" i="105"/>
  <c r="L91" i="105"/>
  <c r="AV95" i="105"/>
  <c r="AM102" i="105"/>
  <c r="AS105" i="105"/>
  <c r="AX109" i="105"/>
  <c r="AD111" i="105"/>
  <c r="V122" i="105"/>
  <c r="AJ123" i="105"/>
  <c r="L111" i="105"/>
  <c r="BC98" i="105"/>
  <c r="AU105" i="105"/>
  <c r="AO110" i="105"/>
  <c r="AG121" i="105"/>
  <c r="Y123" i="105"/>
  <c r="L110" i="105"/>
  <c r="AF87" i="105"/>
  <c r="BF88" i="105"/>
  <c r="AL90" i="105"/>
  <c r="R92" i="105"/>
  <c r="AR93" i="105"/>
  <c r="X95" i="105"/>
  <c r="AX96" i="105"/>
  <c r="AD98" i="105"/>
  <c r="BD99" i="105"/>
  <c r="Y101" i="105"/>
  <c r="AA102" i="105"/>
  <c r="O103" i="105"/>
  <c r="AO103" i="105"/>
  <c r="Z104" i="105"/>
  <c r="BB104" i="105"/>
  <c r="AI105" i="105"/>
  <c r="R106" i="105"/>
  <c r="AO106" i="105"/>
  <c r="M107" i="105"/>
  <c r="AI107" i="105"/>
  <c r="BC107" i="105"/>
  <c r="V109" i="105"/>
  <c r="AH109" i="105"/>
  <c r="AT109" i="105"/>
  <c r="BF109" i="105"/>
  <c r="X110" i="105"/>
  <c r="AJ110" i="105"/>
  <c r="AV110" i="105"/>
  <c r="N111" i="105"/>
  <c r="AG87" i="105"/>
  <c r="M89" i="105"/>
  <c r="AM90" i="105"/>
  <c r="S92" i="105"/>
  <c r="AS93" i="105"/>
  <c r="Y95" i="105"/>
  <c r="AY96" i="105"/>
  <c r="AE98" i="105"/>
  <c r="BE99" i="105"/>
  <c r="AF101" i="105"/>
  <c r="AC102" i="105"/>
  <c r="P103" i="105"/>
  <c r="AQ103" i="105"/>
  <c r="AC104" i="105"/>
  <c r="BC104" i="105"/>
  <c r="AN105" i="105"/>
  <c r="U106" i="105"/>
  <c r="AP106" i="105"/>
  <c r="O107" i="105"/>
  <c r="AJ107" i="105"/>
  <c r="BD107" i="105"/>
  <c r="W109" i="105"/>
  <c r="AI109" i="105"/>
  <c r="AU109" i="105"/>
  <c r="M110" i="105"/>
  <c r="Y110" i="105"/>
  <c r="AK110" i="105"/>
  <c r="AW110" i="105"/>
  <c r="O111" i="105"/>
  <c r="AA111" i="105"/>
  <c r="AM111" i="105"/>
  <c r="AY111" i="105"/>
  <c r="Q121" i="105"/>
  <c r="AC121" i="105"/>
  <c r="AO121" i="105"/>
  <c r="BA121" i="105"/>
  <c r="S122" i="105"/>
  <c r="BS122" i="105" s="1"/>
  <c r="AE122" i="105"/>
  <c r="CE122" i="105" s="1"/>
  <c r="AQ122" i="105"/>
  <c r="CQ122" i="105" s="1"/>
  <c r="BC122" i="105"/>
  <c r="DC122" i="105" s="1"/>
  <c r="U123" i="105"/>
  <c r="AG123" i="105"/>
  <c r="AS123" i="105"/>
  <c r="BE123" i="105"/>
  <c r="L123" i="105"/>
  <c r="L102" i="105"/>
  <c r="L89" i="105"/>
  <c r="BD122" i="105"/>
  <c r="DD122" i="105" s="1"/>
  <c r="L121" i="105"/>
  <c r="AB97" i="105"/>
  <c r="R111" i="105"/>
  <c r="AK89" i="105"/>
  <c r="AL104" i="105"/>
  <c r="Q110" i="105"/>
  <c r="AE111" i="105"/>
  <c r="BE121" i="105"/>
  <c r="AK123" i="105"/>
  <c r="AR87" i="105"/>
  <c r="X89" i="105"/>
  <c r="AX90" i="105"/>
  <c r="AD92" i="105"/>
  <c r="BD93" i="105"/>
  <c r="AJ95" i="105"/>
  <c r="P97" i="105"/>
  <c r="AP98" i="105"/>
  <c r="V100" i="105"/>
  <c r="AJ101" i="105"/>
  <c r="AH102" i="105"/>
  <c r="Q103" i="105"/>
  <c r="AV103" i="105"/>
  <c r="AD104" i="105"/>
  <c r="BE104" i="105"/>
  <c r="AQ105" i="105"/>
  <c r="V106" i="105"/>
  <c r="AR106" i="105"/>
  <c r="S107" i="105"/>
  <c r="AK107" i="105"/>
  <c r="BE107" i="105"/>
  <c r="X109" i="105"/>
  <c r="AJ109" i="105"/>
  <c r="AV109" i="105"/>
  <c r="N110" i="105"/>
  <c r="Z110" i="105"/>
  <c r="AL110" i="105"/>
  <c r="AX110" i="105"/>
  <c r="P111" i="105"/>
  <c r="AB111" i="105"/>
  <c r="AN111" i="105"/>
  <c r="AZ111" i="105"/>
  <c r="R121" i="105"/>
  <c r="AD121" i="105"/>
  <c r="AP121" i="105"/>
  <c r="BB121" i="105"/>
  <c r="T122" i="105"/>
  <c r="BT122" i="105" s="1"/>
  <c r="AF122" i="105"/>
  <c r="CF122" i="105" s="1"/>
  <c r="AR122" i="105"/>
  <c r="AP92" i="105"/>
  <c r="AG104" i="105"/>
  <c r="V107" i="105"/>
  <c r="Z109" i="105"/>
  <c r="AZ110" i="105"/>
  <c r="AF121" i="105"/>
  <c r="AH122" i="105"/>
  <c r="X123" i="105"/>
  <c r="L92" i="105"/>
  <c r="BE87" i="105"/>
  <c r="BA103" i="105"/>
  <c r="AW123" i="105"/>
  <c r="AS87" i="105"/>
  <c r="Y89" i="105"/>
  <c r="AY90" i="105"/>
  <c r="AE92" i="105"/>
  <c r="BE93" i="105"/>
  <c r="AK95" i="105"/>
  <c r="Q97" i="105"/>
  <c r="AQ98" i="105"/>
  <c r="W100" i="105"/>
  <c r="AK101" i="105"/>
  <c r="AL102" i="105"/>
  <c r="S103" i="105"/>
  <c r="AY103" i="105"/>
  <c r="AE104" i="105"/>
  <c r="P105" i="105"/>
  <c r="AR105" i="105"/>
  <c r="W106" i="105"/>
  <c r="AS106" i="105"/>
  <c r="T107" i="105"/>
  <c r="AM107" i="105"/>
  <c r="BF107" i="105"/>
  <c r="M109" i="105"/>
  <c r="Y109" i="105"/>
  <c r="AK109" i="105"/>
  <c r="AW109" i="105"/>
  <c r="O110" i="105"/>
  <c r="AA110" i="105"/>
  <c r="AM110" i="105"/>
  <c r="AY110" i="105"/>
  <c r="Q111" i="105"/>
  <c r="AC111" i="105"/>
  <c r="AO111" i="105"/>
  <c r="BA111" i="105"/>
  <c r="S121" i="105"/>
  <c r="AE121" i="105"/>
  <c r="AQ121" i="105"/>
  <c r="BC121" i="105"/>
  <c r="U122" i="105"/>
  <c r="BU122" i="105" s="1"/>
  <c r="AG122" i="105"/>
  <c r="CG122" i="105" s="1"/>
  <c r="AS122" i="105"/>
  <c r="CS122" i="105" s="1"/>
  <c r="BE122" i="105"/>
  <c r="W123" i="105"/>
  <c r="AI123" i="105"/>
  <c r="AU123" i="105"/>
  <c r="BD87" i="105"/>
  <c r="X103" i="105"/>
  <c r="AQ107" i="105"/>
  <c r="P110" i="105"/>
  <c r="T121" i="105"/>
  <c r="AT122" i="105"/>
  <c r="AW95" i="105"/>
  <c r="AV101" i="105"/>
  <c r="AU106" i="105"/>
  <c r="O109" i="105"/>
  <c r="BA110" i="105"/>
  <c r="AS121" i="105"/>
  <c r="V88" i="105"/>
  <c r="AV89" i="105"/>
  <c r="AB91" i="105"/>
  <c r="BB92" i="105"/>
  <c r="AH94" i="105"/>
  <c r="N96" i="105"/>
  <c r="AN97" i="105"/>
  <c r="T99" i="105"/>
  <c r="AT100" i="105"/>
  <c r="AW101" i="105"/>
  <c r="AT102" i="105"/>
  <c r="AB103" i="105"/>
  <c r="BC103" i="105"/>
  <c r="AO104" i="105"/>
  <c r="U105" i="105"/>
  <c r="AZ105" i="105"/>
  <c r="AD106" i="105"/>
  <c r="AW106" i="105"/>
  <c r="X107" i="105"/>
  <c r="AT107" i="105"/>
  <c r="P109" i="105"/>
  <c r="AB109" i="105"/>
  <c r="AN109" i="105"/>
  <c r="AZ109" i="105"/>
  <c r="R110" i="105"/>
  <c r="AD110" i="105"/>
  <c r="AP110" i="105"/>
  <c r="BB110" i="105"/>
  <c r="T111" i="105"/>
  <c r="AF111" i="105"/>
  <c r="AR111" i="105"/>
  <c r="BD111" i="105"/>
  <c r="V121" i="105"/>
  <c r="AH121" i="105"/>
  <c r="AT121" i="105"/>
  <c r="BF121" i="105"/>
  <c r="X122" i="105"/>
  <c r="BX122" i="105" s="1"/>
  <c r="AJ122" i="105"/>
  <c r="CJ122" i="105" s="1"/>
  <c r="AV122" i="105"/>
  <c r="CV122" i="105" s="1"/>
  <c r="N123" i="105"/>
  <c r="Z123" i="105"/>
  <c r="AL123" i="105"/>
  <c r="AX123" i="105"/>
  <c r="L109" i="105"/>
  <c r="L97" i="105"/>
  <c r="AC97" i="105"/>
  <c r="AA103" i="105"/>
  <c r="W107" i="105"/>
  <c r="AA109" i="105"/>
  <c r="AQ111" i="105"/>
  <c r="AI122" i="105"/>
  <c r="N47" i="104"/>
  <c r="L47" i="104"/>
  <c r="CV132" i="105"/>
  <c r="BB132" i="105"/>
  <c r="BH133" i="105"/>
  <c r="CY132" i="105"/>
  <c r="BI133" i="105"/>
  <c r="AR132" i="105"/>
  <c r="N133" i="105"/>
  <c r="CH133" i="105"/>
  <c r="H132" i="105"/>
  <c r="AJ133" i="105"/>
  <c r="S132" i="105"/>
  <c r="AK133" i="105"/>
  <c r="AX133" i="105"/>
  <c r="BN132" i="105"/>
  <c r="BT133" i="105"/>
  <c r="CA132" i="105"/>
  <c r="CG133" i="105"/>
  <c r="AF132" i="105"/>
  <c r="Z133" i="105"/>
  <c r="BZ132" i="105"/>
  <c r="CF133" i="105"/>
  <c r="BC132" i="105"/>
  <c r="DE133" i="105"/>
  <c r="BD132" i="105"/>
  <c r="BJ133" i="105"/>
  <c r="X133" i="105"/>
  <c r="AQ132" i="105"/>
  <c r="Y133" i="105"/>
  <c r="CB132" i="105"/>
  <c r="CL132" i="105"/>
  <c r="DD133" i="105"/>
  <c r="M133" i="105"/>
  <c r="BP132" i="105"/>
  <c r="DF133" i="105"/>
  <c r="AB132" i="105"/>
  <c r="AN132" i="105"/>
  <c r="AZ132" i="105"/>
  <c r="BL132" i="105"/>
  <c r="BX132" i="105"/>
  <c r="CJ132" i="105"/>
  <c r="L133" i="105"/>
  <c r="BO132" i="105"/>
  <c r="BU133" i="105"/>
  <c r="CN132" i="105"/>
  <c r="BV133" i="105"/>
  <c r="AC132" i="105"/>
  <c r="AO132" i="105"/>
  <c r="BA132" i="105"/>
  <c r="BM132" i="105"/>
  <c r="BY132" i="105"/>
  <c r="CK132" i="105"/>
  <c r="CW132" i="105"/>
  <c r="AV133" i="105"/>
  <c r="AE132" i="105"/>
  <c r="AW133" i="105"/>
  <c r="AL133" i="105"/>
  <c r="R132" i="105"/>
  <c r="AD132" i="105"/>
  <c r="AP132" i="105"/>
  <c r="CX132" i="105"/>
  <c r="CR133" i="105"/>
  <c r="CM132" i="105"/>
  <c r="CS133" i="105"/>
  <c r="T132" i="105"/>
  <c r="CZ132" i="105"/>
  <c r="CT133" i="105"/>
  <c r="I132" i="105"/>
  <c r="I133" i="105"/>
  <c r="BE133" i="105"/>
  <c r="AH133" i="105"/>
  <c r="BO133" i="105"/>
  <c r="Y132" i="105"/>
  <c r="AP133" i="105"/>
  <c r="CK133" i="105"/>
  <c r="AI132" i="105"/>
  <c r="BF132" i="105"/>
  <c r="AN133" i="105"/>
  <c r="DA132" i="105"/>
  <c r="H133" i="105"/>
  <c r="BW133" i="105"/>
  <c r="BK133" i="105"/>
  <c r="O132" i="105"/>
  <c r="AB133" i="105"/>
  <c r="AW132" i="105"/>
  <c r="CP133" i="105"/>
  <c r="DC133" i="105"/>
  <c r="CU132" i="105"/>
  <c r="CB133" i="105"/>
  <c r="CC133" i="105"/>
  <c r="BC133" i="105"/>
  <c r="M132" i="105"/>
  <c r="AD133" i="105"/>
  <c r="BY133" i="105"/>
  <c r="W132" i="105"/>
  <c r="AT132" i="105"/>
  <c r="P133" i="105"/>
  <c r="CO132" i="105"/>
  <c r="BH132" i="105"/>
  <c r="AV132" i="105"/>
  <c r="AY133" i="105"/>
  <c r="AS133" i="105"/>
  <c r="BX133" i="105"/>
  <c r="DA133" i="105"/>
  <c r="BR132" i="105"/>
  <c r="AI133" i="105"/>
  <c r="CI132" i="105"/>
  <c r="BD133" i="105"/>
  <c r="CN133" i="105"/>
  <c r="AQ133" i="105"/>
  <c r="AU133" i="105"/>
  <c r="R133" i="105"/>
  <c r="BA133" i="105"/>
  <c r="AH132" i="105"/>
  <c r="CP132" i="105"/>
  <c r="CC132" i="105"/>
  <c r="AO133" i="105"/>
  <c r="CI133" i="105"/>
  <c r="CW133" i="105"/>
  <c r="BU132" i="105"/>
  <c r="BG132" i="105"/>
  <c r="AU132" i="105"/>
  <c r="Q132" i="105"/>
  <c r="BW132" i="105"/>
  <c r="AF133" i="105"/>
  <c r="BP133" i="105"/>
  <c r="AE133" i="105"/>
  <c r="CO133" i="105"/>
  <c r="DD132" i="105"/>
  <c r="V132" i="105"/>
  <c r="BQ132" i="105"/>
  <c r="AG132" i="105"/>
  <c r="U132" i="105"/>
  <c r="Z132" i="105"/>
  <c r="CE132" i="105"/>
  <c r="BN133" i="105"/>
  <c r="CA133" i="105"/>
  <c r="CQ133" i="105"/>
  <c r="BK132" i="105"/>
  <c r="DF132" i="105"/>
  <c r="AR133" i="105"/>
  <c r="S133" i="105"/>
  <c r="BQ133" i="105"/>
  <c r="CR132" i="105"/>
  <c r="AC133" i="105"/>
  <c r="BF133" i="105"/>
  <c r="CU133" i="105"/>
  <c r="BE132" i="105"/>
  <c r="AG133" i="105"/>
  <c r="Q133" i="105"/>
  <c r="BS133" i="105"/>
  <c r="AS132" i="105"/>
  <c r="AZ133" i="105"/>
  <c r="BJ132" i="105"/>
  <c r="BM133" i="105"/>
  <c r="AM133" i="105"/>
  <c r="CD132" i="105"/>
  <c r="BB133" i="105"/>
  <c r="CD133" i="105"/>
  <c r="AY132" i="105"/>
  <c r="BV132" i="105"/>
  <c r="T133" i="105"/>
  <c r="DE132" i="105"/>
  <c r="CF132" i="105"/>
  <c r="CL133" i="105"/>
  <c r="BG133" i="105"/>
  <c r="AA133" i="105"/>
  <c r="U133" i="105"/>
  <c r="O133" i="105"/>
  <c r="V133" i="105"/>
  <c r="AM132" i="105"/>
  <c r="AX132" i="105"/>
  <c r="CT132" i="105"/>
  <c r="CS132" i="105"/>
  <c r="CZ133" i="105"/>
  <c r="BT132" i="105"/>
  <c r="DC132" i="105"/>
  <c r="CJ133" i="105"/>
  <c r="DB133" i="105"/>
  <c r="CE133" i="105"/>
  <c r="BR133" i="105"/>
  <c r="BL133" i="105"/>
  <c r="P132" i="105"/>
  <c r="AA132" i="105"/>
  <c r="AL132" i="105"/>
  <c r="CH132" i="105"/>
  <c r="CG132" i="105"/>
  <c r="CX133" i="105"/>
  <c r="CQ132" i="105"/>
  <c r="CM133" i="105"/>
  <c r="L132" i="105"/>
  <c r="AT133" i="105"/>
  <c r="W133" i="105"/>
  <c r="N132" i="105"/>
  <c r="CY133" i="105"/>
  <c r="BI132" i="105"/>
  <c r="BZ133" i="105"/>
  <c r="AJ132" i="105"/>
  <c r="BS132" i="105"/>
  <c r="DB132" i="105"/>
  <c r="CV133" i="105"/>
  <c r="X132" i="105"/>
  <c r="AK132" i="105"/>
  <c r="BB72" i="104"/>
  <c r="Z87" i="104"/>
  <c r="AL92" i="104"/>
  <c r="AL73" i="104"/>
  <c r="K60" i="104"/>
  <c r="BB217" i="104" s="1"/>
  <c r="L57" i="104"/>
  <c r="K57" i="104" s="1"/>
  <c r="AI193" i="104" s="1"/>
  <c r="K58" i="104"/>
  <c r="S27" i="104"/>
  <c r="S25" i="104" s="1"/>
  <c r="AE111" i="104" s="1"/>
  <c r="AR75" i="104"/>
  <c r="AO76" i="104"/>
  <c r="O57" i="104"/>
  <c r="Z197" i="104" s="1"/>
  <c r="R57" i="104"/>
  <c r="AI200" i="104" s="1"/>
  <c r="P60" i="104"/>
  <c r="AS221" i="104" s="1"/>
  <c r="AU74" i="104"/>
  <c r="K46" i="104"/>
  <c r="L61" i="104"/>
  <c r="Z73" i="104"/>
  <c r="P58" i="104"/>
  <c r="P57" i="104" s="1"/>
  <c r="AB198" i="104" s="1"/>
  <c r="Z77" i="104"/>
  <c r="W76" i="104"/>
  <c r="AC78" i="104"/>
  <c r="L59" i="104"/>
  <c r="BB210" i="104" s="1"/>
  <c r="AX79" i="104"/>
  <c r="N26" i="105"/>
  <c r="M23" i="105"/>
  <c r="Q23" i="105"/>
  <c r="CK143" i="105"/>
  <c r="N23" i="105"/>
  <c r="CP137" i="105"/>
  <c r="R24" i="105"/>
  <c r="BX142" i="105"/>
  <c r="N138" i="105"/>
  <c r="AB139" i="105"/>
  <c r="R23" i="105"/>
  <c r="Z158" i="104"/>
  <c r="O153" i="104"/>
  <c r="AO82" i="104"/>
  <c r="W82" i="104"/>
  <c r="P46" i="104"/>
  <c r="K27" i="105"/>
  <c r="CZ140" i="105"/>
  <c r="CN140" i="105"/>
  <c r="CB140" i="105"/>
  <c r="BP140" i="105"/>
  <c r="BD140" i="105"/>
  <c r="AR140" i="105"/>
  <c r="AF140" i="105"/>
  <c r="T140" i="105"/>
  <c r="H140" i="105"/>
  <c r="CW140" i="105"/>
  <c r="CK140" i="105"/>
  <c r="BY140" i="105"/>
  <c r="BM140" i="105"/>
  <c r="BA140" i="105"/>
  <c r="AO140" i="105"/>
  <c r="AC140" i="105"/>
  <c r="Q140" i="105"/>
  <c r="DF140" i="105"/>
  <c r="DD140" i="105"/>
  <c r="CR140" i="105"/>
  <c r="CF140" i="105"/>
  <c r="BT140" i="105"/>
  <c r="BH140" i="105"/>
  <c r="AV140" i="105"/>
  <c r="AJ140" i="105"/>
  <c r="X140" i="105"/>
  <c r="L140" i="105"/>
  <c r="DA140" i="105"/>
  <c r="CJ140" i="105"/>
  <c r="BU140" i="105"/>
  <c r="BE140" i="105"/>
  <c r="AN140" i="105"/>
  <c r="Y140" i="105"/>
  <c r="I140" i="105"/>
  <c r="CY140" i="105"/>
  <c r="CI140" i="105"/>
  <c r="BS140" i="105"/>
  <c r="BC140" i="105"/>
  <c r="AM140" i="105"/>
  <c r="W140" i="105"/>
  <c r="CX140" i="105"/>
  <c r="CH140" i="105"/>
  <c r="BR140" i="105"/>
  <c r="BB140" i="105"/>
  <c r="AL140" i="105"/>
  <c r="V140" i="105"/>
  <c r="CS140" i="105"/>
  <c r="CC140" i="105"/>
  <c r="BL140" i="105"/>
  <c r="AW140" i="105"/>
  <c r="AG140" i="105"/>
  <c r="P140" i="105"/>
  <c r="CQ140" i="105"/>
  <c r="CA140" i="105"/>
  <c r="BK140" i="105"/>
  <c r="AU140" i="105"/>
  <c r="AE140" i="105"/>
  <c r="O140" i="105"/>
  <c r="CG140" i="105"/>
  <c r="BG140" i="105"/>
  <c r="AD140" i="105"/>
  <c r="CU140" i="105"/>
  <c r="BV140" i="105"/>
  <c r="AS140" i="105"/>
  <c r="R140" i="105"/>
  <c r="CD140" i="105"/>
  <c r="AX140" i="105"/>
  <c r="N140" i="105"/>
  <c r="DE140" i="105"/>
  <c r="BX140" i="105"/>
  <c r="AQ140" i="105"/>
  <c r="DC140" i="105"/>
  <c r="BW140" i="105"/>
  <c r="AP140" i="105"/>
  <c r="DB140" i="105"/>
  <c r="BQ140" i="105"/>
  <c r="AK140" i="105"/>
  <c r="CV140" i="105"/>
  <c r="BO140" i="105"/>
  <c r="AI140" i="105"/>
  <c r="CT140" i="105"/>
  <c r="BN140" i="105"/>
  <c r="AH140" i="105"/>
  <c r="CO140" i="105"/>
  <c r="BI140" i="105"/>
  <c r="AA140" i="105"/>
  <c r="CE140" i="105"/>
  <c r="BZ140" i="105"/>
  <c r="AZ140" i="105"/>
  <c r="AY140" i="105"/>
  <c r="Z140" i="105"/>
  <c r="M140" i="105"/>
  <c r="CP140" i="105"/>
  <c r="CM140" i="105"/>
  <c r="CL140" i="105"/>
  <c r="AT140" i="105"/>
  <c r="S140" i="105"/>
  <c r="BJ140" i="105"/>
  <c r="DC150" i="105"/>
  <c r="CQ150" i="105"/>
  <c r="CE150" i="105"/>
  <c r="BS150" i="105"/>
  <c r="BG150" i="105"/>
  <c r="AU150" i="105"/>
  <c r="AI150" i="105"/>
  <c r="CY150" i="105"/>
  <c r="CM150" i="105"/>
  <c r="CA150" i="105"/>
  <c r="BO150" i="105"/>
  <c r="BC150" i="105"/>
  <c r="AQ150" i="105"/>
  <c r="CX150" i="105"/>
  <c r="CW150" i="105"/>
  <c r="CK150" i="105"/>
  <c r="CU150" i="105"/>
  <c r="CF150" i="105"/>
  <c r="BQ150" i="105"/>
  <c r="BB150" i="105"/>
  <c r="AN150" i="105"/>
  <c r="AA150" i="105"/>
  <c r="O150" i="105"/>
  <c r="CR150" i="105"/>
  <c r="CB150" i="105"/>
  <c r="BM150" i="105"/>
  <c r="AY150" i="105"/>
  <c r="AK150" i="105"/>
  <c r="X150" i="105"/>
  <c r="L150" i="105"/>
  <c r="CP150" i="105"/>
  <c r="BZ150" i="105"/>
  <c r="BL150" i="105"/>
  <c r="AX150" i="105"/>
  <c r="AJ150" i="105"/>
  <c r="W150" i="105"/>
  <c r="K150" i="105"/>
  <c r="DF150" i="105"/>
  <c r="CO150" i="105"/>
  <c r="BY150" i="105"/>
  <c r="BK150" i="105"/>
  <c r="AW150" i="105"/>
  <c r="AH150" i="105"/>
  <c r="V150" i="105"/>
  <c r="J150" i="105"/>
  <c r="DB150" i="105"/>
  <c r="CJ150" i="105"/>
  <c r="BV150" i="105"/>
  <c r="BH150" i="105"/>
  <c r="AS150" i="105"/>
  <c r="AE150" i="105"/>
  <c r="S150" i="105"/>
  <c r="DE150" i="105"/>
  <c r="CD150" i="105"/>
  <c r="BE150" i="105"/>
  <c r="AF150" i="105"/>
  <c r="M150" i="105"/>
  <c r="DA150" i="105"/>
  <c r="BX150" i="105"/>
  <c r="BA150" i="105"/>
  <c r="AC150" i="105"/>
  <c r="H150" i="105"/>
  <c r="CZ150" i="105"/>
  <c r="BW150" i="105"/>
  <c r="AZ150" i="105"/>
  <c r="AB150" i="105"/>
  <c r="CS150" i="105"/>
  <c r="BR150" i="105"/>
  <c r="AR150" i="105"/>
  <c r="U150" i="105"/>
  <c r="CL150" i="105"/>
  <c r="BN150" i="105"/>
  <c r="AO150" i="105"/>
  <c r="R150" i="105"/>
  <c r="BU150" i="105"/>
  <c r="AG150" i="105"/>
  <c r="BT150" i="105"/>
  <c r="AD150" i="105"/>
  <c r="BP150" i="105"/>
  <c r="Z150" i="105"/>
  <c r="CT150" i="105"/>
  <c r="BD150" i="105"/>
  <c r="P150" i="105"/>
  <c r="CN150" i="105"/>
  <c r="AV150" i="105"/>
  <c r="N150" i="105"/>
  <c r="BI150" i="105"/>
  <c r="BF150" i="105"/>
  <c r="CV150" i="105"/>
  <c r="Y150" i="105"/>
  <c r="CI150" i="105"/>
  <c r="CG150" i="105"/>
  <c r="CC150" i="105"/>
  <c r="BJ150" i="105"/>
  <c r="AT150" i="105"/>
  <c r="AP150" i="105"/>
  <c r="AL150" i="105"/>
  <c r="T150" i="105"/>
  <c r="Q150" i="105"/>
  <c r="I150" i="105"/>
  <c r="DD150" i="105"/>
  <c r="CH150" i="105"/>
  <c r="AM150" i="105"/>
  <c r="CV151" i="105"/>
  <c r="CJ151" i="105"/>
  <c r="BX151" i="105"/>
  <c r="BL151" i="105"/>
  <c r="AZ151" i="105"/>
  <c r="AN151" i="105"/>
  <c r="AB151" i="105"/>
  <c r="P151" i="105"/>
  <c r="CU151" i="105"/>
  <c r="CI151" i="105"/>
  <c r="BW151" i="105"/>
  <c r="BK151" i="105"/>
  <c r="AY151" i="105"/>
  <c r="AM151" i="105"/>
  <c r="AA151" i="105"/>
  <c r="DD151" i="105"/>
  <c r="CR151" i="105"/>
  <c r="CF151" i="105"/>
  <c r="BT151" i="105"/>
  <c r="BH151" i="105"/>
  <c r="AV151" i="105"/>
  <c r="AJ151" i="105"/>
  <c r="X151" i="105"/>
  <c r="L151" i="105"/>
  <c r="DC151" i="105"/>
  <c r="CQ151" i="105"/>
  <c r="CE151" i="105"/>
  <c r="BS151" i="105"/>
  <c r="BG151" i="105"/>
  <c r="AU151" i="105"/>
  <c r="AI151" i="105"/>
  <c r="W151" i="105"/>
  <c r="K151" i="105"/>
  <c r="DB151" i="105"/>
  <c r="CP151" i="105"/>
  <c r="CD151" i="105"/>
  <c r="BR151" i="105"/>
  <c r="BF151" i="105"/>
  <c r="AT151" i="105"/>
  <c r="AH151" i="105"/>
  <c r="V151" i="105"/>
  <c r="J151" i="105"/>
  <c r="CS151" i="105"/>
  <c r="BY151" i="105"/>
  <c r="BC151" i="105"/>
  <c r="AG151" i="105"/>
  <c r="O151" i="105"/>
  <c r="CM151" i="105"/>
  <c r="BQ151" i="105"/>
  <c r="AX151" i="105"/>
  <c r="AD151" i="105"/>
  <c r="I151" i="105"/>
  <c r="DF151" i="105"/>
  <c r="CL151" i="105"/>
  <c r="BP151" i="105"/>
  <c r="AW151" i="105"/>
  <c r="AC151" i="105"/>
  <c r="H151" i="105"/>
  <c r="DE151" i="105"/>
  <c r="CK151" i="105"/>
  <c r="BO151" i="105"/>
  <c r="AS151" i="105"/>
  <c r="Z151" i="105"/>
  <c r="CY151" i="105"/>
  <c r="CC151" i="105"/>
  <c r="BJ151" i="105"/>
  <c r="AP151" i="105"/>
  <c r="T151" i="105"/>
  <c r="BZ151" i="105"/>
  <c r="AO151" i="105"/>
  <c r="CZ151" i="105"/>
  <c r="BU151" i="105"/>
  <c r="AK151" i="105"/>
  <c r="CX151" i="105"/>
  <c r="BN151" i="105"/>
  <c r="AF151" i="105"/>
  <c r="CO151" i="105"/>
  <c r="BE151" i="105"/>
  <c r="U151" i="105"/>
  <c r="CH151" i="105"/>
  <c r="BB151" i="105"/>
  <c r="R151" i="105"/>
  <c r="CB151" i="105"/>
  <c r="S151" i="105"/>
  <c r="CA151" i="105"/>
  <c r="Q151" i="105"/>
  <c r="BV151" i="105"/>
  <c r="N151" i="105"/>
  <c r="BA151" i="105"/>
  <c r="DA151" i="105"/>
  <c r="AR151" i="105"/>
  <c r="AQ151" i="105"/>
  <c r="AL151" i="105"/>
  <c r="CT151" i="105"/>
  <c r="CW151" i="105"/>
  <c r="CN151" i="105"/>
  <c r="CG151" i="105"/>
  <c r="BM151" i="105"/>
  <c r="BI151" i="105"/>
  <c r="AE151" i="105"/>
  <c r="BD151" i="105"/>
  <c r="Y151" i="105"/>
  <c r="M151" i="105"/>
  <c r="L25" i="105"/>
  <c r="K25" i="105" s="1"/>
  <c r="DA142" i="105"/>
  <c r="CO142" i="105"/>
  <c r="CC142" i="105"/>
  <c r="BQ142" i="105"/>
  <c r="BE142" i="105"/>
  <c r="AS142" i="105"/>
  <c r="AG142" i="105"/>
  <c r="CX142" i="105"/>
  <c r="CL142" i="105"/>
  <c r="BZ142" i="105"/>
  <c r="BN142" i="105"/>
  <c r="BB142" i="105"/>
  <c r="AP142" i="105"/>
  <c r="AD142" i="105"/>
  <c r="R142" i="105"/>
  <c r="DE142" i="105"/>
  <c r="CS142" i="105"/>
  <c r="CG142" i="105"/>
  <c r="BU142" i="105"/>
  <c r="BI142" i="105"/>
  <c r="AW142" i="105"/>
  <c r="AK142" i="105"/>
  <c r="Y142" i="105"/>
  <c r="CT142" i="105"/>
  <c r="CD142" i="105"/>
  <c r="BM142" i="105"/>
  <c r="AX142" i="105"/>
  <c r="AH142" i="105"/>
  <c r="S142" i="105"/>
  <c r="DF142" i="105"/>
  <c r="CP142" i="105"/>
  <c r="BY142" i="105"/>
  <c r="BJ142" i="105"/>
  <c r="AT142" i="105"/>
  <c r="AC142" i="105"/>
  <c r="O142" i="105"/>
  <c r="DB142" i="105"/>
  <c r="CK142" i="105"/>
  <c r="BV142" i="105"/>
  <c r="BF142" i="105"/>
  <c r="AO142" i="105"/>
  <c r="Z142" i="105"/>
  <c r="L142" i="105"/>
  <c r="CY142" i="105"/>
  <c r="CI142" i="105"/>
  <c r="BS142" i="105"/>
  <c r="BC142" i="105"/>
  <c r="AM142" i="105"/>
  <c r="W142" i="105"/>
  <c r="CU142" i="105"/>
  <c r="BW142" i="105"/>
  <c r="AY142" i="105"/>
  <c r="AA142" i="105"/>
  <c r="CR142" i="105"/>
  <c r="BT142" i="105"/>
  <c r="AV142" i="105"/>
  <c r="X142" i="105"/>
  <c r="CQ142" i="105"/>
  <c r="BR142" i="105"/>
  <c r="AU142" i="105"/>
  <c r="V142" i="105"/>
  <c r="CH142" i="105"/>
  <c r="BK142" i="105"/>
  <c r="AL142" i="105"/>
  <c r="P142" i="105"/>
  <c r="DD142" i="105"/>
  <c r="CF142" i="105"/>
  <c r="BH142" i="105"/>
  <c r="AJ142" i="105"/>
  <c r="N142" i="105"/>
  <c r="CA142" i="105"/>
  <c r="AI142" i="105"/>
  <c r="CV142" i="105"/>
  <c r="BD142" i="105"/>
  <c r="Q142" i="105"/>
  <c r="BP142" i="105"/>
  <c r="U142" i="105"/>
  <c r="BL142" i="105"/>
  <c r="M142" i="105"/>
  <c r="DC142" i="105"/>
  <c r="BG142" i="105"/>
  <c r="CZ142" i="105"/>
  <c r="BA142" i="105"/>
  <c r="I142" i="105"/>
  <c r="CW142" i="105"/>
  <c r="AZ142" i="105"/>
  <c r="H142" i="105"/>
  <c r="CN142" i="105"/>
  <c r="AR142" i="105"/>
  <c r="CJ142" i="105"/>
  <c r="AN142" i="105"/>
  <c r="BO142" i="105"/>
  <c r="AQ142" i="105"/>
  <c r="AF142" i="105"/>
  <c r="AE142" i="105"/>
  <c r="AB142" i="105"/>
  <c r="T142" i="105"/>
  <c r="CM142" i="105"/>
  <c r="CE142" i="105"/>
  <c r="CB142" i="105"/>
  <c r="Q26" i="104"/>
  <c r="Q24" i="104" s="1"/>
  <c r="H101" i="104" s="1"/>
  <c r="Q44" i="104"/>
  <c r="W74" i="104"/>
  <c r="AR77" i="104"/>
  <c r="DF143" i="105"/>
  <c r="CT143" i="105"/>
  <c r="CH143" i="105"/>
  <c r="BV143" i="105"/>
  <c r="BJ143" i="105"/>
  <c r="AX143" i="105"/>
  <c r="AL143" i="105"/>
  <c r="Z143" i="105"/>
  <c r="N143" i="105"/>
  <c r="DC143" i="105"/>
  <c r="CQ143" i="105"/>
  <c r="CE143" i="105"/>
  <c r="BS143" i="105"/>
  <c r="BG143" i="105"/>
  <c r="AU143" i="105"/>
  <c r="AI143" i="105"/>
  <c r="W143" i="105"/>
  <c r="K143" i="105"/>
  <c r="CX143" i="105"/>
  <c r="CL143" i="105"/>
  <c r="BZ143" i="105"/>
  <c r="BN143" i="105"/>
  <c r="BB143" i="105"/>
  <c r="AP143" i="105"/>
  <c r="AD143" i="105"/>
  <c r="R143" i="105"/>
  <c r="DB143" i="105"/>
  <c r="CM143" i="105"/>
  <c r="BW143" i="105"/>
  <c r="BF143" i="105"/>
  <c r="AQ143" i="105"/>
  <c r="AA143" i="105"/>
  <c r="J143" i="105"/>
  <c r="CZ143" i="105"/>
  <c r="CJ143" i="105"/>
  <c r="BT143" i="105"/>
  <c r="CY143" i="105"/>
  <c r="CI143" i="105"/>
  <c r="BR143" i="105"/>
  <c r="BC143" i="105"/>
  <c r="AM143" i="105"/>
  <c r="V143" i="105"/>
  <c r="CU143" i="105"/>
  <c r="CD143" i="105"/>
  <c r="BO143" i="105"/>
  <c r="AY143" i="105"/>
  <c r="AH143" i="105"/>
  <c r="S143" i="105"/>
  <c r="CR143" i="105"/>
  <c r="CB143" i="105"/>
  <c r="BL143" i="105"/>
  <c r="AV143" i="105"/>
  <c r="AF143" i="105"/>
  <c r="P143" i="105"/>
  <c r="CP143" i="105"/>
  <c r="BP143" i="105"/>
  <c r="AR143" i="105"/>
  <c r="T143" i="105"/>
  <c r="CO143" i="105"/>
  <c r="BM143" i="105"/>
  <c r="AO143" i="105"/>
  <c r="Q143" i="105"/>
  <c r="CN143" i="105"/>
  <c r="BK143" i="105"/>
  <c r="AN143" i="105"/>
  <c r="O143" i="105"/>
  <c r="DE143" i="105"/>
  <c r="CC143" i="105"/>
  <c r="BD143" i="105"/>
  <c r="AE143" i="105"/>
  <c r="H143" i="105"/>
  <c r="DD143" i="105"/>
  <c r="CA143" i="105"/>
  <c r="BA143" i="105"/>
  <c r="AC143" i="105"/>
  <c r="CW143" i="105"/>
  <c r="BE143" i="105"/>
  <c r="M143" i="105"/>
  <c r="BY143" i="105"/>
  <c r="AJ143" i="105"/>
  <c r="BQ143" i="105"/>
  <c r="U143" i="105"/>
  <c r="BH143" i="105"/>
  <c r="I143" i="105"/>
  <c r="AZ143" i="105"/>
  <c r="DA143" i="105"/>
  <c r="AW143" i="105"/>
  <c r="CV143" i="105"/>
  <c r="AT143" i="105"/>
  <c r="CS143" i="105"/>
  <c r="AS143" i="105"/>
  <c r="CG143" i="105"/>
  <c r="AG143" i="105"/>
  <c r="BX143" i="105"/>
  <c r="BU143" i="105"/>
  <c r="BI143" i="105"/>
  <c r="AK143" i="105"/>
  <c r="AB143" i="105"/>
  <c r="Y143" i="105"/>
  <c r="X143" i="105"/>
  <c r="L143" i="105"/>
  <c r="CF143" i="105"/>
  <c r="R26" i="104"/>
  <c r="R24" i="104" s="1"/>
  <c r="R22" i="104" s="1"/>
  <c r="AO86" i="104" s="1"/>
  <c r="R44" i="104"/>
  <c r="I72" i="104"/>
  <c r="AI74" i="104"/>
  <c r="K78" i="104"/>
  <c r="BK122" i="105"/>
  <c r="BJ104" i="105"/>
  <c r="BJ103" i="105"/>
  <c r="CY144" i="105"/>
  <c r="CM144" i="105"/>
  <c r="CA144" i="105"/>
  <c r="BO144" i="105"/>
  <c r="BC144" i="105"/>
  <c r="AQ144" i="105"/>
  <c r="AE144" i="105"/>
  <c r="S144" i="105"/>
  <c r="CV144" i="105"/>
  <c r="CJ144" i="105"/>
  <c r="BX144" i="105"/>
  <c r="BL144" i="105"/>
  <c r="AZ144" i="105"/>
  <c r="AN144" i="105"/>
  <c r="AB144" i="105"/>
  <c r="P144" i="105"/>
  <c r="DC144" i="105"/>
  <c r="CQ144" i="105"/>
  <c r="CE144" i="105"/>
  <c r="BS144" i="105"/>
  <c r="BG144" i="105"/>
  <c r="AU144" i="105"/>
  <c r="AI144" i="105"/>
  <c r="W144" i="105"/>
  <c r="K144" i="105"/>
  <c r="CU144" i="105"/>
  <c r="CF144" i="105"/>
  <c r="BP144" i="105"/>
  <c r="AY144" i="105"/>
  <c r="AJ144" i="105"/>
  <c r="T144" i="105"/>
  <c r="CS144" i="105"/>
  <c r="CC144" i="105"/>
  <c r="BM144" i="105"/>
  <c r="AW144" i="105"/>
  <c r="AG144" i="105"/>
  <c r="Q144" i="105"/>
  <c r="CR144" i="105"/>
  <c r="CB144" i="105"/>
  <c r="BK144" i="105"/>
  <c r="AV144" i="105"/>
  <c r="AF144" i="105"/>
  <c r="O144" i="105"/>
  <c r="DD144" i="105"/>
  <c r="CN144" i="105"/>
  <c r="BW144" i="105"/>
  <c r="BH144" i="105"/>
  <c r="AR144" i="105"/>
  <c r="AA144" i="105"/>
  <c r="L144" i="105"/>
  <c r="DA144" i="105"/>
  <c r="CK144" i="105"/>
  <c r="BU144" i="105"/>
  <c r="BE144" i="105"/>
  <c r="AO144" i="105"/>
  <c r="Y144" i="105"/>
  <c r="I144" i="105"/>
  <c r="CX144" i="105"/>
  <c r="BV144" i="105"/>
  <c r="AT144" i="105"/>
  <c r="U144" i="105"/>
  <c r="CW144" i="105"/>
  <c r="BT144" i="105"/>
  <c r="AS144" i="105"/>
  <c r="R144" i="105"/>
  <c r="CT144" i="105"/>
  <c r="BR144" i="105"/>
  <c r="AP144" i="105"/>
  <c r="N144" i="105"/>
  <c r="CI144" i="105"/>
  <c r="BI144" i="105"/>
  <c r="AH144" i="105"/>
  <c r="CH144" i="105"/>
  <c r="BF144" i="105"/>
  <c r="AD144" i="105"/>
  <c r="CO144" i="105"/>
  <c r="AX144" i="105"/>
  <c r="BQ144" i="105"/>
  <c r="X144" i="105"/>
  <c r="BZ144" i="105"/>
  <c r="V144" i="105"/>
  <c r="BN144" i="105"/>
  <c r="J144" i="105"/>
  <c r="BJ144" i="105"/>
  <c r="H144" i="105"/>
  <c r="DF144" i="105"/>
  <c r="BD144" i="105"/>
  <c r="DE144" i="105"/>
  <c r="BB144" i="105"/>
  <c r="DB144" i="105"/>
  <c r="BA144" i="105"/>
  <c r="CP144" i="105"/>
  <c r="AL144" i="105"/>
  <c r="CZ144" i="105"/>
  <c r="CL144" i="105"/>
  <c r="CG144" i="105"/>
  <c r="CD144" i="105"/>
  <c r="BY144" i="105"/>
  <c r="AM144" i="105"/>
  <c r="AK144" i="105"/>
  <c r="AC144" i="105"/>
  <c r="Z144" i="105"/>
  <c r="M144" i="105"/>
  <c r="L77" i="105"/>
  <c r="P77" i="105" s="1"/>
  <c r="N26" i="104"/>
  <c r="N24" i="104" s="1"/>
  <c r="BB99" i="104" s="1"/>
  <c r="H77" i="104"/>
  <c r="DE141" i="105"/>
  <c r="CS141" i="105"/>
  <c r="CG141" i="105"/>
  <c r="BU141" i="105"/>
  <c r="BI141" i="105"/>
  <c r="AW141" i="105"/>
  <c r="AK141" i="105"/>
  <c r="Y141" i="105"/>
  <c r="M141" i="105"/>
  <c r="DB141" i="105"/>
  <c r="CP141" i="105"/>
  <c r="CD141" i="105"/>
  <c r="BR141" i="105"/>
  <c r="BF141" i="105"/>
  <c r="AT141" i="105"/>
  <c r="AH141" i="105"/>
  <c r="V141" i="105"/>
  <c r="CY141" i="105"/>
  <c r="CM141" i="105"/>
  <c r="CA141" i="105"/>
  <c r="BO141" i="105"/>
  <c r="BC141" i="105"/>
  <c r="AQ141" i="105"/>
  <c r="AE141" i="105"/>
  <c r="S141" i="105"/>
  <c r="CW141" i="105"/>
  <c r="CK141" i="105"/>
  <c r="BY141" i="105"/>
  <c r="BM141" i="105"/>
  <c r="BA141" i="105"/>
  <c r="AO141" i="105"/>
  <c r="AC141" i="105"/>
  <c r="Q141" i="105"/>
  <c r="DF141" i="105"/>
  <c r="CN141" i="105"/>
  <c r="BV141" i="105"/>
  <c r="BD141" i="105"/>
  <c r="AL141" i="105"/>
  <c r="T141" i="105"/>
  <c r="DD141" i="105"/>
  <c r="CL141" i="105"/>
  <c r="BT141" i="105"/>
  <c r="BB141" i="105"/>
  <c r="AJ141" i="105"/>
  <c r="R141" i="105"/>
  <c r="DC141" i="105"/>
  <c r="CJ141" i="105"/>
  <c r="BS141" i="105"/>
  <c r="AZ141" i="105"/>
  <c r="AI141" i="105"/>
  <c r="P141" i="105"/>
  <c r="CV141" i="105"/>
  <c r="CE141" i="105"/>
  <c r="BL141" i="105"/>
  <c r="AU141" i="105"/>
  <c r="AB141" i="105"/>
  <c r="CU141" i="105"/>
  <c r="CC141" i="105"/>
  <c r="BK141" i="105"/>
  <c r="AS141" i="105"/>
  <c r="AA141" i="105"/>
  <c r="I141" i="105"/>
  <c r="CZ141" i="105"/>
  <c r="BW141" i="105"/>
  <c r="AP141" i="105"/>
  <c r="L141" i="105"/>
  <c r="CI141" i="105"/>
  <c r="BG141" i="105"/>
  <c r="Z141" i="105"/>
  <c r="CH141" i="105"/>
  <c r="AX141" i="105"/>
  <c r="N141" i="105"/>
  <c r="CB141" i="105"/>
  <c r="AR141" i="105"/>
  <c r="BZ141" i="105"/>
  <c r="AN141" i="105"/>
  <c r="BX141" i="105"/>
  <c r="AM141" i="105"/>
  <c r="BQ141" i="105"/>
  <c r="AG141" i="105"/>
  <c r="DA141" i="105"/>
  <c r="BP141" i="105"/>
  <c r="AF141" i="105"/>
  <c r="CT141" i="105"/>
  <c r="BJ141" i="105"/>
  <c r="X141" i="105"/>
  <c r="BH141" i="105"/>
  <c r="BE141" i="105"/>
  <c r="AY141" i="105"/>
  <c r="AD141" i="105"/>
  <c r="W141" i="105"/>
  <c r="CX141" i="105"/>
  <c r="CR141" i="105"/>
  <c r="CQ141" i="105"/>
  <c r="H141" i="105"/>
  <c r="CO141" i="105"/>
  <c r="AV141" i="105"/>
  <c r="U141" i="105"/>
  <c r="O141" i="105"/>
  <c r="BN141" i="105"/>
  <c r="CF141" i="105"/>
  <c r="K74" i="104"/>
  <c r="DF153" i="105"/>
  <c r="CT153" i="105"/>
  <c r="CH153" i="105"/>
  <c r="BV153" i="105"/>
  <c r="BJ153" i="105"/>
  <c r="AX153" i="105"/>
  <c r="AL153" i="105"/>
  <c r="Z153" i="105"/>
  <c r="N153" i="105"/>
  <c r="DE153" i="105"/>
  <c r="CS153" i="105"/>
  <c r="CG153" i="105"/>
  <c r="BU153" i="105"/>
  <c r="BI153" i="105"/>
  <c r="AW153" i="105"/>
  <c r="AK153" i="105"/>
  <c r="Y153" i="105"/>
  <c r="M153" i="105"/>
  <c r="DB153" i="105"/>
  <c r="CP153" i="105"/>
  <c r="CD153" i="105"/>
  <c r="BR153" i="105"/>
  <c r="BF153" i="105"/>
  <c r="AT153" i="105"/>
  <c r="AH153" i="105"/>
  <c r="V153" i="105"/>
  <c r="J153" i="105"/>
  <c r="DA153" i="105"/>
  <c r="CO153" i="105"/>
  <c r="CC153" i="105"/>
  <c r="BQ153" i="105"/>
  <c r="BE153" i="105"/>
  <c r="AS153" i="105"/>
  <c r="AG153" i="105"/>
  <c r="U153" i="105"/>
  <c r="I153" i="105"/>
  <c r="CZ153" i="105"/>
  <c r="CN153" i="105"/>
  <c r="CB153" i="105"/>
  <c r="BP153" i="105"/>
  <c r="BD153" i="105"/>
  <c r="AR153" i="105"/>
  <c r="AF153" i="105"/>
  <c r="T153" i="105"/>
  <c r="H153" i="105"/>
  <c r="CX153" i="105"/>
  <c r="CL153" i="105"/>
  <c r="BZ153" i="105"/>
  <c r="BN153" i="105"/>
  <c r="BB153" i="105"/>
  <c r="AP153" i="105"/>
  <c r="AD153" i="105"/>
  <c r="R153" i="105"/>
  <c r="CU153" i="105"/>
  <c r="BW153" i="105"/>
  <c r="AY153" i="105"/>
  <c r="AA153" i="105"/>
  <c r="CM153" i="105"/>
  <c r="BO153" i="105"/>
  <c r="AQ153" i="105"/>
  <c r="S153" i="105"/>
  <c r="CK153" i="105"/>
  <c r="BM153" i="105"/>
  <c r="AO153" i="105"/>
  <c r="Q153" i="105"/>
  <c r="CJ153" i="105"/>
  <c r="BL153" i="105"/>
  <c r="AN153" i="105"/>
  <c r="P153" i="105"/>
  <c r="DC153" i="105"/>
  <c r="CE153" i="105"/>
  <c r="BG153" i="105"/>
  <c r="AI153" i="105"/>
  <c r="K153" i="105"/>
  <c r="CY153" i="105"/>
  <c r="BK153" i="105"/>
  <c r="X153" i="105"/>
  <c r="CV153" i="105"/>
  <c r="BC153" i="105"/>
  <c r="O153" i="105"/>
  <c r="CR153" i="105"/>
  <c r="BA153" i="105"/>
  <c r="L153" i="105"/>
  <c r="CF153" i="105"/>
  <c r="AU153" i="105"/>
  <c r="BY153" i="105"/>
  <c r="AJ153" i="105"/>
  <c r="BX153" i="105"/>
  <c r="BT153" i="105"/>
  <c r="BS153" i="105"/>
  <c r="AM153" i="105"/>
  <c r="DD153" i="105"/>
  <c r="AE153" i="105"/>
  <c r="BH153" i="105"/>
  <c r="AZ153" i="105"/>
  <c r="CI153" i="105"/>
  <c r="AV153" i="105"/>
  <c r="AC153" i="105"/>
  <c r="AB153" i="105"/>
  <c r="W153" i="105"/>
  <c r="CA153" i="105"/>
  <c r="CQ153" i="105"/>
  <c r="CW153" i="105"/>
  <c r="Y140" i="104"/>
  <c r="N58" i="104"/>
  <c r="N57" i="104" s="1"/>
  <c r="BA196" i="104" s="1"/>
  <c r="R72" i="104"/>
  <c r="AX73" i="104"/>
  <c r="L75" i="105"/>
  <c r="P75" i="105" s="1"/>
  <c r="CG148" i="105" s="1"/>
  <c r="AU78" i="104"/>
  <c r="L45" i="104"/>
  <c r="H75" i="104"/>
  <c r="L28" i="105"/>
  <c r="L24" i="104"/>
  <c r="AS97" i="104" s="1"/>
  <c r="L27" i="104"/>
  <c r="T75" i="104"/>
  <c r="AS72" i="104"/>
  <c r="AF75" i="104"/>
  <c r="AF79" i="104"/>
  <c r="O31" i="105"/>
  <c r="O32" i="105" s="1"/>
  <c r="O33" i="105" s="1"/>
  <c r="O34" i="105" s="1"/>
  <c r="O35" i="105" s="1"/>
  <c r="CW137" i="105"/>
  <c r="CK137" i="105"/>
  <c r="BY137" i="105"/>
  <c r="BM137" i="105"/>
  <c r="BA137" i="105"/>
  <c r="AO137" i="105"/>
  <c r="AC137" i="105"/>
  <c r="Q137" i="105"/>
  <c r="DF137" i="105"/>
  <c r="CT137" i="105"/>
  <c r="CH137" i="105"/>
  <c r="BV137" i="105"/>
  <c r="BJ137" i="105"/>
  <c r="AX137" i="105"/>
  <c r="AL137" i="105"/>
  <c r="Z137" i="105"/>
  <c r="N137" i="105"/>
  <c r="CU137" i="105"/>
  <c r="CF137" i="105"/>
  <c r="BR137" i="105"/>
  <c r="BD137" i="105"/>
  <c r="AP137" i="105"/>
  <c r="AA137" i="105"/>
  <c r="L137" i="105"/>
  <c r="CS137" i="105"/>
  <c r="CE137" i="105"/>
  <c r="BQ137" i="105"/>
  <c r="BC137" i="105"/>
  <c r="AN137" i="105"/>
  <c r="Y137" i="105"/>
  <c r="CR137" i="105"/>
  <c r="CD137" i="105"/>
  <c r="BP137" i="105"/>
  <c r="BB137" i="105"/>
  <c r="AM137" i="105"/>
  <c r="X137" i="105"/>
  <c r="DA137" i="105"/>
  <c r="CM137" i="105"/>
  <c r="BX137" i="105"/>
  <c r="BI137" i="105"/>
  <c r="AU137" i="105"/>
  <c r="AG137" i="105"/>
  <c r="S137" i="105"/>
  <c r="DD137" i="105"/>
  <c r="CJ137" i="105"/>
  <c r="BN137" i="105"/>
  <c r="AS137" i="105"/>
  <c r="V137" i="105"/>
  <c r="CV137" i="105"/>
  <c r="BZ137" i="105"/>
  <c r="BE137" i="105"/>
  <c r="AH137" i="105"/>
  <c r="M137" i="105"/>
  <c r="DE137" i="105"/>
  <c r="CG137" i="105"/>
  <c r="BG137" i="105"/>
  <c r="AF137" i="105"/>
  <c r="DB137" i="105"/>
  <c r="CB137" i="105"/>
  <c r="AZ137" i="105"/>
  <c r="AD137" i="105"/>
  <c r="CZ137" i="105"/>
  <c r="CA137" i="105"/>
  <c r="AY137" i="105"/>
  <c r="AB137" i="105"/>
  <c r="CY137" i="105"/>
  <c r="BW137" i="105"/>
  <c r="AW137" i="105"/>
  <c r="W137" i="105"/>
  <c r="CX137" i="105"/>
  <c r="BU137" i="105"/>
  <c r="AV137" i="105"/>
  <c r="U137" i="105"/>
  <c r="CQ137" i="105"/>
  <c r="BT137" i="105"/>
  <c r="AT137" i="105"/>
  <c r="T137" i="105"/>
  <c r="CO137" i="105"/>
  <c r="BO137" i="105"/>
  <c r="AQ137" i="105"/>
  <c r="P137" i="105"/>
  <c r="CN137" i="105"/>
  <c r="AI137" i="105"/>
  <c r="CL137" i="105"/>
  <c r="AE137" i="105"/>
  <c r="BS137" i="105"/>
  <c r="I137" i="105"/>
  <c r="BL137" i="105"/>
  <c r="H137" i="105"/>
  <c r="BF137" i="105"/>
  <c r="BK137" i="105"/>
  <c r="BH137" i="105"/>
  <c r="AR137" i="105"/>
  <c r="AK137" i="105"/>
  <c r="AJ137" i="105"/>
  <c r="R137" i="105"/>
  <c r="DC137" i="105"/>
  <c r="CC137" i="105"/>
  <c r="CI137" i="105"/>
  <c r="O137" i="105"/>
  <c r="CW147" i="105"/>
  <c r="CK147" i="105"/>
  <c r="BY147" i="105"/>
  <c r="BM147" i="105"/>
  <c r="BA147" i="105"/>
  <c r="AO147" i="105"/>
  <c r="AC147" i="105"/>
  <c r="Q147" i="105"/>
  <c r="DF147" i="105"/>
  <c r="CT147" i="105"/>
  <c r="CH147" i="105"/>
  <c r="BV147" i="105"/>
  <c r="BJ147" i="105"/>
  <c r="AX147" i="105"/>
  <c r="AL147" i="105"/>
  <c r="Z147" i="105"/>
  <c r="N147" i="105"/>
  <c r="DE147" i="105"/>
  <c r="CS147" i="105"/>
  <c r="CG147" i="105"/>
  <c r="BU147" i="105"/>
  <c r="BI147" i="105"/>
  <c r="AW147" i="105"/>
  <c r="DD147" i="105"/>
  <c r="CR147" i="105"/>
  <c r="CF147" i="105"/>
  <c r="BT147" i="105"/>
  <c r="DA147" i="105"/>
  <c r="CO147" i="105"/>
  <c r="CC147" i="105"/>
  <c r="BQ147" i="105"/>
  <c r="BE147" i="105"/>
  <c r="AS147" i="105"/>
  <c r="AG147" i="105"/>
  <c r="U147" i="105"/>
  <c r="I147" i="105"/>
  <c r="CP147" i="105"/>
  <c r="BW147" i="105"/>
  <c r="BC147" i="105"/>
  <c r="AK147" i="105"/>
  <c r="V147" i="105"/>
  <c r="CM147" i="105"/>
  <c r="BR147" i="105"/>
  <c r="AZ147" i="105"/>
  <c r="AI147" i="105"/>
  <c r="S147" i="105"/>
  <c r="CL147" i="105"/>
  <c r="BP147" i="105"/>
  <c r="AY147" i="105"/>
  <c r="AH147" i="105"/>
  <c r="R147" i="105"/>
  <c r="CZ147" i="105"/>
  <c r="CE147" i="105"/>
  <c r="BL147" i="105"/>
  <c r="AT147" i="105"/>
  <c r="AD147" i="105"/>
  <c r="M147" i="105"/>
  <c r="CX147" i="105"/>
  <c r="CB147" i="105"/>
  <c r="BH147" i="105"/>
  <c r="AQ147" i="105"/>
  <c r="AA147" i="105"/>
  <c r="K147" i="105"/>
  <c r="CU147" i="105"/>
  <c r="BK147" i="105"/>
  <c r="AF147" i="105"/>
  <c r="CQ147" i="105"/>
  <c r="BG147" i="105"/>
  <c r="AE147" i="105"/>
  <c r="CN147" i="105"/>
  <c r="BF147" i="105"/>
  <c r="AB147" i="105"/>
  <c r="CA147" i="105"/>
  <c r="AU147" i="105"/>
  <c r="T147" i="105"/>
  <c r="BZ147" i="105"/>
  <c r="AR147" i="105"/>
  <c r="P147" i="105"/>
  <c r="CD147" i="105"/>
  <c r="Y147" i="105"/>
  <c r="BX147" i="105"/>
  <c r="X147" i="105"/>
  <c r="DC147" i="105"/>
  <c r="BB147" i="105"/>
  <c r="H147" i="105"/>
  <c r="AV147" i="105"/>
  <c r="AN147" i="105"/>
  <c r="DB147" i="105"/>
  <c r="AM147" i="105"/>
  <c r="CY147" i="105"/>
  <c r="AJ147" i="105"/>
  <c r="CV147" i="105"/>
  <c r="W147" i="105"/>
  <c r="CJ147" i="105"/>
  <c r="O147" i="105"/>
  <c r="BS147" i="105"/>
  <c r="J147" i="105"/>
  <c r="BD147" i="105"/>
  <c r="AP147" i="105"/>
  <c r="L147" i="105"/>
  <c r="CI147" i="105"/>
  <c r="BO147" i="105"/>
  <c r="BN147" i="105"/>
  <c r="U140" i="105"/>
  <c r="DA152" i="105"/>
  <c r="CO152" i="105"/>
  <c r="CC152" i="105"/>
  <c r="BQ152" i="105"/>
  <c r="BE152" i="105"/>
  <c r="AS152" i="105"/>
  <c r="AG152" i="105"/>
  <c r="U152" i="105"/>
  <c r="I152" i="105"/>
  <c r="CZ152" i="105"/>
  <c r="CN152" i="105"/>
  <c r="CB152" i="105"/>
  <c r="BP152" i="105"/>
  <c r="BD152" i="105"/>
  <c r="AR152" i="105"/>
  <c r="AF152" i="105"/>
  <c r="T152" i="105"/>
  <c r="H152" i="105"/>
  <c r="CW152" i="105"/>
  <c r="CK152" i="105"/>
  <c r="BY152" i="105"/>
  <c r="BM152" i="105"/>
  <c r="BA152" i="105"/>
  <c r="AO152" i="105"/>
  <c r="AC152" i="105"/>
  <c r="Q152" i="105"/>
  <c r="CV152" i="105"/>
  <c r="CJ152" i="105"/>
  <c r="BX152" i="105"/>
  <c r="BL152" i="105"/>
  <c r="AZ152" i="105"/>
  <c r="AN152" i="105"/>
  <c r="AB152" i="105"/>
  <c r="P152" i="105"/>
  <c r="CU152" i="105"/>
  <c r="CI152" i="105"/>
  <c r="BW152" i="105"/>
  <c r="BK152" i="105"/>
  <c r="AY152" i="105"/>
  <c r="AM152" i="105"/>
  <c r="AA152" i="105"/>
  <c r="O152" i="105"/>
  <c r="DE152" i="105"/>
  <c r="CS152" i="105"/>
  <c r="CG152" i="105"/>
  <c r="BU152" i="105"/>
  <c r="BI152" i="105"/>
  <c r="AW152" i="105"/>
  <c r="DB152" i="105"/>
  <c r="CD152" i="105"/>
  <c r="BF152" i="105"/>
  <c r="AI152" i="105"/>
  <c r="M152" i="105"/>
  <c r="CT152" i="105"/>
  <c r="BV152" i="105"/>
  <c r="AX152" i="105"/>
  <c r="AD152" i="105"/>
  <c r="J152" i="105"/>
  <c r="CR152" i="105"/>
  <c r="BT152" i="105"/>
  <c r="AV152" i="105"/>
  <c r="Z152" i="105"/>
  <c r="CQ152" i="105"/>
  <c r="BS152" i="105"/>
  <c r="AU152" i="105"/>
  <c r="Y152" i="105"/>
  <c r="CL152" i="105"/>
  <c r="BN152" i="105"/>
  <c r="AP152" i="105"/>
  <c r="V152" i="105"/>
  <c r="CF152" i="105"/>
  <c r="AQ152" i="105"/>
  <c r="K152" i="105"/>
  <c r="CA152" i="105"/>
  <c r="AK152" i="105"/>
  <c r="BZ152" i="105"/>
  <c r="AJ152" i="105"/>
  <c r="DC152" i="105"/>
  <c r="BJ152" i="105"/>
  <c r="X152" i="105"/>
  <c r="CX152" i="105"/>
  <c r="BG152" i="105"/>
  <c r="S152" i="105"/>
  <c r="DD152" i="105"/>
  <c r="AL152" i="105"/>
  <c r="CY152" i="105"/>
  <c r="AH152" i="105"/>
  <c r="CP152" i="105"/>
  <c r="AE152" i="105"/>
  <c r="BR152" i="105"/>
  <c r="L152" i="105"/>
  <c r="BO152" i="105"/>
  <c r="BB152" i="105"/>
  <c r="AT152" i="105"/>
  <c r="DF152" i="105"/>
  <c r="R152" i="105"/>
  <c r="CM152" i="105"/>
  <c r="CE152" i="105"/>
  <c r="CH152" i="105"/>
  <c r="BH152" i="105"/>
  <c r="BC152" i="105"/>
  <c r="W152" i="105"/>
  <c r="N152" i="105"/>
  <c r="AA72" i="104"/>
  <c r="L31" i="105"/>
  <c r="S31" i="105" s="1"/>
  <c r="AJ72" i="104"/>
  <c r="N79" i="104"/>
  <c r="M26" i="105"/>
  <c r="L73" i="105"/>
  <c r="K73" i="105" s="1"/>
  <c r="DD146" i="105"/>
  <c r="CR146" i="105"/>
  <c r="CF146" i="105"/>
  <c r="BT146" i="105"/>
  <c r="BH146" i="105"/>
  <c r="AV146" i="105"/>
  <c r="AJ146" i="105"/>
  <c r="X146" i="105"/>
  <c r="L146" i="105"/>
  <c r="DA146" i="105"/>
  <c r="CO146" i="105"/>
  <c r="CC146" i="105"/>
  <c r="BQ146" i="105"/>
  <c r="BE146" i="105"/>
  <c r="AS146" i="105"/>
  <c r="AG146" i="105"/>
  <c r="U146" i="105"/>
  <c r="I146" i="105"/>
  <c r="CV146" i="105"/>
  <c r="CJ146" i="105"/>
  <c r="BX146" i="105"/>
  <c r="BL146" i="105"/>
  <c r="AZ146" i="105"/>
  <c r="AN146" i="105"/>
  <c r="AB146" i="105"/>
  <c r="P146" i="105"/>
  <c r="DE146" i="105"/>
  <c r="CN146" i="105"/>
  <c r="BY146" i="105"/>
  <c r="BI146" i="105"/>
  <c r="AR146" i="105"/>
  <c r="AC146" i="105"/>
  <c r="M146" i="105"/>
  <c r="DB146" i="105"/>
  <c r="CL146" i="105"/>
  <c r="BV146" i="105"/>
  <c r="BF146" i="105"/>
  <c r="AP146" i="105"/>
  <c r="Z146" i="105"/>
  <c r="J146" i="105"/>
  <c r="CZ146" i="105"/>
  <c r="CK146" i="105"/>
  <c r="BU146" i="105"/>
  <c r="BD146" i="105"/>
  <c r="AO146" i="105"/>
  <c r="Y146" i="105"/>
  <c r="H146" i="105"/>
  <c r="CW146" i="105"/>
  <c r="CG146" i="105"/>
  <c r="BP146" i="105"/>
  <c r="BA146" i="105"/>
  <c r="AK146" i="105"/>
  <c r="T146" i="105"/>
  <c r="CT146" i="105"/>
  <c r="CD146" i="105"/>
  <c r="BN146" i="105"/>
  <c r="AX146" i="105"/>
  <c r="AH146" i="105"/>
  <c r="R146" i="105"/>
  <c r="DF146" i="105"/>
  <c r="CB146" i="105"/>
  <c r="BB146" i="105"/>
  <c r="AA146" i="105"/>
  <c r="DC146" i="105"/>
  <c r="CA146" i="105"/>
  <c r="AY146" i="105"/>
  <c r="W146" i="105"/>
  <c r="CY146" i="105"/>
  <c r="BZ146" i="105"/>
  <c r="AW146" i="105"/>
  <c r="V146" i="105"/>
  <c r="CQ146" i="105"/>
  <c r="BO146" i="105"/>
  <c r="AM146" i="105"/>
  <c r="N146" i="105"/>
  <c r="CP146" i="105"/>
  <c r="BM146" i="105"/>
  <c r="AL146" i="105"/>
  <c r="K146" i="105"/>
  <c r="CH146" i="105"/>
  <c r="AI146" i="105"/>
  <c r="CE146" i="105"/>
  <c r="BJ146" i="105"/>
  <c r="O146" i="105"/>
  <c r="CM146" i="105"/>
  <c r="AE146" i="105"/>
  <c r="BW146" i="105"/>
  <c r="S146" i="105"/>
  <c r="BS146" i="105"/>
  <c r="Q146" i="105"/>
  <c r="BR146" i="105"/>
  <c r="BK146" i="105"/>
  <c r="BG146" i="105"/>
  <c r="AU146" i="105"/>
  <c r="CX146" i="105"/>
  <c r="CU146" i="105"/>
  <c r="CS146" i="105"/>
  <c r="CI146" i="105"/>
  <c r="BC146" i="105"/>
  <c r="AT146" i="105"/>
  <c r="AQ146" i="105"/>
  <c r="AF146" i="105"/>
  <c r="AD146" i="105"/>
  <c r="DB138" i="105"/>
  <c r="CP138" i="105"/>
  <c r="CD138" i="105"/>
  <c r="BR138" i="105"/>
  <c r="BF138" i="105"/>
  <c r="AT138" i="105"/>
  <c r="AH138" i="105"/>
  <c r="V138" i="105"/>
  <c r="CY138" i="105"/>
  <c r="CM138" i="105"/>
  <c r="CA138" i="105"/>
  <c r="BO138" i="105"/>
  <c r="BC138" i="105"/>
  <c r="AQ138" i="105"/>
  <c r="AE138" i="105"/>
  <c r="S138" i="105"/>
  <c r="DF138" i="105"/>
  <c r="CT138" i="105"/>
  <c r="CH138" i="105"/>
  <c r="BV138" i="105"/>
  <c r="BJ138" i="105"/>
  <c r="AX138" i="105"/>
  <c r="CX138" i="105"/>
  <c r="CI138" i="105"/>
  <c r="BS138" i="105"/>
  <c r="BB138" i="105"/>
  <c r="AM138" i="105"/>
  <c r="Y138" i="105"/>
  <c r="CW138" i="105"/>
  <c r="CG138" i="105"/>
  <c r="BQ138" i="105"/>
  <c r="BA138" i="105"/>
  <c r="AL138" i="105"/>
  <c r="X138" i="105"/>
  <c r="I138" i="105"/>
  <c r="CV138" i="105"/>
  <c r="CF138" i="105"/>
  <c r="BP138" i="105"/>
  <c r="AZ138" i="105"/>
  <c r="AK138" i="105"/>
  <c r="W138" i="105"/>
  <c r="H138" i="105"/>
  <c r="CQ138" i="105"/>
  <c r="DE138" i="105"/>
  <c r="CO138" i="105"/>
  <c r="BY138" i="105"/>
  <c r="BI138" i="105"/>
  <c r="AS138" i="105"/>
  <c r="AD138" i="105"/>
  <c r="P138" i="105"/>
  <c r="CU138" i="105"/>
  <c r="BW138" i="105"/>
  <c r="AW138" i="105"/>
  <c r="AB138" i="105"/>
  <c r="CJ138" i="105"/>
  <c r="BK138" i="105"/>
  <c r="AN138" i="105"/>
  <c r="Q138" i="105"/>
  <c r="CL138" i="105"/>
  <c r="BH138" i="105"/>
  <c r="AG138" i="105"/>
  <c r="CE138" i="105"/>
  <c r="BE138" i="105"/>
  <c r="AC138" i="105"/>
  <c r="CC138" i="105"/>
  <c r="BD138" i="105"/>
  <c r="AA138" i="105"/>
  <c r="CB138" i="105"/>
  <c r="AY138" i="105"/>
  <c r="Z138" i="105"/>
  <c r="DD138" i="105"/>
  <c r="BZ138" i="105"/>
  <c r="AV138" i="105"/>
  <c r="U138" i="105"/>
  <c r="DC138" i="105"/>
  <c r="BX138" i="105"/>
  <c r="AU138" i="105"/>
  <c r="T138" i="105"/>
  <c r="CZ138" i="105"/>
  <c r="BT138" i="105"/>
  <c r="AP138" i="105"/>
  <c r="O138" i="105"/>
  <c r="BG138" i="105"/>
  <c r="AR138" i="105"/>
  <c r="CS138" i="105"/>
  <c r="AI138" i="105"/>
  <c r="CR138" i="105"/>
  <c r="AF138" i="105"/>
  <c r="BU138" i="105"/>
  <c r="M138" i="105"/>
  <c r="BN138" i="105"/>
  <c r="BM138" i="105"/>
  <c r="BL138" i="105"/>
  <c r="AO138" i="105"/>
  <c r="AJ138" i="105"/>
  <c r="R138" i="105"/>
  <c r="CK138" i="105"/>
  <c r="L138" i="105"/>
  <c r="DA138" i="105"/>
  <c r="CN138" i="105"/>
  <c r="AB140" i="105"/>
  <c r="N73" i="104"/>
  <c r="BD75" i="104"/>
  <c r="CU139" i="105"/>
  <c r="CI139" i="105"/>
  <c r="BW139" i="105"/>
  <c r="BK139" i="105"/>
  <c r="AY139" i="105"/>
  <c r="AM139" i="105"/>
  <c r="AA139" i="105"/>
  <c r="O139" i="105"/>
  <c r="DD139" i="105"/>
  <c r="CR139" i="105"/>
  <c r="CF139" i="105"/>
  <c r="BT139" i="105"/>
  <c r="BH139" i="105"/>
  <c r="AV139" i="105"/>
  <c r="AJ139" i="105"/>
  <c r="X139" i="105"/>
  <c r="L139" i="105"/>
  <c r="CY139" i="105"/>
  <c r="CM139" i="105"/>
  <c r="CA139" i="105"/>
  <c r="BO139" i="105"/>
  <c r="BC139" i="105"/>
  <c r="AQ139" i="105"/>
  <c r="AE139" i="105"/>
  <c r="S139" i="105"/>
  <c r="CQ139" i="105"/>
  <c r="CB139" i="105"/>
  <c r="BL139" i="105"/>
  <c r="AU139" i="105"/>
  <c r="AF139" i="105"/>
  <c r="P139" i="105"/>
  <c r="DF139" i="105"/>
  <c r="CP139" i="105"/>
  <c r="BZ139" i="105"/>
  <c r="BJ139" i="105"/>
  <c r="AT139" i="105"/>
  <c r="AD139" i="105"/>
  <c r="N139" i="105"/>
  <c r="DE139" i="105"/>
  <c r="CO139" i="105"/>
  <c r="BY139" i="105"/>
  <c r="BI139" i="105"/>
  <c r="AS139" i="105"/>
  <c r="AC139" i="105"/>
  <c r="M139" i="105"/>
  <c r="CZ139" i="105"/>
  <c r="CJ139" i="105"/>
  <c r="BS139" i="105"/>
  <c r="BD139" i="105"/>
  <c r="AN139" i="105"/>
  <c r="W139" i="105"/>
  <c r="H139" i="105"/>
  <c r="CX139" i="105"/>
  <c r="CH139" i="105"/>
  <c r="BR139" i="105"/>
  <c r="BB139" i="105"/>
  <c r="AL139" i="105"/>
  <c r="V139" i="105"/>
  <c r="DB139" i="105"/>
  <c r="CC139" i="105"/>
  <c r="AZ139" i="105"/>
  <c r="Y139" i="105"/>
  <c r="CN139" i="105"/>
  <c r="BN139" i="105"/>
  <c r="AK139" i="105"/>
  <c r="CG139" i="105"/>
  <c r="BA139" i="105"/>
  <c r="T139" i="105"/>
  <c r="CD139" i="105"/>
  <c r="AW139" i="105"/>
  <c r="Q139" i="105"/>
  <c r="BX139" i="105"/>
  <c r="AR139" i="105"/>
  <c r="DC139" i="105"/>
  <c r="BV139" i="105"/>
  <c r="AP139" i="105"/>
  <c r="I139" i="105"/>
  <c r="DA139" i="105"/>
  <c r="BU139" i="105"/>
  <c r="AO139" i="105"/>
  <c r="CW139" i="105"/>
  <c r="BQ139" i="105"/>
  <c r="AI139" i="105"/>
  <c r="CT139" i="105"/>
  <c r="BM139" i="105"/>
  <c r="AG139" i="105"/>
  <c r="CV139" i="105"/>
  <c r="Z139" i="105"/>
  <c r="CS139" i="105"/>
  <c r="U139" i="105"/>
  <c r="CE139" i="105"/>
  <c r="BP139" i="105"/>
  <c r="BE139" i="105"/>
  <c r="CL139" i="105"/>
  <c r="CK139" i="105"/>
  <c r="BG139" i="105"/>
  <c r="BF139" i="105"/>
  <c r="AX139" i="105"/>
  <c r="R139" i="105"/>
  <c r="AH139" i="105"/>
  <c r="DB149" i="105"/>
  <c r="CP149" i="105"/>
  <c r="CD149" i="105"/>
  <c r="BR149" i="105"/>
  <c r="BF149" i="105"/>
  <c r="AT149" i="105"/>
  <c r="AH149" i="105"/>
  <c r="V149" i="105"/>
  <c r="J149" i="105"/>
  <c r="CY149" i="105"/>
  <c r="CM149" i="105"/>
  <c r="CA149" i="105"/>
  <c r="BO149" i="105"/>
  <c r="BC149" i="105"/>
  <c r="AQ149" i="105"/>
  <c r="AE149" i="105"/>
  <c r="S149" i="105"/>
  <c r="CX149" i="105"/>
  <c r="CL149" i="105"/>
  <c r="BZ149" i="105"/>
  <c r="BN149" i="105"/>
  <c r="BB149" i="105"/>
  <c r="AP149" i="105"/>
  <c r="AD149" i="105"/>
  <c r="R149" i="105"/>
  <c r="CW149" i="105"/>
  <c r="CK149" i="105"/>
  <c r="BY149" i="105"/>
  <c r="BM149" i="105"/>
  <c r="BA149" i="105"/>
  <c r="AO149" i="105"/>
  <c r="AC149" i="105"/>
  <c r="Q149" i="105"/>
  <c r="DF149" i="105"/>
  <c r="CT149" i="105"/>
  <c r="CH149" i="105"/>
  <c r="BV149" i="105"/>
  <c r="BJ149" i="105"/>
  <c r="AX149" i="105"/>
  <c r="AL149" i="105"/>
  <c r="Z149" i="105"/>
  <c r="N149" i="105"/>
  <c r="CQ149" i="105"/>
  <c r="BU149" i="105"/>
  <c r="AZ149" i="105"/>
  <c r="AG149" i="105"/>
  <c r="L149" i="105"/>
  <c r="CN149" i="105"/>
  <c r="BS149" i="105"/>
  <c r="AW149" i="105"/>
  <c r="AB149" i="105"/>
  <c r="I149" i="105"/>
  <c r="DE149" i="105"/>
  <c r="CJ149" i="105"/>
  <c r="BQ149" i="105"/>
  <c r="AV149" i="105"/>
  <c r="AA149" i="105"/>
  <c r="H149" i="105"/>
  <c r="DA149" i="105"/>
  <c r="CF149" i="105"/>
  <c r="BK149" i="105"/>
  <c r="AR149" i="105"/>
  <c r="W149" i="105"/>
  <c r="CV149" i="105"/>
  <c r="CC149" i="105"/>
  <c r="BH149" i="105"/>
  <c r="AM149" i="105"/>
  <c r="T149" i="105"/>
  <c r="CU149" i="105"/>
  <c r="BL149" i="105"/>
  <c r="AF149" i="105"/>
  <c r="CS149" i="105"/>
  <c r="BI149" i="105"/>
  <c r="Y149" i="105"/>
  <c r="CR149" i="105"/>
  <c r="BG149" i="105"/>
  <c r="X149" i="105"/>
  <c r="CE149" i="105"/>
  <c r="AU149" i="105"/>
  <c r="M149" i="105"/>
  <c r="CB149" i="105"/>
  <c r="AS149" i="105"/>
  <c r="K149" i="105"/>
  <c r="CZ149" i="105"/>
  <c r="AK149" i="105"/>
  <c r="CO149" i="105"/>
  <c r="AJ149" i="105"/>
  <c r="BT149" i="105"/>
  <c r="DD149" i="105"/>
  <c r="U149" i="105"/>
  <c r="CI149" i="105"/>
  <c r="O149" i="105"/>
  <c r="CG149" i="105"/>
  <c r="BX149" i="105"/>
  <c r="BW149" i="105"/>
  <c r="BP149" i="105"/>
  <c r="BD149" i="105"/>
  <c r="DC149" i="105"/>
  <c r="BE149" i="105"/>
  <c r="AY149" i="105"/>
  <c r="AN149" i="105"/>
  <c r="AI149" i="105"/>
  <c r="P149" i="105"/>
  <c r="BF140" i="105"/>
  <c r="J72" i="104"/>
  <c r="S72" i="104"/>
  <c r="AB72" i="104"/>
  <c r="AK72" i="104"/>
  <c r="AT72" i="104"/>
  <c r="BE72" i="104"/>
  <c r="P73" i="104"/>
  <c r="AB73" i="104"/>
  <c r="AN73" i="104"/>
  <c r="AZ73" i="104"/>
  <c r="M74" i="104"/>
  <c r="Y74" i="104"/>
  <c r="AK74" i="104"/>
  <c r="AW74" i="104"/>
  <c r="J75" i="104"/>
  <c r="V75" i="104"/>
  <c r="AH75" i="104"/>
  <c r="AT75" i="104"/>
  <c r="BF75" i="104"/>
  <c r="Y76" i="104"/>
  <c r="AQ76" i="104"/>
  <c r="J77" i="104"/>
  <c r="AB77" i="104"/>
  <c r="AT77" i="104"/>
  <c r="M78" i="104"/>
  <c r="AE78" i="104"/>
  <c r="AW78" i="104"/>
  <c r="P79" i="104"/>
  <c r="AH79" i="104"/>
  <c r="AZ79" i="104"/>
  <c r="Y82" i="104"/>
  <c r="AQ82" i="104"/>
  <c r="AF87" i="104"/>
  <c r="AU92" i="104"/>
  <c r="AV112" i="104"/>
  <c r="L72" i="104"/>
  <c r="U72" i="104"/>
  <c r="AD72" i="104"/>
  <c r="AM72" i="104"/>
  <c r="AV72" i="104"/>
  <c r="BF72" i="104"/>
  <c r="S73" i="104"/>
  <c r="AE73" i="104"/>
  <c r="AQ73" i="104"/>
  <c r="BC73" i="104"/>
  <c r="P74" i="104"/>
  <c r="AB74" i="104"/>
  <c r="AN74" i="104"/>
  <c r="AZ74" i="104"/>
  <c r="M75" i="104"/>
  <c r="Y75" i="104"/>
  <c r="AK75" i="104"/>
  <c r="AW75" i="104"/>
  <c r="K76" i="104"/>
  <c r="AC76" i="104"/>
  <c r="AU76" i="104"/>
  <c r="N77" i="104"/>
  <c r="AF77" i="104"/>
  <c r="AX77" i="104"/>
  <c r="Q78" i="104"/>
  <c r="AI78" i="104"/>
  <c r="BA78" i="104"/>
  <c r="T79" i="104"/>
  <c r="AL79" i="104"/>
  <c r="BD79" i="104"/>
  <c r="K82" i="104"/>
  <c r="AC82" i="104"/>
  <c r="AU82" i="104"/>
  <c r="AL87" i="104"/>
  <c r="BD92" i="104"/>
  <c r="R114" i="104"/>
  <c r="M72" i="104"/>
  <c r="V72" i="104"/>
  <c r="AE72" i="104"/>
  <c r="AN72" i="104"/>
  <c r="AW72" i="104"/>
  <c r="H73" i="104"/>
  <c r="T73" i="104"/>
  <c r="AF73" i="104"/>
  <c r="AR73" i="104"/>
  <c r="BD73" i="104"/>
  <c r="Q74" i="104"/>
  <c r="AC74" i="104"/>
  <c r="AO74" i="104"/>
  <c r="BA74" i="104"/>
  <c r="N75" i="104"/>
  <c r="Z75" i="104"/>
  <c r="AL75" i="104"/>
  <c r="AX75" i="104"/>
  <c r="M76" i="104"/>
  <c r="AE76" i="104"/>
  <c r="AW76" i="104"/>
  <c r="P77" i="104"/>
  <c r="AH77" i="104"/>
  <c r="AZ77" i="104"/>
  <c r="S78" i="104"/>
  <c r="AK78" i="104"/>
  <c r="BC78" i="104"/>
  <c r="V79" i="104"/>
  <c r="AN79" i="104"/>
  <c r="BF79" i="104"/>
  <c r="M82" i="104"/>
  <c r="AE82" i="104"/>
  <c r="AW82" i="104"/>
  <c r="H87" i="104"/>
  <c r="AR87" i="104"/>
  <c r="K92" i="104"/>
  <c r="W103" i="104"/>
  <c r="BB148" i="104"/>
  <c r="O72" i="104"/>
  <c r="X72" i="104"/>
  <c r="AG72" i="104"/>
  <c r="AP72" i="104"/>
  <c r="AY72" i="104"/>
  <c r="J73" i="104"/>
  <c r="V73" i="104"/>
  <c r="AH73" i="104"/>
  <c r="AT73" i="104"/>
  <c r="BF73" i="104"/>
  <c r="S74" i="104"/>
  <c r="AE74" i="104"/>
  <c r="AQ74" i="104"/>
  <c r="BC74" i="104"/>
  <c r="P75" i="104"/>
  <c r="AB75" i="104"/>
  <c r="AN75" i="104"/>
  <c r="AZ75" i="104"/>
  <c r="Q76" i="104"/>
  <c r="AI76" i="104"/>
  <c r="BA76" i="104"/>
  <c r="T77" i="104"/>
  <c r="AL77" i="104"/>
  <c r="BD77" i="104"/>
  <c r="W78" i="104"/>
  <c r="AO78" i="104"/>
  <c r="H79" i="104"/>
  <c r="Z79" i="104"/>
  <c r="AR79" i="104"/>
  <c r="Q82" i="104"/>
  <c r="AI82" i="104"/>
  <c r="BA82" i="104"/>
  <c r="N87" i="104"/>
  <c r="AX87" i="104"/>
  <c r="T92" i="104"/>
  <c r="Z98" i="104"/>
  <c r="AX103" i="104"/>
  <c r="AS108" i="104"/>
  <c r="P72" i="104"/>
  <c r="Y72" i="104"/>
  <c r="AH72" i="104"/>
  <c r="AQ72" i="104"/>
  <c r="AZ72" i="104"/>
  <c r="M73" i="104"/>
  <c r="Y73" i="104"/>
  <c r="AK73" i="104"/>
  <c r="AW73" i="104"/>
  <c r="J74" i="104"/>
  <c r="V74" i="104"/>
  <c r="AH74" i="104"/>
  <c r="AT74" i="104"/>
  <c r="BF74" i="104"/>
  <c r="S75" i="104"/>
  <c r="AE75" i="104"/>
  <c r="AQ75" i="104"/>
  <c r="BC75" i="104"/>
  <c r="S76" i="104"/>
  <c r="AK76" i="104"/>
  <c r="BC76" i="104"/>
  <c r="V77" i="104"/>
  <c r="AN77" i="104"/>
  <c r="BF77" i="104"/>
  <c r="Y78" i="104"/>
  <c r="AQ78" i="104"/>
  <c r="J79" i="104"/>
  <c r="AB79" i="104"/>
  <c r="AT79" i="104"/>
  <c r="S82" i="104"/>
  <c r="AK82" i="104"/>
  <c r="BC82" i="104"/>
  <c r="T87" i="104"/>
  <c r="BD87" i="104"/>
  <c r="AC92" i="104"/>
  <c r="AV98" i="104"/>
  <c r="BE222" i="104"/>
  <c r="AY222" i="104"/>
  <c r="AS222" i="104"/>
  <c r="AM222" i="104"/>
  <c r="AG222" i="104"/>
  <c r="AA222" i="104"/>
  <c r="U222" i="104"/>
  <c r="O222" i="104"/>
  <c r="I222" i="104"/>
  <c r="BB221" i="104"/>
  <c r="BE220" i="104"/>
  <c r="AY220" i="104"/>
  <c r="AS220" i="104"/>
  <c r="AM220" i="104"/>
  <c r="AG220" i="104"/>
  <c r="AA220" i="104"/>
  <c r="U220" i="104"/>
  <c r="O220" i="104"/>
  <c r="I220" i="104"/>
  <c r="BB219" i="104"/>
  <c r="AV219" i="104"/>
  <c r="AP219" i="104"/>
  <c r="AJ219" i="104"/>
  <c r="AD219" i="104"/>
  <c r="X219" i="104"/>
  <c r="R219" i="104"/>
  <c r="L219" i="104"/>
  <c r="BE218" i="104"/>
  <c r="AY218" i="104"/>
  <c r="AS218" i="104"/>
  <c r="AM218" i="104"/>
  <c r="AG218" i="104"/>
  <c r="AA218" i="104"/>
  <c r="U218" i="104"/>
  <c r="O218" i="104"/>
  <c r="I218" i="104"/>
  <c r="X217" i="104"/>
  <c r="BE216" i="104"/>
  <c r="AY216" i="104"/>
  <c r="AS216" i="104"/>
  <c r="AM216" i="104"/>
  <c r="AG216" i="104"/>
  <c r="AA216" i="104"/>
  <c r="U216" i="104"/>
  <c r="O216" i="104"/>
  <c r="I216" i="104"/>
  <c r="BB213" i="104"/>
  <c r="AV213" i="104"/>
  <c r="AP213" i="104"/>
  <c r="AJ213" i="104"/>
  <c r="AD213" i="104"/>
  <c r="X213" i="104"/>
  <c r="R213" i="104"/>
  <c r="L213" i="104"/>
  <c r="BD222" i="104"/>
  <c r="AX222" i="104"/>
  <c r="AR222" i="104"/>
  <c r="AL222" i="104"/>
  <c r="AF222" i="104"/>
  <c r="Z222" i="104"/>
  <c r="T222" i="104"/>
  <c r="N222" i="104"/>
  <c r="H222" i="104"/>
  <c r="AI221" i="104"/>
  <c r="W221" i="104"/>
  <c r="BD220" i="104"/>
  <c r="AX220" i="104"/>
  <c r="AR220" i="104"/>
  <c r="AL220" i="104"/>
  <c r="AF220" i="104"/>
  <c r="Z220" i="104"/>
  <c r="T220" i="104"/>
  <c r="N220" i="104"/>
  <c r="H220" i="104"/>
  <c r="BA219" i="104"/>
  <c r="AU219" i="104"/>
  <c r="AO219" i="104"/>
  <c r="AI219" i="104"/>
  <c r="AC219" i="104"/>
  <c r="W219" i="104"/>
  <c r="Q219" i="104"/>
  <c r="K219" i="104"/>
  <c r="BD218" i="104"/>
  <c r="AX218" i="104"/>
  <c r="AR218" i="104"/>
  <c r="AL218" i="104"/>
  <c r="AF218" i="104"/>
  <c r="Z218" i="104"/>
  <c r="T218" i="104"/>
  <c r="N218" i="104"/>
  <c r="H218" i="104"/>
  <c r="AI217" i="104"/>
  <c r="BD216" i="104"/>
  <c r="AX216" i="104"/>
  <c r="AR216" i="104"/>
  <c r="AL216" i="104"/>
  <c r="AF216" i="104"/>
  <c r="Z216" i="104"/>
  <c r="T216" i="104"/>
  <c r="N216" i="104"/>
  <c r="H216" i="104"/>
  <c r="BA213" i="104"/>
  <c r="AU213" i="104"/>
  <c r="AO213" i="104"/>
  <c r="AI213" i="104"/>
  <c r="AC213" i="104"/>
  <c r="W213" i="104"/>
  <c r="Q213" i="104"/>
  <c r="BC222" i="104"/>
  <c r="AW222" i="104"/>
  <c r="AQ222" i="104"/>
  <c r="AK222" i="104"/>
  <c r="AE222" i="104"/>
  <c r="Y222" i="104"/>
  <c r="S222" i="104"/>
  <c r="M222" i="104"/>
  <c r="P221" i="104"/>
  <c r="BC220" i="104"/>
  <c r="AW220" i="104"/>
  <c r="AQ220" i="104"/>
  <c r="AK220" i="104"/>
  <c r="AE220" i="104"/>
  <c r="Y220" i="104"/>
  <c r="S220" i="104"/>
  <c r="M220" i="104"/>
  <c r="BF219" i="104"/>
  <c r="AZ219" i="104"/>
  <c r="AT219" i="104"/>
  <c r="AN219" i="104"/>
  <c r="AH219" i="104"/>
  <c r="AB219" i="104"/>
  <c r="V219" i="104"/>
  <c r="P219" i="104"/>
  <c r="J219" i="104"/>
  <c r="BC218" i="104"/>
  <c r="AW218" i="104"/>
  <c r="AQ218" i="104"/>
  <c r="AK218" i="104"/>
  <c r="AE218" i="104"/>
  <c r="Y218" i="104"/>
  <c r="S218" i="104"/>
  <c r="M218" i="104"/>
  <c r="AN217" i="104"/>
  <c r="BC216" i="104"/>
  <c r="AW216" i="104"/>
  <c r="AQ216" i="104"/>
  <c r="AK216" i="104"/>
  <c r="AE216" i="104"/>
  <c r="Y216" i="104"/>
  <c r="S216" i="104"/>
  <c r="M216" i="104"/>
  <c r="BF213" i="104"/>
  <c r="AZ213" i="104"/>
  <c r="AT213" i="104"/>
  <c r="AN213" i="104"/>
  <c r="BB222" i="104"/>
  <c r="AV222" i="104"/>
  <c r="AP222" i="104"/>
  <c r="AJ222" i="104"/>
  <c r="AD222" i="104"/>
  <c r="X222" i="104"/>
  <c r="R222" i="104"/>
  <c r="L222" i="104"/>
  <c r="BE221" i="104"/>
  <c r="AG221" i="104"/>
  <c r="BB220" i="104"/>
  <c r="AV220" i="104"/>
  <c r="AP220" i="104"/>
  <c r="AJ220" i="104"/>
  <c r="AD220" i="104"/>
  <c r="X220" i="104"/>
  <c r="R220" i="104"/>
  <c r="L220" i="104"/>
  <c r="BE219" i="104"/>
  <c r="AY219" i="104"/>
  <c r="AS219" i="104"/>
  <c r="AM219" i="104"/>
  <c r="AG219" i="104"/>
  <c r="AA219" i="104"/>
  <c r="U219" i="104"/>
  <c r="O219" i="104"/>
  <c r="I219" i="104"/>
  <c r="BB218" i="104"/>
  <c r="AV218" i="104"/>
  <c r="AP218" i="104"/>
  <c r="AJ218" i="104"/>
  <c r="AD218" i="104"/>
  <c r="X218" i="104"/>
  <c r="R218" i="104"/>
  <c r="L218" i="104"/>
  <c r="BE217" i="104"/>
  <c r="U217" i="104"/>
  <c r="BB216" i="104"/>
  <c r="AV216" i="104"/>
  <c r="AP216" i="104"/>
  <c r="AJ216" i="104"/>
  <c r="AD216" i="104"/>
  <c r="X216" i="104"/>
  <c r="R216" i="104"/>
  <c r="L216" i="104"/>
  <c r="BA222" i="104"/>
  <c r="AU222" i="104"/>
  <c r="AO222" i="104"/>
  <c r="AI222" i="104"/>
  <c r="AC222" i="104"/>
  <c r="W222" i="104"/>
  <c r="Q222" i="104"/>
  <c r="K222" i="104"/>
  <c r="AX221" i="104"/>
  <c r="BA220" i="104"/>
  <c r="AU220" i="104"/>
  <c r="AO220" i="104"/>
  <c r="AI220" i="104"/>
  <c r="AC220" i="104"/>
  <c r="W220" i="104"/>
  <c r="Q220" i="104"/>
  <c r="K220" i="104"/>
  <c r="BD219" i="104"/>
  <c r="AX219" i="104"/>
  <c r="AR219" i="104"/>
  <c r="AL219" i="104"/>
  <c r="AF219" i="104"/>
  <c r="Z219" i="104"/>
  <c r="T219" i="104"/>
  <c r="N219" i="104"/>
  <c r="H219" i="104"/>
  <c r="BA218" i="104"/>
  <c r="AU218" i="104"/>
  <c r="AO218" i="104"/>
  <c r="AI218" i="104"/>
  <c r="AC218" i="104"/>
  <c r="W218" i="104"/>
  <c r="Q218" i="104"/>
  <c r="K218" i="104"/>
  <c r="AX217" i="104"/>
  <c r="N217" i="104"/>
  <c r="BA216" i="104"/>
  <c r="AU216" i="104"/>
  <c r="AO216" i="104"/>
  <c r="AI216" i="104"/>
  <c r="AC216" i="104"/>
  <c r="W216" i="104"/>
  <c r="Q216" i="104"/>
  <c r="K216" i="104"/>
  <c r="AZ222" i="104"/>
  <c r="P222" i="104"/>
  <c r="AT220" i="104"/>
  <c r="J220" i="104"/>
  <c r="Y219" i="104"/>
  <c r="AN218" i="104"/>
  <c r="S217" i="104"/>
  <c r="AH216" i="104"/>
  <c r="BD213" i="104"/>
  <c r="AR213" i="104"/>
  <c r="AG213" i="104"/>
  <c r="Y213" i="104"/>
  <c r="O213" i="104"/>
  <c r="H213" i="104"/>
  <c r="BA208" i="104"/>
  <c r="AU208" i="104"/>
  <c r="AO208" i="104"/>
  <c r="AI208" i="104"/>
  <c r="AC208" i="104"/>
  <c r="W208" i="104"/>
  <c r="Q208" i="104"/>
  <c r="K208" i="104"/>
  <c r="BD207" i="104"/>
  <c r="AX207" i="104"/>
  <c r="AR207" i="104"/>
  <c r="AL207" i="104"/>
  <c r="AF207" i="104"/>
  <c r="Z207" i="104"/>
  <c r="T207" i="104"/>
  <c r="N207" i="104"/>
  <c r="H207" i="104"/>
  <c r="BD205" i="104"/>
  <c r="AX205" i="104"/>
  <c r="AR205" i="104"/>
  <c r="AL205" i="104"/>
  <c r="AF205" i="104"/>
  <c r="Z205" i="104"/>
  <c r="AT222" i="104"/>
  <c r="J222" i="104"/>
  <c r="AN220" i="104"/>
  <c r="BC219" i="104"/>
  <c r="S219" i="104"/>
  <c r="AH218" i="104"/>
  <c r="AB216" i="104"/>
  <c r="BC213" i="104"/>
  <c r="AQ213" i="104"/>
  <c r="AF213" i="104"/>
  <c r="V213" i="104"/>
  <c r="N213" i="104"/>
  <c r="BF208" i="104"/>
  <c r="AZ208" i="104"/>
  <c r="AT208" i="104"/>
  <c r="AN208" i="104"/>
  <c r="AH208" i="104"/>
  <c r="AB208" i="104"/>
  <c r="V208" i="104"/>
  <c r="P208" i="104"/>
  <c r="J208" i="104"/>
  <c r="BC207" i="104"/>
  <c r="AW207" i="104"/>
  <c r="AQ207" i="104"/>
  <c r="AK207" i="104"/>
  <c r="AE207" i="104"/>
  <c r="Y207" i="104"/>
  <c r="S207" i="104"/>
  <c r="M207" i="104"/>
  <c r="BC205" i="104"/>
  <c r="AW205" i="104"/>
  <c r="AQ205" i="104"/>
  <c r="AK205" i="104"/>
  <c r="AN222" i="104"/>
  <c r="AH220" i="104"/>
  <c r="AW219" i="104"/>
  <c r="M219" i="104"/>
  <c r="AB218" i="104"/>
  <c r="BF216" i="104"/>
  <c r="V216" i="104"/>
  <c r="AY213" i="104"/>
  <c r="AM213" i="104"/>
  <c r="AE213" i="104"/>
  <c r="U213" i="104"/>
  <c r="M213" i="104"/>
  <c r="BE208" i="104"/>
  <c r="AY208" i="104"/>
  <c r="AS208" i="104"/>
  <c r="AM208" i="104"/>
  <c r="AG208" i="104"/>
  <c r="AA208" i="104"/>
  <c r="U208" i="104"/>
  <c r="O208" i="104"/>
  <c r="I208" i="104"/>
  <c r="BB207" i="104"/>
  <c r="AV207" i="104"/>
  <c r="AP207" i="104"/>
  <c r="AJ207" i="104"/>
  <c r="AD207" i="104"/>
  <c r="X207" i="104"/>
  <c r="R207" i="104"/>
  <c r="L207" i="104"/>
  <c r="BB205" i="104"/>
  <c r="AH222" i="104"/>
  <c r="AB220" i="104"/>
  <c r="AQ219" i="104"/>
  <c r="BF218" i="104"/>
  <c r="V218" i="104"/>
  <c r="AZ216" i="104"/>
  <c r="P216" i="104"/>
  <c r="AX213" i="104"/>
  <c r="AL213" i="104"/>
  <c r="AB213" i="104"/>
  <c r="T213" i="104"/>
  <c r="K213" i="104"/>
  <c r="BD208" i="104"/>
  <c r="AX208" i="104"/>
  <c r="AR208" i="104"/>
  <c r="AL208" i="104"/>
  <c r="AF208" i="104"/>
  <c r="Z208" i="104"/>
  <c r="T208" i="104"/>
  <c r="N208" i="104"/>
  <c r="H208" i="104"/>
  <c r="BA207" i="104"/>
  <c r="AU207" i="104"/>
  <c r="AO207" i="104"/>
  <c r="AI207" i="104"/>
  <c r="AC207" i="104"/>
  <c r="W207" i="104"/>
  <c r="Q207" i="104"/>
  <c r="K207" i="104"/>
  <c r="AB222" i="104"/>
  <c r="BF220" i="104"/>
  <c r="V220" i="104"/>
  <c r="AK219" i="104"/>
  <c r="AZ218" i="104"/>
  <c r="P218" i="104"/>
  <c r="AT216" i="104"/>
  <c r="J216" i="104"/>
  <c r="AW213" i="104"/>
  <c r="AK213" i="104"/>
  <c r="AA213" i="104"/>
  <c r="S213" i="104"/>
  <c r="J213" i="104"/>
  <c r="BC208" i="104"/>
  <c r="AW208" i="104"/>
  <c r="AQ208" i="104"/>
  <c r="AK208" i="104"/>
  <c r="AE208" i="104"/>
  <c r="Y208" i="104"/>
  <c r="S208" i="104"/>
  <c r="M208" i="104"/>
  <c r="BF207" i="104"/>
  <c r="AZ207" i="104"/>
  <c r="AT207" i="104"/>
  <c r="AN207" i="104"/>
  <c r="AH207" i="104"/>
  <c r="AB207" i="104"/>
  <c r="V207" i="104"/>
  <c r="P207" i="104"/>
  <c r="J207" i="104"/>
  <c r="V222" i="104"/>
  <c r="J218" i="104"/>
  <c r="Z213" i="104"/>
  <c r="X208" i="104"/>
  <c r="AM207" i="104"/>
  <c r="AZ205" i="104"/>
  <c r="AP205" i="104"/>
  <c r="AH205" i="104"/>
  <c r="AA205" i="104"/>
  <c r="T205" i="104"/>
  <c r="N205" i="104"/>
  <c r="H205" i="104"/>
  <c r="BD203" i="104"/>
  <c r="AX203" i="104"/>
  <c r="AR203" i="104"/>
  <c r="AL203" i="104"/>
  <c r="AF203" i="104"/>
  <c r="Z203" i="104"/>
  <c r="T203" i="104"/>
  <c r="N203" i="104"/>
  <c r="H203" i="104"/>
  <c r="BA202" i="104"/>
  <c r="AU202" i="104"/>
  <c r="AO202" i="104"/>
  <c r="AI202" i="104"/>
  <c r="AC202" i="104"/>
  <c r="W202" i="104"/>
  <c r="Q202" i="104"/>
  <c r="K202" i="104"/>
  <c r="BD201" i="104"/>
  <c r="AX201" i="104"/>
  <c r="AR201" i="104"/>
  <c r="AL201" i="104"/>
  <c r="AF201" i="104"/>
  <c r="Z201" i="104"/>
  <c r="T201" i="104"/>
  <c r="N201" i="104"/>
  <c r="H201" i="104"/>
  <c r="AO200" i="104"/>
  <c r="BD199" i="104"/>
  <c r="AX199" i="104"/>
  <c r="AR199" i="104"/>
  <c r="AL199" i="104"/>
  <c r="AF199" i="104"/>
  <c r="Z199" i="104"/>
  <c r="T199" i="104"/>
  <c r="N199" i="104"/>
  <c r="H199" i="104"/>
  <c r="P213" i="104"/>
  <c r="BB208" i="104"/>
  <c r="R208" i="104"/>
  <c r="AG207" i="104"/>
  <c r="AY205" i="104"/>
  <c r="AO205" i="104"/>
  <c r="AG205" i="104"/>
  <c r="Y205" i="104"/>
  <c r="S205" i="104"/>
  <c r="M205" i="104"/>
  <c r="BF204" i="104"/>
  <c r="BC203" i="104"/>
  <c r="AW203" i="104"/>
  <c r="AQ203" i="104"/>
  <c r="AK203" i="104"/>
  <c r="AE203" i="104"/>
  <c r="Y203" i="104"/>
  <c r="S203" i="104"/>
  <c r="M203" i="104"/>
  <c r="BF202" i="104"/>
  <c r="AZ202" i="104"/>
  <c r="AT202" i="104"/>
  <c r="AN202" i="104"/>
  <c r="AH202" i="104"/>
  <c r="AB202" i="104"/>
  <c r="V202" i="104"/>
  <c r="P202" i="104"/>
  <c r="J202" i="104"/>
  <c r="BC201" i="104"/>
  <c r="AW201" i="104"/>
  <c r="AQ201" i="104"/>
  <c r="AK201" i="104"/>
  <c r="AE201" i="104"/>
  <c r="Y201" i="104"/>
  <c r="S201" i="104"/>
  <c r="M201" i="104"/>
  <c r="AT200" i="104"/>
  <c r="AN200" i="104"/>
  <c r="BC199" i="104"/>
  <c r="AW199" i="104"/>
  <c r="AQ199" i="104"/>
  <c r="AK199" i="104"/>
  <c r="AE199" i="104"/>
  <c r="Y199" i="104"/>
  <c r="S199" i="104"/>
  <c r="M199" i="104"/>
  <c r="AZ220" i="104"/>
  <c r="AN216" i="104"/>
  <c r="I213" i="104"/>
  <c r="AV208" i="104"/>
  <c r="L208" i="104"/>
  <c r="AA207" i="104"/>
  <c r="AV205" i="104"/>
  <c r="AN205" i="104"/>
  <c r="AE205" i="104"/>
  <c r="X205" i="104"/>
  <c r="R205" i="104"/>
  <c r="L205" i="104"/>
  <c r="AG204" i="104"/>
  <c r="BB203" i="104"/>
  <c r="AV203" i="104"/>
  <c r="AP203" i="104"/>
  <c r="AJ203" i="104"/>
  <c r="AD203" i="104"/>
  <c r="X203" i="104"/>
  <c r="R203" i="104"/>
  <c r="L203" i="104"/>
  <c r="BE202" i="104"/>
  <c r="AY202" i="104"/>
  <c r="AS202" i="104"/>
  <c r="AM202" i="104"/>
  <c r="AG202" i="104"/>
  <c r="AA202" i="104"/>
  <c r="U202" i="104"/>
  <c r="O202" i="104"/>
  <c r="I202" i="104"/>
  <c r="BB201" i="104"/>
  <c r="AV201" i="104"/>
  <c r="AP201" i="104"/>
  <c r="AJ201" i="104"/>
  <c r="AD201" i="104"/>
  <c r="X201" i="104"/>
  <c r="R201" i="104"/>
  <c r="L201" i="104"/>
  <c r="AY200" i="104"/>
  <c r="AA200" i="104"/>
  <c r="U200" i="104"/>
  <c r="O200" i="104"/>
  <c r="BB199" i="104"/>
  <c r="AV199" i="104"/>
  <c r="AP199" i="104"/>
  <c r="AJ199" i="104"/>
  <c r="AD199" i="104"/>
  <c r="X199" i="104"/>
  <c r="R199" i="104"/>
  <c r="L199" i="104"/>
  <c r="P220" i="104"/>
  <c r="BE213" i="104"/>
  <c r="AP208" i="104"/>
  <c r="BE207" i="104"/>
  <c r="U207" i="104"/>
  <c r="BF205" i="104"/>
  <c r="AU205" i="104"/>
  <c r="AM205" i="104"/>
  <c r="AD205" i="104"/>
  <c r="W205" i="104"/>
  <c r="Q205" i="104"/>
  <c r="K205" i="104"/>
  <c r="BA203" i="104"/>
  <c r="AU203" i="104"/>
  <c r="AO203" i="104"/>
  <c r="AI203" i="104"/>
  <c r="AC203" i="104"/>
  <c r="W203" i="104"/>
  <c r="Q203" i="104"/>
  <c r="K203" i="104"/>
  <c r="BD202" i="104"/>
  <c r="AX202" i="104"/>
  <c r="AR202" i="104"/>
  <c r="AL202" i="104"/>
  <c r="AF202" i="104"/>
  <c r="Z202" i="104"/>
  <c r="T202" i="104"/>
  <c r="N202" i="104"/>
  <c r="H202" i="104"/>
  <c r="BA201" i="104"/>
  <c r="AU201" i="104"/>
  <c r="AO201" i="104"/>
  <c r="AI201" i="104"/>
  <c r="AC201" i="104"/>
  <c r="W201" i="104"/>
  <c r="Q201" i="104"/>
  <c r="K201" i="104"/>
  <c r="AR200" i="104"/>
  <c r="AL200" i="104"/>
  <c r="AF200" i="104"/>
  <c r="BA199" i="104"/>
  <c r="AU199" i="104"/>
  <c r="AO199" i="104"/>
  <c r="AI199" i="104"/>
  <c r="AC199" i="104"/>
  <c r="W199" i="104"/>
  <c r="Q199" i="104"/>
  <c r="K199" i="104"/>
  <c r="AE219" i="104"/>
  <c r="AS213" i="104"/>
  <c r="AJ208" i="104"/>
  <c r="AY207" i="104"/>
  <c r="O207" i="104"/>
  <c r="BE205" i="104"/>
  <c r="AT205" i="104"/>
  <c r="AJ205" i="104"/>
  <c r="AC205" i="104"/>
  <c r="V205" i="104"/>
  <c r="P205" i="104"/>
  <c r="J205" i="104"/>
  <c r="AW204" i="104"/>
  <c r="BF203" i="104"/>
  <c r="AZ203" i="104"/>
  <c r="AT203" i="104"/>
  <c r="AN203" i="104"/>
  <c r="AH203" i="104"/>
  <c r="AB203" i="104"/>
  <c r="V203" i="104"/>
  <c r="P203" i="104"/>
  <c r="J203" i="104"/>
  <c r="BC202" i="104"/>
  <c r="AW202" i="104"/>
  <c r="AQ202" i="104"/>
  <c r="AK202" i="104"/>
  <c r="AE202" i="104"/>
  <c r="Y202" i="104"/>
  <c r="S202" i="104"/>
  <c r="M202" i="104"/>
  <c r="BF201" i="104"/>
  <c r="AZ201" i="104"/>
  <c r="AT201" i="104"/>
  <c r="AN201" i="104"/>
  <c r="AH201" i="104"/>
  <c r="AB201" i="104"/>
  <c r="V201" i="104"/>
  <c r="P201" i="104"/>
  <c r="J201" i="104"/>
  <c r="AE200" i="104"/>
  <c r="BF199" i="104"/>
  <c r="AZ199" i="104"/>
  <c r="AT199" i="104"/>
  <c r="AN199" i="104"/>
  <c r="AH199" i="104"/>
  <c r="AB199" i="104"/>
  <c r="V199" i="104"/>
  <c r="P199" i="104"/>
  <c r="AT218" i="104"/>
  <c r="AB205" i="104"/>
  <c r="BE203" i="104"/>
  <c r="U203" i="104"/>
  <c r="AJ202" i="104"/>
  <c r="AY201" i="104"/>
  <c r="O201" i="104"/>
  <c r="AS199" i="104"/>
  <c r="J199" i="104"/>
  <c r="BA195" i="104"/>
  <c r="AU195" i="104"/>
  <c r="AO195" i="104"/>
  <c r="AI195" i="104"/>
  <c r="AC195" i="104"/>
  <c r="W195" i="104"/>
  <c r="Q195" i="104"/>
  <c r="K195" i="104"/>
  <c r="AU193" i="104"/>
  <c r="U205" i="104"/>
  <c r="AY203" i="104"/>
  <c r="O203" i="104"/>
  <c r="AD202" i="104"/>
  <c r="AS201" i="104"/>
  <c r="I201" i="104"/>
  <c r="AM199" i="104"/>
  <c r="I199" i="104"/>
  <c r="AK196" i="104"/>
  <c r="BF195" i="104"/>
  <c r="AZ195" i="104"/>
  <c r="AT195" i="104"/>
  <c r="AN195" i="104"/>
  <c r="AH195" i="104"/>
  <c r="AB195" i="104"/>
  <c r="V195" i="104"/>
  <c r="P195" i="104"/>
  <c r="J195" i="104"/>
  <c r="AW194" i="104"/>
  <c r="AB193" i="104"/>
  <c r="AH213" i="104"/>
  <c r="O205" i="104"/>
  <c r="AS203" i="104"/>
  <c r="I203" i="104"/>
  <c r="X202" i="104"/>
  <c r="AM201" i="104"/>
  <c r="BB200" i="104"/>
  <c r="R200" i="104"/>
  <c r="AG199" i="104"/>
  <c r="L196" i="104"/>
  <c r="BE195" i="104"/>
  <c r="AY195" i="104"/>
  <c r="AS195" i="104"/>
  <c r="AM195" i="104"/>
  <c r="AG195" i="104"/>
  <c r="AA195" i="104"/>
  <c r="U195" i="104"/>
  <c r="O195" i="104"/>
  <c r="I195" i="104"/>
  <c r="X194" i="104"/>
  <c r="AD208" i="104"/>
  <c r="BA205" i="104"/>
  <c r="I205" i="104"/>
  <c r="AM203" i="104"/>
  <c r="BB202" i="104"/>
  <c r="R202" i="104"/>
  <c r="AG201" i="104"/>
  <c r="AV200" i="104"/>
  <c r="L200" i="104"/>
  <c r="AA199" i="104"/>
  <c r="BD195" i="104"/>
  <c r="AX195" i="104"/>
  <c r="AR195" i="104"/>
  <c r="AL195" i="104"/>
  <c r="AF195" i="104"/>
  <c r="Z195" i="104"/>
  <c r="T195" i="104"/>
  <c r="N195" i="104"/>
  <c r="H195" i="104"/>
  <c r="BD193" i="104"/>
  <c r="AS207" i="104"/>
  <c r="AS205" i="104"/>
  <c r="AG203" i="104"/>
  <c r="AV202" i="104"/>
  <c r="L202" i="104"/>
  <c r="AA201" i="104"/>
  <c r="AP200" i="104"/>
  <c r="BE199" i="104"/>
  <c r="U199" i="104"/>
  <c r="BC195" i="104"/>
  <c r="AW195" i="104"/>
  <c r="AQ195" i="104"/>
  <c r="AK195" i="104"/>
  <c r="AE195" i="104"/>
  <c r="Y195" i="104"/>
  <c r="S195" i="104"/>
  <c r="M195" i="104"/>
  <c r="AB194" i="104"/>
  <c r="AP202" i="104"/>
  <c r="AV195" i="104"/>
  <c r="L195" i="104"/>
  <c r="I207" i="104"/>
  <c r="BE201" i="104"/>
  <c r="AP195" i="104"/>
  <c r="BE194" i="104"/>
  <c r="AI205" i="104"/>
  <c r="U201" i="104"/>
  <c r="AJ195" i="104"/>
  <c r="AV204" i="104"/>
  <c r="AJ200" i="104"/>
  <c r="AD195" i="104"/>
  <c r="X193" i="104"/>
  <c r="AY199" i="104"/>
  <c r="X195" i="104"/>
  <c r="AM194" i="104"/>
  <c r="AA203" i="104"/>
  <c r="BD161" i="104"/>
  <c r="AX161" i="104"/>
  <c r="AR161" i="104"/>
  <c r="AL161" i="104"/>
  <c r="O199" i="104"/>
  <c r="BB195" i="104"/>
  <c r="R195" i="104"/>
  <c r="BC161" i="104"/>
  <c r="AV161" i="104"/>
  <c r="AO161" i="104"/>
  <c r="AH161" i="104"/>
  <c r="AB161" i="104"/>
  <c r="V161" i="104"/>
  <c r="P161" i="104"/>
  <c r="J161" i="104"/>
  <c r="BA161" i="104"/>
  <c r="AT161" i="104"/>
  <c r="AM161" i="104"/>
  <c r="AF161" i="104"/>
  <c r="Z161" i="104"/>
  <c r="T161" i="104"/>
  <c r="N161" i="104"/>
  <c r="H161" i="104"/>
  <c r="AZ161" i="104"/>
  <c r="AS161" i="104"/>
  <c r="AK161" i="104"/>
  <c r="AE161" i="104"/>
  <c r="Y161" i="104"/>
  <c r="S161" i="104"/>
  <c r="M161" i="104"/>
  <c r="AU161" i="104"/>
  <c r="AG161" i="104"/>
  <c r="U161" i="104"/>
  <c r="I161" i="104"/>
  <c r="U153" i="104"/>
  <c r="BE150" i="104"/>
  <c r="BE148" i="104"/>
  <c r="AY148" i="104"/>
  <c r="AS148" i="104"/>
  <c r="AM148" i="104"/>
  <c r="AG148" i="104"/>
  <c r="AA148" i="104"/>
  <c r="U148" i="104"/>
  <c r="O148" i="104"/>
  <c r="I148" i="104"/>
  <c r="BE147" i="104"/>
  <c r="AY147" i="104"/>
  <c r="AS147" i="104"/>
  <c r="AM147" i="104"/>
  <c r="AG147" i="104"/>
  <c r="AA147" i="104"/>
  <c r="U147" i="104"/>
  <c r="O147" i="104"/>
  <c r="I147" i="104"/>
  <c r="BE145" i="104"/>
  <c r="AY145" i="104"/>
  <c r="AS145" i="104"/>
  <c r="AM145" i="104"/>
  <c r="AG145" i="104"/>
  <c r="AA145" i="104"/>
  <c r="U145" i="104"/>
  <c r="O145" i="104"/>
  <c r="I145" i="104"/>
  <c r="BE144" i="104"/>
  <c r="AY144" i="104"/>
  <c r="AS144" i="104"/>
  <c r="AM144" i="104"/>
  <c r="AG144" i="104"/>
  <c r="AA144" i="104"/>
  <c r="U144" i="104"/>
  <c r="O144" i="104"/>
  <c r="I144" i="104"/>
  <c r="BE143" i="104"/>
  <c r="AY143" i="104"/>
  <c r="AS143" i="104"/>
  <c r="AM143" i="104"/>
  <c r="AG143" i="104"/>
  <c r="AA143" i="104"/>
  <c r="U143" i="104"/>
  <c r="O143" i="104"/>
  <c r="I143" i="104"/>
  <c r="BB161" i="104"/>
  <c r="AN161" i="104"/>
  <c r="AA161" i="104"/>
  <c r="O161" i="104"/>
  <c r="AW161" i="104"/>
  <c r="AC161" i="104"/>
  <c r="K161" i="104"/>
  <c r="AQ161" i="104"/>
  <c r="X161" i="104"/>
  <c r="BA148" i="104"/>
  <c r="AT148" i="104"/>
  <c r="AL148" i="104"/>
  <c r="AE148" i="104"/>
  <c r="X148" i="104"/>
  <c r="Q148" i="104"/>
  <c r="J148" i="104"/>
  <c r="BD147" i="104"/>
  <c r="AW147" i="104"/>
  <c r="AP147" i="104"/>
  <c r="AI147" i="104"/>
  <c r="AB147" i="104"/>
  <c r="T147" i="104"/>
  <c r="M147" i="104"/>
  <c r="BA145" i="104"/>
  <c r="AT145" i="104"/>
  <c r="AL145" i="104"/>
  <c r="AE145" i="104"/>
  <c r="X145" i="104"/>
  <c r="Q145" i="104"/>
  <c r="J145" i="104"/>
  <c r="BD144" i="104"/>
  <c r="AW144" i="104"/>
  <c r="AP144" i="104"/>
  <c r="AI144" i="104"/>
  <c r="AB144" i="104"/>
  <c r="T144" i="104"/>
  <c r="M144" i="104"/>
  <c r="BA143" i="104"/>
  <c r="AT143" i="104"/>
  <c r="AL143" i="104"/>
  <c r="AE143" i="104"/>
  <c r="X143" i="104"/>
  <c r="Q143" i="104"/>
  <c r="J143" i="104"/>
  <c r="BC141" i="104"/>
  <c r="AW141" i="104"/>
  <c r="AQ141" i="104"/>
  <c r="AK141" i="104"/>
  <c r="AE141" i="104"/>
  <c r="Y141" i="104"/>
  <c r="S141" i="104"/>
  <c r="M141" i="104"/>
  <c r="AK140" i="104"/>
  <c r="BC139" i="104"/>
  <c r="AW139" i="104"/>
  <c r="AQ139" i="104"/>
  <c r="AK139" i="104"/>
  <c r="AE139" i="104"/>
  <c r="Y139" i="104"/>
  <c r="S139" i="104"/>
  <c r="M139" i="104"/>
  <c r="BC138" i="104"/>
  <c r="AW138" i="104"/>
  <c r="AQ138" i="104"/>
  <c r="AK138" i="104"/>
  <c r="AE138" i="104"/>
  <c r="Y138" i="104"/>
  <c r="S138" i="104"/>
  <c r="M138" i="104"/>
  <c r="BC137" i="104"/>
  <c r="AW137" i="104"/>
  <c r="AQ137" i="104"/>
  <c r="AK137" i="104"/>
  <c r="AE137" i="104"/>
  <c r="Y137" i="104"/>
  <c r="S137" i="104"/>
  <c r="M137" i="104"/>
  <c r="BC124" i="104"/>
  <c r="AW124" i="104"/>
  <c r="AQ124" i="104"/>
  <c r="AK124" i="104"/>
  <c r="AE124" i="104"/>
  <c r="Y124" i="104"/>
  <c r="S124" i="104"/>
  <c r="M124" i="104"/>
  <c r="BC121" i="104"/>
  <c r="AW121" i="104"/>
  <c r="AQ121" i="104"/>
  <c r="AK121" i="104"/>
  <c r="AE121" i="104"/>
  <c r="Y121" i="104"/>
  <c r="S121" i="104"/>
  <c r="M121" i="104"/>
  <c r="BC119" i="104"/>
  <c r="AW119" i="104"/>
  <c r="AQ119" i="104"/>
  <c r="AK119" i="104"/>
  <c r="AE119" i="104"/>
  <c r="Y119" i="104"/>
  <c r="S119" i="104"/>
  <c r="M119" i="104"/>
  <c r="BC117" i="104"/>
  <c r="AW117" i="104"/>
  <c r="AQ117" i="104"/>
  <c r="AK117" i="104"/>
  <c r="AE117" i="104"/>
  <c r="Y117" i="104"/>
  <c r="S117" i="104"/>
  <c r="M117" i="104"/>
  <c r="BC116" i="104"/>
  <c r="AW116" i="104"/>
  <c r="AQ116" i="104"/>
  <c r="AK116" i="104"/>
  <c r="AE116" i="104"/>
  <c r="Y116" i="104"/>
  <c r="S116" i="104"/>
  <c r="M116" i="104"/>
  <c r="BC114" i="104"/>
  <c r="AW114" i="104"/>
  <c r="AQ114" i="104"/>
  <c r="AK114" i="104"/>
  <c r="AE114" i="104"/>
  <c r="Y114" i="104"/>
  <c r="S114" i="104"/>
  <c r="M114" i="104"/>
  <c r="BC113" i="104"/>
  <c r="AW113" i="104"/>
  <c r="AQ113" i="104"/>
  <c r="AK113" i="104"/>
  <c r="AE113" i="104"/>
  <c r="Y113" i="104"/>
  <c r="S113" i="104"/>
  <c r="M113" i="104"/>
  <c r="BC112" i="104"/>
  <c r="AW112" i="104"/>
  <c r="AQ112" i="104"/>
  <c r="AK112" i="104"/>
  <c r="AE112" i="104"/>
  <c r="Y112" i="104"/>
  <c r="S112" i="104"/>
  <c r="M112" i="104"/>
  <c r="AP161" i="104"/>
  <c r="W161" i="104"/>
  <c r="Z153" i="104"/>
  <c r="BE161" i="104"/>
  <c r="AI161" i="104"/>
  <c r="Q161" i="104"/>
  <c r="AB150" i="104"/>
  <c r="M150" i="104"/>
  <c r="BD148" i="104"/>
  <c r="AW148" i="104"/>
  <c r="AP148" i="104"/>
  <c r="AI148" i="104"/>
  <c r="AB148" i="104"/>
  <c r="T148" i="104"/>
  <c r="M148" i="104"/>
  <c r="BA147" i="104"/>
  <c r="AT147" i="104"/>
  <c r="AL147" i="104"/>
  <c r="AE147" i="104"/>
  <c r="X147" i="104"/>
  <c r="Q147" i="104"/>
  <c r="J147" i="104"/>
  <c r="BD145" i="104"/>
  <c r="AW145" i="104"/>
  <c r="AP145" i="104"/>
  <c r="AI145" i="104"/>
  <c r="AB145" i="104"/>
  <c r="T145" i="104"/>
  <c r="M145" i="104"/>
  <c r="BA144" i="104"/>
  <c r="AT144" i="104"/>
  <c r="AL144" i="104"/>
  <c r="AE144" i="104"/>
  <c r="X144" i="104"/>
  <c r="Q144" i="104"/>
  <c r="J144" i="104"/>
  <c r="BD143" i="104"/>
  <c r="BF161" i="104"/>
  <c r="AJ153" i="104"/>
  <c r="AV148" i="104"/>
  <c r="AK148" i="104"/>
  <c r="Z148" i="104"/>
  <c r="P148" i="104"/>
  <c r="AY161" i="104"/>
  <c r="BF148" i="104"/>
  <c r="AU148" i="104"/>
  <c r="AJ148" i="104"/>
  <c r="Y148" i="104"/>
  <c r="N148" i="104"/>
  <c r="BF147" i="104"/>
  <c r="AU147" i="104"/>
  <c r="AJ147" i="104"/>
  <c r="Y147" i="104"/>
  <c r="N147" i="104"/>
  <c r="BF145" i="104"/>
  <c r="AU145" i="104"/>
  <c r="AJ145" i="104"/>
  <c r="Y145" i="104"/>
  <c r="N145" i="104"/>
  <c r="BF144" i="104"/>
  <c r="AU144" i="104"/>
  <c r="AJ144" i="104"/>
  <c r="Y144" i="104"/>
  <c r="N144" i="104"/>
  <c r="BF143" i="104"/>
  <c r="AV143" i="104"/>
  <c r="AN143" i="104"/>
  <c r="AD143" i="104"/>
  <c r="V143" i="104"/>
  <c r="M143" i="104"/>
  <c r="AI142" i="104"/>
  <c r="BA141" i="104"/>
  <c r="AT141" i="104"/>
  <c r="AM141" i="104"/>
  <c r="AF141" i="104"/>
  <c r="X141" i="104"/>
  <c r="Q141" i="104"/>
  <c r="J141" i="104"/>
  <c r="BA139" i="104"/>
  <c r="AT139" i="104"/>
  <c r="AM139" i="104"/>
  <c r="AF139" i="104"/>
  <c r="X139" i="104"/>
  <c r="Q139" i="104"/>
  <c r="J139" i="104"/>
  <c r="BE138" i="104"/>
  <c r="AX138" i="104"/>
  <c r="AP138" i="104"/>
  <c r="AI138" i="104"/>
  <c r="AB138" i="104"/>
  <c r="U138" i="104"/>
  <c r="N138" i="104"/>
  <c r="BA137" i="104"/>
  <c r="AT137" i="104"/>
  <c r="AM137" i="104"/>
  <c r="AF137" i="104"/>
  <c r="X137" i="104"/>
  <c r="Q137" i="104"/>
  <c r="J137" i="104"/>
  <c r="BA124" i="104"/>
  <c r="AT124" i="104"/>
  <c r="AM124" i="104"/>
  <c r="AF124" i="104"/>
  <c r="X124" i="104"/>
  <c r="Q124" i="104"/>
  <c r="J124" i="104"/>
  <c r="BE121" i="104"/>
  <c r="AX121" i="104"/>
  <c r="AP121" i="104"/>
  <c r="AI121" i="104"/>
  <c r="AB121" i="104"/>
  <c r="U121" i="104"/>
  <c r="N121" i="104"/>
  <c r="BE119" i="104"/>
  <c r="AX119" i="104"/>
  <c r="AP119" i="104"/>
  <c r="AI119" i="104"/>
  <c r="AB119" i="104"/>
  <c r="U119" i="104"/>
  <c r="N119" i="104"/>
  <c r="BE117" i="104"/>
  <c r="AX117" i="104"/>
  <c r="AP117" i="104"/>
  <c r="AI117" i="104"/>
  <c r="AB117" i="104"/>
  <c r="U117" i="104"/>
  <c r="N117" i="104"/>
  <c r="BA116" i="104"/>
  <c r="AT116" i="104"/>
  <c r="AM116" i="104"/>
  <c r="AF116" i="104"/>
  <c r="X116" i="104"/>
  <c r="Q116" i="104"/>
  <c r="J116" i="104"/>
  <c r="BA114" i="104"/>
  <c r="AT114" i="104"/>
  <c r="AM114" i="104"/>
  <c r="AF114" i="104"/>
  <c r="X114" i="104"/>
  <c r="Q114" i="104"/>
  <c r="J114" i="104"/>
  <c r="BE113" i="104"/>
  <c r="AX113" i="104"/>
  <c r="AP113" i="104"/>
  <c r="AI113" i="104"/>
  <c r="AB113" i="104"/>
  <c r="U113" i="104"/>
  <c r="N113" i="104"/>
  <c r="BA112" i="104"/>
  <c r="AT112" i="104"/>
  <c r="AM112" i="104"/>
  <c r="AF112" i="104"/>
  <c r="X112" i="104"/>
  <c r="Q112" i="104"/>
  <c r="J112" i="104"/>
  <c r="BF108" i="104"/>
  <c r="AZ108" i="104"/>
  <c r="AT108" i="104"/>
  <c r="AN108" i="104"/>
  <c r="AH108" i="104"/>
  <c r="AB108" i="104"/>
  <c r="V108" i="104"/>
  <c r="P108" i="104"/>
  <c r="J108" i="104"/>
  <c r="BB103" i="104"/>
  <c r="AV103" i="104"/>
  <c r="AP103" i="104"/>
  <c r="AJ103" i="104"/>
  <c r="AD103" i="104"/>
  <c r="X103" i="104"/>
  <c r="R103" i="104"/>
  <c r="L103" i="104"/>
  <c r="BB101" i="104"/>
  <c r="AV101" i="104"/>
  <c r="AP101" i="104"/>
  <c r="AJ101" i="104"/>
  <c r="AD101" i="104"/>
  <c r="X101" i="104"/>
  <c r="R101" i="104"/>
  <c r="L101" i="104"/>
  <c r="BE98" i="104"/>
  <c r="AY98" i="104"/>
  <c r="AS98" i="104"/>
  <c r="AM98" i="104"/>
  <c r="AG98" i="104"/>
  <c r="AA98" i="104"/>
  <c r="U98" i="104"/>
  <c r="O98" i="104"/>
  <c r="I98" i="104"/>
  <c r="AJ161" i="104"/>
  <c r="AD153" i="104"/>
  <c r="W150" i="104"/>
  <c r="BC148" i="104"/>
  <c r="AR148" i="104"/>
  <c r="AH148" i="104"/>
  <c r="W148" i="104"/>
  <c r="L148" i="104"/>
  <c r="BC147" i="104"/>
  <c r="AR147" i="104"/>
  <c r="AH147" i="104"/>
  <c r="W147" i="104"/>
  <c r="L147" i="104"/>
  <c r="BC145" i="104"/>
  <c r="AR145" i="104"/>
  <c r="AH145" i="104"/>
  <c r="W145" i="104"/>
  <c r="L145" i="104"/>
  <c r="BC144" i="104"/>
  <c r="AR144" i="104"/>
  <c r="AH144" i="104"/>
  <c r="W144" i="104"/>
  <c r="L144" i="104"/>
  <c r="BC143" i="104"/>
  <c r="AU143" i="104"/>
  <c r="AK143" i="104"/>
  <c r="AC143" i="104"/>
  <c r="T143" i="104"/>
  <c r="L143" i="104"/>
  <c r="AZ141" i="104"/>
  <c r="AS141" i="104"/>
  <c r="AL141" i="104"/>
  <c r="AD141" i="104"/>
  <c r="W141" i="104"/>
  <c r="P141" i="104"/>
  <c r="I141" i="104"/>
  <c r="AH140" i="104"/>
  <c r="AZ139" i="104"/>
  <c r="AS139" i="104"/>
  <c r="AL139" i="104"/>
  <c r="AD139" i="104"/>
  <c r="W139" i="104"/>
  <c r="P139" i="104"/>
  <c r="I139" i="104"/>
  <c r="BD138" i="104"/>
  <c r="AV138" i="104"/>
  <c r="AO138" i="104"/>
  <c r="AH138" i="104"/>
  <c r="AA138" i="104"/>
  <c r="T138" i="104"/>
  <c r="L138" i="104"/>
  <c r="R161" i="104"/>
  <c r="AN153" i="104"/>
  <c r="AD150" i="104"/>
  <c r="H150" i="104"/>
  <c r="AZ148" i="104"/>
  <c r="AO148" i="104"/>
  <c r="AD148" i="104"/>
  <c r="S148" i="104"/>
  <c r="H148" i="104"/>
  <c r="AZ147" i="104"/>
  <c r="AO147" i="104"/>
  <c r="AD147" i="104"/>
  <c r="S147" i="104"/>
  <c r="H147" i="104"/>
  <c r="AZ145" i="104"/>
  <c r="AO145" i="104"/>
  <c r="AD145" i="104"/>
  <c r="S145" i="104"/>
  <c r="H145" i="104"/>
  <c r="AZ144" i="104"/>
  <c r="AO144" i="104"/>
  <c r="AD144" i="104"/>
  <c r="S144" i="104"/>
  <c r="H144" i="104"/>
  <c r="AZ143" i="104"/>
  <c r="AQ143" i="104"/>
  <c r="AI143" i="104"/>
  <c r="Z143" i="104"/>
  <c r="R143" i="104"/>
  <c r="H143" i="104"/>
  <c r="BE141" i="104"/>
  <c r="AX141" i="104"/>
  <c r="AP141" i="104"/>
  <c r="AI141" i="104"/>
  <c r="AB141" i="104"/>
  <c r="U141" i="104"/>
  <c r="N141" i="104"/>
  <c r="BE139" i="104"/>
  <c r="AX139" i="104"/>
  <c r="AP139" i="104"/>
  <c r="AI139" i="104"/>
  <c r="AB139" i="104"/>
  <c r="U139" i="104"/>
  <c r="N139" i="104"/>
  <c r="BA138" i="104"/>
  <c r="AT138" i="104"/>
  <c r="AM138" i="104"/>
  <c r="AF138" i="104"/>
  <c r="X138" i="104"/>
  <c r="Q138" i="104"/>
  <c r="J138" i="104"/>
  <c r="BE137" i="104"/>
  <c r="AX137" i="104"/>
  <c r="AP137" i="104"/>
  <c r="AI137" i="104"/>
  <c r="AB137" i="104"/>
  <c r="U137" i="104"/>
  <c r="N137" i="104"/>
  <c r="BE124" i="104"/>
  <c r="AX124" i="104"/>
  <c r="AP124" i="104"/>
  <c r="AI124" i="104"/>
  <c r="AB124" i="104"/>
  <c r="U124" i="104"/>
  <c r="N124" i="104"/>
  <c r="BA121" i="104"/>
  <c r="AT121" i="104"/>
  <c r="AM121" i="104"/>
  <c r="AF121" i="104"/>
  <c r="X121" i="104"/>
  <c r="Q121" i="104"/>
  <c r="J121" i="104"/>
  <c r="AN148" i="104"/>
  <c r="AK147" i="104"/>
  <c r="P147" i="104"/>
  <c r="AV145" i="104"/>
  <c r="Z145" i="104"/>
  <c r="AK144" i="104"/>
  <c r="P144" i="104"/>
  <c r="AW143" i="104"/>
  <c r="AF143" i="104"/>
  <c r="N143" i="104"/>
  <c r="H142" i="104"/>
  <c r="AU141" i="104"/>
  <c r="AG141" i="104"/>
  <c r="R141" i="104"/>
  <c r="BB139" i="104"/>
  <c r="AN139" i="104"/>
  <c r="Z139" i="104"/>
  <c r="K139" i="104"/>
  <c r="AY138" i="104"/>
  <c r="AJ138" i="104"/>
  <c r="V138" i="104"/>
  <c r="H138" i="104"/>
  <c r="AV137" i="104"/>
  <c r="AL137" i="104"/>
  <c r="AA137" i="104"/>
  <c r="P137" i="104"/>
  <c r="AF148" i="104"/>
  <c r="BB147" i="104"/>
  <c r="AF147" i="104"/>
  <c r="K147" i="104"/>
  <c r="AQ145" i="104"/>
  <c r="V145" i="104"/>
  <c r="BB144" i="104"/>
  <c r="AF144" i="104"/>
  <c r="K144" i="104"/>
  <c r="AR143" i="104"/>
  <c r="AB143" i="104"/>
  <c r="K143" i="104"/>
  <c r="BF141" i="104"/>
  <c r="AR141" i="104"/>
  <c r="AC141" i="104"/>
  <c r="O141" i="104"/>
  <c r="AY139" i="104"/>
  <c r="AJ139" i="104"/>
  <c r="V139" i="104"/>
  <c r="H139" i="104"/>
  <c r="AU138" i="104"/>
  <c r="AG138" i="104"/>
  <c r="R138" i="104"/>
  <c r="BF137" i="104"/>
  <c r="AU137" i="104"/>
  <c r="AJ137" i="104"/>
  <c r="Z137" i="104"/>
  <c r="O137" i="104"/>
  <c r="BF124" i="104"/>
  <c r="AU124" i="104"/>
  <c r="AJ124" i="104"/>
  <c r="Z124" i="104"/>
  <c r="O124" i="104"/>
  <c r="BF121" i="104"/>
  <c r="AU121" i="104"/>
  <c r="AJ121" i="104"/>
  <c r="Z121" i="104"/>
  <c r="O121" i="104"/>
  <c r="AZ119" i="104"/>
  <c r="AR119" i="104"/>
  <c r="AH119" i="104"/>
  <c r="Z119" i="104"/>
  <c r="Q119" i="104"/>
  <c r="I119" i="104"/>
  <c r="BD117" i="104"/>
  <c r="AU117" i="104"/>
  <c r="AM117" i="104"/>
  <c r="AD117" i="104"/>
  <c r="V117" i="104"/>
  <c r="L117" i="104"/>
  <c r="BF116" i="104"/>
  <c r="AX116" i="104"/>
  <c r="AO116" i="104"/>
  <c r="AG116" i="104"/>
  <c r="W116" i="104"/>
  <c r="O116" i="104"/>
  <c r="BB114" i="104"/>
  <c r="AS114" i="104"/>
  <c r="AJ114" i="104"/>
  <c r="AB114" i="104"/>
  <c r="T114" i="104"/>
  <c r="K114" i="104"/>
  <c r="BD113" i="104"/>
  <c r="AU113" i="104"/>
  <c r="AM113" i="104"/>
  <c r="AD113" i="104"/>
  <c r="V113" i="104"/>
  <c r="L113" i="104"/>
  <c r="BF112" i="104"/>
  <c r="AX112" i="104"/>
  <c r="AO112" i="104"/>
  <c r="AG112" i="104"/>
  <c r="W112" i="104"/>
  <c r="O112" i="104"/>
  <c r="BB108" i="104"/>
  <c r="AU108" i="104"/>
  <c r="AM108" i="104"/>
  <c r="AF108" i="104"/>
  <c r="Y108" i="104"/>
  <c r="R108" i="104"/>
  <c r="K108" i="104"/>
  <c r="AC148" i="104"/>
  <c r="AX147" i="104"/>
  <c r="AC147" i="104"/>
  <c r="AN145" i="104"/>
  <c r="R145" i="104"/>
  <c r="AX144" i="104"/>
  <c r="AC144" i="104"/>
  <c r="AP143" i="104"/>
  <c r="Y143" i="104"/>
  <c r="BD141" i="104"/>
  <c r="AO141" i="104"/>
  <c r="AA141" i="104"/>
  <c r="L141" i="104"/>
  <c r="I140" i="104"/>
  <c r="AV139" i="104"/>
  <c r="AH139" i="104"/>
  <c r="T139" i="104"/>
  <c r="AS138" i="104"/>
  <c r="AD138" i="104"/>
  <c r="P138" i="104"/>
  <c r="BD137" i="104"/>
  <c r="AS137" i="104"/>
  <c r="AH137" i="104"/>
  <c r="W137" i="104"/>
  <c r="L137" i="104"/>
  <c r="BD124" i="104"/>
  <c r="AS124" i="104"/>
  <c r="AH124" i="104"/>
  <c r="W124" i="104"/>
  <c r="L124" i="104"/>
  <c r="BD121" i="104"/>
  <c r="AS121" i="104"/>
  <c r="AH121" i="104"/>
  <c r="W121" i="104"/>
  <c r="L121" i="104"/>
  <c r="AY119" i="104"/>
  <c r="AO119" i="104"/>
  <c r="AG119" i="104"/>
  <c r="X119" i="104"/>
  <c r="P119" i="104"/>
  <c r="H119" i="104"/>
  <c r="L161" i="104"/>
  <c r="H153" i="104"/>
  <c r="AX148" i="104"/>
  <c r="R148" i="104"/>
  <c r="AQ147" i="104"/>
  <c r="V147" i="104"/>
  <c r="BB145" i="104"/>
  <c r="AF145" i="104"/>
  <c r="K145" i="104"/>
  <c r="AQ144" i="104"/>
  <c r="V144" i="104"/>
  <c r="BB143" i="104"/>
  <c r="AJ143" i="104"/>
  <c r="S143" i="104"/>
  <c r="AY141" i="104"/>
  <c r="AJ141" i="104"/>
  <c r="V141" i="104"/>
  <c r="H141" i="104"/>
  <c r="BF139" i="104"/>
  <c r="AR139" i="104"/>
  <c r="AC139" i="104"/>
  <c r="O139" i="104"/>
  <c r="BB138" i="104"/>
  <c r="AN138" i="104"/>
  <c r="Z138" i="104"/>
  <c r="K138" i="104"/>
  <c r="AZ137" i="104"/>
  <c r="AO137" i="104"/>
  <c r="AD137" i="104"/>
  <c r="T137" i="104"/>
  <c r="I137" i="104"/>
  <c r="AZ124" i="104"/>
  <c r="AO124" i="104"/>
  <c r="AD124" i="104"/>
  <c r="T124" i="104"/>
  <c r="I124" i="104"/>
  <c r="AZ121" i="104"/>
  <c r="AO121" i="104"/>
  <c r="AD121" i="104"/>
  <c r="T121" i="104"/>
  <c r="I121" i="104"/>
  <c r="BD119" i="104"/>
  <c r="AU119" i="104"/>
  <c r="AM119" i="104"/>
  <c r="AD119" i="104"/>
  <c r="V119" i="104"/>
  <c r="L119" i="104"/>
  <c r="AZ117" i="104"/>
  <c r="AR117" i="104"/>
  <c r="AH117" i="104"/>
  <c r="Z117" i="104"/>
  <c r="Q117" i="104"/>
  <c r="I117" i="104"/>
  <c r="BB116" i="104"/>
  <c r="AS116" i="104"/>
  <c r="AJ116" i="104"/>
  <c r="AB116" i="104"/>
  <c r="T116" i="104"/>
  <c r="K116" i="104"/>
  <c r="BF114" i="104"/>
  <c r="AX114" i="104"/>
  <c r="AO114" i="104"/>
  <c r="AG114" i="104"/>
  <c r="W114" i="104"/>
  <c r="O114" i="104"/>
  <c r="AZ113" i="104"/>
  <c r="AR113" i="104"/>
  <c r="AH113" i="104"/>
  <c r="Z113" i="104"/>
  <c r="Q113" i="104"/>
  <c r="I113" i="104"/>
  <c r="BB112" i="104"/>
  <c r="AS112" i="104"/>
  <c r="AJ112" i="104"/>
  <c r="AB112" i="104"/>
  <c r="T112" i="104"/>
  <c r="K112" i="104"/>
  <c r="BE108" i="104"/>
  <c r="AX108" i="104"/>
  <c r="AQ108" i="104"/>
  <c r="AJ108" i="104"/>
  <c r="AC108" i="104"/>
  <c r="U108" i="104"/>
  <c r="N108" i="104"/>
  <c r="BD103" i="104"/>
  <c r="AW103" i="104"/>
  <c r="AO103" i="104"/>
  <c r="AH103" i="104"/>
  <c r="AA103" i="104"/>
  <c r="T103" i="104"/>
  <c r="M103" i="104"/>
  <c r="BC101" i="104"/>
  <c r="AU101" i="104"/>
  <c r="AN101" i="104"/>
  <c r="AG101" i="104"/>
  <c r="Z101" i="104"/>
  <c r="S101" i="104"/>
  <c r="K101" i="104"/>
  <c r="BF222" i="104"/>
  <c r="AQ153" i="104"/>
  <c r="AQ148" i="104"/>
  <c r="K148" i="104"/>
  <c r="AN147" i="104"/>
  <c r="R147" i="104"/>
  <c r="AX145" i="104"/>
  <c r="AC145" i="104"/>
  <c r="AN144" i="104"/>
  <c r="R144" i="104"/>
  <c r="AX143" i="104"/>
  <c r="AH143" i="104"/>
  <c r="P143" i="104"/>
  <c r="I142" i="104"/>
  <c r="AV141" i="104"/>
  <c r="AH141" i="104"/>
  <c r="T141" i="104"/>
  <c r="BD139" i="104"/>
  <c r="AO139" i="104"/>
  <c r="AA139" i="104"/>
  <c r="L139" i="104"/>
  <c r="AZ138" i="104"/>
  <c r="AL138" i="104"/>
  <c r="W138" i="104"/>
  <c r="I138" i="104"/>
  <c r="AY137" i="104"/>
  <c r="AN137" i="104"/>
  <c r="AC137" i="104"/>
  <c r="R137" i="104"/>
  <c r="H137" i="104"/>
  <c r="AY124" i="104"/>
  <c r="AN124" i="104"/>
  <c r="AC124" i="104"/>
  <c r="R124" i="104"/>
  <c r="H124" i="104"/>
  <c r="AY121" i="104"/>
  <c r="AN121" i="104"/>
  <c r="AC121" i="104"/>
  <c r="R121" i="104"/>
  <c r="H121" i="104"/>
  <c r="V148" i="104"/>
  <c r="AV144" i="104"/>
  <c r="K141" i="104"/>
  <c r="AG139" i="104"/>
  <c r="BB137" i="104"/>
  <c r="BB124" i="104"/>
  <c r="V124" i="104"/>
  <c r="BB121" i="104"/>
  <c r="V121" i="104"/>
  <c r="AS119" i="104"/>
  <c r="AA119" i="104"/>
  <c r="J119" i="104"/>
  <c r="AV117" i="104"/>
  <c r="AJ117" i="104"/>
  <c r="W117" i="104"/>
  <c r="J117" i="104"/>
  <c r="AY116" i="104"/>
  <c r="AL116" i="104"/>
  <c r="Z116" i="104"/>
  <c r="L116" i="104"/>
  <c r="BD114" i="104"/>
  <c r="AP114" i="104"/>
  <c r="AC114" i="104"/>
  <c r="P114" i="104"/>
  <c r="BF113" i="104"/>
  <c r="AS113" i="104"/>
  <c r="AF113" i="104"/>
  <c r="R113" i="104"/>
  <c r="AU112" i="104"/>
  <c r="AH112" i="104"/>
  <c r="U112" i="104"/>
  <c r="H112" i="104"/>
  <c r="BC108" i="104"/>
  <c r="AR108" i="104"/>
  <c r="AG108" i="104"/>
  <c r="W108" i="104"/>
  <c r="L108" i="104"/>
  <c r="BE103" i="104"/>
  <c r="AU103" i="104"/>
  <c r="AM103" i="104"/>
  <c r="AE103" i="104"/>
  <c r="V103" i="104"/>
  <c r="N103" i="104"/>
  <c r="BF101" i="104"/>
  <c r="AX101" i="104"/>
  <c r="AO101" i="104"/>
  <c r="AF101" i="104"/>
  <c r="W101" i="104"/>
  <c r="O101" i="104"/>
  <c r="BB98" i="104"/>
  <c r="AU98" i="104"/>
  <c r="AN98" i="104"/>
  <c r="AF98" i="104"/>
  <c r="Y98" i="104"/>
  <c r="R98" i="104"/>
  <c r="K98" i="104"/>
  <c r="BF92" i="104"/>
  <c r="AZ92" i="104"/>
  <c r="AT92" i="104"/>
  <c r="AN92" i="104"/>
  <c r="AH92" i="104"/>
  <c r="AB92" i="104"/>
  <c r="V92" i="104"/>
  <c r="P92" i="104"/>
  <c r="J92" i="104"/>
  <c r="AV147" i="104"/>
  <c r="Z144" i="104"/>
  <c r="R139" i="104"/>
  <c r="AR137" i="104"/>
  <c r="AV124" i="104"/>
  <c r="P124" i="104"/>
  <c r="AV121" i="104"/>
  <c r="P121" i="104"/>
  <c r="BF119" i="104"/>
  <c r="AN119" i="104"/>
  <c r="W119" i="104"/>
  <c r="AT117" i="104"/>
  <c r="AG117" i="104"/>
  <c r="T117" i="104"/>
  <c r="H117" i="104"/>
  <c r="AV116" i="104"/>
  <c r="AI116" i="104"/>
  <c r="V116" i="104"/>
  <c r="I116" i="104"/>
  <c r="AZ114" i="104"/>
  <c r="AN114" i="104"/>
  <c r="AA114" i="104"/>
  <c r="N114" i="104"/>
  <c r="BB113" i="104"/>
  <c r="AO113" i="104"/>
  <c r="AC113" i="104"/>
  <c r="P113" i="104"/>
  <c r="BE112" i="104"/>
  <c r="AR112" i="104"/>
  <c r="AD112" i="104"/>
  <c r="R112" i="104"/>
  <c r="BA108" i="104"/>
  <c r="AP108" i="104"/>
  <c r="AE108" i="104"/>
  <c r="T108" i="104"/>
  <c r="I108" i="104"/>
  <c r="BC103" i="104"/>
  <c r="AT103" i="104"/>
  <c r="AL103" i="104"/>
  <c r="AC103" i="104"/>
  <c r="U103" i="104"/>
  <c r="K103" i="104"/>
  <c r="BE101" i="104"/>
  <c r="AW101" i="104"/>
  <c r="AM101" i="104"/>
  <c r="AE101" i="104"/>
  <c r="V101" i="104"/>
  <c r="N101" i="104"/>
  <c r="BA98" i="104"/>
  <c r="AT98" i="104"/>
  <c r="AL98" i="104"/>
  <c r="AE98" i="104"/>
  <c r="X98" i="104"/>
  <c r="Q98" i="104"/>
  <c r="J98" i="104"/>
  <c r="Z147" i="104"/>
  <c r="O142" i="104"/>
  <c r="BF138" i="104"/>
  <c r="AG137" i="104"/>
  <c r="AR124" i="104"/>
  <c r="K124" i="104"/>
  <c r="AR121" i="104"/>
  <c r="K121" i="104"/>
  <c r="BB119" i="104"/>
  <c r="AL119" i="104"/>
  <c r="T119" i="104"/>
  <c r="BF117" i="104"/>
  <c r="AS117" i="104"/>
  <c r="AF117" i="104"/>
  <c r="R117" i="104"/>
  <c r="AU116" i="104"/>
  <c r="AH116" i="104"/>
  <c r="U116" i="104"/>
  <c r="H116" i="104"/>
  <c r="AY114" i="104"/>
  <c r="AL114" i="104"/>
  <c r="Z114" i="104"/>
  <c r="L114" i="104"/>
  <c r="BA113" i="104"/>
  <c r="AN113" i="104"/>
  <c r="AA113" i="104"/>
  <c r="O113" i="104"/>
  <c r="BD112" i="104"/>
  <c r="AP112" i="104"/>
  <c r="AC112" i="104"/>
  <c r="P112" i="104"/>
  <c r="AY108" i="104"/>
  <c r="AO108" i="104"/>
  <c r="AD108" i="104"/>
  <c r="S108" i="104"/>
  <c r="H108" i="104"/>
  <c r="BA103" i="104"/>
  <c r="AS103" i="104"/>
  <c r="AK103" i="104"/>
  <c r="AB103" i="104"/>
  <c r="S103" i="104"/>
  <c r="J103" i="104"/>
  <c r="BD101" i="104"/>
  <c r="AT101" i="104"/>
  <c r="AL101" i="104"/>
  <c r="AC101" i="104"/>
  <c r="U101" i="104"/>
  <c r="M101" i="104"/>
  <c r="AZ98" i="104"/>
  <c r="AR98" i="104"/>
  <c r="AK98" i="104"/>
  <c r="AD98" i="104"/>
  <c r="W98" i="104"/>
  <c r="P98" i="104"/>
  <c r="H98" i="104"/>
  <c r="K150" i="104"/>
  <c r="AO143" i="104"/>
  <c r="BB141" i="104"/>
  <c r="AR138" i="104"/>
  <c r="V137" i="104"/>
  <c r="AL124" i="104"/>
  <c r="AL121" i="104"/>
  <c r="BA119" i="104"/>
  <c r="AJ119" i="104"/>
  <c r="R119" i="104"/>
  <c r="BB117" i="104"/>
  <c r="AO117" i="104"/>
  <c r="AC117" i="104"/>
  <c r="P117" i="104"/>
  <c r="BE116" i="104"/>
  <c r="AR116" i="104"/>
  <c r="AD116" i="104"/>
  <c r="R116" i="104"/>
  <c r="AV114" i="104"/>
  <c r="AI114" i="104"/>
  <c r="V114" i="104"/>
  <c r="I114" i="104"/>
  <c r="AY113" i="104"/>
  <c r="AL113" i="104"/>
  <c r="X113" i="104"/>
  <c r="K113" i="104"/>
  <c r="AZ112" i="104"/>
  <c r="AN112" i="104"/>
  <c r="AA112" i="104"/>
  <c r="N112" i="104"/>
  <c r="AW108" i="104"/>
  <c r="AL108" i="104"/>
  <c r="AA108" i="104"/>
  <c r="Q108" i="104"/>
  <c r="AZ103" i="104"/>
  <c r="AR103" i="104"/>
  <c r="AI103" i="104"/>
  <c r="Z103" i="104"/>
  <c r="Q103" i="104"/>
  <c r="I103" i="104"/>
  <c r="BA101" i="104"/>
  <c r="AS101" i="104"/>
  <c r="AK101" i="104"/>
  <c r="AB101" i="104"/>
  <c r="T101" i="104"/>
  <c r="J101" i="104"/>
  <c r="BF98" i="104"/>
  <c r="AX98" i="104"/>
  <c r="AQ98" i="104"/>
  <c r="AJ98" i="104"/>
  <c r="AC98" i="104"/>
  <c r="V98" i="104"/>
  <c r="N98" i="104"/>
  <c r="BC92" i="104"/>
  <c r="AW92" i="104"/>
  <c r="AQ92" i="104"/>
  <c r="AK92" i="104"/>
  <c r="AE92" i="104"/>
  <c r="Y92" i="104"/>
  <c r="S92" i="104"/>
  <c r="M92" i="104"/>
  <c r="AK145" i="104"/>
  <c r="W143" i="104"/>
  <c r="AN141" i="104"/>
  <c r="H140" i="104"/>
  <c r="AC138" i="104"/>
  <c r="K137" i="104"/>
  <c r="AG124" i="104"/>
  <c r="AG121" i="104"/>
  <c r="AV119" i="104"/>
  <c r="AF119" i="104"/>
  <c r="O119" i="104"/>
  <c r="BA117" i="104"/>
  <c r="AN117" i="104"/>
  <c r="AA117" i="104"/>
  <c r="O117" i="104"/>
  <c r="BD116" i="104"/>
  <c r="AP116" i="104"/>
  <c r="AC116" i="104"/>
  <c r="P116" i="104"/>
  <c r="AU114" i="104"/>
  <c r="AH114" i="104"/>
  <c r="U114" i="104"/>
  <c r="H114" i="104"/>
  <c r="AV113" i="104"/>
  <c r="AJ113" i="104"/>
  <c r="W113" i="104"/>
  <c r="J113" i="104"/>
  <c r="AY112" i="104"/>
  <c r="AL112" i="104"/>
  <c r="Z112" i="104"/>
  <c r="L112" i="104"/>
  <c r="AV108" i="104"/>
  <c r="AK108" i="104"/>
  <c r="Z108" i="104"/>
  <c r="O108" i="104"/>
  <c r="K72" i="104"/>
  <c r="Q72" i="104"/>
  <c r="W72" i="104"/>
  <c r="AC72" i="104"/>
  <c r="AI72" i="104"/>
  <c r="AO72" i="104"/>
  <c r="AU72" i="104"/>
  <c r="BA72" i="104"/>
  <c r="I73" i="104"/>
  <c r="O73" i="104"/>
  <c r="U73" i="104"/>
  <c r="AA73" i="104"/>
  <c r="AG73" i="104"/>
  <c r="AM73" i="104"/>
  <c r="AS73" i="104"/>
  <c r="AY73" i="104"/>
  <c r="BE73" i="104"/>
  <c r="L74" i="104"/>
  <c r="R74" i="104"/>
  <c r="X74" i="104"/>
  <c r="AD74" i="104"/>
  <c r="AJ74" i="104"/>
  <c r="AP74" i="104"/>
  <c r="AV74" i="104"/>
  <c r="BB74" i="104"/>
  <c r="I75" i="104"/>
  <c r="O75" i="104"/>
  <c r="U75" i="104"/>
  <c r="AA75" i="104"/>
  <c r="AG75" i="104"/>
  <c r="AM75" i="104"/>
  <c r="AS75" i="104"/>
  <c r="AY75" i="104"/>
  <c r="BE75" i="104"/>
  <c r="L76" i="104"/>
  <c r="R76" i="104"/>
  <c r="X76" i="104"/>
  <c r="AD76" i="104"/>
  <c r="AJ76" i="104"/>
  <c r="AP76" i="104"/>
  <c r="AV76" i="104"/>
  <c r="BB76" i="104"/>
  <c r="I77" i="104"/>
  <c r="O77" i="104"/>
  <c r="U77" i="104"/>
  <c r="AA77" i="104"/>
  <c r="AG77" i="104"/>
  <c r="AM77" i="104"/>
  <c r="AS77" i="104"/>
  <c r="AY77" i="104"/>
  <c r="BE77" i="104"/>
  <c r="L78" i="104"/>
  <c r="R78" i="104"/>
  <c r="X78" i="104"/>
  <c r="AD78" i="104"/>
  <c r="AJ78" i="104"/>
  <c r="AP78" i="104"/>
  <c r="AV78" i="104"/>
  <c r="BB78" i="104"/>
  <c r="I79" i="104"/>
  <c r="O79" i="104"/>
  <c r="U79" i="104"/>
  <c r="AA79" i="104"/>
  <c r="AG79" i="104"/>
  <c r="AM79" i="104"/>
  <c r="AS79" i="104"/>
  <c r="AY79" i="104"/>
  <c r="BE79" i="104"/>
  <c r="L82" i="104"/>
  <c r="R82" i="104"/>
  <c r="X82" i="104"/>
  <c r="AD82" i="104"/>
  <c r="AJ82" i="104"/>
  <c r="AP82" i="104"/>
  <c r="AV82" i="104"/>
  <c r="BB82" i="104"/>
  <c r="I87" i="104"/>
  <c r="O87" i="104"/>
  <c r="U87" i="104"/>
  <c r="AA87" i="104"/>
  <c r="AG87" i="104"/>
  <c r="AM87" i="104"/>
  <c r="AS87" i="104"/>
  <c r="AY87" i="104"/>
  <c r="BE87" i="104"/>
  <c r="L92" i="104"/>
  <c r="U92" i="104"/>
  <c r="AD92" i="104"/>
  <c r="AM92" i="104"/>
  <c r="AV92" i="104"/>
  <c r="BE92" i="104"/>
  <c r="AB98" i="104"/>
  <c r="AW98" i="104"/>
  <c r="I101" i="104"/>
  <c r="AI101" i="104"/>
  <c r="Y103" i="104"/>
  <c r="AY103" i="104"/>
  <c r="BD108" i="104"/>
  <c r="H113" i="104"/>
  <c r="AD114" i="104"/>
  <c r="X117" i="104"/>
  <c r="AA124" i="104"/>
  <c r="O138" i="104"/>
  <c r="J87" i="104"/>
  <c r="P87" i="104"/>
  <c r="V87" i="104"/>
  <c r="AB87" i="104"/>
  <c r="AH87" i="104"/>
  <c r="AN87" i="104"/>
  <c r="AT87" i="104"/>
  <c r="AZ87" i="104"/>
  <c r="BF87" i="104"/>
  <c r="N92" i="104"/>
  <c r="W92" i="104"/>
  <c r="AF92" i="104"/>
  <c r="AO92" i="104"/>
  <c r="AX92" i="104"/>
  <c r="L98" i="104"/>
  <c r="AH98" i="104"/>
  <c r="BC98" i="104"/>
  <c r="P101" i="104"/>
  <c r="AQ101" i="104"/>
  <c r="AF103" i="104"/>
  <c r="BF103" i="104"/>
  <c r="T113" i="104"/>
  <c r="AR114" i="104"/>
  <c r="N116" i="104"/>
  <c r="AL117" i="104"/>
  <c r="K119" i="104"/>
  <c r="AA121" i="104"/>
  <c r="AU139" i="104"/>
  <c r="AD161" i="104"/>
  <c r="K73" i="104"/>
  <c r="Q73" i="104"/>
  <c r="W73" i="104"/>
  <c r="AC73" i="104"/>
  <c r="AI73" i="104"/>
  <c r="AO73" i="104"/>
  <c r="AU73" i="104"/>
  <c r="BA73" i="104"/>
  <c r="H76" i="104"/>
  <c r="N76" i="104"/>
  <c r="T76" i="104"/>
  <c r="Z76" i="104"/>
  <c r="AF76" i="104"/>
  <c r="AL76" i="104"/>
  <c r="AR76" i="104"/>
  <c r="AX76" i="104"/>
  <c r="BD76" i="104"/>
  <c r="K77" i="104"/>
  <c r="Q77" i="104"/>
  <c r="W77" i="104"/>
  <c r="AC77" i="104"/>
  <c r="AI77" i="104"/>
  <c r="AO77" i="104"/>
  <c r="AU77" i="104"/>
  <c r="BA77" i="104"/>
  <c r="K87" i="104"/>
  <c r="W87" i="104"/>
  <c r="AC87" i="104"/>
  <c r="AI87" i="104"/>
  <c r="AU87" i="104"/>
  <c r="BA87" i="104"/>
  <c r="O92" i="104"/>
  <c r="X92" i="104"/>
  <c r="AG92" i="104"/>
  <c r="AP92" i="104"/>
  <c r="M98" i="104"/>
  <c r="AI98" i="104"/>
  <c r="BD98" i="104"/>
  <c r="Q101" i="104"/>
  <c r="AR101" i="104"/>
  <c r="H103" i="104"/>
  <c r="AG103" i="104"/>
  <c r="M108" i="104"/>
  <c r="I112" i="104"/>
  <c r="AG113" i="104"/>
  <c r="BE114" i="104"/>
  <c r="AA116" i="104"/>
  <c r="AY117" i="104"/>
  <c r="AC119" i="104"/>
  <c r="Z141" i="104"/>
  <c r="BC72" i="104"/>
  <c r="H74" i="104"/>
  <c r="N74" i="104"/>
  <c r="T74" i="104"/>
  <c r="Z74" i="104"/>
  <c r="AF74" i="104"/>
  <c r="AL74" i="104"/>
  <c r="AR74" i="104"/>
  <c r="AX74" i="104"/>
  <c r="BD74" i="104"/>
  <c r="K75" i="104"/>
  <c r="Q75" i="104"/>
  <c r="W75" i="104"/>
  <c r="AC75" i="104"/>
  <c r="AI75" i="104"/>
  <c r="AO75" i="104"/>
  <c r="AU75" i="104"/>
  <c r="BA75" i="104"/>
  <c r="H78" i="104"/>
  <c r="N78" i="104"/>
  <c r="T78" i="104"/>
  <c r="Z78" i="104"/>
  <c r="AF78" i="104"/>
  <c r="AL78" i="104"/>
  <c r="AR78" i="104"/>
  <c r="AX78" i="104"/>
  <c r="BD78" i="104"/>
  <c r="K79" i="104"/>
  <c r="Q79" i="104"/>
  <c r="W79" i="104"/>
  <c r="AC79" i="104"/>
  <c r="AI79" i="104"/>
  <c r="AO79" i="104"/>
  <c r="AU79" i="104"/>
  <c r="BA79" i="104"/>
  <c r="H82" i="104"/>
  <c r="N82" i="104"/>
  <c r="T82" i="104"/>
  <c r="Z82" i="104"/>
  <c r="AF82" i="104"/>
  <c r="AL82" i="104"/>
  <c r="AR82" i="104"/>
  <c r="AX82" i="104"/>
  <c r="BD82" i="104"/>
  <c r="Q87" i="104"/>
  <c r="AO87" i="104"/>
  <c r="AY92" i="104"/>
  <c r="H72" i="104"/>
  <c r="N72" i="104"/>
  <c r="T72" i="104"/>
  <c r="Z72" i="104"/>
  <c r="AF72" i="104"/>
  <c r="AL72" i="104"/>
  <c r="AR72" i="104"/>
  <c r="AX72" i="104"/>
  <c r="BD72" i="104"/>
  <c r="L73" i="104"/>
  <c r="R73" i="104"/>
  <c r="X73" i="104"/>
  <c r="AD73" i="104"/>
  <c r="AJ73" i="104"/>
  <c r="AP73" i="104"/>
  <c r="AV73" i="104"/>
  <c r="BB73" i="104"/>
  <c r="I74" i="104"/>
  <c r="O74" i="104"/>
  <c r="U74" i="104"/>
  <c r="AA74" i="104"/>
  <c r="AG74" i="104"/>
  <c r="AM74" i="104"/>
  <c r="AS74" i="104"/>
  <c r="AY74" i="104"/>
  <c r="BE74" i="104"/>
  <c r="L75" i="104"/>
  <c r="R75" i="104"/>
  <c r="X75" i="104"/>
  <c r="AD75" i="104"/>
  <c r="AJ75" i="104"/>
  <c r="AP75" i="104"/>
  <c r="AV75" i="104"/>
  <c r="BB75" i="104"/>
  <c r="I76" i="104"/>
  <c r="O76" i="104"/>
  <c r="U76" i="104"/>
  <c r="AA76" i="104"/>
  <c r="AG76" i="104"/>
  <c r="AM76" i="104"/>
  <c r="AS76" i="104"/>
  <c r="AY76" i="104"/>
  <c r="BE76" i="104"/>
  <c r="L77" i="104"/>
  <c r="R77" i="104"/>
  <c r="X77" i="104"/>
  <c r="AD77" i="104"/>
  <c r="AJ77" i="104"/>
  <c r="AP77" i="104"/>
  <c r="AV77" i="104"/>
  <c r="BB77" i="104"/>
  <c r="I78" i="104"/>
  <c r="O78" i="104"/>
  <c r="U78" i="104"/>
  <c r="AA78" i="104"/>
  <c r="AG78" i="104"/>
  <c r="AM78" i="104"/>
  <c r="AS78" i="104"/>
  <c r="AY78" i="104"/>
  <c r="BE78" i="104"/>
  <c r="L79" i="104"/>
  <c r="R79" i="104"/>
  <c r="X79" i="104"/>
  <c r="AD79" i="104"/>
  <c r="AJ79" i="104"/>
  <c r="AP79" i="104"/>
  <c r="AV79" i="104"/>
  <c r="BB79" i="104"/>
  <c r="I82" i="104"/>
  <c r="O82" i="104"/>
  <c r="U82" i="104"/>
  <c r="AA82" i="104"/>
  <c r="AG82" i="104"/>
  <c r="AM82" i="104"/>
  <c r="AS82" i="104"/>
  <c r="AY82" i="104"/>
  <c r="BE82" i="104"/>
  <c r="L87" i="104"/>
  <c r="R87" i="104"/>
  <c r="X87" i="104"/>
  <c r="AD87" i="104"/>
  <c r="AJ87" i="104"/>
  <c r="AP87" i="104"/>
  <c r="AV87" i="104"/>
  <c r="BB87" i="104"/>
  <c r="H92" i="104"/>
  <c r="Q92" i="104"/>
  <c r="Z92" i="104"/>
  <c r="AI92" i="104"/>
  <c r="AR92" i="104"/>
  <c r="BA92" i="104"/>
  <c r="S98" i="104"/>
  <c r="AO98" i="104"/>
  <c r="Y101" i="104"/>
  <c r="AY101" i="104"/>
  <c r="O103" i="104"/>
  <c r="AN103" i="104"/>
  <c r="X108" i="104"/>
  <c r="V112" i="104"/>
  <c r="AT113" i="104"/>
  <c r="AN116" i="104"/>
  <c r="AT119" i="104"/>
  <c r="J76" i="104"/>
  <c r="P76" i="104"/>
  <c r="V76" i="104"/>
  <c r="AB76" i="104"/>
  <c r="AH76" i="104"/>
  <c r="AN76" i="104"/>
  <c r="AT76" i="104"/>
  <c r="AZ76" i="104"/>
  <c r="BF76" i="104"/>
  <c r="M77" i="104"/>
  <c r="S77" i="104"/>
  <c r="Y77" i="104"/>
  <c r="AE77" i="104"/>
  <c r="AK77" i="104"/>
  <c r="AQ77" i="104"/>
  <c r="AW77" i="104"/>
  <c r="BC77" i="104"/>
  <c r="J78" i="104"/>
  <c r="P78" i="104"/>
  <c r="V78" i="104"/>
  <c r="AB78" i="104"/>
  <c r="AH78" i="104"/>
  <c r="AN78" i="104"/>
  <c r="AT78" i="104"/>
  <c r="AZ78" i="104"/>
  <c r="BF78" i="104"/>
  <c r="M79" i="104"/>
  <c r="S79" i="104"/>
  <c r="Y79" i="104"/>
  <c r="AE79" i="104"/>
  <c r="AK79" i="104"/>
  <c r="AQ79" i="104"/>
  <c r="AW79" i="104"/>
  <c r="BC79" i="104"/>
  <c r="J82" i="104"/>
  <c r="P82" i="104"/>
  <c r="V82" i="104"/>
  <c r="AB82" i="104"/>
  <c r="AH82" i="104"/>
  <c r="AN82" i="104"/>
  <c r="AT82" i="104"/>
  <c r="AZ82" i="104"/>
  <c r="BF82" i="104"/>
  <c r="M87" i="104"/>
  <c r="S87" i="104"/>
  <c r="Y87" i="104"/>
  <c r="AE87" i="104"/>
  <c r="AK87" i="104"/>
  <c r="AQ87" i="104"/>
  <c r="AW87" i="104"/>
  <c r="BC87" i="104"/>
  <c r="I92" i="104"/>
  <c r="R92" i="104"/>
  <c r="AA92" i="104"/>
  <c r="AJ92" i="104"/>
  <c r="AS92" i="104"/>
  <c r="BB92" i="104"/>
  <c r="T98" i="104"/>
  <c r="AP98" i="104"/>
  <c r="AA101" i="104"/>
  <c r="AZ101" i="104"/>
  <c r="P103" i="104"/>
  <c r="AQ103" i="104"/>
  <c r="AI108" i="104"/>
  <c r="AI112" i="104"/>
  <c r="AZ116" i="104"/>
  <c r="P145" i="104"/>
  <c r="BK98" i="105"/>
  <c r="BJ111" i="105"/>
  <c r="BH157" i="105" l="1"/>
  <c r="BH156" i="105"/>
  <c r="BS157" i="105"/>
  <c r="BS156" i="105"/>
  <c r="CC156" i="105"/>
  <c r="CC157" i="105"/>
  <c r="BI157" i="105"/>
  <c r="BI156" i="105"/>
  <c r="CL157" i="105"/>
  <c r="CL156" i="105"/>
  <c r="BG157" i="105"/>
  <c r="BG156" i="105"/>
  <c r="BQ157" i="105"/>
  <c r="BQ156" i="105"/>
  <c r="BZ157" i="105"/>
  <c r="BZ156" i="105"/>
  <c r="BL156" i="105"/>
  <c r="BL157" i="105"/>
  <c r="BN156" i="105"/>
  <c r="BN157" i="105"/>
  <c r="BJ157" i="105"/>
  <c r="BJ156" i="105"/>
  <c r="DF157" i="105"/>
  <c r="DF156" i="105"/>
  <c r="CJ157" i="105"/>
  <c r="CJ156" i="105"/>
  <c r="CB156" i="105"/>
  <c r="CB157" i="105"/>
  <c r="CV157" i="105"/>
  <c r="CV156" i="105"/>
  <c r="BP157" i="105"/>
  <c r="BP156" i="105"/>
  <c r="CG157" i="105"/>
  <c r="CG156" i="105"/>
  <c r="CH157" i="105"/>
  <c r="CH156" i="105"/>
  <c r="DB157" i="105"/>
  <c r="DB156" i="105"/>
  <c r="CZ157" i="105"/>
  <c r="CZ156" i="105"/>
  <c r="CP157" i="105"/>
  <c r="CP156" i="105"/>
  <c r="CY157" i="105"/>
  <c r="CY156" i="105"/>
  <c r="CU156" i="105"/>
  <c r="CU157" i="105"/>
  <c r="CS156" i="105"/>
  <c r="CS157" i="105"/>
  <c r="CD157" i="105"/>
  <c r="CD156" i="105"/>
  <c r="CM157" i="105"/>
  <c r="CM156" i="105"/>
  <c r="CI157" i="105"/>
  <c r="CI156" i="105"/>
  <c r="BX157" i="105"/>
  <c r="BX156" i="105"/>
  <c r="BR157" i="105"/>
  <c r="BR156" i="105"/>
  <c r="CA156" i="105"/>
  <c r="CA157" i="105"/>
  <c r="CW157" i="105"/>
  <c r="CW156" i="105"/>
  <c r="BW157" i="105"/>
  <c r="BW156" i="105"/>
  <c r="BO156" i="105"/>
  <c r="BO157" i="105"/>
  <c r="CT156" i="105"/>
  <c r="CT157" i="105"/>
  <c r="CK157" i="105"/>
  <c r="CK156" i="105"/>
  <c r="BK156" i="105"/>
  <c r="BK157" i="105"/>
  <c r="DD157" i="105"/>
  <c r="DD156" i="105"/>
  <c r="BV157" i="105"/>
  <c r="BV156" i="105"/>
  <c r="BY157" i="105"/>
  <c r="BY156" i="105"/>
  <c r="CR156" i="105"/>
  <c r="CR157" i="105"/>
  <c r="DC157" i="105"/>
  <c r="DC156" i="105"/>
  <c r="CN157" i="105"/>
  <c r="CN156" i="105"/>
  <c r="BM156" i="105"/>
  <c r="BM157" i="105"/>
  <c r="BU157" i="105"/>
  <c r="BU156" i="105"/>
  <c r="CF157" i="105"/>
  <c r="CF156" i="105"/>
  <c r="CQ156" i="105"/>
  <c r="CQ157" i="105"/>
  <c r="DA157" i="105"/>
  <c r="DA156" i="105"/>
  <c r="DE157" i="105"/>
  <c r="DE156" i="105"/>
  <c r="BT157" i="105"/>
  <c r="BT156" i="105"/>
  <c r="CE156" i="105"/>
  <c r="CE157" i="105"/>
  <c r="CO157" i="105"/>
  <c r="CO156" i="105"/>
  <c r="CX157" i="105"/>
  <c r="CX156" i="105"/>
  <c r="AV111" i="104"/>
  <c r="AM111" i="104"/>
  <c r="AD127" i="104"/>
  <c r="AH111" i="104"/>
  <c r="N127" i="104"/>
  <c r="O196" i="104"/>
  <c r="AW196" i="104"/>
  <c r="S196" i="104"/>
  <c r="AE204" i="104"/>
  <c r="O204" i="104"/>
  <c r="AN204" i="104"/>
  <c r="AP127" i="104"/>
  <c r="AM196" i="104"/>
  <c r="BD196" i="104"/>
  <c r="BE196" i="104"/>
  <c r="AD204" i="104"/>
  <c r="Y196" i="104"/>
  <c r="AK204" i="104"/>
  <c r="U204" i="104"/>
  <c r="AT204" i="104"/>
  <c r="BC86" i="104"/>
  <c r="AQ102" i="104"/>
  <c r="AE196" i="104"/>
  <c r="AQ204" i="104"/>
  <c r="AA204" i="104"/>
  <c r="AZ204" i="104"/>
  <c r="I86" i="104"/>
  <c r="AB102" i="104"/>
  <c r="O102" i="104"/>
  <c r="R196" i="104"/>
  <c r="AR196" i="104"/>
  <c r="BC204" i="104"/>
  <c r="AM204" i="104"/>
  <c r="AN196" i="104"/>
  <c r="K204" i="104"/>
  <c r="AF111" i="104"/>
  <c r="AM127" i="104"/>
  <c r="AW111" i="104"/>
  <c r="U196" i="104"/>
  <c r="X204" i="104"/>
  <c r="X196" i="104"/>
  <c r="BB196" i="104"/>
  <c r="H204" i="104"/>
  <c r="AS204" i="104"/>
  <c r="AT196" i="104"/>
  <c r="Q204" i="104"/>
  <c r="V118" i="104"/>
  <c r="AP111" i="104"/>
  <c r="AD196" i="104"/>
  <c r="N204" i="104"/>
  <c r="AY204" i="104"/>
  <c r="AZ196" i="104"/>
  <c r="W204" i="104"/>
  <c r="AQ127" i="104"/>
  <c r="K196" i="104"/>
  <c r="AJ196" i="104"/>
  <c r="AP204" i="104"/>
  <c r="T204" i="104"/>
  <c r="BE204" i="104"/>
  <c r="BF196" i="104"/>
  <c r="AC204" i="104"/>
  <c r="Q196" i="104"/>
  <c r="AQ196" i="104"/>
  <c r="H196" i="104"/>
  <c r="Z204" i="104"/>
  <c r="AI204" i="104"/>
  <c r="R204" i="104"/>
  <c r="W196" i="104"/>
  <c r="AY196" i="104"/>
  <c r="N196" i="104"/>
  <c r="AF204" i="104"/>
  <c r="AO204" i="104"/>
  <c r="AL86" i="104"/>
  <c r="AT118" i="104"/>
  <c r="I196" i="104"/>
  <c r="AA196" i="104"/>
  <c r="J196" i="104"/>
  <c r="BB204" i="104"/>
  <c r="AC196" i="104"/>
  <c r="T196" i="104"/>
  <c r="AL204" i="104"/>
  <c r="AU204" i="104"/>
  <c r="H127" i="104"/>
  <c r="AV196" i="104"/>
  <c r="P196" i="104"/>
  <c r="AI196" i="104"/>
  <c r="Z196" i="104"/>
  <c r="AR204" i="104"/>
  <c r="J204" i="104"/>
  <c r="BA204" i="104"/>
  <c r="BL185" i="104"/>
  <c r="AY111" i="104"/>
  <c r="AY127" i="104"/>
  <c r="AL127" i="104"/>
  <c r="V196" i="104"/>
  <c r="AP196" i="104"/>
  <c r="AF196" i="104"/>
  <c r="AX204" i="104"/>
  <c r="P204" i="104"/>
  <c r="L204" i="104"/>
  <c r="AB196" i="104"/>
  <c r="AX196" i="104"/>
  <c r="AJ204" i="104"/>
  <c r="AL196" i="104"/>
  <c r="M204" i="104"/>
  <c r="BD204" i="104"/>
  <c r="V204" i="104"/>
  <c r="BG185" i="104" a="1"/>
  <c r="BG185" i="104" s="1"/>
  <c r="AB86" i="104"/>
  <c r="L86" i="104"/>
  <c r="P111" i="104"/>
  <c r="AT111" i="104"/>
  <c r="BC118" i="104"/>
  <c r="AH196" i="104"/>
  <c r="AS196" i="104"/>
  <c r="S204" i="104"/>
  <c r="AB204" i="104"/>
  <c r="AU196" i="104"/>
  <c r="V86" i="104"/>
  <c r="O111" i="104"/>
  <c r="AG118" i="104"/>
  <c r="AU127" i="104"/>
  <c r="AG196" i="104"/>
  <c r="AO196" i="104"/>
  <c r="M196" i="104"/>
  <c r="BC196" i="104"/>
  <c r="Y204" i="104"/>
  <c r="I204" i="104"/>
  <c r="AH204" i="104"/>
  <c r="BG227" i="104" a="1"/>
  <c r="BG227" i="104" s="1"/>
  <c r="BL165" i="104"/>
  <c r="BL179" i="104"/>
  <c r="BL177" i="104"/>
  <c r="BG166" i="104" a="1"/>
  <c r="BG166" i="104" s="1"/>
  <c r="BG165" i="104" a="1"/>
  <c r="BG165" i="104" s="1"/>
  <c r="BL181" i="104"/>
  <c r="BL182" i="104"/>
  <c r="BG181" i="104" a="1"/>
  <c r="BG181" i="104" s="1"/>
  <c r="BG178" i="104" a="1"/>
  <c r="BG178" i="104" s="1"/>
  <c r="BB167" i="104"/>
  <c r="BA167" i="104"/>
  <c r="AO167" i="104"/>
  <c r="AC167" i="104"/>
  <c r="Q167" i="104"/>
  <c r="AZ167" i="104"/>
  <c r="AN167" i="104"/>
  <c r="AB167" i="104"/>
  <c r="P167" i="104"/>
  <c r="AY167" i="104"/>
  <c r="AM167" i="104"/>
  <c r="AA167" i="104"/>
  <c r="O167" i="104"/>
  <c r="AX167" i="104"/>
  <c r="AL167" i="104"/>
  <c r="Z167" i="104"/>
  <c r="N167" i="104"/>
  <c r="AW167" i="104"/>
  <c r="AK167" i="104"/>
  <c r="Y167" i="104"/>
  <c r="M167" i="104"/>
  <c r="AV167" i="104"/>
  <c r="AJ167" i="104"/>
  <c r="X167" i="104"/>
  <c r="L167" i="104"/>
  <c r="AU167" i="104"/>
  <c r="AI167" i="104"/>
  <c r="W167" i="104"/>
  <c r="K167" i="104"/>
  <c r="BF167" i="104"/>
  <c r="AT167" i="104"/>
  <c r="AH167" i="104"/>
  <c r="V167" i="104"/>
  <c r="J167" i="104"/>
  <c r="BE167" i="104"/>
  <c r="AS167" i="104"/>
  <c r="AG167" i="104"/>
  <c r="U167" i="104"/>
  <c r="I167" i="104"/>
  <c r="BD167" i="104"/>
  <c r="AR167" i="104"/>
  <c r="AF167" i="104"/>
  <c r="T167" i="104"/>
  <c r="H167" i="104"/>
  <c r="BC167" i="104"/>
  <c r="AQ167" i="104"/>
  <c r="AE167" i="104"/>
  <c r="S167" i="104"/>
  <c r="AP167" i="104"/>
  <c r="AD167" i="104"/>
  <c r="R167" i="104"/>
  <c r="BG177" i="104" a="1"/>
  <c r="BG177" i="104" s="1"/>
  <c r="BL178" i="104"/>
  <c r="P44" i="104"/>
  <c r="BB169" i="104"/>
  <c r="AP169" i="104"/>
  <c r="AD169" i="104"/>
  <c r="BA169" i="104"/>
  <c r="AO169" i="104"/>
  <c r="AC169" i="104"/>
  <c r="Q169" i="104"/>
  <c r="AZ169" i="104"/>
  <c r="AN169" i="104"/>
  <c r="AB169" i="104"/>
  <c r="P169" i="104"/>
  <c r="AY169" i="104"/>
  <c r="AM169" i="104"/>
  <c r="AA169" i="104"/>
  <c r="O169" i="104"/>
  <c r="AX169" i="104"/>
  <c r="AL169" i="104"/>
  <c r="Z169" i="104"/>
  <c r="N169" i="104"/>
  <c r="AW169" i="104"/>
  <c r="AK169" i="104"/>
  <c r="Y169" i="104"/>
  <c r="M169" i="104"/>
  <c r="AV169" i="104"/>
  <c r="AJ169" i="104"/>
  <c r="X169" i="104"/>
  <c r="L169" i="104"/>
  <c r="AU169" i="104"/>
  <c r="AI169" i="104"/>
  <c r="W169" i="104"/>
  <c r="K169" i="104"/>
  <c r="BF169" i="104"/>
  <c r="AT169" i="104"/>
  <c r="AH169" i="104"/>
  <c r="V169" i="104"/>
  <c r="J169" i="104"/>
  <c r="BE169" i="104"/>
  <c r="AS169" i="104"/>
  <c r="AG169" i="104"/>
  <c r="U169" i="104"/>
  <c r="I169" i="104"/>
  <c r="BD169" i="104"/>
  <c r="AR169" i="104"/>
  <c r="AF169" i="104"/>
  <c r="T169" i="104"/>
  <c r="H169" i="104"/>
  <c r="BC169" i="104"/>
  <c r="AQ169" i="104"/>
  <c r="AE169" i="104"/>
  <c r="S169" i="104"/>
  <c r="R169" i="104"/>
  <c r="BF180" i="104"/>
  <c r="AT180" i="104"/>
  <c r="AH180" i="104"/>
  <c r="V180" i="104"/>
  <c r="J180" i="104"/>
  <c r="BE180" i="104"/>
  <c r="AS180" i="104"/>
  <c r="AG180" i="104"/>
  <c r="U180" i="104"/>
  <c r="I180" i="104"/>
  <c r="BC180" i="104"/>
  <c r="AQ180" i="104"/>
  <c r="AX180" i="104"/>
  <c r="AL180" i="104"/>
  <c r="Z180" i="104"/>
  <c r="N180" i="104"/>
  <c r="AW180" i="104"/>
  <c r="AK180" i="104"/>
  <c r="Y180" i="104"/>
  <c r="M180" i="104"/>
  <c r="AV180" i="104"/>
  <c r="AJ180" i="104"/>
  <c r="X180" i="104"/>
  <c r="L180" i="104"/>
  <c r="BB180" i="104"/>
  <c r="AE180" i="104"/>
  <c r="K180" i="104"/>
  <c r="BA180" i="104"/>
  <c r="AD180" i="104"/>
  <c r="H180" i="104"/>
  <c r="AZ180" i="104"/>
  <c r="AC180" i="104"/>
  <c r="AY180" i="104"/>
  <c r="AB180" i="104"/>
  <c r="AU180" i="104"/>
  <c r="AA180" i="104"/>
  <c r="AR180" i="104"/>
  <c r="W180" i="104"/>
  <c r="AP180" i="104"/>
  <c r="T180" i="104"/>
  <c r="AO180" i="104"/>
  <c r="S180" i="104"/>
  <c r="AN180" i="104"/>
  <c r="R180" i="104"/>
  <c r="AM180" i="104"/>
  <c r="Q180" i="104"/>
  <c r="AI180" i="104"/>
  <c r="P180" i="104"/>
  <c r="BD180" i="104"/>
  <c r="AF180" i="104"/>
  <c r="O180" i="104"/>
  <c r="BG179" i="104" a="1"/>
  <c r="BG179" i="104" s="1"/>
  <c r="BF184" i="104"/>
  <c r="AT184" i="104"/>
  <c r="AH184" i="104"/>
  <c r="V184" i="104"/>
  <c r="J184" i="104"/>
  <c r="BE184" i="104"/>
  <c r="AS184" i="104"/>
  <c r="AG184" i="104"/>
  <c r="U184" i="104"/>
  <c r="I184" i="104"/>
  <c r="BC184" i="104"/>
  <c r="AQ184" i="104"/>
  <c r="AE184" i="104"/>
  <c r="S184" i="104"/>
  <c r="AY184" i="104"/>
  <c r="AM184" i="104"/>
  <c r="AA184" i="104"/>
  <c r="O184" i="104"/>
  <c r="AX184" i="104"/>
  <c r="AL184" i="104"/>
  <c r="Z184" i="104"/>
  <c r="N184" i="104"/>
  <c r="AW184" i="104"/>
  <c r="AK184" i="104"/>
  <c r="Y184" i="104"/>
  <c r="M184" i="104"/>
  <c r="AV184" i="104"/>
  <c r="AJ184" i="104"/>
  <c r="X184" i="104"/>
  <c r="L184" i="104"/>
  <c r="AN184" i="104"/>
  <c r="H184" i="104"/>
  <c r="AI184" i="104"/>
  <c r="AF184" i="104"/>
  <c r="AD184" i="104"/>
  <c r="BD184" i="104"/>
  <c r="AC184" i="104"/>
  <c r="BB184" i="104"/>
  <c r="AB184" i="104"/>
  <c r="BA184" i="104"/>
  <c r="W184" i="104"/>
  <c r="AZ184" i="104"/>
  <c r="T184" i="104"/>
  <c r="AU184" i="104"/>
  <c r="R184" i="104"/>
  <c r="AR184" i="104"/>
  <c r="Q184" i="104"/>
  <c r="AP184" i="104"/>
  <c r="P184" i="104"/>
  <c r="AO184" i="104"/>
  <c r="K184" i="104"/>
  <c r="BL166" i="104"/>
  <c r="AZ171" i="104"/>
  <c r="AN171" i="104"/>
  <c r="AB171" i="104"/>
  <c r="P171" i="104"/>
  <c r="BD171" i="104"/>
  <c r="AR171" i="104"/>
  <c r="AF171" i="104"/>
  <c r="T171" i="104"/>
  <c r="H171" i="104"/>
  <c r="BC171" i="104"/>
  <c r="AQ171" i="104"/>
  <c r="AE171" i="104"/>
  <c r="S171" i="104"/>
  <c r="AU171" i="104"/>
  <c r="AD171" i="104"/>
  <c r="N171" i="104"/>
  <c r="AT171" i="104"/>
  <c r="AC171" i="104"/>
  <c r="M171" i="104"/>
  <c r="AS171" i="104"/>
  <c r="AA171" i="104"/>
  <c r="L171" i="104"/>
  <c r="AP171" i="104"/>
  <c r="Z171" i="104"/>
  <c r="K171" i="104"/>
  <c r="BF171" i="104"/>
  <c r="AO171" i="104"/>
  <c r="Y171" i="104"/>
  <c r="J171" i="104"/>
  <c r="BE171" i="104"/>
  <c r="AM171" i="104"/>
  <c r="X171" i="104"/>
  <c r="I171" i="104"/>
  <c r="BB171" i="104"/>
  <c r="AL171" i="104"/>
  <c r="W171" i="104"/>
  <c r="BA171" i="104"/>
  <c r="AK171" i="104"/>
  <c r="V171" i="104"/>
  <c r="AY171" i="104"/>
  <c r="AJ171" i="104"/>
  <c r="U171" i="104"/>
  <c r="AX171" i="104"/>
  <c r="AI171" i="104"/>
  <c r="R171" i="104"/>
  <c r="AW171" i="104"/>
  <c r="AH171" i="104"/>
  <c r="Q171" i="104"/>
  <c r="AV171" i="104"/>
  <c r="AG171" i="104"/>
  <c r="O171" i="104"/>
  <c r="BB170" i="104" a="1"/>
  <c r="BB170" i="104" s="1"/>
  <c r="BD170" i="104" a="1"/>
  <c r="BD170" i="104" s="1"/>
  <c r="AV170" i="104" a="1"/>
  <c r="AV170" i="104" s="1"/>
  <c r="AO170" i="104" a="1"/>
  <c r="AO170" i="104" s="1"/>
  <c r="AH170" i="104" a="1"/>
  <c r="AH170" i="104" s="1"/>
  <c r="AB170" i="104" a="1"/>
  <c r="AB170" i="104" s="1"/>
  <c r="V170" i="104" a="1"/>
  <c r="V170" i="104" s="1"/>
  <c r="P170" i="104" a="1"/>
  <c r="P170" i="104" s="1"/>
  <c r="AN170" i="104" a="1"/>
  <c r="AN170" i="104" s="1"/>
  <c r="BC170" i="104" a="1"/>
  <c r="BC170" i="104" s="1"/>
  <c r="AU170" i="104" a="1"/>
  <c r="AU170" i="104" s="1"/>
  <c r="AG170" i="104" a="1"/>
  <c r="AG170" i="104" s="1"/>
  <c r="AA170" i="104" a="1"/>
  <c r="AA170" i="104" s="1"/>
  <c r="U170" i="104" a="1"/>
  <c r="U170" i="104" s="1"/>
  <c r="O170" i="104" a="1"/>
  <c r="O170" i="104" s="1"/>
  <c r="I170" i="104" a="1"/>
  <c r="I170" i="104" s="1"/>
  <c r="AT170" i="104" a="1"/>
  <c r="AT170" i="104" s="1"/>
  <c r="AM170" i="104" a="1"/>
  <c r="AM170" i="104" s="1"/>
  <c r="BA170" i="104" a="1"/>
  <c r="BA170" i="104" s="1"/>
  <c r="AF170" i="104" a="1"/>
  <c r="AF170" i="104" s="1"/>
  <c r="Z170" i="104" a="1"/>
  <c r="Z170" i="104" s="1"/>
  <c r="T170" i="104" a="1"/>
  <c r="T170" i="104" s="1"/>
  <c r="N170" i="104" a="1"/>
  <c r="N170" i="104" s="1"/>
  <c r="H170" i="104" a="1"/>
  <c r="H170" i="104" s="1"/>
  <c r="AZ170" i="104" a="1"/>
  <c r="AZ170" i="104" s="1"/>
  <c r="AS170" i="104" a="1"/>
  <c r="AS170" i="104" s="1"/>
  <c r="AL170" i="104" a="1"/>
  <c r="AL170" i="104" s="1"/>
  <c r="AE170" i="104" a="1"/>
  <c r="AE170" i="104" s="1"/>
  <c r="Y170" i="104" a="1"/>
  <c r="Y170" i="104" s="1"/>
  <c r="S170" i="104" a="1"/>
  <c r="S170" i="104" s="1"/>
  <c r="M170" i="104" a="1"/>
  <c r="M170" i="104" s="1"/>
  <c r="AY170" i="104" a="1"/>
  <c r="AY170" i="104" s="1"/>
  <c r="AR170" i="104" a="1"/>
  <c r="AR170" i="104" s="1"/>
  <c r="AK170" i="104" a="1"/>
  <c r="AK170" i="104" s="1"/>
  <c r="BF170" i="104" a="1"/>
  <c r="BF170" i="104" s="1"/>
  <c r="AJ170" i="104" a="1"/>
  <c r="AJ170" i="104" s="1"/>
  <c r="AD170" i="104" a="1"/>
  <c r="AD170" i="104" s="1"/>
  <c r="X170" i="104" a="1"/>
  <c r="X170" i="104" s="1"/>
  <c r="R170" i="104" a="1"/>
  <c r="R170" i="104" s="1"/>
  <c r="L170" i="104" a="1"/>
  <c r="L170" i="104" s="1"/>
  <c r="AX170" i="104" a="1"/>
  <c r="AX170" i="104" s="1"/>
  <c r="AQ170" i="104" a="1"/>
  <c r="AQ170" i="104" s="1"/>
  <c r="BE170" i="104" a="1"/>
  <c r="BE170" i="104" s="1"/>
  <c r="AP170" i="104" a="1"/>
  <c r="AP170" i="104" s="1"/>
  <c r="AI170" i="104" a="1"/>
  <c r="AI170" i="104" s="1"/>
  <c r="AC170" i="104" a="1"/>
  <c r="AC170" i="104" s="1"/>
  <c r="W170" i="104" a="1"/>
  <c r="W170" i="104" s="1"/>
  <c r="Q170" i="104" a="1"/>
  <c r="Q170" i="104" s="1"/>
  <c r="K170" i="104" a="1"/>
  <c r="K170" i="104" s="1"/>
  <c r="AW170" i="104" a="1"/>
  <c r="AW170" i="104" s="1"/>
  <c r="J170" i="104" a="1"/>
  <c r="J170" i="104" s="1"/>
  <c r="P47" i="104"/>
  <c r="BF186" i="104"/>
  <c r="AT186" i="104"/>
  <c r="AH186" i="104"/>
  <c r="V186" i="104"/>
  <c r="J186" i="104"/>
  <c r="BE186" i="104"/>
  <c r="AS186" i="104"/>
  <c r="AG186" i="104"/>
  <c r="U186" i="104"/>
  <c r="I186" i="104"/>
  <c r="BC186" i="104"/>
  <c r="AQ186" i="104"/>
  <c r="AE186" i="104"/>
  <c r="S186" i="104"/>
  <c r="AY186" i="104"/>
  <c r="AM186" i="104"/>
  <c r="AA186" i="104"/>
  <c r="O186" i="104"/>
  <c r="AX186" i="104"/>
  <c r="AL186" i="104"/>
  <c r="Z186" i="104"/>
  <c r="N186" i="104"/>
  <c r="AW186" i="104"/>
  <c r="AK186" i="104"/>
  <c r="Y186" i="104"/>
  <c r="M186" i="104"/>
  <c r="AV186" i="104"/>
  <c r="AJ186" i="104"/>
  <c r="X186" i="104"/>
  <c r="L186" i="104"/>
  <c r="AR186" i="104"/>
  <c r="Q186" i="104"/>
  <c r="AP186" i="104"/>
  <c r="P186" i="104"/>
  <c r="AO186" i="104"/>
  <c r="K186" i="104"/>
  <c r="AN186" i="104"/>
  <c r="H186" i="104"/>
  <c r="AI186" i="104"/>
  <c r="AF186" i="104"/>
  <c r="AD186" i="104"/>
  <c r="BD186" i="104"/>
  <c r="AC186" i="104"/>
  <c r="BB186" i="104"/>
  <c r="AB186" i="104"/>
  <c r="BA186" i="104"/>
  <c r="W186" i="104"/>
  <c r="AZ186" i="104"/>
  <c r="T186" i="104"/>
  <c r="AU186" i="104"/>
  <c r="R186" i="104"/>
  <c r="BG182" i="104" a="1"/>
  <c r="BG182" i="104" s="1"/>
  <c r="J84" i="104"/>
  <c r="H100" i="104"/>
  <c r="AQ221" i="104"/>
  <c r="Y221" i="104"/>
  <c r="BD221" i="104"/>
  <c r="AY221" i="104"/>
  <c r="J221" i="104"/>
  <c r="AC221" i="104"/>
  <c r="S221" i="104"/>
  <c r="AE221" i="104"/>
  <c r="V221" i="104"/>
  <c r="BC221" i="104"/>
  <c r="AB221" i="104"/>
  <c r="H221" i="104"/>
  <c r="AH221" i="104"/>
  <c r="BA84" i="104"/>
  <c r="AJ100" i="104"/>
  <c r="N221" i="104"/>
  <c r="BF221" i="104"/>
  <c r="BF100" i="104"/>
  <c r="M221" i="104"/>
  <c r="T221" i="104"/>
  <c r="AW221" i="104"/>
  <c r="Z221" i="104"/>
  <c r="L221" i="104"/>
  <c r="AK221" i="104"/>
  <c r="AF221" i="104"/>
  <c r="I221" i="104"/>
  <c r="R221" i="104"/>
  <c r="AU100" i="104"/>
  <c r="AS100" i="104"/>
  <c r="AL221" i="104"/>
  <c r="O221" i="104"/>
  <c r="K221" i="104"/>
  <c r="X221" i="104"/>
  <c r="BE84" i="104"/>
  <c r="AH100" i="104"/>
  <c r="AR221" i="104"/>
  <c r="AA221" i="104"/>
  <c r="Q221" i="104"/>
  <c r="AD221" i="104"/>
  <c r="AN221" i="104"/>
  <c r="AO221" i="104"/>
  <c r="AJ221" i="104"/>
  <c r="AT221" i="104"/>
  <c r="AU221" i="104"/>
  <c r="AP221" i="104"/>
  <c r="U221" i="104"/>
  <c r="AZ221" i="104"/>
  <c r="BA221" i="104"/>
  <c r="AV221" i="104"/>
  <c r="AM221" i="104"/>
  <c r="R198" i="104"/>
  <c r="AV206" i="104"/>
  <c r="P206" i="104"/>
  <c r="BB198" i="104"/>
  <c r="AW198" i="104"/>
  <c r="AZ206" i="104"/>
  <c r="AQ206" i="104"/>
  <c r="H206" i="104"/>
  <c r="AH198" i="104"/>
  <c r="W206" i="104"/>
  <c r="N198" i="104"/>
  <c r="AL198" i="104"/>
  <c r="T206" i="104"/>
  <c r="AD198" i="104"/>
  <c r="AI198" i="104"/>
  <c r="AG206" i="104"/>
  <c r="S198" i="104"/>
  <c r="I198" i="104"/>
  <c r="AE198" i="104"/>
  <c r="H198" i="104"/>
  <c r="Z206" i="104"/>
  <c r="AS198" i="104"/>
  <c r="BC198" i="104"/>
  <c r="T198" i="104"/>
  <c r="AJ198" i="104"/>
  <c r="AY198" i="104"/>
  <c r="AX198" i="104"/>
  <c r="BD198" i="104"/>
  <c r="AV198" i="104"/>
  <c r="BE198" i="104"/>
  <c r="Z198" i="104"/>
  <c r="DB88" i="105"/>
  <c r="BR95" i="105"/>
  <c r="CM124" i="105"/>
  <c r="BN88" i="105"/>
  <c r="CD106" i="105"/>
  <c r="CC87" i="105"/>
  <c r="BW111" i="105"/>
  <c r="CI88" i="105"/>
  <c r="DD92" i="105"/>
  <c r="DC96" i="105"/>
  <c r="DC99" i="105"/>
  <c r="CD92" i="105"/>
  <c r="CL105" i="105"/>
  <c r="CV105" i="105"/>
  <c r="BR90" i="105"/>
  <c r="BQ106" i="105"/>
  <c r="CP109" i="105"/>
  <c r="BO123" i="105"/>
  <c r="CD110" i="105"/>
  <c r="CP124" i="105"/>
  <c r="CX96" i="105"/>
  <c r="BR91" i="105"/>
  <c r="CH104" i="105"/>
  <c r="DC101" i="105"/>
  <c r="CL93" i="105"/>
  <c r="BO100" i="105"/>
  <c r="BU96" i="105"/>
  <c r="BT104" i="105"/>
  <c r="P148" i="105"/>
  <c r="BM148" i="105"/>
  <c r="BM145" i="105"/>
  <c r="P145" i="105"/>
  <c r="S145" i="105"/>
  <c r="S148" i="105"/>
  <c r="DE110" i="105"/>
  <c r="BM92" i="105"/>
  <c r="CT124" i="105"/>
  <c r="BD145" i="105"/>
  <c r="CO145" i="105"/>
  <c r="W148" i="105"/>
  <c r="CO148" i="105"/>
  <c r="BH148" i="105"/>
  <c r="BD148" i="105"/>
  <c r="CS148" i="105"/>
  <c r="BT145" i="105"/>
  <c r="BX105" i="105"/>
  <c r="CG111" i="105"/>
  <c r="BR99" i="105"/>
  <c r="AK145" i="105"/>
  <c r="BV145" i="105"/>
  <c r="BK148" i="105"/>
  <c r="V111" i="104"/>
  <c r="AS127" i="104"/>
  <c r="Q111" i="104"/>
  <c r="P127" i="104"/>
  <c r="X127" i="104"/>
  <c r="AB111" i="104"/>
  <c r="AK111" i="104"/>
  <c r="AE127" i="104"/>
  <c r="K111" i="104"/>
  <c r="R111" i="104"/>
  <c r="AD111" i="104"/>
  <c r="BD127" i="104"/>
  <c r="Z111" i="104"/>
  <c r="AA127" i="104"/>
  <c r="AF127" i="104"/>
  <c r="AI111" i="104"/>
  <c r="AQ111" i="104"/>
  <c r="AK127" i="104"/>
  <c r="AC111" i="104"/>
  <c r="AS111" i="104"/>
  <c r="H111" i="104"/>
  <c r="J111" i="104"/>
  <c r="R127" i="104"/>
  <c r="AU111" i="104"/>
  <c r="AR111" i="104"/>
  <c r="O127" i="104"/>
  <c r="AV127" i="104"/>
  <c r="AT127" i="104"/>
  <c r="AX111" i="104"/>
  <c r="U127" i="104"/>
  <c r="BC111" i="104"/>
  <c r="AW127" i="104"/>
  <c r="AO111" i="104"/>
  <c r="BF111" i="104"/>
  <c r="T111" i="104"/>
  <c r="W111" i="104"/>
  <c r="AC127" i="104"/>
  <c r="BD111" i="104"/>
  <c r="I127" i="104"/>
  <c r="AZ111" i="104"/>
  <c r="Z127" i="104"/>
  <c r="BA127" i="104"/>
  <c r="BE111" i="104"/>
  <c r="AB127" i="104"/>
  <c r="BC127" i="104"/>
  <c r="BB111" i="104"/>
  <c r="AG111" i="104"/>
  <c r="AJ111" i="104"/>
  <c r="AN127" i="104"/>
  <c r="T127" i="104"/>
  <c r="AJ127" i="104"/>
  <c r="AI127" i="104"/>
  <c r="AA111" i="104"/>
  <c r="K127" i="104"/>
  <c r="AO127" i="104"/>
  <c r="BF127" i="104"/>
  <c r="AX127" i="104"/>
  <c r="BB127" i="104"/>
  <c r="AN111" i="104"/>
  <c r="V127" i="104"/>
  <c r="AZ127" i="104"/>
  <c r="BE127" i="104"/>
  <c r="M111" i="104"/>
  <c r="S23" i="104"/>
  <c r="U95" i="104" s="1"/>
  <c r="BA111" i="104"/>
  <c r="L127" i="104"/>
  <c r="S111" i="104"/>
  <c r="M127" i="104"/>
  <c r="X111" i="104"/>
  <c r="AL111" i="104"/>
  <c r="AG127" i="104"/>
  <c r="AR127" i="104"/>
  <c r="W127" i="104"/>
  <c r="J127" i="104"/>
  <c r="N111" i="104"/>
  <c r="Y111" i="104"/>
  <c r="S127" i="104"/>
  <c r="L111" i="104"/>
  <c r="AH127" i="104"/>
  <c r="I111" i="104"/>
  <c r="Q127" i="104"/>
  <c r="U111" i="104"/>
  <c r="Y127" i="104"/>
  <c r="CU97" i="105"/>
  <c r="AX86" i="104"/>
  <c r="H84" i="104"/>
  <c r="V100" i="104"/>
  <c r="R86" i="104"/>
  <c r="BE118" i="104"/>
  <c r="AN100" i="104"/>
  <c r="AI102" i="104"/>
  <c r="Z100" i="104"/>
  <c r="R102" i="104"/>
  <c r="W118" i="104"/>
  <c r="AM100" i="104"/>
  <c r="I102" i="104"/>
  <c r="AM118" i="104"/>
  <c r="AW118" i="104"/>
  <c r="L193" i="104"/>
  <c r="BB193" i="104"/>
  <c r="U194" i="104"/>
  <c r="V194" i="104"/>
  <c r="AX193" i="104"/>
  <c r="R194" i="104"/>
  <c r="V193" i="104"/>
  <c r="AQ194" i="104"/>
  <c r="AO193" i="104"/>
  <c r="Q86" i="104"/>
  <c r="K84" i="104"/>
  <c r="AC84" i="104"/>
  <c r="P86" i="104"/>
  <c r="T86" i="104"/>
  <c r="AK102" i="104"/>
  <c r="AW86" i="104"/>
  <c r="BB84" i="104"/>
  <c r="P100" i="104"/>
  <c r="N102" i="104"/>
  <c r="BB100" i="104"/>
  <c r="AZ102" i="104"/>
  <c r="R118" i="104"/>
  <c r="AO100" i="104"/>
  <c r="AJ102" i="104"/>
  <c r="L102" i="104"/>
  <c r="AO118" i="104"/>
  <c r="AY100" i="104"/>
  <c r="U102" i="104"/>
  <c r="BA118" i="104"/>
  <c r="I194" i="104"/>
  <c r="M193" i="104"/>
  <c r="AH194" i="104"/>
  <c r="K194" i="104"/>
  <c r="I193" i="104"/>
  <c r="AD194" i="104"/>
  <c r="AH193" i="104"/>
  <c r="BC194" i="104"/>
  <c r="BA193" i="104"/>
  <c r="AI84" i="104"/>
  <c r="AC102" i="104"/>
  <c r="N100" i="104"/>
  <c r="AY84" i="104"/>
  <c r="J86" i="104"/>
  <c r="AS84" i="104"/>
  <c r="H86" i="104"/>
  <c r="K102" i="104"/>
  <c r="AQ86" i="104"/>
  <c r="AV84" i="104"/>
  <c r="W100" i="104"/>
  <c r="W102" i="104"/>
  <c r="AD118" i="104"/>
  <c r="AV100" i="104"/>
  <c r="AR102" i="104"/>
  <c r="S102" i="104"/>
  <c r="AX118" i="104"/>
  <c r="BE100" i="104"/>
  <c r="AA102" i="104"/>
  <c r="AS194" i="104"/>
  <c r="S193" i="104"/>
  <c r="AN194" i="104"/>
  <c r="Q194" i="104"/>
  <c r="O193" i="104"/>
  <c r="AJ194" i="104"/>
  <c r="AN193" i="104"/>
  <c r="H194" i="104"/>
  <c r="AO84" i="104"/>
  <c r="T100" i="104"/>
  <c r="Q84" i="104"/>
  <c r="AD100" i="104"/>
  <c r="AE102" i="104"/>
  <c r="J100" i="104"/>
  <c r="AR118" i="104"/>
  <c r="BC100" i="104"/>
  <c r="BA102" i="104"/>
  <c r="H118" i="104"/>
  <c r="Z102" i="104"/>
  <c r="BF118" i="104"/>
  <c r="AG102" i="104"/>
  <c r="AD193" i="104"/>
  <c r="Y193" i="104"/>
  <c r="AT194" i="104"/>
  <c r="W194" i="104"/>
  <c r="U193" i="104"/>
  <c r="AP194" i="104"/>
  <c r="AT193" i="104"/>
  <c r="N194" i="104"/>
  <c r="W84" i="104"/>
  <c r="T102" i="104"/>
  <c r="AY86" i="104"/>
  <c r="AG84" i="104"/>
  <c r="AL102" i="104"/>
  <c r="AX84" i="104"/>
  <c r="AE86" i="104"/>
  <c r="AJ84" i="104"/>
  <c r="AK100" i="104"/>
  <c r="AN102" i="104"/>
  <c r="Q100" i="104"/>
  <c r="P102" i="104"/>
  <c r="U118" i="104"/>
  <c r="AH102" i="104"/>
  <c r="K118" i="104"/>
  <c r="AM102" i="104"/>
  <c r="AV193" i="104"/>
  <c r="O194" i="104"/>
  <c r="AE193" i="104"/>
  <c r="AZ194" i="104"/>
  <c r="H193" i="104"/>
  <c r="AC194" i="104"/>
  <c r="AA193" i="104"/>
  <c r="AV194" i="104"/>
  <c r="AZ193" i="104"/>
  <c r="T194" i="104"/>
  <c r="AW84" i="104"/>
  <c r="BF84" i="104"/>
  <c r="AT102" i="104"/>
  <c r="BE86" i="104"/>
  <c r="BD84" i="104"/>
  <c r="AK86" i="104"/>
  <c r="AP84" i="104"/>
  <c r="AZ84" i="104"/>
  <c r="AT84" i="104"/>
  <c r="AS86" i="104"/>
  <c r="AA84" i="104"/>
  <c r="BD86" i="104"/>
  <c r="M102" i="104"/>
  <c r="AR84" i="104"/>
  <c r="AW100" i="104"/>
  <c r="Y86" i="104"/>
  <c r="BB86" i="104"/>
  <c r="AD84" i="104"/>
  <c r="L118" i="104"/>
  <c r="AR100" i="104"/>
  <c r="AW102" i="104"/>
  <c r="N118" i="104"/>
  <c r="X100" i="104"/>
  <c r="X102" i="104"/>
  <c r="AH118" i="104"/>
  <c r="AO102" i="104"/>
  <c r="T118" i="104"/>
  <c r="AS102" i="104"/>
  <c r="M118" i="104"/>
  <c r="AY194" i="104"/>
  <c r="AK193" i="104"/>
  <c r="BF194" i="104"/>
  <c r="N193" i="104"/>
  <c r="AI194" i="104"/>
  <c r="AG193" i="104"/>
  <c r="BB194" i="104"/>
  <c r="BF193" i="104"/>
  <c r="Z194" i="104"/>
  <c r="AE84" i="104"/>
  <c r="AM84" i="104"/>
  <c r="BF86" i="104"/>
  <c r="AN84" i="104"/>
  <c r="AM86" i="104"/>
  <c r="U84" i="104"/>
  <c r="AR86" i="104"/>
  <c r="AL84" i="104"/>
  <c r="AB100" i="104"/>
  <c r="S86" i="104"/>
  <c r="BD102" i="104"/>
  <c r="AV86" i="104"/>
  <c r="X84" i="104"/>
  <c r="Z118" i="104"/>
  <c r="AZ100" i="104"/>
  <c r="BF102" i="104"/>
  <c r="AA118" i="104"/>
  <c r="AE100" i="104"/>
  <c r="AF102" i="104"/>
  <c r="AU118" i="104"/>
  <c r="AV102" i="104"/>
  <c r="AB118" i="104"/>
  <c r="I100" i="104"/>
  <c r="AY102" i="104"/>
  <c r="S118" i="104"/>
  <c r="AP193" i="104"/>
  <c r="AQ193" i="104"/>
  <c r="T193" i="104"/>
  <c r="AO194" i="104"/>
  <c r="AM193" i="104"/>
  <c r="M194" i="104"/>
  <c r="K193" i="104"/>
  <c r="AF194" i="104"/>
  <c r="W86" i="104"/>
  <c r="M84" i="104"/>
  <c r="K100" i="104"/>
  <c r="BC102" i="104"/>
  <c r="AJ118" i="104"/>
  <c r="O100" i="104"/>
  <c r="BE102" i="104"/>
  <c r="J118" i="104"/>
  <c r="Y118" i="104"/>
  <c r="AA194" i="104"/>
  <c r="AW193" i="104"/>
  <c r="Z193" i="104"/>
  <c r="AU194" i="104"/>
  <c r="AS193" i="104"/>
  <c r="S194" i="104"/>
  <c r="Q193" i="104"/>
  <c r="AL194" i="104"/>
  <c r="BC84" i="104"/>
  <c r="AU84" i="104"/>
  <c r="BD100" i="104"/>
  <c r="AL100" i="104"/>
  <c r="AT86" i="104"/>
  <c r="AB84" i="104"/>
  <c r="I118" i="104"/>
  <c r="AI100" i="104"/>
  <c r="AA86" i="104"/>
  <c r="I84" i="104"/>
  <c r="Z86" i="104"/>
  <c r="AX100" i="104"/>
  <c r="Z84" i="104"/>
  <c r="AJ86" i="104"/>
  <c r="L84" i="104"/>
  <c r="AY118" i="104"/>
  <c r="BD118" i="104"/>
  <c r="AT100" i="104"/>
  <c r="AX102" i="104"/>
  <c r="P118" i="104"/>
  <c r="R100" i="104"/>
  <c r="H102" i="104"/>
  <c r="AS118" i="104"/>
  <c r="U100" i="104"/>
  <c r="Q118" i="104"/>
  <c r="AE118" i="104"/>
  <c r="BC193" i="104"/>
  <c r="AF193" i="104"/>
  <c r="BA194" i="104"/>
  <c r="AY193" i="104"/>
  <c r="Y194" i="104"/>
  <c r="W193" i="104"/>
  <c r="AR194" i="104"/>
  <c r="AK84" i="104"/>
  <c r="AH84" i="104"/>
  <c r="AF84" i="104"/>
  <c r="M86" i="104"/>
  <c r="AD102" i="104"/>
  <c r="AN118" i="104"/>
  <c r="M100" i="104"/>
  <c r="U86" i="104"/>
  <c r="N86" i="104"/>
  <c r="AC100" i="104"/>
  <c r="T84" i="104"/>
  <c r="AD86" i="104"/>
  <c r="BA100" i="104"/>
  <c r="AC118" i="104"/>
  <c r="Y100" i="104"/>
  <c r="Q102" i="104"/>
  <c r="L100" i="104"/>
  <c r="AZ118" i="104"/>
  <c r="BB118" i="104"/>
  <c r="AA100" i="104"/>
  <c r="X118" i="104"/>
  <c r="AK118" i="104"/>
  <c r="J194" i="104"/>
  <c r="AL193" i="104"/>
  <c r="BE193" i="104"/>
  <c r="J193" i="104"/>
  <c r="AE194" i="104"/>
  <c r="AC193" i="104"/>
  <c r="AX194" i="104"/>
  <c r="AQ84" i="104"/>
  <c r="AP100" i="104"/>
  <c r="S84" i="104"/>
  <c r="AU102" i="104"/>
  <c r="AZ86" i="104"/>
  <c r="AG86" i="104"/>
  <c r="O84" i="104"/>
  <c r="AF86" i="104"/>
  <c r="AP86" i="104"/>
  <c r="R84" i="104"/>
  <c r="AL118" i="104"/>
  <c r="AP102" i="104"/>
  <c r="V102" i="104"/>
  <c r="AN86" i="104"/>
  <c r="V84" i="104"/>
  <c r="AH86" i="104"/>
  <c r="P84" i="104"/>
  <c r="O86" i="104"/>
  <c r="N84" i="104"/>
  <c r="AV118" i="104"/>
  <c r="AQ100" i="104"/>
  <c r="X86" i="104"/>
  <c r="AP118" i="104"/>
  <c r="AF100" i="104"/>
  <c r="Y102" i="104"/>
  <c r="S100" i="104"/>
  <c r="J102" i="104"/>
  <c r="O118" i="104"/>
  <c r="AG100" i="104"/>
  <c r="AF118" i="104"/>
  <c r="AQ118" i="104"/>
  <c r="AG194" i="104"/>
  <c r="R193" i="104"/>
  <c r="AJ193" i="104"/>
  <c r="P194" i="104"/>
  <c r="AR193" i="104"/>
  <c r="L194" i="104"/>
  <c r="P193" i="104"/>
  <c r="AK194" i="104"/>
  <c r="BD194" i="104"/>
  <c r="BU104" i="105"/>
  <c r="BW104" i="105"/>
  <c r="CW103" i="105"/>
  <c r="DF90" i="105"/>
  <c r="CA103" i="105"/>
  <c r="BO105" i="105"/>
  <c r="DC106" i="105"/>
  <c r="CL104" i="105"/>
  <c r="DF99" i="105"/>
  <c r="BW89" i="105"/>
  <c r="DC102" i="105"/>
  <c r="CX97" i="105"/>
  <c r="CX93" i="105"/>
  <c r="BU103" i="105"/>
  <c r="BL100" i="105"/>
  <c r="BL105" i="105"/>
  <c r="CI100" i="105"/>
  <c r="DE105" i="105"/>
  <c r="K47" i="104"/>
  <c r="CG88" i="105"/>
  <c r="CB124" i="105"/>
  <c r="CP98" i="105"/>
  <c r="BN124" i="105"/>
  <c r="CS90" i="105"/>
  <c r="CL88" i="105"/>
  <c r="CU104" i="105"/>
  <c r="BV94" i="105"/>
  <c r="BM124" i="105"/>
  <c r="DA98" i="105"/>
  <c r="CW106" i="105"/>
  <c r="CY90" i="105"/>
  <c r="CG99" i="105"/>
  <c r="BZ105" i="105"/>
  <c r="CL94" i="105"/>
  <c r="AK200" i="104"/>
  <c r="O198" i="104"/>
  <c r="BE200" i="104"/>
  <c r="AN198" i="104"/>
  <c r="J200" i="104"/>
  <c r="AU200" i="104"/>
  <c r="AL206" i="104"/>
  <c r="V206" i="104"/>
  <c r="AC206" i="104"/>
  <c r="T217" i="104"/>
  <c r="AA217" i="104"/>
  <c r="J217" i="104"/>
  <c r="AO217" i="104"/>
  <c r="AQ200" i="104"/>
  <c r="H200" i="104"/>
  <c r="U198" i="104"/>
  <c r="AT198" i="104"/>
  <c r="P200" i="104"/>
  <c r="L206" i="104"/>
  <c r="K198" i="104"/>
  <c r="BA200" i="104"/>
  <c r="AR206" i="104"/>
  <c r="I206" i="104"/>
  <c r="AB206" i="104"/>
  <c r="AI206" i="104"/>
  <c r="Z217" i="104"/>
  <c r="AG217" i="104"/>
  <c r="P217" i="104"/>
  <c r="AU217" i="104"/>
  <c r="X200" i="104"/>
  <c r="AD200" i="104"/>
  <c r="AW200" i="104"/>
  <c r="N200" i="104"/>
  <c r="AA198" i="104"/>
  <c r="AZ198" i="104"/>
  <c r="V200" i="104"/>
  <c r="X206" i="104"/>
  <c r="Q198" i="104"/>
  <c r="AX206" i="104"/>
  <c r="O206" i="104"/>
  <c r="AH206" i="104"/>
  <c r="AO206" i="104"/>
  <c r="AF217" i="104"/>
  <c r="AM217" i="104"/>
  <c r="V217" i="104"/>
  <c r="BA217" i="104"/>
  <c r="AP198" i="104"/>
  <c r="BC200" i="104"/>
  <c r="T200" i="104"/>
  <c r="S206" i="104"/>
  <c r="AG198" i="104"/>
  <c r="BF198" i="104"/>
  <c r="AB200" i="104"/>
  <c r="AJ206" i="104"/>
  <c r="W198" i="104"/>
  <c r="BD206" i="104"/>
  <c r="U206" i="104"/>
  <c r="AN206" i="104"/>
  <c r="AU206" i="104"/>
  <c r="AL217" i="104"/>
  <c r="AS217" i="104"/>
  <c r="AB217" i="104"/>
  <c r="L217" i="104"/>
  <c r="Z200" i="104"/>
  <c r="AE206" i="104"/>
  <c r="AM198" i="104"/>
  <c r="I200" i="104"/>
  <c r="AH200" i="104"/>
  <c r="BB206" i="104"/>
  <c r="AC198" i="104"/>
  <c r="AE217" i="104"/>
  <c r="AK217" i="104"/>
  <c r="AA206" i="104"/>
  <c r="AT206" i="104"/>
  <c r="BA206" i="104"/>
  <c r="AR217" i="104"/>
  <c r="AY217" i="104"/>
  <c r="AH217" i="104"/>
  <c r="R217" i="104"/>
  <c r="AO198" i="104"/>
  <c r="K200" i="104"/>
  <c r="AM206" i="104"/>
  <c r="BF206" i="104"/>
  <c r="M217" i="104"/>
  <c r="BC217" i="104"/>
  <c r="BD217" i="104"/>
  <c r="AT217" i="104"/>
  <c r="AD217" i="104"/>
  <c r="AF206" i="104"/>
  <c r="J198" i="104"/>
  <c r="AZ200" i="104"/>
  <c r="AU198" i="104"/>
  <c r="Q200" i="104"/>
  <c r="M206" i="104"/>
  <c r="AS206" i="104"/>
  <c r="AW217" i="104"/>
  <c r="AZ217" i="104"/>
  <c r="K217" i="104"/>
  <c r="AJ217" i="104"/>
  <c r="AQ198" i="104"/>
  <c r="AF198" i="104"/>
  <c r="N206" i="104"/>
  <c r="L198" i="104"/>
  <c r="M198" i="104"/>
  <c r="M200" i="104"/>
  <c r="AX200" i="104"/>
  <c r="AG200" i="104"/>
  <c r="AW206" i="104"/>
  <c r="P198" i="104"/>
  <c r="BF200" i="104"/>
  <c r="BA198" i="104"/>
  <c r="W200" i="104"/>
  <c r="Y206" i="104"/>
  <c r="AY206" i="104"/>
  <c r="BF217" i="104"/>
  <c r="Q217" i="104"/>
  <c r="AP217" i="104"/>
  <c r="AR198" i="104"/>
  <c r="X198" i="104"/>
  <c r="Y198" i="104"/>
  <c r="S200" i="104"/>
  <c r="R206" i="104"/>
  <c r="BD200" i="104"/>
  <c r="AM200" i="104"/>
  <c r="V198" i="104"/>
  <c r="Y217" i="104"/>
  <c r="AC200" i="104"/>
  <c r="AK206" i="104"/>
  <c r="BE206" i="104"/>
  <c r="K206" i="104"/>
  <c r="I217" i="104"/>
  <c r="W217" i="104"/>
  <c r="AV217" i="104"/>
  <c r="K117" i="104"/>
  <c r="AK198" i="104"/>
  <c r="AP206" i="104"/>
  <c r="Y200" i="104"/>
  <c r="AD206" i="104"/>
  <c r="AS200" i="104"/>
  <c r="BC206" i="104"/>
  <c r="AQ217" i="104"/>
  <c r="J206" i="104"/>
  <c r="Q206" i="104"/>
  <c r="H217" i="104"/>
  <c r="O217" i="104"/>
  <c r="AC217" i="104"/>
  <c r="CN87" i="105"/>
  <c r="CQ101" i="105"/>
  <c r="CO104" i="105"/>
  <c r="CS105" i="105"/>
  <c r="CR98" i="105"/>
  <c r="CH101" i="105"/>
  <c r="BW100" i="105"/>
  <c r="BU110" i="105"/>
  <c r="BQ111" i="105"/>
  <c r="DE99" i="105"/>
  <c r="CY102" i="105"/>
  <c r="BO111" i="105"/>
  <c r="CD88" i="105"/>
  <c r="CA111" i="105"/>
  <c r="CQ99" i="105"/>
  <c r="DB92" i="105"/>
  <c r="BU97" i="105"/>
  <c r="BW110" i="105"/>
  <c r="DF95" i="105"/>
  <c r="CN124" i="105"/>
  <c r="CM99" i="105"/>
  <c r="BT92" i="105"/>
  <c r="BZ124" i="105"/>
  <c r="DE92" i="105"/>
  <c r="BO124" i="105"/>
  <c r="K77" i="105"/>
  <c r="CA109" i="105"/>
  <c r="DF91" i="105"/>
  <c r="CI109" i="105"/>
  <c r="BS104" i="105"/>
  <c r="BU100" i="105"/>
  <c r="CA124" i="105"/>
  <c r="AK142" i="104"/>
  <c r="AX142" i="104"/>
  <c r="BD142" i="104"/>
  <c r="AQ142" i="104"/>
  <c r="BW87" i="105"/>
  <c r="CT91" i="105"/>
  <c r="BR88" i="105"/>
  <c r="CL96" i="105"/>
  <c r="DB106" i="105"/>
  <c r="CA100" i="105"/>
  <c r="DA95" i="105"/>
  <c r="DA124" i="105"/>
  <c r="CE106" i="105"/>
  <c r="BR92" i="105"/>
  <c r="CM102" i="105"/>
  <c r="BN102" i="105"/>
  <c r="CW93" i="105"/>
  <c r="CV91" i="105"/>
  <c r="BR94" i="105"/>
  <c r="BC97" i="104"/>
  <c r="T97" i="104"/>
  <c r="AO97" i="104"/>
  <c r="AF97" i="104"/>
  <c r="AB151" i="104"/>
  <c r="AL151" i="104"/>
  <c r="Y151" i="104"/>
  <c r="AX151" i="104"/>
  <c r="T151" i="104"/>
  <c r="AE151" i="104"/>
  <c r="AV151" i="104"/>
  <c r="N151" i="104"/>
  <c r="BC151" i="104"/>
  <c r="AN151" i="104"/>
  <c r="R151" i="104"/>
  <c r="V151" i="104"/>
  <c r="BE151" i="104"/>
  <c r="M151" i="104"/>
  <c r="X151" i="104"/>
  <c r="AK151" i="104"/>
  <c r="AR151" i="104"/>
  <c r="AZ151" i="104"/>
  <c r="AF151" i="104"/>
  <c r="AC151" i="104"/>
  <c r="AY151" i="104"/>
  <c r="Q151" i="104"/>
  <c r="Z151" i="104"/>
  <c r="AH151" i="104"/>
  <c r="AO151" i="104"/>
  <c r="O151" i="104"/>
  <c r="AS151" i="104"/>
  <c r="J151" i="104"/>
  <c r="P151" i="104"/>
  <c r="W151" i="104"/>
  <c r="AD151" i="104"/>
  <c r="AW151" i="104"/>
  <c r="BF151" i="104"/>
  <c r="AM151" i="104"/>
  <c r="L151" i="104"/>
  <c r="S151" i="104"/>
  <c r="AG151" i="104"/>
  <c r="H151" i="104"/>
  <c r="AA151" i="104"/>
  <c r="U151" i="104"/>
  <c r="BD151" i="104"/>
  <c r="I151" i="104"/>
  <c r="AP151" i="104"/>
  <c r="BA151" i="104"/>
  <c r="AU151" i="104"/>
  <c r="AQ151" i="104"/>
  <c r="AI151" i="104"/>
  <c r="AT151" i="104"/>
  <c r="AJ151" i="104"/>
  <c r="K151" i="104"/>
  <c r="BB151" i="104"/>
  <c r="BD97" i="104"/>
  <c r="BF153" i="104"/>
  <c r="AM97" i="104"/>
  <c r="AZ153" i="104"/>
  <c r="S150" i="104"/>
  <c r="BB153" i="104"/>
  <c r="L150" i="104"/>
  <c r="AR153" i="104"/>
  <c r="AP142" i="104"/>
  <c r="AX153" i="104"/>
  <c r="T150" i="104"/>
  <c r="AH153" i="104"/>
  <c r="AK115" i="104"/>
  <c r="AW142" i="104"/>
  <c r="AA153" i="104"/>
  <c r="H97" i="104"/>
  <c r="J153" i="104"/>
  <c r="AA97" i="104"/>
  <c r="AN97" i="104"/>
  <c r="AI99" i="104"/>
  <c r="U97" i="104"/>
  <c r="O97" i="104"/>
  <c r="J115" i="104"/>
  <c r="BA97" i="104"/>
  <c r="J142" i="104"/>
  <c r="AO150" i="104"/>
  <c r="AH150" i="104"/>
  <c r="AB115" i="104"/>
  <c r="R153" i="104"/>
  <c r="P150" i="104"/>
  <c r="AI150" i="104"/>
  <c r="Q153" i="104"/>
  <c r="AV153" i="104"/>
  <c r="Q150" i="104"/>
  <c r="AM153" i="104"/>
  <c r="M97" i="104"/>
  <c r="Z97" i="104"/>
  <c r="N153" i="104"/>
  <c r="AB97" i="104"/>
  <c r="AK99" i="104"/>
  <c r="V97" i="104"/>
  <c r="AQ150" i="104"/>
  <c r="R142" i="104"/>
  <c r="Q142" i="104"/>
  <c r="AZ150" i="104"/>
  <c r="L142" i="104"/>
  <c r="AR150" i="104"/>
  <c r="AF153" i="104"/>
  <c r="Z150" i="104"/>
  <c r="AP150" i="104"/>
  <c r="X153" i="104"/>
  <c r="BC153" i="104"/>
  <c r="X150" i="104"/>
  <c r="M153" i="104"/>
  <c r="I150" i="104"/>
  <c r="AS153" i="104"/>
  <c r="K97" i="104"/>
  <c r="AI97" i="104"/>
  <c r="AC97" i="104"/>
  <c r="AL99" i="104"/>
  <c r="K142" i="104"/>
  <c r="AG142" i="104"/>
  <c r="X142" i="104"/>
  <c r="T142" i="104"/>
  <c r="BC150" i="104"/>
  <c r="L97" i="104"/>
  <c r="N150" i="104"/>
  <c r="AU153" i="104"/>
  <c r="AK150" i="104"/>
  <c r="AW150" i="104"/>
  <c r="AE153" i="104"/>
  <c r="AE150" i="104"/>
  <c r="T153" i="104"/>
  <c r="AY142" i="104"/>
  <c r="O150" i="104"/>
  <c r="AY153" i="104"/>
  <c r="T99" i="104"/>
  <c r="AU97" i="104"/>
  <c r="AQ97" i="104"/>
  <c r="AK97" i="104"/>
  <c r="Z142" i="104"/>
  <c r="AU142" i="104"/>
  <c r="AF142" i="104"/>
  <c r="AA142" i="104"/>
  <c r="AP97" i="104"/>
  <c r="Y150" i="104"/>
  <c r="AV150" i="104"/>
  <c r="BD150" i="104"/>
  <c r="AL153" i="104"/>
  <c r="AL150" i="104"/>
  <c r="AB153" i="104"/>
  <c r="BE142" i="104"/>
  <c r="U150" i="104"/>
  <c r="BE153" i="104"/>
  <c r="N97" i="104"/>
  <c r="AT97" i="104"/>
  <c r="J150" i="104"/>
  <c r="AG153" i="104"/>
  <c r="AG97" i="104"/>
  <c r="AX97" i="104"/>
  <c r="AR97" i="104"/>
  <c r="AC142" i="104"/>
  <c r="AN142" i="104"/>
  <c r="P142" i="104"/>
  <c r="R150" i="104"/>
  <c r="V150" i="104"/>
  <c r="AM142" i="104"/>
  <c r="AH142" i="104"/>
  <c r="AJ150" i="104"/>
  <c r="AT153" i="104"/>
  <c r="M142" i="104"/>
  <c r="AT150" i="104"/>
  <c r="AI153" i="104"/>
  <c r="AA150" i="104"/>
  <c r="AZ97" i="104"/>
  <c r="S97" i="104"/>
  <c r="BE97" i="104"/>
  <c r="AY97" i="104"/>
  <c r="BC142" i="104"/>
  <c r="AD142" i="104"/>
  <c r="AX150" i="104"/>
  <c r="Q115" i="104"/>
  <c r="BB150" i="104"/>
  <c r="V142" i="104"/>
  <c r="AT142" i="104"/>
  <c r="AO142" i="104"/>
  <c r="AU150" i="104"/>
  <c r="BA153" i="104"/>
  <c r="S142" i="104"/>
  <c r="BA150" i="104"/>
  <c r="AP153" i="104"/>
  <c r="AG150" i="104"/>
  <c r="AL97" i="104"/>
  <c r="BF97" i="104"/>
  <c r="J97" i="104"/>
  <c r="AR142" i="104"/>
  <c r="W142" i="104"/>
  <c r="AN150" i="104"/>
  <c r="AS142" i="104"/>
  <c r="AJ142" i="104"/>
  <c r="AC150" i="104"/>
  <c r="BB142" i="104"/>
  <c r="AV142" i="104"/>
  <c r="N142" i="104"/>
  <c r="BF150" i="104"/>
  <c r="Y142" i="104"/>
  <c r="AW153" i="104"/>
  <c r="AM150" i="104"/>
  <c r="W97" i="104"/>
  <c r="AW97" i="104"/>
  <c r="Q97" i="104"/>
  <c r="AL142" i="104"/>
  <c r="W153" i="104"/>
  <c r="AC153" i="104"/>
  <c r="AZ142" i="104"/>
  <c r="K153" i="104"/>
  <c r="BF142" i="104"/>
  <c r="U142" i="104"/>
  <c r="L153" i="104"/>
  <c r="AE142" i="104"/>
  <c r="BD153" i="104"/>
  <c r="AS150" i="104"/>
  <c r="I153" i="104"/>
  <c r="AO153" i="104"/>
  <c r="AW99" i="104"/>
  <c r="I97" i="104"/>
  <c r="AH97" i="104"/>
  <c r="Y97" i="104"/>
  <c r="S99" i="104"/>
  <c r="BA142" i="104"/>
  <c r="AF150" i="104"/>
  <c r="AK153" i="104"/>
  <c r="Y153" i="104"/>
  <c r="P153" i="104"/>
  <c r="AB142" i="104"/>
  <c r="V153" i="104"/>
  <c r="S153" i="104"/>
  <c r="AY150" i="104"/>
  <c r="AL197" i="104"/>
  <c r="AJ158" i="104"/>
  <c r="AU158" i="104"/>
  <c r="AN197" i="104"/>
  <c r="BC197" i="104"/>
  <c r="W197" i="104"/>
  <c r="R152" i="104"/>
  <c r="AA155" i="104"/>
  <c r="AL210" i="104"/>
  <c r="P115" i="104"/>
  <c r="AO99" i="104"/>
  <c r="BE99" i="104"/>
  <c r="AC99" i="104"/>
  <c r="AE99" i="104"/>
  <c r="K99" i="104"/>
  <c r="AD158" i="104"/>
  <c r="BB149" i="104"/>
  <c r="AC152" i="104"/>
  <c r="AN152" i="104"/>
  <c r="I115" i="104"/>
  <c r="AI155" i="104"/>
  <c r="U115" i="104"/>
  <c r="P155" i="104"/>
  <c r="AE115" i="104"/>
  <c r="AT152" i="104"/>
  <c r="AE158" i="104"/>
  <c r="BE197" i="104"/>
  <c r="BF197" i="104"/>
  <c r="AD197" i="104"/>
  <c r="AW197" i="104"/>
  <c r="AF197" i="104"/>
  <c r="BD99" i="104"/>
  <c r="AA99" i="104"/>
  <c r="N99" i="104"/>
  <c r="AR99" i="104"/>
  <c r="H115" i="104"/>
  <c r="AS99" i="104"/>
  <c r="W115" i="104"/>
  <c r="J99" i="104"/>
  <c r="Z99" i="104"/>
  <c r="L115" i="104"/>
  <c r="X155" i="104"/>
  <c r="Z115" i="104"/>
  <c r="AX152" i="104"/>
  <c r="AI115" i="104"/>
  <c r="AB152" i="104"/>
  <c r="AM155" i="104"/>
  <c r="AQ115" i="104"/>
  <c r="AJ155" i="104"/>
  <c r="J197" i="104"/>
  <c r="AZ197" i="104"/>
  <c r="AR197" i="104"/>
  <c r="AY99" i="104"/>
  <c r="T115" i="104"/>
  <c r="AZ99" i="104"/>
  <c r="AJ115" i="104"/>
  <c r="Q99" i="104"/>
  <c r="AG99" i="104"/>
  <c r="V115" i="104"/>
  <c r="Q158" i="104"/>
  <c r="AH115" i="104"/>
  <c r="AY155" i="104"/>
  <c r="AP115" i="104"/>
  <c r="AI152" i="104"/>
  <c r="AW115" i="104"/>
  <c r="O158" i="104"/>
  <c r="BB155" i="104"/>
  <c r="R197" i="104"/>
  <c r="AX197" i="104"/>
  <c r="AO115" i="104"/>
  <c r="BF99" i="104"/>
  <c r="AG115" i="104"/>
  <c r="AV115" i="104"/>
  <c r="Y99" i="104"/>
  <c r="AN99" i="104"/>
  <c r="V152" i="104"/>
  <c r="AD115" i="104"/>
  <c r="AR115" i="104"/>
  <c r="AQ149" i="104"/>
  <c r="AU155" i="104"/>
  <c r="V158" i="104"/>
  <c r="L149" i="104"/>
  <c r="L99" i="104"/>
  <c r="AX115" i="104"/>
  <c r="AV152" i="104"/>
  <c r="AP152" i="104"/>
  <c r="BC115" i="104"/>
  <c r="AB197" i="104"/>
  <c r="BD197" i="104"/>
  <c r="R115" i="104"/>
  <c r="AT115" i="104"/>
  <c r="AF99" i="104"/>
  <c r="AU99" i="104"/>
  <c r="O115" i="104"/>
  <c r="BB152" i="104"/>
  <c r="AM115" i="104"/>
  <c r="AZ115" i="104"/>
  <c r="S149" i="104"/>
  <c r="W149" i="104"/>
  <c r="L152" i="104"/>
  <c r="R99" i="104"/>
  <c r="BE115" i="104"/>
  <c r="M149" i="104"/>
  <c r="N155" i="104"/>
  <c r="AJ197" i="104"/>
  <c r="K197" i="104"/>
  <c r="AC210" i="104"/>
  <c r="AF152" i="104"/>
  <c r="AF115" i="104"/>
  <c r="L155" i="104"/>
  <c r="AM99" i="104"/>
  <c r="BC99" i="104"/>
  <c r="AA115" i="104"/>
  <c r="AU115" i="104"/>
  <c r="AD149" i="104"/>
  <c r="AR149" i="104"/>
  <c r="AR152" i="104"/>
  <c r="X99" i="104"/>
  <c r="BF152" i="104"/>
  <c r="T149" i="104"/>
  <c r="Z155" i="104"/>
  <c r="AH158" i="104"/>
  <c r="AO197" i="104"/>
  <c r="AU197" i="104"/>
  <c r="U197" i="104"/>
  <c r="AP197" i="104"/>
  <c r="M197" i="104"/>
  <c r="AT210" i="104"/>
  <c r="AH99" i="104"/>
  <c r="AS115" i="104"/>
  <c r="AT99" i="104"/>
  <c r="K115" i="104"/>
  <c r="AN115" i="104"/>
  <c r="BF155" i="104"/>
  <c r="BD115" i="104"/>
  <c r="AO149" i="104"/>
  <c r="H152" i="104"/>
  <c r="BC152" i="104"/>
  <c r="AD99" i="104"/>
  <c r="AJ149" i="104"/>
  <c r="AV149" i="104"/>
  <c r="AB149" i="104"/>
  <c r="AF158" i="104"/>
  <c r="I197" i="104"/>
  <c r="AC197" i="104"/>
  <c r="AV197" i="104"/>
  <c r="S197" i="104"/>
  <c r="Q59" i="104"/>
  <c r="AD215" i="104" s="1"/>
  <c r="AQ99" i="104"/>
  <c r="BF115" i="104"/>
  <c r="AF149" i="104"/>
  <c r="BA99" i="104"/>
  <c r="X115" i="104"/>
  <c r="BA115" i="104"/>
  <c r="AC149" i="104"/>
  <c r="K152" i="104"/>
  <c r="AZ149" i="104"/>
  <c r="S152" i="104"/>
  <c r="AJ99" i="104"/>
  <c r="AS155" i="104"/>
  <c r="V155" i="104"/>
  <c r="AR158" i="104"/>
  <c r="O197" i="104"/>
  <c r="P197" i="104"/>
  <c r="Q197" i="104"/>
  <c r="AM197" i="104"/>
  <c r="BB197" i="104"/>
  <c r="Y197" i="104"/>
  <c r="H197" i="104"/>
  <c r="AY210" i="104"/>
  <c r="AC115" i="104"/>
  <c r="U99" i="104"/>
  <c r="H99" i="104"/>
  <c r="I99" i="104"/>
  <c r="AL115" i="104"/>
  <c r="AQ152" i="104"/>
  <c r="AO152" i="104"/>
  <c r="AP99" i="104"/>
  <c r="I158" i="104"/>
  <c r="J149" i="104"/>
  <c r="M115" i="104"/>
  <c r="AG155" i="104"/>
  <c r="I149" i="104"/>
  <c r="BA197" i="104"/>
  <c r="X197" i="104"/>
  <c r="AA197" i="104"/>
  <c r="AY197" i="104"/>
  <c r="AE197" i="104"/>
  <c r="N197" i="104"/>
  <c r="AX99" i="104"/>
  <c r="O99" i="104"/>
  <c r="P99" i="104"/>
  <c r="AY115" i="104"/>
  <c r="R149" i="104"/>
  <c r="AZ152" i="104"/>
  <c r="AV99" i="104"/>
  <c r="BB158" i="104"/>
  <c r="Q149" i="104"/>
  <c r="S115" i="104"/>
  <c r="AE152" i="104"/>
  <c r="AP155" i="104"/>
  <c r="U149" i="104"/>
  <c r="AG197" i="104"/>
  <c r="AH197" i="104"/>
  <c r="AI197" i="104"/>
  <c r="L197" i="104"/>
  <c r="AK197" i="104"/>
  <c r="T197" i="104"/>
  <c r="AB99" i="104"/>
  <c r="BB115" i="104"/>
  <c r="V99" i="104"/>
  <c r="W99" i="104"/>
  <c r="V149" i="104"/>
  <c r="AH155" i="104"/>
  <c r="O155" i="104"/>
  <c r="N115" i="104"/>
  <c r="BA149" i="104"/>
  <c r="Y115" i="104"/>
  <c r="AL152" i="104"/>
  <c r="S158" i="104"/>
  <c r="AS197" i="104"/>
  <c r="AT197" i="104"/>
  <c r="V197" i="104"/>
  <c r="AQ197" i="104"/>
  <c r="AY140" i="104"/>
  <c r="AZ140" i="104"/>
  <c r="AA140" i="104"/>
  <c r="AE140" i="104"/>
  <c r="R140" i="104"/>
  <c r="AO140" i="104"/>
  <c r="AQ140" i="104"/>
  <c r="AG140" i="104"/>
  <c r="AV140" i="104"/>
  <c r="AW140" i="104"/>
  <c r="P140" i="104"/>
  <c r="AU140" i="104"/>
  <c r="BD140" i="104"/>
  <c r="BC140" i="104"/>
  <c r="AD140" i="104"/>
  <c r="K140" i="104"/>
  <c r="O140" i="104"/>
  <c r="J140" i="104"/>
  <c r="N140" i="104"/>
  <c r="AJ140" i="104"/>
  <c r="AS140" i="104"/>
  <c r="Z140" i="104"/>
  <c r="AC140" i="104"/>
  <c r="Q140" i="104"/>
  <c r="U140" i="104"/>
  <c r="AN140" i="104"/>
  <c r="AR140" i="104"/>
  <c r="X140" i="104"/>
  <c r="AB140" i="104"/>
  <c r="BB140" i="104"/>
  <c r="BF140" i="104"/>
  <c r="AF140" i="104"/>
  <c r="AI140" i="104"/>
  <c r="V140" i="104"/>
  <c r="AM140" i="104"/>
  <c r="AP140" i="104"/>
  <c r="M140" i="104"/>
  <c r="W140" i="104"/>
  <c r="AT140" i="104"/>
  <c r="L140" i="104"/>
  <c r="AX140" i="104"/>
  <c r="S140" i="104"/>
  <c r="AL140" i="104"/>
  <c r="BA140" i="104"/>
  <c r="T140" i="104"/>
  <c r="BE140" i="104"/>
  <c r="K59" i="104"/>
  <c r="M59" i="104"/>
  <c r="L62" i="104"/>
  <c r="K61" i="104"/>
  <c r="O149" i="104"/>
  <c r="AT155" i="104"/>
  <c r="Y158" i="104"/>
  <c r="T155" i="104"/>
  <c r="AL158" i="104"/>
  <c r="AR210" i="104"/>
  <c r="BE210" i="104"/>
  <c r="AZ210" i="104"/>
  <c r="AI210" i="104"/>
  <c r="AI118" i="104"/>
  <c r="AX210" i="104"/>
  <c r="BF210" i="104"/>
  <c r="AO210" i="104"/>
  <c r="AN149" i="104"/>
  <c r="K149" i="104"/>
  <c r="AX149" i="104"/>
  <c r="AH149" i="104"/>
  <c r="R97" i="104"/>
  <c r="X149" i="104"/>
  <c r="AW152" i="104"/>
  <c r="AV155" i="104"/>
  <c r="AI149" i="104"/>
  <c r="BA152" i="104"/>
  <c r="BA155" i="104"/>
  <c r="W158" i="104"/>
  <c r="AA149" i="104"/>
  <c r="I152" i="104"/>
  <c r="J158" i="104"/>
  <c r="M155" i="104"/>
  <c r="AK158" i="104"/>
  <c r="AF155" i="104"/>
  <c r="AX158" i="104"/>
  <c r="AN158" i="104"/>
  <c r="AJ210" i="104"/>
  <c r="BD210" i="104"/>
  <c r="AU210" i="104"/>
  <c r="X97" i="104"/>
  <c r="Q155" i="104"/>
  <c r="P149" i="104"/>
  <c r="P152" i="104"/>
  <c r="AE149" i="104"/>
  <c r="BD152" i="104"/>
  <c r="U158" i="104"/>
  <c r="I155" i="104"/>
  <c r="AP149" i="104"/>
  <c r="L158" i="104"/>
  <c r="AG158" i="104"/>
  <c r="AG149" i="104"/>
  <c r="O152" i="104"/>
  <c r="R158" i="104"/>
  <c r="S155" i="104"/>
  <c r="AQ158" i="104"/>
  <c r="AL155" i="104"/>
  <c r="BD158" i="104"/>
  <c r="AT158" i="104"/>
  <c r="M210" i="104"/>
  <c r="BA210" i="104"/>
  <c r="P97" i="104"/>
  <c r="Q61" i="104"/>
  <c r="H149" i="104"/>
  <c r="AC155" i="104"/>
  <c r="BC149" i="104"/>
  <c r="W152" i="104"/>
  <c r="AD97" i="104"/>
  <c r="N149" i="104"/>
  <c r="AN155" i="104"/>
  <c r="Z149" i="104"/>
  <c r="Z152" i="104"/>
  <c r="AL149" i="104"/>
  <c r="AI158" i="104"/>
  <c r="U155" i="104"/>
  <c r="AW149" i="104"/>
  <c r="AA158" i="104"/>
  <c r="AS158" i="104"/>
  <c r="AM149" i="104"/>
  <c r="U152" i="104"/>
  <c r="AB158" i="104"/>
  <c r="Y155" i="104"/>
  <c r="AW158" i="104"/>
  <c r="AR155" i="104"/>
  <c r="AZ158" i="104"/>
  <c r="S210" i="104"/>
  <c r="I210" i="104"/>
  <c r="BB102" i="104"/>
  <c r="AH152" i="104"/>
  <c r="AJ97" i="104"/>
  <c r="Y149" i="104"/>
  <c r="AV158" i="104"/>
  <c r="AK149" i="104"/>
  <c r="AK152" i="104"/>
  <c r="AT149" i="104"/>
  <c r="BA158" i="104"/>
  <c r="AD155" i="104"/>
  <c r="BD149" i="104"/>
  <c r="AP158" i="104"/>
  <c r="BE158" i="104"/>
  <c r="AS149" i="104"/>
  <c r="AA152" i="104"/>
  <c r="AM158" i="104"/>
  <c r="AE155" i="104"/>
  <c r="BC158" i="104"/>
  <c r="AX155" i="104"/>
  <c r="BF158" i="104"/>
  <c r="AD210" i="104"/>
  <c r="Y210" i="104"/>
  <c r="O210" i="104"/>
  <c r="J210" i="104"/>
  <c r="AC86" i="104"/>
  <c r="P59" i="104"/>
  <c r="AO155" i="104"/>
  <c r="AY149" i="104"/>
  <c r="AG152" i="104"/>
  <c r="AY158" i="104"/>
  <c r="AK155" i="104"/>
  <c r="BD155" i="104"/>
  <c r="AE210" i="104"/>
  <c r="H210" i="104"/>
  <c r="U210" i="104"/>
  <c r="P210" i="104"/>
  <c r="AE97" i="104"/>
  <c r="P61" i="104"/>
  <c r="AV97" i="104"/>
  <c r="AU149" i="104"/>
  <c r="N152" i="104"/>
  <c r="AZ155" i="104"/>
  <c r="BE149" i="104"/>
  <c r="AM152" i="104"/>
  <c r="AQ155" i="104"/>
  <c r="H158" i="104"/>
  <c r="AK210" i="104"/>
  <c r="N210" i="104"/>
  <c r="AA210" i="104"/>
  <c r="V210" i="104"/>
  <c r="AU86" i="104"/>
  <c r="M61" i="104"/>
  <c r="N61" i="104" s="1"/>
  <c r="BB97" i="104"/>
  <c r="BF149" i="104"/>
  <c r="Y152" i="104"/>
  <c r="K158" i="104"/>
  <c r="J152" i="104"/>
  <c r="BE155" i="104"/>
  <c r="AS152" i="104"/>
  <c r="J155" i="104"/>
  <c r="AW155" i="104"/>
  <c r="N158" i="104"/>
  <c r="X210" i="104"/>
  <c r="AQ210" i="104"/>
  <c r="T210" i="104"/>
  <c r="AG210" i="104"/>
  <c r="AB210" i="104"/>
  <c r="K210" i="104"/>
  <c r="K86" i="104"/>
  <c r="AD152" i="104"/>
  <c r="AJ152" i="104"/>
  <c r="M152" i="104"/>
  <c r="X158" i="104"/>
  <c r="Q152" i="104"/>
  <c r="P158" i="104"/>
  <c r="AY152" i="104"/>
  <c r="R155" i="104"/>
  <c r="BC155" i="104"/>
  <c r="T158" i="104"/>
  <c r="AP210" i="104"/>
  <c r="L210" i="104"/>
  <c r="AW210" i="104"/>
  <c r="Z210" i="104"/>
  <c r="AM210" i="104"/>
  <c r="AH210" i="104"/>
  <c r="Q210" i="104"/>
  <c r="AU152" i="104"/>
  <c r="W155" i="104"/>
  <c r="T152" i="104"/>
  <c r="AO158" i="104"/>
  <c r="X152" i="104"/>
  <c r="K155" i="104"/>
  <c r="AC158" i="104"/>
  <c r="BE152" i="104"/>
  <c r="AB155" i="104"/>
  <c r="M158" i="104"/>
  <c r="H155" i="104"/>
  <c r="AV210" i="104"/>
  <c r="R210" i="104"/>
  <c r="BC210" i="104"/>
  <c r="AF210" i="104"/>
  <c r="AS210" i="104"/>
  <c r="AN210" i="104"/>
  <c r="W210" i="104"/>
  <c r="AI86" i="104"/>
  <c r="BA86" i="104"/>
  <c r="CC97" i="105"/>
  <c r="CD98" i="105"/>
  <c r="CD102" i="105"/>
  <c r="CD109" i="105"/>
  <c r="CU92" i="105"/>
  <c r="CL109" i="105"/>
  <c r="CA94" i="105"/>
  <c r="BJ101" i="105"/>
  <c r="CR123" i="105"/>
  <c r="CZ124" i="105"/>
  <c r="CX94" i="105"/>
  <c r="N24" i="105"/>
  <c r="BJ90" i="105"/>
  <c r="BV93" i="105"/>
  <c r="DE106" i="105"/>
  <c r="CT90" i="105"/>
  <c r="CC91" i="105"/>
  <c r="CJ99" i="105"/>
  <c r="CY94" i="105"/>
  <c r="CT94" i="105"/>
  <c r="CM103" i="105"/>
  <c r="BP100" i="105"/>
  <c r="BK99" i="105"/>
  <c r="BW97" i="105"/>
  <c r="BV90" i="105"/>
  <c r="CW124" i="105"/>
  <c r="BT106" i="105"/>
  <c r="BZ93" i="105"/>
  <c r="CO94" i="105"/>
  <c r="DE95" i="105"/>
  <c r="CQ106" i="105"/>
  <c r="M24" i="105"/>
  <c r="BJ87" i="105"/>
  <c r="DF94" i="105"/>
  <c r="CP92" i="105"/>
  <c r="CH87" i="105"/>
  <c r="CL97" i="105"/>
  <c r="CK101" i="105"/>
  <c r="CT97" i="105"/>
  <c r="BV99" i="105"/>
  <c r="BX102" i="105"/>
  <c r="CG95" i="105"/>
  <c r="BO98" i="105"/>
  <c r="CA99" i="105"/>
  <c r="CA105" i="105"/>
  <c r="BS106" i="105"/>
  <c r="CW110" i="105"/>
  <c r="CX109" i="105"/>
  <c r="CM111" i="105"/>
  <c r="BP93" i="105"/>
  <c r="BT96" i="105"/>
  <c r="CI98" i="105"/>
  <c r="CU100" i="105"/>
  <c r="CM98" i="105"/>
  <c r="CY105" i="105"/>
  <c r="DD93" i="105"/>
  <c r="CY123" i="105"/>
  <c r="BJ124" i="105"/>
  <c r="BS110" i="105"/>
  <c r="CQ93" i="105"/>
  <c r="DF124" i="105"/>
  <c r="CA89" i="105"/>
  <c r="CX124" i="105"/>
  <c r="CF99" i="105"/>
  <c r="BY93" i="105"/>
  <c r="BY104" i="105"/>
  <c r="DA90" i="105"/>
  <c r="CX90" i="105"/>
  <c r="CK92" i="105"/>
  <c r="CR87" i="105"/>
  <c r="BY99" i="105"/>
  <c r="BO102" i="105"/>
  <c r="CJ98" i="105"/>
  <c r="CD124" i="105"/>
  <c r="CQ102" i="105"/>
  <c r="DC109" i="105"/>
  <c r="CE101" i="105"/>
  <c r="BW124" i="105"/>
  <c r="CE92" i="105"/>
  <c r="BT100" i="105"/>
  <c r="BW92" i="105"/>
  <c r="BM106" i="105"/>
  <c r="DA103" i="105"/>
  <c r="CB87" i="105"/>
  <c r="BT123" i="105"/>
  <c r="CI122" i="105"/>
  <c r="CU124" i="105"/>
  <c r="CQ123" i="105"/>
  <c r="BJ123" i="105"/>
  <c r="CL123" i="105"/>
  <c r="BZ96" i="105"/>
  <c r="CF92" i="105"/>
  <c r="BU93" i="105"/>
  <c r="DD123" i="105"/>
  <c r="CE104" i="105"/>
  <c r="CI93" i="105"/>
  <c r="DA91" i="105"/>
  <c r="BV89" i="105"/>
  <c r="CE123" i="105"/>
  <c r="BJ99" i="105"/>
  <c r="CX123" i="105"/>
  <c r="DB90" i="105"/>
  <c r="BX87" i="105"/>
  <c r="CN123" i="105"/>
  <c r="DD103" i="105"/>
  <c r="CU101" i="105"/>
  <c r="BV87" i="105"/>
  <c r="CG90" i="105"/>
  <c r="DF87" i="105"/>
  <c r="CU87" i="105"/>
  <c r="CA110" i="105"/>
  <c r="CH105" i="105"/>
  <c r="CT88" i="105"/>
  <c r="CR104" i="105"/>
  <c r="CT87" i="105"/>
  <c r="DB93" i="105"/>
  <c r="DB89" i="105"/>
  <c r="BN96" i="105"/>
  <c r="CD91" i="105"/>
  <c r="CR97" i="105"/>
  <c r="CZ123" i="105"/>
  <c r="CR101" i="105"/>
  <c r="CD87" i="105"/>
  <c r="CU123" i="105"/>
  <c r="CT103" i="105"/>
  <c r="BY89" i="105"/>
  <c r="BS105" i="105"/>
  <c r="DB96" i="105"/>
  <c r="BY98" i="105"/>
  <c r="CX101" i="105"/>
  <c r="DC98" i="105"/>
  <c r="BU106" i="105"/>
  <c r="CH97" i="105"/>
  <c r="DF111" i="105"/>
  <c r="CS99" i="105"/>
  <c r="CA98" i="105"/>
  <c r="CM100" i="105"/>
  <c r="CE111" i="105"/>
  <c r="CY124" i="105"/>
  <c r="CE110" i="105"/>
  <c r="BJ89" i="105"/>
  <c r="CN89" i="105"/>
  <c r="CS104" i="105"/>
  <c r="CT123" i="105"/>
  <c r="BS99" i="105"/>
  <c r="CR92" i="105"/>
  <c r="CA92" i="105"/>
  <c r="BR110" i="105"/>
  <c r="BW123" i="105"/>
  <c r="BR87" i="105"/>
  <c r="BO99" i="105"/>
  <c r="CH92" i="105"/>
  <c r="BJ93" i="105"/>
  <c r="CG91" i="105"/>
  <c r="BJ98" i="105"/>
  <c r="CM104" i="105"/>
  <c r="BT89" i="105"/>
  <c r="DF93" i="105"/>
  <c r="DC87" i="105"/>
  <c r="CI111" i="105"/>
  <c r="CH90" i="105"/>
  <c r="DF89" i="105"/>
  <c r="CY111" i="105"/>
  <c r="BR100" i="105"/>
  <c r="DF123" i="105"/>
  <c r="CI124" i="105"/>
  <c r="CY98" i="105"/>
  <c r="CD97" i="105"/>
  <c r="CK89" i="105"/>
  <c r="BN109" i="105"/>
  <c r="BP88" i="105"/>
  <c r="CS95" i="105"/>
  <c r="BJ97" i="105"/>
  <c r="BU94" i="105"/>
  <c r="CD99" i="105"/>
  <c r="CW89" i="105"/>
  <c r="CU103" i="105"/>
  <c r="CE105" i="105"/>
  <c r="CI123" i="105"/>
  <c r="CV87" i="105"/>
  <c r="BU89" i="105"/>
  <c r="DD101" i="105"/>
  <c r="DC93" i="105"/>
  <c r="DA89" i="105"/>
  <c r="CS88" i="105"/>
  <c r="CM89" i="105"/>
  <c r="CS102" i="105"/>
  <c r="CJ88" i="105"/>
  <c r="CO90" i="105"/>
  <c r="BZ97" i="105"/>
  <c r="BU91" i="105"/>
  <c r="CY99" i="105"/>
  <c r="DE98" i="105"/>
  <c r="BV95" i="105"/>
  <c r="DA92" i="105"/>
  <c r="BL94" i="105"/>
  <c r="BK103" i="105"/>
  <c r="CY100" i="105"/>
  <c r="BR124" i="105"/>
  <c r="CM105" i="105"/>
  <c r="BN110" i="105"/>
  <c r="BK124" i="105"/>
  <c r="CT96" i="105"/>
  <c r="CZ96" i="105"/>
  <c r="CT95" i="105"/>
  <c r="CC98" i="105"/>
  <c r="BT93" i="105"/>
  <c r="CI104" i="105"/>
  <c r="DC111" i="105"/>
  <c r="DB101" i="105"/>
  <c r="CT92" i="105"/>
  <c r="CK124" i="105"/>
  <c r="BZ89" i="105"/>
  <c r="CB99" i="105"/>
  <c r="CJ97" i="105"/>
  <c r="DA100" i="105"/>
  <c r="BU101" i="105"/>
  <c r="BN103" i="105"/>
  <c r="CD89" i="105"/>
  <c r="CK106" i="105"/>
  <c r="CF95" i="105"/>
  <c r="BR123" i="105"/>
  <c r="BU90" i="105"/>
  <c r="CP91" i="105"/>
  <c r="BZ99" i="105"/>
  <c r="CE102" i="105"/>
  <c r="CZ89" i="105"/>
  <c r="BQ98" i="105"/>
  <c r="BO97" i="105"/>
  <c r="BW98" i="105"/>
  <c r="BO103" i="105"/>
  <c r="BT95" i="105"/>
  <c r="BK100" i="105"/>
  <c r="CP95" i="105"/>
  <c r="CA102" i="105"/>
  <c r="BS102" i="105"/>
  <c r="CS110" i="105"/>
  <c r="CE109" i="105"/>
  <c r="CJ105" i="105"/>
  <c r="CG97" i="105"/>
  <c r="BV100" i="105"/>
  <c r="BT103" i="105"/>
  <c r="CJ94" i="105"/>
  <c r="CA97" i="105"/>
  <c r="CB96" i="105"/>
  <c r="CF111" i="105"/>
  <c r="DC110" i="105"/>
  <c r="CQ110" i="105"/>
  <c r="CE90" i="105"/>
  <c r="CK105" i="105"/>
  <c r="CS94" i="105"/>
  <c r="BN89" i="105"/>
  <c r="CP96" i="105"/>
  <c r="BW105" i="105"/>
  <c r="BR102" i="105"/>
  <c r="BR93" i="105"/>
  <c r="BJ94" i="105"/>
  <c r="CH103" i="105"/>
  <c r="CI103" i="105"/>
  <c r="CG100" i="105"/>
  <c r="CU98" i="105"/>
  <c r="BV123" i="105"/>
  <c r="CS97" i="105"/>
  <c r="CF103" i="105"/>
  <c r="CP103" i="105"/>
  <c r="BU95" i="105"/>
  <c r="M77" i="105"/>
  <c r="N77" i="105" s="1"/>
  <c r="CG124" i="105"/>
  <c r="CI97" i="105"/>
  <c r="CO98" i="105"/>
  <c r="DB98" i="105"/>
  <c r="CH91" i="105"/>
  <c r="DA106" i="105"/>
  <c r="CC92" i="105"/>
  <c r="BJ95" i="105"/>
  <c r="CS106" i="105"/>
  <c r="CA123" i="105"/>
  <c r="CR103" i="105"/>
  <c r="DB124" i="105"/>
  <c r="CX105" i="105"/>
  <c r="CP94" i="105"/>
  <c r="CH100" i="105"/>
  <c r="BW101" i="105"/>
  <c r="CV94" i="105"/>
  <c r="CM97" i="105"/>
  <c r="BK123" i="105"/>
  <c r="BX94" i="105"/>
  <c r="BV91" i="105"/>
  <c r="CY106" i="105"/>
  <c r="BQ90" i="105"/>
  <c r="CD90" i="105"/>
  <c r="BL95" i="105"/>
  <c r="BN99" i="105"/>
  <c r="CO110" i="105"/>
  <c r="BV101" i="105"/>
  <c r="BO101" i="105"/>
  <c r="BV111" i="105"/>
  <c r="BK109" i="105"/>
  <c r="DB102" i="105"/>
  <c r="BK106" i="105"/>
  <c r="BL123" i="105"/>
  <c r="BL98" i="105"/>
  <c r="BL87" i="105"/>
  <c r="BJ88" i="105"/>
  <c r="CB100" i="105"/>
  <c r="BK94" i="105"/>
  <c r="BZ103" i="105"/>
  <c r="CG93" i="105"/>
  <c r="CY104" i="105"/>
  <c r="DE104" i="105"/>
  <c r="CZ100" i="105"/>
  <c r="CX103" i="105"/>
  <c r="BO110" i="105"/>
  <c r="BY97" i="105"/>
  <c r="BO91" i="105"/>
  <c r="BZ110" i="105"/>
  <c r="BS103" i="105"/>
  <c r="DD100" i="105"/>
  <c r="BP123" i="105"/>
  <c r="DD124" i="105"/>
  <c r="CF124" i="105"/>
  <c r="DA97" i="105"/>
  <c r="CE95" i="105"/>
  <c r="BL99" i="105"/>
  <c r="CH123" i="105"/>
  <c r="CG106" i="105"/>
  <c r="BN105" i="105"/>
  <c r="CZ93" i="105"/>
  <c r="Q77" i="105"/>
  <c r="L78" i="105"/>
  <c r="P78" i="105" s="1"/>
  <c r="BO87" i="105"/>
  <c r="CL89" i="105"/>
  <c r="BK105" i="105"/>
  <c r="BV103" i="105"/>
  <c r="CP123" i="105"/>
  <c r="BJ91" i="105"/>
  <c r="BW109" i="105"/>
  <c r="BS91" i="105"/>
  <c r="CN100" i="105"/>
  <c r="CX100" i="105"/>
  <c r="DB94" i="105"/>
  <c r="DA94" i="105"/>
  <c r="CJ102" i="105"/>
  <c r="CM94" i="105"/>
  <c r="BW103" i="105"/>
  <c r="CT101" i="105"/>
  <c r="CH111" i="105"/>
  <c r="DC104" i="105"/>
  <c r="BS101" i="105"/>
  <c r="BZ91" i="105"/>
  <c r="BR97" i="105"/>
  <c r="CV102" i="105"/>
  <c r="CU109" i="105"/>
  <c r="CQ109" i="105"/>
  <c r="DB109" i="105"/>
  <c r="CI101" i="105"/>
  <c r="BU124" i="105"/>
  <c r="BS87" i="105"/>
  <c r="CH94" i="105"/>
  <c r="CZ99" i="105"/>
  <c r="BR96" i="105"/>
  <c r="BX98" i="105"/>
  <c r="BS94" i="105"/>
  <c r="BL91" i="105"/>
  <c r="CD94" i="105"/>
  <c r="BN98" i="105"/>
  <c r="BX97" i="105"/>
  <c r="CT99" i="105"/>
  <c r="BY124" i="105"/>
  <c r="CX110" i="105"/>
  <c r="BU99" i="105"/>
  <c r="CS96" i="105"/>
  <c r="BV88" i="105"/>
  <c r="DA105" i="105"/>
  <c r="CX98" i="105"/>
  <c r="BO104" i="105"/>
  <c r="CH124" i="105"/>
  <c r="BT98" i="105"/>
  <c r="CH109" i="105"/>
  <c r="CL101" i="105"/>
  <c r="CB92" i="105"/>
  <c r="DF97" i="105"/>
  <c r="CN105" i="105"/>
  <c r="BQ104" i="105"/>
  <c r="BV124" i="105"/>
  <c r="CX102" i="105"/>
  <c r="BO106" i="105"/>
  <c r="BU98" i="105"/>
  <c r="CS124" i="105"/>
  <c r="BX99" i="105"/>
  <c r="CU122" i="105"/>
  <c r="DE88" i="105"/>
  <c r="BJ105" i="105"/>
  <c r="CQ94" i="105"/>
  <c r="BN94" i="105"/>
  <c r="CC96" i="105"/>
  <c r="BU111" i="105"/>
  <c r="CX95" i="105"/>
  <c r="DE91" i="105"/>
  <c r="CL103" i="105"/>
  <c r="DD110" i="105"/>
  <c r="CS123" i="105"/>
  <c r="DA87" i="105"/>
  <c r="BM95" i="105"/>
  <c r="CO105" i="105"/>
  <c r="CH95" i="105"/>
  <c r="CE98" i="105"/>
  <c r="CO106" i="105"/>
  <c r="DB123" i="105"/>
  <c r="BR111" i="105"/>
  <c r="DD95" i="105"/>
  <c r="CQ111" i="105"/>
  <c r="DC88" i="105"/>
  <c r="CC88" i="105"/>
  <c r="DE87" i="105"/>
  <c r="CY88" i="105"/>
  <c r="CZ98" i="105"/>
  <c r="CP88" i="105"/>
  <c r="CQ87" i="105"/>
  <c r="CY101" i="105"/>
  <c r="CR95" i="105"/>
  <c r="CL110" i="105"/>
  <c r="CJ87" i="105"/>
  <c r="CD95" i="105"/>
  <c r="BK97" i="105"/>
  <c r="CL95" i="105"/>
  <c r="DB95" i="105"/>
  <c r="BS109" i="105"/>
  <c r="CR109" i="105"/>
  <c r="CP106" i="105"/>
  <c r="BM101" i="105"/>
  <c r="CN88" i="105"/>
  <c r="BV102" i="105"/>
  <c r="BR109" i="105"/>
  <c r="DB110" i="105"/>
  <c r="CK95" i="105"/>
  <c r="CF91" i="105"/>
  <c r="CG96" i="105"/>
  <c r="CP90" i="105"/>
  <c r="DF92" i="105"/>
  <c r="CQ105" i="105"/>
  <c r="K145" i="105"/>
  <c r="AW145" i="105"/>
  <c r="CH145" i="105"/>
  <c r="AB145" i="105"/>
  <c r="BY145" i="105"/>
  <c r="AE145" i="105"/>
  <c r="BP145" i="105"/>
  <c r="DA145" i="105"/>
  <c r="BW148" i="105"/>
  <c r="AB148" i="105"/>
  <c r="BY148" i="105"/>
  <c r="AE148" i="105"/>
  <c r="BP148" i="105"/>
  <c r="DA148" i="105"/>
  <c r="AI148" i="105"/>
  <c r="BT148" i="105"/>
  <c r="DE148" i="105"/>
  <c r="DE124" i="105"/>
  <c r="CM88" i="105"/>
  <c r="BQ102" i="105"/>
  <c r="CT104" i="105"/>
  <c r="CN99" i="105"/>
  <c r="BZ98" i="105"/>
  <c r="CI102" i="105"/>
  <c r="DE111" i="105"/>
  <c r="CF123" i="105"/>
  <c r="BS111" i="105"/>
  <c r="CI148" i="105"/>
  <c r="AN148" i="105"/>
  <c r="CK148" i="105"/>
  <c r="AQ148" i="105"/>
  <c r="CB148" i="105"/>
  <c r="J148" i="105"/>
  <c r="AU148" i="105"/>
  <c r="CF148" i="105"/>
  <c r="CO124" i="105"/>
  <c r="CZ106" i="105"/>
  <c r="CC90" i="105"/>
  <c r="J145" i="105"/>
  <c r="N148" i="105"/>
  <c r="AZ148" i="105"/>
  <c r="CW148" i="105"/>
  <c r="BC148" i="105"/>
  <c r="CN148" i="105"/>
  <c r="V148" i="105"/>
  <c r="BG148" i="105"/>
  <c r="CR148" i="105"/>
  <c r="BZ87" i="105"/>
  <c r="CH88" i="105"/>
  <c r="CN145" i="105"/>
  <c r="DD106" i="105"/>
  <c r="CR145" i="105"/>
  <c r="AU145" i="105"/>
  <c r="CG145" i="105"/>
  <c r="O145" i="105"/>
  <c r="BL145" i="105"/>
  <c r="R145" i="105"/>
  <c r="BO145" i="105"/>
  <c r="CZ145" i="105"/>
  <c r="AH145" i="105"/>
  <c r="Z148" i="105"/>
  <c r="BL148" i="105"/>
  <c r="R148" i="105"/>
  <c r="BO148" i="105"/>
  <c r="CZ148" i="105"/>
  <c r="AH148" i="105"/>
  <c r="BS148" i="105"/>
  <c r="DD148" i="105"/>
  <c r="BM89" i="105"/>
  <c r="BW96" i="105"/>
  <c r="BT101" i="105"/>
  <c r="BP89" i="105"/>
  <c r="CO97" i="105"/>
  <c r="BS93" i="105"/>
  <c r="DA104" i="105"/>
  <c r="CM123" i="105"/>
  <c r="BN123" i="105"/>
  <c r="W145" i="105"/>
  <c r="BK110" i="105"/>
  <c r="AI145" i="105"/>
  <c r="CF145" i="105"/>
  <c r="BG145" i="105"/>
  <c r="CS145" i="105"/>
  <c r="AA145" i="105"/>
  <c r="BX145" i="105"/>
  <c r="AD145" i="105"/>
  <c r="CA145" i="105"/>
  <c r="I145" i="105"/>
  <c r="AT145" i="105"/>
  <c r="AL148" i="105"/>
  <c r="BX148" i="105"/>
  <c r="AD148" i="105"/>
  <c r="CA148" i="105"/>
  <c r="I148" i="105"/>
  <c r="AT148" i="105"/>
  <c r="CE148" i="105"/>
  <c r="M148" i="105"/>
  <c r="BZ92" i="105"/>
  <c r="BL97" i="105"/>
  <c r="DD98" i="105"/>
  <c r="BS100" i="105"/>
  <c r="CC104" i="105"/>
  <c r="CR111" i="105"/>
  <c r="K75" i="105"/>
  <c r="BK104" i="105"/>
  <c r="CJ91" i="105"/>
  <c r="DD145" i="105"/>
  <c r="BS145" i="105"/>
  <c r="DE145" i="105"/>
  <c r="AM145" i="105"/>
  <c r="CJ145" i="105"/>
  <c r="AP145" i="105"/>
  <c r="CM145" i="105"/>
  <c r="U145" i="105"/>
  <c r="BF145" i="105"/>
  <c r="AX148" i="105"/>
  <c r="CJ148" i="105"/>
  <c r="AP148" i="105"/>
  <c r="CM148" i="105"/>
  <c r="U148" i="105"/>
  <c r="BF148" i="105"/>
  <c r="CQ148" i="105"/>
  <c r="Y148" i="105"/>
  <c r="CQ124" i="105"/>
  <c r="BO90" i="105"/>
  <c r="BQ97" i="105"/>
  <c r="CE93" i="105"/>
  <c r="CO103" i="105"/>
  <c r="CW97" i="105"/>
  <c r="CF98" i="105"/>
  <c r="CG101" i="105"/>
  <c r="AN145" i="105"/>
  <c r="BU145" i="105"/>
  <c r="CQ104" i="105"/>
  <c r="L145" i="105"/>
  <c r="CE145" i="105"/>
  <c r="N145" i="105"/>
  <c r="AY145" i="105"/>
  <c r="CV145" i="105"/>
  <c r="BB145" i="105"/>
  <c r="CY145" i="105"/>
  <c r="AG145" i="105"/>
  <c r="BR145" i="105"/>
  <c r="CU148" i="105"/>
  <c r="BJ148" i="105"/>
  <c r="CV148" i="105"/>
  <c r="BB148" i="105"/>
  <c r="CY148" i="105"/>
  <c r="AG148" i="105"/>
  <c r="BR148" i="105"/>
  <c r="DC148" i="105"/>
  <c r="AK148" i="105"/>
  <c r="BO89" i="105"/>
  <c r="BM88" i="105"/>
  <c r="CH110" i="105"/>
  <c r="CD111" i="105"/>
  <c r="BJ96" i="105"/>
  <c r="CT145" i="105"/>
  <c r="CB145" i="105"/>
  <c r="BN93" i="105"/>
  <c r="BC145" i="105"/>
  <c r="CY97" i="105"/>
  <c r="CU111" i="105"/>
  <c r="CW101" i="105"/>
  <c r="DB91" i="105"/>
  <c r="CE99" i="105"/>
  <c r="X145" i="105"/>
  <c r="CQ145" i="105"/>
  <c r="Z145" i="105"/>
  <c r="BK145" i="105"/>
  <c r="Q145" i="105"/>
  <c r="BN145" i="105"/>
  <c r="H145" i="105"/>
  <c r="AS145" i="105"/>
  <c r="CD145" i="105"/>
  <c r="O148" i="105"/>
  <c r="BV148" i="105"/>
  <c r="Q148" i="105"/>
  <c r="BN148" i="105"/>
  <c r="H148" i="105"/>
  <c r="AS148" i="105"/>
  <c r="CD148" i="105"/>
  <c r="L148" i="105"/>
  <c r="AW148" i="105"/>
  <c r="CW98" i="105"/>
  <c r="CY110" i="105"/>
  <c r="BT87" i="105"/>
  <c r="BV96" i="105"/>
  <c r="CK145" i="105"/>
  <c r="AZ145" i="105"/>
  <c r="BL102" i="105"/>
  <c r="AJ145" i="105"/>
  <c r="DC145" i="105"/>
  <c r="AL145" i="105"/>
  <c r="BW145" i="105"/>
  <c r="AC145" i="105"/>
  <c r="BZ145" i="105"/>
  <c r="T145" i="105"/>
  <c r="BE145" i="105"/>
  <c r="CP145" i="105"/>
  <c r="AA148" i="105"/>
  <c r="CH148" i="105"/>
  <c r="AC148" i="105"/>
  <c r="BZ148" i="105"/>
  <c r="T148" i="105"/>
  <c r="BE148" i="105"/>
  <c r="CP148" i="105"/>
  <c r="X148" i="105"/>
  <c r="BI148" i="105"/>
  <c r="CR124" i="105"/>
  <c r="CK88" i="105"/>
  <c r="CZ90" i="105"/>
  <c r="CO91" i="105"/>
  <c r="BQ103" i="105"/>
  <c r="BZ94" i="105"/>
  <c r="CU94" i="105"/>
  <c r="CB123" i="105"/>
  <c r="DF145" i="105"/>
  <c r="V145" i="105"/>
  <c r="BK111" i="105"/>
  <c r="M145" i="105"/>
  <c r="BQ145" i="105"/>
  <c r="DB145" i="105"/>
  <c r="AM148" i="105"/>
  <c r="CT148" i="105"/>
  <c r="AO148" i="105"/>
  <c r="CL148" i="105"/>
  <c r="AF148" i="105"/>
  <c r="BQ148" i="105"/>
  <c r="DB148" i="105"/>
  <c r="AJ148" i="105"/>
  <c r="BU148" i="105"/>
  <c r="BZ109" i="105"/>
  <c r="DE94" i="105"/>
  <c r="CQ100" i="105"/>
  <c r="BJ92" i="105"/>
  <c r="BI145" i="105"/>
  <c r="AQ145" i="105"/>
  <c r="CW145" i="105"/>
  <c r="CL99" i="105"/>
  <c r="AV145" i="105"/>
  <c r="AX145" i="105"/>
  <c r="CI145" i="105"/>
  <c r="AO145" i="105"/>
  <c r="CL145" i="105"/>
  <c r="AF145" i="105"/>
  <c r="BH145" i="105"/>
  <c r="Y145" i="105"/>
  <c r="BJ145" i="105"/>
  <c r="CU145" i="105"/>
  <c r="BA145" i="105"/>
  <c r="CX145" i="105"/>
  <c r="AR145" i="105"/>
  <c r="CC145" i="105"/>
  <c r="AY148" i="105"/>
  <c r="DF148" i="105"/>
  <c r="BA148" i="105"/>
  <c r="CX148" i="105"/>
  <c r="AR148" i="105"/>
  <c r="CC148" i="105"/>
  <c r="K148" i="105"/>
  <c r="AV148" i="105"/>
  <c r="BY103" i="105"/>
  <c r="BP124" i="105"/>
  <c r="BZ88" i="105"/>
  <c r="CT89" i="105"/>
  <c r="DF88" i="105"/>
  <c r="CB89" i="105"/>
  <c r="BV98" i="105"/>
  <c r="CM90" i="105"/>
  <c r="BW95" i="105"/>
  <c r="BX91" i="105"/>
  <c r="BK92" i="105"/>
  <c r="BX95" i="105"/>
  <c r="CC102" i="105"/>
  <c r="BV92" i="105"/>
  <c r="BK88" i="105"/>
  <c r="CR91" i="105"/>
  <c r="BZ90" i="105"/>
  <c r="CV95" i="105"/>
  <c r="CQ96" i="105"/>
  <c r="CP87" i="105"/>
  <c r="BX100" i="105"/>
  <c r="CI96" i="105"/>
  <c r="BK96" i="105"/>
  <c r="BN100" i="105"/>
  <c r="BL88" i="105"/>
  <c r="DC95" i="105"/>
  <c r="BR89" i="105"/>
  <c r="BS92" i="105"/>
  <c r="BP92" i="105"/>
  <c r="BX88" i="105"/>
  <c r="CS91" i="105"/>
  <c r="CR105" i="105"/>
  <c r="CG89" i="105"/>
  <c r="DB100" i="105"/>
  <c r="CN92" i="105"/>
  <c r="CM110" i="105"/>
  <c r="CU110" i="105"/>
  <c r="BL111" i="105"/>
  <c r="BL106" i="105"/>
  <c r="CV96" i="105"/>
  <c r="CV92" i="105"/>
  <c r="L22" i="104"/>
  <c r="K24" i="104"/>
  <c r="BQ91" i="105"/>
  <c r="BQ87" i="105"/>
  <c r="CP100" i="105"/>
  <c r="BN91" i="105"/>
  <c r="BN87" i="105"/>
  <c r="CQ90" i="105"/>
  <c r="DD87" i="105"/>
  <c r="CQ91" i="105"/>
  <c r="CU89" i="105"/>
  <c r="BK87" i="105"/>
  <c r="BM104" i="105"/>
  <c r="BM99" i="105"/>
  <c r="BT124" i="105"/>
  <c r="BT111" i="105"/>
  <c r="BT109" i="105"/>
  <c r="BN104" i="105"/>
  <c r="CG92" i="105"/>
  <c r="CO96" i="105"/>
  <c r="CO92" i="105"/>
  <c r="BV97" i="105"/>
  <c r="BZ102" i="105"/>
  <c r="DE96" i="105"/>
  <c r="CM91" i="105"/>
  <c r="CC99" i="105"/>
  <c r="CC95" i="105"/>
  <c r="CK110" i="105"/>
  <c r="DA110" i="105"/>
  <c r="BV109" i="105"/>
  <c r="CB106" i="105"/>
  <c r="BY109" i="105"/>
  <c r="BY111" i="105"/>
  <c r="CB105" i="105"/>
  <c r="CE100" i="105"/>
  <c r="CE103" i="105"/>
  <c r="CK122" i="105"/>
  <c r="BK91" i="105"/>
  <c r="CU106" i="105"/>
  <c r="DB104" i="105"/>
  <c r="CB88" i="105"/>
  <c r="BS97" i="105"/>
  <c r="BJ102" i="105"/>
  <c r="CV104" i="105"/>
  <c r="CI110" i="105"/>
  <c r="CS109" i="105"/>
  <c r="CS111" i="105"/>
  <c r="CO88" i="105"/>
  <c r="BY123" i="105"/>
  <c r="CS101" i="105"/>
  <c r="BT94" i="105"/>
  <c r="BT90" i="105"/>
  <c r="Q28" i="105"/>
  <c r="K28" i="105"/>
  <c r="CK97" i="105"/>
  <c r="CK93" i="105"/>
  <c r="N22" i="104"/>
  <c r="M99" i="104"/>
  <c r="CI99" i="105"/>
  <c r="CI95" i="105"/>
  <c r="BK89" i="105"/>
  <c r="CZ87" i="105"/>
  <c r="CO111" i="105"/>
  <c r="CO109" i="105"/>
  <c r="BQ93" i="105"/>
  <c r="BQ89" i="105"/>
  <c r="CP93" i="105"/>
  <c r="BW90" i="105"/>
  <c r="BL124" i="105"/>
  <c r="CR99" i="105"/>
  <c r="CV88" i="105"/>
  <c r="BK93" i="105"/>
  <c r="CN101" i="105"/>
  <c r="CN97" i="105"/>
  <c r="CZ103" i="105"/>
  <c r="CQ98" i="105"/>
  <c r="CJ106" i="105"/>
  <c r="CJ101" i="105"/>
  <c r="CQ95" i="105"/>
  <c r="CK103" i="105"/>
  <c r="BS124" i="105"/>
  <c r="BW102" i="105"/>
  <c r="CT105" i="105"/>
  <c r="CT100" i="105"/>
  <c r="CS103" i="105"/>
  <c r="DC124" i="105"/>
  <c r="BT105" i="105"/>
  <c r="BW91" i="105"/>
  <c r="BP102" i="105"/>
  <c r="BL109" i="105"/>
  <c r="BQ122" i="105"/>
  <c r="CE97" i="105"/>
  <c r="BR105" i="105"/>
  <c r="BJ122" i="105"/>
  <c r="DE109" i="105"/>
  <c r="BP111" i="105"/>
  <c r="BP109" i="105"/>
  <c r="CR102" i="105"/>
  <c r="BQ88" i="105"/>
  <c r="CK123" i="105"/>
  <c r="CD123" i="105"/>
  <c r="CK100" i="105"/>
  <c r="CK96" i="105"/>
  <c r="CO87" i="105"/>
  <c r="CC93" i="105"/>
  <c r="CC89" i="105"/>
  <c r="CR89" i="105"/>
  <c r="CM87" i="105"/>
  <c r="CL91" i="105"/>
  <c r="CL87" i="105"/>
  <c r="CA88" i="105"/>
  <c r="BM102" i="105"/>
  <c r="CI87" i="105"/>
  <c r="CB95" i="105"/>
  <c r="CB91" i="105"/>
  <c r="CE96" i="105"/>
  <c r="CF100" i="105"/>
  <c r="CF96" i="105"/>
  <c r="CD93" i="105"/>
  <c r="CF104" i="105"/>
  <c r="CM92" i="105"/>
  <c r="DF102" i="105"/>
  <c r="DF98" i="105"/>
  <c r="CF93" i="105"/>
  <c r="BO92" i="105"/>
  <c r="BZ111" i="105"/>
  <c r="BZ106" i="105"/>
  <c r="CK102" i="105"/>
  <c r="BV104" i="105"/>
  <c r="CI91" i="105"/>
  <c r="BW99" i="105"/>
  <c r="CB102" i="105"/>
  <c r="BX109" i="105"/>
  <c r="CZ88" i="105"/>
  <c r="CQ97" i="105"/>
  <c r="CH102" i="105"/>
  <c r="CD105" i="105"/>
  <c r="BY122" i="105"/>
  <c r="CB111" i="105"/>
  <c r="CB109" i="105"/>
  <c r="CW123" i="105"/>
  <c r="CO93" i="105"/>
  <c r="CO89" i="105"/>
  <c r="BP95" i="105"/>
  <c r="BP91" i="105"/>
  <c r="DB87" i="105"/>
  <c r="BL96" i="105"/>
  <c r="BL92" i="105"/>
  <c r="CX91" i="105"/>
  <c r="CX87" i="105"/>
  <c r="CY91" i="105"/>
  <c r="DF105" i="105"/>
  <c r="DF100" i="105"/>
  <c r="CY92" i="105"/>
  <c r="CZ101" i="105"/>
  <c r="CZ97" i="105"/>
  <c r="CC94" i="105"/>
  <c r="DD94" i="105"/>
  <c r="DD90" i="105"/>
  <c r="CO99" i="105"/>
  <c r="CO95" i="105"/>
  <c r="CX88" i="105"/>
  <c r="CW100" i="105"/>
  <c r="CW96" i="105"/>
  <c r="CJ93" i="105"/>
  <c r="CJ89" i="105"/>
  <c r="CT98" i="105"/>
  <c r="CK109" i="105"/>
  <c r="CK111" i="105"/>
  <c r="CU93" i="105"/>
  <c r="BO96" i="105"/>
  <c r="BP99" i="105"/>
  <c r="DC103" i="105"/>
  <c r="CN106" i="105"/>
  <c r="CK104" i="105"/>
  <c r="CW105" i="105"/>
  <c r="CU91" i="105"/>
  <c r="CN102" i="105"/>
  <c r="CJ109" i="105"/>
  <c r="CT122" i="105"/>
  <c r="BS89" i="105"/>
  <c r="DC97" i="105"/>
  <c r="DA99" i="105"/>
  <c r="CT102" i="105"/>
  <c r="CP105" i="105"/>
  <c r="BO109" i="105"/>
  <c r="CN111" i="105"/>
  <c r="CN109" i="105"/>
  <c r="CV97" i="105"/>
  <c r="DC123" i="105"/>
  <c r="BX123" i="105"/>
  <c r="BJ100" i="105"/>
  <c r="CF94" i="105"/>
  <c r="CF90" i="105"/>
  <c r="CO122" i="105"/>
  <c r="BT88" i="105"/>
  <c r="CL100" i="105"/>
  <c r="DD88" i="105"/>
  <c r="BW93" i="105"/>
  <c r="CA91" i="105"/>
  <c r="CA96" i="105"/>
  <c r="CV100" i="105"/>
  <c r="BT97" i="105"/>
  <c r="CF88" i="105"/>
  <c r="CL92" i="105"/>
  <c r="BJ106" i="105"/>
  <c r="CY89" i="105"/>
  <c r="BP98" i="105"/>
  <c r="BP94" i="105"/>
  <c r="BY100" i="105"/>
  <c r="BY96" i="105"/>
  <c r="CP102" i="105"/>
  <c r="CF97" i="105"/>
  <c r="CD96" i="105"/>
  <c r="CK99" i="105"/>
  <c r="CC124" i="105"/>
  <c r="CC111" i="105"/>
  <c r="CC109" i="105"/>
  <c r="CV106" i="105"/>
  <c r="CV101" i="105"/>
  <c r="BQ124" i="105"/>
  <c r="BQ109" i="105"/>
  <c r="CZ102" i="105"/>
  <c r="CV109" i="105"/>
  <c r="CE89" i="105"/>
  <c r="BO95" i="105"/>
  <c r="BU102" i="105"/>
  <c r="DB105" i="105"/>
  <c r="CJ110" i="105"/>
  <c r="CL124" i="105"/>
  <c r="CZ111" i="105"/>
  <c r="CZ109" i="105"/>
  <c r="CO100" i="105"/>
  <c r="AH101" i="104"/>
  <c r="Q22" i="104"/>
  <c r="CG123" i="105"/>
  <c r="CJ123" i="105"/>
  <c r="BM97" i="105"/>
  <c r="BM93" i="105"/>
  <c r="CN95" i="105"/>
  <c r="CN91" i="105"/>
  <c r="DE122" i="105"/>
  <c r="M45" i="104"/>
  <c r="Q45" i="104"/>
  <c r="R45" i="104"/>
  <c r="CY87" i="105"/>
  <c r="CE87" i="105"/>
  <c r="DE93" i="105"/>
  <c r="DE89" i="105"/>
  <c r="CL102" i="105"/>
  <c r="CL98" i="105"/>
  <c r="BU87" i="105"/>
  <c r="CK94" i="105"/>
  <c r="CK90" i="105"/>
  <c r="CE88" i="105"/>
  <c r="BT102" i="105"/>
  <c r="CU88" i="105"/>
  <c r="BM94" i="105"/>
  <c r="BM90" i="105"/>
  <c r="CI94" i="105"/>
  <c r="CM96" i="105"/>
  <c r="CU90" i="105"/>
  <c r="CR122" i="105"/>
  <c r="CR100" i="105"/>
  <c r="CR96" i="105"/>
  <c r="DD99" i="105"/>
  <c r="CG104" i="105"/>
  <c r="CB103" i="105"/>
  <c r="CR110" i="105"/>
  <c r="CR106" i="105"/>
  <c r="CV124" i="105"/>
  <c r="CV111" i="105"/>
  <c r="BP105" i="105"/>
  <c r="CJ124" i="105"/>
  <c r="CJ111" i="105"/>
  <c r="BU105" i="105"/>
  <c r="BL103" i="105"/>
  <c r="CQ89" i="105"/>
  <c r="CA95" i="105"/>
  <c r="CG102" i="105"/>
  <c r="CG98" i="105"/>
  <c r="BR103" i="105"/>
  <c r="CM109" i="105"/>
  <c r="BL110" i="105"/>
  <c r="CJ95" i="105"/>
  <c r="CV123" i="105"/>
  <c r="CC123" i="105"/>
  <c r="BU92" i="105"/>
  <c r="BU88" i="105"/>
  <c r="BS96" i="105"/>
  <c r="CG103" i="105"/>
  <c r="CN98" i="105"/>
  <c r="CN94" i="105"/>
  <c r="BY92" i="105"/>
  <c r="BY88" i="105"/>
  <c r="BS90" i="105"/>
  <c r="BZ101" i="105"/>
  <c r="CP89" i="105"/>
  <c r="CW92" i="105"/>
  <c r="CW88" i="105"/>
  <c r="CG87" i="105"/>
  <c r="DC90" i="105"/>
  <c r="BP101" i="105"/>
  <c r="BP97" i="105"/>
  <c r="CS92" i="105"/>
  <c r="DD96" i="105"/>
  <c r="DD97" i="105"/>
  <c r="DD102" i="105"/>
  <c r="CB93" i="105"/>
  <c r="BY102" i="105"/>
  <c r="CA90" i="105"/>
  <c r="DC94" i="105"/>
  <c r="BR98" i="105"/>
  <c r="CH93" i="105"/>
  <c r="CI105" i="105"/>
  <c r="CP99" i="105"/>
  <c r="BP104" i="105"/>
  <c r="CV99" i="105"/>
  <c r="CQ103" i="105"/>
  <c r="BV110" i="105"/>
  <c r="CZ104" i="105"/>
  <c r="CH122" i="105"/>
  <c r="CX111" i="105"/>
  <c r="CX106" i="105"/>
  <c r="DF109" i="105"/>
  <c r="CG105" i="105"/>
  <c r="BX103" i="105"/>
  <c r="DC89" i="105"/>
  <c r="CM95" i="105"/>
  <c r="CS98" i="105"/>
  <c r="CD103" i="105"/>
  <c r="BP110" i="105"/>
  <c r="CY109" i="105"/>
  <c r="BS123" i="105"/>
  <c r="CO123" i="105"/>
  <c r="BK95" i="105"/>
  <c r="BX93" i="105"/>
  <c r="BX89" i="105"/>
  <c r="CS93" i="105"/>
  <c r="CS89" i="105"/>
  <c r="CB98" i="105"/>
  <c r="CB94" i="105"/>
  <c r="BT110" i="105"/>
  <c r="CS87" i="105"/>
  <c r="BO88" i="105"/>
  <c r="CJ96" i="105"/>
  <c r="CJ92" i="105"/>
  <c r="BN90" i="105"/>
  <c r="CI89" i="105"/>
  <c r="BM91" i="105"/>
  <c r="BM87" i="105"/>
  <c r="BZ95" i="105"/>
  <c r="CR94" i="105"/>
  <c r="CR90" i="105"/>
  <c r="BN101" i="105"/>
  <c r="BN97" i="105"/>
  <c r="CT111" i="105"/>
  <c r="CT109" i="105"/>
  <c r="CH106" i="105"/>
  <c r="DD104" i="105"/>
  <c r="BM105" i="105"/>
  <c r="DE103" i="105"/>
  <c r="BP106" i="105"/>
  <c r="DB99" i="105"/>
  <c r="BJ110" i="105"/>
  <c r="CZ92" i="105"/>
  <c r="CS100" i="105"/>
  <c r="CJ103" i="105"/>
  <c r="BL90" i="105"/>
  <c r="DF96" i="105"/>
  <c r="CY95" i="105"/>
  <c r="DE102" i="105"/>
  <c r="CC110" i="105"/>
  <c r="BQ110" i="105"/>
  <c r="DA123" i="105"/>
  <c r="DE90" i="105"/>
  <c r="DA88" i="105"/>
  <c r="BL93" i="105"/>
  <c r="BL89" i="105"/>
  <c r="DD89" i="105"/>
  <c r="CX92" i="105"/>
  <c r="BP90" i="105"/>
  <c r="CU96" i="105"/>
  <c r="CD101" i="105"/>
  <c r="DC92" i="105"/>
  <c r="DB97" i="105"/>
  <c r="CN103" i="105"/>
  <c r="CT93" i="105"/>
  <c r="CA104" i="105"/>
  <c r="CX89" i="105"/>
  <c r="BO94" i="105"/>
  <c r="CB104" i="105"/>
  <c r="BY91" i="105"/>
  <c r="BY87" i="105"/>
  <c r="CU99" i="105"/>
  <c r="CU95" i="105"/>
  <c r="BZ100" i="105"/>
  <c r="CB101" i="105"/>
  <c r="CB97" i="105"/>
  <c r="CX104" i="105"/>
  <c r="CX99" i="105"/>
  <c r="CZ95" i="105"/>
  <c r="CZ91" i="105"/>
  <c r="DF106" i="105"/>
  <c r="DF101" i="105"/>
  <c r="BW94" i="105"/>
  <c r="DC100" i="105"/>
  <c r="CU105" i="105"/>
  <c r="BZ122" i="105"/>
  <c r="CD100" i="105"/>
  <c r="BT99" i="105"/>
  <c r="DA111" i="105"/>
  <c r="DA109" i="105"/>
  <c r="BJ109" i="105"/>
  <c r="CF105" i="105"/>
  <c r="BV105" i="105"/>
  <c r="CG110" i="105"/>
  <c r="DE100" i="105"/>
  <c r="CV103" i="105"/>
  <c r="CP111" i="105"/>
  <c r="BX90" i="105"/>
  <c r="BO93" i="105"/>
  <c r="BP96" i="105"/>
  <c r="BQ101" i="105"/>
  <c r="DB103" i="105"/>
  <c r="BM109" i="105"/>
  <c r="BM111" i="105"/>
  <c r="CP110" i="105"/>
  <c r="BU123" i="105"/>
  <c r="CF89" i="105"/>
  <c r="DD91" i="105"/>
  <c r="DC91" i="105"/>
  <c r="CA87" i="105"/>
  <c r="BQ94" i="105"/>
  <c r="CI90" i="105"/>
  <c r="BS95" i="105"/>
  <c r="DF122" i="105"/>
  <c r="BQ96" i="105"/>
  <c r="BQ92" i="105"/>
  <c r="CR88" i="105"/>
  <c r="CV93" i="105"/>
  <c r="CV89" i="105"/>
  <c r="BM98" i="105"/>
  <c r="BM103" i="105"/>
  <c r="CZ105" i="105"/>
  <c r="CL90" i="105"/>
  <c r="BK90" i="105"/>
  <c r="CL111" i="105"/>
  <c r="CL106" i="105"/>
  <c r="CK91" i="105"/>
  <c r="CK87" i="105"/>
  <c r="CE91" i="105"/>
  <c r="BM100" i="105"/>
  <c r="BM96" i="105"/>
  <c r="BT91" i="105"/>
  <c r="CG94" i="105"/>
  <c r="CP97" i="105"/>
  <c r="BN92" i="105"/>
  <c r="CW94" i="105"/>
  <c r="CW90" i="105"/>
  <c r="CK98" i="105"/>
  <c r="BS98" i="105"/>
  <c r="BV106" i="105"/>
  <c r="DA122" i="105"/>
  <c r="CA106" i="105"/>
  <c r="CA101" i="105"/>
  <c r="CH99" i="105"/>
  <c r="CC103" i="105"/>
  <c r="BX110" i="105"/>
  <c r="CF110" i="105"/>
  <c r="CF106" i="105"/>
  <c r="CE124" i="105"/>
  <c r="CJ100" i="105"/>
  <c r="DF110" i="105"/>
  <c r="BK101" i="105"/>
  <c r="BR104" i="105"/>
  <c r="BY110" i="105"/>
  <c r="CJ90" i="105"/>
  <c r="CA93" i="105"/>
  <c r="CC106" i="105"/>
  <c r="CC101" i="105"/>
  <c r="BL104" i="105"/>
  <c r="CF109" i="105"/>
  <c r="CB110" i="105"/>
  <c r="BW88" i="105"/>
  <c r="BQ123" i="105"/>
  <c r="BZ123" i="105"/>
  <c r="DF104" i="105"/>
  <c r="L32" i="105"/>
  <c r="S32" i="105" s="1"/>
  <c r="Q31" i="105"/>
  <c r="M31" i="105"/>
  <c r="N31" i="105" s="1"/>
  <c r="K31" i="105"/>
  <c r="BP87" i="105"/>
  <c r="CF87" i="105"/>
  <c r="BM110" i="105"/>
  <c r="CI92" i="105"/>
  <c r="CR93" i="105"/>
  <c r="CO102" i="105"/>
  <c r="CE94" i="105"/>
  <c r="CW91" i="105"/>
  <c r="CW87" i="105"/>
  <c r="BL101" i="105"/>
  <c r="DE101" i="105"/>
  <c r="DE97" i="105"/>
  <c r="CC105" i="105"/>
  <c r="CC100" i="105"/>
  <c r="CU102" i="105"/>
  <c r="CZ94" i="105"/>
  <c r="CH98" i="105"/>
  <c r="CP101" i="105"/>
  <c r="BY105" i="105"/>
  <c r="DD105" i="105"/>
  <c r="BR106" i="105"/>
  <c r="BR101" i="105"/>
  <c r="BM122" i="105"/>
  <c r="CW104" i="105"/>
  <c r="CW99" i="105"/>
  <c r="CV110" i="105"/>
  <c r="CT106" i="105"/>
  <c r="DB111" i="105"/>
  <c r="BZ104" i="105"/>
  <c r="CH96" i="105"/>
  <c r="BW106" i="105"/>
  <c r="CD104" i="105"/>
  <c r="CT110" i="105"/>
  <c r="CV90" i="105"/>
  <c r="CM93" i="105"/>
  <c r="CN96" i="105"/>
  <c r="CO101" i="105"/>
  <c r="BX104" i="105"/>
  <c r="CW109" i="105"/>
  <c r="CW111" i="105"/>
  <c r="BU109" i="105"/>
  <c r="CW122" i="105"/>
  <c r="CN110" i="105"/>
  <c r="CF102" i="105"/>
  <c r="DA93" i="105"/>
  <c r="M27" i="104"/>
  <c r="K27" i="104"/>
  <c r="R27" i="104"/>
  <c r="L25" i="104"/>
  <c r="Q27" i="104"/>
  <c r="BX96" i="105"/>
  <c r="BX92" i="105"/>
  <c r="CN93" i="105"/>
  <c r="BY106" i="105"/>
  <c r="BY101" i="105"/>
  <c r="BQ99" i="105"/>
  <c r="BQ95" i="105"/>
  <c r="CB90" i="105"/>
  <c r="CQ88" i="105"/>
  <c r="DA96" i="105"/>
  <c r="CW102" i="105"/>
  <c r="BY94" i="105"/>
  <c r="BY90" i="105"/>
  <c r="CN90" i="105"/>
  <c r="BX124" i="105"/>
  <c r="BX111" i="105"/>
  <c r="BS88" i="105"/>
  <c r="CY96" i="105"/>
  <c r="CM106" i="105"/>
  <c r="CM101" i="105"/>
  <c r="CW95" i="105"/>
  <c r="CQ92" i="105"/>
  <c r="CY103" i="105"/>
  <c r="BY95" i="105"/>
  <c r="BN95" i="105"/>
  <c r="CV98" i="105"/>
  <c r="BK102" i="105"/>
  <c r="DD109" i="105"/>
  <c r="DD111" i="105"/>
  <c r="BV122" i="105"/>
  <c r="BN111" i="105"/>
  <c r="BN106" i="105"/>
  <c r="CF101" i="105"/>
  <c r="CC122" i="105"/>
  <c r="BQ105" i="105"/>
  <c r="BQ100" i="105"/>
  <c r="DF103" i="105"/>
  <c r="BP103" i="105"/>
  <c r="BX106" i="105"/>
  <c r="BX101" i="105"/>
  <c r="CN104" i="105"/>
  <c r="CI106" i="105"/>
  <c r="CP104" i="105"/>
  <c r="CY93" i="105"/>
  <c r="DA101" i="105"/>
  <c r="CJ104" i="105"/>
  <c r="CG109" i="105"/>
  <c r="CZ110" i="105"/>
  <c r="CH89" i="105"/>
  <c r="DE123" i="105"/>
  <c r="BM123" i="105"/>
  <c r="DA102" i="105"/>
  <c r="M78" i="105"/>
  <c r="N78" i="105" s="1"/>
  <c r="L79" i="105"/>
  <c r="K78" i="105"/>
  <c r="BG171" i="104" l="1" a="1"/>
  <c r="BG171" i="104" s="1"/>
  <c r="BG167" i="104" a="1"/>
  <c r="BG167" i="104" s="1"/>
  <c r="BL180" i="104"/>
  <c r="BL170" i="104"/>
  <c r="BL171" i="104"/>
  <c r="BF172" i="104"/>
  <c r="AT172" i="104"/>
  <c r="AH172" i="104"/>
  <c r="V172" i="104"/>
  <c r="J172" i="104"/>
  <c r="AX172" i="104"/>
  <c r="AL172" i="104"/>
  <c r="Z172" i="104"/>
  <c r="N172" i="104"/>
  <c r="AW172" i="104"/>
  <c r="AK172" i="104"/>
  <c r="Y172" i="104"/>
  <c r="M172" i="104"/>
  <c r="BD172" i="104"/>
  <c r="AO172" i="104"/>
  <c r="X172" i="104"/>
  <c r="H172" i="104"/>
  <c r="BC172" i="104"/>
  <c r="AN172" i="104"/>
  <c r="W172" i="104"/>
  <c r="BB172" i="104"/>
  <c r="AM172" i="104"/>
  <c r="U172" i="104"/>
  <c r="BA172" i="104"/>
  <c r="AJ172" i="104"/>
  <c r="T172" i="104"/>
  <c r="AZ172" i="104"/>
  <c r="AI172" i="104"/>
  <c r="S172" i="104"/>
  <c r="AY172" i="104"/>
  <c r="AG172" i="104"/>
  <c r="R172" i="104"/>
  <c r="AV172" i="104"/>
  <c r="AF172" i="104"/>
  <c r="Q172" i="104"/>
  <c r="AU172" i="104"/>
  <c r="AE172" i="104"/>
  <c r="P172" i="104"/>
  <c r="AS172" i="104"/>
  <c r="AD172" i="104"/>
  <c r="O172" i="104"/>
  <c r="AR172" i="104"/>
  <c r="AC172" i="104"/>
  <c r="L172" i="104"/>
  <c r="AQ172" i="104"/>
  <c r="AB172" i="104"/>
  <c r="K172" i="104"/>
  <c r="BE172" i="104"/>
  <c r="AP172" i="104"/>
  <c r="AA172" i="104"/>
  <c r="I172" i="104"/>
  <c r="BF176" i="104"/>
  <c r="AT176" i="104"/>
  <c r="AH176" i="104"/>
  <c r="V176" i="104"/>
  <c r="J176" i="104"/>
  <c r="AX176" i="104"/>
  <c r="AL176" i="104"/>
  <c r="Z176" i="104"/>
  <c r="N176" i="104"/>
  <c r="AW176" i="104"/>
  <c r="AK176" i="104"/>
  <c r="Y176" i="104"/>
  <c r="M176" i="104"/>
  <c r="AV176" i="104"/>
  <c r="AF176" i="104"/>
  <c r="Q176" i="104"/>
  <c r="AU176" i="104"/>
  <c r="AE176" i="104"/>
  <c r="P176" i="104"/>
  <c r="AS176" i="104"/>
  <c r="AD176" i="104"/>
  <c r="O176" i="104"/>
  <c r="AR176" i="104"/>
  <c r="AC176" i="104"/>
  <c r="L176" i="104"/>
  <c r="AQ176" i="104"/>
  <c r="AB176" i="104"/>
  <c r="K176" i="104"/>
  <c r="BE176" i="104"/>
  <c r="AP176" i="104"/>
  <c r="AA176" i="104"/>
  <c r="I176" i="104"/>
  <c r="BD176" i="104"/>
  <c r="AO176" i="104"/>
  <c r="X176" i="104"/>
  <c r="H176" i="104"/>
  <c r="BC176" i="104"/>
  <c r="AN176" i="104"/>
  <c r="W176" i="104"/>
  <c r="BB176" i="104"/>
  <c r="AM176" i="104"/>
  <c r="U176" i="104"/>
  <c r="BA176" i="104"/>
  <c r="AJ176" i="104"/>
  <c r="T176" i="104"/>
  <c r="AZ176" i="104"/>
  <c r="AI176" i="104"/>
  <c r="S176" i="104"/>
  <c r="AY176" i="104"/>
  <c r="AG176" i="104"/>
  <c r="R176" i="104"/>
  <c r="AV168" i="104"/>
  <c r="X168" i="104"/>
  <c r="AU168" i="104"/>
  <c r="AI168" i="104"/>
  <c r="W168" i="104"/>
  <c r="K168" i="104"/>
  <c r="BF168" i="104"/>
  <c r="AT168" i="104"/>
  <c r="AH168" i="104"/>
  <c r="V168" i="104"/>
  <c r="J168" i="104"/>
  <c r="BE168" i="104"/>
  <c r="AS168" i="104"/>
  <c r="AG168" i="104"/>
  <c r="U168" i="104"/>
  <c r="I168" i="104"/>
  <c r="BD168" i="104"/>
  <c r="AR168" i="104"/>
  <c r="AF168" i="104"/>
  <c r="T168" i="104"/>
  <c r="H168" i="104"/>
  <c r="BC168" i="104"/>
  <c r="AQ168" i="104"/>
  <c r="AE168" i="104"/>
  <c r="S168" i="104"/>
  <c r="BB168" i="104"/>
  <c r="AP168" i="104"/>
  <c r="AD168" i="104"/>
  <c r="R168" i="104"/>
  <c r="BA168" i="104"/>
  <c r="AO168" i="104"/>
  <c r="AC168" i="104"/>
  <c r="Q168" i="104"/>
  <c r="AZ168" i="104"/>
  <c r="AN168" i="104"/>
  <c r="AB168" i="104"/>
  <c r="P168" i="104"/>
  <c r="AY168" i="104"/>
  <c r="AM168" i="104"/>
  <c r="AA168" i="104"/>
  <c r="O168" i="104"/>
  <c r="AX168" i="104"/>
  <c r="AL168" i="104"/>
  <c r="Z168" i="104"/>
  <c r="N168" i="104"/>
  <c r="AW168" i="104"/>
  <c r="AK168" i="104"/>
  <c r="Y168" i="104"/>
  <c r="M168" i="104"/>
  <c r="AJ168" i="104"/>
  <c r="L168" i="104"/>
  <c r="BL167" i="104"/>
  <c r="AZ175" i="104"/>
  <c r="AN175" i="104"/>
  <c r="AB175" i="104"/>
  <c r="P175" i="104"/>
  <c r="BD175" i="104"/>
  <c r="AR175" i="104"/>
  <c r="AF175" i="104"/>
  <c r="T175" i="104"/>
  <c r="H175" i="104"/>
  <c r="BC175" i="104"/>
  <c r="AQ175" i="104"/>
  <c r="AE175" i="104"/>
  <c r="S175" i="104"/>
  <c r="BB175" i="104"/>
  <c r="AL175" i="104"/>
  <c r="W175" i="104"/>
  <c r="BA175" i="104"/>
  <c r="AK175" i="104"/>
  <c r="V175" i="104"/>
  <c r="AY175" i="104"/>
  <c r="AJ175" i="104"/>
  <c r="U175" i="104"/>
  <c r="AX175" i="104"/>
  <c r="AI175" i="104"/>
  <c r="R175" i="104"/>
  <c r="AW175" i="104"/>
  <c r="AH175" i="104"/>
  <c r="Q175" i="104"/>
  <c r="AV175" i="104"/>
  <c r="AG175" i="104"/>
  <c r="O175" i="104"/>
  <c r="AU175" i="104"/>
  <c r="AD175" i="104"/>
  <c r="N175" i="104"/>
  <c r="AT175" i="104"/>
  <c r="AC175" i="104"/>
  <c r="M175" i="104"/>
  <c r="AS175" i="104"/>
  <c r="AA175" i="104"/>
  <c r="L175" i="104"/>
  <c r="AP175" i="104"/>
  <c r="Z175" i="104"/>
  <c r="K175" i="104"/>
  <c r="BF175" i="104"/>
  <c r="AO175" i="104"/>
  <c r="Y175" i="104"/>
  <c r="J175" i="104"/>
  <c r="BE175" i="104"/>
  <c r="AM175" i="104"/>
  <c r="X175" i="104"/>
  <c r="I175" i="104"/>
  <c r="AZ183" i="104"/>
  <c r="AN183" i="104"/>
  <c r="AB183" i="104"/>
  <c r="P183" i="104"/>
  <c r="AY183" i="104"/>
  <c r="AM183" i="104"/>
  <c r="AA183" i="104"/>
  <c r="O183" i="104"/>
  <c r="AW183" i="104"/>
  <c r="AK183" i="104"/>
  <c r="Y183" i="104"/>
  <c r="M183" i="104"/>
  <c r="BE183" i="104"/>
  <c r="AS183" i="104"/>
  <c r="AG183" i="104"/>
  <c r="U183" i="104"/>
  <c r="I183" i="104"/>
  <c r="BD183" i="104"/>
  <c r="AR183" i="104"/>
  <c r="AF183" i="104"/>
  <c r="T183" i="104"/>
  <c r="H183" i="104"/>
  <c r="BC183" i="104"/>
  <c r="AQ183" i="104"/>
  <c r="AE183" i="104"/>
  <c r="S183" i="104"/>
  <c r="BB183" i="104"/>
  <c r="AP183" i="104"/>
  <c r="AD183" i="104"/>
  <c r="R183" i="104"/>
  <c r="AI183" i="104"/>
  <c r="AH183" i="104"/>
  <c r="AC183" i="104"/>
  <c r="BF183" i="104"/>
  <c r="Z183" i="104"/>
  <c r="BA183" i="104"/>
  <c r="X183" i="104"/>
  <c r="AX183" i="104"/>
  <c r="W183" i="104"/>
  <c r="AV183" i="104"/>
  <c r="V183" i="104"/>
  <c r="AU183" i="104"/>
  <c r="Q183" i="104"/>
  <c r="AT183" i="104"/>
  <c r="N183" i="104"/>
  <c r="AO183" i="104"/>
  <c r="L183" i="104"/>
  <c r="AL183" i="104"/>
  <c r="K183" i="104"/>
  <c r="AJ183" i="104"/>
  <c r="J183" i="104"/>
  <c r="BG184" i="104" a="1"/>
  <c r="BG184" i="104" s="1"/>
  <c r="BG169" i="104" a="1"/>
  <c r="BG169" i="104" s="1"/>
  <c r="BG186" i="104" a="1"/>
  <c r="BG186" i="104" s="1"/>
  <c r="BL184" i="104"/>
  <c r="BL169" i="104"/>
  <c r="BL186" i="104"/>
  <c r="BG170" i="104" a="1"/>
  <c r="BG170" i="104" s="1"/>
  <c r="AZ187" i="104"/>
  <c r="AN187" i="104"/>
  <c r="AB187" i="104"/>
  <c r="P187" i="104"/>
  <c r="AY187" i="104"/>
  <c r="AM187" i="104"/>
  <c r="AA187" i="104"/>
  <c r="O187" i="104"/>
  <c r="AW187" i="104"/>
  <c r="AK187" i="104"/>
  <c r="Y187" i="104"/>
  <c r="M187" i="104"/>
  <c r="BE187" i="104"/>
  <c r="AS187" i="104"/>
  <c r="AG187" i="104"/>
  <c r="U187" i="104"/>
  <c r="I187" i="104"/>
  <c r="BD187" i="104"/>
  <c r="AR187" i="104"/>
  <c r="AF187" i="104"/>
  <c r="T187" i="104"/>
  <c r="H187" i="104"/>
  <c r="BC187" i="104"/>
  <c r="AQ187" i="104"/>
  <c r="AE187" i="104"/>
  <c r="S187" i="104"/>
  <c r="BB187" i="104"/>
  <c r="AP187" i="104"/>
  <c r="AD187" i="104"/>
  <c r="R187" i="104"/>
  <c r="BA187" i="104"/>
  <c r="AO187" i="104"/>
  <c r="AC187" i="104"/>
  <c r="Q187" i="104"/>
  <c r="X187" i="104"/>
  <c r="W187" i="104"/>
  <c r="BF187" i="104"/>
  <c r="V187" i="104"/>
  <c r="AX187" i="104"/>
  <c r="N187" i="104"/>
  <c r="AV187" i="104"/>
  <c r="L187" i="104"/>
  <c r="AU187" i="104"/>
  <c r="K187" i="104"/>
  <c r="AT187" i="104"/>
  <c r="J187" i="104"/>
  <c r="AL187" i="104"/>
  <c r="AJ187" i="104"/>
  <c r="AI187" i="104"/>
  <c r="AH187" i="104"/>
  <c r="Z187" i="104"/>
  <c r="BG180" i="104" a="1"/>
  <c r="BG180" i="104" s="1"/>
  <c r="Q78" i="105"/>
  <c r="AE215" i="104"/>
  <c r="P215" i="104"/>
  <c r="AI215" i="104"/>
  <c r="H215" i="104"/>
  <c r="N215" i="104"/>
  <c r="K215" i="104"/>
  <c r="BE215" i="104"/>
  <c r="M215" i="104"/>
  <c r="AW215" i="104"/>
  <c r="AM215" i="104"/>
  <c r="AH95" i="104"/>
  <c r="M95" i="104"/>
  <c r="AS95" i="104"/>
  <c r="BC95" i="104"/>
  <c r="Q215" i="104"/>
  <c r="AQ215" i="104"/>
  <c r="AV215" i="104"/>
  <c r="BA215" i="104"/>
  <c r="AP215" i="104"/>
  <c r="AA215" i="104"/>
  <c r="AU215" i="104"/>
  <c r="O215" i="104"/>
  <c r="J215" i="104"/>
  <c r="S215" i="104"/>
  <c r="AC95" i="104"/>
  <c r="AM95" i="104"/>
  <c r="AR95" i="104"/>
  <c r="AG95" i="104"/>
  <c r="L95" i="104"/>
  <c r="AF95" i="104"/>
  <c r="AA95" i="104"/>
  <c r="AP95" i="104"/>
  <c r="Z95" i="104"/>
  <c r="W95" i="104"/>
  <c r="AK95" i="104"/>
  <c r="AX95" i="104"/>
  <c r="X95" i="104"/>
  <c r="N95" i="104"/>
  <c r="AI95" i="104"/>
  <c r="BA95" i="104"/>
  <c r="AT95" i="104"/>
  <c r="AL95" i="104"/>
  <c r="BD95" i="104"/>
  <c r="BB95" i="104"/>
  <c r="AJ95" i="104"/>
  <c r="AB95" i="104"/>
  <c r="V95" i="104"/>
  <c r="I95" i="104"/>
  <c r="T95" i="104"/>
  <c r="AZ95" i="104"/>
  <c r="AU95" i="104"/>
  <c r="AO95" i="104"/>
  <c r="Q95" i="104"/>
  <c r="AQ95" i="104"/>
  <c r="AN95" i="104"/>
  <c r="H95" i="104"/>
  <c r="AY95" i="104"/>
  <c r="S95" i="104"/>
  <c r="R95" i="104"/>
  <c r="Y95" i="104"/>
  <c r="AV95" i="104"/>
  <c r="K95" i="104"/>
  <c r="AE95" i="104"/>
  <c r="BF95" i="104"/>
  <c r="BE95" i="104"/>
  <c r="AD95" i="104"/>
  <c r="O95" i="104"/>
  <c r="J95" i="104"/>
  <c r="AW95" i="104"/>
  <c r="P95" i="104"/>
  <c r="AH215" i="104"/>
  <c r="L215" i="104"/>
  <c r="BD215" i="104"/>
  <c r="AS215" i="104"/>
  <c r="AZ215" i="104"/>
  <c r="W215" i="104"/>
  <c r="AL215" i="104"/>
  <c r="AR215" i="104"/>
  <c r="AJ215" i="104"/>
  <c r="I215" i="104"/>
  <c r="V215" i="104"/>
  <c r="BB215" i="104"/>
  <c r="BC215" i="104"/>
  <c r="AK215" i="104"/>
  <c r="AO215" i="104"/>
  <c r="Z215" i="104"/>
  <c r="AF215" i="104"/>
  <c r="AN215" i="104"/>
  <c r="AY215" i="104"/>
  <c r="T215" i="104"/>
  <c r="BF215" i="104"/>
  <c r="Y215" i="104"/>
  <c r="AT215" i="104"/>
  <c r="AX215" i="104"/>
  <c r="AG215" i="104"/>
  <c r="U215" i="104"/>
  <c r="R215" i="104"/>
  <c r="AC215" i="104"/>
  <c r="X215" i="104"/>
  <c r="AB215" i="104"/>
  <c r="K62" i="104"/>
  <c r="L63" i="104"/>
  <c r="Q62" i="104"/>
  <c r="M62" i="104"/>
  <c r="N62" i="104" s="1"/>
  <c r="P62" i="104"/>
  <c r="N59" i="104"/>
  <c r="AR211" i="104"/>
  <c r="BA211" i="104"/>
  <c r="AS211" i="104"/>
  <c r="AA211" i="104"/>
  <c r="AL211" i="104"/>
  <c r="BC211" i="104"/>
  <c r="AU211" i="104"/>
  <c r="I211" i="104"/>
  <c r="AF211" i="104"/>
  <c r="AW211" i="104"/>
  <c r="BB211" i="104"/>
  <c r="AO211" i="104"/>
  <c r="Z211" i="104"/>
  <c r="AQ211" i="104"/>
  <c r="AV211" i="104"/>
  <c r="AI211" i="104"/>
  <c r="BF211" i="104"/>
  <c r="AY211" i="104"/>
  <c r="BE211" i="104"/>
  <c r="T211" i="104"/>
  <c r="AK211" i="104"/>
  <c r="AP211" i="104"/>
  <c r="AC211" i="104"/>
  <c r="AZ211" i="104"/>
  <c r="O211" i="104"/>
  <c r="N211" i="104"/>
  <c r="AE211" i="104"/>
  <c r="AJ211" i="104"/>
  <c r="W211" i="104"/>
  <c r="AT211" i="104"/>
  <c r="H211" i="104"/>
  <c r="Y211" i="104"/>
  <c r="AD211" i="104"/>
  <c r="Q211" i="104"/>
  <c r="AN211" i="104"/>
  <c r="S211" i="104"/>
  <c r="X211" i="104"/>
  <c r="K211" i="104"/>
  <c r="AH211" i="104"/>
  <c r="U211" i="104"/>
  <c r="M211" i="104"/>
  <c r="R211" i="104"/>
  <c r="AB211" i="104"/>
  <c r="L211" i="104"/>
  <c r="V211" i="104"/>
  <c r="BD211" i="104"/>
  <c r="P211" i="104"/>
  <c r="AM211" i="104"/>
  <c r="AX211" i="104"/>
  <c r="J211" i="104"/>
  <c r="AG211" i="104"/>
  <c r="AV214" i="104"/>
  <c r="V214" i="104"/>
  <c r="AU214" i="104"/>
  <c r="AP214" i="104"/>
  <c r="J214" i="104"/>
  <c r="BE214" i="104"/>
  <c r="AJ214" i="104"/>
  <c r="AY214" i="104"/>
  <c r="BD214" i="104"/>
  <c r="BC214" i="104"/>
  <c r="AS214" i="104"/>
  <c r="AX214" i="104"/>
  <c r="AW214" i="104"/>
  <c r="AM214" i="104"/>
  <c r="AR214" i="104"/>
  <c r="AQ214" i="104"/>
  <c r="AT214" i="104"/>
  <c r="AG214" i="104"/>
  <c r="AL214" i="104"/>
  <c r="AK214" i="104"/>
  <c r="AC214" i="104"/>
  <c r="BA214" i="104"/>
  <c r="AA214" i="104"/>
  <c r="AF214" i="104"/>
  <c r="AE214" i="104"/>
  <c r="Q214" i="104"/>
  <c r="AI214" i="104"/>
  <c r="R214" i="104"/>
  <c r="U214" i="104"/>
  <c r="Z214" i="104"/>
  <c r="Y214" i="104"/>
  <c r="AO214" i="104"/>
  <c r="BF214" i="104"/>
  <c r="W214" i="104"/>
  <c r="O214" i="104"/>
  <c r="T214" i="104"/>
  <c r="S214" i="104"/>
  <c r="AB214" i="104"/>
  <c r="AN214" i="104"/>
  <c r="K214" i="104"/>
  <c r="AD214" i="104"/>
  <c r="I214" i="104"/>
  <c r="N214" i="104"/>
  <c r="M214" i="104"/>
  <c r="P214" i="104"/>
  <c r="X214" i="104"/>
  <c r="AZ214" i="104"/>
  <c r="H214" i="104"/>
  <c r="BB214" i="104"/>
  <c r="L214" i="104"/>
  <c r="AH214" i="104"/>
  <c r="S209" i="104"/>
  <c r="X209" i="104"/>
  <c r="K209" i="104"/>
  <c r="AH209" i="104"/>
  <c r="M209" i="104"/>
  <c r="R209" i="104"/>
  <c r="AB209" i="104"/>
  <c r="AG209" i="104"/>
  <c r="L209" i="104"/>
  <c r="V209" i="104"/>
  <c r="AA209" i="104"/>
  <c r="BE209" i="104"/>
  <c r="BD209" i="104"/>
  <c r="P209" i="104"/>
  <c r="AM209" i="104"/>
  <c r="U209" i="104"/>
  <c r="AY209" i="104"/>
  <c r="AX209" i="104"/>
  <c r="J209" i="104"/>
  <c r="AR209" i="104"/>
  <c r="BA209" i="104"/>
  <c r="AL209" i="104"/>
  <c r="BC209" i="104"/>
  <c r="AU209" i="104"/>
  <c r="AS209" i="104"/>
  <c r="AF209" i="104"/>
  <c r="AW209" i="104"/>
  <c r="BB209" i="104"/>
  <c r="AO209" i="104"/>
  <c r="I209" i="104"/>
  <c r="O209" i="104"/>
  <c r="Z209" i="104"/>
  <c r="AQ209" i="104"/>
  <c r="AV209" i="104"/>
  <c r="AI209" i="104"/>
  <c r="BF209" i="104"/>
  <c r="T209" i="104"/>
  <c r="AK209" i="104"/>
  <c r="AP209" i="104"/>
  <c r="AC209" i="104"/>
  <c r="AZ209" i="104"/>
  <c r="N209" i="104"/>
  <c r="AE209" i="104"/>
  <c r="AJ209" i="104"/>
  <c r="W209" i="104"/>
  <c r="AT209" i="104"/>
  <c r="H209" i="104"/>
  <c r="Y209" i="104"/>
  <c r="AD209" i="104"/>
  <c r="Q209" i="104"/>
  <c r="AN209" i="104"/>
  <c r="K32" i="105"/>
  <c r="M32" i="105"/>
  <c r="N32" i="105" s="1"/>
  <c r="L33" i="105"/>
  <c r="S33" i="105" s="1"/>
  <c r="Q32" i="105"/>
  <c r="Q25" i="104"/>
  <c r="AW125" i="104"/>
  <c r="AK125" i="104"/>
  <c r="AX125" i="104"/>
  <c r="Y125" i="104"/>
  <c r="AI125" i="104"/>
  <c r="H125" i="104"/>
  <c r="AR125" i="104"/>
  <c r="S125" i="104"/>
  <c r="AB125" i="104"/>
  <c r="BD125" i="104"/>
  <c r="AZ125" i="104"/>
  <c r="K125" i="104"/>
  <c r="M125" i="104"/>
  <c r="U125" i="104"/>
  <c r="BA125" i="104"/>
  <c r="AS125" i="104"/>
  <c r="AO125" i="104"/>
  <c r="AA125" i="104"/>
  <c r="N125" i="104"/>
  <c r="AT125" i="104"/>
  <c r="AH125" i="104"/>
  <c r="AD125" i="104"/>
  <c r="AM125" i="104"/>
  <c r="W125" i="104"/>
  <c r="T125" i="104"/>
  <c r="AL125" i="104"/>
  <c r="AF125" i="104"/>
  <c r="L125" i="104"/>
  <c r="I125" i="104"/>
  <c r="X125" i="104"/>
  <c r="Q125" i="104"/>
  <c r="BF125" i="104"/>
  <c r="BB125" i="104"/>
  <c r="J125" i="104"/>
  <c r="AU125" i="104"/>
  <c r="AY125" i="104"/>
  <c r="AG125" i="104"/>
  <c r="V125" i="104"/>
  <c r="BC125" i="104"/>
  <c r="AJ125" i="104"/>
  <c r="AN125" i="104"/>
  <c r="AQ125" i="104"/>
  <c r="BE125" i="104"/>
  <c r="Z125" i="104"/>
  <c r="AC125" i="104"/>
  <c r="AV125" i="104"/>
  <c r="P125" i="104"/>
  <c r="AE125" i="104"/>
  <c r="R125" i="104"/>
  <c r="AP125" i="104"/>
  <c r="O125" i="104"/>
  <c r="L23" i="104"/>
  <c r="S89" i="104" s="1"/>
  <c r="AN105" i="104"/>
  <c r="AI105" i="104"/>
  <c r="J105" i="104"/>
  <c r="AU105" i="104"/>
  <c r="T105" i="104"/>
  <c r="AK105" i="104"/>
  <c r="Z105" i="104"/>
  <c r="AM105" i="104"/>
  <c r="I105" i="104"/>
  <c r="M105" i="104"/>
  <c r="X105" i="104"/>
  <c r="AF105" i="104"/>
  <c r="AW105" i="104"/>
  <c r="AS105" i="104"/>
  <c r="BD105" i="104"/>
  <c r="Y105" i="104"/>
  <c r="AL105" i="104"/>
  <c r="R105" i="104"/>
  <c r="AA105" i="104"/>
  <c r="O105" i="104"/>
  <c r="BF105" i="104"/>
  <c r="BE105" i="104"/>
  <c r="K105" i="104"/>
  <c r="AY105" i="104"/>
  <c r="Q105" i="104"/>
  <c r="AV105" i="104"/>
  <c r="AZ105" i="104"/>
  <c r="AX105" i="104"/>
  <c r="BC105" i="104"/>
  <c r="AO105" i="104"/>
  <c r="AT105" i="104"/>
  <c r="AQ105" i="104"/>
  <c r="AR105" i="104"/>
  <c r="AD105" i="104"/>
  <c r="AH105" i="104"/>
  <c r="AJ105" i="104"/>
  <c r="AG105" i="104"/>
  <c r="S105" i="104"/>
  <c r="AB105" i="104"/>
  <c r="AC105" i="104"/>
  <c r="W105" i="104"/>
  <c r="BA105" i="104"/>
  <c r="H105" i="104"/>
  <c r="V105" i="104"/>
  <c r="U105" i="104"/>
  <c r="L105" i="104"/>
  <c r="AP105" i="104"/>
  <c r="P105" i="104"/>
  <c r="N105" i="104"/>
  <c r="BB105" i="104"/>
  <c r="AE105" i="104"/>
  <c r="P45" i="104"/>
  <c r="R25" i="104"/>
  <c r="AM126" i="104"/>
  <c r="Y126" i="104"/>
  <c r="U126" i="104"/>
  <c r="L126" i="104"/>
  <c r="I126" i="104"/>
  <c r="AV126" i="104"/>
  <c r="N126" i="104"/>
  <c r="AL126" i="104"/>
  <c r="BC126" i="104"/>
  <c r="BF126" i="104"/>
  <c r="P126" i="104"/>
  <c r="AW126" i="104"/>
  <c r="AU126" i="104"/>
  <c r="AY126" i="104"/>
  <c r="AQ126" i="104"/>
  <c r="BA126" i="104"/>
  <c r="AJ126" i="104"/>
  <c r="AN126" i="104"/>
  <c r="AK126" i="104"/>
  <c r="AT126" i="104"/>
  <c r="Z126" i="104"/>
  <c r="AC126" i="104"/>
  <c r="AE126" i="104"/>
  <c r="AF126" i="104"/>
  <c r="O126" i="104"/>
  <c r="R126" i="104"/>
  <c r="AR126" i="104"/>
  <c r="AG126" i="104"/>
  <c r="S126" i="104"/>
  <c r="X126" i="104"/>
  <c r="BE126" i="104"/>
  <c r="H126" i="104"/>
  <c r="K126" i="104"/>
  <c r="M126" i="104"/>
  <c r="Q126" i="104"/>
  <c r="AX126" i="104"/>
  <c r="BD126" i="104"/>
  <c r="AZ126" i="104"/>
  <c r="J126" i="104"/>
  <c r="AP126" i="104"/>
  <c r="AS126" i="104"/>
  <c r="AO126" i="104"/>
  <c r="AA126" i="104"/>
  <c r="AI126" i="104"/>
  <c r="AH126" i="104"/>
  <c r="AD126" i="104"/>
  <c r="BB126" i="104"/>
  <c r="T126" i="104"/>
  <c r="W126" i="104"/>
  <c r="AB126" i="104"/>
  <c r="V126" i="104"/>
  <c r="N45" i="104"/>
  <c r="AC120" i="104"/>
  <c r="K25" i="104"/>
  <c r="Y120" i="104"/>
  <c r="AM120" i="104"/>
  <c r="AE120" i="104"/>
  <c r="O120" i="104"/>
  <c r="S120" i="104"/>
  <c r="BE120" i="104"/>
  <c r="M120" i="104"/>
  <c r="AX120" i="104"/>
  <c r="BD120" i="104"/>
  <c r="AZ120" i="104"/>
  <c r="AP120" i="104"/>
  <c r="AS120" i="104"/>
  <c r="AO120" i="104"/>
  <c r="AI120" i="104"/>
  <c r="AH120" i="104"/>
  <c r="AD120" i="104"/>
  <c r="AV120" i="104"/>
  <c r="AN120" i="104"/>
  <c r="AB120" i="104"/>
  <c r="W120" i="104"/>
  <c r="T120" i="104"/>
  <c r="AA120" i="104"/>
  <c r="R120" i="104"/>
  <c r="AL120" i="104"/>
  <c r="BA120" i="104"/>
  <c r="U120" i="104"/>
  <c r="N120" i="104"/>
  <c r="K120" i="104"/>
  <c r="H120" i="104"/>
  <c r="P120" i="104"/>
  <c r="AT120" i="104"/>
  <c r="BC120" i="104"/>
  <c r="AF120" i="104"/>
  <c r="BF120" i="104"/>
  <c r="BB120" i="104"/>
  <c r="AW120" i="104"/>
  <c r="X120" i="104"/>
  <c r="AU120" i="104"/>
  <c r="AR120" i="104"/>
  <c r="AG120" i="104"/>
  <c r="AQ120" i="104"/>
  <c r="Q120" i="104"/>
  <c r="AJ120" i="104"/>
  <c r="V120" i="104"/>
  <c r="L120" i="104"/>
  <c r="I120" i="104"/>
  <c r="AK120" i="104"/>
  <c r="AY120" i="104"/>
  <c r="J120" i="104"/>
  <c r="Z120" i="104"/>
  <c r="N27" i="104"/>
  <c r="M25" i="104"/>
  <c r="AW122" i="104"/>
  <c r="AK122" i="104"/>
  <c r="X122" i="104"/>
  <c r="AX122" i="104"/>
  <c r="AJ122" i="104"/>
  <c r="AN122" i="104"/>
  <c r="BB122" i="104"/>
  <c r="AP122" i="104"/>
  <c r="Z122" i="104"/>
  <c r="AC122" i="104"/>
  <c r="AG122" i="104"/>
  <c r="V122" i="104"/>
  <c r="AL122" i="104"/>
  <c r="AI122" i="104"/>
  <c r="O122" i="104"/>
  <c r="R122" i="104"/>
  <c r="AV122" i="104"/>
  <c r="AB122" i="104"/>
  <c r="H122" i="104"/>
  <c r="P122" i="104"/>
  <c r="U122" i="104"/>
  <c r="BD122" i="104"/>
  <c r="AZ122" i="104"/>
  <c r="BA122" i="104"/>
  <c r="N122" i="104"/>
  <c r="AS122" i="104"/>
  <c r="AO122" i="104"/>
  <c r="AR122" i="104"/>
  <c r="BC122" i="104"/>
  <c r="AT122" i="104"/>
  <c r="AH122" i="104"/>
  <c r="AD122" i="104"/>
  <c r="AA122" i="104"/>
  <c r="K122" i="104"/>
  <c r="AQ122" i="104"/>
  <c r="AM122" i="104"/>
  <c r="W122" i="104"/>
  <c r="T122" i="104"/>
  <c r="AE122" i="104"/>
  <c r="AF122" i="104"/>
  <c r="L122" i="104"/>
  <c r="I122" i="104"/>
  <c r="Y122" i="104"/>
  <c r="Q122" i="104"/>
  <c r="S122" i="104"/>
  <c r="J122" i="104"/>
  <c r="BF122" i="104"/>
  <c r="BE122" i="104"/>
  <c r="M122" i="104"/>
  <c r="AU122" i="104"/>
  <c r="AY122" i="104"/>
  <c r="BD85" i="104"/>
  <c r="T85" i="104"/>
  <c r="H85" i="104"/>
  <c r="AR85" i="104"/>
  <c r="N85" i="104"/>
  <c r="AX85" i="104"/>
  <c r="Z85" i="104"/>
  <c r="AF85" i="104"/>
  <c r="AL85" i="104"/>
  <c r="AC85" i="104"/>
  <c r="AD85" i="104"/>
  <c r="AK85" i="104"/>
  <c r="I85" i="104"/>
  <c r="AI85" i="104"/>
  <c r="AJ85" i="104"/>
  <c r="AQ85" i="104"/>
  <c r="O85" i="104"/>
  <c r="AO85" i="104"/>
  <c r="AP85" i="104"/>
  <c r="AW85" i="104"/>
  <c r="U85" i="104"/>
  <c r="J85" i="104"/>
  <c r="AU85" i="104"/>
  <c r="AV85" i="104"/>
  <c r="BC85" i="104"/>
  <c r="AA85" i="104"/>
  <c r="P85" i="104"/>
  <c r="BA85" i="104"/>
  <c r="BB85" i="104"/>
  <c r="AG85" i="104"/>
  <c r="V85" i="104"/>
  <c r="AM85" i="104"/>
  <c r="AB85" i="104"/>
  <c r="AS85" i="104"/>
  <c r="AH85" i="104"/>
  <c r="AY85" i="104"/>
  <c r="AN85" i="104"/>
  <c r="M85" i="104"/>
  <c r="BE85" i="104"/>
  <c r="AT85" i="104"/>
  <c r="K85" i="104"/>
  <c r="L85" i="104"/>
  <c r="S85" i="104"/>
  <c r="AZ85" i="104"/>
  <c r="Q85" i="104"/>
  <c r="R85" i="104"/>
  <c r="Y85" i="104"/>
  <c r="X85" i="104"/>
  <c r="AE85" i="104"/>
  <c r="W85" i="104"/>
  <c r="BF85" i="104"/>
  <c r="Q26" i="105"/>
  <c r="H83" i="104"/>
  <c r="AR83" i="104"/>
  <c r="Z83" i="104"/>
  <c r="AT83" i="104"/>
  <c r="N83" i="104"/>
  <c r="AF83" i="104"/>
  <c r="AX83" i="104"/>
  <c r="P83" i="104"/>
  <c r="AH83" i="104"/>
  <c r="AZ83" i="104"/>
  <c r="T83" i="104"/>
  <c r="AL83" i="104"/>
  <c r="BD83" i="104"/>
  <c r="V83" i="104"/>
  <c r="J83" i="104"/>
  <c r="AN83" i="104"/>
  <c r="AB83" i="104"/>
  <c r="BF83" i="104"/>
  <c r="AG83" i="104"/>
  <c r="AM83" i="104"/>
  <c r="AS83" i="104"/>
  <c r="AY83" i="104"/>
  <c r="M83" i="104"/>
  <c r="BE83" i="104"/>
  <c r="K83" i="104"/>
  <c r="L83" i="104"/>
  <c r="S83" i="104"/>
  <c r="Q83" i="104"/>
  <c r="R83" i="104"/>
  <c r="Y83" i="104"/>
  <c r="W83" i="104"/>
  <c r="X83" i="104"/>
  <c r="AE83" i="104"/>
  <c r="AC83" i="104"/>
  <c r="AD83" i="104"/>
  <c r="AK83" i="104"/>
  <c r="I83" i="104"/>
  <c r="AI83" i="104"/>
  <c r="AJ83" i="104"/>
  <c r="AQ83" i="104"/>
  <c r="O83" i="104"/>
  <c r="AO83" i="104"/>
  <c r="AP83" i="104"/>
  <c r="AW83" i="104"/>
  <c r="U83" i="104"/>
  <c r="AU83" i="104"/>
  <c r="AV83" i="104"/>
  <c r="BC83" i="104"/>
  <c r="AA83" i="104"/>
  <c r="BA83" i="104"/>
  <c r="BB83" i="104"/>
  <c r="K22" i="104"/>
  <c r="AR96" i="104"/>
  <c r="P96" i="104"/>
  <c r="AD96" i="104"/>
  <c r="AG96" i="104"/>
  <c r="U96" i="104"/>
  <c r="AI96" i="104"/>
  <c r="O96" i="104"/>
  <c r="BF96" i="104"/>
  <c r="AB96" i="104"/>
  <c r="L96" i="104"/>
  <c r="I96" i="104"/>
  <c r="BA96" i="104"/>
  <c r="AX96" i="104"/>
  <c r="T96" i="104"/>
  <c r="K96" i="104"/>
  <c r="Z96" i="104"/>
  <c r="AT96" i="104"/>
  <c r="AQ96" i="104"/>
  <c r="M96" i="104"/>
  <c r="Y96" i="104"/>
  <c r="AO96" i="104"/>
  <c r="AL96" i="104"/>
  <c r="AJ96" i="104"/>
  <c r="R96" i="104"/>
  <c r="AN96" i="104"/>
  <c r="BC96" i="104"/>
  <c r="AE96" i="104"/>
  <c r="AC96" i="104"/>
  <c r="AF96" i="104"/>
  <c r="S96" i="104"/>
  <c r="BB96" i="104"/>
  <c r="X96" i="104"/>
  <c r="V96" i="104"/>
  <c r="AU96" i="104"/>
  <c r="AH96" i="104"/>
  <c r="H96" i="104"/>
  <c r="BE96" i="104"/>
  <c r="Q96" i="104"/>
  <c r="N96" i="104"/>
  <c r="AV96" i="104"/>
  <c r="W96" i="104"/>
  <c r="AY96" i="104"/>
  <c r="J96" i="104"/>
  <c r="AK96" i="104"/>
  <c r="AS96" i="104"/>
  <c r="BD96" i="104"/>
  <c r="AZ96" i="104"/>
  <c r="AM96" i="104"/>
  <c r="AW96" i="104"/>
  <c r="AA96" i="104"/>
  <c r="AP96" i="104"/>
  <c r="H156" i="104"/>
  <c r="S156" i="104"/>
  <c r="AJ156" i="104"/>
  <c r="M156" i="104"/>
  <c r="AB156" i="104"/>
  <c r="R156" i="104"/>
  <c r="AZ156" i="104"/>
  <c r="BD156" i="104"/>
  <c r="AX156" i="104"/>
  <c r="AR156" i="104"/>
  <c r="BC156" i="104"/>
  <c r="AL156" i="104"/>
  <c r="AW156" i="104"/>
  <c r="AF156" i="104"/>
  <c r="AQ156" i="104"/>
  <c r="AG156" i="104"/>
  <c r="AV156" i="104"/>
  <c r="T156" i="104"/>
  <c r="AE156" i="104"/>
  <c r="BB156" i="104"/>
  <c r="L156" i="104"/>
  <c r="AO156" i="104"/>
  <c r="AD156" i="104"/>
  <c r="AM156" i="104"/>
  <c r="U156" i="104"/>
  <c r="AA156" i="104"/>
  <c r="AK156" i="104"/>
  <c r="I156" i="104"/>
  <c r="P156" i="104"/>
  <c r="AY156" i="104"/>
  <c r="Y156" i="104"/>
  <c r="Q156" i="104"/>
  <c r="AI156" i="104"/>
  <c r="X156" i="104"/>
  <c r="BA156" i="104"/>
  <c r="BE156" i="104"/>
  <c r="AP156" i="104"/>
  <c r="AS156" i="104"/>
  <c r="V156" i="104"/>
  <c r="AU156" i="104"/>
  <c r="Z156" i="104"/>
  <c r="AT156" i="104"/>
  <c r="AH156" i="104"/>
  <c r="K156" i="104"/>
  <c r="O156" i="104"/>
  <c r="AN156" i="104"/>
  <c r="J156" i="104"/>
  <c r="N156" i="104"/>
  <c r="BF156" i="104"/>
  <c r="W156" i="104"/>
  <c r="AC156" i="104"/>
  <c r="BD81" i="104"/>
  <c r="AL81" i="104"/>
  <c r="T81" i="104"/>
  <c r="AT81" i="104"/>
  <c r="N81" i="104"/>
  <c r="AF81" i="104"/>
  <c r="AX81" i="104"/>
  <c r="P81" i="104"/>
  <c r="AH81" i="104"/>
  <c r="V81" i="104"/>
  <c r="AZ81" i="104"/>
  <c r="AN81" i="104"/>
  <c r="BF81" i="104"/>
  <c r="H81" i="104"/>
  <c r="Z81" i="104"/>
  <c r="AR81" i="104"/>
  <c r="J81" i="104"/>
  <c r="AB81" i="104"/>
  <c r="R81" i="104"/>
  <c r="Y81" i="104"/>
  <c r="X81" i="104"/>
  <c r="AE81" i="104"/>
  <c r="I81" i="104"/>
  <c r="AD81" i="104"/>
  <c r="AK81" i="104"/>
  <c r="O81" i="104"/>
  <c r="AJ81" i="104"/>
  <c r="AQ81" i="104"/>
  <c r="U81" i="104"/>
  <c r="K81" i="104"/>
  <c r="AP81" i="104"/>
  <c r="AW81" i="104"/>
  <c r="AA81" i="104"/>
  <c r="Q81" i="104"/>
  <c r="AV81" i="104"/>
  <c r="BC81" i="104"/>
  <c r="AG81" i="104"/>
  <c r="W81" i="104"/>
  <c r="BB81" i="104"/>
  <c r="AM81" i="104"/>
  <c r="AC81" i="104"/>
  <c r="AS81" i="104"/>
  <c r="AI81" i="104"/>
  <c r="AY81" i="104"/>
  <c r="AO81" i="104"/>
  <c r="BE81" i="104"/>
  <c r="AU81" i="104"/>
  <c r="M81" i="104"/>
  <c r="BA81" i="104"/>
  <c r="L81" i="104"/>
  <c r="S81" i="104"/>
  <c r="AR154" i="104"/>
  <c r="AQ154" i="104"/>
  <c r="AJ154" i="104"/>
  <c r="AZ154" i="104"/>
  <c r="AL154" i="104"/>
  <c r="AK154" i="104"/>
  <c r="AB154" i="104"/>
  <c r="AF154" i="104"/>
  <c r="AE154" i="104"/>
  <c r="R154" i="104"/>
  <c r="AD154" i="104"/>
  <c r="T154" i="104"/>
  <c r="S154" i="104"/>
  <c r="N154" i="104"/>
  <c r="M154" i="104"/>
  <c r="H154" i="104"/>
  <c r="K154" i="104"/>
  <c r="BD154" i="104"/>
  <c r="BC154" i="104"/>
  <c r="BB154" i="104"/>
  <c r="AI154" i="104"/>
  <c r="AW154" i="104"/>
  <c r="AY154" i="104"/>
  <c r="AU154" i="104"/>
  <c r="W154" i="104"/>
  <c r="O154" i="104"/>
  <c r="Y154" i="104"/>
  <c r="AC154" i="104"/>
  <c r="X154" i="104"/>
  <c r="AN154" i="104"/>
  <c r="Q154" i="104"/>
  <c r="AS154" i="104"/>
  <c r="BA154" i="104"/>
  <c r="AP154" i="104"/>
  <c r="AT154" i="104"/>
  <c r="AG154" i="104"/>
  <c r="J154" i="104"/>
  <c r="V154" i="104"/>
  <c r="BE154" i="104"/>
  <c r="BF154" i="104"/>
  <c r="AV154" i="104"/>
  <c r="AH154" i="104"/>
  <c r="AX154" i="104"/>
  <c r="AO154" i="104"/>
  <c r="AM154" i="104"/>
  <c r="L154" i="104"/>
  <c r="Z154" i="104"/>
  <c r="U154" i="104"/>
  <c r="AA154" i="104"/>
  <c r="P154" i="104"/>
  <c r="I154" i="104"/>
  <c r="Q79" i="105"/>
  <c r="P79" i="105"/>
  <c r="M79" i="105"/>
  <c r="N79" i="105" s="1"/>
  <c r="L80" i="105"/>
  <c r="K79" i="105"/>
  <c r="BL175" i="104" l="1"/>
  <c r="BG176" i="104" a="1"/>
  <c r="BG176" i="104" s="1"/>
  <c r="BL176" i="104"/>
  <c r="BG172" i="104" a="1"/>
  <c r="BG172" i="104" s="1"/>
  <c r="BG187" i="104" a="1"/>
  <c r="BG187" i="104" s="1"/>
  <c r="BG183" i="104" a="1"/>
  <c r="BG183" i="104" s="1"/>
  <c r="AZ173" i="104"/>
  <c r="AN173" i="104"/>
  <c r="AB173" i="104"/>
  <c r="P173" i="104"/>
  <c r="BD173" i="104"/>
  <c r="AR173" i="104"/>
  <c r="AF173" i="104"/>
  <c r="T173" i="104"/>
  <c r="H173" i="104"/>
  <c r="BC173" i="104"/>
  <c r="AQ173" i="104"/>
  <c r="AE173" i="104"/>
  <c r="S173" i="104"/>
  <c r="AX173" i="104"/>
  <c r="AI173" i="104"/>
  <c r="R173" i="104"/>
  <c r="AW173" i="104"/>
  <c r="AH173" i="104"/>
  <c r="Q173" i="104"/>
  <c r="AV173" i="104"/>
  <c r="AG173" i="104"/>
  <c r="O173" i="104"/>
  <c r="AU173" i="104"/>
  <c r="AD173" i="104"/>
  <c r="N173" i="104"/>
  <c r="AT173" i="104"/>
  <c r="AC173" i="104"/>
  <c r="M173" i="104"/>
  <c r="AS173" i="104"/>
  <c r="AA173" i="104"/>
  <c r="L173" i="104"/>
  <c r="AP173" i="104"/>
  <c r="Z173" i="104"/>
  <c r="K173" i="104"/>
  <c r="BF173" i="104"/>
  <c r="AO173" i="104"/>
  <c r="Y173" i="104"/>
  <c r="J173" i="104"/>
  <c r="BE173" i="104"/>
  <c r="AM173" i="104"/>
  <c r="X173" i="104"/>
  <c r="I173" i="104"/>
  <c r="BB173" i="104"/>
  <c r="AL173" i="104"/>
  <c r="W173" i="104"/>
  <c r="BA173" i="104"/>
  <c r="AK173" i="104"/>
  <c r="V173" i="104"/>
  <c r="AY173" i="104"/>
  <c r="AJ173" i="104"/>
  <c r="U173" i="104"/>
  <c r="BG168" i="104" a="1"/>
  <c r="BG168" i="104" s="1"/>
  <c r="BG175" i="104" a="1"/>
  <c r="BG175" i="104" s="1"/>
  <c r="BL168" i="104"/>
  <c r="BL172" i="104"/>
  <c r="BF174" i="104"/>
  <c r="AT174" i="104"/>
  <c r="AH174" i="104"/>
  <c r="V174" i="104"/>
  <c r="J174" i="104"/>
  <c r="AX174" i="104"/>
  <c r="AL174" i="104"/>
  <c r="Z174" i="104"/>
  <c r="N174" i="104"/>
  <c r="AW174" i="104"/>
  <c r="AK174" i="104"/>
  <c r="Y174" i="104"/>
  <c r="M174" i="104"/>
  <c r="AR174" i="104"/>
  <c r="AC174" i="104"/>
  <c r="L174" i="104"/>
  <c r="AQ174" i="104"/>
  <c r="AB174" i="104"/>
  <c r="K174" i="104"/>
  <c r="BE174" i="104"/>
  <c r="AP174" i="104"/>
  <c r="AA174" i="104"/>
  <c r="I174" i="104"/>
  <c r="BD174" i="104"/>
  <c r="AO174" i="104"/>
  <c r="X174" i="104"/>
  <c r="H174" i="104"/>
  <c r="BC174" i="104"/>
  <c r="AN174" i="104"/>
  <c r="W174" i="104"/>
  <c r="BB174" i="104"/>
  <c r="AM174" i="104"/>
  <c r="U174" i="104"/>
  <c r="BA174" i="104"/>
  <c r="AJ174" i="104"/>
  <c r="T174" i="104"/>
  <c r="AZ174" i="104"/>
  <c r="AI174" i="104"/>
  <c r="S174" i="104"/>
  <c r="AY174" i="104"/>
  <c r="AG174" i="104"/>
  <c r="R174" i="104"/>
  <c r="AV174" i="104"/>
  <c r="AF174" i="104"/>
  <c r="Q174" i="104"/>
  <c r="AU174" i="104"/>
  <c r="AE174" i="104"/>
  <c r="P174" i="104"/>
  <c r="AS174" i="104"/>
  <c r="AD174" i="104"/>
  <c r="O174" i="104"/>
  <c r="BL187" i="104"/>
  <c r="BL183" i="104"/>
  <c r="J212" i="104"/>
  <c r="O212" i="104"/>
  <c r="Y212" i="104"/>
  <c r="I212" i="104"/>
  <c r="S212" i="104"/>
  <c r="BA212" i="104"/>
  <c r="M212" i="104"/>
  <c r="AJ212" i="104"/>
  <c r="AP212" i="104"/>
  <c r="AU212" i="104"/>
  <c r="BD212" i="104"/>
  <c r="AO212" i="104"/>
  <c r="BF212" i="104"/>
  <c r="AX212" i="104"/>
  <c r="AI212" i="104"/>
  <c r="AZ212" i="104"/>
  <c r="BE212" i="104"/>
  <c r="AR212" i="104"/>
  <c r="AC212" i="104"/>
  <c r="AT212" i="104"/>
  <c r="AY212" i="104"/>
  <c r="AL212" i="104"/>
  <c r="W212" i="104"/>
  <c r="AN212" i="104"/>
  <c r="AS212" i="104"/>
  <c r="AF212" i="104"/>
  <c r="BC212" i="104"/>
  <c r="Q212" i="104"/>
  <c r="AH212" i="104"/>
  <c r="AM212" i="104"/>
  <c r="Z212" i="104"/>
  <c r="AW212" i="104"/>
  <c r="K212" i="104"/>
  <c r="AB212" i="104"/>
  <c r="AG212" i="104"/>
  <c r="T212" i="104"/>
  <c r="AQ212" i="104"/>
  <c r="X212" i="104"/>
  <c r="BB212" i="104"/>
  <c r="V212" i="104"/>
  <c r="AA212" i="104"/>
  <c r="N212" i="104"/>
  <c r="AK212" i="104"/>
  <c r="R212" i="104"/>
  <c r="AV212" i="104"/>
  <c r="P212" i="104"/>
  <c r="U212" i="104"/>
  <c r="H212" i="104"/>
  <c r="AE212" i="104"/>
  <c r="AD212" i="104"/>
  <c r="L212" i="104"/>
  <c r="Q63" i="104"/>
  <c r="P63" i="104"/>
  <c r="M63" i="104"/>
  <c r="N63" i="104" s="1"/>
  <c r="K63" i="104"/>
  <c r="L64" i="104"/>
  <c r="N25" i="104"/>
  <c r="U123" i="104"/>
  <c r="Y123" i="104"/>
  <c r="AV123" i="104"/>
  <c r="AW123" i="104"/>
  <c r="AX123" i="104"/>
  <c r="AS123" i="104"/>
  <c r="AO123" i="104"/>
  <c r="K123" i="104"/>
  <c r="AQ123" i="104"/>
  <c r="AP123" i="104"/>
  <c r="AH123" i="104"/>
  <c r="AD123" i="104"/>
  <c r="AA123" i="104"/>
  <c r="AK123" i="104"/>
  <c r="AI123" i="104"/>
  <c r="W123" i="104"/>
  <c r="T123" i="104"/>
  <c r="AE123" i="104"/>
  <c r="AB123" i="104"/>
  <c r="L123" i="104"/>
  <c r="I123" i="104"/>
  <c r="BB123" i="104"/>
  <c r="S123" i="104"/>
  <c r="N123" i="104"/>
  <c r="BA123" i="104"/>
  <c r="V123" i="104"/>
  <c r="M123" i="104"/>
  <c r="AT123" i="104"/>
  <c r="BF123" i="104"/>
  <c r="AL123" i="104"/>
  <c r="AM123" i="104"/>
  <c r="AU123" i="104"/>
  <c r="AY123" i="104"/>
  <c r="AF123" i="104"/>
  <c r="AJ123" i="104"/>
  <c r="AN123" i="104"/>
  <c r="X123" i="104"/>
  <c r="Z123" i="104"/>
  <c r="AC123" i="104"/>
  <c r="Q123" i="104"/>
  <c r="O123" i="104"/>
  <c r="R123" i="104"/>
  <c r="J123" i="104"/>
  <c r="H123" i="104"/>
  <c r="AG123" i="104"/>
  <c r="P123" i="104"/>
  <c r="BC123" i="104"/>
  <c r="BE123" i="104"/>
  <c r="AR123" i="104"/>
  <c r="AZ123" i="104"/>
  <c r="BD123" i="104"/>
  <c r="R23" i="104"/>
  <c r="AW110" i="104"/>
  <c r="AK110" i="104"/>
  <c r="X110" i="104"/>
  <c r="K110" i="104"/>
  <c r="I110" i="104"/>
  <c r="AC110" i="104"/>
  <c r="BF110" i="104"/>
  <c r="P110" i="104"/>
  <c r="AX110" i="104"/>
  <c r="BC110" i="104"/>
  <c r="BA110" i="104"/>
  <c r="AO110" i="104"/>
  <c r="AQ110" i="104"/>
  <c r="AT110" i="104"/>
  <c r="AG110" i="104"/>
  <c r="N110" i="104"/>
  <c r="AE110" i="104"/>
  <c r="AM110" i="104"/>
  <c r="W110" i="104"/>
  <c r="AU110" i="104"/>
  <c r="Y110" i="104"/>
  <c r="AF110" i="104"/>
  <c r="O110" i="104"/>
  <c r="AY110" i="104"/>
  <c r="AH110" i="104"/>
  <c r="BE110" i="104"/>
  <c r="AA110" i="104"/>
  <c r="AZ110" i="104"/>
  <c r="S110" i="104"/>
  <c r="Q110" i="104"/>
  <c r="BB110" i="104"/>
  <c r="AL110" i="104"/>
  <c r="U110" i="104"/>
  <c r="AR110" i="104"/>
  <c r="M110" i="104"/>
  <c r="J110" i="104"/>
  <c r="AS110" i="104"/>
  <c r="Z110" i="104"/>
  <c r="H110" i="104"/>
  <c r="AD110" i="104"/>
  <c r="AJ110" i="104"/>
  <c r="L110" i="104"/>
  <c r="AV110" i="104"/>
  <c r="R110" i="104"/>
  <c r="AN110" i="104"/>
  <c r="AB110" i="104"/>
  <c r="AI110" i="104"/>
  <c r="BD110" i="104"/>
  <c r="AP110" i="104"/>
  <c r="V110" i="104"/>
  <c r="T110" i="104"/>
  <c r="Q80" i="104"/>
  <c r="BA80" i="104"/>
  <c r="AI80" i="104"/>
  <c r="AU80" i="104"/>
  <c r="M80" i="104"/>
  <c r="AE80" i="104"/>
  <c r="S80" i="104"/>
  <c r="AW80" i="104"/>
  <c r="AK80" i="104"/>
  <c r="BC80" i="104"/>
  <c r="W80" i="104"/>
  <c r="AO80" i="104"/>
  <c r="Y80" i="104"/>
  <c r="AQ80" i="104"/>
  <c r="K80" i="104"/>
  <c r="AC80" i="104"/>
  <c r="AV80" i="104"/>
  <c r="AL80" i="104"/>
  <c r="BB80" i="104"/>
  <c r="AR80" i="104"/>
  <c r="J80" i="104"/>
  <c r="AX80" i="104"/>
  <c r="I80" i="104"/>
  <c r="P80" i="104"/>
  <c r="BD80" i="104"/>
  <c r="O80" i="104"/>
  <c r="V80" i="104"/>
  <c r="U80" i="104"/>
  <c r="AB80" i="104"/>
  <c r="AA80" i="104"/>
  <c r="AH80" i="104"/>
  <c r="L80" i="104"/>
  <c r="AG80" i="104"/>
  <c r="AN80" i="104"/>
  <c r="R80" i="104"/>
  <c r="H80" i="104"/>
  <c r="AM80" i="104"/>
  <c r="AT80" i="104"/>
  <c r="X80" i="104"/>
  <c r="N80" i="104"/>
  <c r="AS80" i="104"/>
  <c r="AZ80" i="104"/>
  <c r="AD80" i="104"/>
  <c r="T80" i="104"/>
  <c r="AY80" i="104"/>
  <c r="BF80" i="104"/>
  <c r="AJ80" i="104"/>
  <c r="Z80" i="104"/>
  <c r="BE80" i="104"/>
  <c r="AP80" i="104"/>
  <c r="AF80" i="104"/>
  <c r="Q24" i="105"/>
  <c r="K23" i="104"/>
  <c r="BD104" i="104"/>
  <c r="V104" i="104"/>
  <c r="X104" i="104"/>
  <c r="BF104" i="104"/>
  <c r="BB104" i="104"/>
  <c r="N104" i="104"/>
  <c r="AR104" i="104"/>
  <c r="AD104" i="104"/>
  <c r="AI104" i="104"/>
  <c r="AS104" i="104"/>
  <c r="AZ104" i="104"/>
  <c r="AU104" i="104"/>
  <c r="AG104" i="104"/>
  <c r="S104" i="104"/>
  <c r="AT104" i="104"/>
  <c r="AM104" i="104"/>
  <c r="W104" i="104"/>
  <c r="BA104" i="104"/>
  <c r="H104" i="104"/>
  <c r="AN104" i="104"/>
  <c r="AF104" i="104"/>
  <c r="L104" i="104"/>
  <c r="AP104" i="104"/>
  <c r="AK104" i="104"/>
  <c r="AH104" i="104"/>
  <c r="Y104" i="104"/>
  <c r="AE104" i="104"/>
  <c r="AB104" i="104"/>
  <c r="R104" i="104"/>
  <c r="T104" i="104"/>
  <c r="P104" i="104"/>
  <c r="K104" i="104"/>
  <c r="BE104" i="104"/>
  <c r="I104" i="104"/>
  <c r="AW104" i="104"/>
  <c r="J104" i="104"/>
  <c r="AX104" i="104"/>
  <c r="AL104" i="104"/>
  <c r="AQ104" i="104"/>
  <c r="AA104" i="104"/>
  <c r="AJ104" i="104"/>
  <c r="Q104" i="104"/>
  <c r="AC104" i="104"/>
  <c r="AY104" i="104"/>
  <c r="O104" i="104"/>
  <c r="BC104" i="104"/>
  <c r="U104" i="104"/>
  <c r="M104" i="104"/>
  <c r="AV104" i="104"/>
  <c r="AO104" i="104"/>
  <c r="Z104" i="104"/>
  <c r="M23" i="104"/>
  <c r="BF106" i="104"/>
  <c r="V106" i="104"/>
  <c r="X106" i="104"/>
  <c r="AN106" i="104"/>
  <c r="AM106" i="104"/>
  <c r="AY106" i="104"/>
  <c r="AA106" i="104"/>
  <c r="AH106" i="104"/>
  <c r="AF106" i="104"/>
  <c r="BC106" i="104"/>
  <c r="AO106" i="104"/>
  <c r="Q106" i="104"/>
  <c r="AI106" i="104"/>
  <c r="M106" i="104"/>
  <c r="AB106" i="104"/>
  <c r="Y106" i="104"/>
  <c r="AR106" i="104"/>
  <c r="AD106" i="104"/>
  <c r="AV106" i="104"/>
  <c r="P106" i="104"/>
  <c r="R106" i="104"/>
  <c r="AG106" i="104"/>
  <c r="S106" i="104"/>
  <c r="AK106" i="104"/>
  <c r="AS106" i="104"/>
  <c r="J106" i="104"/>
  <c r="K106" i="104"/>
  <c r="BE106" i="104"/>
  <c r="W106" i="104"/>
  <c r="BA106" i="104"/>
  <c r="H106" i="104"/>
  <c r="Z106" i="104"/>
  <c r="AX106" i="104"/>
  <c r="L106" i="104"/>
  <c r="AP106" i="104"/>
  <c r="O106" i="104"/>
  <c r="AQ106" i="104"/>
  <c r="AE106" i="104"/>
  <c r="BD106" i="104"/>
  <c r="AJ106" i="104"/>
  <c r="T106" i="104"/>
  <c r="AC106" i="104"/>
  <c r="I106" i="104"/>
  <c r="U106" i="104"/>
  <c r="AZ106" i="104"/>
  <c r="BB106" i="104"/>
  <c r="N106" i="104"/>
  <c r="AW106" i="104"/>
  <c r="AT106" i="104"/>
  <c r="AU106" i="104"/>
  <c r="AL106" i="104"/>
  <c r="Q23" i="104"/>
  <c r="AN109" i="104"/>
  <c r="BD109" i="104"/>
  <c r="AH109" i="104"/>
  <c r="R109" i="104"/>
  <c r="AG109" i="104"/>
  <c r="S109" i="104"/>
  <c r="AA109" i="104"/>
  <c r="AB109" i="104"/>
  <c r="BE109" i="104"/>
  <c r="K109" i="104"/>
  <c r="W109" i="104"/>
  <c r="BA109" i="104"/>
  <c r="H109" i="104"/>
  <c r="Q109" i="104"/>
  <c r="V109" i="104"/>
  <c r="AX109" i="104"/>
  <c r="L109" i="104"/>
  <c r="AP109" i="104"/>
  <c r="AV109" i="104"/>
  <c r="P109" i="104"/>
  <c r="AQ109" i="104"/>
  <c r="AE109" i="104"/>
  <c r="AK109" i="104"/>
  <c r="J109" i="104"/>
  <c r="AJ109" i="104"/>
  <c r="T109" i="104"/>
  <c r="Z109" i="104"/>
  <c r="AS109" i="104"/>
  <c r="AC109" i="104"/>
  <c r="I109" i="104"/>
  <c r="O109" i="104"/>
  <c r="M109" i="104"/>
  <c r="AI109" i="104"/>
  <c r="U109" i="104"/>
  <c r="N109" i="104"/>
  <c r="BB109" i="104"/>
  <c r="AU109" i="104"/>
  <c r="X109" i="104"/>
  <c r="BF109" i="104"/>
  <c r="AM109" i="104"/>
  <c r="AY109" i="104"/>
  <c r="AZ109" i="104"/>
  <c r="AF109" i="104"/>
  <c r="BC109" i="104"/>
  <c r="AO109" i="104"/>
  <c r="AW109" i="104"/>
  <c r="AT109" i="104"/>
  <c r="AD109" i="104"/>
  <c r="AL109" i="104"/>
  <c r="AR109" i="104"/>
  <c r="Y109" i="104"/>
  <c r="P159" i="104"/>
  <c r="S159" i="104"/>
  <c r="AA159" i="104"/>
  <c r="J159" i="104"/>
  <c r="BD159" i="104"/>
  <c r="M159" i="104"/>
  <c r="AX159" i="104"/>
  <c r="AL159" i="104"/>
  <c r="BF159" i="104"/>
  <c r="AF159" i="104"/>
  <c r="AZ159" i="104"/>
  <c r="Z159" i="104"/>
  <c r="BC159" i="104"/>
  <c r="AT159" i="104"/>
  <c r="T159" i="104"/>
  <c r="AW159" i="104"/>
  <c r="AS159" i="104"/>
  <c r="AN159" i="104"/>
  <c r="N159" i="104"/>
  <c r="AQ159" i="104"/>
  <c r="AG159" i="104"/>
  <c r="AP159" i="104"/>
  <c r="AB159" i="104"/>
  <c r="AE159" i="104"/>
  <c r="I159" i="104"/>
  <c r="V159" i="104"/>
  <c r="AC159" i="104"/>
  <c r="BE159" i="104"/>
  <c r="K159" i="104"/>
  <c r="U159" i="104"/>
  <c r="AK159" i="104"/>
  <c r="AO159" i="104"/>
  <c r="BA159" i="104"/>
  <c r="Y159" i="104"/>
  <c r="W159" i="104"/>
  <c r="AI159" i="104"/>
  <c r="AH159" i="104"/>
  <c r="Q159" i="104"/>
  <c r="AV159" i="104"/>
  <c r="AJ159" i="104"/>
  <c r="AR159" i="104"/>
  <c r="R159" i="104"/>
  <c r="H159" i="104"/>
  <c r="AY159" i="104"/>
  <c r="AM159" i="104"/>
  <c r="AD159" i="104"/>
  <c r="L159" i="104"/>
  <c r="X159" i="104"/>
  <c r="BB159" i="104"/>
  <c r="AU159" i="104"/>
  <c r="O159" i="104"/>
  <c r="Z157" i="104"/>
  <c r="AQ157" i="104"/>
  <c r="AH157" i="104"/>
  <c r="U157" i="104"/>
  <c r="T157" i="104"/>
  <c r="AK157" i="104"/>
  <c r="N157" i="104"/>
  <c r="AE157" i="104"/>
  <c r="L157" i="104"/>
  <c r="AP157" i="104"/>
  <c r="S157" i="104"/>
  <c r="BB157" i="104"/>
  <c r="M157" i="104"/>
  <c r="AT157" i="104"/>
  <c r="BD157" i="104"/>
  <c r="AB157" i="104"/>
  <c r="AX157" i="104"/>
  <c r="R157" i="104"/>
  <c r="AL157" i="104"/>
  <c r="BC157" i="104"/>
  <c r="P157" i="104"/>
  <c r="AW157" i="104"/>
  <c r="AU157" i="104"/>
  <c r="Y157" i="104"/>
  <c r="AC157" i="104"/>
  <c r="BA157" i="104"/>
  <c r="AG157" i="104"/>
  <c r="BE157" i="104"/>
  <c r="V157" i="104"/>
  <c r="AS157" i="104"/>
  <c r="K157" i="104"/>
  <c r="AR157" i="104"/>
  <c r="W157" i="104"/>
  <c r="BF157" i="104"/>
  <c r="AF157" i="104"/>
  <c r="AJ157" i="104"/>
  <c r="AZ157" i="104"/>
  <c r="X157" i="104"/>
  <c r="AY157" i="104"/>
  <c r="H157" i="104"/>
  <c r="J157" i="104"/>
  <c r="AO157" i="104"/>
  <c r="AV157" i="104"/>
  <c r="Q157" i="104"/>
  <c r="AD157" i="104"/>
  <c r="AM157" i="104"/>
  <c r="AN157" i="104"/>
  <c r="AI157" i="104"/>
  <c r="AA157" i="104"/>
  <c r="I157" i="104"/>
  <c r="O157" i="104"/>
  <c r="AF89" i="104"/>
  <c r="H89" i="104"/>
  <c r="AR89" i="104"/>
  <c r="N89" i="104"/>
  <c r="AX89" i="104"/>
  <c r="T89" i="104"/>
  <c r="BD89" i="104"/>
  <c r="Z89" i="104"/>
  <c r="AL89" i="104"/>
  <c r="O89" i="104"/>
  <c r="K89" i="104"/>
  <c r="AP89" i="104"/>
  <c r="AW89" i="104"/>
  <c r="U89" i="104"/>
  <c r="J89" i="104"/>
  <c r="Q89" i="104"/>
  <c r="AV89" i="104"/>
  <c r="BC89" i="104"/>
  <c r="AA89" i="104"/>
  <c r="P89" i="104"/>
  <c r="W89" i="104"/>
  <c r="BB89" i="104"/>
  <c r="AG89" i="104"/>
  <c r="V89" i="104"/>
  <c r="AC89" i="104"/>
  <c r="AM89" i="104"/>
  <c r="AB89" i="104"/>
  <c r="AI89" i="104"/>
  <c r="AS89" i="104"/>
  <c r="AH89" i="104"/>
  <c r="AO89" i="104"/>
  <c r="AY89" i="104"/>
  <c r="AN89" i="104"/>
  <c r="AU89" i="104"/>
  <c r="M89" i="104"/>
  <c r="BE89" i="104"/>
  <c r="AT89" i="104"/>
  <c r="BA89" i="104"/>
  <c r="L89" i="104"/>
  <c r="AZ89" i="104"/>
  <c r="R89" i="104"/>
  <c r="Y89" i="104"/>
  <c r="BF89" i="104"/>
  <c r="X89" i="104"/>
  <c r="AE89" i="104"/>
  <c r="AD89" i="104"/>
  <c r="AK89" i="104"/>
  <c r="AJ89" i="104"/>
  <c r="AQ89" i="104"/>
  <c r="I89" i="104"/>
  <c r="K33" i="105"/>
  <c r="Q33" i="105"/>
  <c r="L34" i="105"/>
  <c r="S34" i="105" s="1"/>
  <c r="M33" i="105"/>
  <c r="N33" i="105" s="1"/>
  <c r="M80" i="105"/>
  <c r="N80" i="105" s="1"/>
  <c r="K80" i="105"/>
  <c r="L81" i="105"/>
  <c r="Q80" i="105"/>
  <c r="P80" i="105"/>
  <c r="BL173" i="104" l="1"/>
  <c r="BL174" i="104"/>
  <c r="BG174" i="104" a="1"/>
  <c r="BG174" i="104" s="1"/>
  <c r="BG173" i="104" a="1"/>
  <c r="BG173" i="104" s="1"/>
  <c r="K64" i="104"/>
  <c r="L65" i="104"/>
  <c r="Q64" i="104"/>
  <c r="P64" i="104"/>
  <c r="M64" i="104"/>
  <c r="N64" i="104" s="1"/>
  <c r="AH160" i="104"/>
  <c r="H160" i="104"/>
  <c r="AQ160" i="104"/>
  <c r="AB160" i="104"/>
  <c r="AK160" i="104"/>
  <c r="V160" i="104"/>
  <c r="AE160" i="104"/>
  <c r="AY160" i="104"/>
  <c r="AC160" i="104"/>
  <c r="AO160" i="104"/>
  <c r="P160" i="104"/>
  <c r="J160" i="104"/>
  <c r="BD160" i="104"/>
  <c r="S160" i="104"/>
  <c r="AA160" i="104"/>
  <c r="AX160" i="104"/>
  <c r="M160" i="104"/>
  <c r="O160" i="104"/>
  <c r="AR160" i="104"/>
  <c r="AL160" i="104"/>
  <c r="BF160" i="104"/>
  <c r="AF160" i="104"/>
  <c r="U160" i="104"/>
  <c r="AI160" i="104"/>
  <c r="AT160" i="104"/>
  <c r="T160" i="104"/>
  <c r="BC160" i="104"/>
  <c r="AN160" i="104"/>
  <c r="AM160" i="104"/>
  <c r="AD160" i="104"/>
  <c r="AW160" i="104"/>
  <c r="BA160" i="104"/>
  <c r="Y160" i="104"/>
  <c r="W160" i="104"/>
  <c r="Q160" i="104"/>
  <c r="AZ160" i="104"/>
  <c r="AV160" i="104"/>
  <c r="BE160" i="104"/>
  <c r="AJ160" i="104"/>
  <c r="Z160" i="104"/>
  <c r="AS160" i="104"/>
  <c r="N160" i="104"/>
  <c r="AG160" i="104"/>
  <c r="R160" i="104"/>
  <c r="I160" i="104"/>
  <c r="AU160" i="104"/>
  <c r="AP160" i="104"/>
  <c r="L160" i="104"/>
  <c r="K160" i="104"/>
  <c r="X160" i="104"/>
  <c r="BB160" i="104"/>
  <c r="Q90" i="104"/>
  <c r="BA90" i="104"/>
  <c r="AC90" i="104"/>
  <c r="AI90" i="104"/>
  <c r="AO90" i="104"/>
  <c r="K90" i="104"/>
  <c r="AU90" i="104"/>
  <c r="W90" i="104"/>
  <c r="AJ90" i="104"/>
  <c r="Y90" i="104"/>
  <c r="AP90" i="104"/>
  <c r="AE90" i="104"/>
  <c r="AV90" i="104"/>
  <c r="AK90" i="104"/>
  <c r="J90" i="104"/>
  <c r="BB90" i="104"/>
  <c r="AQ90" i="104"/>
  <c r="I90" i="104"/>
  <c r="P90" i="104"/>
  <c r="AW90" i="104"/>
  <c r="O90" i="104"/>
  <c r="V90" i="104"/>
  <c r="BC90" i="104"/>
  <c r="U90" i="104"/>
  <c r="AB90" i="104"/>
  <c r="AA90" i="104"/>
  <c r="AH90" i="104"/>
  <c r="N90" i="104"/>
  <c r="AG90" i="104"/>
  <c r="AN90" i="104"/>
  <c r="L90" i="104"/>
  <c r="H90" i="104"/>
  <c r="Z90" i="104"/>
  <c r="AM90" i="104"/>
  <c r="AT90" i="104"/>
  <c r="R90" i="104"/>
  <c r="T90" i="104"/>
  <c r="AL90" i="104"/>
  <c r="AS90" i="104"/>
  <c r="AZ90" i="104"/>
  <c r="X90" i="104"/>
  <c r="M90" i="104"/>
  <c r="AF90" i="104"/>
  <c r="AR90" i="104"/>
  <c r="AY90" i="104"/>
  <c r="BF90" i="104"/>
  <c r="BE90" i="104"/>
  <c r="S90" i="104"/>
  <c r="AD90" i="104"/>
  <c r="AX90" i="104"/>
  <c r="BD90" i="104"/>
  <c r="AQ94" i="104"/>
  <c r="BF94" i="104"/>
  <c r="AA94" i="104"/>
  <c r="N94" i="104"/>
  <c r="AC94" i="104"/>
  <c r="AY94" i="104"/>
  <c r="AV94" i="104"/>
  <c r="AT94" i="104"/>
  <c r="AF94" i="104"/>
  <c r="AJ94" i="104"/>
  <c r="AS94" i="104"/>
  <c r="AO94" i="104"/>
  <c r="AU94" i="104"/>
  <c r="AX94" i="104"/>
  <c r="AM94" i="104"/>
  <c r="AH94" i="104"/>
  <c r="AG94" i="104"/>
  <c r="BD94" i="104"/>
  <c r="Z94" i="104"/>
  <c r="U94" i="104"/>
  <c r="AZ94" i="104"/>
  <c r="AW94" i="104"/>
  <c r="S94" i="104"/>
  <c r="O94" i="104"/>
  <c r="AR94" i="104"/>
  <c r="AP94" i="104"/>
  <c r="L94" i="104"/>
  <c r="K94" i="104"/>
  <c r="I94" i="104"/>
  <c r="AK94" i="104"/>
  <c r="AI94" i="104"/>
  <c r="J94" i="104"/>
  <c r="Y94" i="104"/>
  <c r="AD94" i="104"/>
  <c r="AB94" i="104"/>
  <c r="X94" i="104"/>
  <c r="AN94" i="104"/>
  <c r="W94" i="104"/>
  <c r="T94" i="104"/>
  <c r="AL94" i="104"/>
  <c r="BB94" i="104"/>
  <c r="P94" i="104"/>
  <c r="M94" i="104"/>
  <c r="BA94" i="104"/>
  <c r="H94" i="104"/>
  <c r="Q94" i="104"/>
  <c r="R94" i="104"/>
  <c r="V94" i="104"/>
  <c r="AE94" i="104"/>
  <c r="BC94" i="104"/>
  <c r="BE94" i="104"/>
  <c r="Q34" i="105"/>
  <c r="M34" i="105"/>
  <c r="N34" i="105" s="1"/>
  <c r="K34" i="105"/>
  <c r="L35" i="105"/>
  <c r="S35" i="105" s="1"/>
  <c r="N23" i="104"/>
  <c r="AI107" i="104"/>
  <c r="AN107" i="104"/>
  <c r="AF107" i="104"/>
  <c r="L107" i="104"/>
  <c r="AP107" i="104"/>
  <c r="Z107" i="104"/>
  <c r="Y107" i="104"/>
  <c r="AE107" i="104"/>
  <c r="O107" i="104"/>
  <c r="BF107" i="104"/>
  <c r="R107" i="104"/>
  <c r="T107" i="104"/>
  <c r="AS107" i="104"/>
  <c r="X107" i="104"/>
  <c r="AZ107" i="104"/>
  <c r="BE107" i="104"/>
  <c r="K107" i="104"/>
  <c r="I107" i="104"/>
  <c r="M107" i="104"/>
  <c r="AT107" i="104"/>
  <c r="AX107" i="104"/>
  <c r="BD107" i="104"/>
  <c r="AH107" i="104"/>
  <c r="AQ107" i="104"/>
  <c r="AB107" i="104"/>
  <c r="AJ107" i="104"/>
  <c r="AW107" i="104"/>
  <c r="V107" i="104"/>
  <c r="AC107" i="104"/>
  <c r="AY107" i="104"/>
  <c r="AL107" i="104"/>
  <c r="P107" i="104"/>
  <c r="U107" i="104"/>
  <c r="BC107" i="104"/>
  <c r="AO107" i="104"/>
  <c r="AA107" i="104"/>
  <c r="J107" i="104"/>
  <c r="N107" i="104"/>
  <c r="BB107" i="104"/>
  <c r="AR107" i="104"/>
  <c r="AD107" i="104"/>
  <c r="Q107" i="104"/>
  <c r="AU107" i="104"/>
  <c r="AG107" i="104"/>
  <c r="S107" i="104"/>
  <c r="AV107" i="104"/>
  <c r="W107" i="104"/>
  <c r="AM107" i="104"/>
  <c r="AK107" i="104"/>
  <c r="H107" i="104"/>
  <c r="BA107" i="104"/>
  <c r="AQ93" i="104"/>
  <c r="AE93" i="104"/>
  <c r="BE93" i="104"/>
  <c r="I93" i="104"/>
  <c r="AP93" i="104"/>
  <c r="T93" i="104"/>
  <c r="R93" i="104"/>
  <c r="AY93" i="104"/>
  <c r="AO93" i="104"/>
  <c r="K93" i="104"/>
  <c r="L93" i="104"/>
  <c r="AR93" i="104"/>
  <c r="Q93" i="104"/>
  <c r="AK93" i="104"/>
  <c r="P93" i="104"/>
  <c r="AB93" i="104"/>
  <c r="AC93" i="104"/>
  <c r="AA93" i="104"/>
  <c r="AM93" i="104"/>
  <c r="V93" i="104"/>
  <c r="AL93" i="104"/>
  <c r="BA93" i="104"/>
  <c r="O93" i="104"/>
  <c r="AZ93" i="104"/>
  <c r="H93" i="104"/>
  <c r="BC93" i="104"/>
  <c r="J93" i="104"/>
  <c r="BB93" i="104"/>
  <c r="AU93" i="104"/>
  <c r="U93" i="104"/>
  <c r="M93" i="104"/>
  <c r="N93" i="104"/>
  <c r="AV93" i="104"/>
  <c r="AN93" i="104"/>
  <c r="AF93" i="104"/>
  <c r="W93" i="104"/>
  <c r="Y93" i="104"/>
  <c r="AJ93" i="104"/>
  <c r="AG93" i="104"/>
  <c r="AS93" i="104"/>
  <c r="AH93" i="104"/>
  <c r="AI93" i="104"/>
  <c r="AD93" i="104"/>
  <c r="BD93" i="104"/>
  <c r="Z93" i="104"/>
  <c r="AT93" i="104"/>
  <c r="AX93" i="104"/>
  <c r="AW93" i="104"/>
  <c r="S93" i="104"/>
  <c r="BF93" i="104"/>
  <c r="X93" i="104"/>
  <c r="AU88" i="104"/>
  <c r="K88" i="104"/>
  <c r="AC88" i="104"/>
  <c r="AI88" i="104"/>
  <c r="AO88" i="104"/>
  <c r="Q88" i="104"/>
  <c r="BA88" i="104"/>
  <c r="W88" i="104"/>
  <c r="BC88" i="104"/>
  <c r="U88" i="104"/>
  <c r="AB88" i="104"/>
  <c r="AA88" i="104"/>
  <c r="AH88" i="104"/>
  <c r="AG88" i="104"/>
  <c r="AN88" i="104"/>
  <c r="L88" i="104"/>
  <c r="H88" i="104"/>
  <c r="AM88" i="104"/>
  <c r="AT88" i="104"/>
  <c r="R88" i="104"/>
  <c r="N88" i="104"/>
  <c r="AS88" i="104"/>
  <c r="AZ88" i="104"/>
  <c r="X88" i="104"/>
  <c r="M88" i="104"/>
  <c r="T88" i="104"/>
  <c r="AY88" i="104"/>
  <c r="BF88" i="104"/>
  <c r="AD88" i="104"/>
  <c r="S88" i="104"/>
  <c r="Z88" i="104"/>
  <c r="BE88" i="104"/>
  <c r="AJ88" i="104"/>
  <c r="Y88" i="104"/>
  <c r="AF88" i="104"/>
  <c r="AP88" i="104"/>
  <c r="AE88" i="104"/>
  <c r="AL88" i="104"/>
  <c r="AV88" i="104"/>
  <c r="AK88" i="104"/>
  <c r="AR88" i="104"/>
  <c r="J88" i="104"/>
  <c r="BB88" i="104"/>
  <c r="AQ88" i="104"/>
  <c r="AX88" i="104"/>
  <c r="I88" i="104"/>
  <c r="P88" i="104"/>
  <c r="V88" i="104"/>
  <c r="AW88" i="104"/>
  <c r="BD88" i="104"/>
  <c r="O88" i="104"/>
  <c r="Q81" i="105"/>
  <c r="M81" i="105"/>
  <c r="N81" i="105" s="1"/>
  <c r="P81" i="105"/>
  <c r="K81" i="105"/>
  <c r="M65" i="104" l="1"/>
  <c r="N65" i="104" s="1"/>
  <c r="K65" i="104"/>
  <c r="Q65" i="104"/>
  <c r="P65" i="104"/>
  <c r="AL91" i="104"/>
  <c r="H91" i="104"/>
  <c r="AR91" i="104"/>
  <c r="N91" i="104"/>
  <c r="AY91" i="104"/>
  <c r="T91" i="104"/>
  <c r="Z91" i="104"/>
  <c r="AF91" i="104"/>
  <c r="AU91" i="104"/>
  <c r="K91" i="104"/>
  <c r="Q91" i="104"/>
  <c r="L91" i="104"/>
  <c r="S91" i="104"/>
  <c r="BB91" i="104"/>
  <c r="W91" i="104"/>
  <c r="AC91" i="104"/>
  <c r="R91" i="104"/>
  <c r="Y91" i="104"/>
  <c r="AI91" i="104"/>
  <c r="AO91" i="104"/>
  <c r="X91" i="104"/>
  <c r="AE91" i="104"/>
  <c r="AV91" i="104"/>
  <c r="AD91" i="104"/>
  <c r="AK91" i="104"/>
  <c r="I91" i="104"/>
  <c r="BC91" i="104"/>
  <c r="AJ91" i="104"/>
  <c r="AQ91" i="104"/>
  <c r="O91" i="104"/>
  <c r="AP91" i="104"/>
  <c r="AX91" i="104"/>
  <c r="U91" i="104"/>
  <c r="J91" i="104"/>
  <c r="AW91" i="104"/>
  <c r="BE91" i="104"/>
  <c r="AA91" i="104"/>
  <c r="P91" i="104"/>
  <c r="BD91" i="104"/>
  <c r="AG91" i="104"/>
  <c r="V91" i="104"/>
  <c r="BF91" i="104"/>
  <c r="AM91" i="104"/>
  <c r="AB91" i="104"/>
  <c r="AZ91" i="104"/>
  <c r="AS91" i="104"/>
  <c r="AH91" i="104"/>
  <c r="AT91" i="104"/>
  <c r="M91" i="104"/>
  <c r="AN91" i="104"/>
  <c r="BA91" i="104"/>
  <c r="Q35" i="105"/>
  <c r="M35" i="105"/>
  <c r="N35" i="105" s="1"/>
  <c r="K35" i="105"/>
</calcChain>
</file>

<file path=xl/sharedStrings.xml><?xml version="1.0" encoding="utf-8"?>
<sst xmlns="http://schemas.openxmlformats.org/spreadsheetml/2006/main" count="46699" uniqueCount="7717">
  <si>
    <t>Высота</t>
  </si>
  <si>
    <t>Ширина</t>
  </si>
  <si>
    <t>Длина</t>
  </si>
  <si>
    <t>.</t>
  </si>
  <si>
    <t>Прайс-лист на отопительное оборудование Vitron</t>
  </si>
  <si>
    <t xml:space="preserve">Высота </t>
  </si>
  <si>
    <t>Автоматика</t>
  </si>
  <si>
    <t>Арматура и регулировка</t>
  </si>
  <si>
    <t>Артикул конвектора</t>
  </si>
  <si>
    <t>Вернуться на главную страницу</t>
  </si>
  <si>
    <t>ВКВ.</t>
  </si>
  <si>
    <t>Аксессуары для электрического подключения конвекторов VITRON</t>
  </si>
  <si>
    <t>Комплект реле РК1-Р (3 шт.)</t>
  </si>
  <si>
    <t>Артикул (шифр конвектора)</t>
  </si>
  <si>
    <t>700-1250</t>
  </si>
  <si>
    <t>1251-3000</t>
  </si>
  <si>
    <t>Длина, мм</t>
  </si>
  <si>
    <t>Артикул</t>
  </si>
  <si>
    <t>ВТ.50.100.2ТГ.ХХХ</t>
  </si>
  <si>
    <t>Высота, мм</t>
  </si>
  <si>
    <t>Ширина, мм</t>
  </si>
  <si>
    <t>Количество труб, шт</t>
  </si>
  <si>
    <t>Оребрение, мм</t>
  </si>
  <si>
    <t>Теплообменники</t>
  </si>
  <si>
    <t>Вентиляторы</t>
  </si>
  <si>
    <t>Напряжение, В.</t>
  </si>
  <si>
    <t xml:space="preserve">Цена, руб </t>
  </si>
  <si>
    <t>360+</t>
  </si>
  <si>
    <t>200-359</t>
  </si>
  <si>
    <t>ВТ.100.200.8ТП.ХХХ</t>
  </si>
  <si>
    <t>ВТ.100.300.12ТП.ХХХ</t>
  </si>
  <si>
    <t>ВК.</t>
  </si>
  <si>
    <t>Надбавка, %</t>
  </si>
  <si>
    <t>Исполнение конвектора в цветах по палитре Ral</t>
  </si>
  <si>
    <t>Комментарий: радиусное исполнение необходимо согласовывать, коэффициент для ориентации.</t>
  </si>
  <si>
    <t>Приток с торца</t>
  </si>
  <si>
    <t>Тип</t>
  </si>
  <si>
    <t>Прямоугольная</t>
  </si>
  <si>
    <t>Полукруглая</t>
  </si>
  <si>
    <t>Исполнение с выемкой под колонну</t>
  </si>
  <si>
    <t>ТГ</t>
  </si>
  <si>
    <t>ТК</t>
  </si>
  <si>
    <t>ТП</t>
  </si>
  <si>
    <t>Ширина конвектора 300 мм</t>
  </si>
  <si>
    <t>Ширина конвектора 360 мм</t>
  </si>
  <si>
    <t>Ширина конвектора 260 мм</t>
  </si>
  <si>
    <t>Ширина конвектора 200 мм</t>
  </si>
  <si>
    <t>ВКВТХ.</t>
  </si>
  <si>
    <t>ВТ.100.100.4ТК(4ТГ).ХХХ</t>
  </si>
  <si>
    <t>100 (50)</t>
  </si>
  <si>
    <t>100 (200)</t>
  </si>
  <si>
    <t>ВТ.100.150.6ТП(6ТГ).ХХХ</t>
  </si>
  <si>
    <t>150 (300)</t>
  </si>
  <si>
    <t>Цена с НДС, руб.</t>
  </si>
  <si>
    <t>Теплообменник</t>
  </si>
  <si>
    <t>Название</t>
  </si>
  <si>
    <t>Ножка для ВТ Глухая</t>
  </si>
  <si>
    <t>Комментарий: Исполнение под отвод конденсата рекомендуется изготавливать только с коробом из нержавеющей стали</t>
  </si>
  <si>
    <t>Конвекторы встраиваемые в пол тепло-холод</t>
  </si>
  <si>
    <t>Сайт: Vitron.ru</t>
  </si>
  <si>
    <t>Ширина конвектора 400 мм</t>
  </si>
  <si>
    <t>ВКВП.</t>
  </si>
  <si>
    <t>Исполнение данной ширины возможно только под окантовку</t>
  </si>
  <si>
    <t>Исполнение данной ширины возможно только под рамку</t>
  </si>
  <si>
    <t xml:space="preserve"> Стоимость Решетки и рамки в составе конвектора</t>
  </si>
  <si>
    <t>Минимальная высота конвектора - 80мм.</t>
  </si>
  <si>
    <t>Вид покраски</t>
  </si>
  <si>
    <t>Только решетка и рамка</t>
  </si>
  <si>
    <t>Конвектор с естественной конвекцией полностью с теплообменником и коробом</t>
  </si>
  <si>
    <t>Конвектор с принудительной конвекцией полностью с теплообменником и коробом</t>
  </si>
  <si>
    <t>Термостат W-therm TVB 2AC</t>
  </si>
  <si>
    <t>Термостат W-therm TVW 2AC</t>
  </si>
  <si>
    <t>Прямое соединение</t>
  </si>
  <si>
    <t>Угловое соединение</t>
  </si>
  <si>
    <t xml:space="preserve">Прямое соединение делается без наценки </t>
  </si>
  <si>
    <t xml:space="preserve">Вес изделия вместе с упаковкой, кг. </t>
  </si>
  <si>
    <t>Исполнение с прямым срезом выполняется тогда, когда нужно продолжить конвектор до стены, расположенной под углом.</t>
  </si>
  <si>
    <t>Теплоотдача при (95/85/20), Вт</t>
  </si>
  <si>
    <t>Размеры, мм и вес, кг</t>
  </si>
  <si>
    <t>Посезонная вкладка</t>
  </si>
  <si>
    <t>Условное обозначение конвекторов Vitron</t>
  </si>
  <si>
    <t>90.</t>
  </si>
  <si>
    <t>260.</t>
  </si>
  <si>
    <t>3000.</t>
  </si>
  <si>
    <t>2ТГ.</t>
  </si>
  <si>
    <t>РПР.</t>
  </si>
  <si>
    <t>ААС.</t>
  </si>
  <si>
    <t>1. Наименование модели:</t>
  </si>
  <si>
    <t>• ВК – Витрон конвектор без вентилятора;</t>
  </si>
  <si>
    <t>• ВКВ – Витрон конвектор с вентилятором.</t>
  </si>
  <si>
    <t xml:space="preserve">• Нерж – корпус из нержавеющей стали AISI304 </t>
  </si>
  <si>
    <t xml:space="preserve">• Без обозначения (стандартное исполнение) </t>
  </si>
  <si>
    <t>3. Высота модели, мм (выбирается из ряда):</t>
  </si>
  <si>
    <t>4. Ширина модели, мм (выбирается из ряда):</t>
  </si>
  <si>
    <t>• 160, 200, 260, 300, 360, 400.</t>
  </si>
  <si>
    <t>5. Длина модели, мм:</t>
  </si>
  <si>
    <t>• в диапазоне 600…3000.</t>
  </si>
  <si>
    <t>6. Количество труб (2, 4, 6, 8 …Т) теплообменника и исполнение:</t>
  </si>
  <si>
    <r>
      <t xml:space="preserve">• </t>
    </r>
    <r>
      <rPr>
        <sz val="7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Г – горизонтальный;</t>
    </r>
  </si>
  <si>
    <t xml:space="preserve">• В – вертикальный; </t>
  </si>
  <si>
    <t xml:space="preserve">• К – квадратный; </t>
  </si>
  <si>
    <t xml:space="preserve">• П – прямоугольный; </t>
  </si>
  <si>
    <t>7. Напряжение вентилятора, В:</t>
  </si>
  <si>
    <t>• БВ - без вентилятора (либо без обозначения для ВК).</t>
  </si>
  <si>
    <t>8. Исполнение решетки конвектора:</t>
  </si>
  <si>
    <t>• РР – решетка на пружине с рамкой;</t>
  </si>
  <si>
    <r>
      <t>•</t>
    </r>
    <r>
      <rPr>
        <sz val="7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РО – решетка на пружине с окантовкой;</t>
    </r>
  </si>
  <si>
    <t>• РZ – решетка на пружине с Z-рамкой;</t>
  </si>
  <si>
    <t>9. Материал, покрытие и цвет решетки:</t>
  </si>
  <si>
    <t>• А – алюминий, Д – дерево (дуб);</t>
  </si>
  <si>
    <t>• А – анодировка; П – порошковая покраска;</t>
  </si>
  <si>
    <t>Теплообменник 50х100мм</t>
  </si>
  <si>
    <t>Теплообменник 50х100 мм</t>
  </si>
  <si>
    <t>Теплообменник 50х200 мм</t>
  </si>
  <si>
    <t>Теплообменник 50х300 мм</t>
  </si>
  <si>
    <t>Теплообменник 40х100 мм</t>
  </si>
  <si>
    <t>Теплообменник 40х200 мм</t>
  </si>
  <si>
    <t>Теплообменник 100х100 мм</t>
  </si>
  <si>
    <t>Теплообменник 100х200 мм</t>
  </si>
  <si>
    <t>Специсполнения (углы, продольные решетки)</t>
  </si>
  <si>
    <t>Конвекторы встраиваемые в пол без вентиляторов (естественная конвекция):</t>
  </si>
  <si>
    <t>Общее описание, особенности конструкции, комплектация</t>
  </si>
  <si>
    <t>Комментарий: краска имеет состав: 80% матовости, 20% глянца. Все иные виды красок - по запросу.</t>
  </si>
  <si>
    <t xml:space="preserve"> Стоимость Решетки и окантовки в составе конвектора</t>
  </si>
  <si>
    <t>• С – серебро, Б – бронза, З – золото, Ч – черный, RAL0000 – цвет по палитре RAL;</t>
  </si>
  <si>
    <t>* -Решетка  из нержавейки не изготавливается в спец. исполнениях (угловые, со срезами, с вырезами).</t>
  </si>
  <si>
    <t>Термостат W-therm TVB-WIFI</t>
  </si>
  <si>
    <t>Термостат W-therm TVW-WIFI</t>
  </si>
  <si>
    <t>Термостат W-therm-1(black)</t>
  </si>
  <si>
    <t>160-359</t>
  </si>
  <si>
    <t>• 24 – напряжение 24 В, постоянный ток (DC);</t>
  </si>
  <si>
    <t>24 Вольт DC</t>
  </si>
  <si>
    <t>Аксессуары для вентиляторов</t>
  </si>
  <si>
    <t>Цена, руб. с НДС</t>
  </si>
  <si>
    <t>Наименование</t>
  </si>
  <si>
    <t>Изображение/описание</t>
  </si>
  <si>
    <t>Ширина конвектора 160 мм</t>
  </si>
  <si>
    <t>Конвектор с корпусом из оцинкованной стали (ОЦ 1мм), крашеный в черный цвет, без решетки и окантовки.</t>
  </si>
  <si>
    <t>Конвектор с корпусом из нержавеющей стали (AISI 0,8мм), без решетки и окантовки.</t>
  </si>
  <si>
    <t>Конвектор с корпусом из оцинкованной стали (ОЦ 1мм), крашеный в черный цвет, с алюминиевой решеткой и окантовкой.</t>
  </si>
  <si>
    <t>Конвектор с корпусом из нержавеющей стали (AISI 0,8мм), с алюминиевой решеткой и окантовкой.</t>
  </si>
  <si>
    <t xml:space="preserve">Цена руб. с НДС </t>
  </si>
  <si>
    <t>Конвектор с корпусом из оцинкованной стали (ОЦ 1мм), крашеный в черный цвет, без решетки и рамки.</t>
  </si>
  <si>
    <t xml:space="preserve"> Стоимость Решетки и рамки в составе конвектора.</t>
  </si>
  <si>
    <t>Конвектор с вентилятором, с корпусом из оцинкованной стали (ОЦ 1мм), крашеный в черный цвет, без решетки и окантовки.</t>
  </si>
  <si>
    <t>Конвектор с вентилятором, с корпусом из оцинкованной стали (ОЦ 1мм), крашеный в черный цвет, без решетки и рамки.</t>
  </si>
  <si>
    <t>Конвектор с вентилятором, с корпусом из нержавеющей стали(AISI 0,8мм), без решетки и рамки.</t>
  </si>
  <si>
    <t>Холодо- производи-тельность, (7/12/27) Вт</t>
  </si>
  <si>
    <t>Теплообменник 100х150 мм</t>
  </si>
  <si>
    <t>Термостат W-therm-1(white)</t>
  </si>
  <si>
    <t>Исполнение с прямым срезом</t>
  </si>
  <si>
    <t>Конвектор с вентилятором, с корпусом из нержавеющей стали (AISI 0,8мм), без решетки и окантовки.</t>
  </si>
  <si>
    <t>ВКВТХ</t>
  </si>
  <si>
    <t>ТО</t>
  </si>
  <si>
    <t>ВК.55 мм</t>
  </si>
  <si>
    <t>ВК.65 мм</t>
  </si>
  <si>
    <t>ВК.70 мм</t>
  </si>
  <si>
    <t>ВК.75 мм</t>
  </si>
  <si>
    <t>ВК.80 мм</t>
  </si>
  <si>
    <t>ВК.110 мм</t>
  </si>
  <si>
    <t>ВК.150 мм</t>
  </si>
  <si>
    <t>ВК.200 мм</t>
  </si>
  <si>
    <t>ВК.300 мм</t>
  </si>
  <si>
    <t>ВК.400 мм</t>
  </si>
  <si>
    <t>ВК.500 мм</t>
  </si>
  <si>
    <t>ВК.600 мм</t>
  </si>
  <si>
    <t>ВКВ.65 мм</t>
  </si>
  <si>
    <t>ВКВ.70 мм</t>
  </si>
  <si>
    <t>ВКВ.110 мм</t>
  </si>
  <si>
    <t>ВКВ.150 мм</t>
  </si>
  <si>
    <t>ВКВ.75 мм</t>
  </si>
  <si>
    <t>Конвекторы встраиваемые в пол с вентиляторами 24В DC (принудительная конвекция):</t>
  </si>
  <si>
    <t>ВК.90 мм</t>
  </si>
  <si>
    <t>ВКВ.90 мм</t>
  </si>
  <si>
    <t>2. Обозначение:</t>
  </si>
  <si>
    <t>• Без обозначения (стандартное исполнение)  - труба ø15 мм</t>
  </si>
  <si>
    <t>НЕРЖ.</t>
  </si>
  <si>
    <t>Калькулятор для подбора внутрипольного конвектора VITRON.</t>
  </si>
  <si>
    <t>Коэффициенты</t>
  </si>
  <si>
    <t>Длина конвектора - Длина оребрения мм</t>
  </si>
  <si>
    <t>Температура на входе, ˚С</t>
  </si>
  <si>
    <t>Температура на выходе, ˚С</t>
  </si>
  <si>
    <t>Температура в помещении, ˚С</t>
  </si>
  <si>
    <t>∆Т</t>
  </si>
  <si>
    <t xml:space="preserve">Требуемая мощность ВТ </t>
  </si>
  <si>
    <t>Погрешность + %</t>
  </si>
  <si>
    <t>Погрешность - %</t>
  </si>
  <si>
    <t>15 труба</t>
  </si>
  <si>
    <t>Тепловая мощность, Вт/м</t>
  </si>
  <si>
    <t>Коэффициент n</t>
  </si>
  <si>
    <t>22 труба</t>
  </si>
  <si>
    <t>*-голубым выделены ячейки для изменения параметров</t>
  </si>
  <si>
    <t>Обозначение</t>
  </si>
  <si>
    <t>ВК.055.160.ХХХ.2ТГ</t>
  </si>
  <si>
    <t>ВК</t>
  </si>
  <si>
    <t>2ТГ</t>
  </si>
  <si>
    <t>ВК.055.200.ХХХ.2ТГ</t>
  </si>
  <si>
    <t>ВК.055.260.ХХХ.2ТГ</t>
  </si>
  <si>
    <t>ВК.055.300.ХХХ.2ТГ</t>
  </si>
  <si>
    <t>ВК.055.300.ХХХ.4ТГ</t>
  </si>
  <si>
    <t>4ТГ</t>
  </si>
  <si>
    <t>ВК.055.360.ХХХ.4ТГ</t>
  </si>
  <si>
    <t>ВК.055.400.ХХХ.4ТГ</t>
  </si>
  <si>
    <t>ВК.055.400.ХХХ.6ТГ</t>
  </si>
  <si>
    <t>ВК.065.160.ХХХ.2ТГ</t>
  </si>
  <si>
    <t>ВК.065.200.ХХХ.2ТГ</t>
  </si>
  <si>
    <t>ВК.065.260.ХХХ.2ТГ</t>
  </si>
  <si>
    <t>ВК.065.300.ХХХ.2ТГ</t>
  </si>
  <si>
    <t>ВК.065.300.ХХХ.4ТГ</t>
  </si>
  <si>
    <t>ВК.065.360.ХХХ.4ТГ</t>
  </si>
  <si>
    <t>ВК.065.400.ХХХ.4ТГ</t>
  </si>
  <si>
    <t>ВК.065.400.ХХХ.6ТГ</t>
  </si>
  <si>
    <t>ВК.070.160.ХХХ.2ТГ</t>
  </si>
  <si>
    <t>ВК.070.200.ХХХ.2ТГ</t>
  </si>
  <si>
    <t>ВК.070.260.ХХХ.2ТГ</t>
  </si>
  <si>
    <t>ВК.070.300.ХХХ.2ТГ</t>
  </si>
  <si>
    <t>ВК.070.300.ХХХ.4ТГ</t>
  </si>
  <si>
    <t>ВК.070.360.ХХХ.4ТГ</t>
  </si>
  <si>
    <t>ВК.070.400.ХХХ.4ТГ</t>
  </si>
  <si>
    <t>ВК.070.400.ХХХ.6ТГ</t>
  </si>
  <si>
    <t>6ТГ</t>
  </si>
  <si>
    <t>ВК.075.160.ХХХ.2ТГ</t>
  </si>
  <si>
    <t>ВК.075.200.ХХХ.2ТГ</t>
  </si>
  <si>
    <t>ВК.075.260.ХХХ.2ТГ</t>
  </si>
  <si>
    <t>ВК.075.300.ХХХ.2ТГ</t>
  </si>
  <si>
    <t>ВК.075.300.ХХХ.4ТГ</t>
  </si>
  <si>
    <t>ВК.075.360.ХХХ.4ТГ</t>
  </si>
  <si>
    <t>ВК.075.400.ХХХ.4ТГ</t>
  </si>
  <si>
    <t>ВК.075.400.ХХХ.6ТГ</t>
  </si>
  <si>
    <t>ВК.080.160.ХХХ.2ТГ</t>
  </si>
  <si>
    <t>ВК.080.200.ХХХ.2ТГ</t>
  </si>
  <si>
    <t>ВК.080.260.ХХХ.2ТГ</t>
  </si>
  <si>
    <t>ВК.080.300.ХХХ.2ТГ</t>
  </si>
  <si>
    <t>ВК.080.300.ХХХ.4ТГ</t>
  </si>
  <si>
    <t>ВК.080.360.ХХХ.4ТГ</t>
  </si>
  <si>
    <t>ВК.080.400.ХХХ.4ТГ</t>
  </si>
  <si>
    <t>ВК.080.400.ХХХ.6ТГ</t>
  </si>
  <si>
    <t>ВК.090.160.ХХХ.2ТГ</t>
  </si>
  <si>
    <t>ВК.090.200.ХХХ.2ТГ</t>
  </si>
  <si>
    <t>ВК.090.260.ХХХ.2ТГ</t>
  </si>
  <si>
    <t>ВК.090.300.ХХХ.2ТГ</t>
  </si>
  <si>
    <t>ВК.090.300.ХХХ.4ТГ</t>
  </si>
  <si>
    <t>ВК.090.360.ХХХ.4ТГ</t>
  </si>
  <si>
    <t>ВК.090.400.ХХХ.4ТГ</t>
  </si>
  <si>
    <t>ВК.090.400.ХХХ.6ТГ</t>
  </si>
  <si>
    <t>ВК.110.160.ХХХ.2ТГ</t>
  </si>
  <si>
    <t>ВК.110.200.ХХХ.2ТГ</t>
  </si>
  <si>
    <t>ВК.110.260.ХХХ.2ТГ</t>
  </si>
  <si>
    <t>ВК.110.300.ХХХ.2ТГ</t>
  </si>
  <si>
    <t>ВК.110.300.ХХХ.4ТГ</t>
  </si>
  <si>
    <t>ВК.110.360.ХХХ.4ТГ</t>
  </si>
  <si>
    <t>ВК.110.400.ХХХ.4ТГ</t>
  </si>
  <si>
    <t>ВК.110.400.ХХХ.6ТГ</t>
  </si>
  <si>
    <t>ВК.150.160.ХХХ.4ТК</t>
  </si>
  <si>
    <t>4ТК</t>
  </si>
  <si>
    <t>ВК.150.200.ХХХ.4ТК</t>
  </si>
  <si>
    <t>ВК.150.260.ХХХ.4ТК</t>
  </si>
  <si>
    <t>ВК.150.300.ХХХ.6ТП</t>
  </si>
  <si>
    <t>6ТП</t>
  </si>
  <si>
    <t>ВК.150.300.ХХХ.8ТП</t>
  </si>
  <si>
    <t>8ТП</t>
  </si>
  <si>
    <t>ВК.150.360.ХХХ.6ТП</t>
  </si>
  <si>
    <t>ВК.150.360.ХХХ.8ТП</t>
  </si>
  <si>
    <t>ВК.150.400.ХХХ.6ТП</t>
  </si>
  <si>
    <t>ВК.150.400.ХХХ.8ТП</t>
  </si>
  <si>
    <t>ВК.200.260.ХХХ.4ТК</t>
  </si>
  <si>
    <t>ВК.200.300.ХХХ.4ТК</t>
  </si>
  <si>
    <t>ВК.200.360.ХХХ.8ТП</t>
  </si>
  <si>
    <t>ВК.300.260.ХХХ.4ТК</t>
  </si>
  <si>
    <t>ВК.300.300.ХХХ.4ТК</t>
  </si>
  <si>
    <t>ВК.300.360.ХХХ.8ТП</t>
  </si>
  <si>
    <t>ВК.400.260.ХХХ.4ТК</t>
  </si>
  <si>
    <t>ВК.400.300.ХХХ.4ТК</t>
  </si>
  <si>
    <t>ВК.400.360.ХХХ.8ТП</t>
  </si>
  <si>
    <t>ВК.500.260.ХХХ.4ТК</t>
  </si>
  <si>
    <t>ВК.500.300.ХХХ.4ТК</t>
  </si>
  <si>
    <t>ВК.500.360.ХХХ.8ТП</t>
  </si>
  <si>
    <t>ВК.600.260.ХХХ.4ТК</t>
  </si>
  <si>
    <t>ВК.600.300.ХХХ.4ТК</t>
  </si>
  <si>
    <t>ВК.600.360.ХХХ.8ТП</t>
  </si>
  <si>
    <t>ВК.ЭКО</t>
  </si>
  <si>
    <t>ВКВ.ЭКО</t>
  </si>
  <si>
    <t xml:space="preserve">Требуемая мощность, ВТ </t>
  </si>
  <si>
    <t>Скорость работы вентилятора 1,2,3</t>
  </si>
  <si>
    <t>Коэффициент вент.</t>
  </si>
  <si>
    <t>мм</t>
  </si>
  <si>
    <t>нет</t>
  </si>
  <si>
    <t>150.200</t>
  </si>
  <si>
    <t xml:space="preserve">  </t>
  </si>
  <si>
    <t>150.300</t>
  </si>
  <si>
    <t>ВКВ.065.360.ХХХ.4ТГ</t>
  </si>
  <si>
    <t>ВКВ.065.400.ХХХ.4ТГ</t>
  </si>
  <si>
    <t>ВКВ.070.360.ХХХ.4ТГ</t>
  </si>
  <si>
    <t>ВКВ.070.400.ХХХ.4ТГ</t>
  </si>
  <si>
    <t>Калькулятор теплоотдач ВК</t>
  </si>
  <si>
    <t>Калькулятор теплоотдач ВКВ</t>
  </si>
  <si>
    <t>-</t>
  </si>
  <si>
    <t>ВК.ЭКОНОМ.075.360.ХХХ.4ТГ</t>
  </si>
  <si>
    <t>ВК.ЭКОНОМ.075.400.ХХХ.4ТГ</t>
  </si>
  <si>
    <t>ВК.ЭКОНОМ.075.400.ХХХ.6ТГ</t>
  </si>
  <si>
    <t>ВК.ЭКОНОМ.090.360.ХХХ.4ТГ</t>
  </si>
  <si>
    <t>ВК.ЭКОНОМ.090.400.ХХХ.4ТГ</t>
  </si>
  <si>
    <t>ВК.ЭКОНОМ.090.400.ХХХ.6ТГ</t>
  </si>
  <si>
    <t>ВК.ЭКОНОМ.110.160.ХХХ.2ТГ</t>
  </si>
  <si>
    <t>ВК.ЭКОНОМ.110.200.ХХХ.2ТГ</t>
  </si>
  <si>
    <t>ВК.ЭКОНОМ.110.260.ХХХ.2ТГ</t>
  </si>
  <si>
    <t>ВК.ЭКОНОМ.110.300.ХХХ.2ТГ</t>
  </si>
  <si>
    <t>ВК.ЭКОНОМ.110.300.ХХХ.4ТГ</t>
  </si>
  <si>
    <t>ВК.ЭКОНОМ.110.360.ХХХ.4ТГ</t>
  </si>
  <si>
    <t>ВК.ЭКОНОМ.110.400.ХХХ.4ТГ</t>
  </si>
  <si>
    <t>ВК.ЭКОНОМ.110.400.ХХХ.6ТГ</t>
  </si>
  <si>
    <t>ВК.ЭКОНОМ.150.160.ХХХ.4ТК</t>
  </si>
  <si>
    <t>ВК.ЭКОНОМ.150.200.ХХХ.4ТК</t>
  </si>
  <si>
    <t>ВК.ЭКОНОМ.150.260.ХХХ.4ТК</t>
  </si>
  <si>
    <t>ВК.ЭКОНОМ.150.300.ХХХ.8ТП</t>
  </si>
  <si>
    <t>ВК.ЭКОНОМ.150.360.ХХХ.8ТП</t>
  </si>
  <si>
    <t>ВК.ЭКОНОМ.150.400.ХХХ.12ТП</t>
  </si>
  <si>
    <t xml:space="preserve">   </t>
  </si>
  <si>
    <t>12 труба</t>
  </si>
  <si>
    <t>ВК.ЭКО.075.160.ХХХ.2ТГ</t>
  </si>
  <si>
    <t>ВК.ЭКО.075.200.ХХХ.2ТГ</t>
  </si>
  <si>
    <t>ВК.ЭКО.075.260.ХХХ.2ТГ</t>
  </si>
  <si>
    <t>ВК.ЭКО.075.300.ХХХ.2ТГ</t>
  </si>
  <si>
    <t>ВК.ЭКО.075.300.ХХХ.4ТГ</t>
  </si>
  <si>
    <t>ВК.ЭКО.090.160.ХХХ.2ТГ</t>
  </si>
  <si>
    <t>ВК.ЭКО.090.200.ХХХ.2ТГ</t>
  </si>
  <si>
    <t>ВК.ЭКО.090.260.ХХХ.2ТГ</t>
  </si>
  <si>
    <t>ВК.ЭКО.090.300.ХХХ.2ТГ</t>
  </si>
  <si>
    <t>ВК.ЭКО.090.300.ХХХ.4ТГ</t>
  </si>
  <si>
    <t>ВКВ.ЭКОНОМ.075.300.ХХХ.2ТГ</t>
  </si>
  <si>
    <t>ВКВ.ЭКОНОМ.075.360.ХХХ.4ТГ</t>
  </si>
  <si>
    <t>ВКВ.ЭКОНОМ075.400.ХХХ.4ТГ</t>
  </si>
  <si>
    <t>ВКВ.ЭКОНОМ.090.300.ХХХ.2ТГ</t>
  </si>
  <si>
    <t>ВКВ.ЭКОНОМ.090.360.ХХХ.4ТГ</t>
  </si>
  <si>
    <t>ВКВ.ЭКОНОМ.110.200.ХХХ.2ТГ</t>
  </si>
  <si>
    <t>ВКВ.ЭКОНОМ.110.260.ХХХ.2ТГ</t>
  </si>
  <si>
    <t>ВКВ.ЭКОНОМ.110.300.ХХХ.2ТГ</t>
  </si>
  <si>
    <t>ВКВ.ЭКОНОМ.110.360.ХХХ.4ТГ</t>
  </si>
  <si>
    <t>ВКВ.ЭКОНОМ.150.160.ХХХ.2ТК</t>
  </si>
  <si>
    <t>ВКВ.ЭКОНОМ.150.200.ХХХ.2ТК</t>
  </si>
  <si>
    <t>ВКВ.ЭКОНОМ.150.260.ХХХ.4ТК</t>
  </si>
  <si>
    <t>ВКВ.ЭКОНОМ.150.300.ХХХ.4ТГ</t>
  </si>
  <si>
    <t>ВКВ.ЭКОНОМ.150.360.ХХХ.8ТП</t>
  </si>
  <si>
    <t>Модель</t>
  </si>
  <si>
    <t>ВКВ 24В</t>
  </si>
  <si>
    <t>Вернуться Калькулятор теплоотдач ВКВ</t>
  </si>
  <si>
    <t>Вернуться Калькулятор теплоотдач ВК</t>
  </si>
  <si>
    <t>Ножка для ВТ Короткая</t>
  </si>
  <si>
    <t>Модель теплообменника</t>
  </si>
  <si>
    <t>Ножка для ВТ Глухая 2ТГ                                Ножка для ВТ Глухая 4ТК</t>
  </si>
  <si>
    <t>Ножка для ВТ Глухая 6ТП</t>
  </si>
  <si>
    <t>Ножка для ВТ Глухая 4ТГ                                Ножка для ВТ Глухая 8ТП</t>
  </si>
  <si>
    <t xml:space="preserve">Ножка для ВТ Глухая 6ТГ         </t>
  </si>
  <si>
    <t>Ножка для ВТ Короткая 2ТГ                                Ножка для ВТ Короткая 4ТК</t>
  </si>
  <si>
    <t>Ножка для ВТ Короткая 6ТП</t>
  </si>
  <si>
    <t>Ножка для ВТ Короткая 4ТГ                                Ножка для ВТ Короткая 8ТП</t>
  </si>
  <si>
    <t xml:space="preserve">Ножка для ВТ Короткая 6ТГ         </t>
  </si>
  <si>
    <t xml:space="preserve"> </t>
  </si>
  <si>
    <t>Блок питания ZM-60-24 (24V,60W, 2.5A, IP20)</t>
  </si>
  <si>
    <t>Цветовые решения покраски деревянной решетки</t>
  </si>
  <si>
    <t>Решетка деревянная, покрытая цветным масло-грунтом</t>
  </si>
  <si>
    <t xml:space="preserve">В комплект подключения входят:
• Гофротрубка черная – 1,5м
• Блок питания – 1шт
• Провод – 3шт                                                                                                                                    •Провод заземления с кольцевым наконечником– 1шт   
</t>
  </si>
  <si>
    <t>Комплект электрики для подключения вентилятора 24В</t>
  </si>
  <si>
    <t>Надбавка к цене алюминиевой решетки и рамки, %</t>
  </si>
  <si>
    <t>НАЦЕНКА ЗА ПРОХОДНОЕ ИСПОЛНЕНИЯ ТЕПЛООБМЕННИКА</t>
  </si>
  <si>
    <t>*- монтажная высота Глухих ножек составляет 100мм</t>
  </si>
  <si>
    <t>*- монтажная высота коротких ножек составляет 20мм</t>
  </si>
  <si>
    <t>10. Материал корпуса:</t>
  </si>
  <si>
    <t>11. Подключение:</t>
  </si>
  <si>
    <t>• Без обозначения - правое.</t>
  </si>
  <si>
    <t>• Л - левое.</t>
  </si>
  <si>
    <t>Л.</t>
  </si>
  <si>
    <t>ВТ.40.100.2ТГ.ХХХ</t>
  </si>
  <si>
    <t>ВТ.40.200.4ТГ.ХХХ</t>
  </si>
  <si>
    <t>* - К конвектору не поставляется пакет подключения арматуры</t>
  </si>
  <si>
    <t>24В</t>
  </si>
  <si>
    <t>• ВКВТХ – Витрон конвектор тепло-холод с вентилятором.</t>
  </si>
  <si>
    <t>ВКВ.80 мм</t>
  </si>
  <si>
    <t>ВК.140 мм</t>
  </si>
  <si>
    <t>ВКВ.140 мм</t>
  </si>
  <si>
    <t>ВК.140.160.ХХХ.4ТК</t>
  </si>
  <si>
    <t>ВК.140.200.ХХХ.4ТК</t>
  </si>
  <si>
    <t>ВК.140.260.ХХХ.4ТК</t>
  </si>
  <si>
    <t>ВК.140.300.ХХХ.6ТП</t>
  </si>
  <si>
    <t>ВК.140.300.ХХХ.8ТП</t>
  </si>
  <si>
    <t>ВК.140.360.ХХХ.6ТП</t>
  </si>
  <si>
    <t>ВК.140.360.ХХХ.8ТП</t>
  </si>
  <si>
    <t>ВК.140.400.ХХХ.6ТП</t>
  </si>
  <si>
    <t>ВК.140.400.ХХХ.8ТП</t>
  </si>
  <si>
    <t xml:space="preserve">• 55, 65, 75, 80, 90, 110, 140, 150, 200, 300, 400, 500, 600. </t>
  </si>
  <si>
    <t>Модель конвектора</t>
  </si>
  <si>
    <t>Подходит</t>
  </si>
  <si>
    <t>Не подходит</t>
  </si>
  <si>
    <t>Аксессуары для гидравлического подключения конвекторов VITRON</t>
  </si>
  <si>
    <t>Описание</t>
  </si>
  <si>
    <t>Фото</t>
  </si>
  <si>
    <t>КП№1</t>
  </si>
  <si>
    <t>КП№2</t>
  </si>
  <si>
    <t>КП№3</t>
  </si>
  <si>
    <t>КП№3С</t>
  </si>
  <si>
    <t>Терм. СП.3/4".230</t>
  </si>
  <si>
    <t>Терм. СП.3/4".24</t>
  </si>
  <si>
    <t>КрСг.ВН.G1/2".Пр</t>
  </si>
  <si>
    <t>ЗРК.G1/2".Угл</t>
  </si>
  <si>
    <t>ЗРК.G1/2".Пр</t>
  </si>
  <si>
    <t>ТК.G1/2".Пр</t>
  </si>
  <si>
    <t>ТК.G1/2".Угл</t>
  </si>
  <si>
    <t>ТК.G1/2".Акс</t>
  </si>
  <si>
    <t xml:space="preserve">ТГ.Витрон.M30*1,5.Ral 9016 </t>
  </si>
  <si>
    <t>ТГ.Витрон.M30*1,5.Хром</t>
  </si>
  <si>
    <t xml:space="preserve">ТГ.Витрон.M30*1,5.Ral 9005 </t>
  </si>
  <si>
    <t>КНП.G 3/4*3/4 EURO KONUS.Пр</t>
  </si>
  <si>
    <t>КНП.G 3/4*3/4 EURO KONUS.Угл</t>
  </si>
  <si>
    <t>УП.DUO-PLEX.3/4 x М22x1,5.Прав.Белый</t>
  </si>
  <si>
    <t>УП.DUO-PLEX.3/4 x М22x1,5.Пр.Белый</t>
  </si>
  <si>
    <t>УП.DUO-PLEX.3/4 x М22x1,5.Прав.Черный</t>
  </si>
  <si>
    <t>УП.DUO-PLEX.3/4 x М22x1,5.Прям.Черный</t>
  </si>
  <si>
    <t>Термостат W-therm MCВ.610.Wi-Fi.0-10В черный.</t>
  </si>
  <si>
    <t>Термостат W-therm MCW.610.Wi-Fi.0-10В белый.</t>
  </si>
  <si>
    <t>Твердотельное реле (1ф., 25А,
480V AC, 70-280VAC)</t>
  </si>
  <si>
    <t>Конвектор с корпусом из оцинкованной стали (ОЦ 1мм), крашеный в черный цвет, с алюминиевой решеткой и рамкой (либо окантовкой).</t>
  </si>
  <si>
    <t>Конвектор с корпусом из нержавеющей стали (AISI 0,8мм), с алюминиевой решеткой и рамкой (либо окантовкой).</t>
  </si>
  <si>
    <t>Решетка деревянная без покрытия</t>
  </si>
  <si>
    <t>Патрубок для дренажа в моделях ВКВ ставится со стороны подводов, патрубок для дренажа в моделях ВК, ставится с любой стороны конвектора. Высота конвектора + 5 мм</t>
  </si>
  <si>
    <t>Конвектор встраиваемый в пол водяной + электрический</t>
  </si>
  <si>
    <t>Теплоотдача ТЭНа</t>
  </si>
  <si>
    <t>ВКВ+ВКЭ.</t>
  </si>
  <si>
    <t>*- цена одинаковая для всех ширин конвекторов</t>
  </si>
  <si>
    <t>Шаблон дуги</t>
  </si>
  <si>
    <t>Цена на 1м дуги</t>
  </si>
  <si>
    <t>Приток по длине</t>
  </si>
  <si>
    <t>от 500 до 1200мм 1 патрубок</t>
  </si>
  <si>
    <t>Крепление тепл. и крышки</t>
  </si>
  <si>
    <t>Шаг, 10 мм</t>
  </si>
  <si>
    <t>Крышка для конвектора декоративная</t>
  </si>
  <si>
    <t>КП№2-БП</t>
  </si>
  <si>
    <t>КП№3-БП</t>
  </si>
  <si>
    <t>КП№3С-БП</t>
  </si>
  <si>
    <t>КП№5-БП</t>
  </si>
  <si>
    <t>КП№5</t>
  </si>
  <si>
    <t>– корпус из оцинкованной стали толщиной 1 мм.</t>
  </si>
  <si>
    <t>толщиной 0,8 мм;</t>
  </si>
  <si>
    <t>Надбавка к цене алюминиевой решетки и рамки, коэф.</t>
  </si>
  <si>
    <t>НАКЛАДНОЙ МОНТАЖ</t>
  </si>
  <si>
    <t>СИМИСТОРНЫЙ РЕГУЛЯТОР VITRON</t>
  </si>
  <si>
    <t>Термостат W-therm MCB.630/OH черный.</t>
  </si>
  <si>
    <t>Термостат W-therm MCW.630/OH белый.</t>
  </si>
  <si>
    <t>1. Беленый дуб</t>
  </si>
  <si>
    <t>2. Молочный дуб</t>
  </si>
  <si>
    <t>3. Теплый серый</t>
  </si>
  <si>
    <t>4. Холодный серый</t>
  </si>
  <si>
    <t>5. Рустикальный дуб</t>
  </si>
  <si>
    <t>6. Натуральный бук</t>
  </si>
  <si>
    <t>7. Красный орех</t>
  </si>
  <si>
    <t>8. Дуб табак</t>
  </si>
  <si>
    <t>9. Дуб коньяк</t>
  </si>
  <si>
    <t>10.  Вишня</t>
  </si>
  <si>
    <t>11.  Темный дуб</t>
  </si>
  <si>
    <t>12.  Темная вишня</t>
  </si>
  <si>
    <t>13. Махагон</t>
  </si>
  <si>
    <t>14. Дуб антик</t>
  </si>
  <si>
    <t>15. Венге</t>
  </si>
  <si>
    <t>16. Палисандр</t>
  </si>
  <si>
    <t>Оцинковка</t>
  </si>
  <si>
    <t>от 1200 до 1700мм 2 патрубка</t>
  </si>
  <si>
    <t>от 1700 до 2200мм 3 патрубка</t>
  </si>
  <si>
    <t>от 2200 до 2700мм 4 патрубка</t>
  </si>
  <si>
    <t>от 2700 до 3000мм 5 патрубков</t>
  </si>
  <si>
    <r>
      <t xml:space="preserve">Ширина конвектора </t>
    </r>
    <r>
      <rPr>
        <b/>
        <sz val="16"/>
        <color theme="1"/>
        <rFont val="Calibri"/>
        <family val="2"/>
        <charset val="204"/>
        <scheme val="minor"/>
      </rPr>
      <t>260</t>
    </r>
    <r>
      <rPr>
        <b/>
        <sz val="14"/>
        <color theme="1"/>
        <rFont val="Calibri"/>
        <family val="2"/>
        <charset val="204"/>
        <scheme val="minor"/>
      </rPr>
      <t xml:space="preserve"> мм</t>
    </r>
  </si>
  <si>
    <r>
      <t>Ширина конвектора 3</t>
    </r>
    <r>
      <rPr>
        <b/>
        <sz val="16"/>
        <color theme="1"/>
        <rFont val="Calibri"/>
        <family val="2"/>
        <charset val="204"/>
        <scheme val="minor"/>
      </rPr>
      <t>00</t>
    </r>
    <r>
      <rPr>
        <b/>
        <sz val="14"/>
        <color theme="1"/>
        <rFont val="Calibri"/>
        <family val="2"/>
        <charset val="204"/>
        <scheme val="minor"/>
      </rPr>
      <t xml:space="preserve"> мм</t>
    </r>
  </si>
  <si>
    <r>
      <t>Ширина конвектора 3</t>
    </r>
    <r>
      <rPr>
        <b/>
        <sz val="16"/>
        <color theme="1"/>
        <rFont val="Calibri"/>
        <family val="2"/>
        <charset val="204"/>
        <scheme val="minor"/>
      </rPr>
      <t>60</t>
    </r>
    <r>
      <rPr>
        <b/>
        <sz val="14"/>
        <color theme="1"/>
        <rFont val="Calibri"/>
        <family val="2"/>
        <charset val="204"/>
        <scheme val="minor"/>
      </rPr>
      <t xml:space="preserve"> мм</t>
    </r>
  </si>
  <si>
    <r>
      <t>Ширина конвектора 40</t>
    </r>
    <r>
      <rPr>
        <b/>
        <sz val="16"/>
        <color theme="1"/>
        <rFont val="Calibri"/>
        <family val="2"/>
        <charset val="204"/>
        <scheme val="minor"/>
      </rPr>
      <t>0</t>
    </r>
    <r>
      <rPr>
        <b/>
        <sz val="14"/>
        <color theme="1"/>
        <rFont val="Calibri"/>
        <family val="2"/>
        <charset val="204"/>
        <scheme val="minor"/>
      </rPr>
      <t xml:space="preserve"> мм</t>
    </r>
  </si>
  <si>
    <r>
      <t xml:space="preserve">Ширина конвектора </t>
    </r>
    <r>
      <rPr>
        <b/>
        <sz val="16"/>
        <color theme="1"/>
        <rFont val="Calibri"/>
        <family val="2"/>
        <charset val="204"/>
        <scheme val="minor"/>
      </rPr>
      <t>160</t>
    </r>
    <r>
      <rPr>
        <b/>
        <sz val="14"/>
        <color theme="1"/>
        <rFont val="Calibri"/>
        <family val="2"/>
        <charset val="204"/>
        <scheme val="minor"/>
      </rPr>
      <t xml:space="preserve"> мм</t>
    </r>
  </si>
  <si>
    <r>
      <t xml:space="preserve">Ширина конвектора </t>
    </r>
    <r>
      <rPr>
        <b/>
        <sz val="16"/>
        <color theme="1"/>
        <rFont val="Calibri"/>
        <family val="2"/>
        <charset val="204"/>
        <scheme val="minor"/>
      </rPr>
      <t>200</t>
    </r>
    <r>
      <rPr>
        <b/>
        <sz val="14"/>
        <color theme="1"/>
        <rFont val="Calibri"/>
        <family val="2"/>
        <charset val="204"/>
        <scheme val="minor"/>
      </rPr>
      <t xml:space="preserve"> мм</t>
    </r>
  </si>
  <si>
    <r>
      <t xml:space="preserve">Ширина конвектора </t>
    </r>
    <r>
      <rPr>
        <b/>
        <sz val="16"/>
        <color theme="1"/>
        <rFont val="Calibri"/>
        <family val="2"/>
        <charset val="204"/>
        <scheme val="minor"/>
      </rPr>
      <t>300</t>
    </r>
    <r>
      <rPr>
        <b/>
        <sz val="14"/>
        <color theme="1"/>
        <rFont val="Calibri"/>
        <family val="2"/>
        <charset val="204"/>
        <scheme val="minor"/>
      </rPr>
      <t xml:space="preserve"> мм</t>
    </r>
  </si>
  <si>
    <r>
      <t xml:space="preserve">Ширина конвектора </t>
    </r>
    <r>
      <rPr>
        <b/>
        <sz val="16"/>
        <color theme="1"/>
        <rFont val="Calibri"/>
        <family val="2"/>
        <charset val="204"/>
        <scheme val="minor"/>
      </rPr>
      <t>360</t>
    </r>
    <r>
      <rPr>
        <b/>
        <sz val="14"/>
        <color theme="1"/>
        <rFont val="Calibri"/>
        <family val="2"/>
        <charset val="204"/>
        <scheme val="minor"/>
      </rPr>
      <t xml:space="preserve"> мм</t>
    </r>
  </si>
  <si>
    <r>
      <t xml:space="preserve">Ширина конвектора </t>
    </r>
    <r>
      <rPr>
        <b/>
        <sz val="16"/>
        <color theme="1"/>
        <rFont val="Calibri"/>
        <family val="2"/>
        <charset val="204"/>
        <scheme val="minor"/>
      </rPr>
      <t>400</t>
    </r>
    <r>
      <rPr>
        <b/>
        <sz val="14"/>
        <color theme="1"/>
        <rFont val="Calibri"/>
        <family val="2"/>
        <charset val="204"/>
        <scheme val="minor"/>
      </rPr>
      <t xml:space="preserve"> мм</t>
    </r>
  </si>
  <si>
    <t>24 Вольт</t>
  </si>
  <si>
    <t xml:space="preserve"> 24 Вольт</t>
  </si>
  <si>
    <t xml:space="preserve">Термостат Uni FHU с капиллярной трубкой </t>
  </si>
  <si>
    <t>Нержавейка</t>
  </si>
  <si>
    <t>Коробка установочная квадратная</t>
  </si>
  <si>
    <t>Коробка для накладного монтажа</t>
  </si>
  <si>
    <t>Изготовление конвектора с отводом в сторону помещения или вниз возможно любой длины. Изготовление конвектора с отводом с торца возможно до 6000 мм</t>
  </si>
  <si>
    <t>Надбавка к цене алюминиевой решетки 10х4 и окантовки, коэф.</t>
  </si>
  <si>
    <t>Тангенциальный вентилятор VITRON.30.1136.24VDC-3I работающий на 24 вольтовом напряжении</t>
  </si>
  <si>
    <t>Тангенциальный вентилятор VITRON.30.772.24VDC-2I работающий на 24 вольтовом напряжении</t>
  </si>
  <si>
    <t>Тангенциальный вентилятор VITRON.30.252.24VDC-1I работающий на 24 вольтовом напряжении</t>
  </si>
  <si>
    <t>Крепление под вентилятор VITRON 24V</t>
  </si>
  <si>
    <t>VITRON.30.1136.24VDC-3I</t>
  </si>
  <si>
    <t>VITRON.30.772.24VDC-2I</t>
  </si>
  <si>
    <t>VITRON.30.252.24VDC-1I</t>
  </si>
  <si>
    <t>110.200</t>
  </si>
  <si>
    <t>ВКВ.065.260.ХХХ.2ТГ.24V</t>
  </si>
  <si>
    <t>ВКВ.065.300.ХХХ.2ТГ.24V</t>
  </si>
  <si>
    <t>ВКВ.070.260.ХХХ.2ТГ.24V</t>
  </si>
  <si>
    <t>ВКВ.070.300.ХХХ.2ТГ.24V</t>
  </si>
  <si>
    <t>ВКВ.075.260.ХХХ.2ТГ.24V</t>
  </si>
  <si>
    <t>ВКВ.075.300.ХХХ.2ТГ.24V</t>
  </si>
  <si>
    <t>ВКВ.075.360.ХХХ.4ТГ.24V</t>
  </si>
  <si>
    <t>ВКВ.075.400.ХХХ.4ТГ.24V</t>
  </si>
  <si>
    <t>ВКВ.080.260.ХХХ.2ТГ.24V</t>
  </si>
  <si>
    <t>ВКВ.080.300.ХХХ.2ТГ.24V</t>
  </si>
  <si>
    <t>ВКВ.080.360.ХХХ.4ТГ.24V</t>
  </si>
  <si>
    <t>ВКВ.080.400.ХХХ.4ТГ.24V</t>
  </si>
  <si>
    <t>ВКВ.090.200.ХХХ.2ТГ.24V</t>
  </si>
  <si>
    <t>ВКВ.090.260.ХХХ.2ТГ.24V</t>
  </si>
  <si>
    <t>ВКВ.090.300.ХХХ.2ТГ.24V</t>
  </si>
  <si>
    <t>ВКВ.090.360.ХХХ.4ТГ.24V</t>
  </si>
  <si>
    <t>ВКВ.090.400.ХХХ.4ТГ.24V</t>
  </si>
  <si>
    <t>ВКВ.110.200.ХХХ.2ТГ.24V</t>
  </si>
  <si>
    <t>ВКВ.110.260.ХХХ.2ТГ.24V</t>
  </si>
  <si>
    <t>ВКВ.110.300.ХХХ.2ТГ.24V</t>
  </si>
  <si>
    <t>ВКВ.110.360.ХХХ.4ТГ.24V</t>
  </si>
  <si>
    <t>ВКВ.140.160.ХХХ.2ТГ.24V</t>
  </si>
  <si>
    <t>ВКВ.140.200.ХХХ.2ТГ.24V</t>
  </si>
  <si>
    <t>ВКВ.140.260.ХХХ.4ТК.24V</t>
  </si>
  <si>
    <t>ВКВ.140.300.ХХХ.4ТК.24V</t>
  </si>
  <si>
    <t>ВКВ.140.360.ХХХ.8ТП.24V</t>
  </si>
  <si>
    <t>ВКВ.150.160.ХХХ.2ТГ.24V</t>
  </si>
  <si>
    <t>ВКВ.150.200.ХХХ.2ТГ.24V</t>
  </si>
  <si>
    <t>ВКВ.150.260.ХХХ.4ТК.24V</t>
  </si>
  <si>
    <t>ВКВ.150.300.ХХХ.4ТК.24V</t>
  </si>
  <si>
    <t>ВКВ.150.360.ХХХ.8ТП.24V</t>
  </si>
  <si>
    <t>ВКВТХ.130.260.ХХХ.4ТК.24V</t>
  </si>
  <si>
    <t>ВКВТХ.150.300.ХХХ.4ТК.24V</t>
  </si>
  <si>
    <t>ВКВ.ЭКОНОМ.075.260.ХХХ.2ТГ.24V</t>
  </si>
  <si>
    <t>ВКВ.ЭКОНОМ.090.200.ХХХ.2ТГ.24V</t>
  </si>
  <si>
    <t>ВКВ.ЭКОНОМ.090.260.ХХХ.2ТГ.24V</t>
  </si>
  <si>
    <t>ТГ.24V</t>
  </si>
  <si>
    <t>ТК.24V</t>
  </si>
  <si>
    <t>ТП.24V</t>
  </si>
  <si>
    <t>Совместимость с конвектором</t>
  </si>
  <si>
    <t>ВКВЭ 220В</t>
  </si>
  <si>
    <t>ВКВ 24В ВКВЭ 220В</t>
  </si>
  <si>
    <t>ВКВ.140.360.ХХХ.6ТП.24V</t>
  </si>
  <si>
    <t>ВКВ.140.400.ХХХ.6ТП.24V</t>
  </si>
  <si>
    <t>ВКВ.140.400.ХХХ.8ТП.24V</t>
  </si>
  <si>
    <t>ВКВ.150.360.ХХХ.6ТП.24V</t>
  </si>
  <si>
    <t>ВКВ.150.400.ХХХ.6ТП.24V</t>
  </si>
  <si>
    <t>ВКВ.150.400.ХХХ.8ТП.24V</t>
  </si>
  <si>
    <r>
      <t xml:space="preserve">Прямой полнопроходной кран  В-Н  G1/2" красный. </t>
    </r>
    <r>
      <rPr>
        <shadow/>
        <sz val="12"/>
        <rFont val="Calibri"/>
        <family val="2"/>
        <charset val="204"/>
        <scheme val="minor"/>
      </rPr>
      <t>Производство Италия</t>
    </r>
  </si>
  <si>
    <r>
      <t xml:space="preserve">Запорно-регулирующий клапан (угловой) G1/2''. </t>
    </r>
    <r>
      <rPr>
        <sz val="12"/>
        <color theme="1"/>
        <rFont val="Calibri"/>
        <family val="2"/>
        <charset val="204"/>
        <scheme val="minor"/>
      </rPr>
      <t>Производство Польша</t>
    </r>
  </si>
  <si>
    <r>
      <t>Запорно-регулирующий клапан (прямой) G1/2''.</t>
    </r>
    <r>
      <rPr>
        <sz val="12"/>
        <rFont val="Calibri"/>
        <family val="2"/>
        <charset val="204"/>
        <scheme val="minor"/>
      </rPr>
      <t xml:space="preserve"> Производство Польша   </t>
    </r>
  </si>
  <si>
    <r>
      <t xml:space="preserve">Термостатический клапан (прямой) G1/2''. </t>
    </r>
    <r>
      <rPr>
        <sz val="12"/>
        <rFont val="Calibri"/>
        <family val="2"/>
        <charset val="204"/>
        <scheme val="minor"/>
      </rPr>
      <t>Производство Польша</t>
    </r>
  </si>
  <si>
    <r>
      <t xml:space="preserve">Термостатический клапан (угловой) G1/2''. </t>
    </r>
    <r>
      <rPr>
        <sz val="12"/>
        <color theme="1"/>
        <rFont val="Calibri"/>
        <family val="2"/>
        <charset val="204"/>
        <scheme val="minor"/>
      </rPr>
      <t>Производство Польша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</si>
  <si>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Термостатическая головка MINI DIAMANT Хром M30*1,5  с логотипом Vitron  </t>
    </r>
    <r>
      <rPr>
        <sz val="11"/>
        <color rgb="FF000000"/>
        <rFont val="Yandex-sans"/>
        <charset val="204"/>
      </rPr>
      <t>Производство Польша</t>
    </r>
    <r>
      <rPr>
        <b/>
        <sz val="11"/>
        <color rgb="FF000000"/>
        <rFont val="Yandex-sans"/>
        <charset val="204"/>
      </rPr>
      <t xml:space="preserve">
</t>
    </r>
  </si>
  <si>
    <r>
      <t xml:space="preserve">Термостатическая головка BRILLANT SH Черный M30*1,5  с логотипом Vitron </t>
    </r>
    <r>
      <rPr>
        <sz val="12"/>
        <color theme="1"/>
        <rFont val="Calibri"/>
        <family val="2"/>
        <charset val="204"/>
        <scheme val="minor"/>
      </rPr>
      <t>Производство Польша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</si>
  <si>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Узел подключения DUO-PLEX </t>
    </r>
    <r>
      <rPr>
        <b/>
        <sz val="12"/>
        <color indexed="8"/>
        <rFont val="Arial"/>
        <family val="2"/>
        <charset val="204"/>
      </rPr>
      <t xml:space="preserve">602100001 Белый Угловой, правый </t>
    </r>
    <r>
      <rPr>
        <sz val="12"/>
        <color indexed="8"/>
        <rFont val="Arial"/>
        <family val="2"/>
        <charset val="204"/>
      </rPr>
      <t>3/4 x М22x1,5 + 2 Ниппеля 1/2x3/4 Резьбовые соединения 602700002.06 Для стальных труб белое GW M22x1,5 x GW 1/2. Производство Польша</t>
    </r>
  </si>
  <si>
    <r>
      <t xml:space="preserve">Узел подключения DUO-PLEX </t>
    </r>
    <r>
      <rPr>
        <b/>
        <sz val="12"/>
        <color indexed="8"/>
        <rFont val="Arial"/>
        <family val="2"/>
        <charset val="204"/>
      </rPr>
      <t>602100031 Белый Прямой</t>
    </r>
    <r>
      <rPr>
        <sz val="12"/>
        <color indexed="8"/>
        <rFont val="Arial"/>
        <family val="2"/>
        <charset val="204"/>
      </rPr>
      <t>, 3/4 x М22x1,5 + 2 Ниппеля 1/2x3/4 Резьбовые соединения Для стальных труб белое GW M22x1,5 x GW 1/2. Производство Польша</t>
    </r>
  </si>
  <si>
    <r>
      <t xml:space="preserve">Узел подключения DUO-PLEX </t>
    </r>
    <r>
      <rPr>
        <b/>
        <sz val="12"/>
        <color indexed="8"/>
        <rFont val="Arial"/>
        <family val="2"/>
        <charset val="204"/>
      </rPr>
      <t>602100101 Черный Угловой</t>
    </r>
    <r>
      <rPr>
        <sz val="12"/>
        <color indexed="8"/>
        <rFont val="Arial"/>
        <family val="2"/>
        <charset val="204"/>
      </rPr>
      <t>, правый 3/4 x М22x1,5 + 2 Ниппеля 1/2x3/4 Резьбовые соединения.RAL9005 Для стальных труб GW M22x1,5 x GW 1/2. Производство Польша</t>
    </r>
  </si>
  <si>
    <r>
      <t xml:space="preserve">Узел подключения DUO-PLEX </t>
    </r>
    <r>
      <rPr>
        <b/>
        <sz val="12"/>
        <color indexed="8"/>
        <rFont val="Arial"/>
        <family val="2"/>
        <charset val="204"/>
      </rPr>
      <t>602100103 Черный Прямой</t>
    </r>
    <r>
      <rPr>
        <sz val="12"/>
        <color indexed="8"/>
        <rFont val="Arial"/>
        <family val="2"/>
        <charset val="204"/>
      </rPr>
      <t>, 3/4 x М22x1,5 + 2 Ниппеля 1/2x3/4 Резьбовые соединения.RAL9005 Для стальных труб GW M22x1,5 x GW 1/2. Производство Польша</t>
    </r>
  </si>
  <si>
    <t>Термостат с дистанционной настройкой Uni FHU с жидкостным чувствительным элементом, резьбовое соединение M 30 x 1,5, диапазон настройки можно ограничить и заблокировать посредством скрытых ограничителей, диапазон настройки 7-28 °C. Длина капиллярной трубки 2м. Производство Германия</t>
  </si>
  <si>
    <t>Тангенциальный вентилятор VITRON.30.248.220VAC-1I работающий на 220 вольтовом напряжении</t>
  </si>
  <si>
    <t>Тангенциальный вентилятор VITRON.30.354.24VDC-1I работающий на 24 вольтовом напряжении</t>
  </si>
  <si>
    <t>VITRON.30.354.24VDC-1I</t>
  </si>
  <si>
    <t>ВКВ.110.400.ХХХ.4ТГ.24V</t>
  </si>
  <si>
    <t>ВКВ</t>
  </si>
  <si>
    <t>ВК.200.200.ХХХ.4ТК</t>
  </si>
  <si>
    <t>ВК. ВКВ.ВК(ВКВ).. ВКВЭ. ВКЭ</t>
  </si>
  <si>
    <t>Монтажная крышка</t>
  </si>
  <si>
    <t>ВК. ВКВ.ВК(ВКВ).МАХ. ВКВЭ. ВКЭ</t>
  </si>
  <si>
    <t>за 1 м. пог.</t>
  </si>
  <si>
    <t>ВК.55.160.600.2ТГ</t>
  </si>
  <si>
    <t>ВК.55.160.650.2ТГ</t>
  </si>
  <si>
    <t>ВК.55.160.700.2ТГ</t>
  </si>
  <si>
    <t>ВК.55.160.750.2ТГ</t>
  </si>
  <si>
    <t>ВК.55.160.800.2ТГ</t>
  </si>
  <si>
    <t>ВК.55.160.850.2ТГ</t>
  </si>
  <si>
    <t>ВК.55.160.900.2ТГ</t>
  </si>
  <si>
    <t>ВК.55.160.950.2ТГ</t>
  </si>
  <si>
    <t>ВК.55.160.1000.2ТГ</t>
  </si>
  <si>
    <t>ВК.55.160.1050.2ТГ</t>
  </si>
  <si>
    <t>ВК.55.160.1100.2ТГ</t>
  </si>
  <si>
    <t>ВК.55.160.1150.2ТГ</t>
  </si>
  <si>
    <t>ВК.55.160.1200.2ТГ</t>
  </si>
  <si>
    <t>ВК.55.160.1250.2ТГ</t>
  </si>
  <si>
    <t>ВК.55.160.1300.2ТГ</t>
  </si>
  <si>
    <t>ВК.55.160.1350.2ТГ</t>
  </si>
  <si>
    <t>ВК.55.160.1400.2ТГ</t>
  </si>
  <si>
    <t>ВК.55.160.1450.2ТГ</t>
  </si>
  <si>
    <t>ВК.55.160.1500.2ТГ</t>
  </si>
  <si>
    <t>ВК.55.160.1550.2ТГ</t>
  </si>
  <si>
    <t>ВК.55.160.1600.2ТГ</t>
  </si>
  <si>
    <t>ВК.55.160.1650.2ТГ</t>
  </si>
  <si>
    <t>ВК.55.160.1700.2ТГ</t>
  </si>
  <si>
    <t>ВК.55.160.1750.2ТГ</t>
  </si>
  <si>
    <t>ВК.55.160.1800.2ТГ</t>
  </si>
  <si>
    <t>ВК.55.160.1850.2ТГ</t>
  </si>
  <si>
    <t>ВК.55.160.1900.2ТГ</t>
  </si>
  <si>
    <t>ВК.55.160.1950.2ТГ</t>
  </si>
  <si>
    <t>ВК.55.160.2000.2ТГ</t>
  </si>
  <si>
    <t>ВК.55.160.2050.2ТГ</t>
  </si>
  <si>
    <t>ВК.55.160.2100.2ТГ</t>
  </si>
  <si>
    <t>ВК.55.160.2150.2ТГ</t>
  </si>
  <si>
    <t>ВК.55.160.2200.2ТГ</t>
  </si>
  <si>
    <t>ВК.55.160.2250.2ТГ</t>
  </si>
  <si>
    <t>ВК.55.160.2300.2ТГ</t>
  </si>
  <si>
    <t>ВК.55.160.2350.2ТГ</t>
  </si>
  <si>
    <t>ВК.55.160.2400.2ТГ</t>
  </si>
  <si>
    <t>ВК.55.160.2450.2ТГ</t>
  </si>
  <si>
    <t>ВК.55.160.2500.2ТГ</t>
  </si>
  <si>
    <t>ВК.55.160.2550.2ТГ</t>
  </si>
  <si>
    <t>ВК.55.160.2600.2ТГ</t>
  </si>
  <si>
    <t>ВК.55.160.2650.2ТГ</t>
  </si>
  <si>
    <t>ВК.55.160.2700.2ТГ</t>
  </si>
  <si>
    <t>ВК.55.160.2750.2ТГ</t>
  </si>
  <si>
    <t>ВК.55.160.2800.2ТГ</t>
  </si>
  <si>
    <t>ВК.55.160.2850.2ТГ</t>
  </si>
  <si>
    <t>ВК.55.160.2900.2ТГ</t>
  </si>
  <si>
    <t>ВК.55.160.2950.2ТГ</t>
  </si>
  <si>
    <t>ВК.55.160.3000.2ТГ</t>
  </si>
  <si>
    <t>ВК.55.200.600.2ТГ</t>
  </si>
  <si>
    <t>ВК.55.200.650.2ТГ</t>
  </si>
  <si>
    <t>ВК.55.200.700.2ТГ</t>
  </si>
  <si>
    <t>ВК.55.200.750.2ТГ</t>
  </si>
  <si>
    <t>ВК.55.200.800.2ТГ</t>
  </si>
  <si>
    <t>ВК.55.200.850.2ТГ</t>
  </si>
  <si>
    <t>ВК.55.200.900.2ТГ</t>
  </si>
  <si>
    <t>ВК.55.200.950.2ТГ</t>
  </si>
  <si>
    <t>ВК.55.200.1000.2ТГ</t>
  </si>
  <si>
    <t>ВК.55.200.1050.2ТГ</t>
  </si>
  <si>
    <t>ВК.55.200.1100.2ТГ</t>
  </si>
  <si>
    <t>ВК.55.200.1150.2ТГ</t>
  </si>
  <si>
    <t>ВК.55.200.1200.2ТГ</t>
  </si>
  <si>
    <t>ВК.55.200.1250.2ТГ</t>
  </si>
  <si>
    <t>ВК.55.200.1300.2ТГ</t>
  </si>
  <si>
    <t>ВК.55.200.1350.2ТГ</t>
  </si>
  <si>
    <t>ВК.55.200.1400.2ТГ</t>
  </si>
  <si>
    <t>ВК.55.200.1450.2ТГ</t>
  </si>
  <si>
    <t>ВК.55.200.1500.2ТГ</t>
  </si>
  <si>
    <t>ВК.55.200.1550.2ТГ</t>
  </si>
  <si>
    <t>ВК.55.200.1600.2ТГ</t>
  </si>
  <si>
    <t>ВК.55.200.1650.2ТГ</t>
  </si>
  <si>
    <t>ВК.55.200.1700.2ТГ</t>
  </si>
  <si>
    <t>ВК.55.200.1750.2ТГ</t>
  </si>
  <si>
    <t>ВК.55.200.1800.2ТГ</t>
  </si>
  <si>
    <t>ВК.55.200.1850.2ТГ</t>
  </si>
  <si>
    <t>ВК.55.200.1900.2ТГ</t>
  </si>
  <si>
    <t>ВК.55.200.1950.2ТГ</t>
  </si>
  <si>
    <t>ВК.55.200.2000.2ТГ</t>
  </si>
  <si>
    <t>ВК.55.200.2050.2ТГ</t>
  </si>
  <si>
    <t>ВК.55.200.2100.2ТГ</t>
  </si>
  <si>
    <t>ВК.55.200.2150.2ТГ</t>
  </si>
  <si>
    <t>ВК.55.200.2200.2ТГ</t>
  </si>
  <si>
    <t>ВК.55.200.2250.2ТГ</t>
  </si>
  <si>
    <t>ВК.55.200.2300.2ТГ</t>
  </si>
  <si>
    <t>ВК.55.200.2350.2ТГ</t>
  </si>
  <si>
    <t>ВК.55.200.2400.2ТГ</t>
  </si>
  <si>
    <t>ВК.55.200.2450.2ТГ</t>
  </si>
  <si>
    <t>ВК.55.200.2500.2ТГ</t>
  </si>
  <si>
    <t>ВК.55.200.2550.2ТГ</t>
  </si>
  <si>
    <t>ВК.55.200.2600.2ТГ</t>
  </si>
  <si>
    <t>ВК.55.200.2650.2ТГ</t>
  </si>
  <si>
    <t>ВК.55.200.2700.2ТГ</t>
  </si>
  <si>
    <t>ВК.55.200.2750.2ТГ</t>
  </si>
  <si>
    <t>ВК.55.200.2800.2ТГ</t>
  </si>
  <si>
    <t>ВК.55.200.2850.2ТГ</t>
  </si>
  <si>
    <t>ВК.55.200.2900.2ТГ</t>
  </si>
  <si>
    <t>ВК.55.200.2950.2ТГ</t>
  </si>
  <si>
    <t>ВК.55.200.3000.2ТГ</t>
  </si>
  <si>
    <t>ВК.55.260.600.2ТГ</t>
  </si>
  <si>
    <t>ВК.55.260.650.2ТГ</t>
  </si>
  <si>
    <t>ВК.55.260.700.2ТГ</t>
  </si>
  <si>
    <t>ВК.55.260.750.2ТГ</t>
  </si>
  <si>
    <t>ВК.55.260.800.2ТГ</t>
  </si>
  <si>
    <t>ВК.55.260.850.2ТГ</t>
  </si>
  <si>
    <t>ВК.55.260.900.2ТГ</t>
  </si>
  <si>
    <t>ВК.55.260.950.2ТГ</t>
  </si>
  <si>
    <t>ВК.55.260.1000.2ТГ</t>
  </si>
  <si>
    <t>ВК.55.260.1050.2ТГ</t>
  </si>
  <si>
    <t>ВК.55.260.1100.2ТГ</t>
  </si>
  <si>
    <t>ВК.55.260.1150.2ТГ</t>
  </si>
  <si>
    <t>ВК.55.260.1200.2ТГ</t>
  </si>
  <si>
    <t>ВК.55.260.1250.2ТГ</t>
  </si>
  <si>
    <t>ВК.55.260.1300.2ТГ</t>
  </si>
  <si>
    <t>ВК.55.260.1350.2ТГ</t>
  </si>
  <si>
    <t>ВК.55.260.1400.2ТГ</t>
  </si>
  <si>
    <t>ВК.55.260.1450.2ТГ</t>
  </si>
  <si>
    <t>ВК.55.260.1500.2ТГ</t>
  </si>
  <si>
    <t>ВК.55.260.1550.2ТГ</t>
  </si>
  <si>
    <t>ВК.55.260.1600.2ТГ</t>
  </si>
  <si>
    <t>ВК.55.260.1650.2ТГ</t>
  </si>
  <si>
    <t>ВК.55.260.1700.2ТГ</t>
  </si>
  <si>
    <t>ВК.55.260.1750.2ТГ</t>
  </si>
  <si>
    <t>ВК.55.260.1800.2ТГ</t>
  </si>
  <si>
    <t>ВК.55.260.1850.2ТГ</t>
  </si>
  <si>
    <t>ВК.55.260.1900.2ТГ</t>
  </si>
  <si>
    <t>ВК.55.260.1950.2ТГ</t>
  </si>
  <si>
    <t>ВК.55.260.2000.2ТГ</t>
  </si>
  <si>
    <t>ВК.55.260.2050.2ТГ</t>
  </si>
  <si>
    <t>ВК.55.260.2100.2ТГ</t>
  </si>
  <si>
    <t>ВК.55.260.2150.2ТГ</t>
  </si>
  <si>
    <t>ВК.55.260.2200.2ТГ</t>
  </si>
  <si>
    <t>ВК.55.260.2250.2ТГ</t>
  </si>
  <si>
    <t>ВК.55.260.2300.2ТГ</t>
  </si>
  <si>
    <t>ВК.55.260.2350.2ТГ</t>
  </si>
  <si>
    <t>ВК.55.260.2400.2ТГ</t>
  </si>
  <si>
    <t>ВК.55.260.2450.2ТГ</t>
  </si>
  <si>
    <t>ВК.55.260.2500.2ТГ</t>
  </si>
  <si>
    <t>ВК.55.260.2550.2ТГ</t>
  </si>
  <si>
    <t>ВК.55.260.2600.2ТГ</t>
  </si>
  <si>
    <t>ВК.55.260.2650.2ТГ</t>
  </si>
  <si>
    <t>ВК.55.260.2700.2ТГ</t>
  </si>
  <si>
    <t>ВК.55.260.2750.2ТГ</t>
  </si>
  <si>
    <t>ВК.55.260.2800.2ТГ</t>
  </si>
  <si>
    <t>ВК.55.260.2850.2ТГ</t>
  </si>
  <si>
    <t>ВК.55.260.2900.2ТГ</t>
  </si>
  <si>
    <t>ВК.55.260.2950.2ТГ</t>
  </si>
  <si>
    <t>ВК.55.260.3000.2ТГ</t>
  </si>
  <si>
    <t>ВК.55.300.600.2ТГ</t>
  </si>
  <si>
    <t>ВК.55.300.650.2ТГ</t>
  </si>
  <si>
    <t>ВК.55.300.700.2ТГ</t>
  </si>
  <si>
    <t>ВК.55.300.750.2ТГ</t>
  </si>
  <si>
    <t>ВК.55.300.800.2ТГ</t>
  </si>
  <si>
    <t>ВК.55.300.850.2ТГ</t>
  </si>
  <si>
    <t>ВК.55.300.900.2ТГ</t>
  </si>
  <si>
    <t>ВК.55.300.950.2ТГ</t>
  </si>
  <si>
    <t>ВК.55.300.1000.2ТГ</t>
  </si>
  <si>
    <t>ВК.55.300.1050.2ТГ</t>
  </si>
  <si>
    <t>ВК.55.300.1100.2ТГ</t>
  </si>
  <si>
    <t>ВК.55.300.1150.2ТГ</t>
  </si>
  <si>
    <t>ВК.55.300.1200.2ТГ</t>
  </si>
  <si>
    <t>ВК.55.300.1250.2ТГ</t>
  </si>
  <si>
    <t>ВК.55.300.1300.2ТГ</t>
  </si>
  <si>
    <t>ВК.55.300.1350.2ТГ</t>
  </si>
  <si>
    <t>ВК.55.300.1400.2ТГ</t>
  </si>
  <si>
    <t>ВК.55.300.1450.2ТГ</t>
  </si>
  <si>
    <t>ВК.55.300.1500.2ТГ</t>
  </si>
  <si>
    <t>ВК.55.300.1550.2ТГ</t>
  </si>
  <si>
    <t>ВК.55.300.1600.2ТГ</t>
  </si>
  <si>
    <t>ВК.55.300.1650.2ТГ</t>
  </si>
  <si>
    <t>ВК.55.300.1700.2ТГ</t>
  </si>
  <si>
    <t>ВК.55.300.1750.2ТГ</t>
  </si>
  <si>
    <t>ВК.55.300.1800.2ТГ</t>
  </si>
  <si>
    <t>ВК.55.300.1850.2ТГ</t>
  </si>
  <si>
    <t>ВК.55.300.1900.2ТГ</t>
  </si>
  <si>
    <t>ВК.55.300.1950.2ТГ</t>
  </si>
  <si>
    <t>ВК.55.300.2000.2ТГ</t>
  </si>
  <si>
    <t>ВК.55.300.2050.2ТГ</t>
  </si>
  <si>
    <t>ВК.55.300.2100.2ТГ</t>
  </si>
  <si>
    <t>ВК.55.300.2150.2ТГ</t>
  </si>
  <si>
    <t>ВК.55.300.2200.2ТГ</t>
  </si>
  <si>
    <t>ВК.55.300.2250.2ТГ</t>
  </si>
  <si>
    <t>ВК.55.300.2300.2ТГ</t>
  </si>
  <si>
    <t>ВК.55.300.2350.2ТГ</t>
  </si>
  <si>
    <t>ВК.55.300.2400.2ТГ</t>
  </si>
  <si>
    <t>ВК.55.300.2450.2ТГ</t>
  </si>
  <si>
    <t>ВК.55.300.2500.2ТГ</t>
  </si>
  <si>
    <t>ВК.55.300.2550.2ТГ</t>
  </si>
  <si>
    <t>ВК.55.300.2600.2ТГ</t>
  </si>
  <si>
    <t>ВК.55.300.2650.2ТГ</t>
  </si>
  <si>
    <t>ВК.55.300.2700.2ТГ</t>
  </si>
  <si>
    <t>ВК.55.300.2750.2ТГ</t>
  </si>
  <si>
    <t>ВК.55.300.2800.2ТГ</t>
  </si>
  <si>
    <t>ВК.55.300.2850.2ТГ</t>
  </si>
  <si>
    <t>ВК.55.300.2900.2ТГ</t>
  </si>
  <si>
    <t>ВК.55.300.2950.2ТГ</t>
  </si>
  <si>
    <t>ВК.55.300.3000.2ТГ</t>
  </si>
  <si>
    <t>ВК.55.300.600.4ТГ</t>
  </si>
  <si>
    <t>ВК.55.300.650.4ТГ</t>
  </si>
  <si>
    <t>ВК.55.300.700.4ТГ</t>
  </si>
  <si>
    <t>ВК.55.300.750.4ТГ</t>
  </si>
  <si>
    <t>ВК.55.300.800.4ТГ</t>
  </si>
  <si>
    <t>ВК.55.300.850.4ТГ</t>
  </si>
  <si>
    <t>ВК.55.300.900.4ТГ</t>
  </si>
  <si>
    <t>ВК.55.300.950.4ТГ</t>
  </si>
  <si>
    <t>ВК.55.300.1000.4ТГ</t>
  </si>
  <si>
    <t>ВК.55.300.1050.4ТГ</t>
  </si>
  <si>
    <t>ВК.55.300.1100.4ТГ</t>
  </si>
  <si>
    <t>ВК.55.300.1150.4ТГ</t>
  </si>
  <si>
    <t>ВК.55.300.1200.4ТГ</t>
  </si>
  <si>
    <t>ВК.55.300.1250.4ТГ</t>
  </si>
  <si>
    <t>ВК.55.300.1300.4ТГ</t>
  </si>
  <si>
    <t>ВК.55.300.1350.4ТГ</t>
  </si>
  <si>
    <t>ВК.55.300.1400.4ТГ</t>
  </si>
  <si>
    <t>ВК.55.300.1450.4ТГ</t>
  </si>
  <si>
    <t>ВК.55.300.1500.4ТГ</t>
  </si>
  <si>
    <t>ВК.55.300.1550.4ТГ</t>
  </si>
  <si>
    <t>ВК.55.300.1600.4ТГ</t>
  </si>
  <si>
    <t>ВК.55.300.1650.4ТГ</t>
  </si>
  <si>
    <t>ВК.55.300.1700.4ТГ</t>
  </si>
  <si>
    <t>ВК.55.300.1750.4ТГ</t>
  </si>
  <si>
    <t>ВК.55.300.1800.4ТГ</t>
  </si>
  <si>
    <t>ВК.55.300.1850.4ТГ</t>
  </si>
  <si>
    <t>ВК.55.300.1900.4ТГ</t>
  </si>
  <si>
    <t>ВК.55.300.1950.4ТГ</t>
  </si>
  <si>
    <t>ВК.55.300.2000.4ТГ</t>
  </si>
  <si>
    <t>ВК.55.300.2050.4ТГ</t>
  </si>
  <si>
    <t>ВК.55.300.2100.4ТГ</t>
  </si>
  <si>
    <t>ВК.55.300.2150.4ТГ</t>
  </si>
  <si>
    <t>ВК.55.300.2200.4ТГ</t>
  </si>
  <si>
    <t>ВК.55.300.2250.4ТГ</t>
  </si>
  <si>
    <t>ВК.55.300.2300.4ТГ</t>
  </si>
  <si>
    <t>ВК.55.300.2350.4ТГ</t>
  </si>
  <si>
    <t>ВК.55.300.2400.4ТГ</t>
  </si>
  <si>
    <t>ВК.55.300.2450.4ТГ</t>
  </si>
  <si>
    <t>ВК.55.300.2500.4ТГ</t>
  </si>
  <si>
    <t>ВК.55.300.2550.4ТГ</t>
  </si>
  <si>
    <t>ВК.55.300.2600.4ТГ</t>
  </si>
  <si>
    <t>ВК.55.300.2650.4ТГ</t>
  </si>
  <si>
    <t>ВК.55.300.2700.4ТГ</t>
  </si>
  <si>
    <t>ВК.55.300.2750.4ТГ</t>
  </si>
  <si>
    <t>ВК.55.300.2800.4ТГ</t>
  </si>
  <si>
    <t>ВК.55.300.2850.4ТГ</t>
  </si>
  <si>
    <t>ВК.55.300.2900.4ТГ</t>
  </si>
  <si>
    <t>ВК.55.300.2950.4ТГ</t>
  </si>
  <si>
    <t>ВК.55.300.3000.4ТГ</t>
  </si>
  <si>
    <t>ВК.65.160.600.2ТГ</t>
  </si>
  <si>
    <t>ВК.65.160.650.2ТГ</t>
  </si>
  <si>
    <t>ВК.65.160.700.2ТГ</t>
  </si>
  <si>
    <t>ВК.65.160.750.2ТГ</t>
  </si>
  <si>
    <t>ВК.65.160.800.2ТГ</t>
  </si>
  <si>
    <t>ВК.65.160.850.2ТГ</t>
  </si>
  <si>
    <t>ВК.65.160.900.2ТГ</t>
  </si>
  <si>
    <t>ВК.65.160.950.2ТГ</t>
  </si>
  <si>
    <t>ВК.65.160.1000.2ТГ</t>
  </si>
  <si>
    <t>ВК.65.160.1050.2ТГ</t>
  </si>
  <si>
    <t>ВК.65.160.1100.2ТГ</t>
  </si>
  <si>
    <t>ВК.65.160.1150.2ТГ</t>
  </si>
  <si>
    <t>ВК.65.160.1200.2ТГ</t>
  </si>
  <si>
    <t>ВК.65.160.1250.2ТГ</t>
  </si>
  <si>
    <t>ВК.65.160.1300.2ТГ</t>
  </si>
  <si>
    <t>ВК.65.160.1350.2ТГ</t>
  </si>
  <si>
    <t>ВК.65.160.1400.2ТГ</t>
  </si>
  <si>
    <t>ВК.65.160.1450.2ТГ</t>
  </si>
  <si>
    <t>ВК.65.160.1500.2ТГ</t>
  </si>
  <si>
    <t>ВК.65.160.1550.2ТГ</t>
  </si>
  <si>
    <t>ВК.65.160.1600.2ТГ</t>
  </si>
  <si>
    <t>ВК.65.160.1650.2ТГ</t>
  </si>
  <si>
    <t>ВК.65.160.1700.2ТГ</t>
  </si>
  <si>
    <t>ВК.65.160.1750.2ТГ</t>
  </si>
  <si>
    <t>ВК.65.160.1800.2ТГ</t>
  </si>
  <si>
    <t>ВК.65.160.1850.2ТГ</t>
  </si>
  <si>
    <t>ВК.65.160.1900.2ТГ</t>
  </si>
  <si>
    <t>ВК.65.160.1950.2ТГ</t>
  </si>
  <si>
    <t>ВК.65.160.2000.2ТГ</t>
  </si>
  <si>
    <t>ВК.65.160.2050.2ТГ</t>
  </si>
  <si>
    <t>ВК.65.160.2100.2ТГ</t>
  </si>
  <si>
    <t>ВК.65.160.2150.2ТГ</t>
  </si>
  <si>
    <t>ВК.65.160.2200.2ТГ</t>
  </si>
  <si>
    <t>ВК.65.160.2250.2ТГ</t>
  </si>
  <si>
    <t>ВК.65.160.2300.2ТГ</t>
  </si>
  <si>
    <t>ВК.65.160.2350.2ТГ</t>
  </si>
  <si>
    <t>ВК.65.160.2400.2ТГ</t>
  </si>
  <si>
    <t>ВК.65.160.2450.2ТГ</t>
  </si>
  <si>
    <t>ВК.65.160.2500.2ТГ</t>
  </si>
  <si>
    <t>ВК.65.160.2550.2ТГ</t>
  </si>
  <si>
    <t>ВК.65.160.2600.2ТГ</t>
  </si>
  <si>
    <t>ВК.65.160.2650.2ТГ</t>
  </si>
  <si>
    <t>ВК.65.160.2700.2ТГ</t>
  </si>
  <si>
    <t>ВК.65.160.2750.2ТГ</t>
  </si>
  <si>
    <t>ВК.65.160.2800.2ТГ</t>
  </si>
  <si>
    <t>ВК.65.160.2850.2ТГ</t>
  </si>
  <si>
    <t>ВК.65.160.2900.2ТГ</t>
  </si>
  <si>
    <t>ВК.65.160.2950.2ТГ</t>
  </si>
  <si>
    <t>ВК.65.160.3000.2ТГ</t>
  </si>
  <si>
    <t>ВК.65.200.600.2ТГ</t>
  </si>
  <si>
    <t>ВК.65.200.650.2ТГ</t>
  </si>
  <si>
    <t>ВК.65.200.700.2ТГ</t>
  </si>
  <si>
    <t>ВК.65.200.750.2ТГ</t>
  </si>
  <si>
    <t>ВК.65.200.800.2ТГ</t>
  </si>
  <si>
    <t>ВК.65.200.850.2ТГ</t>
  </si>
  <si>
    <t>ВК.65.200.900.2ТГ</t>
  </si>
  <si>
    <t>ВК.65.200.950.2ТГ</t>
  </si>
  <si>
    <t>ВК.65.200.1000.2ТГ</t>
  </si>
  <si>
    <t>ВК.65.200.1050.2ТГ</t>
  </si>
  <si>
    <t>ВК.65.200.1100.2ТГ</t>
  </si>
  <si>
    <t>ВК.65.200.1150.2ТГ</t>
  </si>
  <si>
    <t>ВК.65.200.1200.2ТГ</t>
  </si>
  <si>
    <t>ВК.65.200.1250.2ТГ</t>
  </si>
  <si>
    <t>ВК.65.200.1300.2ТГ</t>
  </si>
  <si>
    <t>ВК.65.200.1350.2ТГ</t>
  </si>
  <si>
    <t>ВК.65.200.1400.2ТГ</t>
  </si>
  <si>
    <t>ВК.65.200.1450.2ТГ</t>
  </si>
  <si>
    <t>ВК.65.200.1500.2ТГ</t>
  </si>
  <si>
    <t>ВК.65.200.1550.2ТГ</t>
  </si>
  <si>
    <t>ВК.65.200.1600.2ТГ</t>
  </si>
  <si>
    <t>ВК.65.200.1650.2ТГ</t>
  </si>
  <si>
    <t>ВК.65.200.1700.2ТГ</t>
  </si>
  <si>
    <t>ВК.65.200.1750.2ТГ</t>
  </si>
  <si>
    <t>ВК.65.200.1800.2ТГ</t>
  </si>
  <si>
    <t>ВК.65.200.1850.2ТГ</t>
  </si>
  <si>
    <t>ВК.65.200.1900.2ТГ</t>
  </si>
  <si>
    <t>ВК.65.200.1950.2ТГ</t>
  </si>
  <si>
    <t>ВК.65.200.2000.2ТГ</t>
  </si>
  <si>
    <t>ВК.65.200.2050.2ТГ</t>
  </si>
  <si>
    <t>ВК.65.200.2100.2ТГ</t>
  </si>
  <si>
    <t>ВК.65.200.2150.2ТГ</t>
  </si>
  <si>
    <t>ВК.65.200.2200.2ТГ</t>
  </si>
  <si>
    <t>ВК.65.200.2250.2ТГ</t>
  </si>
  <si>
    <t>ВК.65.200.2300.2ТГ</t>
  </si>
  <si>
    <t>ВК.65.200.2350.2ТГ</t>
  </si>
  <si>
    <t>ВК.65.200.2400.2ТГ</t>
  </si>
  <si>
    <t>ВК.65.200.2450.2ТГ</t>
  </si>
  <si>
    <t>ВК.65.200.2500.2ТГ</t>
  </si>
  <si>
    <t>ВК.65.200.2550.2ТГ</t>
  </si>
  <si>
    <t>ВК.65.200.2600.2ТГ</t>
  </si>
  <si>
    <t>ВК.65.200.2650.2ТГ</t>
  </si>
  <si>
    <t>ВК.65.200.2700.2ТГ</t>
  </si>
  <si>
    <t>ВК.65.200.2750.2ТГ</t>
  </si>
  <si>
    <t>ВК.65.200.2800.2ТГ</t>
  </si>
  <si>
    <t>ВК.65.200.2850.2ТГ</t>
  </si>
  <si>
    <t>ВК.65.200.2900.2ТГ</t>
  </si>
  <si>
    <t>ВК.65.200.2950.2ТГ</t>
  </si>
  <si>
    <t>ВК.65.200.3000.2ТГ</t>
  </si>
  <si>
    <t>ВК.65.260.600.2ТГ</t>
  </si>
  <si>
    <t>ВК.65.260.650.2ТГ</t>
  </si>
  <si>
    <t>ВК.65.260.700.2ТГ</t>
  </si>
  <si>
    <t>ВК.65.260.750.2ТГ</t>
  </si>
  <si>
    <t>ВК.65.260.800.2ТГ</t>
  </si>
  <si>
    <t>ВК.65.260.850.2ТГ</t>
  </si>
  <si>
    <t>ВК.65.260.900.2ТГ</t>
  </si>
  <si>
    <t>ВК.65.260.950.2ТГ</t>
  </si>
  <si>
    <t>ВК.65.260.1000.2ТГ</t>
  </si>
  <si>
    <t>ВК.65.260.1050.2ТГ</t>
  </si>
  <si>
    <t>ВК.65.260.1100.2ТГ</t>
  </si>
  <si>
    <t>ВК.65.260.1150.2ТГ</t>
  </si>
  <si>
    <t>ВК.65.260.1200.2ТГ</t>
  </si>
  <si>
    <t>ВК.65.260.1250.2ТГ</t>
  </si>
  <si>
    <t>ВК.65.260.1300.2ТГ</t>
  </si>
  <si>
    <t>ВК.65.260.1350.2ТГ</t>
  </si>
  <si>
    <t>ВК.65.260.1400.2ТГ</t>
  </si>
  <si>
    <t>ВК.65.260.1450.2ТГ</t>
  </si>
  <si>
    <t>ВК.65.260.1500.2ТГ</t>
  </si>
  <si>
    <t>ВК.65.260.1550.2ТГ</t>
  </si>
  <si>
    <t>ВК.65.260.1600.2ТГ</t>
  </si>
  <si>
    <t>ВК.65.260.1650.2ТГ</t>
  </si>
  <si>
    <t>ВК.65.260.1700.2ТГ</t>
  </si>
  <si>
    <t>ВК.65.260.1750.2ТГ</t>
  </si>
  <si>
    <t>ВК.65.260.1800.2ТГ</t>
  </si>
  <si>
    <t>ВК.65.260.1850.2ТГ</t>
  </si>
  <si>
    <t>ВК.65.260.1900.2ТГ</t>
  </si>
  <si>
    <t>ВК.65.260.1950.2ТГ</t>
  </si>
  <si>
    <t>ВК.65.260.2000.2ТГ</t>
  </si>
  <si>
    <t>ВК.65.260.2050.2ТГ</t>
  </si>
  <si>
    <t>ВК.65.260.2100.2ТГ</t>
  </si>
  <si>
    <t>ВК.65.260.2150.2ТГ</t>
  </si>
  <si>
    <t>ВК.65.260.2200.2ТГ</t>
  </si>
  <si>
    <t>ВК.65.260.2250.2ТГ</t>
  </si>
  <si>
    <t>ВК.65.260.2300.2ТГ</t>
  </si>
  <si>
    <t>ВК.65.260.2350.2ТГ</t>
  </si>
  <si>
    <t>ВК.65.260.2400.2ТГ</t>
  </si>
  <si>
    <t>ВК.65.260.2450.2ТГ</t>
  </si>
  <si>
    <t>ВК.65.260.2500.2ТГ</t>
  </si>
  <si>
    <t>ВК.65.260.2550.2ТГ</t>
  </si>
  <si>
    <t>ВК.65.260.2600.2ТГ</t>
  </si>
  <si>
    <t>ВК.65.260.2650.2ТГ</t>
  </si>
  <si>
    <t>ВК.65.260.2700.2ТГ</t>
  </si>
  <si>
    <t>ВК.65.260.2750.2ТГ</t>
  </si>
  <si>
    <t>ВК.65.260.2800.2ТГ</t>
  </si>
  <si>
    <t>ВК.65.260.2850.2ТГ</t>
  </si>
  <si>
    <t>ВК.65.260.2900.2ТГ</t>
  </si>
  <si>
    <t>ВК.65.260.2950.2ТГ</t>
  </si>
  <si>
    <t>ВК.65.260.3000.2ТГ</t>
  </si>
  <si>
    <t>ВК.65.300.600.2ТГ</t>
  </si>
  <si>
    <t>ВК.65.300.650.2ТГ</t>
  </si>
  <si>
    <t>ВК.65.300.700.2ТГ</t>
  </si>
  <si>
    <t>ВК.65.300.750.2ТГ</t>
  </si>
  <si>
    <t>ВК.65.300.800.2ТГ</t>
  </si>
  <si>
    <t>ВК.65.300.850.2ТГ</t>
  </si>
  <si>
    <t>ВК.65.300.900.2ТГ</t>
  </si>
  <si>
    <t>ВК.65.300.950.2ТГ</t>
  </si>
  <si>
    <t>ВК.65.300.1000.2ТГ</t>
  </si>
  <si>
    <t>ВК.65.300.1050.2ТГ</t>
  </si>
  <si>
    <t>ВК.65.300.1100.2ТГ</t>
  </si>
  <si>
    <t>ВК.65.300.1150.2ТГ</t>
  </si>
  <si>
    <t>ВК.65.300.1200.2ТГ</t>
  </si>
  <si>
    <t>ВК.65.300.1250.2ТГ</t>
  </si>
  <si>
    <t>ВК.65.300.1300.2ТГ</t>
  </si>
  <si>
    <t>ВК.65.300.1350.2ТГ</t>
  </si>
  <si>
    <t>ВК.65.300.1400.2ТГ</t>
  </si>
  <si>
    <t>ВК.65.300.1450.2ТГ</t>
  </si>
  <si>
    <t>ВК.65.300.1500.2ТГ</t>
  </si>
  <si>
    <t>ВК.65.300.1550.2ТГ</t>
  </si>
  <si>
    <t>ВК.65.300.1600.2ТГ</t>
  </si>
  <si>
    <t>ВК.65.300.1650.2ТГ</t>
  </si>
  <si>
    <t>ВК.65.300.1700.2ТГ</t>
  </si>
  <si>
    <t>ВК.65.300.1750.2ТГ</t>
  </si>
  <si>
    <t>ВК.65.300.1800.2ТГ</t>
  </si>
  <si>
    <t>ВК.65.300.1850.2ТГ</t>
  </si>
  <si>
    <t>ВК.65.300.1900.2ТГ</t>
  </si>
  <si>
    <t>ВК.65.300.1950.2ТГ</t>
  </si>
  <si>
    <t>ВК.65.300.2000.2ТГ</t>
  </si>
  <si>
    <t>ВК.65.300.2050.2ТГ</t>
  </si>
  <si>
    <t>ВК.65.300.2100.2ТГ</t>
  </si>
  <si>
    <t>ВК.65.300.2150.2ТГ</t>
  </si>
  <si>
    <t>ВК.65.300.2200.2ТГ</t>
  </si>
  <si>
    <t>ВК.65.300.2250.2ТГ</t>
  </si>
  <si>
    <t>ВК.65.300.2300.2ТГ</t>
  </si>
  <si>
    <t>ВК.65.300.2350.2ТГ</t>
  </si>
  <si>
    <t>ВК.65.300.2400.2ТГ</t>
  </si>
  <si>
    <t>ВК.65.300.2450.2ТГ</t>
  </si>
  <si>
    <t>ВК.65.300.2500.2ТГ</t>
  </si>
  <si>
    <t>ВК.65.300.2550.2ТГ</t>
  </si>
  <si>
    <t>ВК.65.300.2600.2ТГ</t>
  </si>
  <si>
    <t>ВК.65.300.2650.2ТГ</t>
  </si>
  <si>
    <t>ВК.65.300.2700.2ТГ</t>
  </si>
  <si>
    <t>ВК.65.300.2750.2ТГ</t>
  </si>
  <si>
    <t>ВК.65.300.2800.2ТГ</t>
  </si>
  <si>
    <t>ВК.65.300.2850.2ТГ</t>
  </si>
  <si>
    <t>ВК.65.300.2900.2ТГ</t>
  </si>
  <si>
    <t>ВК.65.300.2950.2ТГ</t>
  </si>
  <si>
    <t>ВК.65.300.3000.2ТГ</t>
  </si>
  <si>
    <t>ВК.65.300.600.4ТГ</t>
  </si>
  <si>
    <t>ВК.65.300.650.4ТГ</t>
  </si>
  <si>
    <t>ВК.65.300.700.4ТГ</t>
  </si>
  <si>
    <t>ВК.65.300.750.4ТГ</t>
  </si>
  <si>
    <t>ВК.65.300.800.4ТГ</t>
  </si>
  <si>
    <t>ВК.65.300.850.4ТГ</t>
  </si>
  <si>
    <t>ВК.65.300.900.4ТГ</t>
  </si>
  <si>
    <t>ВК.65.300.950.4ТГ</t>
  </si>
  <si>
    <t>ВК.65.300.1000.4ТГ</t>
  </si>
  <si>
    <t>ВК.65.300.1050.4ТГ</t>
  </si>
  <si>
    <t>ВК.65.300.1100.4ТГ</t>
  </si>
  <si>
    <t>ВК.65.300.1150.4ТГ</t>
  </si>
  <si>
    <t>ВК.65.300.1200.4ТГ</t>
  </si>
  <si>
    <t>ВК.65.300.1250.4ТГ</t>
  </si>
  <si>
    <t>ВК.65.300.1300.4ТГ</t>
  </si>
  <si>
    <t>ВК.65.300.1350.4ТГ</t>
  </si>
  <si>
    <t>ВК.65.300.1400.4ТГ</t>
  </si>
  <si>
    <t>ВК.65.300.1450.4ТГ</t>
  </si>
  <si>
    <t>ВК.65.300.1500.4ТГ</t>
  </si>
  <si>
    <t>ВК.65.300.1550.4ТГ</t>
  </si>
  <si>
    <t>ВК.65.300.1600.4ТГ</t>
  </si>
  <si>
    <t>ВК.65.300.1650.4ТГ</t>
  </si>
  <si>
    <t>ВК.65.300.1700.4ТГ</t>
  </si>
  <si>
    <t>ВК.65.300.1750.4ТГ</t>
  </si>
  <si>
    <t>ВК.65.300.1800.4ТГ</t>
  </si>
  <si>
    <t>ВК.65.300.1850.4ТГ</t>
  </si>
  <si>
    <t>ВК.65.300.1900.4ТГ</t>
  </si>
  <si>
    <t>ВК.65.300.1950.4ТГ</t>
  </si>
  <si>
    <t>ВК.65.300.2000.4ТГ</t>
  </si>
  <si>
    <t>ВК.65.300.2050.4ТГ</t>
  </si>
  <si>
    <t>ВК.65.300.2100.4ТГ</t>
  </si>
  <si>
    <t>ВК.65.300.2150.4ТГ</t>
  </si>
  <si>
    <t>ВК.65.300.2200.4ТГ</t>
  </si>
  <si>
    <t>ВК.65.300.2250.4ТГ</t>
  </si>
  <si>
    <t>ВК.65.300.2300.4ТГ</t>
  </si>
  <si>
    <t>ВК.65.300.2350.4ТГ</t>
  </si>
  <si>
    <t>ВК.65.300.2400.4ТГ</t>
  </si>
  <si>
    <t>ВК.65.300.2450.4ТГ</t>
  </si>
  <si>
    <t>ВК.65.300.2500.4ТГ</t>
  </si>
  <si>
    <t>ВК.65.300.2550.4ТГ</t>
  </si>
  <si>
    <t>ВК.65.300.2600.4ТГ</t>
  </si>
  <si>
    <t>ВК.65.300.2650.4ТГ</t>
  </si>
  <si>
    <t>ВК.65.300.2700.4ТГ</t>
  </si>
  <si>
    <t>ВК.65.300.2750.4ТГ</t>
  </si>
  <si>
    <t>ВК.65.300.2800.4ТГ</t>
  </si>
  <si>
    <t>ВК.65.300.2850.4ТГ</t>
  </si>
  <si>
    <t>ВК.65.300.2900.4ТГ</t>
  </si>
  <si>
    <t>ВК.65.300.2950.4ТГ</t>
  </si>
  <si>
    <t>ВК.65.300.3000.4ТГ</t>
  </si>
  <si>
    <t>ВК.70.160.600.2ТГ</t>
  </si>
  <si>
    <t>ВК.70.160.650.2ТГ</t>
  </si>
  <si>
    <t>ВК.70.160.700.2ТГ</t>
  </si>
  <si>
    <t>ВК.70.160.750.2ТГ</t>
  </si>
  <si>
    <t>ВК.70.160.800.2ТГ</t>
  </si>
  <si>
    <t>ВК.70.160.850.2ТГ</t>
  </si>
  <si>
    <t>ВК.70.160.900.2ТГ</t>
  </si>
  <si>
    <t>ВК.70.160.950.2ТГ</t>
  </si>
  <si>
    <t>ВК.70.160.1000.2ТГ</t>
  </si>
  <si>
    <t>ВК.70.160.1050.2ТГ</t>
  </si>
  <si>
    <t>ВК.70.160.1100.2ТГ</t>
  </si>
  <si>
    <t>ВК.70.160.1150.2ТГ</t>
  </si>
  <si>
    <t>ВК.70.160.1200.2ТГ</t>
  </si>
  <si>
    <t>ВК.70.160.1250.2ТГ</t>
  </si>
  <si>
    <t>ВК.70.160.1300.2ТГ</t>
  </si>
  <si>
    <t>ВК.70.160.1350.2ТГ</t>
  </si>
  <si>
    <t>ВК.70.160.1400.2ТГ</t>
  </si>
  <si>
    <t>ВК.70.160.1450.2ТГ</t>
  </si>
  <si>
    <t>ВК.70.160.1500.2ТГ</t>
  </si>
  <si>
    <t>ВК.70.160.1550.2ТГ</t>
  </si>
  <si>
    <t>ВК.70.160.1600.2ТГ</t>
  </si>
  <si>
    <t>ВК.70.160.1650.2ТГ</t>
  </si>
  <si>
    <t>ВК.70.160.1700.2ТГ</t>
  </si>
  <si>
    <t>ВК.70.160.1750.2ТГ</t>
  </si>
  <si>
    <t>ВК.70.160.1800.2ТГ</t>
  </si>
  <si>
    <t>ВК.70.160.1850.2ТГ</t>
  </si>
  <si>
    <t>ВК.70.160.1900.2ТГ</t>
  </si>
  <si>
    <t>ВК.70.160.1950.2ТГ</t>
  </si>
  <si>
    <t>ВК.70.160.2000.2ТГ</t>
  </si>
  <si>
    <t>ВК.70.160.2050.2ТГ</t>
  </si>
  <si>
    <t>ВК.70.160.2100.2ТГ</t>
  </si>
  <si>
    <t>ВК.70.160.2150.2ТГ</t>
  </si>
  <si>
    <t>ВК.70.160.2200.2ТГ</t>
  </si>
  <si>
    <t>ВК.70.160.2250.2ТГ</t>
  </si>
  <si>
    <t>ВК.70.160.2300.2ТГ</t>
  </si>
  <si>
    <t>ВК.70.160.2350.2ТГ</t>
  </si>
  <si>
    <t>ВК.70.160.2400.2ТГ</t>
  </si>
  <si>
    <t>ВК.70.160.2450.2ТГ</t>
  </si>
  <si>
    <t>ВК.70.160.2500.2ТГ</t>
  </si>
  <si>
    <t>ВК.70.160.2550.2ТГ</t>
  </si>
  <si>
    <t>ВК.70.160.2600.2ТГ</t>
  </si>
  <si>
    <t>ВК.70.160.2650.2ТГ</t>
  </si>
  <si>
    <t>ВК.70.160.2700.2ТГ</t>
  </si>
  <si>
    <t>ВК.70.160.2750.2ТГ</t>
  </si>
  <si>
    <t>ВК.70.160.2800.2ТГ</t>
  </si>
  <si>
    <t>ВК.70.160.2850.2ТГ</t>
  </si>
  <si>
    <t>ВК.70.160.2900.2ТГ</t>
  </si>
  <si>
    <t>ВК.70.160.2950.2ТГ</t>
  </si>
  <si>
    <t>ВК.70.160.3000.2ТГ</t>
  </si>
  <si>
    <t>ВК.70.200.600.2ТГ</t>
  </si>
  <si>
    <t>ВК.70.200.650.2ТГ</t>
  </si>
  <si>
    <t>ВК.70.200.700.2ТГ</t>
  </si>
  <si>
    <t>ВК.70.200.750.2ТГ</t>
  </si>
  <si>
    <t>ВК.70.200.800.2ТГ</t>
  </si>
  <si>
    <t>ВК.70.200.850.2ТГ</t>
  </si>
  <si>
    <t>ВК.70.200.900.2ТГ</t>
  </si>
  <si>
    <t>ВК.70.200.950.2ТГ</t>
  </si>
  <si>
    <t>ВК.70.200.1000.2ТГ</t>
  </si>
  <si>
    <t>ВК.70.200.1050.2ТГ</t>
  </si>
  <si>
    <t>ВК.70.200.1100.2ТГ</t>
  </si>
  <si>
    <t>ВК.70.200.1150.2ТГ</t>
  </si>
  <si>
    <t>ВК.70.200.1200.2ТГ</t>
  </si>
  <si>
    <t>ВК.70.200.1250.2ТГ</t>
  </si>
  <si>
    <t>ВК.70.200.1300.2ТГ</t>
  </si>
  <si>
    <t>ВК.70.200.1350.2ТГ</t>
  </si>
  <si>
    <t>ВК.70.200.1400.2ТГ</t>
  </si>
  <si>
    <t>ВК.70.200.1450.2ТГ</t>
  </si>
  <si>
    <t>ВК.70.200.1500.2ТГ</t>
  </si>
  <si>
    <t>ВК.70.200.1550.2ТГ</t>
  </si>
  <si>
    <t>ВК.70.200.1600.2ТГ</t>
  </si>
  <si>
    <t>ВК.70.200.1650.2ТГ</t>
  </si>
  <si>
    <t>ВК.70.200.1700.2ТГ</t>
  </si>
  <si>
    <t>ВК.70.200.1750.2ТГ</t>
  </si>
  <si>
    <t>ВК.70.200.1800.2ТГ</t>
  </si>
  <si>
    <t>ВК.70.200.1850.2ТГ</t>
  </si>
  <si>
    <t>ВК.70.200.1900.2ТГ</t>
  </si>
  <si>
    <t>ВК.70.200.1950.2ТГ</t>
  </si>
  <si>
    <t>ВК.70.200.2000.2ТГ</t>
  </si>
  <si>
    <t>ВК.70.200.2050.2ТГ</t>
  </si>
  <si>
    <t>ВК.70.200.2100.2ТГ</t>
  </si>
  <si>
    <t>ВК.70.200.2150.2ТГ</t>
  </si>
  <si>
    <t>ВК.70.200.2200.2ТГ</t>
  </si>
  <si>
    <t>ВК.70.200.2250.2ТГ</t>
  </si>
  <si>
    <t>ВК.70.200.2300.2ТГ</t>
  </si>
  <si>
    <t>ВК.70.200.2350.2ТГ</t>
  </si>
  <si>
    <t>ВК.70.200.2400.2ТГ</t>
  </si>
  <si>
    <t>ВК.70.200.2450.2ТГ</t>
  </si>
  <si>
    <t>ВК.70.200.2500.2ТГ</t>
  </si>
  <si>
    <t>ВК.70.200.2550.2ТГ</t>
  </si>
  <si>
    <t>ВК.70.200.2600.2ТГ</t>
  </si>
  <si>
    <t>ВК.70.200.2650.2ТГ</t>
  </si>
  <si>
    <t>ВК.70.200.2700.2ТГ</t>
  </si>
  <si>
    <t>ВК.70.200.2750.2ТГ</t>
  </si>
  <si>
    <t>ВК.70.200.2800.2ТГ</t>
  </si>
  <si>
    <t>ВК.70.200.2850.2ТГ</t>
  </si>
  <si>
    <t>ВК.70.200.2900.2ТГ</t>
  </si>
  <si>
    <t>ВК.70.200.2950.2ТГ</t>
  </si>
  <si>
    <t>ВК.70.200.3000.2ТГ</t>
  </si>
  <si>
    <t>ВК.70.260.600.2ТГ</t>
  </si>
  <si>
    <t>ВК.70.260.650.2ТГ</t>
  </si>
  <si>
    <t>ВК.70.260.700.2ТГ</t>
  </si>
  <si>
    <t>ВК.70.260.750.2ТГ</t>
  </si>
  <si>
    <t>ВК.70.260.800.2ТГ</t>
  </si>
  <si>
    <t>ВК.70.260.850.2ТГ</t>
  </si>
  <si>
    <t>ВК.70.260.900.2ТГ</t>
  </si>
  <si>
    <t>ВК.70.260.950.2ТГ</t>
  </si>
  <si>
    <t>ВК.70.260.1000.2ТГ</t>
  </si>
  <si>
    <t>ВК.70.260.1050.2ТГ</t>
  </si>
  <si>
    <t>ВК.70.260.1100.2ТГ</t>
  </si>
  <si>
    <t>ВК.70.260.1150.2ТГ</t>
  </si>
  <si>
    <t>ВК.70.260.1200.2ТГ</t>
  </si>
  <si>
    <t>ВК.70.260.1250.2ТГ</t>
  </si>
  <si>
    <t>ВК.70.260.1300.2ТГ</t>
  </si>
  <si>
    <t>ВК.70.260.1350.2ТГ</t>
  </si>
  <si>
    <t>ВК.70.260.1400.2ТГ</t>
  </si>
  <si>
    <t>ВК.70.260.1450.2ТГ</t>
  </si>
  <si>
    <t>ВК.70.260.1500.2ТГ</t>
  </si>
  <si>
    <t>ВК.70.260.1550.2ТГ</t>
  </si>
  <si>
    <t>ВК.70.260.1600.2ТГ</t>
  </si>
  <si>
    <t>ВК.70.260.1650.2ТГ</t>
  </si>
  <si>
    <t>ВК.70.260.1700.2ТГ</t>
  </si>
  <si>
    <t>ВК.70.260.1750.2ТГ</t>
  </si>
  <si>
    <t>ВК.70.260.1800.2ТГ</t>
  </si>
  <si>
    <t>ВК.70.260.1850.2ТГ</t>
  </si>
  <si>
    <t>ВК.70.260.1900.2ТГ</t>
  </si>
  <si>
    <t>ВК.70.260.1950.2ТГ</t>
  </si>
  <si>
    <t>ВК.70.260.2000.2ТГ</t>
  </si>
  <si>
    <t>ВК.70.260.2050.2ТГ</t>
  </si>
  <si>
    <t>ВК.70.260.2100.2ТГ</t>
  </si>
  <si>
    <t>ВК.70.260.2150.2ТГ</t>
  </si>
  <si>
    <t>ВК.70.260.2200.2ТГ</t>
  </si>
  <si>
    <t>ВК.70.260.2250.2ТГ</t>
  </si>
  <si>
    <t>ВК.70.260.2300.2ТГ</t>
  </si>
  <si>
    <t>ВК.70.260.2350.2ТГ</t>
  </si>
  <si>
    <t>ВК.70.260.2400.2ТГ</t>
  </si>
  <si>
    <t>ВК.70.260.2450.2ТГ</t>
  </si>
  <si>
    <t>ВК.70.260.2500.2ТГ</t>
  </si>
  <si>
    <t>ВК.70.260.2550.2ТГ</t>
  </si>
  <si>
    <t>ВК.70.260.2600.2ТГ</t>
  </si>
  <si>
    <t>ВК.70.260.2650.2ТГ</t>
  </si>
  <si>
    <t>ВК.70.260.2700.2ТГ</t>
  </si>
  <si>
    <t>ВК.70.260.2750.2ТГ</t>
  </si>
  <si>
    <t>ВК.70.260.2800.2ТГ</t>
  </si>
  <si>
    <t>ВК.70.260.2850.2ТГ</t>
  </si>
  <si>
    <t>ВК.70.260.2900.2ТГ</t>
  </si>
  <si>
    <t>ВК.70.260.2950.2ТГ</t>
  </si>
  <si>
    <t>ВК.70.260.3000.2ТГ</t>
  </si>
  <si>
    <t>ВК.70.300.600.2ТГ</t>
  </si>
  <si>
    <t>ВК.70.300.650.2ТГ</t>
  </si>
  <si>
    <t>ВК.70.300.700.2ТГ</t>
  </si>
  <si>
    <t>ВК.70.300.750.2ТГ</t>
  </si>
  <si>
    <t>ВК.70.300.800.2ТГ</t>
  </si>
  <si>
    <t>ВК.70.300.850.2ТГ</t>
  </si>
  <si>
    <t>ВК.70.300.900.2ТГ</t>
  </si>
  <si>
    <t>ВК.70.300.950.2ТГ</t>
  </si>
  <si>
    <t>ВК.70.300.1000.2ТГ</t>
  </si>
  <si>
    <t>ВК.70.300.1050.2ТГ</t>
  </si>
  <si>
    <t>ВК.70.300.1100.2ТГ</t>
  </si>
  <si>
    <t>ВК.70.300.1150.2ТГ</t>
  </si>
  <si>
    <t>ВК.70.300.1200.2ТГ</t>
  </si>
  <si>
    <t>ВК.70.300.1250.2ТГ</t>
  </si>
  <si>
    <t>ВК.70.300.1300.2ТГ</t>
  </si>
  <si>
    <t>ВК.70.300.1350.2ТГ</t>
  </si>
  <si>
    <t>ВК.70.300.1400.2ТГ</t>
  </si>
  <si>
    <t>ВК.70.300.1450.2ТГ</t>
  </si>
  <si>
    <t>ВК.70.300.1500.2ТГ</t>
  </si>
  <si>
    <t>ВК.70.300.1550.2ТГ</t>
  </si>
  <si>
    <t>ВК.70.300.1600.2ТГ</t>
  </si>
  <si>
    <t>ВК.70.300.1650.2ТГ</t>
  </si>
  <si>
    <t>ВК.70.300.1700.2ТГ</t>
  </si>
  <si>
    <t>ВК.70.300.1750.2ТГ</t>
  </si>
  <si>
    <t>ВК.70.300.1800.2ТГ</t>
  </si>
  <si>
    <t>ВК.70.300.1850.2ТГ</t>
  </si>
  <si>
    <t>ВК.70.300.1900.2ТГ</t>
  </si>
  <si>
    <t>ВК.70.300.1950.2ТГ</t>
  </si>
  <si>
    <t>ВК.70.300.2000.2ТГ</t>
  </si>
  <si>
    <t>ВК.70.300.2050.2ТГ</t>
  </si>
  <si>
    <t>ВК.70.300.2100.2ТГ</t>
  </si>
  <si>
    <t>ВК.70.300.2150.2ТГ</t>
  </si>
  <si>
    <t>ВК.70.300.2200.2ТГ</t>
  </si>
  <si>
    <t>ВК.70.300.2250.2ТГ</t>
  </si>
  <si>
    <t>ВК.70.300.2300.2ТГ</t>
  </si>
  <si>
    <t>ВК.70.300.2350.2ТГ</t>
  </si>
  <si>
    <t>ВК.70.300.2400.2ТГ</t>
  </si>
  <si>
    <t>ВК.70.300.2450.2ТГ</t>
  </si>
  <si>
    <t>ВК.70.300.2500.2ТГ</t>
  </si>
  <si>
    <t>ВК.70.300.2550.2ТГ</t>
  </si>
  <si>
    <t>ВК.70.300.2600.2ТГ</t>
  </si>
  <si>
    <t>ВК.70.300.2650.2ТГ</t>
  </si>
  <si>
    <t>ВК.70.300.2700.2ТГ</t>
  </si>
  <si>
    <t>ВК.70.300.2750.2ТГ</t>
  </si>
  <si>
    <t>ВК.70.300.2800.2ТГ</t>
  </si>
  <si>
    <t>ВК.70.300.2850.2ТГ</t>
  </si>
  <si>
    <t>ВК.70.300.2900.2ТГ</t>
  </si>
  <si>
    <t>ВК.70.300.2950.2ТГ</t>
  </si>
  <si>
    <t>ВК.70.300.3000.2ТГ</t>
  </si>
  <si>
    <t>ВК.70.300.600.4ТГ</t>
  </si>
  <si>
    <t>ВК.70.300.650.4ТГ</t>
  </si>
  <si>
    <t>ВК.70.300.700.4ТГ</t>
  </si>
  <si>
    <t>ВК.70.300.750.4ТГ</t>
  </si>
  <si>
    <t>ВК.70.300.800.4ТГ</t>
  </si>
  <si>
    <t>ВК.70.300.850.4ТГ</t>
  </si>
  <si>
    <t>ВК.70.300.900.4ТГ</t>
  </si>
  <si>
    <t>ВК.70.300.950.4ТГ</t>
  </si>
  <si>
    <t>ВК.70.300.1000.4ТГ</t>
  </si>
  <si>
    <t>ВК.70.300.1050.4ТГ</t>
  </si>
  <si>
    <t>ВК.70.300.1100.4ТГ</t>
  </si>
  <si>
    <t>ВК.70.300.1150.4ТГ</t>
  </si>
  <si>
    <t>ВК.70.300.1200.4ТГ</t>
  </si>
  <si>
    <t>ВК.70.300.1250.4ТГ</t>
  </si>
  <si>
    <t>ВК.70.300.1300.4ТГ</t>
  </si>
  <si>
    <t>ВК.70.300.1350.4ТГ</t>
  </si>
  <si>
    <t>ВК.70.300.1400.4ТГ</t>
  </si>
  <si>
    <t>ВК.70.300.1450.4ТГ</t>
  </si>
  <si>
    <t>ВК.70.300.1500.4ТГ</t>
  </si>
  <si>
    <t>ВК.70.300.1550.4ТГ</t>
  </si>
  <si>
    <t>ВК.70.300.1600.4ТГ</t>
  </si>
  <si>
    <t>ВК.70.300.1650.4ТГ</t>
  </si>
  <si>
    <t>ВК.70.300.1700.4ТГ</t>
  </si>
  <si>
    <t>ВК.70.300.1750.4ТГ</t>
  </si>
  <si>
    <t>ВК.70.300.1800.4ТГ</t>
  </si>
  <si>
    <t>ВК.70.300.1850.4ТГ</t>
  </si>
  <si>
    <t>ВК.70.300.1900.4ТГ</t>
  </si>
  <si>
    <t>ВК.70.300.1950.4ТГ</t>
  </si>
  <si>
    <t>ВК.70.300.2000.4ТГ</t>
  </si>
  <si>
    <t>ВК.70.300.2050.4ТГ</t>
  </si>
  <si>
    <t>ВК.70.300.2100.4ТГ</t>
  </si>
  <si>
    <t>ВК.70.300.2150.4ТГ</t>
  </si>
  <si>
    <t>ВК.70.300.2200.4ТГ</t>
  </si>
  <si>
    <t>ВК.70.300.2250.4ТГ</t>
  </si>
  <si>
    <t>ВК.70.300.2300.4ТГ</t>
  </si>
  <si>
    <t>ВК.70.300.2350.4ТГ</t>
  </si>
  <si>
    <t>ВК.70.300.2400.4ТГ</t>
  </si>
  <si>
    <t>ВК.70.300.2450.4ТГ</t>
  </si>
  <si>
    <t>ВК.70.300.2500.4ТГ</t>
  </si>
  <si>
    <t>ВК.70.300.2550.4ТГ</t>
  </si>
  <si>
    <t>ВК.70.300.2600.4ТГ</t>
  </si>
  <si>
    <t>ВК.70.300.2650.4ТГ</t>
  </si>
  <si>
    <t>ВК.70.300.2700.4ТГ</t>
  </si>
  <si>
    <t>ВК.70.300.2750.4ТГ</t>
  </si>
  <si>
    <t>ВК.70.300.2800.4ТГ</t>
  </si>
  <si>
    <t>ВК.70.300.2850.4ТГ</t>
  </si>
  <si>
    <t>ВК.70.300.2900.4ТГ</t>
  </si>
  <si>
    <t>ВК.70.300.2950.4ТГ</t>
  </si>
  <si>
    <t>ВК.70.300.3000.4ТГ</t>
  </si>
  <si>
    <t>ВК.75.160.600.2ТГ</t>
  </si>
  <si>
    <t>ВК.75.160.650.2ТГ</t>
  </si>
  <si>
    <t>ВК.75.160.700.2ТГ</t>
  </si>
  <si>
    <t>ВК.75.160.750.2ТГ</t>
  </si>
  <si>
    <t>ВК.75.160.800.2ТГ</t>
  </si>
  <si>
    <t>ВК.75.160.850.2ТГ</t>
  </si>
  <si>
    <t>ВК.75.160.900.2ТГ</t>
  </si>
  <si>
    <t>ВК.75.160.950.2ТГ</t>
  </si>
  <si>
    <t>ВК.75.160.1000.2ТГ</t>
  </si>
  <si>
    <t>ВК.75.160.1050.2ТГ</t>
  </si>
  <si>
    <t>ВК.75.160.1100.2ТГ</t>
  </si>
  <si>
    <t>ВК.75.160.1150.2ТГ</t>
  </si>
  <si>
    <t>ВК.75.160.1200.2ТГ</t>
  </si>
  <si>
    <t>ВК.75.160.1250.2ТГ</t>
  </si>
  <si>
    <t>ВК.75.160.1300.2ТГ</t>
  </si>
  <si>
    <t>ВК.75.160.1350.2ТГ</t>
  </si>
  <si>
    <t>ВК.75.160.1400.2ТГ</t>
  </si>
  <si>
    <t>ВК.75.160.1450.2ТГ</t>
  </si>
  <si>
    <t>ВК.75.160.1500.2ТГ</t>
  </si>
  <si>
    <t>ВК.75.160.1550.2ТГ</t>
  </si>
  <si>
    <t>ВК.75.160.1600.2ТГ</t>
  </si>
  <si>
    <t>ВК.75.160.1650.2ТГ</t>
  </si>
  <si>
    <t>ВК.75.160.1700.2ТГ</t>
  </si>
  <si>
    <t>ВК.75.160.1750.2ТГ</t>
  </si>
  <si>
    <t>ВК.75.160.1800.2ТГ</t>
  </si>
  <si>
    <t>ВК.75.160.1850.2ТГ</t>
  </si>
  <si>
    <t>ВК.75.160.1900.2ТГ</t>
  </si>
  <si>
    <t>ВК.75.160.1950.2ТГ</t>
  </si>
  <si>
    <t>ВК.75.160.2000.2ТГ</t>
  </si>
  <si>
    <t>ВК.75.160.2050.2ТГ</t>
  </si>
  <si>
    <t>ВК.75.160.2100.2ТГ</t>
  </si>
  <si>
    <t>ВК.75.160.2150.2ТГ</t>
  </si>
  <si>
    <t>ВК.75.160.2200.2ТГ</t>
  </si>
  <si>
    <t>ВК.75.160.2250.2ТГ</t>
  </si>
  <si>
    <t>ВК.75.160.2300.2ТГ</t>
  </si>
  <si>
    <t>ВК.75.160.2350.2ТГ</t>
  </si>
  <si>
    <t>ВК.75.160.2400.2ТГ</t>
  </si>
  <si>
    <t>ВК.75.160.2450.2ТГ</t>
  </si>
  <si>
    <t>ВК.75.160.2500.2ТГ</t>
  </si>
  <si>
    <t>ВК.75.160.2550.2ТГ</t>
  </si>
  <si>
    <t>ВК.75.160.2600.2ТГ</t>
  </si>
  <si>
    <t>ВК.75.160.2650.2ТГ</t>
  </si>
  <si>
    <t>ВК.75.160.2700.2ТГ</t>
  </si>
  <si>
    <t>ВК.75.160.2750.2ТГ</t>
  </si>
  <si>
    <t>ВК.75.160.2800.2ТГ</t>
  </si>
  <si>
    <t>ВК.75.160.2850.2ТГ</t>
  </si>
  <si>
    <t>ВК.75.160.2900.2ТГ</t>
  </si>
  <si>
    <t>ВК.75.160.2950.2ТГ</t>
  </si>
  <si>
    <t>ВК.75.160.3000.2ТГ</t>
  </si>
  <si>
    <t>ВК.75.200.600.2ТГ</t>
  </si>
  <si>
    <t>ВК.75.200.650.2ТГ</t>
  </si>
  <si>
    <t>ВК.75.200.700.2ТГ</t>
  </si>
  <si>
    <t>ВК.75.200.750.2ТГ</t>
  </si>
  <si>
    <t>ВК.75.200.800.2ТГ</t>
  </si>
  <si>
    <t>ВК.75.200.850.2ТГ</t>
  </si>
  <si>
    <t>ВК.75.200.900.2ТГ</t>
  </si>
  <si>
    <t>ВК.75.200.950.2ТГ</t>
  </si>
  <si>
    <t>ВК.75.200.1000.2ТГ</t>
  </si>
  <si>
    <t>ВК.75.200.1050.2ТГ</t>
  </si>
  <si>
    <t>ВК.75.200.1100.2ТГ</t>
  </si>
  <si>
    <t>ВК.75.200.1150.2ТГ</t>
  </si>
  <si>
    <t>ВК.75.200.1200.2ТГ</t>
  </si>
  <si>
    <t>ВК.75.200.1250.2ТГ</t>
  </si>
  <si>
    <t>ВК.75.200.1300.2ТГ</t>
  </si>
  <si>
    <t>ВК.75.200.1350.2ТГ</t>
  </si>
  <si>
    <t>ВК.75.200.1400.2ТГ</t>
  </si>
  <si>
    <t>ВК.75.200.1450.2ТГ</t>
  </si>
  <si>
    <t>ВК.75.200.1500.2ТГ</t>
  </si>
  <si>
    <t>ВК.75.200.1550.2ТГ</t>
  </si>
  <si>
    <t>ВК.75.200.1600.2ТГ</t>
  </si>
  <si>
    <t>ВК.75.200.1650.2ТГ</t>
  </si>
  <si>
    <t>ВК.75.200.1700.2ТГ</t>
  </si>
  <si>
    <t>ВК.75.200.1750.2ТГ</t>
  </si>
  <si>
    <t>ВК.75.200.1800.2ТГ</t>
  </si>
  <si>
    <t>ВК.75.200.1850.2ТГ</t>
  </si>
  <si>
    <t>ВК.75.200.1900.2ТГ</t>
  </si>
  <si>
    <t>ВК.75.200.1950.2ТГ</t>
  </si>
  <si>
    <t>ВК.75.200.2000.2ТГ</t>
  </si>
  <si>
    <t>ВК.75.200.2050.2ТГ</t>
  </si>
  <si>
    <t>ВК.75.200.2100.2ТГ</t>
  </si>
  <si>
    <t>ВК.75.200.2150.2ТГ</t>
  </si>
  <si>
    <t>ВК.75.200.2200.2ТГ</t>
  </si>
  <si>
    <t>ВК.75.200.2250.2ТГ</t>
  </si>
  <si>
    <t>ВК.75.200.2300.2ТГ</t>
  </si>
  <si>
    <t>ВК.75.200.2350.2ТГ</t>
  </si>
  <si>
    <t>ВК.75.200.2400.2ТГ</t>
  </si>
  <si>
    <t>ВК.75.200.2450.2ТГ</t>
  </si>
  <si>
    <t>ВК.75.200.2500.2ТГ</t>
  </si>
  <si>
    <t>ВК.75.200.2550.2ТГ</t>
  </si>
  <si>
    <t>ВК.75.200.2600.2ТГ</t>
  </si>
  <si>
    <t>ВК.75.200.2650.2ТГ</t>
  </si>
  <si>
    <t>ВК.75.200.2700.2ТГ</t>
  </si>
  <si>
    <t>ВК.75.200.2750.2ТГ</t>
  </si>
  <si>
    <t>ВК.75.200.2800.2ТГ</t>
  </si>
  <si>
    <t>ВК.75.200.2850.2ТГ</t>
  </si>
  <si>
    <t>ВК.75.200.2900.2ТГ</t>
  </si>
  <si>
    <t>ВК.75.200.2950.2ТГ</t>
  </si>
  <si>
    <t>ВК.75.200.3000.2ТГ</t>
  </si>
  <si>
    <t>ВК.75.260.600.2ТГ</t>
  </si>
  <si>
    <t>ВК.75.260.650.2ТГ</t>
  </si>
  <si>
    <t>ВК.75.260.700.2ТГ</t>
  </si>
  <si>
    <t>ВК.75.260.750.2ТГ</t>
  </si>
  <si>
    <t>ВК.75.260.800.2ТГ</t>
  </si>
  <si>
    <t>ВК.75.260.850.2ТГ</t>
  </si>
  <si>
    <t>ВК.75.260.900.2ТГ</t>
  </si>
  <si>
    <t>ВК.75.260.950.2ТГ</t>
  </si>
  <si>
    <t>ВК.75.260.1000.2ТГ</t>
  </si>
  <si>
    <t>ВК.75.260.1050.2ТГ</t>
  </si>
  <si>
    <t>ВК.75.260.1100.2ТГ</t>
  </si>
  <si>
    <t>ВК.75.260.1150.2ТГ</t>
  </si>
  <si>
    <t>ВК.75.260.1200.2ТГ</t>
  </si>
  <si>
    <t>ВК.75.260.1250.2ТГ</t>
  </si>
  <si>
    <t>ВК.75.260.1300.2ТГ</t>
  </si>
  <si>
    <t>ВК.75.260.1350.2ТГ</t>
  </si>
  <si>
    <t>ВК.75.260.1400.2ТГ</t>
  </si>
  <si>
    <t>ВК.75.260.1450.2ТГ</t>
  </si>
  <si>
    <t>ВК.75.260.1500.2ТГ</t>
  </si>
  <si>
    <t>ВК.75.260.1550.2ТГ</t>
  </si>
  <si>
    <t>ВК.75.260.1600.2ТГ</t>
  </si>
  <si>
    <t>ВК.75.260.1650.2ТГ</t>
  </si>
  <si>
    <t>ВК.75.260.1700.2ТГ</t>
  </si>
  <si>
    <t>ВК.75.260.1750.2ТГ</t>
  </si>
  <si>
    <t>ВК.75.260.1800.2ТГ</t>
  </si>
  <si>
    <t>ВК.75.260.1850.2ТГ</t>
  </si>
  <si>
    <t>ВК.75.260.1900.2ТГ</t>
  </si>
  <si>
    <t>ВК.75.260.1950.2ТГ</t>
  </si>
  <si>
    <t>ВК.75.260.2000.2ТГ</t>
  </si>
  <si>
    <t>ВК.75.260.2050.2ТГ</t>
  </si>
  <si>
    <t>ВК.75.260.2100.2ТГ</t>
  </si>
  <si>
    <t>ВК.75.260.2150.2ТГ</t>
  </si>
  <si>
    <t>ВК.75.260.2200.2ТГ</t>
  </si>
  <si>
    <t>ВК.75.260.2250.2ТГ</t>
  </si>
  <si>
    <t>ВК.75.260.2300.2ТГ</t>
  </si>
  <si>
    <t>ВК.75.260.2350.2ТГ</t>
  </si>
  <si>
    <t>ВК.75.260.2400.2ТГ</t>
  </si>
  <si>
    <t>ВК.75.260.2450.2ТГ</t>
  </si>
  <si>
    <t>ВК.75.260.2500.2ТГ</t>
  </si>
  <si>
    <t>ВК.75.260.2550.2ТГ</t>
  </si>
  <si>
    <t>ВК.75.260.2600.2ТГ</t>
  </si>
  <si>
    <t>ВК.75.260.2650.2ТГ</t>
  </si>
  <si>
    <t>ВК.75.260.2700.2ТГ</t>
  </si>
  <si>
    <t>ВК.75.260.2750.2ТГ</t>
  </si>
  <si>
    <t>ВК.75.260.2800.2ТГ</t>
  </si>
  <si>
    <t>ВК.75.260.2850.2ТГ</t>
  </si>
  <si>
    <t>ВК.75.260.2900.2ТГ</t>
  </si>
  <si>
    <t>ВК.75.260.2950.2ТГ</t>
  </si>
  <si>
    <t>ВК.75.260.3000.2ТГ</t>
  </si>
  <si>
    <t>ВК.75.300.600.2ТГ</t>
  </si>
  <si>
    <t>ВК.75.300.650.2ТГ</t>
  </si>
  <si>
    <t>ВК.75.300.700.2ТГ</t>
  </si>
  <si>
    <t>ВК.75.300.750.2ТГ</t>
  </si>
  <si>
    <t>ВК.75.300.800.2ТГ</t>
  </si>
  <si>
    <t>ВК.75.300.850.2ТГ</t>
  </si>
  <si>
    <t>ВК.75.300.900.2ТГ</t>
  </si>
  <si>
    <t>ВК.75.300.950.2ТГ</t>
  </si>
  <si>
    <t>ВК.75.300.1000.2ТГ</t>
  </si>
  <si>
    <t>ВК.75.300.1050.2ТГ</t>
  </si>
  <si>
    <t>ВК.75.300.1100.2ТГ</t>
  </si>
  <si>
    <t>ВК.75.300.1150.2ТГ</t>
  </si>
  <si>
    <t>ВК.75.300.1200.2ТГ</t>
  </si>
  <si>
    <t>ВК.75.300.1250.2ТГ</t>
  </si>
  <si>
    <t>ВК.75.300.1300.2ТГ</t>
  </si>
  <si>
    <t>ВК.75.300.1350.2ТГ</t>
  </si>
  <si>
    <t>ВК.75.300.1400.2ТГ</t>
  </si>
  <si>
    <t>ВК.75.300.1450.2ТГ</t>
  </si>
  <si>
    <t>ВК.75.300.1500.2ТГ</t>
  </si>
  <si>
    <t>ВК.75.300.1550.2ТГ</t>
  </si>
  <si>
    <t>ВК.75.300.1600.2ТГ</t>
  </si>
  <si>
    <t>ВК.75.300.1650.2ТГ</t>
  </si>
  <si>
    <t>ВК.75.300.1700.2ТГ</t>
  </si>
  <si>
    <t>ВК.75.300.1750.2ТГ</t>
  </si>
  <si>
    <t>ВК.75.300.1800.2ТГ</t>
  </si>
  <si>
    <t>ВК.75.300.1850.2ТГ</t>
  </si>
  <si>
    <t>ВК.75.300.1900.2ТГ</t>
  </si>
  <si>
    <t>ВК.75.300.1950.2ТГ</t>
  </si>
  <si>
    <t>ВК.75.300.2000.2ТГ</t>
  </si>
  <si>
    <t>ВК.75.300.2050.2ТГ</t>
  </si>
  <si>
    <t>ВК.75.300.2100.2ТГ</t>
  </si>
  <si>
    <t>ВК.75.300.2150.2ТГ</t>
  </si>
  <si>
    <t>ВК.75.300.2200.2ТГ</t>
  </si>
  <si>
    <t>ВК.75.300.2250.2ТГ</t>
  </si>
  <si>
    <t>ВК.75.300.2300.2ТГ</t>
  </si>
  <si>
    <t>ВК.75.300.2350.2ТГ</t>
  </si>
  <si>
    <t>ВК.75.300.2400.2ТГ</t>
  </si>
  <si>
    <t>ВК.75.300.2450.2ТГ</t>
  </si>
  <si>
    <t>ВК.75.300.2500.2ТГ</t>
  </si>
  <si>
    <t>ВК.75.300.2550.2ТГ</t>
  </si>
  <si>
    <t>ВК.75.300.2600.2ТГ</t>
  </si>
  <si>
    <t>ВК.75.300.2650.2ТГ</t>
  </si>
  <si>
    <t>ВК.75.300.2700.2ТГ</t>
  </si>
  <si>
    <t>ВК.75.300.2750.2ТГ</t>
  </si>
  <si>
    <t>ВК.75.300.2800.2ТГ</t>
  </si>
  <si>
    <t>ВК.75.300.2850.2ТГ</t>
  </si>
  <si>
    <t>ВК.75.300.2900.2ТГ</t>
  </si>
  <si>
    <t>ВК.75.300.2950.2ТГ</t>
  </si>
  <si>
    <t>ВК.75.300.3000.2ТГ</t>
  </si>
  <si>
    <t>ВК.75.300.600.4ТГ</t>
  </si>
  <si>
    <t>ВК.75.300.650.4ТГ</t>
  </si>
  <si>
    <t>ВК.75.300.700.4ТГ</t>
  </si>
  <si>
    <t>ВК.75.300.750.4ТГ</t>
  </si>
  <si>
    <t>ВК.75.300.800.4ТГ</t>
  </si>
  <si>
    <t>ВК.75.300.850.4ТГ</t>
  </si>
  <si>
    <t>ВК.75.300.900.4ТГ</t>
  </si>
  <si>
    <t>ВК.75.300.950.4ТГ</t>
  </si>
  <si>
    <t>ВК.75.300.1000.4ТГ</t>
  </si>
  <si>
    <t>ВК.75.300.1050.4ТГ</t>
  </si>
  <si>
    <t>ВК.75.300.1100.4ТГ</t>
  </si>
  <si>
    <t>ВК.75.300.1150.4ТГ</t>
  </si>
  <si>
    <t>ВК.75.300.1200.4ТГ</t>
  </si>
  <si>
    <t>ВК.75.300.1250.4ТГ</t>
  </si>
  <si>
    <t>ВК.75.300.1300.4ТГ</t>
  </si>
  <si>
    <t>ВК.75.300.1350.4ТГ</t>
  </si>
  <si>
    <t>ВК.75.300.1400.4ТГ</t>
  </si>
  <si>
    <t>ВК.75.300.1450.4ТГ</t>
  </si>
  <si>
    <t>ВК.75.300.1500.4ТГ</t>
  </si>
  <si>
    <t>ВК.75.300.1550.4ТГ</t>
  </si>
  <si>
    <t>ВК.75.300.1600.4ТГ</t>
  </si>
  <si>
    <t>ВК.75.300.1650.4ТГ</t>
  </si>
  <si>
    <t>ВК.75.300.1700.4ТГ</t>
  </si>
  <si>
    <t>ВК.75.300.1750.4ТГ</t>
  </si>
  <si>
    <t>ВК.75.300.1800.4ТГ</t>
  </si>
  <si>
    <t>ВК.75.300.1850.4ТГ</t>
  </si>
  <si>
    <t>ВК.75.300.1900.4ТГ</t>
  </si>
  <si>
    <t>ВК.75.300.1950.4ТГ</t>
  </si>
  <si>
    <t>ВК.75.300.2000.4ТГ</t>
  </si>
  <si>
    <t>ВК.75.300.2050.4ТГ</t>
  </si>
  <si>
    <t>ВК.75.300.2100.4ТГ</t>
  </si>
  <si>
    <t>ВК.75.300.2150.4ТГ</t>
  </si>
  <si>
    <t>ВК.75.300.2200.4ТГ</t>
  </si>
  <si>
    <t>ВК.75.300.2250.4ТГ</t>
  </si>
  <si>
    <t>ВК.75.300.2300.4ТГ</t>
  </si>
  <si>
    <t>ВК.75.300.2350.4ТГ</t>
  </si>
  <si>
    <t>ВК.75.300.2400.4ТГ</t>
  </si>
  <si>
    <t>ВК.75.300.2450.4ТГ</t>
  </si>
  <si>
    <t>ВК.75.300.2500.4ТГ</t>
  </si>
  <si>
    <t>ВК.75.300.2550.4ТГ</t>
  </si>
  <si>
    <t>ВК.75.300.2600.4ТГ</t>
  </si>
  <si>
    <t>ВК.75.300.2650.4ТГ</t>
  </si>
  <si>
    <t>ВК.75.300.2700.4ТГ</t>
  </si>
  <si>
    <t>ВК.75.300.2750.4ТГ</t>
  </si>
  <si>
    <t>ВК.75.300.2800.4ТГ</t>
  </si>
  <si>
    <t>ВК.75.300.2850.4ТГ</t>
  </si>
  <si>
    <t>ВК.75.300.2900.4ТГ</t>
  </si>
  <si>
    <t>ВК.75.300.2950.4ТГ</t>
  </si>
  <si>
    <t>ВК.75.300.3000.4ТГ</t>
  </si>
  <si>
    <t>ВК.75.360.600.4ТГ</t>
  </si>
  <si>
    <t>ВК.75.360.650.4ТГ</t>
  </si>
  <si>
    <t>ВК.75.360.700.4ТГ</t>
  </si>
  <si>
    <t>ВК.75.360.750.4ТГ</t>
  </si>
  <si>
    <t>ВК.75.360.800.4ТГ</t>
  </si>
  <si>
    <t>ВК.75.360.850.4ТГ</t>
  </si>
  <si>
    <t>ВК.75.360.900.4ТГ</t>
  </si>
  <si>
    <t>ВК.75.360.950.4ТГ</t>
  </si>
  <si>
    <t>ВК.75.360.1000.4ТГ</t>
  </si>
  <si>
    <t>ВК.75.360.1050.4ТГ</t>
  </si>
  <si>
    <t>ВК.75.360.1100.4ТГ</t>
  </si>
  <si>
    <t>ВК.75.360.1150.4ТГ</t>
  </si>
  <si>
    <t>ВК.75.360.1200.4ТГ</t>
  </si>
  <si>
    <t>ВК.75.360.1250.4ТГ</t>
  </si>
  <si>
    <t>ВК.75.360.1300.4ТГ</t>
  </si>
  <si>
    <t>ВК.75.360.1350.4ТГ</t>
  </si>
  <si>
    <t>ВК.75.360.1400.4ТГ</t>
  </si>
  <si>
    <t>ВК.75.360.1450.4ТГ</t>
  </si>
  <si>
    <t>ВК.75.360.1500.4ТГ</t>
  </si>
  <si>
    <t>ВК.75.360.1550.4ТГ</t>
  </si>
  <si>
    <t>ВК.75.360.1600.4ТГ</t>
  </si>
  <si>
    <t>ВК.75.360.1650.4ТГ</t>
  </si>
  <si>
    <t>ВК.75.360.1700.4ТГ</t>
  </si>
  <si>
    <t>ВК.75.360.1750.4ТГ</t>
  </si>
  <si>
    <t>ВК.75.360.1800.4ТГ</t>
  </si>
  <si>
    <t>ВК.75.360.1850.4ТГ</t>
  </si>
  <si>
    <t>ВК.75.360.1900.4ТГ</t>
  </si>
  <si>
    <t>ВК.75.360.1950.4ТГ</t>
  </si>
  <si>
    <t>ВК.75.360.2000.4ТГ</t>
  </si>
  <si>
    <t>ВК.75.360.2050.4ТГ</t>
  </si>
  <si>
    <t>ВК.75.360.2100.4ТГ</t>
  </si>
  <si>
    <t>ВК.75.360.2150.4ТГ</t>
  </si>
  <si>
    <t>ВК.75.360.2200.4ТГ</t>
  </si>
  <si>
    <t>ВК.75.360.2250.4ТГ</t>
  </si>
  <si>
    <t>ВК.75.360.2300.4ТГ</t>
  </si>
  <si>
    <t>ВК.75.360.2350.4ТГ</t>
  </si>
  <si>
    <t>ВК.75.360.2400.4ТГ</t>
  </si>
  <si>
    <t>ВК.75.360.2450.4ТГ</t>
  </si>
  <si>
    <t>ВК.75.360.2500.4ТГ</t>
  </si>
  <si>
    <t>ВК.75.360.2550.4ТГ</t>
  </si>
  <si>
    <t>ВК.75.360.2600.4ТГ</t>
  </si>
  <si>
    <t>ВК.75.360.2650.4ТГ</t>
  </si>
  <si>
    <t>ВК.75.360.2700.4ТГ</t>
  </si>
  <si>
    <t>ВК.75.360.2750.4ТГ</t>
  </si>
  <si>
    <t>ВК.75.360.2800.4ТГ</t>
  </si>
  <si>
    <t>ВК.75.360.2850.4ТГ</t>
  </si>
  <si>
    <t>ВК.75.360.2900.4ТГ</t>
  </si>
  <si>
    <t>ВК.75.360.2950.4ТГ</t>
  </si>
  <si>
    <t>ВК.75.360.3000.4ТГ</t>
  </si>
  <si>
    <t>ВК.75.400.600.4ТГ</t>
  </si>
  <si>
    <t>ВК.75.400.650.4ТГ</t>
  </si>
  <si>
    <t>ВК.75.400.700.4ТГ</t>
  </si>
  <si>
    <t>ВК.75.400.750.4ТГ</t>
  </si>
  <si>
    <t>ВК.75.400.800.4ТГ</t>
  </si>
  <si>
    <t>ВК.75.400.850.4ТГ</t>
  </si>
  <si>
    <t>ВК.75.400.900.4ТГ</t>
  </si>
  <si>
    <t>ВК.75.400.950.4ТГ</t>
  </si>
  <si>
    <t>ВК.75.400.1000.4ТГ</t>
  </si>
  <si>
    <t>ВК.75.400.1050.4ТГ</t>
  </si>
  <si>
    <t>ВК.75.400.1100.4ТГ</t>
  </si>
  <si>
    <t>ВК.75.400.1150.4ТГ</t>
  </si>
  <si>
    <t>ВК.75.400.1200.4ТГ</t>
  </si>
  <si>
    <t>ВК.75.400.1250.4ТГ</t>
  </si>
  <si>
    <t>ВК.75.400.1300.4ТГ</t>
  </si>
  <si>
    <t>ВК.75.400.1350.4ТГ</t>
  </si>
  <si>
    <t>ВК.75.400.1400.4ТГ</t>
  </si>
  <si>
    <t>ВК.75.400.1450.4ТГ</t>
  </si>
  <si>
    <t>ВК.75.400.1500.4ТГ</t>
  </si>
  <si>
    <t>ВК.75.400.1550.4ТГ</t>
  </si>
  <si>
    <t>ВК.75.400.1600.4ТГ</t>
  </si>
  <si>
    <t>ВК.75.400.1650.4ТГ</t>
  </si>
  <si>
    <t>ВК.75.400.1700.4ТГ</t>
  </si>
  <si>
    <t>ВК.75.400.1750.4ТГ</t>
  </si>
  <si>
    <t>ВК.75.400.1800.4ТГ</t>
  </si>
  <si>
    <t>ВК.75.400.1850.4ТГ</t>
  </si>
  <si>
    <t>ВК.75.400.1900.4ТГ</t>
  </si>
  <si>
    <t>ВК.75.400.1950.4ТГ</t>
  </si>
  <si>
    <t>ВК.75.400.2000.4ТГ</t>
  </si>
  <si>
    <t>ВК.75.400.2050.4ТГ</t>
  </si>
  <si>
    <t>ВК.75.400.2100.4ТГ</t>
  </si>
  <si>
    <t>ВК.75.400.2150.4ТГ</t>
  </si>
  <si>
    <t>ВК.75.400.2200.4ТГ</t>
  </si>
  <si>
    <t>ВК.75.400.2250.4ТГ</t>
  </si>
  <si>
    <t>ВК.75.400.2300.4ТГ</t>
  </si>
  <si>
    <t>ВК.75.400.2350.4ТГ</t>
  </si>
  <si>
    <t>ВК.75.400.2400.4ТГ</t>
  </si>
  <si>
    <t>ВК.75.400.2450.4ТГ</t>
  </si>
  <si>
    <t>ВК.75.400.2500.4ТГ</t>
  </si>
  <si>
    <t>ВК.75.400.2550.4ТГ</t>
  </si>
  <si>
    <t>ВК.75.400.2600.4ТГ</t>
  </si>
  <si>
    <t>ВК.75.400.2650.4ТГ</t>
  </si>
  <si>
    <t>ВК.75.400.2700.4ТГ</t>
  </si>
  <si>
    <t>ВК.75.400.2750.4ТГ</t>
  </si>
  <si>
    <t>ВК.75.400.2800.4ТГ</t>
  </si>
  <si>
    <t>ВК.75.400.2850.4ТГ</t>
  </si>
  <si>
    <t>ВК.75.400.2900.4ТГ</t>
  </si>
  <si>
    <t>ВК.75.400.2950.4ТГ</t>
  </si>
  <si>
    <t>ВК.75.400.3000.4ТГ</t>
  </si>
  <si>
    <t>ВК.75.400.600.6ТГ</t>
  </si>
  <si>
    <t>ВК.75.400.650.6ТГ</t>
  </si>
  <si>
    <t>ВК.75.400.700.6ТГ</t>
  </si>
  <si>
    <t>ВК.75.400.750.6ТГ</t>
  </si>
  <si>
    <t>ВК.75.400.800.6ТГ</t>
  </si>
  <si>
    <t>ВК.75.400.850.6ТГ</t>
  </si>
  <si>
    <t>ВК.75.400.900.6ТГ</t>
  </si>
  <si>
    <t>ВК.75.400.950.6ТГ</t>
  </si>
  <si>
    <t>ВК.75.400.1000.6ТГ</t>
  </si>
  <si>
    <t>ВК.75.400.1050.6ТГ</t>
  </si>
  <si>
    <t>ВК.75.400.1100.6ТГ</t>
  </si>
  <si>
    <t>ВК.75.400.1150.6ТГ</t>
  </si>
  <si>
    <t>ВК.75.400.1200.6ТГ</t>
  </si>
  <si>
    <t>ВК.75.400.1250.6ТГ</t>
  </si>
  <si>
    <t>ВК.75.400.1300.6ТГ</t>
  </si>
  <si>
    <t>ВК.75.400.1350.6ТГ</t>
  </si>
  <si>
    <t>ВК.75.400.1400.6ТГ</t>
  </si>
  <si>
    <t>ВК.75.400.1450.6ТГ</t>
  </si>
  <si>
    <t>ВК.75.400.1500.6ТГ</t>
  </si>
  <si>
    <t>ВК.75.400.1550.6ТГ</t>
  </si>
  <si>
    <t>ВК.75.400.1600.6ТГ</t>
  </si>
  <si>
    <t>ВК.75.400.1650.6ТГ</t>
  </si>
  <si>
    <t>ВК.75.400.1700.6ТГ</t>
  </si>
  <si>
    <t>ВК.75.400.1750.6ТГ</t>
  </si>
  <si>
    <t>ВК.75.400.1800.6ТГ</t>
  </si>
  <si>
    <t>ВК.75.400.1850.6ТГ</t>
  </si>
  <si>
    <t>ВК.75.400.1900.6ТГ</t>
  </si>
  <si>
    <t>ВК.75.400.1950.6ТГ</t>
  </si>
  <si>
    <t>ВК.75.400.2000.6ТГ</t>
  </si>
  <si>
    <t>ВК.75.400.2050.6ТГ</t>
  </si>
  <si>
    <t>ВК.75.400.2100.6ТГ</t>
  </si>
  <si>
    <t>ВК.75.400.2150.6ТГ</t>
  </si>
  <si>
    <t>ВК.75.400.2200.6ТГ</t>
  </si>
  <si>
    <t>ВК.75.400.2250.6ТГ</t>
  </si>
  <si>
    <t>ВК.75.400.2300.6ТГ</t>
  </si>
  <si>
    <t>ВК.75.400.2350.6ТГ</t>
  </si>
  <si>
    <t>ВК.75.400.2400.6ТГ</t>
  </si>
  <si>
    <t>ВК.75.400.2450.6ТГ</t>
  </si>
  <si>
    <t>ВК.75.400.2500.6ТГ</t>
  </si>
  <si>
    <t>ВК.75.400.2550.6ТГ</t>
  </si>
  <si>
    <t>ВК.75.400.2600.6ТГ</t>
  </si>
  <si>
    <t>ВК.75.400.2650.6ТГ</t>
  </si>
  <si>
    <t>ВК.75.400.2700.6ТГ</t>
  </si>
  <si>
    <t>ВК.75.400.2750.6ТГ</t>
  </si>
  <si>
    <t>ВК.75.400.2800.6ТГ</t>
  </si>
  <si>
    <t>ВК.75.400.2850.6ТГ</t>
  </si>
  <si>
    <t>ВК.75.400.2900.6ТГ</t>
  </si>
  <si>
    <t>ВК.75.400.2950.6ТГ</t>
  </si>
  <si>
    <t>ВК.75.400.3000.6ТГ</t>
  </si>
  <si>
    <t>ВК.80.160.600.2ТГ</t>
  </si>
  <si>
    <t>ВК.80.160.650.2ТГ</t>
  </si>
  <si>
    <t>ВК.80.160.700.2ТГ</t>
  </si>
  <si>
    <t>ВК.80.160.750.2ТГ</t>
  </si>
  <si>
    <t>ВК.80.160.800.2ТГ</t>
  </si>
  <si>
    <t>ВК.80.160.850.2ТГ</t>
  </si>
  <si>
    <t>ВК.80.160.900.2ТГ</t>
  </si>
  <si>
    <t>ВК.80.160.950.2ТГ</t>
  </si>
  <si>
    <t>ВК.80.160.1000.2ТГ</t>
  </si>
  <si>
    <t>ВК.80.160.1050.2ТГ</t>
  </si>
  <si>
    <t>ВК.80.160.1100.2ТГ</t>
  </si>
  <si>
    <t>ВК.80.160.1150.2ТГ</t>
  </si>
  <si>
    <t>ВК.80.160.1200.2ТГ</t>
  </si>
  <si>
    <t>ВК.80.160.1250.2ТГ</t>
  </si>
  <si>
    <t>ВК.80.160.1300.2ТГ</t>
  </si>
  <si>
    <t>ВК.80.160.1350.2ТГ</t>
  </si>
  <si>
    <t>ВК.80.160.1400.2ТГ</t>
  </si>
  <si>
    <t>ВК.80.160.1450.2ТГ</t>
  </si>
  <si>
    <t>ВК.80.160.1500.2ТГ</t>
  </si>
  <si>
    <t>ВК.80.160.1550.2ТГ</t>
  </si>
  <si>
    <t>ВК.80.160.1600.2ТГ</t>
  </si>
  <si>
    <t>ВК.80.160.1650.2ТГ</t>
  </si>
  <si>
    <t>ВК.80.160.1700.2ТГ</t>
  </si>
  <si>
    <t>ВК.80.160.1750.2ТГ</t>
  </si>
  <si>
    <t>ВК.80.160.1800.2ТГ</t>
  </si>
  <si>
    <t>ВК.80.160.1850.2ТГ</t>
  </si>
  <si>
    <t>ВК.80.160.1900.2ТГ</t>
  </si>
  <si>
    <t>ВК.80.160.1950.2ТГ</t>
  </si>
  <si>
    <t>ВК.80.160.2000.2ТГ</t>
  </si>
  <si>
    <t>ВК.80.160.2050.2ТГ</t>
  </si>
  <si>
    <t>ВК.80.160.2100.2ТГ</t>
  </si>
  <si>
    <t>ВК.80.160.2150.2ТГ</t>
  </si>
  <si>
    <t>ВК.80.160.2200.2ТГ</t>
  </si>
  <si>
    <t>ВК.80.160.2250.2ТГ</t>
  </si>
  <si>
    <t>ВК.80.160.2300.2ТГ</t>
  </si>
  <si>
    <t>ВК.80.160.2350.2ТГ</t>
  </si>
  <si>
    <t>ВК.80.160.2400.2ТГ</t>
  </si>
  <si>
    <t>ВК.80.160.2450.2ТГ</t>
  </si>
  <si>
    <t>ВК.80.160.2500.2ТГ</t>
  </si>
  <si>
    <t>ВК.80.160.2550.2ТГ</t>
  </si>
  <si>
    <t>ВК.80.160.2600.2ТГ</t>
  </si>
  <si>
    <t>ВК.80.160.2650.2ТГ</t>
  </si>
  <si>
    <t>ВК.80.160.2700.2ТГ</t>
  </si>
  <si>
    <t>ВК.80.160.2750.2ТГ</t>
  </si>
  <si>
    <t>ВК.80.160.2800.2ТГ</t>
  </si>
  <si>
    <t>ВК.80.160.2850.2ТГ</t>
  </si>
  <si>
    <t>ВК.80.160.2900.2ТГ</t>
  </si>
  <si>
    <t>ВК.80.160.2950.2ТГ</t>
  </si>
  <si>
    <t>ВК.80.160.3000.2ТГ</t>
  </si>
  <si>
    <t>ВК.80.200.600.2ТГ</t>
  </si>
  <si>
    <t>ВК.80.200.650.2ТГ</t>
  </si>
  <si>
    <t>ВК.80.200.700.2ТГ</t>
  </si>
  <si>
    <t>ВК.80.200.750.2ТГ</t>
  </si>
  <si>
    <t>ВК.80.200.800.2ТГ</t>
  </si>
  <si>
    <t>ВК.80.200.850.2ТГ</t>
  </si>
  <si>
    <t>ВК.80.200.900.2ТГ</t>
  </si>
  <si>
    <t>ВК.80.200.950.2ТГ</t>
  </si>
  <si>
    <t>ВК.80.200.1000.2ТГ</t>
  </si>
  <si>
    <t>ВК.80.200.1050.2ТГ</t>
  </si>
  <si>
    <t>ВК.80.200.1100.2ТГ</t>
  </si>
  <si>
    <t>ВК.80.200.1150.2ТГ</t>
  </si>
  <si>
    <t>ВК.80.200.1200.2ТГ</t>
  </si>
  <si>
    <t>ВК.80.200.1250.2ТГ</t>
  </si>
  <si>
    <t>ВК.80.200.1300.2ТГ</t>
  </si>
  <si>
    <t>ВК.80.200.1350.2ТГ</t>
  </si>
  <si>
    <t>ВК.80.200.1400.2ТГ</t>
  </si>
  <si>
    <t>ВК.80.200.1450.2ТГ</t>
  </si>
  <si>
    <t>ВК.80.200.1500.2ТГ</t>
  </si>
  <si>
    <t>ВК.80.200.1550.2ТГ</t>
  </si>
  <si>
    <t>ВК.80.200.1600.2ТГ</t>
  </si>
  <si>
    <t>ВК.80.200.1650.2ТГ</t>
  </si>
  <si>
    <t>ВК.80.200.1700.2ТГ</t>
  </si>
  <si>
    <t>ВК.80.200.1750.2ТГ</t>
  </si>
  <si>
    <t>ВК.80.200.1800.2ТГ</t>
  </si>
  <si>
    <t>ВК.80.200.1850.2ТГ</t>
  </si>
  <si>
    <t>ВК.80.200.1900.2ТГ</t>
  </si>
  <si>
    <t>ВК.80.200.1950.2ТГ</t>
  </si>
  <si>
    <t>ВК.80.200.2000.2ТГ</t>
  </si>
  <si>
    <t>ВК.80.200.2050.2ТГ</t>
  </si>
  <si>
    <t>ВК.80.200.2100.2ТГ</t>
  </si>
  <si>
    <t>ВК.80.200.2150.2ТГ</t>
  </si>
  <si>
    <t>ВК.80.200.2200.2ТГ</t>
  </si>
  <si>
    <t>ВК.80.200.2250.2ТГ</t>
  </si>
  <si>
    <t>ВК.80.200.2300.2ТГ</t>
  </si>
  <si>
    <t>ВК.80.200.2350.2ТГ</t>
  </si>
  <si>
    <t>ВК.80.200.2400.2ТГ</t>
  </si>
  <si>
    <t>ВК.80.200.2450.2ТГ</t>
  </si>
  <si>
    <t>ВК.80.200.2500.2ТГ</t>
  </si>
  <si>
    <t>ВК.80.200.2550.2ТГ</t>
  </si>
  <si>
    <t>ВК.80.200.2600.2ТГ</t>
  </si>
  <si>
    <t>ВК.80.200.2650.2ТГ</t>
  </si>
  <si>
    <t>ВК.80.200.2700.2ТГ</t>
  </si>
  <si>
    <t>ВК.80.200.2750.2ТГ</t>
  </si>
  <si>
    <t>ВК.80.200.2800.2ТГ</t>
  </si>
  <si>
    <t>ВК.80.200.2850.2ТГ</t>
  </si>
  <si>
    <t>ВК.80.200.2900.2ТГ</t>
  </si>
  <si>
    <t>ВК.80.200.2950.2ТГ</t>
  </si>
  <si>
    <t>ВК.80.200.3000.2ТГ</t>
  </si>
  <si>
    <t>ВК.80.260.600.2ТГ</t>
  </si>
  <si>
    <t>ВК.80.260.650.2ТГ</t>
  </si>
  <si>
    <t>ВК.80.260.700.2ТГ</t>
  </si>
  <si>
    <t>ВК.80.260.750.2ТГ</t>
  </si>
  <si>
    <t>ВК.80.260.800.2ТГ</t>
  </si>
  <si>
    <t>ВК.80.260.850.2ТГ</t>
  </si>
  <si>
    <t>ВК.80.260.900.2ТГ</t>
  </si>
  <si>
    <t>ВК.80.260.950.2ТГ</t>
  </si>
  <si>
    <t>ВК.80.260.1000.2ТГ</t>
  </si>
  <si>
    <t>ВК.80.260.1050.2ТГ</t>
  </si>
  <si>
    <t>ВК.80.260.1100.2ТГ</t>
  </si>
  <si>
    <t>ВК.80.260.1150.2ТГ</t>
  </si>
  <si>
    <t>ВК.80.260.1200.2ТГ</t>
  </si>
  <si>
    <t>ВК.80.260.1250.2ТГ</t>
  </si>
  <si>
    <t>ВК.80.260.1300.2ТГ</t>
  </si>
  <si>
    <t>ВК.80.260.1350.2ТГ</t>
  </si>
  <si>
    <t>ВК.80.260.1400.2ТГ</t>
  </si>
  <si>
    <t>ВК.80.260.1450.2ТГ</t>
  </si>
  <si>
    <t>ВК.80.260.1500.2ТГ</t>
  </si>
  <si>
    <t>ВК.80.260.1550.2ТГ</t>
  </si>
  <si>
    <t>ВК.80.260.1600.2ТГ</t>
  </si>
  <si>
    <t>ВК.80.260.1650.2ТГ</t>
  </si>
  <si>
    <t>ВК.80.260.1700.2ТГ</t>
  </si>
  <si>
    <t>ВК.80.260.1750.2ТГ</t>
  </si>
  <si>
    <t>ВК.80.260.1800.2ТГ</t>
  </si>
  <si>
    <t>ВК.80.260.1850.2ТГ</t>
  </si>
  <si>
    <t>ВК.80.260.1900.2ТГ</t>
  </si>
  <si>
    <t>ВК.80.260.1950.2ТГ</t>
  </si>
  <si>
    <t>ВК.80.260.2000.2ТГ</t>
  </si>
  <si>
    <t>ВК.80.260.2050.2ТГ</t>
  </si>
  <si>
    <t>ВК.80.260.2100.2ТГ</t>
  </si>
  <si>
    <t>ВК.80.260.2150.2ТГ</t>
  </si>
  <si>
    <t>ВК.80.260.2200.2ТГ</t>
  </si>
  <si>
    <t>ВК.80.260.2250.2ТГ</t>
  </si>
  <si>
    <t>ВК.80.260.2300.2ТГ</t>
  </si>
  <si>
    <t>ВК.80.260.2350.2ТГ</t>
  </si>
  <si>
    <t>ВК.80.260.2400.2ТГ</t>
  </si>
  <si>
    <t>ВК.80.260.2450.2ТГ</t>
  </si>
  <si>
    <t>ВК.80.260.2500.2ТГ</t>
  </si>
  <si>
    <t>ВК.80.260.2550.2ТГ</t>
  </si>
  <si>
    <t>ВК.80.260.2600.2ТГ</t>
  </si>
  <si>
    <t>ВК.80.260.2650.2ТГ</t>
  </si>
  <si>
    <t>ВК.80.260.2700.2ТГ</t>
  </si>
  <si>
    <t>ВК.80.260.2750.2ТГ</t>
  </si>
  <si>
    <t>ВК.80.260.2800.2ТГ</t>
  </si>
  <si>
    <t>ВК.80.260.2850.2ТГ</t>
  </si>
  <si>
    <t>ВК.80.260.2900.2ТГ</t>
  </si>
  <si>
    <t>ВК.80.260.2950.2ТГ</t>
  </si>
  <si>
    <t>ВК.80.260.3000.2ТГ</t>
  </si>
  <si>
    <t>ВК.80.300.600.2ТГ</t>
  </si>
  <si>
    <t>ВК.80.300.650.2ТГ</t>
  </si>
  <si>
    <t>ВК.80.300.700.2ТГ</t>
  </si>
  <si>
    <t>ВК.80.300.750.2ТГ</t>
  </si>
  <si>
    <t>ВК.80.300.800.2ТГ</t>
  </si>
  <si>
    <t>ВК.80.300.850.2ТГ</t>
  </si>
  <si>
    <t>ВК.80.300.900.2ТГ</t>
  </si>
  <si>
    <t>ВК.80.300.950.2ТГ</t>
  </si>
  <si>
    <t>ВК.80.300.1000.2ТГ</t>
  </si>
  <si>
    <t>ВК.80.300.1050.2ТГ</t>
  </si>
  <si>
    <t>ВК.80.300.1100.2ТГ</t>
  </si>
  <si>
    <t>ВК.80.300.1150.2ТГ</t>
  </si>
  <si>
    <t>ВК.80.300.1200.2ТГ</t>
  </si>
  <si>
    <t>ВК.80.300.1250.2ТГ</t>
  </si>
  <si>
    <t>ВК.80.300.1300.2ТГ</t>
  </si>
  <si>
    <t>ВК.80.300.1350.2ТГ</t>
  </si>
  <si>
    <t>ВК.80.300.1400.2ТГ</t>
  </si>
  <si>
    <t>ВК.80.300.1450.2ТГ</t>
  </si>
  <si>
    <t>ВК.80.300.1500.2ТГ</t>
  </si>
  <si>
    <t>ВК.80.300.1550.2ТГ</t>
  </si>
  <si>
    <t>ВК.80.300.1600.2ТГ</t>
  </si>
  <si>
    <t>ВК.80.300.1650.2ТГ</t>
  </si>
  <si>
    <t>ВК.80.300.1700.2ТГ</t>
  </si>
  <si>
    <t>ВК.80.300.1750.2ТГ</t>
  </si>
  <si>
    <t>ВК.80.300.1800.2ТГ</t>
  </si>
  <si>
    <t>ВК.80.300.1850.2ТГ</t>
  </si>
  <si>
    <t>ВК.80.300.1900.2ТГ</t>
  </si>
  <si>
    <t>ВК.80.300.1950.2ТГ</t>
  </si>
  <si>
    <t>ВК.80.300.2000.2ТГ</t>
  </si>
  <si>
    <t>ВК.80.300.2050.2ТГ</t>
  </si>
  <si>
    <t>ВК.80.300.2100.2ТГ</t>
  </si>
  <si>
    <t>ВК.80.300.2150.2ТГ</t>
  </si>
  <si>
    <t>ВК.80.300.2200.2ТГ</t>
  </si>
  <si>
    <t>ВК.80.300.2250.2ТГ</t>
  </si>
  <si>
    <t>ВК.80.300.2300.2ТГ</t>
  </si>
  <si>
    <t>ВК.80.300.2350.2ТГ</t>
  </si>
  <si>
    <t>ВК.80.300.2400.2ТГ</t>
  </si>
  <si>
    <t>ВК.80.300.2450.2ТГ</t>
  </si>
  <si>
    <t>ВК.80.300.2500.2ТГ</t>
  </si>
  <si>
    <t>ВК.80.300.2550.2ТГ</t>
  </si>
  <si>
    <t>ВК.80.300.2600.2ТГ</t>
  </si>
  <si>
    <t>ВК.80.300.2650.2ТГ</t>
  </si>
  <si>
    <t>ВК.80.300.2700.2ТГ</t>
  </si>
  <si>
    <t>ВК.80.300.2750.2ТГ</t>
  </si>
  <si>
    <t>ВК.80.300.2800.2ТГ</t>
  </si>
  <si>
    <t>ВК.80.300.2850.2ТГ</t>
  </si>
  <si>
    <t>ВК.80.300.2900.2ТГ</t>
  </si>
  <si>
    <t>ВК.80.300.2950.2ТГ</t>
  </si>
  <si>
    <t>ВК.80.300.3000.2ТГ</t>
  </si>
  <si>
    <t>ВК.80.300.600.4ТГ</t>
  </si>
  <si>
    <t>ВК.80.300.650.4ТГ</t>
  </si>
  <si>
    <t>ВК.80.300.700.4ТГ</t>
  </si>
  <si>
    <t>ВК.80.300.750.4ТГ</t>
  </si>
  <si>
    <t>ВК.80.300.800.4ТГ</t>
  </si>
  <si>
    <t>ВК.80.300.850.4ТГ</t>
  </si>
  <si>
    <t>ВК.80.300.900.4ТГ</t>
  </si>
  <si>
    <t>ВК.80.300.950.4ТГ</t>
  </si>
  <si>
    <t>ВК.80.300.1000.4ТГ</t>
  </si>
  <si>
    <t>ВК.80.300.1050.4ТГ</t>
  </si>
  <si>
    <t>ВК.80.300.1100.4ТГ</t>
  </si>
  <si>
    <t>ВК.80.300.1150.4ТГ</t>
  </si>
  <si>
    <t>ВК.80.300.1200.4ТГ</t>
  </si>
  <si>
    <t>ВК.80.300.1250.4ТГ</t>
  </si>
  <si>
    <t>ВК.80.300.1300.4ТГ</t>
  </si>
  <si>
    <t>ВК.80.300.1350.4ТГ</t>
  </si>
  <si>
    <t>ВК.80.300.1400.4ТГ</t>
  </si>
  <si>
    <t>ВК.80.300.1450.4ТГ</t>
  </si>
  <si>
    <t>ВК.80.300.1500.4ТГ</t>
  </si>
  <si>
    <t>ВК.80.300.1550.4ТГ</t>
  </si>
  <si>
    <t>ВК.80.300.1600.4ТГ</t>
  </si>
  <si>
    <t>ВК.80.300.1650.4ТГ</t>
  </si>
  <si>
    <t>ВК.80.300.1700.4ТГ</t>
  </si>
  <si>
    <t>ВК.80.300.1750.4ТГ</t>
  </si>
  <si>
    <t>ВК.80.300.1800.4ТГ</t>
  </si>
  <si>
    <t>ВК.80.300.1850.4ТГ</t>
  </si>
  <si>
    <t>ВК.80.300.1900.4ТГ</t>
  </si>
  <si>
    <t>ВК.80.300.1950.4ТГ</t>
  </si>
  <si>
    <t>ВК.80.300.2000.4ТГ</t>
  </si>
  <si>
    <t>ВК.80.300.2050.4ТГ</t>
  </si>
  <si>
    <t>ВК.80.300.2100.4ТГ</t>
  </si>
  <si>
    <t>ВК.80.300.2150.4ТГ</t>
  </si>
  <si>
    <t>ВК.80.300.2200.4ТГ</t>
  </si>
  <si>
    <t>ВК.80.300.2250.4ТГ</t>
  </si>
  <si>
    <t>ВК.80.300.2300.4ТГ</t>
  </si>
  <si>
    <t>ВК.80.300.2350.4ТГ</t>
  </si>
  <si>
    <t>ВК.80.300.2400.4ТГ</t>
  </si>
  <si>
    <t>ВК.80.300.2450.4ТГ</t>
  </si>
  <si>
    <t>ВК.80.300.2500.4ТГ</t>
  </si>
  <si>
    <t>ВК.80.300.2550.4ТГ</t>
  </si>
  <si>
    <t>ВК.80.300.2600.4ТГ</t>
  </si>
  <si>
    <t>ВК.80.300.2650.4ТГ</t>
  </si>
  <si>
    <t>ВК.80.300.2700.4ТГ</t>
  </si>
  <si>
    <t>ВК.80.300.2750.4ТГ</t>
  </si>
  <si>
    <t>ВК.80.300.2800.4ТГ</t>
  </si>
  <si>
    <t>ВК.80.300.2850.4ТГ</t>
  </si>
  <si>
    <t>ВК.80.300.2900.4ТГ</t>
  </si>
  <si>
    <t>ВК.80.300.2950.4ТГ</t>
  </si>
  <si>
    <t>ВК.80.300.3000.4ТГ</t>
  </si>
  <si>
    <t>ВК.80.360.600.4ТГ</t>
  </si>
  <si>
    <t>ВК.80.360.650.4ТГ</t>
  </si>
  <si>
    <t>ВК.80.360.700.4ТГ</t>
  </si>
  <si>
    <t>ВК.80.360.750.4ТГ</t>
  </si>
  <si>
    <t>ВК.80.360.800.4ТГ</t>
  </si>
  <si>
    <t>ВК.80.360.850.4ТГ</t>
  </si>
  <si>
    <t>ВК.80.360.900.4ТГ</t>
  </si>
  <si>
    <t>ВК.80.360.950.4ТГ</t>
  </si>
  <si>
    <t>ВК.80.360.1000.4ТГ</t>
  </si>
  <si>
    <t>ВК.80.360.1050.4ТГ</t>
  </si>
  <si>
    <t>ВК.80.360.1100.4ТГ</t>
  </si>
  <si>
    <t>ВК.80.360.1150.4ТГ</t>
  </si>
  <si>
    <t>ВК.80.360.1200.4ТГ</t>
  </si>
  <si>
    <t>ВК.80.360.1250.4ТГ</t>
  </si>
  <si>
    <t>ВК.80.360.1300.4ТГ</t>
  </si>
  <si>
    <t>ВК.80.360.1350.4ТГ</t>
  </si>
  <si>
    <t>ВК.80.360.1400.4ТГ</t>
  </si>
  <si>
    <t>ВК.80.360.1450.4ТГ</t>
  </si>
  <si>
    <t>ВК.80.360.1500.4ТГ</t>
  </si>
  <si>
    <t>ВК.80.360.1550.4ТГ</t>
  </si>
  <si>
    <t>ВК.80.360.1600.4ТГ</t>
  </si>
  <si>
    <t>ВК.80.360.1650.4ТГ</t>
  </si>
  <si>
    <t>ВК.80.360.1700.4ТГ</t>
  </si>
  <si>
    <t>ВК.80.360.1750.4ТГ</t>
  </si>
  <si>
    <t>ВК.80.360.1800.4ТГ</t>
  </si>
  <si>
    <t>ВК.80.360.1850.4ТГ</t>
  </si>
  <si>
    <t>ВК.80.360.1900.4ТГ</t>
  </si>
  <si>
    <t>ВК.80.360.1950.4ТГ</t>
  </si>
  <si>
    <t>ВК.80.360.2000.4ТГ</t>
  </si>
  <si>
    <t>ВК.80.360.2050.4ТГ</t>
  </si>
  <si>
    <t>ВК.80.360.2100.4ТГ</t>
  </si>
  <si>
    <t>ВК.80.360.2150.4ТГ</t>
  </si>
  <si>
    <t>ВК.80.360.2200.4ТГ</t>
  </si>
  <si>
    <t>ВК.80.360.2250.4ТГ</t>
  </si>
  <si>
    <t>ВК.80.360.2300.4ТГ</t>
  </si>
  <si>
    <t>ВК.80.360.2350.4ТГ</t>
  </si>
  <si>
    <t>ВК.80.360.2400.4ТГ</t>
  </si>
  <si>
    <t>ВК.80.360.2450.4ТГ</t>
  </si>
  <si>
    <t>ВК.80.360.2500.4ТГ</t>
  </si>
  <si>
    <t>ВК.80.360.2550.4ТГ</t>
  </si>
  <si>
    <t>ВК.80.360.2600.4ТГ</t>
  </si>
  <si>
    <t>ВК.80.360.2650.4ТГ</t>
  </si>
  <si>
    <t>ВК.80.360.2700.4ТГ</t>
  </si>
  <si>
    <t>ВК.80.360.2750.4ТГ</t>
  </si>
  <si>
    <t>ВК.80.360.2800.4ТГ</t>
  </si>
  <si>
    <t>ВК.80.360.2850.4ТГ</t>
  </si>
  <si>
    <t>ВК.80.360.2900.4ТГ</t>
  </si>
  <si>
    <t>ВК.80.360.2950.4ТГ</t>
  </si>
  <si>
    <t>ВК.80.360.3000.4ТГ</t>
  </si>
  <si>
    <t>ВК.80.400.600.4ТГ</t>
  </si>
  <si>
    <t>ВК.80.400.650.4ТГ</t>
  </si>
  <si>
    <t>ВК.80.400.700.4ТГ</t>
  </si>
  <si>
    <t>ВК.80.400.750.4ТГ</t>
  </si>
  <si>
    <t>ВК.80.400.800.4ТГ</t>
  </si>
  <si>
    <t>ВК.80.400.850.4ТГ</t>
  </si>
  <si>
    <t>ВК.80.400.900.4ТГ</t>
  </si>
  <si>
    <t>ВК.80.400.950.4ТГ</t>
  </si>
  <si>
    <t>ВК.80.400.1000.4ТГ</t>
  </si>
  <si>
    <t>ВК.80.400.1050.4ТГ</t>
  </si>
  <si>
    <t>ВК.80.400.1100.4ТГ</t>
  </si>
  <si>
    <t>ВК.80.400.1150.4ТГ</t>
  </si>
  <si>
    <t>ВК.80.400.1200.4ТГ</t>
  </si>
  <si>
    <t>ВК.80.400.1250.4ТГ</t>
  </si>
  <si>
    <t>ВК.80.400.1300.4ТГ</t>
  </si>
  <si>
    <t>ВК.80.400.1350.4ТГ</t>
  </si>
  <si>
    <t>ВК.80.400.1400.4ТГ</t>
  </si>
  <si>
    <t>ВК.80.400.1450.4ТГ</t>
  </si>
  <si>
    <t>ВК.80.400.1500.4ТГ</t>
  </si>
  <si>
    <t>ВК.80.400.1550.4ТГ</t>
  </si>
  <si>
    <t>ВК.80.400.1600.4ТГ</t>
  </si>
  <si>
    <t>ВК.80.400.1650.4ТГ</t>
  </si>
  <si>
    <t>ВК.80.400.1700.4ТГ</t>
  </si>
  <si>
    <t>ВК.80.400.1750.4ТГ</t>
  </si>
  <si>
    <t>ВК.80.400.1800.4ТГ</t>
  </si>
  <si>
    <t>ВК.80.400.1850.4ТГ</t>
  </si>
  <si>
    <t>ВК.80.400.1900.4ТГ</t>
  </si>
  <si>
    <t>ВК.80.400.1950.4ТГ</t>
  </si>
  <si>
    <t>ВК.80.400.2000.4ТГ</t>
  </si>
  <si>
    <t>ВК.80.400.2050.4ТГ</t>
  </si>
  <si>
    <t>ВК.80.400.2100.4ТГ</t>
  </si>
  <si>
    <t>ВК.80.400.2150.4ТГ</t>
  </si>
  <si>
    <t>ВК.80.400.2200.4ТГ</t>
  </si>
  <si>
    <t>ВК.80.400.2250.4ТГ</t>
  </si>
  <si>
    <t>ВК.80.400.2300.4ТГ</t>
  </si>
  <si>
    <t>ВК.80.400.2350.4ТГ</t>
  </si>
  <si>
    <t>ВК.80.400.2400.4ТГ</t>
  </si>
  <si>
    <t>ВК.80.400.2450.4ТГ</t>
  </si>
  <si>
    <t>ВК.80.400.2500.4ТГ</t>
  </si>
  <si>
    <t>ВК.80.400.2550.4ТГ</t>
  </si>
  <si>
    <t>ВК.80.400.2600.4ТГ</t>
  </si>
  <si>
    <t>ВК.80.400.2650.4ТГ</t>
  </si>
  <si>
    <t>ВК.80.400.2700.4ТГ</t>
  </si>
  <si>
    <t>ВК.80.400.2750.4ТГ</t>
  </si>
  <si>
    <t>ВК.80.400.2800.4ТГ</t>
  </si>
  <si>
    <t>ВК.80.400.2850.4ТГ</t>
  </si>
  <si>
    <t>ВК.80.400.2900.4ТГ</t>
  </si>
  <si>
    <t>ВК.80.400.2950.4ТГ</t>
  </si>
  <si>
    <t>ВК.80.400.3000.4ТГ</t>
  </si>
  <si>
    <t>ВК.80.400.600.6ТГ</t>
  </si>
  <si>
    <t>ВК.80.400.650.6ТГ</t>
  </si>
  <si>
    <t>ВК.80.400.700.6ТГ</t>
  </si>
  <si>
    <t>ВК.80.400.750.6ТГ</t>
  </si>
  <si>
    <t>ВК.80.400.800.6ТГ</t>
  </si>
  <si>
    <t>ВК.80.400.850.6ТГ</t>
  </si>
  <si>
    <t>ВК.80.400.900.6ТГ</t>
  </si>
  <si>
    <t>ВК.80.400.950.6ТГ</t>
  </si>
  <si>
    <t>ВК.80.400.1000.6ТГ</t>
  </si>
  <si>
    <t>ВК.80.400.1050.6ТГ</t>
  </si>
  <si>
    <t>ВК.80.400.1100.6ТГ</t>
  </si>
  <si>
    <t>ВК.80.400.1150.6ТГ</t>
  </si>
  <si>
    <t>ВК.80.400.1200.6ТГ</t>
  </si>
  <si>
    <t>ВК.80.400.1250.6ТГ</t>
  </si>
  <si>
    <t>ВК.80.400.1300.6ТГ</t>
  </si>
  <si>
    <t>ВК.80.400.1350.6ТГ</t>
  </si>
  <si>
    <t>ВК.80.400.1400.6ТГ</t>
  </si>
  <si>
    <t>ВК.80.400.1450.6ТГ</t>
  </si>
  <si>
    <t>ВК.80.400.1500.6ТГ</t>
  </si>
  <si>
    <t>ВК.80.400.1550.6ТГ</t>
  </si>
  <si>
    <t>ВК.80.400.1600.6ТГ</t>
  </si>
  <si>
    <t>ВК.80.400.1650.6ТГ</t>
  </si>
  <si>
    <t>ВК.80.400.1700.6ТГ</t>
  </si>
  <si>
    <t>ВК.80.400.1750.6ТГ</t>
  </si>
  <si>
    <t>ВК.80.400.1800.6ТГ</t>
  </si>
  <si>
    <t>ВК.80.400.1850.6ТГ</t>
  </si>
  <si>
    <t>ВК.80.400.1900.6ТГ</t>
  </si>
  <si>
    <t>ВК.80.400.1950.6ТГ</t>
  </si>
  <si>
    <t>ВК.80.400.2000.6ТГ</t>
  </si>
  <si>
    <t>ВК.80.400.2050.6ТГ</t>
  </si>
  <si>
    <t>ВК.80.400.2100.6ТГ</t>
  </si>
  <si>
    <t>ВК.80.400.2150.6ТГ</t>
  </si>
  <si>
    <t>ВК.80.400.2200.6ТГ</t>
  </si>
  <si>
    <t>ВК.80.400.2250.6ТГ</t>
  </si>
  <si>
    <t>ВК.80.400.2300.6ТГ</t>
  </si>
  <si>
    <t>ВК.80.400.2350.6ТГ</t>
  </si>
  <si>
    <t>ВК.80.400.2400.6ТГ</t>
  </si>
  <si>
    <t>ВК.80.400.2450.6ТГ</t>
  </si>
  <si>
    <t>ВК.80.400.2500.6ТГ</t>
  </si>
  <si>
    <t>ВК.80.400.2550.6ТГ</t>
  </si>
  <si>
    <t>ВК.80.400.2600.6ТГ</t>
  </si>
  <si>
    <t>ВК.80.400.2650.6ТГ</t>
  </si>
  <si>
    <t>ВК.80.400.2700.6ТГ</t>
  </si>
  <si>
    <t>ВК.80.400.2750.6ТГ</t>
  </si>
  <si>
    <t>ВК.80.400.2800.6ТГ</t>
  </si>
  <si>
    <t>ВК.80.400.2850.6ТГ</t>
  </si>
  <si>
    <t>ВК.80.400.2900.6ТГ</t>
  </si>
  <si>
    <t>ВК.80.400.2950.6ТГ</t>
  </si>
  <si>
    <t>ВК.80.400.3000.6ТГ</t>
  </si>
  <si>
    <t>ВК.90.160.600.2ТГ</t>
  </si>
  <si>
    <t>ВК.90.160.650.2ТГ</t>
  </si>
  <si>
    <t>ВК.90.160.700.2ТГ</t>
  </si>
  <si>
    <t>ВК.90.160.750.2ТГ</t>
  </si>
  <si>
    <t>ВК.90.160.800.2ТГ</t>
  </si>
  <si>
    <t>ВК.90.160.850.2ТГ</t>
  </si>
  <si>
    <t>ВК.90.160.900.2ТГ</t>
  </si>
  <si>
    <t>ВК.90.160.950.2ТГ</t>
  </si>
  <si>
    <t>ВК.90.160.1000.2ТГ</t>
  </si>
  <si>
    <t>ВК.90.160.1050.2ТГ</t>
  </si>
  <si>
    <t>ВК.90.160.1100.2ТГ</t>
  </si>
  <si>
    <t>ВК.90.160.1150.2ТГ</t>
  </si>
  <si>
    <t>ВК.90.160.1200.2ТГ</t>
  </si>
  <si>
    <t>ВК.90.160.1250.2ТГ</t>
  </si>
  <si>
    <t>ВК.90.160.1300.2ТГ</t>
  </si>
  <si>
    <t>ВК.90.160.1350.2ТГ</t>
  </si>
  <si>
    <t>ВК.90.160.1400.2ТГ</t>
  </si>
  <si>
    <t>ВК.90.160.1450.2ТГ</t>
  </si>
  <si>
    <t>ВК.90.160.1500.2ТГ</t>
  </si>
  <si>
    <t>ВК.90.160.1550.2ТГ</t>
  </si>
  <si>
    <t>ВК.90.160.1600.2ТГ</t>
  </si>
  <si>
    <t>ВК.90.160.1650.2ТГ</t>
  </si>
  <si>
    <t>ВК.90.160.1700.2ТГ</t>
  </si>
  <si>
    <t>ВК.90.160.1750.2ТГ</t>
  </si>
  <si>
    <t>ВК.90.160.1800.2ТГ</t>
  </si>
  <si>
    <t>ВК.90.160.1850.2ТГ</t>
  </si>
  <si>
    <t>ВК.90.160.1900.2ТГ</t>
  </si>
  <si>
    <t>ВК.90.160.1950.2ТГ</t>
  </si>
  <si>
    <t>ВК.90.160.2000.2ТГ</t>
  </si>
  <si>
    <t>ВК.90.160.2050.2ТГ</t>
  </si>
  <si>
    <t>ВК.90.160.2100.2ТГ</t>
  </si>
  <si>
    <t>ВК.90.160.2150.2ТГ</t>
  </si>
  <si>
    <t>ВК.90.160.2200.2ТГ</t>
  </si>
  <si>
    <t>ВК.90.160.2250.2ТГ</t>
  </si>
  <si>
    <t>ВК.90.160.2300.2ТГ</t>
  </si>
  <si>
    <t>ВК.90.160.2350.2ТГ</t>
  </si>
  <si>
    <t>ВК.90.160.2400.2ТГ</t>
  </si>
  <si>
    <t>ВК.90.160.2450.2ТГ</t>
  </si>
  <si>
    <t>ВК.90.160.2500.2ТГ</t>
  </si>
  <si>
    <t>ВК.90.160.2550.2ТГ</t>
  </si>
  <si>
    <t>ВК.90.160.2600.2ТГ</t>
  </si>
  <si>
    <t>ВК.90.160.2650.2ТГ</t>
  </si>
  <si>
    <t>ВК.90.160.2700.2ТГ</t>
  </si>
  <si>
    <t>ВК.90.160.2750.2ТГ</t>
  </si>
  <si>
    <t>ВК.90.160.2800.2ТГ</t>
  </si>
  <si>
    <t>ВК.90.160.2850.2ТГ</t>
  </si>
  <si>
    <t>ВК.90.160.2900.2ТГ</t>
  </si>
  <si>
    <t>ВК.90.160.2950.2ТГ</t>
  </si>
  <si>
    <t>ВК.90.160.3000.2ТГ</t>
  </si>
  <si>
    <t>ВК.90.200.600.2ТГ</t>
  </si>
  <si>
    <t>ВК.90.200.650.2ТГ</t>
  </si>
  <si>
    <t>ВК.90.200.700.2ТГ</t>
  </si>
  <si>
    <t>ВК.90.200.750.2ТГ</t>
  </si>
  <si>
    <t>ВК.90.200.800.2ТГ</t>
  </si>
  <si>
    <t>ВК.90.200.850.2ТГ</t>
  </si>
  <si>
    <t>ВК.90.200.900.2ТГ</t>
  </si>
  <si>
    <t>ВК.90.200.950.2ТГ</t>
  </si>
  <si>
    <t>ВК.90.200.1000.2ТГ</t>
  </si>
  <si>
    <t>ВК.90.200.1050.2ТГ</t>
  </si>
  <si>
    <t>ВК.90.200.1100.2ТГ</t>
  </si>
  <si>
    <t>ВК.90.200.1150.2ТГ</t>
  </si>
  <si>
    <t>ВК.90.200.1200.2ТГ</t>
  </si>
  <si>
    <t>ВК.90.200.1250.2ТГ</t>
  </si>
  <si>
    <t>ВК.90.200.1300.2ТГ</t>
  </si>
  <si>
    <t>ВК.90.200.1350.2ТГ</t>
  </si>
  <si>
    <t>ВК.90.200.1400.2ТГ</t>
  </si>
  <si>
    <t>ВК.90.200.1450.2ТГ</t>
  </si>
  <si>
    <t>ВК.90.200.1500.2ТГ</t>
  </si>
  <si>
    <t>ВК.90.200.1550.2ТГ</t>
  </si>
  <si>
    <t>ВК.90.200.1600.2ТГ</t>
  </si>
  <si>
    <t>ВК.90.200.1650.2ТГ</t>
  </si>
  <si>
    <t>ВК.90.200.1700.2ТГ</t>
  </si>
  <si>
    <t>ВК.90.200.1750.2ТГ</t>
  </si>
  <si>
    <t>ВК.90.200.1800.2ТГ</t>
  </si>
  <si>
    <t>ВК.90.200.1850.2ТГ</t>
  </si>
  <si>
    <t>ВК.90.200.1900.2ТГ</t>
  </si>
  <si>
    <t>ВК.90.200.1950.2ТГ</t>
  </si>
  <si>
    <t>ВК.90.200.2000.2ТГ</t>
  </si>
  <si>
    <t>ВК.90.200.2050.2ТГ</t>
  </si>
  <si>
    <t>ВК.90.200.2100.2ТГ</t>
  </si>
  <si>
    <t>ВК.90.200.2150.2ТГ</t>
  </si>
  <si>
    <t>ВК.90.200.2200.2ТГ</t>
  </si>
  <si>
    <t>ВК.90.200.2250.2ТГ</t>
  </si>
  <si>
    <t>ВК.90.200.2300.2ТГ</t>
  </si>
  <si>
    <t>ВК.90.200.2350.2ТГ</t>
  </si>
  <si>
    <t>ВК.90.200.2400.2ТГ</t>
  </si>
  <si>
    <t>ВК.90.200.2450.2ТГ</t>
  </si>
  <si>
    <t>ВК.90.200.2500.2ТГ</t>
  </si>
  <si>
    <t>ВК.90.200.2550.2ТГ</t>
  </si>
  <si>
    <t>ВК.90.200.2600.2ТГ</t>
  </si>
  <si>
    <t>ВК.90.200.2650.2ТГ</t>
  </si>
  <si>
    <t>ВК.90.200.2700.2ТГ</t>
  </si>
  <si>
    <t>ВК.90.200.2750.2ТГ</t>
  </si>
  <si>
    <t>ВК.90.200.2800.2ТГ</t>
  </si>
  <si>
    <t>ВК.90.200.2850.2ТГ</t>
  </si>
  <si>
    <t>ВК.90.200.2900.2ТГ</t>
  </si>
  <si>
    <t>ВК.90.200.2950.2ТГ</t>
  </si>
  <si>
    <t>ВК.90.200.3000.2ТГ</t>
  </si>
  <si>
    <t>ВК.90.260.600.2ТГ</t>
  </si>
  <si>
    <t>ВК.90.260.650.2ТГ</t>
  </si>
  <si>
    <t>ВК.90.260.700.2ТГ</t>
  </si>
  <si>
    <t>ВК.90.260.750.2ТГ</t>
  </si>
  <si>
    <t>ВК.90.260.800.2ТГ</t>
  </si>
  <si>
    <t>ВК.90.260.850.2ТГ</t>
  </si>
  <si>
    <t>ВК.90.260.900.2ТГ</t>
  </si>
  <si>
    <t>ВК.90.260.950.2ТГ</t>
  </si>
  <si>
    <t>ВК.90.260.1000.2ТГ</t>
  </si>
  <si>
    <t>ВК.90.260.1050.2ТГ</t>
  </si>
  <si>
    <t>ВК.90.260.1100.2ТГ</t>
  </si>
  <si>
    <t>ВК.90.260.1150.2ТГ</t>
  </si>
  <si>
    <t>ВК.90.260.1200.2ТГ</t>
  </si>
  <si>
    <t>ВК.90.260.1250.2ТГ</t>
  </si>
  <si>
    <t>ВК.90.260.1300.2ТГ</t>
  </si>
  <si>
    <t>ВК.90.260.1350.2ТГ</t>
  </si>
  <si>
    <t>ВК.90.260.1400.2ТГ</t>
  </si>
  <si>
    <t>ВК.90.260.1450.2ТГ</t>
  </si>
  <si>
    <t>ВК.90.260.1500.2ТГ</t>
  </si>
  <si>
    <t>ВК.90.260.1550.2ТГ</t>
  </si>
  <si>
    <t>ВК.90.260.1600.2ТГ</t>
  </si>
  <si>
    <t>ВК.90.260.1650.2ТГ</t>
  </si>
  <si>
    <t>ВК.90.260.1700.2ТГ</t>
  </si>
  <si>
    <t>ВК.90.260.1750.2ТГ</t>
  </si>
  <si>
    <t>ВК.90.260.1800.2ТГ</t>
  </si>
  <si>
    <t>ВК.90.260.1850.2ТГ</t>
  </si>
  <si>
    <t>ВК.90.260.1900.2ТГ</t>
  </si>
  <si>
    <t>ВК.90.260.1950.2ТГ</t>
  </si>
  <si>
    <t>ВК.90.260.2000.2ТГ</t>
  </si>
  <si>
    <t>ВК.90.260.2050.2ТГ</t>
  </si>
  <si>
    <t>ВК.90.260.2100.2ТГ</t>
  </si>
  <si>
    <t>ВК.90.260.2150.2ТГ</t>
  </si>
  <si>
    <t>ВК.90.260.2200.2ТГ</t>
  </si>
  <si>
    <t>ВК.90.260.2250.2ТГ</t>
  </si>
  <si>
    <t>ВК.90.260.2300.2ТГ</t>
  </si>
  <si>
    <t>ВК.90.260.2350.2ТГ</t>
  </si>
  <si>
    <t>ВК.90.260.2400.2ТГ</t>
  </si>
  <si>
    <t>ВК.90.260.2450.2ТГ</t>
  </si>
  <si>
    <t>ВК.90.260.2500.2ТГ</t>
  </si>
  <si>
    <t>ВК.90.260.2550.2ТГ</t>
  </si>
  <si>
    <t>ВК.90.260.2600.2ТГ</t>
  </si>
  <si>
    <t>ВК.90.260.2650.2ТГ</t>
  </si>
  <si>
    <t>ВК.90.260.2700.2ТГ</t>
  </si>
  <si>
    <t>ВК.90.260.2750.2ТГ</t>
  </si>
  <si>
    <t>ВК.90.260.2800.2ТГ</t>
  </si>
  <si>
    <t>ВК.90.260.2850.2ТГ</t>
  </si>
  <si>
    <t>ВК.90.260.2900.2ТГ</t>
  </si>
  <si>
    <t>ВК.90.260.2950.2ТГ</t>
  </si>
  <si>
    <t>ВК.90.260.3000.2ТГ</t>
  </si>
  <si>
    <t>ВК.90.300.600.2ТГ</t>
  </si>
  <si>
    <t>ВК.90.300.650.2ТГ</t>
  </si>
  <si>
    <t>ВК.90.300.700.2ТГ</t>
  </si>
  <si>
    <t>ВК.90.300.750.2ТГ</t>
  </si>
  <si>
    <t>ВК.90.300.800.2ТГ</t>
  </si>
  <si>
    <t>ВК.90.300.850.2ТГ</t>
  </si>
  <si>
    <t>ВК.90.300.900.2ТГ</t>
  </si>
  <si>
    <t>ВК.90.300.950.2ТГ</t>
  </si>
  <si>
    <t>ВК.90.300.1000.2ТГ</t>
  </si>
  <si>
    <t>ВК.90.300.1050.2ТГ</t>
  </si>
  <si>
    <t>ВК.90.300.1100.2ТГ</t>
  </si>
  <si>
    <t>ВК.90.300.1150.2ТГ</t>
  </si>
  <si>
    <t>ВК.90.300.1200.2ТГ</t>
  </si>
  <si>
    <t>ВК.90.300.1250.2ТГ</t>
  </si>
  <si>
    <t>ВК.90.300.1300.2ТГ</t>
  </si>
  <si>
    <t>ВК.90.300.1350.2ТГ</t>
  </si>
  <si>
    <t>ВК.90.300.1400.2ТГ</t>
  </si>
  <si>
    <t>ВК.90.300.1450.2ТГ</t>
  </si>
  <si>
    <t>ВК.90.300.1500.2ТГ</t>
  </si>
  <si>
    <t>ВК.90.300.1550.2ТГ</t>
  </si>
  <si>
    <t>ВК.90.300.1600.2ТГ</t>
  </si>
  <si>
    <t>ВК.90.300.1650.2ТГ</t>
  </si>
  <si>
    <t>ВК.90.300.1700.2ТГ</t>
  </si>
  <si>
    <t>ВК.90.300.1750.2ТГ</t>
  </si>
  <si>
    <t>ВК.90.300.1800.2ТГ</t>
  </si>
  <si>
    <t>ВК.90.300.1850.2ТГ</t>
  </si>
  <si>
    <t>ВК.90.300.1900.2ТГ</t>
  </si>
  <si>
    <t>ВК.90.300.1950.2ТГ</t>
  </si>
  <si>
    <t>ВК.90.300.2000.2ТГ</t>
  </si>
  <si>
    <t>ВК.90.300.2050.2ТГ</t>
  </si>
  <si>
    <t>ВК.90.300.2100.2ТГ</t>
  </si>
  <si>
    <t>ВК.90.300.2150.2ТГ</t>
  </si>
  <si>
    <t>ВК.90.300.2200.2ТГ</t>
  </si>
  <si>
    <t>ВК.90.300.2250.2ТГ</t>
  </si>
  <si>
    <t>ВК.90.300.2300.2ТГ</t>
  </si>
  <si>
    <t>ВК.90.300.2350.2ТГ</t>
  </si>
  <si>
    <t>ВК.90.300.2400.2ТГ</t>
  </si>
  <si>
    <t>ВК.90.300.2450.2ТГ</t>
  </si>
  <si>
    <t>ВК.90.300.2500.2ТГ</t>
  </si>
  <si>
    <t>ВК.90.300.2550.2ТГ</t>
  </si>
  <si>
    <t>ВК.90.300.2600.2ТГ</t>
  </si>
  <si>
    <t>ВК.90.300.2650.2ТГ</t>
  </si>
  <si>
    <t>ВК.90.300.2700.2ТГ</t>
  </si>
  <si>
    <t>ВК.90.300.2750.2ТГ</t>
  </si>
  <si>
    <t>ВК.90.300.2800.2ТГ</t>
  </si>
  <si>
    <t>ВК.90.300.2850.2ТГ</t>
  </si>
  <si>
    <t>ВК.90.300.2900.2ТГ</t>
  </si>
  <si>
    <t>ВК.90.300.2950.2ТГ</t>
  </si>
  <si>
    <t>ВК.90.300.3000.2ТГ</t>
  </si>
  <si>
    <t>ВК.90.300.600.4ТГ</t>
  </si>
  <si>
    <t>ВК.90.300.650.4ТГ</t>
  </si>
  <si>
    <t>ВК.90.300.700.4ТГ</t>
  </si>
  <si>
    <t>ВК.90.300.750.4ТГ</t>
  </si>
  <si>
    <t>ВК.90.300.800.4ТГ</t>
  </si>
  <si>
    <t>ВК.90.300.850.4ТГ</t>
  </si>
  <si>
    <t>ВК.90.300.900.4ТГ</t>
  </si>
  <si>
    <t>ВК.90.300.950.4ТГ</t>
  </si>
  <si>
    <t>ВК.90.300.1000.4ТГ</t>
  </si>
  <si>
    <t>ВК.90.300.1050.4ТГ</t>
  </si>
  <si>
    <t>ВК.90.300.1100.4ТГ</t>
  </si>
  <si>
    <t>ВК.90.300.1150.4ТГ</t>
  </si>
  <si>
    <t>ВК.90.300.1200.4ТГ</t>
  </si>
  <si>
    <t>ВК.90.300.1250.4ТГ</t>
  </si>
  <si>
    <t>ВК.90.300.1300.4ТГ</t>
  </si>
  <si>
    <t>ВК.90.300.1350.4ТГ</t>
  </si>
  <si>
    <t>ВК.90.300.1400.4ТГ</t>
  </si>
  <si>
    <t>ВК.90.300.1450.4ТГ</t>
  </si>
  <si>
    <t>ВК.90.300.1500.4ТГ</t>
  </si>
  <si>
    <t>ВК.90.300.1550.4ТГ</t>
  </si>
  <si>
    <t>ВК.90.300.1600.4ТГ</t>
  </si>
  <si>
    <t>ВК.90.300.1650.4ТГ</t>
  </si>
  <si>
    <t>ВК.90.300.1700.4ТГ</t>
  </si>
  <si>
    <t>ВК.90.300.1750.4ТГ</t>
  </si>
  <si>
    <t>ВК.90.300.1800.4ТГ</t>
  </si>
  <si>
    <t>ВК.90.300.1850.4ТГ</t>
  </si>
  <si>
    <t>ВК.90.300.1900.4ТГ</t>
  </si>
  <si>
    <t>ВК.90.300.1950.4ТГ</t>
  </si>
  <si>
    <t>ВК.90.300.2000.4ТГ</t>
  </si>
  <si>
    <t>ВК.90.300.2050.4ТГ</t>
  </si>
  <si>
    <t>ВК.90.300.2100.4ТГ</t>
  </si>
  <si>
    <t>ВК.90.300.2150.4ТГ</t>
  </si>
  <si>
    <t>ВК.90.300.2200.4ТГ</t>
  </si>
  <si>
    <t>ВК.90.300.2250.4ТГ</t>
  </si>
  <si>
    <t>ВК.90.300.2300.4ТГ</t>
  </si>
  <si>
    <t>ВК.90.300.2350.4ТГ</t>
  </si>
  <si>
    <t>ВК.90.300.2400.4ТГ</t>
  </si>
  <si>
    <t>ВК.90.300.2450.4ТГ</t>
  </si>
  <si>
    <t>ВК.90.300.2500.4ТГ</t>
  </si>
  <si>
    <t>ВК.90.300.2550.4ТГ</t>
  </si>
  <si>
    <t>ВК.90.300.2600.4ТГ</t>
  </si>
  <si>
    <t>ВК.90.300.2650.4ТГ</t>
  </si>
  <si>
    <t>ВК.90.300.2700.4ТГ</t>
  </si>
  <si>
    <t>ВК.90.300.2750.4ТГ</t>
  </si>
  <si>
    <t>ВК.90.300.2800.4ТГ</t>
  </si>
  <si>
    <t>ВК.90.300.2850.4ТГ</t>
  </si>
  <si>
    <t>ВК.90.300.2900.4ТГ</t>
  </si>
  <si>
    <t>ВК.90.300.2950.4ТГ</t>
  </si>
  <si>
    <t>ВК.90.300.3000.4ТГ</t>
  </si>
  <si>
    <t>ВК.90.360.600.4ТГ</t>
  </si>
  <si>
    <t>ВК.90.360.650.4ТГ</t>
  </si>
  <si>
    <t>ВК.90.360.700.4ТГ</t>
  </si>
  <si>
    <t>ВК.90.360.750.4ТГ</t>
  </si>
  <si>
    <t>ВК.90.360.800.4ТГ</t>
  </si>
  <si>
    <t>ВК.90.360.850.4ТГ</t>
  </si>
  <si>
    <t>ВК.90.360.900.4ТГ</t>
  </si>
  <si>
    <t>ВК.90.360.950.4ТГ</t>
  </si>
  <si>
    <t>ВК.90.360.1000.4ТГ</t>
  </si>
  <si>
    <t>ВК.90.360.1050.4ТГ</t>
  </si>
  <si>
    <t>ВК.90.360.1100.4ТГ</t>
  </si>
  <si>
    <t>ВК.90.360.1150.4ТГ</t>
  </si>
  <si>
    <t>ВК.90.360.1200.4ТГ</t>
  </si>
  <si>
    <t>ВК.90.360.1250.4ТГ</t>
  </si>
  <si>
    <t>ВК.90.360.1300.4ТГ</t>
  </si>
  <si>
    <t>ВК.90.360.1350.4ТГ</t>
  </si>
  <si>
    <t>ВК.90.360.1400.4ТГ</t>
  </si>
  <si>
    <t>ВК.90.360.1450.4ТГ</t>
  </si>
  <si>
    <t>ВК.90.360.1500.4ТГ</t>
  </si>
  <si>
    <t>ВК.90.360.1550.4ТГ</t>
  </si>
  <si>
    <t>ВК.90.360.1600.4ТГ</t>
  </si>
  <si>
    <t>ВК.90.360.1650.4ТГ</t>
  </si>
  <si>
    <t>ВК.90.360.1700.4ТГ</t>
  </si>
  <si>
    <t>ВК.90.360.1750.4ТГ</t>
  </si>
  <si>
    <t>ВК.90.360.1800.4ТГ</t>
  </si>
  <si>
    <t>ВК.90.360.1850.4ТГ</t>
  </si>
  <si>
    <t>ВК.90.360.1900.4ТГ</t>
  </si>
  <si>
    <t>ВК.90.360.1950.4ТГ</t>
  </si>
  <si>
    <t>ВК.90.360.2000.4ТГ</t>
  </si>
  <si>
    <t>ВК.90.360.2050.4ТГ</t>
  </si>
  <si>
    <t>ВК.90.360.2100.4ТГ</t>
  </si>
  <si>
    <t>ВК.90.360.2150.4ТГ</t>
  </si>
  <si>
    <t>ВК.90.360.2200.4ТГ</t>
  </si>
  <si>
    <t>ВК.90.360.2250.4ТГ</t>
  </si>
  <si>
    <t>ВК.90.360.2300.4ТГ</t>
  </si>
  <si>
    <t>ВК.90.360.2350.4ТГ</t>
  </si>
  <si>
    <t>ВК.90.360.2400.4ТГ</t>
  </si>
  <si>
    <t>ВК.90.360.2450.4ТГ</t>
  </si>
  <si>
    <t>ВК.90.360.2500.4ТГ</t>
  </si>
  <si>
    <t>ВК.90.360.2550.4ТГ</t>
  </si>
  <si>
    <t>ВК.90.360.2600.4ТГ</t>
  </si>
  <si>
    <t>ВК.90.360.2650.4ТГ</t>
  </si>
  <si>
    <t>ВК.90.360.2700.4ТГ</t>
  </si>
  <si>
    <t>ВК.90.360.2750.4ТГ</t>
  </si>
  <si>
    <t>ВК.90.360.2800.4ТГ</t>
  </si>
  <si>
    <t>ВК.90.360.2850.4ТГ</t>
  </si>
  <si>
    <t>ВК.90.360.2900.4ТГ</t>
  </si>
  <si>
    <t>ВК.90.360.2950.4ТГ</t>
  </si>
  <si>
    <t>ВК.90.360.3000.4ТГ</t>
  </si>
  <si>
    <t>ВК.90.400.600.4ТГ</t>
  </si>
  <si>
    <t>ВК.90.400.650.4ТГ</t>
  </si>
  <si>
    <t>ВК.90.400.700.4ТГ</t>
  </si>
  <si>
    <t>ВК.90.400.750.4ТГ</t>
  </si>
  <si>
    <t>ВК.90.400.800.4ТГ</t>
  </si>
  <si>
    <t>ВК.90.400.850.4ТГ</t>
  </si>
  <si>
    <t>ВК.90.400.900.4ТГ</t>
  </si>
  <si>
    <t>ВК.90.400.950.4ТГ</t>
  </si>
  <si>
    <t>ВК.90.400.1000.4ТГ</t>
  </si>
  <si>
    <t>ВК.90.400.1050.4ТГ</t>
  </si>
  <si>
    <t>ВК.90.400.1100.4ТГ</t>
  </si>
  <si>
    <t>ВК.90.400.1150.4ТГ</t>
  </si>
  <si>
    <t>ВК.90.400.1200.4ТГ</t>
  </si>
  <si>
    <t>ВК.90.400.1250.4ТГ</t>
  </si>
  <si>
    <t>ВК.90.400.1300.4ТГ</t>
  </si>
  <si>
    <t>ВК.90.400.1350.4ТГ</t>
  </si>
  <si>
    <t>ВК.90.400.1400.4ТГ</t>
  </si>
  <si>
    <t>ВК.90.400.1450.4ТГ</t>
  </si>
  <si>
    <t>ВК.90.400.1500.4ТГ</t>
  </si>
  <si>
    <t>ВК.90.400.1550.4ТГ</t>
  </si>
  <si>
    <t>ВК.90.400.1600.4ТГ</t>
  </si>
  <si>
    <t>ВК.90.400.1650.4ТГ</t>
  </si>
  <si>
    <t>ВК.90.400.1700.4ТГ</t>
  </si>
  <si>
    <t>ВК.90.400.1750.4ТГ</t>
  </si>
  <si>
    <t>ВК.90.400.1800.4ТГ</t>
  </si>
  <si>
    <t>ВК.90.400.1850.4ТГ</t>
  </si>
  <si>
    <t>ВК.90.400.1900.4ТГ</t>
  </si>
  <si>
    <t>ВК.90.400.1950.4ТГ</t>
  </si>
  <si>
    <t>ВК.90.400.2000.4ТГ</t>
  </si>
  <si>
    <t>ВК.90.400.2050.4ТГ</t>
  </si>
  <si>
    <t>ВК.90.400.2100.4ТГ</t>
  </si>
  <si>
    <t>ВК.90.400.2150.4ТГ</t>
  </si>
  <si>
    <t>ВК.90.400.2200.4ТГ</t>
  </si>
  <si>
    <t>ВК.90.400.2250.4ТГ</t>
  </si>
  <si>
    <t>ВК.90.400.2300.4ТГ</t>
  </si>
  <si>
    <t>ВК.90.400.2350.4ТГ</t>
  </si>
  <si>
    <t>ВК.90.400.2400.4ТГ</t>
  </si>
  <si>
    <t>ВК.90.400.2450.4ТГ</t>
  </si>
  <si>
    <t>ВК.90.400.2500.4ТГ</t>
  </si>
  <si>
    <t>ВК.90.400.2550.4ТГ</t>
  </si>
  <si>
    <t>ВК.90.400.2600.4ТГ</t>
  </si>
  <si>
    <t>ВК.90.400.2650.4ТГ</t>
  </si>
  <si>
    <t>ВК.90.400.2700.4ТГ</t>
  </si>
  <si>
    <t>ВК.90.400.2750.4ТГ</t>
  </si>
  <si>
    <t>ВК.90.400.2800.4ТГ</t>
  </si>
  <si>
    <t>ВК.90.400.2850.4ТГ</t>
  </si>
  <si>
    <t>ВК.90.400.2900.4ТГ</t>
  </si>
  <si>
    <t>ВК.90.400.2950.4ТГ</t>
  </si>
  <si>
    <t>ВК.90.400.3000.4ТГ</t>
  </si>
  <si>
    <t>ВК.90.400.600.6ТГ</t>
  </si>
  <si>
    <t>ВК.90.400.650.6ТГ</t>
  </si>
  <si>
    <t>ВК.90.400.700.6ТГ</t>
  </si>
  <si>
    <t>ВК.90.400.750.6ТГ</t>
  </si>
  <si>
    <t>ВК.90.400.800.6ТГ</t>
  </si>
  <si>
    <t>ВК.90.400.850.6ТГ</t>
  </si>
  <si>
    <t>ВК.90.400.900.6ТГ</t>
  </si>
  <si>
    <t>ВК.90.400.950.6ТГ</t>
  </si>
  <si>
    <t>ВК.90.400.1000.6ТГ</t>
  </si>
  <si>
    <t>ВК.90.400.1050.6ТГ</t>
  </si>
  <si>
    <t>ВК.90.400.1100.6ТГ</t>
  </si>
  <si>
    <t>ВК.90.400.1150.6ТГ</t>
  </si>
  <si>
    <t>ВК.90.400.1200.6ТГ</t>
  </si>
  <si>
    <t>ВК.90.400.1250.6ТГ</t>
  </si>
  <si>
    <t>ВК.90.400.1300.6ТГ</t>
  </si>
  <si>
    <t>ВК.90.400.1350.6ТГ</t>
  </si>
  <si>
    <t>ВК.90.400.1400.6ТГ</t>
  </si>
  <si>
    <t>ВК.90.400.1450.6ТГ</t>
  </si>
  <si>
    <t>ВК.90.400.1500.6ТГ</t>
  </si>
  <si>
    <t>ВК.90.400.1550.6ТГ</t>
  </si>
  <si>
    <t>ВК.90.400.1600.6ТГ</t>
  </si>
  <si>
    <t>ВК.90.400.1650.6ТГ</t>
  </si>
  <si>
    <t>ВК.90.400.1700.6ТГ</t>
  </si>
  <si>
    <t>ВК.90.400.1750.6ТГ</t>
  </si>
  <si>
    <t>ВК.90.400.1800.6ТГ</t>
  </si>
  <si>
    <t>ВК.90.400.1850.6ТГ</t>
  </si>
  <si>
    <t>ВК.90.400.1900.6ТГ</t>
  </si>
  <si>
    <t>ВК.90.400.1950.6ТГ</t>
  </si>
  <si>
    <t>ВК.90.400.2000.6ТГ</t>
  </si>
  <si>
    <t>ВК.90.400.2050.6ТГ</t>
  </si>
  <si>
    <t>ВК.90.400.2100.6ТГ</t>
  </si>
  <si>
    <t>ВК.90.400.2150.6ТГ</t>
  </si>
  <si>
    <t>ВК.90.400.2200.6ТГ</t>
  </si>
  <si>
    <t>ВК.90.400.2250.6ТГ</t>
  </si>
  <si>
    <t>ВК.90.400.2300.6ТГ</t>
  </si>
  <si>
    <t>ВК.90.400.2350.6ТГ</t>
  </si>
  <si>
    <t>ВК.90.400.2400.6ТГ</t>
  </si>
  <si>
    <t>ВК.90.400.2450.6ТГ</t>
  </si>
  <si>
    <t>ВК.90.400.2500.6ТГ</t>
  </si>
  <si>
    <t>ВК.90.400.2550.6ТГ</t>
  </si>
  <si>
    <t>ВК.90.400.2600.6ТГ</t>
  </si>
  <si>
    <t>ВК.90.400.2650.6ТГ</t>
  </si>
  <si>
    <t>ВК.90.400.2700.6ТГ</t>
  </si>
  <si>
    <t>ВК.90.400.2750.6ТГ</t>
  </si>
  <si>
    <t>ВК.90.400.2800.6ТГ</t>
  </si>
  <si>
    <t>ВК.90.400.2850.6ТГ</t>
  </si>
  <si>
    <t>ВК.90.400.2900.6ТГ</t>
  </si>
  <si>
    <t>ВК.90.400.2950.6ТГ</t>
  </si>
  <si>
    <t>ВК.90.400.3000.6ТГ</t>
  </si>
  <si>
    <t>ВК.110.160.600.2ТГ</t>
  </si>
  <si>
    <t>ВК.110.160.650.2ТГ</t>
  </si>
  <si>
    <t>ВК.110.160.700.2ТГ</t>
  </si>
  <si>
    <t>ВК.110.160.750.2ТГ</t>
  </si>
  <si>
    <t>ВК.110.160.800.2ТГ</t>
  </si>
  <si>
    <t>ВК.110.160.850.2ТГ</t>
  </si>
  <si>
    <t>ВК.110.160.900.2ТГ</t>
  </si>
  <si>
    <t>ВК.110.160.950.2ТГ</t>
  </si>
  <si>
    <t>ВК.110.160.1000.2ТГ</t>
  </si>
  <si>
    <t>ВК.110.160.1050.2ТГ</t>
  </si>
  <si>
    <t>ВК.110.160.1100.2ТГ</t>
  </si>
  <si>
    <t>ВК.110.160.1150.2ТГ</t>
  </si>
  <si>
    <t>ВК.110.160.1200.2ТГ</t>
  </si>
  <si>
    <t>ВК.110.160.1250.2ТГ</t>
  </si>
  <si>
    <t>ВК.110.160.1300.2ТГ</t>
  </si>
  <si>
    <t>ВК.110.160.1350.2ТГ</t>
  </si>
  <si>
    <t>ВК.110.160.1400.2ТГ</t>
  </si>
  <si>
    <t>ВК.110.160.1450.2ТГ</t>
  </si>
  <si>
    <t>ВК.110.160.1500.2ТГ</t>
  </si>
  <si>
    <t>ВК.110.160.1550.2ТГ</t>
  </si>
  <si>
    <t>ВК.110.160.1600.2ТГ</t>
  </si>
  <si>
    <t>ВК.110.160.1650.2ТГ</t>
  </si>
  <si>
    <t>ВК.110.160.1700.2ТГ</t>
  </si>
  <si>
    <t>ВК.110.160.1750.2ТГ</t>
  </si>
  <si>
    <t>ВК.110.160.1800.2ТГ</t>
  </si>
  <si>
    <t>ВК.110.160.1850.2ТГ</t>
  </si>
  <si>
    <t>ВК.110.160.1900.2ТГ</t>
  </si>
  <si>
    <t>ВК.110.160.1950.2ТГ</t>
  </si>
  <si>
    <t>ВК.110.160.2000.2ТГ</t>
  </si>
  <si>
    <t>ВК.110.160.2050.2ТГ</t>
  </si>
  <si>
    <t>ВК.110.160.2100.2ТГ</t>
  </si>
  <si>
    <t>ВК.110.160.2150.2ТГ</t>
  </si>
  <si>
    <t>ВК.110.160.2200.2ТГ</t>
  </si>
  <si>
    <t>ВК.110.160.2250.2ТГ</t>
  </si>
  <si>
    <t>ВК.110.160.2300.2ТГ</t>
  </si>
  <si>
    <t>ВК.110.160.2350.2ТГ</t>
  </si>
  <si>
    <t>ВК.110.160.2400.2ТГ</t>
  </si>
  <si>
    <t>ВК.110.160.2450.2ТГ</t>
  </si>
  <si>
    <t>ВК.110.160.2500.2ТГ</t>
  </si>
  <si>
    <t>ВК.110.160.2550.2ТГ</t>
  </si>
  <si>
    <t>ВК.110.160.2600.2ТГ</t>
  </si>
  <si>
    <t>ВК.110.160.2650.2ТГ</t>
  </si>
  <si>
    <t>ВК.110.160.2700.2ТГ</t>
  </si>
  <si>
    <t>ВК.110.160.2750.2ТГ</t>
  </si>
  <si>
    <t>ВК.110.160.2800.2ТГ</t>
  </si>
  <si>
    <t>ВК.110.160.2850.2ТГ</t>
  </si>
  <si>
    <t>ВК.110.160.2900.2ТГ</t>
  </si>
  <si>
    <t>ВК.110.160.2950.2ТГ</t>
  </si>
  <si>
    <t>ВК.110.160.3000.2ТГ</t>
  </si>
  <si>
    <t>ВК.110.200.600.2ТГ</t>
  </si>
  <si>
    <t>ВК.110.200.650.2ТГ</t>
  </si>
  <si>
    <t>ВК.110.200.700.2ТГ</t>
  </si>
  <si>
    <t>ВК.110.200.750.2ТГ</t>
  </si>
  <si>
    <t>ВК.110.200.800.2ТГ</t>
  </si>
  <si>
    <t>ВК.110.200.850.2ТГ</t>
  </si>
  <si>
    <t>ВК.110.200.900.2ТГ</t>
  </si>
  <si>
    <t>ВК.110.200.950.2ТГ</t>
  </si>
  <si>
    <t>ВК.110.200.1000.2ТГ</t>
  </si>
  <si>
    <t>ВК.110.200.1050.2ТГ</t>
  </si>
  <si>
    <t>ВК.110.200.1100.2ТГ</t>
  </si>
  <si>
    <t>ВК.110.200.1150.2ТГ</t>
  </si>
  <si>
    <t>ВК.110.200.1200.2ТГ</t>
  </si>
  <si>
    <t>ВК.110.200.1250.2ТГ</t>
  </si>
  <si>
    <t>ВК.110.200.1300.2ТГ</t>
  </si>
  <si>
    <t>ВК.110.200.1350.2ТГ</t>
  </si>
  <si>
    <t>ВК.110.200.1400.2ТГ</t>
  </si>
  <si>
    <t>ВК.110.200.1450.2ТГ</t>
  </si>
  <si>
    <t>ВК.110.200.1500.2ТГ</t>
  </si>
  <si>
    <t>ВК.110.200.1550.2ТГ</t>
  </si>
  <si>
    <t>ВК.110.200.1600.2ТГ</t>
  </si>
  <si>
    <t>ВК.110.200.1650.2ТГ</t>
  </si>
  <si>
    <t>ВК.110.200.1700.2ТГ</t>
  </si>
  <si>
    <t>ВК.110.200.1750.2ТГ</t>
  </si>
  <si>
    <t>ВК.110.200.1800.2ТГ</t>
  </si>
  <si>
    <t>ВК.110.200.1850.2ТГ</t>
  </si>
  <si>
    <t>ВК.110.200.1900.2ТГ</t>
  </si>
  <si>
    <t>ВК.110.200.1950.2ТГ</t>
  </si>
  <si>
    <t>ВК.110.200.2000.2ТГ</t>
  </si>
  <si>
    <t>ВК.110.200.2050.2ТГ</t>
  </si>
  <si>
    <t>ВК.110.200.2100.2ТГ</t>
  </si>
  <si>
    <t>ВК.110.200.2150.2ТГ</t>
  </si>
  <si>
    <t>ВК.110.200.2200.2ТГ</t>
  </si>
  <si>
    <t>ВК.110.200.2250.2ТГ</t>
  </si>
  <si>
    <t>ВК.110.200.2300.2ТГ</t>
  </si>
  <si>
    <t>ВК.110.200.2350.2ТГ</t>
  </si>
  <si>
    <t>ВК.110.200.2400.2ТГ</t>
  </si>
  <si>
    <t>ВК.110.200.2450.2ТГ</t>
  </si>
  <si>
    <t>ВК.110.200.2500.2ТГ</t>
  </si>
  <si>
    <t>ВК.110.200.2550.2ТГ</t>
  </si>
  <si>
    <t>ВК.110.200.2600.2ТГ</t>
  </si>
  <si>
    <t>ВК.110.200.2650.2ТГ</t>
  </si>
  <si>
    <t>ВК.110.200.2700.2ТГ</t>
  </si>
  <si>
    <t>ВК.110.200.2750.2ТГ</t>
  </si>
  <si>
    <t>ВК.110.200.2800.2ТГ</t>
  </si>
  <si>
    <t>ВК.110.200.2850.2ТГ</t>
  </si>
  <si>
    <t>ВК.110.200.2900.2ТГ</t>
  </si>
  <si>
    <t>ВК.110.200.2950.2ТГ</t>
  </si>
  <si>
    <t>ВК.110.200.3000.2ТГ</t>
  </si>
  <si>
    <t>ВК.110.260.600.2ТГ</t>
  </si>
  <si>
    <t>ВК.110.260.650.2ТГ</t>
  </si>
  <si>
    <t>ВК.110.260.700.2ТГ</t>
  </si>
  <si>
    <t>ВК.110.260.750.2ТГ</t>
  </si>
  <si>
    <t>ВК.110.260.800.2ТГ</t>
  </si>
  <si>
    <t>ВК.110.260.850.2ТГ</t>
  </si>
  <si>
    <t>ВК.110.260.900.2ТГ</t>
  </si>
  <si>
    <t>ВК.110.260.950.2ТГ</t>
  </si>
  <si>
    <t>ВК.110.260.1000.2ТГ</t>
  </si>
  <si>
    <t>ВК.110.260.1050.2ТГ</t>
  </si>
  <si>
    <t>ВК.110.260.1100.2ТГ</t>
  </si>
  <si>
    <t>ВК.110.260.1150.2ТГ</t>
  </si>
  <si>
    <t>ВК.110.260.1200.2ТГ</t>
  </si>
  <si>
    <t>ВК.110.260.1250.2ТГ</t>
  </si>
  <si>
    <t>ВК.110.260.1300.2ТГ</t>
  </si>
  <si>
    <t>ВК.110.260.1350.2ТГ</t>
  </si>
  <si>
    <t>ВК.110.260.1400.2ТГ</t>
  </si>
  <si>
    <t>ВК.110.260.1450.2ТГ</t>
  </si>
  <si>
    <t>ВК.110.260.1500.2ТГ</t>
  </si>
  <si>
    <t>ВК.110.260.1550.2ТГ</t>
  </si>
  <si>
    <t>ВК.110.260.1600.2ТГ</t>
  </si>
  <si>
    <t>ВК.110.260.1650.2ТГ</t>
  </si>
  <si>
    <t>ВК.110.260.1700.2ТГ</t>
  </si>
  <si>
    <t>ВК.110.260.1750.2ТГ</t>
  </si>
  <si>
    <t>ВК.110.260.1800.2ТГ</t>
  </si>
  <si>
    <t>ВК.110.260.1850.2ТГ</t>
  </si>
  <si>
    <t>ВК.110.260.1900.2ТГ</t>
  </si>
  <si>
    <t>ВК.110.260.1950.2ТГ</t>
  </si>
  <si>
    <t>ВК.110.260.2000.2ТГ</t>
  </si>
  <si>
    <t>ВК.110.260.2050.2ТГ</t>
  </si>
  <si>
    <t>ВК.110.260.2100.2ТГ</t>
  </si>
  <si>
    <t>ВК.110.260.2150.2ТГ</t>
  </si>
  <si>
    <t>ВК.110.260.2200.2ТГ</t>
  </si>
  <si>
    <t>ВК.110.260.2250.2ТГ</t>
  </si>
  <si>
    <t>ВК.110.260.2300.2ТГ</t>
  </si>
  <si>
    <t>ВК.110.260.2350.2ТГ</t>
  </si>
  <si>
    <t>ВК.110.260.2400.2ТГ</t>
  </si>
  <si>
    <t>ВК.110.260.2450.2ТГ</t>
  </si>
  <si>
    <t>ВК.110.260.2500.2ТГ</t>
  </si>
  <si>
    <t>ВК.110.260.2550.2ТГ</t>
  </si>
  <si>
    <t>ВК.110.260.2600.2ТГ</t>
  </si>
  <si>
    <t>ВК.110.260.2650.2ТГ</t>
  </si>
  <si>
    <t>ВК.110.260.2700.2ТГ</t>
  </si>
  <si>
    <t>ВК.110.260.2750.2ТГ</t>
  </si>
  <si>
    <t>ВК.110.260.2800.2ТГ</t>
  </si>
  <si>
    <t>ВК.110.260.2850.2ТГ</t>
  </si>
  <si>
    <t>ВК.110.260.2900.2ТГ</t>
  </si>
  <si>
    <t>ВК.110.260.2950.2ТГ</t>
  </si>
  <si>
    <t>ВК.110.260.3000.2ТГ</t>
  </si>
  <si>
    <t>ВК.110.300.600.2ТГ</t>
  </si>
  <si>
    <t>ВК.110.300.650.2ТГ</t>
  </si>
  <si>
    <t>ВК.110.300.700.2ТГ</t>
  </si>
  <si>
    <t>ВК.110.300.750.2ТГ</t>
  </si>
  <si>
    <t>ВК.110.300.800.2ТГ</t>
  </si>
  <si>
    <t>ВК.110.300.850.2ТГ</t>
  </si>
  <si>
    <t>ВК.110.300.900.2ТГ</t>
  </si>
  <si>
    <t>ВК.110.300.950.2ТГ</t>
  </si>
  <si>
    <t>ВК.110.300.1000.2ТГ</t>
  </si>
  <si>
    <t>ВК.110.300.1050.2ТГ</t>
  </si>
  <si>
    <t>ВК.110.300.1100.2ТГ</t>
  </si>
  <si>
    <t>ВК.110.300.1150.2ТГ</t>
  </si>
  <si>
    <t>ВК.110.300.1200.2ТГ</t>
  </si>
  <si>
    <t>ВК.110.300.1250.2ТГ</t>
  </si>
  <si>
    <t>ВК.110.300.1300.2ТГ</t>
  </si>
  <si>
    <t>ВК.110.300.1350.2ТГ</t>
  </si>
  <si>
    <t>ВК.110.300.1400.2ТГ</t>
  </si>
  <si>
    <t>ВК.110.300.1450.2ТГ</t>
  </si>
  <si>
    <t>ВК.110.300.1500.2ТГ</t>
  </si>
  <si>
    <t>ВК.110.300.1550.2ТГ</t>
  </si>
  <si>
    <t>ВК.110.300.1600.2ТГ</t>
  </si>
  <si>
    <t>ВК.110.300.1650.2ТГ</t>
  </si>
  <si>
    <t>ВК.110.300.1700.2ТГ</t>
  </si>
  <si>
    <t>ВК.110.300.1750.2ТГ</t>
  </si>
  <si>
    <t>ВК.110.300.1800.2ТГ</t>
  </si>
  <si>
    <t>ВК.110.300.1850.2ТГ</t>
  </si>
  <si>
    <t>ВК.110.300.1900.2ТГ</t>
  </si>
  <si>
    <t>ВК.110.300.1950.2ТГ</t>
  </si>
  <si>
    <t>ВК.110.300.2000.2ТГ</t>
  </si>
  <si>
    <t>ВК.110.300.2050.2ТГ</t>
  </si>
  <si>
    <t>ВК.110.300.2100.2ТГ</t>
  </si>
  <si>
    <t>ВК.110.300.2150.2ТГ</t>
  </si>
  <si>
    <t>ВК.110.300.2200.2ТГ</t>
  </si>
  <si>
    <t>ВК.110.300.2250.2ТГ</t>
  </si>
  <si>
    <t>ВК.110.300.2300.2ТГ</t>
  </si>
  <si>
    <t>ВК.110.300.2350.2ТГ</t>
  </si>
  <si>
    <t>ВК.110.300.2400.2ТГ</t>
  </si>
  <si>
    <t>ВК.110.300.2450.2ТГ</t>
  </si>
  <si>
    <t>ВК.110.300.2500.2ТГ</t>
  </si>
  <si>
    <t>ВК.110.300.2550.2ТГ</t>
  </si>
  <si>
    <t>ВК.110.300.2600.2ТГ</t>
  </si>
  <si>
    <t>ВК.110.300.2650.2ТГ</t>
  </si>
  <si>
    <t>ВК.110.300.2700.2ТГ</t>
  </si>
  <si>
    <t>ВК.110.300.2750.2ТГ</t>
  </si>
  <si>
    <t>ВК.110.300.2800.2ТГ</t>
  </si>
  <si>
    <t>ВК.110.300.2850.2ТГ</t>
  </si>
  <si>
    <t>ВК.110.300.2900.2ТГ</t>
  </si>
  <si>
    <t>ВК.110.300.2950.2ТГ</t>
  </si>
  <si>
    <t>ВК.110.300.3000.2ТГ</t>
  </si>
  <si>
    <t>ВК.110.300.600.4ТГ</t>
  </si>
  <si>
    <t>ВК.110.300.650.4ТГ</t>
  </si>
  <si>
    <t>ВК.110.300.700.4ТГ</t>
  </si>
  <si>
    <t>ВК.110.300.750.4ТГ</t>
  </si>
  <si>
    <t>ВК.110.300.800.4ТГ</t>
  </si>
  <si>
    <t>ВК.110.300.850.4ТГ</t>
  </si>
  <si>
    <t>ВК.110.300.900.4ТГ</t>
  </si>
  <si>
    <t>ВК.110.300.950.4ТГ</t>
  </si>
  <si>
    <t>ВК.110.300.1000.4ТГ</t>
  </si>
  <si>
    <t>ВК.110.300.1050.4ТГ</t>
  </si>
  <si>
    <t>ВК.110.300.1100.4ТГ</t>
  </si>
  <si>
    <t>ВК.110.300.1150.4ТГ</t>
  </si>
  <si>
    <t>ВК.110.300.1200.4ТГ</t>
  </si>
  <si>
    <t>ВК.110.300.1250.4ТГ</t>
  </si>
  <si>
    <t>ВК.110.300.1300.4ТГ</t>
  </si>
  <si>
    <t>ВК.110.300.1350.4ТГ</t>
  </si>
  <si>
    <t>ВК.110.300.1400.4ТГ</t>
  </si>
  <si>
    <t>ВК.110.300.1450.4ТГ</t>
  </si>
  <si>
    <t>ВК.110.300.1500.4ТГ</t>
  </si>
  <si>
    <t>ВК.110.300.1550.4ТГ</t>
  </si>
  <si>
    <t>ВК.110.300.1600.4ТГ</t>
  </si>
  <si>
    <t>ВК.110.300.1650.4ТГ</t>
  </si>
  <si>
    <t>ВК.110.300.1700.4ТГ</t>
  </si>
  <si>
    <t>ВК.110.300.1750.4ТГ</t>
  </si>
  <si>
    <t>ВК.110.300.1800.4ТГ</t>
  </si>
  <si>
    <t>ВК.110.300.1850.4ТГ</t>
  </si>
  <si>
    <t>ВК.110.300.1900.4ТГ</t>
  </si>
  <si>
    <t>ВК.110.300.1950.4ТГ</t>
  </si>
  <si>
    <t>ВК.110.300.2000.4ТГ</t>
  </si>
  <si>
    <t>ВК.110.300.2050.4ТГ</t>
  </si>
  <si>
    <t>ВК.110.300.2100.4ТГ</t>
  </si>
  <si>
    <t>ВК.110.300.2150.4ТГ</t>
  </si>
  <si>
    <t>ВК.110.300.2200.4ТГ</t>
  </si>
  <si>
    <t>ВК.110.300.2250.4ТГ</t>
  </si>
  <si>
    <t>ВК.110.300.2300.4ТГ</t>
  </si>
  <si>
    <t>ВК.110.300.2350.4ТГ</t>
  </si>
  <si>
    <t>ВК.110.300.2400.4ТГ</t>
  </si>
  <si>
    <t>ВК.110.300.2450.4ТГ</t>
  </si>
  <si>
    <t>ВК.110.300.2500.4ТГ</t>
  </si>
  <si>
    <t>ВК.110.300.2550.4ТГ</t>
  </si>
  <si>
    <t>ВК.110.300.2600.4ТГ</t>
  </si>
  <si>
    <t>ВК.110.300.2650.4ТГ</t>
  </si>
  <si>
    <t>ВК.110.300.2700.4ТГ</t>
  </si>
  <si>
    <t>ВК.110.300.2750.4ТГ</t>
  </si>
  <si>
    <t>ВК.110.300.2800.4ТГ</t>
  </si>
  <si>
    <t>ВК.110.300.2850.4ТГ</t>
  </si>
  <si>
    <t>ВК.110.300.2900.4ТГ</t>
  </si>
  <si>
    <t>ВК.110.300.2950.4ТГ</t>
  </si>
  <si>
    <t>ВК.110.300.3000.4ТГ</t>
  </si>
  <si>
    <t>ВК.110.360.600.4ТГ</t>
  </si>
  <si>
    <t>ВК.110.360.650.4ТГ</t>
  </si>
  <si>
    <t>ВК.110.360.700.4ТГ</t>
  </si>
  <si>
    <t>ВК.110.360.750.4ТГ</t>
  </si>
  <si>
    <t>ВК.110.360.800.4ТГ</t>
  </si>
  <si>
    <t>ВК.110.360.850.4ТГ</t>
  </si>
  <si>
    <t>ВК.110.360.900.4ТГ</t>
  </si>
  <si>
    <t>ВК.110.360.950.4ТГ</t>
  </si>
  <si>
    <t>ВК.110.360.1000.4ТГ</t>
  </si>
  <si>
    <t>ВК.110.360.1050.4ТГ</t>
  </si>
  <si>
    <t>ВК.110.360.1100.4ТГ</t>
  </si>
  <si>
    <t>ВК.110.360.1150.4ТГ</t>
  </si>
  <si>
    <t>ВК.110.360.1200.4ТГ</t>
  </si>
  <si>
    <t>ВК.110.360.1250.4ТГ</t>
  </si>
  <si>
    <t>ВК.110.360.1300.4ТГ</t>
  </si>
  <si>
    <t>ВК.110.360.1350.4ТГ</t>
  </si>
  <si>
    <t>ВК.110.360.1400.4ТГ</t>
  </si>
  <si>
    <t>ВК.110.360.1450.4ТГ</t>
  </si>
  <si>
    <t>ВК.110.360.1500.4ТГ</t>
  </si>
  <si>
    <t>ВК.110.360.1550.4ТГ</t>
  </si>
  <si>
    <t>ВК.110.360.1600.4ТГ</t>
  </si>
  <si>
    <t>ВК.110.360.1650.4ТГ</t>
  </si>
  <si>
    <t>ВК.110.360.1700.4ТГ</t>
  </si>
  <si>
    <t>ВК.110.360.1750.4ТГ</t>
  </si>
  <si>
    <t>ВК.110.360.1800.4ТГ</t>
  </si>
  <si>
    <t>ВК.110.360.1850.4ТГ</t>
  </si>
  <si>
    <t>ВК.110.360.1900.4ТГ</t>
  </si>
  <si>
    <t>ВК.110.360.1950.4ТГ</t>
  </si>
  <si>
    <t>ВК.110.360.2000.4ТГ</t>
  </si>
  <si>
    <t>ВК.110.360.2050.4ТГ</t>
  </si>
  <si>
    <t>ВК.110.360.2100.4ТГ</t>
  </si>
  <si>
    <t>ВК.110.360.2150.4ТГ</t>
  </si>
  <si>
    <t>ВК.110.360.2200.4ТГ</t>
  </si>
  <si>
    <t>ВК.110.360.2250.4ТГ</t>
  </si>
  <si>
    <t>ВК.110.360.2300.4ТГ</t>
  </si>
  <si>
    <t>ВК.110.360.2350.4ТГ</t>
  </si>
  <si>
    <t>ВК.110.360.2400.4ТГ</t>
  </si>
  <si>
    <t>ВК.110.360.2450.4ТГ</t>
  </si>
  <si>
    <t>ВК.110.360.2500.4ТГ</t>
  </si>
  <si>
    <t>ВК.110.360.2550.4ТГ</t>
  </si>
  <si>
    <t>ВК.110.360.2600.4ТГ</t>
  </si>
  <si>
    <t>ВК.110.360.2650.4ТГ</t>
  </si>
  <si>
    <t>ВК.110.360.2700.4ТГ</t>
  </si>
  <si>
    <t>ВК.110.360.2750.4ТГ</t>
  </si>
  <si>
    <t>ВК.110.360.2800.4ТГ</t>
  </si>
  <si>
    <t>ВК.110.360.2850.4ТГ</t>
  </si>
  <si>
    <t>ВК.110.360.2900.4ТГ</t>
  </si>
  <si>
    <t>ВК.110.360.2950.4ТГ</t>
  </si>
  <si>
    <t>ВК.110.360.3000.4ТГ</t>
  </si>
  <si>
    <t>ВК.110.400.600.4ТГ</t>
  </si>
  <si>
    <t>ВК.110.400.650.4ТГ</t>
  </si>
  <si>
    <t>ВК.110.400.700.4ТГ</t>
  </si>
  <si>
    <t>ВК.110.400.750.4ТГ</t>
  </si>
  <si>
    <t>ВК.110.400.800.4ТГ</t>
  </si>
  <si>
    <t>ВК.110.400.850.4ТГ</t>
  </si>
  <si>
    <t>ВК.110.400.900.4ТГ</t>
  </si>
  <si>
    <t>ВК.110.400.950.4ТГ</t>
  </si>
  <si>
    <t>ВК.110.400.1000.4ТГ</t>
  </si>
  <si>
    <t>ВК.110.400.1050.4ТГ</t>
  </si>
  <si>
    <t>ВК.110.400.1100.4ТГ</t>
  </si>
  <si>
    <t>ВК.110.400.1150.4ТГ</t>
  </si>
  <si>
    <t>ВК.110.400.1200.4ТГ</t>
  </si>
  <si>
    <t>ВК.110.400.1250.4ТГ</t>
  </si>
  <si>
    <t>ВК.110.400.1300.4ТГ</t>
  </si>
  <si>
    <t>ВК.110.400.1350.4ТГ</t>
  </si>
  <si>
    <t>ВК.110.400.1400.4ТГ</t>
  </si>
  <si>
    <t>ВК.110.400.1450.4ТГ</t>
  </si>
  <si>
    <t>ВК.110.400.1500.4ТГ</t>
  </si>
  <si>
    <t>ВК.110.400.1550.4ТГ</t>
  </si>
  <si>
    <t>ВК.110.400.1600.4ТГ</t>
  </si>
  <si>
    <t>ВК.110.400.1650.4ТГ</t>
  </si>
  <si>
    <t>ВК.110.400.1700.4ТГ</t>
  </si>
  <si>
    <t>ВК.110.400.1750.4ТГ</t>
  </si>
  <si>
    <t>ВК.110.400.1800.4ТГ</t>
  </si>
  <si>
    <t>ВК.110.400.1850.4ТГ</t>
  </si>
  <si>
    <t>ВК.110.400.1900.4ТГ</t>
  </si>
  <si>
    <t>ВК.110.400.1950.4ТГ</t>
  </si>
  <si>
    <t>ВК.110.400.2000.4ТГ</t>
  </si>
  <si>
    <t>ВК.110.400.2050.4ТГ</t>
  </si>
  <si>
    <t>ВК.110.400.2100.4ТГ</t>
  </si>
  <si>
    <t>ВК.110.400.2150.4ТГ</t>
  </si>
  <si>
    <t>ВК.110.400.2200.4ТГ</t>
  </si>
  <si>
    <t>ВК.110.400.2250.4ТГ</t>
  </si>
  <si>
    <t>ВК.110.400.2300.4ТГ</t>
  </si>
  <si>
    <t>ВК.110.400.2350.4ТГ</t>
  </si>
  <si>
    <t>ВК.110.400.2400.4ТГ</t>
  </si>
  <si>
    <t>ВК.110.400.2450.4ТГ</t>
  </si>
  <si>
    <t>ВК.110.400.2500.4ТГ</t>
  </si>
  <si>
    <t>ВК.110.400.2550.4ТГ</t>
  </si>
  <si>
    <t>ВК.110.400.2600.4ТГ</t>
  </si>
  <si>
    <t>ВК.110.400.2650.4ТГ</t>
  </si>
  <si>
    <t>ВК.110.400.2700.4ТГ</t>
  </si>
  <si>
    <t>ВК.110.400.2750.4ТГ</t>
  </si>
  <si>
    <t>ВК.110.400.2800.4ТГ</t>
  </si>
  <si>
    <t>ВК.110.400.2850.4ТГ</t>
  </si>
  <si>
    <t>ВК.110.400.2900.4ТГ</t>
  </si>
  <si>
    <t>ВК.110.400.2950.4ТГ</t>
  </si>
  <si>
    <t>ВК.110.400.3000.4ТГ</t>
  </si>
  <si>
    <t>ВК.110.400.600.6ТГ</t>
  </si>
  <si>
    <t>ВК.110.400.650.6ТГ</t>
  </si>
  <si>
    <t>ВК.110.400.700.6ТГ</t>
  </si>
  <si>
    <t>ВК.110.400.750.6ТГ</t>
  </si>
  <si>
    <t>ВК.110.400.800.6ТГ</t>
  </si>
  <si>
    <t>ВК.110.400.850.6ТГ</t>
  </si>
  <si>
    <t>ВК.110.400.900.6ТГ</t>
  </si>
  <si>
    <t>ВК.110.400.950.6ТГ</t>
  </si>
  <si>
    <t>ВК.110.400.1000.6ТГ</t>
  </si>
  <si>
    <t>ВК.110.400.1050.6ТГ</t>
  </si>
  <si>
    <t>ВК.110.400.1100.6ТГ</t>
  </si>
  <si>
    <t>ВК.110.400.1150.6ТГ</t>
  </si>
  <si>
    <t>ВК.110.400.1200.6ТГ</t>
  </si>
  <si>
    <t>ВК.110.400.1250.6ТГ</t>
  </si>
  <si>
    <t>ВК.110.400.1300.6ТГ</t>
  </si>
  <si>
    <t>ВК.110.400.1350.6ТГ</t>
  </si>
  <si>
    <t>ВК.110.400.1400.6ТГ</t>
  </si>
  <si>
    <t>ВК.110.400.1450.6ТГ</t>
  </si>
  <si>
    <t>ВК.110.400.1500.6ТГ</t>
  </si>
  <si>
    <t>ВК.110.400.1550.6ТГ</t>
  </si>
  <si>
    <t>ВК.110.400.1600.6ТГ</t>
  </si>
  <si>
    <t>ВК.110.400.1650.6ТГ</t>
  </si>
  <si>
    <t>ВК.110.400.1700.6ТГ</t>
  </si>
  <si>
    <t>ВК.110.400.1750.6ТГ</t>
  </si>
  <si>
    <t>ВК.110.400.1800.6ТГ</t>
  </si>
  <si>
    <t>ВК.110.400.1850.6ТГ</t>
  </si>
  <si>
    <t>ВК.110.400.1900.6ТГ</t>
  </si>
  <si>
    <t>ВК.110.400.1950.6ТГ</t>
  </si>
  <si>
    <t>ВК.110.400.2000.6ТГ</t>
  </si>
  <si>
    <t>ВК.110.400.2050.6ТГ</t>
  </si>
  <si>
    <t>ВК.110.400.2100.6ТГ</t>
  </si>
  <si>
    <t>ВК.110.400.2150.6ТГ</t>
  </si>
  <si>
    <t>ВК.110.400.2200.6ТГ</t>
  </si>
  <si>
    <t>ВК.110.400.2250.6ТГ</t>
  </si>
  <si>
    <t>ВК.110.400.2300.6ТГ</t>
  </si>
  <si>
    <t>ВК.110.400.2350.6ТГ</t>
  </si>
  <si>
    <t>ВК.110.400.2400.6ТГ</t>
  </si>
  <si>
    <t>ВК.110.400.2450.6ТГ</t>
  </si>
  <si>
    <t>ВК.110.400.2500.6ТГ</t>
  </si>
  <si>
    <t>ВК.110.400.2550.6ТГ</t>
  </si>
  <si>
    <t>ВК.110.400.2600.6ТГ</t>
  </si>
  <si>
    <t>ВК.110.400.2650.6ТГ</t>
  </si>
  <si>
    <t>ВК.110.400.2700.6ТГ</t>
  </si>
  <si>
    <t>ВК.110.400.2750.6ТГ</t>
  </si>
  <si>
    <t>ВК.110.400.2800.6ТГ</t>
  </si>
  <si>
    <t>ВК.110.400.2850.6ТГ</t>
  </si>
  <si>
    <t>ВК.110.400.2900.6ТГ</t>
  </si>
  <si>
    <t>ВК.110.400.2950.6ТГ</t>
  </si>
  <si>
    <t>ВК.110.400.3000.6ТГ</t>
  </si>
  <si>
    <t>ВК.140.160.600.4ТК</t>
  </si>
  <si>
    <t>ВК.140.160.650.4ТК</t>
  </si>
  <si>
    <t>ВК.140.160.700.4ТК</t>
  </si>
  <si>
    <t>ВК.140.160.750.4ТК</t>
  </si>
  <si>
    <t>ВК.140.160.800.4ТК</t>
  </si>
  <si>
    <t>ВК.140.160.850.4ТК</t>
  </si>
  <si>
    <t>ВК.140.160.900.4ТК</t>
  </si>
  <si>
    <t>ВК.140.160.950.4ТК</t>
  </si>
  <si>
    <t>ВК.140.160.1000.4ТК</t>
  </si>
  <si>
    <t>ВК.140.160.1050.4ТК</t>
  </si>
  <si>
    <t>ВК.140.160.1100.4ТК</t>
  </si>
  <si>
    <t>ВК.140.160.1150.4ТК</t>
  </si>
  <si>
    <t>ВК.140.160.1200.4ТК</t>
  </si>
  <si>
    <t>ВК.140.160.1250.4ТК</t>
  </si>
  <si>
    <t>ВК.140.160.1300.4ТК</t>
  </si>
  <si>
    <t>ВК.140.160.1350.4ТК</t>
  </si>
  <si>
    <t>ВК.140.160.1400.4ТК</t>
  </si>
  <si>
    <t>ВК.140.160.1450.4ТК</t>
  </si>
  <si>
    <t>ВК.140.160.1500.4ТК</t>
  </si>
  <si>
    <t>ВК.140.160.1550.4ТК</t>
  </si>
  <si>
    <t>ВК.140.160.1600.4ТК</t>
  </si>
  <si>
    <t>ВК.140.160.1650.4ТК</t>
  </si>
  <si>
    <t>ВК.140.160.1700.4ТК</t>
  </si>
  <si>
    <t>ВК.140.160.1750.4ТК</t>
  </si>
  <si>
    <t>ВК.140.160.1800.4ТК</t>
  </si>
  <si>
    <t>ВК.140.160.1850.4ТК</t>
  </si>
  <si>
    <t>ВК.140.160.1900.4ТК</t>
  </si>
  <si>
    <t>ВК.140.160.1950.4ТК</t>
  </si>
  <si>
    <t>ВК.140.160.2000.4ТК</t>
  </si>
  <si>
    <t>ВК.140.160.2050.4ТК</t>
  </si>
  <si>
    <t>ВК.140.160.2100.4ТК</t>
  </si>
  <si>
    <t>ВК.140.160.2150.4ТК</t>
  </si>
  <si>
    <t>ВК.140.160.2200.4ТК</t>
  </si>
  <si>
    <t>ВК.140.160.2250.4ТК</t>
  </si>
  <si>
    <t>ВК.140.160.2300.4ТК</t>
  </si>
  <si>
    <t>ВК.140.160.2350.4ТК</t>
  </si>
  <si>
    <t>ВК.140.160.2400.4ТК</t>
  </si>
  <si>
    <t>ВК.140.160.2450.4ТК</t>
  </si>
  <si>
    <t>ВК.140.160.2500.4ТК</t>
  </si>
  <si>
    <t>ВК.140.160.2550.4ТК</t>
  </si>
  <si>
    <t>ВК.140.160.2600.4ТК</t>
  </si>
  <si>
    <t>ВК.140.160.2650.4ТК</t>
  </si>
  <si>
    <t>ВК.140.160.2700.4ТК</t>
  </si>
  <si>
    <t>ВК.140.160.2750.4ТК</t>
  </si>
  <si>
    <t>ВК.140.160.2800.4ТК</t>
  </si>
  <si>
    <t>ВК.140.160.2850.4ТК</t>
  </si>
  <si>
    <t>ВК.140.160.2900.4ТК</t>
  </si>
  <si>
    <t>ВК.140.160.2950.4ТК</t>
  </si>
  <si>
    <t>ВК.140.160.3000.4ТК</t>
  </si>
  <si>
    <t>ВК.140.200.600.4ТК</t>
  </si>
  <si>
    <t>ВК.140.200.650.4ТК</t>
  </si>
  <si>
    <t>ВК.140.200.700.4ТК</t>
  </si>
  <si>
    <t>ВК.140.200.750.4ТК</t>
  </si>
  <si>
    <t>ВК.140.200.800.4ТК</t>
  </si>
  <si>
    <t>ВК.140.200.850.4ТК</t>
  </si>
  <si>
    <t>ВК.140.200.900.4ТК</t>
  </si>
  <si>
    <t>ВК.140.200.950.4ТК</t>
  </si>
  <si>
    <t>ВК.140.200.1000.4ТК</t>
  </si>
  <si>
    <t>ВК.140.200.1050.4ТК</t>
  </si>
  <si>
    <t>ВК.140.200.1100.4ТК</t>
  </si>
  <si>
    <t>ВК.140.200.1150.4ТК</t>
  </si>
  <si>
    <t>ВК.140.200.1200.4ТК</t>
  </si>
  <si>
    <t>ВК.140.200.1250.4ТК</t>
  </si>
  <si>
    <t>ВК.140.200.1300.4ТК</t>
  </si>
  <si>
    <t>ВК.140.200.1350.4ТК</t>
  </si>
  <si>
    <t>ВК.140.200.1400.4ТК</t>
  </si>
  <si>
    <t>ВК.140.200.1450.4ТК</t>
  </si>
  <si>
    <t>ВК.140.200.1500.4ТК</t>
  </si>
  <si>
    <t>ВК.140.200.1550.4ТК</t>
  </si>
  <si>
    <t>ВК.140.200.1600.4ТК</t>
  </si>
  <si>
    <t>ВК.140.200.1650.4ТК</t>
  </si>
  <si>
    <t>ВК.140.200.1700.4ТК</t>
  </si>
  <si>
    <t>ВК.140.200.1750.4ТК</t>
  </si>
  <si>
    <t>ВК.140.200.1800.4ТК</t>
  </si>
  <si>
    <t>ВК.140.200.1850.4ТК</t>
  </si>
  <si>
    <t>ВК.140.200.1900.4ТК</t>
  </si>
  <si>
    <t>ВК.140.200.1950.4ТК</t>
  </si>
  <si>
    <t>ВК.140.200.2000.4ТК</t>
  </si>
  <si>
    <t>ВК.140.200.2050.4ТК</t>
  </si>
  <si>
    <t>ВК.140.200.2100.4ТК</t>
  </si>
  <si>
    <t>ВК.140.200.2150.4ТК</t>
  </si>
  <si>
    <t>ВК.140.200.2200.4ТК</t>
  </si>
  <si>
    <t>ВК.140.200.2250.4ТК</t>
  </si>
  <si>
    <t>ВК.140.200.2300.4ТК</t>
  </si>
  <si>
    <t>ВК.140.200.2350.4ТК</t>
  </si>
  <si>
    <t>ВК.140.200.2400.4ТК</t>
  </si>
  <si>
    <t>ВК.140.200.2450.4ТК</t>
  </si>
  <si>
    <t>ВК.140.200.2500.4ТК</t>
  </si>
  <si>
    <t>ВК.140.200.2550.4ТК</t>
  </si>
  <si>
    <t>ВК.140.200.2600.4ТК</t>
  </si>
  <si>
    <t>ВК.140.200.2650.4ТК</t>
  </si>
  <si>
    <t>ВК.140.200.2700.4ТК</t>
  </si>
  <si>
    <t>ВК.140.200.2750.4ТК</t>
  </si>
  <si>
    <t>ВК.140.200.2800.4ТК</t>
  </si>
  <si>
    <t>ВК.140.200.2850.4ТК</t>
  </si>
  <si>
    <t>ВК.140.200.2900.4ТК</t>
  </si>
  <si>
    <t>ВК.140.200.2950.4ТК</t>
  </si>
  <si>
    <t>ВК.140.200.3000.4ТК</t>
  </si>
  <si>
    <t>ВК.140.260.600.4ТК</t>
  </si>
  <si>
    <t>ВК.140.260.650.4ТК</t>
  </si>
  <si>
    <t>ВК.140.260.700.4ТК</t>
  </si>
  <si>
    <t>ВК.140.260.750.4ТК</t>
  </si>
  <si>
    <t>ВК.140.260.800.4ТК</t>
  </si>
  <si>
    <t>ВК.140.260.850.4ТК</t>
  </si>
  <si>
    <t>ВК.140.260.900.4ТК</t>
  </si>
  <si>
    <t>ВК.140.260.950.4ТК</t>
  </si>
  <si>
    <t>ВК.140.260.1000.4ТК</t>
  </si>
  <si>
    <t>ВК.140.260.1050.4ТК</t>
  </si>
  <si>
    <t>ВК.140.260.1100.4ТК</t>
  </si>
  <si>
    <t>ВК.140.260.1150.4ТК</t>
  </si>
  <si>
    <t>ВК.140.260.1200.4ТК</t>
  </si>
  <si>
    <t>ВК.140.260.1250.4ТК</t>
  </si>
  <si>
    <t>ВК.140.260.1300.4ТК</t>
  </si>
  <si>
    <t>ВК.140.260.1350.4ТК</t>
  </si>
  <si>
    <t>ВК.140.260.1400.4ТК</t>
  </si>
  <si>
    <t>ВК.140.260.1450.4ТК</t>
  </si>
  <si>
    <t>ВК.140.260.1500.4ТК</t>
  </si>
  <si>
    <t>ВК.140.260.1550.4ТК</t>
  </si>
  <si>
    <t>ВК.140.260.1600.4ТК</t>
  </si>
  <si>
    <t>ВК.140.260.1650.4ТК</t>
  </si>
  <si>
    <t>ВК.140.260.1700.4ТК</t>
  </si>
  <si>
    <t>ВК.140.260.1750.4ТК</t>
  </si>
  <si>
    <t>ВК.140.260.1800.4ТК</t>
  </si>
  <si>
    <t>ВК.140.260.1850.4ТК</t>
  </si>
  <si>
    <t>ВК.140.260.1900.4ТК</t>
  </si>
  <si>
    <t>ВК.140.260.1950.4ТК</t>
  </si>
  <si>
    <t>ВК.140.260.2000.4ТК</t>
  </si>
  <si>
    <t>ВК.140.260.2050.4ТК</t>
  </si>
  <si>
    <t>ВК.140.260.2100.4ТК</t>
  </si>
  <si>
    <t>ВК.140.260.2150.4ТК</t>
  </si>
  <si>
    <t>ВК.140.260.2200.4ТК</t>
  </si>
  <si>
    <t>ВК.140.260.2250.4ТК</t>
  </si>
  <si>
    <t>ВК.140.260.2300.4ТК</t>
  </si>
  <si>
    <t>ВК.140.260.2350.4ТК</t>
  </si>
  <si>
    <t>ВК.140.260.2400.4ТК</t>
  </si>
  <si>
    <t>ВК.140.260.2450.4ТК</t>
  </si>
  <si>
    <t>ВК.140.260.2500.4ТК</t>
  </si>
  <si>
    <t>ВК.140.260.2550.4ТК</t>
  </si>
  <si>
    <t>ВК.140.260.2600.4ТК</t>
  </si>
  <si>
    <t>ВК.140.260.2650.4ТК</t>
  </si>
  <si>
    <t>ВК.140.260.2700.4ТК</t>
  </si>
  <si>
    <t>ВК.140.260.2750.4ТК</t>
  </si>
  <si>
    <t>ВК.140.260.2800.4ТК</t>
  </si>
  <si>
    <t>ВК.140.260.2850.4ТК</t>
  </si>
  <si>
    <t>ВК.140.260.2900.4ТК</t>
  </si>
  <si>
    <t>ВК.140.260.2950.4ТК</t>
  </si>
  <si>
    <t>ВК.140.260.3000.4ТК</t>
  </si>
  <si>
    <t>ВК.140.300.600.6ТП</t>
  </si>
  <si>
    <t>ВК.140.300.650.6ТП</t>
  </si>
  <si>
    <t>ВК.140.300.700.6ТП</t>
  </si>
  <si>
    <t>ВК.140.300.750.6ТП</t>
  </si>
  <si>
    <t>ВК.140.300.800.6ТП</t>
  </si>
  <si>
    <t>ВК.140.300.850.6ТП</t>
  </si>
  <si>
    <t>ВК.140.300.900.6ТП</t>
  </si>
  <si>
    <t>ВК.140.300.950.6ТП</t>
  </si>
  <si>
    <t>ВК.140.300.1000.6ТП</t>
  </si>
  <si>
    <t>ВК.140.300.1050.6ТП</t>
  </si>
  <si>
    <t>ВК.140.300.1100.6ТП</t>
  </si>
  <si>
    <t>ВК.140.300.1150.6ТП</t>
  </si>
  <si>
    <t>ВК.140.300.1200.6ТП</t>
  </si>
  <si>
    <t>ВК.140.300.1250.6ТП</t>
  </si>
  <si>
    <t>ВК.140.300.1300.6ТП</t>
  </si>
  <si>
    <t>ВК.140.300.1350.6ТП</t>
  </si>
  <si>
    <t>ВК.140.300.1400.6ТП</t>
  </si>
  <si>
    <t>ВК.140.300.1450.6ТП</t>
  </si>
  <si>
    <t>ВК.140.300.1500.6ТП</t>
  </si>
  <si>
    <t>ВК.140.300.1550.6ТП</t>
  </si>
  <si>
    <t>ВК.140.300.1600.6ТП</t>
  </si>
  <si>
    <t>ВК.140.300.1650.6ТП</t>
  </si>
  <si>
    <t>ВК.140.300.1700.6ТП</t>
  </si>
  <si>
    <t>ВК.140.300.1750.6ТП</t>
  </si>
  <si>
    <t>ВК.140.300.1800.6ТП</t>
  </si>
  <si>
    <t>ВК.140.300.1850.6ТП</t>
  </si>
  <si>
    <t>ВК.140.300.1900.6ТП</t>
  </si>
  <si>
    <t>ВК.140.300.1950.6ТП</t>
  </si>
  <si>
    <t>ВК.140.300.2000.6ТП</t>
  </si>
  <si>
    <t>ВК.140.300.2050.6ТП</t>
  </si>
  <si>
    <t>ВК.140.300.2100.6ТП</t>
  </si>
  <si>
    <t>ВК.140.300.2150.6ТП</t>
  </si>
  <si>
    <t>ВК.140.300.2200.6ТП</t>
  </si>
  <si>
    <t>ВК.140.300.2250.6ТП</t>
  </si>
  <si>
    <t>ВК.140.300.2300.6ТП</t>
  </si>
  <si>
    <t>ВК.140.300.2350.6ТП</t>
  </si>
  <si>
    <t>ВК.140.300.2400.6ТП</t>
  </si>
  <si>
    <t>ВК.140.300.2450.6ТП</t>
  </si>
  <si>
    <t>ВК.140.300.2500.6ТП</t>
  </si>
  <si>
    <t>ВК.140.300.2550.6ТП</t>
  </si>
  <si>
    <t>ВК.140.300.2600.6ТП</t>
  </si>
  <si>
    <t>ВК.140.300.2650.6ТП</t>
  </si>
  <si>
    <t>ВК.140.300.2700.6ТП</t>
  </si>
  <si>
    <t>ВК.140.300.2750.6ТП</t>
  </si>
  <si>
    <t>ВК.140.300.2800.6ТП</t>
  </si>
  <si>
    <t>ВК.140.300.2850.6ТП</t>
  </si>
  <si>
    <t>ВК.140.300.2900.6ТП</t>
  </si>
  <si>
    <t>ВК.140.300.2950.6ТП</t>
  </si>
  <si>
    <t>ВК.140.300.3000.6ТП</t>
  </si>
  <si>
    <t>ВК.140.300.600.8ТП</t>
  </si>
  <si>
    <t>ВК.140.300.650.8ТП</t>
  </si>
  <si>
    <t>ВК.140.300.700.8ТП</t>
  </si>
  <si>
    <t>ВК.140.300.750.8ТП</t>
  </si>
  <si>
    <t>ВК.140.300.800.8ТП</t>
  </si>
  <si>
    <t>ВК.140.300.850.8ТП</t>
  </si>
  <si>
    <t>ВК.140.300.900.8ТП</t>
  </si>
  <si>
    <t>ВК.140.300.950.8ТП</t>
  </si>
  <si>
    <t>ВК.140.300.1000.8ТП</t>
  </si>
  <si>
    <t>ВК.140.300.1050.8ТП</t>
  </si>
  <si>
    <t>ВК.140.300.1100.8ТП</t>
  </si>
  <si>
    <t>ВК.140.300.1150.8ТП</t>
  </si>
  <si>
    <t>ВК.140.300.1200.8ТП</t>
  </si>
  <si>
    <t>ВК.140.300.1250.8ТП</t>
  </si>
  <si>
    <t>ВК.140.300.1300.8ТП</t>
  </si>
  <si>
    <t>ВК.140.300.1350.8ТП</t>
  </si>
  <si>
    <t>ВК.140.300.1400.8ТП</t>
  </si>
  <si>
    <t>ВК.140.300.1450.8ТП</t>
  </si>
  <si>
    <t>ВК.140.300.1500.8ТП</t>
  </si>
  <si>
    <t>ВК.140.300.1550.8ТП</t>
  </si>
  <si>
    <t>ВК.140.300.1600.8ТП</t>
  </si>
  <si>
    <t>ВК.140.300.1650.8ТП</t>
  </si>
  <si>
    <t>ВК.140.300.1700.8ТП</t>
  </si>
  <si>
    <t>ВК.140.300.1750.8ТП</t>
  </si>
  <si>
    <t>ВК.140.300.1800.8ТП</t>
  </si>
  <si>
    <t>ВК.140.300.1850.8ТП</t>
  </si>
  <si>
    <t>ВК.140.300.1900.8ТП</t>
  </si>
  <si>
    <t>ВК.140.300.1950.8ТП</t>
  </si>
  <si>
    <t>ВК.140.300.2000.8ТП</t>
  </si>
  <si>
    <t>ВК.140.300.2050.8ТП</t>
  </si>
  <si>
    <t>ВК.140.300.2100.8ТП</t>
  </si>
  <si>
    <t>ВК.140.300.2150.8ТП</t>
  </si>
  <si>
    <t>ВК.140.300.2200.8ТП</t>
  </si>
  <si>
    <t>ВК.140.300.2250.8ТП</t>
  </si>
  <si>
    <t>ВК.140.300.2300.8ТП</t>
  </si>
  <si>
    <t>ВК.140.300.2350.8ТП</t>
  </si>
  <si>
    <t>ВК.140.300.2400.8ТП</t>
  </si>
  <si>
    <t>ВК.140.300.2450.8ТП</t>
  </si>
  <si>
    <t>ВК.140.300.2500.8ТП</t>
  </si>
  <si>
    <t>ВК.140.300.2550.8ТП</t>
  </si>
  <si>
    <t>ВК.140.300.2600.8ТП</t>
  </si>
  <si>
    <t>ВК.140.300.2650.8ТП</t>
  </si>
  <si>
    <t>ВК.140.300.2700.8ТП</t>
  </si>
  <si>
    <t>ВК.140.300.2750.8ТП</t>
  </si>
  <si>
    <t>ВК.140.300.2800.8ТП</t>
  </si>
  <si>
    <t>ВК.140.300.2850.8ТП</t>
  </si>
  <si>
    <t>ВК.140.300.2900.8ТП</t>
  </si>
  <si>
    <t>ВК.140.300.2950.8ТП</t>
  </si>
  <si>
    <t>ВК.140.300.3000.8ТП</t>
  </si>
  <si>
    <t>ВК.140.360.600.6ТП</t>
  </si>
  <si>
    <t>ВК.140.360.650.6ТП</t>
  </si>
  <si>
    <t>ВК.140.360.700.6ТП</t>
  </si>
  <si>
    <t>ВК.140.360.750.6ТП</t>
  </si>
  <si>
    <t>ВК.140.360.800.6ТП</t>
  </si>
  <si>
    <t>ВК.140.360.850.6ТП</t>
  </si>
  <si>
    <t>ВК.140.360.900.6ТП</t>
  </si>
  <si>
    <t>ВК.140.360.950.6ТП</t>
  </si>
  <si>
    <t>ВК.140.360.1000.6ТП</t>
  </si>
  <si>
    <t>ВК.140.360.1050.6ТП</t>
  </si>
  <si>
    <t>ВК.140.360.1100.6ТП</t>
  </si>
  <si>
    <t>ВК.140.360.1150.6ТП</t>
  </si>
  <si>
    <t>ВК.140.360.1200.6ТП</t>
  </si>
  <si>
    <t>ВК.140.360.1250.6ТП</t>
  </si>
  <si>
    <t>ВК.140.360.1300.6ТП</t>
  </si>
  <si>
    <t>ВК.140.360.1350.6ТП</t>
  </si>
  <si>
    <t>ВК.140.360.1400.6ТП</t>
  </si>
  <si>
    <t>ВК.140.360.1450.6ТП</t>
  </si>
  <si>
    <t>ВК.140.360.1500.6ТП</t>
  </si>
  <si>
    <t>ВК.140.360.1550.6ТП</t>
  </si>
  <si>
    <t>ВК.140.360.1600.6ТП</t>
  </si>
  <si>
    <t>ВК.140.360.1650.6ТП</t>
  </si>
  <si>
    <t>ВК.140.360.1700.6ТП</t>
  </si>
  <si>
    <t>ВК.140.360.1750.6ТП</t>
  </si>
  <si>
    <t>ВК.140.360.1800.6ТП</t>
  </si>
  <si>
    <t>ВК.140.360.1850.6ТП</t>
  </si>
  <si>
    <t>ВК.140.360.1900.6ТП</t>
  </si>
  <si>
    <t>ВК.140.360.1950.6ТП</t>
  </si>
  <si>
    <t>ВК.140.360.2000.6ТП</t>
  </si>
  <si>
    <t>ВК.140.360.2050.6ТП</t>
  </si>
  <si>
    <t>ВК.140.360.2100.6ТП</t>
  </si>
  <si>
    <t>ВК.140.360.2150.6ТП</t>
  </si>
  <si>
    <t>ВК.140.360.2200.6ТП</t>
  </si>
  <si>
    <t>ВК.140.360.2250.6ТП</t>
  </si>
  <si>
    <t>ВК.140.360.2300.6ТП</t>
  </si>
  <si>
    <t>ВК.140.360.2350.6ТП</t>
  </si>
  <si>
    <t>ВК.140.360.2400.6ТП</t>
  </si>
  <si>
    <t>ВК.140.360.2450.6ТП</t>
  </si>
  <si>
    <t>ВК.140.360.2500.6ТП</t>
  </si>
  <si>
    <t>ВК.140.360.2550.6ТП</t>
  </si>
  <si>
    <t>ВК.140.360.2600.6ТП</t>
  </si>
  <si>
    <t>ВК.140.360.2650.6ТП</t>
  </si>
  <si>
    <t>ВК.140.360.2700.6ТП</t>
  </si>
  <si>
    <t>ВК.140.360.2750.6ТП</t>
  </si>
  <si>
    <t>ВК.140.360.2800.6ТП</t>
  </si>
  <si>
    <t>ВК.140.360.2850.6ТП</t>
  </si>
  <si>
    <t>ВК.140.360.2900.6ТП</t>
  </si>
  <si>
    <t>ВК.140.360.2950.6ТП</t>
  </si>
  <si>
    <t>ВК.140.360.3000.6ТП</t>
  </si>
  <si>
    <t>ВК.140.360.600.8ТП</t>
  </si>
  <si>
    <t>ВК.140.360.650.8ТП</t>
  </si>
  <si>
    <t>ВК.140.360.700.8ТП</t>
  </si>
  <si>
    <t>ВК.140.360.750.8ТП</t>
  </si>
  <si>
    <t>ВК.140.360.800.8ТП</t>
  </si>
  <si>
    <t>ВК.140.360.850.8ТП</t>
  </si>
  <si>
    <t>ВК.140.360.900.8ТП</t>
  </si>
  <si>
    <t>ВК.140.360.950.8ТП</t>
  </si>
  <si>
    <t>ВК.140.360.1000.8ТП</t>
  </si>
  <si>
    <t>ВК.140.360.1050.8ТП</t>
  </si>
  <si>
    <t>ВК.140.360.1100.8ТП</t>
  </si>
  <si>
    <t>ВК.140.360.1150.8ТП</t>
  </si>
  <si>
    <t>ВК.140.360.1200.8ТП</t>
  </si>
  <si>
    <t>ВК.140.360.1250.8ТП</t>
  </si>
  <si>
    <t>ВК.140.360.1300.8ТП</t>
  </si>
  <si>
    <t>ВК.140.360.1350.8ТП</t>
  </si>
  <si>
    <t>ВК.140.360.1400.8ТП</t>
  </si>
  <si>
    <t>ВК.140.360.1450.8ТП</t>
  </si>
  <si>
    <t>ВК.140.360.1500.8ТП</t>
  </si>
  <si>
    <t>ВК.140.360.1550.8ТП</t>
  </si>
  <si>
    <t>ВК.140.360.1600.8ТП</t>
  </si>
  <si>
    <t>ВК.140.360.1650.8ТП</t>
  </si>
  <si>
    <t>ВК.140.360.1700.8ТП</t>
  </si>
  <si>
    <t>ВК.140.360.1750.8ТП</t>
  </si>
  <si>
    <t>ВК.140.360.1800.8ТП</t>
  </si>
  <si>
    <t>ВК.140.360.1850.8ТП</t>
  </si>
  <si>
    <t>ВК.140.360.1900.8ТП</t>
  </si>
  <si>
    <t>ВК.140.360.1950.8ТП</t>
  </si>
  <si>
    <t>ВК.140.360.2000.8ТП</t>
  </si>
  <si>
    <t>ВК.140.360.2050.8ТП</t>
  </si>
  <si>
    <t>ВК.140.360.2100.8ТП</t>
  </si>
  <si>
    <t>ВК.140.360.2150.8ТП</t>
  </si>
  <si>
    <t>ВК.140.360.2200.8ТП</t>
  </si>
  <si>
    <t>ВК.140.360.2250.8ТП</t>
  </si>
  <si>
    <t>ВК.140.360.2300.8ТП</t>
  </si>
  <si>
    <t>ВК.140.360.2350.8ТП</t>
  </si>
  <si>
    <t>ВК.140.360.2400.8ТП</t>
  </si>
  <si>
    <t>ВК.140.360.2450.8ТП</t>
  </si>
  <si>
    <t>ВК.140.360.2500.8ТП</t>
  </si>
  <si>
    <t>ВК.140.360.2550.8ТП</t>
  </si>
  <si>
    <t>ВК.140.360.2600.8ТП</t>
  </si>
  <si>
    <t>ВК.140.360.2650.8ТП</t>
  </si>
  <si>
    <t>ВК.140.360.2700.8ТП</t>
  </si>
  <si>
    <t>ВК.140.360.2750.8ТП</t>
  </si>
  <si>
    <t>ВК.140.360.2800.8ТП</t>
  </si>
  <si>
    <t>ВК.140.360.2850.8ТП</t>
  </si>
  <si>
    <t>ВК.140.360.2900.8ТП</t>
  </si>
  <si>
    <t>ВК.140.360.2950.8ТП</t>
  </si>
  <si>
    <t>ВК.140.360.3000.8ТП</t>
  </si>
  <si>
    <t>ВК.140.400.600.6ТП</t>
  </si>
  <si>
    <t>ВК.140.400.650.6ТП</t>
  </si>
  <si>
    <t>ВК.140.400.700.6ТП</t>
  </si>
  <si>
    <t>ВК.140.400.750.6ТП</t>
  </si>
  <si>
    <t>ВК.140.400.800.6ТП</t>
  </si>
  <si>
    <t>ВК.140.400.850.6ТП</t>
  </si>
  <si>
    <t>ВК.140.400.900.6ТП</t>
  </si>
  <si>
    <t>ВК.140.400.950.6ТП</t>
  </si>
  <si>
    <t>ВК.140.400.1000.6ТП</t>
  </si>
  <si>
    <t>ВК.140.400.1050.6ТП</t>
  </si>
  <si>
    <t>ВК.140.400.1100.6ТП</t>
  </si>
  <si>
    <t>ВК.140.400.1150.6ТП</t>
  </si>
  <si>
    <t>ВК.140.400.1200.6ТП</t>
  </si>
  <si>
    <t>ВК.140.400.1250.6ТП</t>
  </si>
  <si>
    <t>ВК.140.400.1300.6ТП</t>
  </si>
  <si>
    <t>ВК.140.400.1350.6ТП</t>
  </si>
  <si>
    <t>ВК.140.400.1400.6ТП</t>
  </si>
  <si>
    <t>ВК.140.400.1450.6ТП</t>
  </si>
  <si>
    <t>ВК.140.400.1500.6ТП</t>
  </si>
  <si>
    <t>ВК.140.400.1550.6ТП</t>
  </si>
  <si>
    <t>ВК.140.400.1600.6ТП</t>
  </si>
  <si>
    <t>ВК.140.400.1650.6ТП</t>
  </si>
  <si>
    <t>ВК.140.400.1700.6ТП</t>
  </si>
  <si>
    <t>ВК.140.400.1750.6ТП</t>
  </si>
  <si>
    <t>ВК.140.400.1800.6ТП</t>
  </si>
  <si>
    <t>ВК.140.400.1850.6ТП</t>
  </si>
  <si>
    <t>ВК.140.400.1900.6ТП</t>
  </si>
  <si>
    <t>ВК.140.400.1950.6ТП</t>
  </si>
  <si>
    <t>ВК.140.400.2000.6ТП</t>
  </si>
  <si>
    <t>ВК.140.400.2050.6ТП</t>
  </si>
  <si>
    <t>ВК.140.400.2100.6ТП</t>
  </si>
  <si>
    <t>ВК.140.400.2150.6ТП</t>
  </si>
  <si>
    <t>ВК.140.400.2200.6ТП</t>
  </si>
  <si>
    <t>ВК.140.400.2250.6ТП</t>
  </si>
  <si>
    <t>ВК.140.400.2300.6ТП</t>
  </si>
  <si>
    <t>ВК.140.400.2350.6ТП</t>
  </si>
  <si>
    <t>ВК.140.400.2400.6ТП</t>
  </si>
  <si>
    <t>ВК.140.400.2450.6ТП</t>
  </si>
  <si>
    <t>ВК.140.400.2500.6ТП</t>
  </si>
  <si>
    <t>ВК.140.400.2550.6ТП</t>
  </si>
  <si>
    <t>ВК.140.400.2600.6ТП</t>
  </si>
  <si>
    <t>ВК.140.400.2650.6ТП</t>
  </si>
  <si>
    <t>ВК.140.400.2700.6ТП</t>
  </si>
  <si>
    <t>ВК.140.400.2750.6ТП</t>
  </si>
  <si>
    <t>ВК.140.400.2800.6ТП</t>
  </si>
  <si>
    <t>ВК.140.400.2850.6ТП</t>
  </si>
  <si>
    <t>ВК.140.400.2900.6ТП</t>
  </si>
  <si>
    <t>ВК.140.400.2950.6ТП</t>
  </si>
  <si>
    <t>ВК.140.400.3000.6ТП</t>
  </si>
  <si>
    <t>ВК.140.400.600.8ТП</t>
  </si>
  <si>
    <t>ВК.140.400.650.8ТП</t>
  </si>
  <si>
    <t>ВК.140.400.700.8ТП</t>
  </si>
  <si>
    <t>ВК.140.400.750.8ТП</t>
  </si>
  <si>
    <t>ВК.140.400.800.8ТП</t>
  </si>
  <si>
    <t>ВК.140.400.850.8ТП</t>
  </si>
  <si>
    <t>ВК.140.400.900.8ТП</t>
  </si>
  <si>
    <t>ВК.140.400.950.8ТП</t>
  </si>
  <si>
    <t>ВК.140.400.1000.8ТП</t>
  </si>
  <si>
    <t>ВК.140.400.1050.8ТП</t>
  </si>
  <si>
    <t>ВК.140.400.1100.8ТП</t>
  </si>
  <si>
    <t>ВК.140.400.1150.8ТП</t>
  </si>
  <si>
    <t>ВК.140.400.1200.8ТП</t>
  </si>
  <si>
    <t>ВК.140.400.1250.8ТП</t>
  </si>
  <si>
    <t>ВК.140.400.1300.8ТП</t>
  </si>
  <si>
    <t>ВК.140.400.1350.8ТП</t>
  </si>
  <si>
    <t>ВК.140.400.1400.8ТП</t>
  </si>
  <si>
    <t>ВК.140.400.1450.8ТП</t>
  </si>
  <si>
    <t>ВК.140.400.1500.8ТП</t>
  </si>
  <si>
    <t>ВК.140.400.1550.8ТП</t>
  </si>
  <si>
    <t>ВК.140.400.1600.8ТП</t>
  </si>
  <si>
    <t>ВК.140.400.1650.8ТП</t>
  </si>
  <si>
    <t>ВК.140.400.1700.8ТП</t>
  </si>
  <si>
    <t>ВК.140.400.1750.8ТП</t>
  </si>
  <si>
    <t>ВК.140.400.1800.8ТП</t>
  </si>
  <si>
    <t>ВК.140.400.1850.8ТП</t>
  </si>
  <si>
    <t>ВК.140.400.1900.8ТП</t>
  </si>
  <si>
    <t>ВК.140.400.1950.8ТП</t>
  </si>
  <si>
    <t>ВК.140.400.2000.8ТП</t>
  </si>
  <si>
    <t>ВК.140.400.2050.8ТП</t>
  </si>
  <si>
    <t>ВК.140.400.2100.8ТП</t>
  </si>
  <si>
    <t>ВК.140.400.2150.8ТП</t>
  </si>
  <si>
    <t>ВК.140.400.2200.8ТП</t>
  </si>
  <si>
    <t>ВК.140.400.2250.8ТП</t>
  </si>
  <si>
    <t>ВК.140.400.2300.8ТП</t>
  </si>
  <si>
    <t>ВК.140.400.2350.8ТП</t>
  </si>
  <si>
    <t>ВК.140.400.2400.8ТП</t>
  </si>
  <si>
    <t>ВК.140.400.2450.8ТП</t>
  </si>
  <si>
    <t>ВК.140.400.2500.8ТП</t>
  </si>
  <si>
    <t>ВК.140.400.2550.8ТП</t>
  </si>
  <si>
    <t>ВК.140.400.2600.8ТП</t>
  </si>
  <si>
    <t>ВК.140.400.2650.8ТП</t>
  </si>
  <si>
    <t>ВК.140.400.2700.8ТП</t>
  </si>
  <si>
    <t>ВК.140.400.2750.8ТП</t>
  </si>
  <si>
    <t>ВК.140.400.2800.8ТП</t>
  </si>
  <si>
    <t>ВК.140.400.2850.8ТП</t>
  </si>
  <si>
    <t>ВК.140.400.2900.8ТП</t>
  </si>
  <si>
    <t>ВК.140.400.2950.8ТП</t>
  </si>
  <si>
    <t>ВК.140.400.3000.8ТП</t>
  </si>
  <si>
    <t>ВК.150.160.600.4ТК</t>
  </si>
  <si>
    <t>ВК.150.160.650.4ТК</t>
  </si>
  <si>
    <t>ВК.150.160.700.4ТК</t>
  </si>
  <si>
    <t>ВК.150.160.750.4ТК</t>
  </si>
  <si>
    <t>ВК.150.160.800.4ТК</t>
  </si>
  <si>
    <t>ВК.150.160.850.4ТК</t>
  </si>
  <si>
    <t>ВК.150.160.900.4ТК</t>
  </si>
  <si>
    <t>ВК.150.160.950.4ТК</t>
  </si>
  <si>
    <t>ВК.150.160.1000.4ТК</t>
  </si>
  <si>
    <t>ВК.150.160.1050.4ТК</t>
  </si>
  <si>
    <t>ВК.150.160.1100.4ТК</t>
  </si>
  <si>
    <t>ВК.150.160.1150.4ТК</t>
  </si>
  <si>
    <t>ВК.150.160.1200.4ТК</t>
  </si>
  <si>
    <t>ВК.150.160.1250.4ТК</t>
  </si>
  <si>
    <t>ВК.150.160.1300.4ТК</t>
  </si>
  <si>
    <t>ВК.150.160.1350.4ТК</t>
  </si>
  <si>
    <t>ВК.150.160.1400.4ТК</t>
  </si>
  <si>
    <t>ВК.150.160.1450.4ТК</t>
  </si>
  <si>
    <t>ВК.150.160.1500.4ТК</t>
  </si>
  <si>
    <t>ВК.150.160.1550.4ТК</t>
  </si>
  <si>
    <t>ВК.150.160.1600.4ТК</t>
  </si>
  <si>
    <t>ВК.150.160.1650.4ТК</t>
  </si>
  <si>
    <t>ВК.150.160.1700.4ТК</t>
  </si>
  <si>
    <t>ВК.150.160.1750.4ТК</t>
  </si>
  <si>
    <t>ВК.150.160.1800.4ТК</t>
  </si>
  <si>
    <t>ВК.150.160.1850.4ТК</t>
  </si>
  <si>
    <t>ВК.150.160.1900.4ТК</t>
  </si>
  <si>
    <t>ВК.150.160.1950.4ТК</t>
  </si>
  <si>
    <t>ВК.150.160.2000.4ТК</t>
  </si>
  <si>
    <t>ВК.150.160.2050.4ТК</t>
  </si>
  <si>
    <t>ВК.150.160.2100.4ТК</t>
  </si>
  <si>
    <t>ВК.150.160.2150.4ТК</t>
  </si>
  <si>
    <t>ВК.150.160.2200.4ТК</t>
  </si>
  <si>
    <t>ВК.150.160.2250.4ТК</t>
  </si>
  <si>
    <t>ВК.150.160.2300.4ТК</t>
  </si>
  <si>
    <t>ВК.150.160.2350.4ТК</t>
  </si>
  <si>
    <t>ВК.150.160.2400.4ТК</t>
  </si>
  <si>
    <t>ВК.150.160.2450.4ТК</t>
  </si>
  <si>
    <t>ВК.150.160.2500.4ТК</t>
  </si>
  <si>
    <t>ВК.150.160.2550.4ТК</t>
  </si>
  <si>
    <t>ВК.150.160.2600.4ТК</t>
  </si>
  <si>
    <t>ВК.150.160.2650.4ТК</t>
  </si>
  <si>
    <t>ВК.150.160.2700.4ТК</t>
  </si>
  <si>
    <t>ВК.150.160.2750.4ТК</t>
  </si>
  <si>
    <t>ВК.150.160.2800.4ТК</t>
  </si>
  <si>
    <t>ВК.150.160.2850.4ТК</t>
  </si>
  <si>
    <t>ВК.150.160.2900.4ТК</t>
  </si>
  <si>
    <t>ВК.150.160.2950.4ТК</t>
  </si>
  <si>
    <t>ВК.150.160.3000.4ТК</t>
  </si>
  <si>
    <t>ВК.150.200.600.4ТК</t>
  </si>
  <si>
    <t>ВК.150.200.650.4ТК</t>
  </si>
  <si>
    <t>ВК.150.200.700.4ТК</t>
  </si>
  <si>
    <t>ВК.150.200.750.4ТК</t>
  </si>
  <si>
    <t>ВК.150.200.800.4ТК</t>
  </si>
  <si>
    <t>ВК.150.200.850.4ТК</t>
  </si>
  <si>
    <t>ВК.150.200.900.4ТК</t>
  </si>
  <si>
    <t>ВК.150.200.950.4ТК</t>
  </si>
  <si>
    <t>ВК.150.200.1000.4ТК</t>
  </si>
  <si>
    <t>ВК.150.200.1050.4ТК</t>
  </si>
  <si>
    <t>ВК.150.200.1100.4ТК</t>
  </si>
  <si>
    <t>ВК.150.200.1150.4ТК</t>
  </si>
  <si>
    <t>ВК.150.200.1200.4ТК</t>
  </si>
  <si>
    <t>ВК.150.200.1250.4ТК</t>
  </si>
  <si>
    <t>ВК.150.200.1300.4ТК</t>
  </si>
  <si>
    <t>ВК.150.200.1350.4ТК</t>
  </si>
  <si>
    <t>ВК.150.200.1400.4ТК</t>
  </si>
  <si>
    <t>ВК.150.200.1450.4ТК</t>
  </si>
  <si>
    <t>ВК.150.200.1500.4ТК</t>
  </si>
  <si>
    <t>ВК.150.200.1550.4ТК</t>
  </si>
  <si>
    <t>ВК.150.200.1600.4ТК</t>
  </si>
  <si>
    <t>ВК.150.200.1650.4ТК</t>
  </si>
  <si>
    <t>ВК.150.200.1700.4ТК</t>
  </si>
  <si>
    <t>ВК.150.200.1750.4ТК</t>
  </si>
  <si>
    <t>ВК.150.200.1800.4ТК</t>
  </si>
  <si>
    <t>ВК.150.200.1850.4ТК</t>
  </si>
  <si>
    <t>ВК.150.200.1900.4ТК</t>
  </si>
  <si>
    <t>ВК.150.200.1950.4ТК</t>
  </si>
  <si>
    <t>ВК.150.200.2000.4ТК</t>
  </si>
  <si>
    <t>ВК.150.200.2050.4ТК</t>
  </si>
  <si>
    <t>ВК.150.200.2100.4ТК</t>
  </si>
  <si>
    <t>ВК.150.200.2150.4ТК</t>
  </si>
  <si>
    <t>ВК.150.200.2200.4ТК</t>
  </si>
  <si>
    <t>ВК.150.200.2250.4ТК</t>
  </si>
  <si>
    <t>ВК.150.200.2300.4ТК</t>
  </si>
  <si>
    <t>ВК.150.200.2350.4ТК</t>
  </si>
  <si>
    <t>ВК.150.200.2400.4ТК</t>
  </si>
  <si>
    <t>ВК.150.200.2450.4ТК</t>
  </si>
  <si>
    <t>ВК.150.200.2500.4ТК</t>
  </si>
  <si>
    <t>ВК.150.200.2550.4ТК</t>
  </si>
  <si>
    <t>ВК.150.200.2600.4ТК</t>
  </si>
  <si>
    <t>ВК.150.200.2650.4ТК</t>
  </si>
  <si>
    <t>ВК.150.200.2700.4ТК</t>
  </si>
  <si>
    <t>ВК.150.200.2750.4ТК</t>
  </si>
  <si>
    <t>ВК.150.200.2800.4ТК</t>
  </si>
  <si>
    <t>ВК.150.200.2850.4ТК</t>
  </si>
  <si>
    <t>ВК.150.200.2900.4ТК</t>
  </si>
  <si>
    <t>ВК.150.200.2950.4ТК</t>
  </si>
  <si>
    <t>ВК.150.200.3000.4ТК</t>
  </si>
  <si>
    <t>ВК.150.260.600.4ТК</t>
  </si>
  <si>
    <t>ВК.150.260.650.4ТК</t>
  </si>
  <si>
    <t>ВК.150.260.700.4ТК</t>
  </si>
  <si>
    <t>ВК.150.260.750.4ТК</t>
  </si>
  <si>
    <t>ВК.150.260.800.4ТК</t>
  </si>
  <si>
    <t>ВК.150.260.850.4ТК</t>
  </si>
  <si>
    <t>ВК.150.260.900.4ТК</t>
  </si>
  <si>
    <t>ВК.150.260.950.4ТК</t>
  </si>
  <si>
    <t>ВК.150.260.1000.4ТК</t>
  </si>
  <si>
    <t>ВК.150.260.1050.4ТК</t>
  </si>
  <si>
    <t>ВК.150.260.1100.4ТК</t>
  </si>
  <si>
    <t>ВК.150.260.1150.4ТК</t>
  </si>
  <si>
    <t>ВК.150.260.1200.4ТК</t>
  </si>
  <si>
    <t>ВК.150.260.1250.4ТК</t>
  </si>
  <si>
    <t>ВК.150.260.1300.4ТК</t>
  </si>
  <si>
    <t>ВК.150.260.1350.4ТК</t>
  </si>
  <si>
    <t>ВК.150.260.1400.4ТК</t>
  </si>
  <si>
    <t>ВК.150.260.1450.4ТК</t>
  </si>
  <si>
    <t>ВК.150.260.1500.4ТК</t>
  </si>
  <si>
    <t>ВК.150.260.1550.4ТК</t>
  </si>
  <si>
    <t>ВК.150.260.1600.4ТК</t>
  </si>
  <si>
    <t>ВК.150.260.1650.4ТК</t>
  </si>
  <si>
    <t>ВК.150.260.1700.4ТК</t>
  </si>
  <si>
    <t>ВК.150.260.1750.4ТК</t>
  </si>
  <si>
    <t>ВК.150.260.1800.4ТК</t>
  </si>
  <si>
    <t>ВК.150.260.1850.4ТК</t>
  </si>
  <si>
    <t>ВК.150.260.1900.4ТК</t>
  </si>
  <si>
    <t>ВК.150.260.1950.4ТК</t>
  </si>
  <si>
    <t>ВК.150.260.2000.4ТК</t>
  </si>
  <si>
    <t>ВК.150.260.2050.4ТК</t>
  </si>
  <si>
    <t>ВК.150.260.2100.4ТК</t>
  </si>
  <si>
    <t>ВК.150.260.2150.4ТК</t>
  </si>
  <si>
    <t>ВК.150.260.2200.4ТК</t>
  </si>
  <si>
    <t>ВК.150.260.2250.4ТК</t>
  </si>
  <si>
    <t>ВК.150.260.2300.4ТК</t>
  </si>
  <si>
    <t>ВК.150.260.2350.4ТК</t>
  </si>
  <si>
    <t>ВК.150.260.2400.4ТК</t>
  </si>
  <si>
    <t>ВК.150.260.2450.4ТК</t>
  </si>
  <si>
    <t>ВК.150.260.2500.4ТК</t>
  </si>
  <si>
    <t>ВК.150.260.2550.4ТК</t>
  </si>
  <si>
    <t>ВК.150.260.2600.4ТК</t>
  </si>
  <si>
    <t>ВК.150.260.2650.4ТК</t>
  </si>
  <si>
    <t>ВК.150.260.2700.4ТК</t>
  </si>
  <si>
    <t>ВК.150.260.2750.4ТК</t>
  </si>
  <si>
    <t>ВК.150.260.2800.4ТК</t>
  </si>
  <si>
    <t>ВК.150.260.2850.4ТК</t>
  </si>
  <si>
    <t>ВК.150.260.2900.4ТК</t>
  </si>
  <si>
    <t>ВК.150.260.2950.4ТК</t>
  </si>
  <si>
    <t>ВК.150.260.3000.4ТК</t>
  </si>
  <si>
    <t>ВК.150.300.600.6ТП</t>
  </si>
  <si>
    <t>ВК.150.300.650.6ТП</t>
  </si>
  <si>
    <t>ВК.150.300.700.6ТП</t>
  </si>
  <si>
    <t>ВК.150.300.750.6ТП</t>
  </si>
  <si>
    <t>ВК.150.300.800.6ТП</t>
  </si>
  <si>
    <t>ВК.150.300.850.6ТП</t>
  </si>
  <si>
    <t>ВК.150.300.900.6ТП</t>
  </si>
  <si>
    <t>ВК.150.300.950.6ТП</t>
  </si>
  <si>
    <t>ВК.150.300.1000.6ТП</t>
  </si>
  <si>
    <t>ВК.150.300.1050.6ТП</t>
  </si>
  <si>
    <t>ВК.150.300.1100.6ТП</t>
  </si>
  <si>
    <t>ВК.150.300.1150.6ТП</t>
  </si>
  <si>
    <t>ВК.150.300.1200.6ТП</t>
  </si>
  <si>
    <t>ВК.150.300.1250.6ТП</t>
  </si>
  <si>
    <t>ВК.150.300.1300.6ТП</t>
  </si>
  <si>
    <t>ВК.150.300.1350.6ТП</t>
  </si>
  <si>
    <t>ВК.150.300.1400.6ТП</t>
  </si>
  <si>
    <t>ВК.150.300.1450.6ТП</t>
  </si>
  <si>
    <t>ВК.150.300.1500.6ТП</t>
  </si>
  <si>
    <t>ВК.150.300.1550.6ТП</t>
  </si>
  <si>
    <t>ВК.150.300.1600.6ТП</t>
  </si>
  <si>
    <t>ВК.150.300.1650.6ТП</t>
  </si>
  <si>
    <t>ВК.150.300.1700.6ТП</t>
  </si>
  <si>
    <t>ВК.150.300.1750.6ТП</t>
  </si>
  <si>
    <t>ВК.150.300.1800.6ТП</t>
  </si>
  <si>
    <t>ВК.150.300.1850.6ТП</t>
  </si>
  <si>
    <t>ВК.150.300.1900.6ТП</t>
  </si>
  <si>
    <t>ВК.150.300.1950.6ТП</t>
  </si>
  <si>
    <t>ВК.150.300.2000.6ТП</t>
  </si>
  <si>
    <t>ВК.150.300.2050.6ТП</t>
  </si>
  <si>
    <t>ВК.150.300.2100.6ТП</t>
  </si>
  <si>
    <t>ВК.150.300.2150.6ТП</t>
  </si>
  <si>
    <t>ВК.150.300.2200.6ТП</t>
  </si>
  <si>
    <t>ВК.150.300.2250.6ТП</t>
  </si>
  <si>
    <t>ВК.150.300.2300.6ТП</t>
  </si>
  <si>
    <t>ВК.150.300.2350.6ТП</t>
  </si>
  <si>
    <t>ВК.150.300.2400.6ТП</t>
  </si>
  <si>
    <t>ВК.150.300.2450.6ТП</t>
  </si>
  <si>
    <t>ВК.150.300.2500.6ТП</t>
  </si>
  <si>
    <t>ВК.150.300.2550.6ТП</t>
  </si>
  <si>
    <t>ВК.150.300.2600.6ТП</t>
  </si>
  <si>
    <t>ВК.150.300.2650.6ТП</t>
  </si>
  <si>
    <t>ВК.150.300.2700.6ТП</t>
  </si>
  <si>
    <t>ВК.150.300.2750.6ТП</t>
  </si>
  <si>
    <t>ВК.150.300.2800.6ТП</t>
  </si>
  <si>
    <t>ВК.150.300.2850.6ТП</t>
  </si>
  <si>
    <t>ВК.150.300.2900.6ТП</t>
  </si>
  <si>
    <t>ВК.150.300.2950.6ТП</t>
  </si>
  <si>
    <t>ВК.150.300.3000.6ТП</t>
  </si>
  <si>
    <t>ВК.150.300.600.8ТП</t>
  </si>
  <si>
    <t>ВК.150.300.650.8ТП</t>
  </si>
  <si>
    <t>ВК.150.300.700.8ТП</t>
  </si>
  <si>
    <t>ВК.150.300.750.8ТП</t>
  </si>
  <si>
    <t>ВК.150.300.800.8ТП</t>
  </si>
  <si>
    <t>ВК.150.300.850.8ТП</t>
  </si>
  <si>
    <t>ВК.150.300.900.8ТП</t>
  </si>
  <si>
    <t>ВК.150.300.950.8ТП</t>
  </si>
  <si>
    <t>ВК.150.300.1000.8ТП</t>
  </si>
  <si>
    <t>ВК.150.300.1050.8ТП</t>
  </si>
  <si>
    <t>ВК.150.300.1100.8ТП</t>
  </si>
  <si>
    <t>ВК.150.300.1150.8ТП</t>
  </si>
  <si>
    <t>ВК.150.300.1200.8ТП</t>
  </si>
  <si>
    <t>ВК.150.300.1250.8ТП</t>
  </si>
  <si>
    <t>ВК.150.300.1300.8ТП</t>
  </si>
  <si>
    <t>ВК.150.300.1350.8ТП</t>
  </si>
  <si>
    <t>ВК.150.300.1400.8ТП</t>
  </si>
  <si>
    <t>ВК.150.300.1450.8ТП</t>
  </si>
  <si>
    <t>ВК.150.300.1500.8ТП</t>
  </si>
  <si>
    <t>ВК.150.300.1550.8ТП</t>
  </si>
  <si>
    <t>ВК.150.300.1600.8ТП</t>
  </si>
  <si>
    <t>ВК.150.300.1650.8ТП</t>
  </si>
  <si>
    <t>ВК.150.300.1700.8ТП</t>
  </si>
  <si>
    <t>ВК.150.300.1750.8ТП</t>
  </si>
  <si>
    <t>ВК.150.300.1800.8ТП</t>
  </si>
  <si>
    <t>ВК.150.300.1850.8ТП</t>
  </si>
  <si>
    <t>ВК.150.300.1900.8ТП</t>
  </si>
  <si>
    <t>ВК.150.300.1950.8ТП</t>
  </si>
  <si>
    <t>ВК.150.300.2000.8ТП</t>
  </si>
  <si>
    <t>ВК.150.300.2050.8ТП</t>
  </si>
  <si>
    <t>ВК.150.300.2100.8ТП</t>
  </si>
  <si>
    <t>ВК.150.300.2150.8ТП</t>
  </si>
  <si>
    <t>ВК.150.300.2200.8ТП</t>
  </si>
  <si>
    <t>ВК.150.300.2250.8ТП</t>
  </si>
  <si>
    <t>ВК.150.300.2300.8ТП</t>
  </si>
  <si>
    <t>ВК.150.300.2350.8ТП</t>
  </si>
  <si>
    <t>ВК.150.300.2400.8ТП</t>
  </si>
  <si>
    <t>ВК.150.300.2450.8ТП</t>
  </si>
  <si>
    <t>ВК.150.300.2500.8ТП</t>
  </si>
  <si>
    <t>ВК.150.300.2550.8ТП</t>
  </si>
  <si>
    <t>ВК.150.300.2600.8ТП</t>
  </si>
  <si>
    <t>ВК.150.300.2650.8ТП</t>
  </si>
  <si>
    <t>ВК.150.300.2700.8ТП</t>
  </si>
  <si>
    <t>ВК.150.300.2750.8ТП</t>
  </si>
  <si>
    <t>ВК.150.300.2800.8ТП</t>
  </si>
  <si>
    <t>ВК.150.300.2850.8ТП</t>
  </si>
  <si>
    <t>ВК.150.300.2900.8ТП</t>
  </si>
  <si>
    <t>ВК.150.300.2950.8ТП</t>
  </si>
  <si>
    <t>ВК.150.300.3000.8ТП</t>
  </si>
  <si>
    <t>ВК.150.360.600.6ТП</t>
  </si>
  <si>
    <t>ВК.150.360.650.6ТП</t>
  </si>
  <si>
    <t>ВК.150.360.700.6ТП</t>
  </si>
  <si>
    <t>ВК.150.360.750.6ТП</t>
  </si>
  <si>
    <t>ВК.150.360.800.6ТП</t>
  </si>
  <si>
    <t>ВК.150.360.850.6ТП</t>
  </si>
  <si>
    <t>ВК.150.360.900.6ТП</t>
  </si>
  <si>
    <t>ВК.150.360.950.6ТП</t>
  </si>
  <si>
    <t>ВК.150.360.1000.6ТП</t>
  </si>
  <si>
    <t>ВК.150.360.1050.6ТП</t>
  </si>
  <si>
    <t>ВК.150.360.1100.6ТП</t>
  </si>
  <si>
    <t>ВК.150.360.1150.6ТП</t>
  </si>
  <si>
    <t>ВК.150.360.1200.6ТП</t>
  </si>
  <si>
    <t>ВК.150.360.1250.6ТП</t>
  </si>
  <si>
    <t>ВК.150.360.1300.6ТП</t>
  </si>
  <si>
    <t>ВК.150.360.1350.6ТП</t>
  </si>
  <si>
    <t>ВК.150.360.1400.6ТП</t>
  </si>
  <si>
    <t>ВК.150.360.1450.6ТП</t>
  </si>
  <si>
    <t>ВК.150.360.1500.6ТП</t>
  </si>
  <si>
    <t>ВК.150.360.1550.6ТП</t>
  </si>
  <si>
    <t>ВК.150.360.1600.6ТП</t>
  </si>
  <si>
    <t>ВК.150.360.1650.6ТП</t>
  </si>
  <si>
    <t>ВК.150.360.1700.6ТП</t>
  </si>
  <si>
    <t>ВК.150.360.1750.6ТП</t>
  </si>
  <si>
    <t>ВК.150.360.1800.6ТП</t>
  </si>
  <si>
    <t>ВК.150.360.1850.6ТП</t>
  </si>
  <si>
    <t>ВК.150.360.1900.6ТП</t>
  </si>
  <si>
    <t>ВК.150.360.1950.6ТП</t>
  </si>
  <si>
    <t>ВК.150.360.2000.6ТП</t>
  </si>
  <si>
    <t>ВК.150.360.2050.6ТП</t>
  </si>
  <si>
    <t>ВК.150.360.2100.6ТП</t>
  </si>
  <si>
    <t>ВК.150.360.2150.6ТП</t>
  </si>
  <si>
    <t>ВК.150.360.2200.6ТП</t>
  </si>
  <si>
    <t>ВК.150.360.2250.6ТП</t>
  </si>
  <si>
    <t>ВК.150.360.2300.6ТП</t>
  </si>
  <si>
    <t>ВК.150.360.2350.6ТП</t>
  </si>
  <si>
    <t>ВК.150.360.2400.6ТП</t>
  </si>
  <si>
    <t>ВК.150.360.2450.6ТП</t>
  </si>
  <si>
    <t>ВК.150.360.2500.6ТП</t>
  </si>
  <si>
    <t>ВК.150.360.2550.6ТП</t>
  </si>
  <si>
    <t>ВК.150.360.2600.6ТП</t>
  </si>
  <si>
    <t>ВК.150.360.2650.6ТП</t>
  </si>
  <si>
    <t>ВК.150.360.2700.6ТП</t>
  </si>
  <si>
    <t>ВК.150.360.2750.6ТП</t>
  </si>
  <si>
    <t>ВК.150.360.2800.6ТП</t>
  </si>
  <si>
    <t>ВК.150.360.2850.6ТП</t>
  </si>
  <si>
    <t>ВК.150.360.2900.6ТП</t>
  </si>
  <si>
    <t>ВК.150.360.2950.6ТП</t>
  </si>
  <si>
    <t>ВК.150.360.3000.6ТП</t>
  </si>
  <si>
    <t>ВК.150.360.600.8ТП</t>
  </si>
  <si>
    <t>ВК.150.360.650.8ТП</t>
  </si>
  <si>
    <t>ВК.150.360.700.8ТП</t>
  </si>
  <si>
    <t>ВК.150.360.750.8ТП</t>
  </si>
  <si>
    <t>ВК.150.360.800.8ТП</t>
  </si>
  <si>
    <t>ВК.150.360.850.8ТП</t>
  </si>
  <si>
    <t>ВК.150.360.900.8ТП</t>
  </si>
  <si>
    <t>ВК.150.360.950.8ТП</t>
  </si>
  <si>
    <t>ВК.150.360.1000.8ТП</t>
  </si>
  <si>
    <t>ВК.150.360.1050.8ТП</t>
  </si>
  <si>
    <t>ВК.150.360.1100.8ТП</t>
  </si>
  <si>
    <t>ВК.150.360.1150.8ТП</t>
  </si>
  <si>
    <t>ВК.150.360.1200.8ТП</t>
  </si>
  <si>
    <t>ВК.150.360.1250.8ТП</t>
  </si>
  <si>
    <t>ВК.150.360.1300.8ТП</t>
  </si>
  <si>
    <t>ВК.150.360.1350.8ТП</t>
  </si>
  <si>
    <t>ВК.150.360.1400.8ТП</t>
  </si>
  <si>
    <t>ВК.150.360.1450.8ТП</t>
  </si>
  <si>
    <t>ВК.150.360.1500.8ТП</t>
  </si>
  <si>
    <t>ВК.150.360.1550.8ТП</t>
  </si>
  <si>
    <t>ВК.150.360.1600.8ТП</t>
  </si>
  <si>
    <t>ВК.150.360.1650.8ТП</t>
  </si>
  <si>
    <t>ВК.150.360.1700.8ТП</t>
  </si>
  <si>
    <t>ВК.150.360.1750.8ТП</t>
  </si>
  <si>
    <t>ВК.150.360.1800.8ТП</t>
  </si>
  <si>
    <t>ВК.150.360.1850.8ТП</t>
  </si>
  <si>
    <t>ВК.150.360.1900.8ТП</t>
  </si>
  <si>
    <t>ВК.150.360.1950.8ТП</t>
  </si>
  <si>
    <t>ВК.150.360.2000.8ТП</t>
  </si>
  <si>
    <t>ВК.150.360.2050.8ТП</t>
  </si>
  <si>
    <t>ВК.150.360.2100.8ТП</t>
  </si>
  <si>
    <t>ВК.150.360.2150.8ТП</t>
  </si>
  <si>
    <t>ВК.150.360.2200.8ТП</t>
  </si>
  <si>
    <t>ВК.150.360.2250.8ТП</t>
  </si>
  <si>
    <t>ВК.150.360.2300.8ТП</t>
  </si>
  <si>
    <t>ВК.150.360.2350.8ТП</t>
  </si>
  <si>
    <t>ВК.150.360.2400.8ТП</t>
  </si>
  <si>
    <t>ВК.150.360.2450.8ТП</t>
  </si>
  <si>
    <t>ВК.150.360.2500.8ТП</t>
  </si>
  <si>
    <t>ВК.150.360.2550.8ТП</t>
  </si>
  <si>
    <t>ВК.150.360.2600.8ТП</t>
  </si>
  <si>
    <t>ВК.150.360.2650.8ТП</t>
  </si>
  <si>
    <t>ВК.150.360.2700.8ТП</t>
  </si>
  <si>
    <t>ВК.150.360.2750.8ТП</t>
  </si>
  <si>
    <t>ВК.150.360.2800.8ТП</t>
  </si>
  <si>
    <t>ВК.150.360.2850.8ТП</t>
  </si>
  <si>
    <t>ВК.150.360.2900.8ТП</t>
  </si>
  <si>
    <t>ВК.150.360.2950.8ТП</t>
  </si>
  <si>
    <t>ВК.150.360.3000.8ТП</t>
  </si>
  <si>
    <t>ВК.150.400.600.6ТП</t>
  </si>
  <si>
    <t>ВК.150.400.650.6ТП</t>
  </si>
  <si>
    <t>ВК.150.400.700.6ТП</t>
  </si>
  <si>
    <t>ВК.150.400.750.6ТП</t>
  </si>
  <si>
    <t>ВК.150.400.800.6ТП</t>
  </si>
  <si>
    <t>ВК.150.400.850.6ТП</t>
  </si>
  <si>
    <t>ВК.150.400.900.6ТП</t>
  </si>
  <si>
    <t>ВК.150.400.950.6ТП</t>
  </si>
  <si>
    <t>ВК.150.400.1000.6ТП</t>
  </si>
  <si>
    <t>ВК.150.400.1050.6ТП</t>
  </si>
  <si>
    <t>ВК.150.400.1100.6ТП</t>
  </si>
  <si>
    <t>ВК.150.400.1150.6ТП</t>
  </si>
  <si>
    <t>ВК.150.400.1200.6ТП</t>
  </si>
  <si>
    <t>ВК.150.400.1250.6ТП</t>
  </si>
  <si>
    <t>ВК.150.400.1300.6ТП</t>
  </si>
  <si>
    <t>ВК.150.400.1350.6ТП</t>
  </si>
  <si>
    <t>ВК.150.400.1400.6ТП</t>
  </si>
  <si>
    <t>ВК.150.400.1450.6ТП</t>
  </si>
  <si>
    <t>ВК.150.400.1500.6ТП</t>
  </si>
  <si>
    <t>ВК.150.400.1550.6ТП</t>
  </si>
  <si>
    <t>ВК.150.400.1600.6ТП</t>
  </si>
  <si>
    <t>ВК.150.400.1650.6ТП</t>
  </si>
  <si>
    <t>ВК.150.400.1700.6ТП</t>
  </si>
  <si>
    <t>ВК.150.400.1750.6ТП</t>
  </si>
  <si>
    <t>ВК.150.400.1800.6ТП</t>
  </si>
  <si>
    <t>ВК.150.400.1850.6ТП</t>
  </si>
  <si>
    <t>ВК.150.400.1900.6ТП</t>
  </si>
  <si>
    <t>ВК.150.400.1950.6ТП</t>
  </si>
  <si>
    <t>ВК.150.400.2000.6ТП</t>
  </si>
  <si>
    <t>ВК.150.400.2050.6ТП</t>
  </si>
  <si>
    <t>ВК.150.400.2100.6ТП</t>
  </si>
  <si>
    <t>ВК.150.400.2150.6ТП</t>
  </si>
  <si>
    <t>ВК.150.400.2200.6ТП</t>
  </si>
  <si>
    <t>ВК.150.400.2250.6ТП</t>
  </si>
  <si>
    <t>ВК.150.400.2300.6ТП</t>
  </si>
  <si>
    <t>ВК.150.400.2350.6ТП</t>
  </si>
  <si>
    <t>ВК.150.400.2400.6ТП</t>
  </si>
  <si>
    <t>ВК.150.400.2450.6ТП</t>
  </si>
  <si>
    <t>ВК.150.400.2500.6ТП</t>
  </si>
  <si>
    <t>ВК.150.400.2550.6ТП</t>
  </si>
  <si>
    <t>ВК.150.400.2600.6ТП</t>
  </si>
  <si>
    <t>ВК.150.400.2650.6ТП</t>
  </si>
  <si>
    <t>ВК.150.400.2700.6ТП</t>
  </si>
  <si>
    <t>ВК.150.400.2750.6ТП</t>
  </si>
  <si>
    <t>ВК.150.400.2800.6ТП</t>
  </si>
  <si>
    <t>ВК.150.400.2850.6ТП</t>
  </si>
  <si>
    <t>ВК.150.400.2900.6ТП</t>
  </si>
  <si>
    <t>ВК.150.400.2950.6ТП</t>
  </si>
  <si>
    <t>ВК.150.400.3000.6ТП</t>
  </si>
  <si>
    <t>ВК.150.400.600.8ТП</t>
  </si>
  <si>
    <t>ВК.150.400.650.8ТП</t>
  </si>
  <si>
    <t>ВК.150.400.700.8ТП</t>
  </si>
  <si>
    <t>ВК.150.400.750.8ТП</t>
  </si>
  <si>
    <t>ВК.150.400.800.8ТП</t>
  </si>
  <si>
    <t>ВК.150.400.850.8ТП</t>
  </si>
  <si>
    <t>ВК.150.400.900.8ТП</t>
  </si>
  <si>
    <t>ВК.150.400.950.8ТП</t>
  </si>
  <si>
    <t>ВК.150.400.1000.8ТП</t>
  </si>
  <si>
    <t>ВК.150.400.1050.8ТП</t>
  </si>
  <si>
    <t>ВК.150.400.1100.8ТП</t>
  </si>
  <si>
    <t>ВК.150.400.1150.8ТП</t>
  </si>
  <si>
    <t>ВК.150.400.1200.8ТП</t>
  </si>
  <si>
    <t>ВК.150.400.1250.8ТП</t>
  </si>
  <si>
    <t>ВК.150.400.1300.8ТП</t>
  </si>
  <si>
    <t>ВК.150.400.1350.8ТП</t>
  </si>
  <si>
    <t>ВК.150.400.1400.8ТП</t>
  </si>
  <si>
    <t>ВК.150.400.1450.8ТП</t>
  </si>
  <si>
    <t>ВК.150.400.1500.8ТП</t>
  </si>
  <si>
    <t>ВК.150.400.1550.8ТП</t>
  </si>
  <si>
    <t>ВК.150.400.1600.8ТП</t>
  </si>
  <si>
    <t>ВК.150.400.1650.8ТП</t>
  </si>
  <si>
    <t>ВК.150.400.1700.8ТП</t>
  </si>
  <si>
    <t>ВК.150.400.1750.8ТП</t>
  </si>
  <si>
    <t>ВК.150.400.1800.8ТП</t>
  </si>
  <si>
    <t>ВК.150.400.1850.8ТП</t>
  </si>
  <si>
    <t>ВК.150.400.1900.8ТП</t>
  </si>
  <si>
    <t>ВК.150.400.1950.8ТП</t>
  </si>
  <si>
    <t>ВК.150.400.2000.8ТП</t>
  </si>
  <si>
    <t>ВК.150.400.2050.8ТП</t>
  </si>
  <si>
    <t>ВК.150.400.2100.8ТП</t>
  </si>
  <si>
    <t>ВК.150.400.2150.8ТП</t>
  </si>
  <si>
    <t>ВК.150.400.2200.8ТП</t>
  </si>
  <si>
    <t>ВК.150.400.2250.8ТП</t>
  </si>
  <si>
    <t>ВК.150.400.2300.8ТП</t>
  </si>
  <si>
    <t>ВК.150.400.2350.8ТП</t>
  </si>
  <si>
    <t>ВК.150.400.2400.8ТП</t>
  </si>
  <si>
    <t>ВК.150.400.2450.8ТП</t>
  </si>
  <si>
    <t>ВК.150.400.2500.8ТП</t>
  </si>
  <si>
    <t>ВК.150.400.2550.8ТП</t>
  </si>
  <si>
    <t>ВК.150.400.2600.8ТП</t>
  </si>
  <si>
    <t>ВК.150.400.2650.8ТП</t>
  </si>
  <si>
    <t>ВК.150.400.2700.8ТП</t>
  </si>
  <si>
    <t>ВК.150.400.2750.8ТП</t>
  </si>
  <si>
    <t>ВК.150.400.2800.8ТП</t>
  </si>
  <si>
    <t>ВК.150.400.2850.8ТП</t>
  </si>
  <si>
    <t>ВК.150.400.2900.8ТП</t>
  </si>
  <si>
    <t>ВК.150.400.2950.8ТП</t>
  </si>
  <si>
    <t>ВК.150.400.3000.8ТП</t>
  </si>
  <si>
    <t>ВК.200.200.600.4ТК</t>
  </si>
  <si>
    <t>ВК.200.200.650.4ТК</t>
  </si>
  <si>
    <t>ВК.200.200.700.4ТК</t>
  </si>
  <si>
    <t>ВК.200.200.750.4ТК</t>
  </si>
  <si>
    <t>ВК.200.200.800.4ТК</t>
  </si>
  <si>
    <t>ВК.200.200.850.4ТК</t>
  </si>
  <si>
    <t>ВК.200.200.900.4ТК</t>
  </si>
  <si>
    <t>ВК.200.200.950.4ТК</t>
  </si>
  <si>
    <t>ВК.200.200.1000.4ТК</t>
  </si>
  <si>
    <t>ВК.200.200.1050.4ТК</t>
  </si>
  <si>
    <t>ВК.200.200.1100.4ТК</t>
  </si>
  <si>
    <t>ВК.200.200.1150.4ТК</t>
  </si>
  <si>
    <t>ВК.200.200.1200.4ТК</t>
  </si>
  <si>
    <t>ВК.200.200.1250.4ТК</t>
  </si>
  <si>
    <t>ВК.200.200.1300.4ТК</t>
  </si>
  <si>
    <t>ВК.200.200.1350.4ТК</t>
  </si>
  <si>
    <t>ВК.200.200.1400.4ТК</t>
  </si>
  <si>
    <t>ВК.200.200.1450.4ТК</t>
  </si>
  <si>
    <t>ВК.200.200.1500.4ТК</t>
  </si>
  <si>
    <t>ВК.200.200.1550.4ТК</t>
  </si>
  <si>
    <t>ВК.200.200.1600.4ТК</t>
  </si>
  <si>
    <t>ВК.200.200.1650.4ТК</t>
  </si>
  <si>
    <t>ВК.200.200.1700.4ТК</t>
  </si>
  <si>
    <t>ВК.200.200.1750.4ТК</t>
  </si>
  <si>
    <t>ВК.200.200.1800.4ТК</t>
  </si>
  <si>
    <t>ВК.200.200.1850.4ТК</t>
  </si>
  <si>
    <t>ВК.200.200.1900.4ТК</t>
  </si>
  <si>
    <t>ВК.200.200.1950.4ТК</t>
  </si>
  <si>
    <t>ВК.200.200.2000.4ТК</t>
  </si>
  <si>
    <t>ВК.200.200.2050.4ТК</t>
  </si>
  <si>
    <t>ВК.200.200.2100.4ТК</t>
  </si>
  <si>
    <t>ВК.200.200.2150.4ТК</t>
  </si>
  <si>
    <t>ВК.200.200.2200.4ТК</t>
  </si>
  <si>
    <t>ВК.200.200.2250.4ТК</t>
  </si>
  <si>
    <t>ВК.200.200.2300.4ТК</t>
  </si>
  <si>
    <t>ВК.200.200.2350.4ТК</t>
  </si>
  <si>
    <t>ВК.200.200.2400.4ТК</t>
  </si>
  <si>
    <t>ВК.200.200.2450.4ТК</t>
  </si>
  <si>
    <t>ВК.200.200.2500.4ТК</t>
  </si>
  <si>
    <t>ВК.200.200.2550.4ТК</t>
  </si>
  <si>
    <t>ВК.200.200.2600.4ТК</t>
  </si>
  <si>
    <t>ВК.200.200.2650.4ТК</t>
  </si>
  <si>
    <t>ВК.200.200.2700.4ТК</t>
  </si>
  <si>
    <t>ВК.200.200.2750.4ТК</t>
  </si>
  <si>
    <t>ВК.200.200.2800.4ТК</t>
  </si>
  <si>
    <t>ВК.200.200.2850.4ТК</t>
  </si>
  <si>
    <t>ВК.200.200.2900.4ТК</t>
  </si>
  <si>
    <t>ВК.200.200.2950.4ТК</t>
  </si>
  <si>
    <t>ВК.200.200.3000.4ТК</t>
  </si>
  <si>
    <t>ВК.200.260.600.4ТК</t>
  </si>
  <si>
    <t>ВК.200.260.650.4ТК</t>
  </si>
  <si>
    <t>ВК.200.260.700.4ТК</t>
  </si>
  <si>
    <t>ВК.200.260.750.4ТК</t>
  </si>
  <si>
    <t>ВК.200.260.800.4ТК</t>
  </si>
  <si>
    <t>ВК.200.260.850.4ТК</t>
  </si>
  <si>
    <t>ВК.200.260.900.4ТК</t>
  </si>
  <si>
    <t>ВК.200.260.950.4ТК</t>
  </si>
  <si>
    <t>ВК.200.260.1000.4ТК</t>
  </si>
  <si>
    <t>ВК.200.260.1050.4ТК</t>
  </si>
  <si>
    <t>ВК.200.260.1100.4ТК</t>
  </si>
  <si>
    <t>ВК.200.260.1150.4ТК</t>
  </si>
  <si>
    <t>ВК.200.260.1200.4ТК</t>
  </si>
  <si>
    <t>ВК.200.260.1250.4ТК</t>
  </si>
  <si>
    <t>ВК.200.260.1300.4ТК</t>
  </si>
  <si>
    <t>ВК.200.260.1350.4ТК</t>
  </si>
  <si>
    <t>ВК.200.260.1400.4ТК</t>
  </si>
  <si>
    <t>ВК.200.260.1450.4ТК</t>
  </si>
  <si>
    <t>ВК.200.260.1500.4ТК</t>
  </si>
  <si>
    <t>ВК.200.260.1550.4ТК</t>
  </si>
  <si>
    <t>ВК.200.260.1600.4ТК</t>
  </si>
  <si>
    <t>ВК.200.260.1650.4ТК</t>
  </si>
  <si>
    <t>ВК.200.260.1700.4ТК</t>
  </si>
  <si>
    <t>ВК.200.260.1750.4ТК</t>
  </si>
  <si>
    <t>ВК.200.260.1800.4ТК</t>
  </si>
  <si>
    <t>ВК.200.260.1850.4ТК</t>
  </si>
  <si>
    <t>ВК.200.260.1900.4ТК</t>
  </si>
  <si>
    <t>ВК.200.260.1950.4ТК</t>
  </si>
  <si>
    <t>ВК.200.260.2000.4ТК</t>
  </si>
  <si>
    <t>ВК.200.260.2050.4ТК</t>
  </si>
  <si>
    <t>ВК.200.260.2100.4ТК</t>
  </si>
  <si>
    <t>ВК.200.260.2150.4ТК</t>
  </si>
  <si>
    <t>ВК.200.260.2200.4ТК</t>
  </si>
  <si>
    <t>ВК.200.260.2250.4ТК</t>
  </si>
  <si>
    <t>ВК.200.260.2300.4ТК</t>
  </si>
  <si>
    <t>ВК.200.260.2350.4ТК</t>
  </si>
  <si>
    <t>ВК.200.260.2400.4ТК</t>
  </si>
  <si>
    <t>ВК.200.260.2450.4ТК</t>
  </si>
  <si>
    <t>ВК.200.260.2500.4ТК</t>
  </si>
  <si>
    <t>ВК.200.260.2550.4ТК</t>
  </si>
  <si>
    <t>ВК.200.260.2600.4ТК</t>
  </si>
  <si>
    <t>ВК.200.260.2650.4ТК</t>
  </si>
  <si>
    <t>ВК.200.260.2700.4ТК</t>
  </si>
  <si>
    <t>ВК.200.260.2750.4ТК</t>
  </si>
  <si>
    <t>ВК.200.260.2800.4ТК</t>
  </si>
  <si>
    <t>ВК.200.260.2850.4ТК</t>
  </si>
  <si>
    <t>ВК.200.260.2900.4ТК</t>
  </si>
  <si>
    <t>ВК.200.260.2950.4ТК</t>
  </si>
  <si>
    <t>ВК.200.260.3000.4ТК</t>
  </si>
  <si>
    <t>ВК.200.300.600.4ТК</t>
  </si>
  <si>
    <t>ВК.200.300.650.4ТК</t>
  </si>
  <si>
    <t>ВК.200.300.700.4ТК</t>
  </si>
  <si>
    <t>ВК.200.300.750.4ТК</t>
  </si>
  <si>
    <t>ВК.200.300.800.4ТК</t>
  </si>
  <si>
    <t>ВК.200.300.850.4ТК</t>
  </si>
  <si>
    <t>ВК.200.300.900.4ТК</t>
  </si>
  <si>
    <t>ВК.200.300.950.4ТК</t>
  </si>
  <si>
    <t>ВК.200.300.1000.4ТК</t>
  </si>
  <si>
    <t>ВК.200.300.1050.4ТК</t>
  </si>
  <si>
    <t>ВК.200.300.1100.4ТК</t>
  </si>
  <si>
    <t>ВК.200.300.1150.4ТК</t>
  </si>
  <si>
    <t>ВК.200.300.1200.4ТК</t>
  </si>
  <si>
    <t>ВК.200.300.1250.4ТК</t>
  </si>
  <si>
    <t>ВК.200.300.1300.4ТК</t>
  </si>
  <si>
    <t>ВК.200.300.1350.4ТК</t>
  </si>
  <si>
    <t>ВК.200.300.1400.4ТК</t>
  </si>
  <si>
    <t>ВК.200.300.1450.4ТК</t>
  </si>
  <si>
    <t>ВК.200.300.1500.4ТК</t>
  </si>
  <si>
    <t>ВК.200.300.1550.4ТК</t>
  </si>
  <si>
    <t>ВК.200.300.1600.4ТК</t>
  </si>
  <si>
    <t>ВК.200.300.1650.4ТК</t>
  </si>
  <si>
    <t>ВК.200.300.1700.4ТК</t>
  </si>
  <si>
    <t>ВК.200.300.1750.4ТК</t>
  </si>
  <si>
    <t>ВК.200.300.1800.4ТК</t>
  </si>
  <si>
    <t>ВК.200.300.1850.4ТК</t>
  </si>
  <si>
    <t>ВК.200.300.1900.4ТК</t>
  </si>
  <si>
    <t>ВК.200.300.1950.4ТК</t>
  </si>
  <si>
    <t>ВК.200.300.2000.4ТК</t>
  </si>
  <si>
    <t>ВК.200.300.2050.4ТК</t>
  </si>
  <si>
    <t>ВК.200.300.2100.4ТК</t>
  </si>
  <si>
    <t>ВК.200.300.2150.4ТК</t>
  </si>
  <si>
    <t>ВК.200.300.2200.4ТК</t>
  </si>
  <si>
    <t>ВК.200.300.2250.4ТК</t>
  </si>
  <si>
    <t>ВК.200.300.2300.4ТК</t>
  </si>
  <si>
    <t>ВК.200.300.2350.4ТК</t>
  </si>
  <si>
    <t>ВК.200.300.2400.4ТК</t>
  </si>
  <si>
    <t>ВК.200.300.2450.4ТК</t>
  </si>
  <si>
    <t>ВК.200.300.2500.4ТК</t>
  </si>
  <si>
    <t>ВК.200.300.2550.4ТК</t>
  </si>
  <si>
    <t>ВК.200.300.2600.4ТК</t>
  </si>
  <si>
    <t>ВК.200.300.2650.4ТК</t>
  </si>
  <si>
    <t>ВК.200.300.2700.4ТК</t>
  </si>
  <si>
    <t>ВК.200.300.2750.4ТК</t>
  </si>
  <si>
    <t>ВК.200.300.2800.4ТК</t>
  </si>
  <si>
    <t>ВК.200.300.2850.4ТК</t>
  </si>
  <si>
    <t>ВК.200.300.2900.4ТК</t>
  </si>
  <si>
    <t>ВК.200.300.2950.4ТК</t>
  </si>
  <si>
    <t>ВК.200.300.3000.4ТК</t>
  </si>
  <si>
    <t>ВК.200.360.600.8ТП</t>
  </si>
  <si>
    <t>ВК.200.360.650.8ТП</t>
  </si>
  <si>
    <t>ВК.200.360.700.8ТП</t>
  </si>
  <si>
    <t>ВК.200.360.750.8ТП</t>
  </si>
  <si>
    <t>ВК.200.360.800.8ТП</t>
  </si>
  <si>
    <t>ВК.200.360.850.8ТП</t>
  </si>
  <si>
    <t>ВК.200.360.900.8ТП</t>
  </si>
  <si>
    <t>ВК.200.360.950.8ТП</t>
  </si>
  <si>
    <t>ВК.200.360.1000.8ТП</t>
  </si>
  <si>
    <t>ВК.200.360.1050.8ТП</t>
  </si>
  <si>
    <t>ВК.200.360.1100.8ТП</t>
  </si>
  <si>
    <t>ВК.200.360.1150.8ТП</t>
  </si>
  <si>
    <t>ВК.200.360.1200.8ТП</t>
  </si>
  <si>
    <t>ВК.200.360.1250.8ТП</t>
  </si>
  <si>
    <t>ВК.200.360.1300.8ТП</t>
  </si>
  <si>
    <t>ВК.200.360.1350.8ТП</t>
  </si>
  <si>
    <t>ВК.200.360.1400.8ТП</t>
  </si>
  <si>
    <t>ВК.200.360.1450.8ТП</t>
  </si>
  <si>
    <t>ВК.200.360.1500.8ТП</t>
  </si>
  <si>
    <t>ВК.200.360.1550.8ТП</t>
  </si>
  <si>
    <t>ВК.200.360.1600.8ТП</t>
  </si>
  <si>
    <t>ВК.200.360.1650.8ТП</t>
  </si>
  <si>
    <t>ВК.200.360.1700.8ТП</t>
  </si>
  <si>
    <t>ВК.200.360.1750.8ТП</t>
  </si>
  <si>
    <t>ВК.200.360.1800.8ТП</t>
  </si>
  <si>
    <t>ВК.200.360.1850.8ТП</t>
  </si>
  <si>
    <t>ВК.200.360.1900.8ТП</t>
  </si>
  <si>
    <t>ВК.200.360.1950.8ТП</t>
  </si>
  <si>
    <t>ВК.200.360.2000.8ТП</t>
  </si>
  <si>
    <t>ВК.200.360.2050.8ТП</t>
  </si>
  <si>
    <t>ВК.200.360.2100.8ТП</t>
  </si>
  <si>
    <t>ВК.200.360.2150.8ТП</t>
  </si>
  <si>
    <t>ВК.200.360.2200.8ТП</t>
  </si>
  <si>
    <t>ВК.200.360.2250.8ТП</t>
  </si>
  <si>
    <t>ВК.200.360.2300.8ТП</t>
  </si>
  <si>
    <t>ВК.200.360.2350.8ТП</t>
  </si>
  <si>
    <t>ВК.200.360.2400.8ТП</t>
  </si>
  <si>
    <t>ВК.200.360.2450.8ТП</t>
  </si>
  <si>
    <t>ВК.200.360.2500.8ТП</t>
  </si>
  <si>
    <t>ВК.200.360.2550.8ТП</t>
  </si>
  <si>
    <t>ВК.200.360.2600.8ТП</t>
  </si>
  <si>
    <t>ВК.200.360.2650.8ТП</t>
  </si>
  <si>
    <t>ВК.200.360.2700.8ТП</t>
  </si>
  <si>
    <t>ВК.200.360.2750.8ТП</t>
  </si>
  <si>
    <t>ВК.200.360.2800.8ТП</t>
  </si>
  <si>
    <t>ВК.200.360.2850.8ТП</t>
  </si>
  <si>
    <t>ВК.200.360.2900.8ТП</t>
  </si>
  <si>
    <t>ВК.200.360.2950.8ТП</t>
  </si>
  <si>
    <t>ВК.200.360.3000.8ТП</t>
  </si>
  <si>
    <t>ВК.300.260.600.4ТК</t>
  </si>
  <si>
    <t>ВК.300.260.650.4ТК</t>
  </si>
  <si>
    <t>ВК.300.260.700.4ТК</t>
  </si>
  <si>
    <t>ВК.300.260.750.4ТК</t>
  </si>
  <si>
    <t>ВК.300.260.800.4ТК</t>
  </si>
  <si>
    <t>ВК.300.260.850.4ТК</t>
  </si>
  <si>
    <t>ВК.300.260.900.4ТК</t>
  </si>
  <si>
    <t>ВК.300.260.950.4ТК</t>
  </si>
  <si>
    <t>ВК.300.260.1000.4ТК</t>
  </si>
  <si>
    <t>ВК.300.260.1050.4ТК</t>
  </si>
  <si>
    <t>ВК.300.260.1100.4ТК</t>
  </si>
  <si>
    <t>ВК.300.260.1150.4ТК</t>
  </si>
  <si>
    <t>ВК.300.260.1200.4ТК</t>
  </si>
  <si>
    <t>ВК.300.260.1250.4ТК</t>
  </si>
  <si>
    <t>ВК.300.260.1300.4ТК</t>
  </si>
  <si>
    <t>ВК.300.260.1350.4ТК</t>
  </si>
  <si>
    <t>ВК.300.260.1400.4ТК</t>
  </si>
  <si>
    <t>ВК.300.260.1450.4ТК</t>
  </si>
  <si>
    <t>ВК.300.260.1500.4ТК</t>
  </si>
  <si>
    <t>ВК.300.260.1550.4ТК</t>
  </si>
  <si>
    <t>ВК.300.260.1600.4ТК</t>
  </si>
  <si>
    <t>ВК.300.260.1650.4ТК</t>
  </si>
  <si>
    <t>ВК.300.260.1700.4ТК</t>
  </si>
  <si>
    <t>ВК.300.260.1750.4ТК</t>
  </si>
  <si>
    <t>ВК.300.260.1800.4ТК</t>
  </si>
  <si>
    <t>ВК.300.260.1850.4ТК</t>
  </si>
  <si>
    <t>ВК.300.260.1900.4ТК</t>
  </si>
  <si>
    <t>ВК.300.260.1950.4ТК</t>
  </si>
  <si>
    <t>ВК.300.260.2000.4ТК</t>
  </si>
  <si>
    <t>ВК.300.260.2050.4ТК</t>
  </si>
  <si>
    <t>ВК.300.260.2100.4ТК</t>
  </si>
  <si>
    <t>ВК.300.260.2150.4ТК</t>
  </si>
  <si>
    <t>ВК.300.260.2200.4ТК</t>
  </si>
  <si>
    <t>ВК.300.260.2250.4ТК</t>
  </si>
  <si>
    <t>ВК.300.260.2300.4ТК</t>
  </si>
  <si>
    <t>ВК.300.260.2350.4ТК</t>
  </si>
  <si>
    <t>ВК.300.260.2400.4ТК</t>
  </si>
  <si>
    <t>ВК.300.260.2450.4ТК</t>
  </si>
  <si>
    <t>ВК.300.260.2500.4ТК</t>
  </si>
  <si>
    <t>ВК.300.260.2550.4ТК</t>
  </si>
  <si>
    <t>ВК.300.260.2600.4ТК</t>
  </si>
  <si>
    <t>ВК.300.260.2650.4ТК</t>
  </si>
  <si>
    <t>ВК.300.260.2700.4ТК</t>
  </si>
  <si>
    <t>ВК.300.260.2750.4ТК</t>
  </si>
  <si>
    <t>ВК.300.260.2800.4ТК</t>
  </si>
  <si>
    <t>ВК.300.260.2850.4ТК</t>
  </si>
  <si>
    <t>ВК.300.260.2900.4ТК</t>
  </si>
  <si>
    <t>ВК.300.260.2950.4ТК</t>
  </si>
  <si>
    <t>ВК.300.260.3000.4ТК</t>
  </si>
  <si>
    <t>ВК.300.300.600.4ТК</t>
  </si>
  <si>
    <t>ВК.300.300.650.4ТК</t>
  </si>
  <si>
    <t>ВК.300.300.700.4ТК</t>
  </si>
  <si>
    <t>ВК.300.300.750.4ТК</t>
  </si>
  <si>
    <t>ВК.300.300.800.4ТК</t>
  </si>
  <si>
    <t>ВК.300.300.850.4ТК</t>
  </si>
  <si>
    <t>ВК.300.300.900.4ТК</t>
  </si>
  <si>
    <t>ВК.300.300.950.4ТК</t>
  </si>
  <si>
    <t>ВК.300.300.1000.4ТК</t>
  </si>
  <si>
    <t>ВК.300.300.1050.4ТК</t>
  </si>
  <si>
    <t>ВК.300.300.1100.4ТК</t>
  </si>
  <si>
    <t>ВК.300.300.1150.4ТК</t>
  </si>
  <si>
    <t>ВК.300.300.1200.4ТК</t>
  </si>
  <si>
    <t>ВК.300.300.1250.4ТК</t>
  </si>
  <si>
    <t>ВК.300.300.1300.4ТК</t>
  </si>
  <si>
    <t>ВК.300.300.1350.4ТК</t>
  </si>
  <si>
    <t>ВК.300.300.1400.4ТК</t>
  </si>
  <si>
    <t>ВК.300.300.1450.4ТК</t>
  </si>
  <si>
    <t>ВК.300.300.1500.4ТК</t>
  </si>
  <si>
    <t>ВК.300.300.1550.4ТК</t>
  </si>
  <si>
    <t>ВК.300.300.1600.4ТК</t>
  </si>
  <si>
    <t>ВК.300.300.1650.4ТК</t>
  </si>
  <si>
    <t>ВК.300.300.1700.4ТК</t>
  </si>
  <si>
    <t>ВК.300.300.1750.4ТК</t>
  </si>
  <si>
    <t>ВК.300.300.1800.4ТК</t>
  </si>
  <si>
    <t>ВК.300.300.1850.4ТК</t>
  </si>
  <si>
    <t>ВК.300.300.1900.4ТК</t>
  </si>
  <si>
    <t>ВК.300.300.1950.4ТК</t>
  </si>
  <si>
    <t>ВК.300.300.2000.4ТК</t>
  </si>
  <si>
    <t>ВК.300.300.2050.4ТК</t>
  </si>
  <si>
    <t>ВК.300.300.2100.4ТК</t>
  </si>
  <si>
    <t>ВК.300.300.2150.4ТК</t>
  </si>
  <si>
    <t>ВК.300.300.2200.4ТК</t>
  </si>
  <si>
    <t>ВК.300.300.2250.4ТК</t>
  </si>
  <si>
    <t>ВК.300.300.2300.4ТК</t>
  </si>
  <si>
    <t>ВК.300.300.2350.4ТК</t>
  </si>
  <si>
    <t>ВК.300.300.2400.4ТК</t>
  </si>
  <si>
    <t>ВК.300.300.2450.4ТК</t>
  </si>
  <si>
    <t>ВК.300.300.2500.4ТК</t>
  </si>
  <si>
    <t>ВК.300.300.2550.4ТК</t>
  </si>
  <si>
    <t>ВК.300.300.2600.4ТК</t>
  </si>
  <si>
    <t>ВК.300.300.2650.4ТК</t>
  </si>
  <si>
    <t>ВК.300.300.2700.4ТК</t>
  </si>
  <si>
    <t>ВК.300.300.2750.4ТК</t>
  </si>
  <si>
    <t>ВК.300.300.2800.4ТК</t>
  </si>
  <si>
    <t>ВК.300.300.2850.4ТК</t>
  </si>
  <si>
    <t>ВК.300.300.2900.4ТК</t>
  </si>
  <si>
    <t>ВК.300.300.2950.4ТК</t>
  </si>
  <si>
    <t>ВК.300.300.3000.4ТК</t>
  </si>
  <si>
    <t>ВК.300.360.600.8ТП</t>
  </si>
  <si>
    <t>ВК.300.360.650.8ТП</t>
  </si>
  <si>
    <t>ВК.300.360.700.8ТП</t>
  </si>
  <si>
    <t>ВК.300.360.750.8ТП</t>
  </si>
  <si>
    <t>ВК.300.360.800.8ТП</t>
  </si>
  <si>
    <t>ВК.300.360.850.8ТП</t>
  </si>
  <si>
    <t>ВК.300.360.900.8ТП</t>
  </si>
  <si>
    <t>ВК.300.360.950.8ТП</t>
  </si>
  <si>
    <t>ВК.300.360.1000.8ТП</t>
  </si>
  <si>
    <t>ВК.300.360.1050.8ТП</t>
  </si>
  <si>
    <t>ВК.300.360.1100.8ТП</t>
  </si>
  <si>
    <t>ВК.300.360.1150.8ТП</t>
  </si>
  <si>
    <t>ВК.300.360.1200.8ТП</t>
  </si>
  <si>
    <t>ВК.300.360.1250.8ТП</t>
  </si>
  <si>
    <t>ВК.300.360.1300.8ТП</t>
  </si>
  <si>
    <t>ВК.300.360.1350.8ТП</t>
  </si>
  <si>
    <t>ВК.300.360.1400.8ТП</t>
  </si>
  <si>
    <t>ВК.300.360.1450.8ТП</t>
  </si>
  <si>
    <t>ВК.300.360.1500.8ТП</t>
  </si>
  <si>
    <t>ВК.300.360.1550.8ТП</t>
  </si>
  <si>
    <t>ВК.300.360.1600.8ТП</t>
  </si>
  <si>
    <t>ВК.300.360.1650.8ТП</t>
  </si>
  <si>
    <t>ВК.300.360.1700.8ТП</t>
  </si>
  <si>
    <t>ВК.300.360.1750.8ТП</t>
  </si>
  <si>
    <t>ВК.300.360.1800.8ТП</t>
  </si>
  <si>
    <t>ВК.300.360.1850.8ТП</t>
  </si>
  <si>
    <t>ВК.300.360.1900.8ТП</t>
  </si>
  <si>
    <t>ВК.300.360.1950.8ТП</t>
  </si>
  <si>
    <t>ВК.300.360.2000.8ТП</t>
  </si>
  <si>
    <t>ВК.300.360.2050.8ТП</t>
  </si>
  <si>
    <t>ВК.300.360.2100.8ТП</t>
  </si>
  <si>
    <t>ВК.300.360.2150.8ТП</t>
  </si>
  <si>
    <t>ВК.300.360.2200.8ТП</t>
  </si>
  <si>
    <t>ВК.300.360.2250.8ТП</t>
  </si>
  <si>
    <t>ВК.300.360.2300.8ТП</t>
  </si>
  <si>
    <t>ВК.300.360.2350.8ТП</t>
  </si>
  <si>
    <t>ВК.300.360.2400.8ТП</t>
  </si>
  <si>
    <t>ВК.300.360.2450.8ТП</t>
  </si>
  <si>
    <t>ВК.300.360.2500.8ТП</t>
  </si>
  <si>
    <t>ВК.300.360.2550.8ТП</t>
  </si>
  <si>
    <t>ВК.300.360.2600.8ТП</t>
  </si>
  <si>
    <t>ВК.300.360.2650.8ТП</t>
  </si>
  <si>
    <t>ВК.300.360.2700.8ТП</t>
  </si>
  <si>
    <t>ВК.300.360.2750.8ТП</t>
  </si>
  <si>
    <t>ВК.300.360.2800.8ТП</t>
  </si>
  <si>
    <t>ВК.300.360.2850.8ТП</t>
  </si>
  <si>
    <t>ВК.300.360.2900.8ТП</t>
  </si>
  <si>
    <t>ВК.300.360.2950.8ТП</t>
  </si>
  <si>
    <t>ВК.300.360.3000.8ТП</t>
  </si>
  <si>
    <t>ВК.400.260.600.4ТК</t>
  </si>
  <si>
    <t>ВК.400.260.650.4ТК</t>
  </si>
  <si>
    <t>ВК.400.260.700.4ТК</t>
  </si>
  <si>
    <t>ВК.400.260.750.4ТК</t>
  </si>
  <si>
    <t>ВК.400.260.800.4ТК</t>
  </si>
  <si>
    <t>ВК.400.260.850.4ТК</t>
  </si>
  <si>
    <t>ВК.400.260.900.4ТК</t>
  </si>
  <si>
    <t>ВК.400.260.950.4ТК</t>
  </si>
  <si>
    <t>ВК.400.260.1000.4ТК</t>
  </si>
  <si>
    <t>ВК.400.260.1050.4ТК</t>
  </si>
  <si>
    <t>ВК.400.260.1100.4ТК</t>
  </si>
  <si>
    <t>ВК.400.260.1150.4ТК</t>
  </si>
  <si>
    <t>ВК.400.260.1200.4ТК</t>
  </si>
  <si>
    <t>ВК.400.260.1250.4ТК</t>
  </si>
  <si>
    <t>ВК.400.260.1300.4ТК</t>
  </si>
  <si>
    <t>ВК.400.260.1350.4ТК</t>
  </si>
  <si>
    <t>ВК.400.260.1400.4ТК</t>
  </si>
  <si>
    <t>ВК.400.260.1450.4ТК</t>
  </si>
  <si>
    <t>ВК.400.260.1500.4ТК</t>
  </si>
  <si>
    <t>ВК.400.260.1550.4ТК</t>
  </si>
  <si>
    <t>ВК.400.260.1600.4ТК</t>
  </si>
  <si>
    <t>ВК.400.260.1650.4ТК</t>
  </si>
  <si>
    <t>ВК.400.260.1700.4ТК</t>
  </si>
  <si>
    <t>ВК.400.260.1750.4ТК</t>
  </si>
  <si>
    <t>ВК.400.260.1800.4ТК</t>
  </si>
  <si>
    <t>ВК.400.260.1850.4ТК</t>
  </si>
  <si>
    <t>ВК.400.260.1900.4ТК</t>
  </si>
  <si>
    <t>ВК.400.260.1950.4ТК</t>
  </si>
  <si>
    <t>ВК.400.260.2000.4ТК</t>
  </si>
  <si>
    <t>ВК.400.260.2050.4ТК</t>
  </si>
  <si>
    <t>ВК.400.260.2100.4ТК</t>
  </si>
  <si>
    <t>ВК.400.260.2150.4ТК</t>
  </si>
  <si>
    <t>ВК.400.260.2200.4ТК</t>
  </si>
  <si>
    <t>ВК.400.260.2250.4ТК</t>
  </si>
  <si>
    <t>ВК.400.260.2300.4ТК</t>
  </si>
  <si>
    <t>ВК.400.260.2350.4ТК</t>
  </si>
  <si>
    <t>ВК.400.260.2400.4ТК</t>
  </si>
  <si>
    <t>ВК.400.260.2450.4ТК</t>
  </si>
  <si>
    <t>ВК.400.260.2500.4ТК</t>
  </si>
  <si>
    <t>ВК.400.260.2550.4ТК</t>
  </si>
  <si>
    <t>ВК.400.260.2600.4ТК</t>
  </si>
  <si>
    <t>ВК.400.260.2650.4ТК</t>
  </si>
  <si>
    <t>ВК.400.260.2700.4ТК</t>
  </si>
  <si>
    <t>ВК.400.260.2750.4ТК</t>
  </si>
  <si>
    <t>ВК.400.260.2800.4ТК</t>
  </si>
  <si>
    <t>ВК.400.260.2850.4ТК</t>
  </si>
  <si>
    <t>ВК.400.260.2900.4ТК</t>
  </si>
  <si>
    <t>ВК.400.260.2950.4ТК</t>
  </si>
  <si>
    <t>ВК.400.260.3000.4ТК</t>
  </si>
  <si>
    <t>ВК.400.300.600.4ТК</t>
  </si>
  <si>
    <t>ВК.400.300.650.4ТК</t>
  </si>
  <si>
    <t>ВК.400.300.700.4ТК</t>
  </si>
  <si>
    <t>ВК.400.300.750.4ТК</t>
  </si>
  <si>
    <t>ВК.400.300.800.4ТК</t>
  </si>
  <si>
    <t>ВК.400.300.850.4ТК</t>
  </si>
  <si>
    <t>ВК.400.300.900.4ТК</t>
  </si>
  <si>
    <t>ВК.400.300.950.4ТК</t>
  </si>
  <si>
    <t>ВК.400.300.1000.4ТК</t>
  </si>
  <si>
    <t>ВК.400.300.1050.4ТК</t>
  </si>
  <si>
    <t>ВК.400.300.1100.4ТК</t>
  </si>
  <si>
    <t>ВК.400.300.1150.4ТК</t>
  </si>
  <si>
    <t>ВК.400.300.1200.4ТК</t>
  </si>
  <si>
    <t>ВК.400.300.1250.4ТК</t>
  </si>
  <si>
    <t>ВК.400.300.1300.4ТК</t>
  </si>
  <si>
    <t>ВК.400.300.1350.4ТК</t>
  </si>
  <si>
    <t>ВК.400.300.1400.4ТК</t>
  </si>
  <si>
    <t>ВК.400.300.1450.4ТК</t>
  </si>
  <si>
    <t>ВК.400.300.1500.4ТК</t>
  </si>
  <si>
    <t>ВК.400.300.1550.4ТК</t>
  </si>
  <si>
    <t>ВК.400.300.1600.4ТК</t>
  </si>
  <si>
    <t>ВК.400.300.1650.4ТК</t>
  </si>
  <si>
    <t>ВК.400.300.1700.4ТК</t>
  </si>
  <si>
    <t>ВК.400.300.1750.4ТК</t>
  </si>
  <si>
    <t>ВК.400.300.1800.4ТК</t>
  </si>
  <si>
    <t>ВК.400.300.1850.4ТК</t>
  </si>
  <si>
    <t>ВК.400.300.1900.4ТК</t>
  </si>
  <si>
    <t>ВК.400.300.1950.4ТК</t>
  </si>
  <si>
    <t>ВК.400.300.2000.4ТК</t>
  </si>
  <si>
    <t>ВК.400.300.2050.4ТК</t>
  </si>
  <si>
    <t>ВК.400.300.2100.4ТК</t>
  </si>
  <si>
    <t>ВК.400.300.2150.4ТК</t>
  </si>
  <si>
    <t>ВК.400.300.2200.4ТК</t>
  </si>
  <si>
    <t>ВК.400.300.2250.4ТК</t>
  </si>
  <si>
    <t>ВК.400.300.2300.4ТК</t>
  </si>
  <si>
    <t>ВК.400.300.2350.4ТК</t>
  </si>
  <si>
    <t>ВК.400.300.2400.4ТК</t>
  </si>
  <si>
    <t>ВК.400.300.2450.4ТК</t>
  </si>
  <si>
    <t>ВК.400.300.2500.4ТК</t>
  </si>
  <si>
    <t>ВК.400.300.2550.4ТК</t>
  </si>
  <si>
    <t>ВК.400.300.2600.4ТК</t>
  </si>
  <si>
    <t>ВК.400.300.2650.4ТК</t>
  </si>
  <si>
    <t>ВК.400.300.2700.4ТК</t>
  </si>
  <si>
    <t>ВК.400.300.2750.4ТК</t>
  </si>
  <si>
    <t>ВК.400.300.2800.4ТК</t>
  </si>
  <si>
    <t>ВК.400.300.2850.4ТК</t>
  </si>
  <si>
    <t>ВК.400.300.2900.4ТК</t>
  </si>
  <si>
    <t>ВК.400.300.2950.4ТК</t>
  </si>
  <si>
    <t>ВК.400.300.3000.4ТК</t>
  </si>
  <si>
    <t>ВК.400.360.600.8ТП</t>
  </si>
  <si>
    <t>ВК.400.360.650.8ТП</t>
  </si>
  <si>
    <t>ВК.400.360.700.8ТП</t>
  </si>
  <si>
    <t>ВК.400.360.750.8ТП</t>
  </si>
  <si>
    <t>ВК.400.360.800.8ТП</t>
  </si>
  <si>
    <t>ВК.400.360.850.8ТП</t>
  </si>
  <si>
    <t>ВК.400.360.900.8ТП</t>
  </si>
  <si>
    <t>ВК.400.360.950.8ТП</t>
  </si>
  <si>
    <t>ВК.400.360.1000.8ТП</t>
  </si>
  <si>
    <t>ВК.400.360.1050.8ТП</t>
  </si>
  <si>
    <t>ВК.400.360.1100.8ТП</t>
  </si>
  <si>
    <t>ВК.400.360.1150.8ТП</t>
  </si>
  <si>
    <t>ВК.400.360.1200.8ТП</t>
  </si>
  <si>
    <t>ВК.400.360.1250.8ТП</t>
  </si>
  <si>
    <t>ВК.400.360.1300.8ТП</t>
  </si>
  <si>
    <t>ВК.400.360.1350.8ТП</t>
  </si>
  <si>
    <t>ВК.400.360.1400.8ТП</t>
  </si>
  <si>
    <t>ВК.400.360.1450.8ТП</t>
  </si>
  <si>
    <t>ВК.400.360.1500.8ТП</t>
  </si>
  <si>
    <t>ВК.400.360.1550.8ТП</t>
  </si>
  <si>
    <t>ВК.400.360.1600.8ТП</t>
  </si>
  <si>
    <t>ВК.400.360.1650.8ТП</t>
  </si>
  <si>
    <t>ВК.400.360.1700.8ТП</t>
  </si>
  <si>
    <t>ВК.400.360.1750.8ТП</t>
  </si>
  <si>
    <t>ВК.400.360.1800.8ТП</t>
  </si>
  <si>
    <t>ВК.400.360.1850.8ТП</t>
  </si>
  <si>
    <t>ВК.400.360.1900.8ТП</t>
  </si>
  <si>
    <t>ВК.400.360.1950.8ТП</t>
  </si>
  <si>
    <t>ВК.400.360.2000.8ТП</t>
  </si>
  <si>
    <t>ВК.400.360.2050.8ТП</t>
  </si>
  <si>
    <t>ВК.400.360.2100.8ТП</t>
  </si>
  <si>
    <t>ВК.400.360.2150.8ТП</t>
  </si>
  <si>
    <t>ВК.400.360.2200.8ТП</t>
  </si>
  <si>
    <t>ВК.400.360.2250.8ТП</t>
  </si>
  <si>
    <t>ВК.400.360.2300.8ТП</t>
  </si>
  <si>
    <t>ВК.400.360.2350.8ТП</t>
  </si>
  <si>
    <t>ВК.400.360.2400.8ТП</t>
  </si>
  <si>
    <t>ВК.400.360.2450.8ТП</t>
  </si>
  <si>
    <t>ВК.400.360.2500.8ТП</t>
  </si>
  <si>
    <t>ВК.400.360.2550.8ТП</t>
  </si>
  <si>
    <t>ВК.400.360.2600.8ТП</t>
  </si>
  <si>
    <t>ВК.400.360.2650.8ТП</t>
  </si>
  <si>
    <t>ВК.400.360.2700.8ТП</t>
  </si>
  <si>
    <t>ВК.400.360.2750.8ТП</t>
  </si>
  <si>
    <t>ВК.400.360.2800.8ТП</t>
  </si>
  <si>
    <t>ВК.400.360.2850.8ТП</t>
  </si>
  <si>
    <t>ВК.400.360.2900.8ТП</t>
  </si>
  <si>
    <t>ВК.400.360.2950.8ТП</t>
  </si>
  <si>
    <t>ВК.400.360.3000.8ТП</t>
  </si>
  <si>
    <t>ВК.500.260.600.4ТК</t>
  </si>
  <si>
    <t>ВК.500.260.650.4ТК</t>
  </si>
  <si>
    <t>ВК.500.260.700.4ТК</t>
  </si>
  <si>
    <t>ВК.500.260.750.4ТК</t>
  </si>
  <si>
    <t>ВК.500.260.800.4ТК</t>
  </si>
  <si>
    <t>ВК.500.260.850.4ТК</t>
  </si>
  <si>
    <t>ВК.500.260.900.4ТК</t>
  </si>
  <si>
    <t>ВК.500.260.950.4ТК</t>
  </si>
  <si>
    <t>ВК.500.260.1000.4ТК</t>
  </si>
  <si>
    <t>ВК.500.260.1050.4ТК</t>
  </si>
  <si>
    <t>ВК.500.260.1100.4ТК</t>
  </si>
  <si>
    <t>ВК.500.260.1150.4ТК</t>
  </si>
  <si>
    <t>ВК.500.260.1200.4ТК</t>
  </si>
  <si>
    <t>ВК.500.260.1250.4ТК</t>
  </si>
  <si>
    <t>ВК.500.260.1300.4ТК</t>
  </si>
  <si>
    <t>ВК.500.260.1350.4ТК</t>
  </si>
  <si>
    <t>ВК.500.260.1400.4ТК</t>
  </si>
  <si>
    <t>ВК.500.260.1450.4ТК</t>
  </si>
  <si>
    <t>ВК.500.260.1500.4ТК</t>
  </si>
  <si>
    <t>ВК.500.260.1550.4ТК</t>
  </si>
  <si>
    <t>ВК.500.260.1600.4ТК</t>
  </si>
  <si>
    <t>ВК.500.260.1650.4ТК</t>
  </si>
  <si>
    <t>ВК.500.260.1700.4ТК</t>
  </si>
  <si>
    <t>ВК.500.260.1750.4ТК</t>
  </si>
  <si>
    <t>ВК.500.260.1800.4ТК</t>
  </si>
  <si>
    <t>ВК.500.260.1850.4ТК</t>
  </si>
  <si>
    <t>ВК.500.260.1900.4ТК</t>
  </si>
  <si>
    <t>ВК.500.260.1950.4ТК</t>
  </si>
  <si>
    <t>ВК.500.260.2000.4ТК</t>
  </si>
  <si>
    <t>ВК.500.260.2050.4ТК</t>
  </si>
  <si>
    <t>ВК.500.260.2100.4ТК</t>
  </si>
  <si>
    <t>ВК.500.260.2150.4ТК</t>
  </si>
  <si>
    <t>ВК.500.260.2200.4ТК</t>
  </si>
  <si>
    <t>ВК.500.260.2250.4ТК</t>
  </si>
  <si>
    <t>ВК.500.260.2300.4ТК</t>
  </si>
  <si>
    <t>ВК.500.260.2350.4ТК</t>
  </si>
  <si>
    <t>ВК.500.260.2400.4ТК</t>
  </si>
  <si>
    <t>ВК.500.260.2450.4ТК</t>
  </si>
  <si>
    <t>ВК.500.260.2500.4ТК</t>
  </si>
  <si>
    <t>ВК.500.260.2550.4ТК</t>
  </si>
  <si>
    <t>ВК.500.260.2600.4ТК</t>
  </si>
  <si>
    <t>ВК.500.260.2650.4ТК</t>
  </si>
  <si>
    <t>ВК.500.260.2700.4ТК</t>
  </si>
  <si>
    <t>ВК.500.260.2750.4ТК</t>
  </si>
  <si>
    <t>ВК.500.260.2800.4ТК</t>
  </si>
  <si>
    <t>ВК.500.260.2850.4ТК</t>
  </si>
  <si>
    <t>ВК.500.260.2900.4ТК</t>
  </si>
  <si>
    <t>ВК.500.260.2950.4ТК</t>
  </si>
  <si>
    <t>ВК.500.260.3000.4ТК</t>
  </si>
  <si>
    <t>ВК.500.300.600.4ТК</t>
  </si>
  <si>
    <t>ВК.500.300.650.4ТК</t>
  </si>
  <si>
    <t>ВК.500.300.700.4ТК</t>
  </si>
  <si>
    <t>ВК.500.300.750.4ТК</t>
  </si>
  <si>
    <t>ВК.500.300.800.4ТК</t>
  </si>
  <si>
    <t>ВК.500.300.850.4ТК</t>
  </si>
  <si>
    <t>ВК.500.300.900.4ТК</t>
  </si>
  <si>
    <t>ВК.500.300.950.4ТК</t>
  </si>
  <si>
    <t>ВК.500.300.1000.4ТК</t>
  </si>
  <si>
    <t>ВК.500.300.1050.4ТК</t>
  </si>
  <si>
    <t>ВК.500.300.1100.4ТК</t>
  </si>
  <si>
    <t>ВК.500.300.1150.4ТК</t>
  </si>
  <si>
    <t>ВК.500.300.1200.4ТК</t>
  </si>
  <si>
    <t>ВК.500.300.1250.4ТК</t>
  </si>
  <si>
    <t>ВК.500.300.1300.4ТК</t>
  </si>
  <si>
    <t>ВК.500.300.1350.4ТК</t>
  </si>
  <si>
    <t>ВК.500.300.1400.4ТК</t>
  </si>
  <si>
    <t>ВК.500.300.1450.4ТК</t>
  </si>
  <si>
    <t>ВК.500.300.1500.4ТК</t>
  </si>
  <si>
    <t>ВК.500.300.1550.4ТК</t>
  </si>
  <si>
    <t>ВК.500.300.1600.4ТК</t>
  </si>
  <si>
    <t>ВК.500.300.1650.4ТК</t>
  </si>
  <si>
    <t>ВК.500.300.1700.4ТК</t>
  </si>
  <si>
    <t>ВК.500.300.1750.4ТК</t>
  </si>
  <si>
    <t>ВК.500.300.1800.4ТК</t>
  </si>
  <si>
    <t>ВК.500.300.1850.4ТК</t>
  </si>
  <si>
    <t>ВК.500.300.1900.4ТК</t>
  </si>
  <si>
    <t>ВК.500.300.1950.4ТК</t>
  </si>
  <si>
    <t>ВК.500.300.2000.4ТК</t>
  </si>
  <si>
    <t>ВК.500.300.2050.4ТК</t>
  </si>
  <si>
    <t>ВК.500.300.2100.4ТК</t>
  </si>
  <si>
    <t>ВК.500.300.2150.4ТК</t>
  </si>
  <si>
    <t>ВК.500.300.2200.4ТК</t>
  </si>
  <si>
    <t>ВК.500.300.2250.4ТК</t>
  </si>
  <si>
    <t>ВК.500.300.2300.4ТК</t>
  </si>
  <si>
    <t>ВК.500.300.2350.4ТК</t>
  </si>
  <si>
    <t>ВК.500.300.2400.4ТК</t>
  </si>
  <si>
    <t>ВК.500.300.2450.4ТК</t>
  </si>
  <si>
    <t>ВК.500.300.2500.4ТК</t>
  </si>
  <si>
    <t>ВК.500.300.2550.4ТК</t>
  </si>
  <si>
    <t>ВК.500.300.2600.4ТК</t>
  </si>
  <si>
    <t>ВК.500.300.2650.4ТК</t>
  </si>
  <si>
    <t>ВК.500.300.2700.4ТК</t>
  </si>
  <si>
    <t>ВК.500.300.2750.4ТК</t>
  </si>
  <si>
    <t>ВК.500.300.2800.4ТК</t>
  </si>
  <si>
    <t>ВК.500.300.2850.4ТК</t>
  </si>
  <si>
    <t>ВК.500.300.2900.4ТК</t>
  </si>
  <si>
    <t>ВК.500.300.2950.4ТК</t>
  </si>
  <si>
    <t>ВК.500.300.3000.4ТК</t>
  </si>
  <si>
    <t>ВК.500.360.600.8ТП</t>
  </si>
  <si>
    <t>ВК.500.360.650.8ТП</t>
  </si>
  <si>
    <t>ВК.500.360.700.8ТП</t>
  </si>
  <si>
    <t>ВК.500.360.750.8ТП</t>
  </si>
  <si>
    <t>ВК.500.360.800.8ТП</t>
  </si>
  <si>
    <t>ВК.500.360.850.8ТП</t>
  </si>
  <si>
    <t>ВК.500.360.900.8ТП</t>
  </si>
  <si>
    <t>ВК.500.360.950.8ТП</t>
  </si>
  <si>
    <t>ВК.500.360.1000.8ТП</t>
  </si>
  <si>
    <t>ВК.500.360.1050.8ТП</t>
  </si>
  <si>
    <t>ВК.500.360.1100.8ТП</t>
  </si>
  <si>
    <t>ВК.500.360.1150.8ТП</t>
  </si>
  <si>
    <t>ВК.500.360.1200.8ТП</t>
  </si>
  <si>
    <t>ВК.500.360.1250.8ТП</t>
  </si>
  <si>
    <t>ВК.500.360.1300.8ТП</t>
  </si>
  <si>
    <t>ВК.500.360.1350.8ТП</t>
  </si>
  <si>
    <t>ВК.500.360.1400.8ТП</t>
  </si>
  <si>
    <t>ВК.500.360.1450.8ТП</t>
  </si>
  <si>
    <t>ВК.500.360.1500.8ТП</t>
  </si>
  <si>
    <t>ВК.500.360.1550.8ТП</t>
  </si>
  <si>
    <t>ВК.500.360.1600.8ТП</t>
  </si>
  <si>
    <t>ВК.500.360.1650.8ТП</t>
  </si>
  <si>
    <t>ВК.500.360.1700.8ТП</t>
  </si>
  <si>
    <t>ВК.500.360.1750.8ТП</t>
  </si>
  <si>
    <t>ВК.500.360.1800.8ТП</t>
  </si>
  <si>
    <t>ВК.500.360.1850.8ТП</t>
  </si>
  <si>
    <t>ВК.500.360.1900.8ТП</t>
  </si>
  <si>
    <t>ВК.500.360.1950.8ТП</t>
  </si>
  <si>
    <t>ВК.500.360.2000.8ТП</t>
  </si>
  <si>
    <t>ВК.500.360.2050.8ТП</t>
  </si>
  <si>
    <t>ВК.500.360.2100.8ТП</t>
  </si>
  <si>
    <t>ВК.500.360.2150.8ТП</t>
  </si>
  <si>
    <t>ВК.500.360.2200.8ТП</t>
  </si>
  <si>
    <t>ВК.500.360.2250.8ТП</t>
  </si>
  <si>
    <t>ВК.500.360.2300.8ТП</t>
  </si>
  <si>
    <t>ВК.500.360.2350.8ТП</t>
  </si>
  <si>
    <t>ВК.500.360.2400.8ТП</t>
  </si>
  <si>
    <t>ВК.500.360.2450.8ТП</t>
  </si>
  <si>
    <t>ВК.500.360.2500.8ТП</t>
  </si>
  <si>
    <t>ВК.500.360.2550.8ТП</t>
  </si>
  <si>
    <t>ВК.500.360.2600.8ТП</t>
  </si>
  <si>
    <t>ВК.500.360.2650.8ТП</t>
  </si>
  <si>
    <t>ВК.500.360.2700.8ТП</t>
  </si>
  <si>
    <t>ВК.500.360.2750.8ТП</t>
  </si>
  <si>
    <t>ВК.500.360.2800.8ТП</t>
  </si>
  <si>
    <t>ВК.500.360.2850.8ТП</t>
  </si>
  <si>
    <t>ВК.500.360.2900.8ТП</t>
  </si>
  <si>
    <t>ВК.500.360.2950.8ТП</t>
  </si>
  <si>
    <t>ВК.500.360.3000.8ТП</t>
  </si>
  <si>
    <t>ВК.600.260.600.4ТК</t>
  </si>
  <si>
    <t>ВК.600.260.650.4ТК</t>
  </si>
  <si>
    <t>ВК.600.260.700.4ТК</t>
  </si>
  <si>
    <t>ВК.600.260.750.4ТК</t>
  </si>
  <si>
    <t>ВК.600.260.800.4ТК</t>
  </si>
  <si>
    <t>ВК.600.260.850.4ТК</t>
  </si>
  <si>
    <t>ВК.600.260.900.4ТК</t>
  </si>
  <si>
    <t>ВК.600.260.950.4ТК</t>
  </si>
  <si>
    <t>ВК.600.260.1000.4ТК</t>
  </si>
  <si>
    <t>ВК.600.260.1050.4ТК</t>
  </si>
  <si>
    <t>ВК.600.260.1100.4ТК</t>
  </si>
  <si>
    <t>ВК.600.260.1150.4ТК</t>
  </si>
  <si>
    <t>ВК.600.260.1200.4ТК</t>
  </si>
  <si>
    <t>ВК.600.260.1250.4ТК</t>
  </si>
  <si>
    <t>ВК.600.260.1300.4ТК</t>
  </si>
  <si>
    <t>ВК.600.260.1350.4ТК</t>
  </si>
  <si>
    <t>ВК.600.260.1400.4ТК</t>
  </si>
  <si>
    <t>ВК.600.260.1450.4ТК</t>
  </si>
  <si>
    <t>ВК.600.260.1500.4ТК</t>
  </si>
  <si>
    <t>ВК.600.260.1550.4ТК</t>
  </si>
  <si>
    <t>ВК.600.260.1600.4ТК</t>
  </si>
  <si>
    <t>ВК.600.260.1650.4ТК</t>
  </si>
  <si>
    <t>ВК.600.260.1700.4ТК</t>
  </si>
  <si>
    <t>ВК.600.260.1750.4ТК</t>
  </si>
  <si>
    <t>ВК.600.260.1800.4ТК</t>
  </si>
  <si>
    <t>ВК.600.260.1850.4ТК</t>
  </si>
  <si>
    <t>ВК.600.260.1900.4ТК</t>
  </si>
  <si>
    <t>ВК.600.260.1950.4ТК</t>
  </si>
  <si>
    <t>ВК.600.260.2000.4ТК</t>
  </si>
  <si>
    <t>ВК.600.260.2050.4ТК</t>
  </si>
  <si>
    <t>ВК.600.260.2100.4ТК</t>
  </si>
  <si>
    <t>ВК.600.260.2150.4ТК</t>
  </si>
  <si>
    <t>ВК.600.260.2200.4ТК</t>
  </si>
  <si>
    <t>ВК.600.260.2250.4ТК</t>
  </si>
  <si>
    <t>ВК.600.260.2300.4ТК</t>
  </si>
  <si>
    <t>ВК.600.260.2350.4ТК</t>
  </si>
  <si>
    <t>ВК.600.260.2400.4ТК</t>
  </si>
  <si>
    <t>ВК.600.260.2450.4ТК</t>
  </si>
  <si>
    <t>ВК.600.260.2500.4ТК</t>
  </si>
  <si>
    <t>ВК.600.260.2550.4ТК</t>
  </si>
  <si>
    <t>ВК.600.260.2600.4ТК</t>
  </si>
  <si>
    <t>ВК.600.260.2650.4ТК</t>
  </si>
  <si>
    <t>ВК.600.260.2700.4ТК</t>
  </si>
  <si>
    <t>ВК.600.260.2750.4ТК</t>
  </si>
  <si>
    <t>ВК.600.260.2800.4ТК</t>
  </si>
  <si>
    <t>ВК.600.260.2850.4ТК</t>
  </si>
  <si>
    <t>ВК.600.260.2900.4ТК</t>
  </si>
  <si>
    <t>ВК.600.260.2950.4ТК</t>
  </si>
  <si>
    <t>ВК.600.260.3000.4ТК</t>
  </si>
  <si>
    <t>ВК.600.300.600.4ТК</t>
  </si>
  <si>
    <t>ВК.600.300.650.4ТК</t>
  </si>
  <si>
    <t>ВК.600.300.700.4ТК</t>
  </si>
  <si>
    <t>ВК.600.300.750.4ТК</t>
  </si>
  <si>
    <t>ВК.600.300.800.4ТК</t>
  </si>
  <si>
    <t>ВК.600.300.850.4ТК</t>
  </si>
  <si>
    <t>ВК.600.300.900.4ТК</t>
  </si>
  <si>
    <t>ВК.600.300.950.4ТК</t>
  </si>
  <si>
    <t>ВК.600.300.1000.4ТК</t>
  </si>
  <si>
    <t>ВК.600.300.1050.4ТК</t>
  </si>
  <si>
    <t>ВК.600.300.1100.4ТК</t>
  </si>
  <si>
    <t>ВК.600.300.1150.4ТК</t>
  </si>
  <si>
    <t>ВК.600.300.1200.4ТК</t>
  </si>
  <si>
    <t>ВК.600.300.1250.4ТК</t>
  </si>
  <si>
    <t>ВК.600.300.1300.4ТК</t>
  </si>
  <si>
    <t>ВК.600.300.1350.4ТК</t>
  </si>
  <si>
    <t>ВК.600.300.1400.4ТК</t>
  </si>
  <si>
    <t>ВК.600.300.1450.4ТК</t>
  </si>
  <si>
    <t>ВК.600.300.1500.4ТК</t>
  </si>
  <si>
    <t>ВК.600.300.1550.4ТК</t>
  </si>
  <si>
    <t>ВК.600.300.1600.4ТК</t>
  </si>
  <si>
    <t>ВК.600.300.1650.4ТК</t>
  </si>
  <si>
    <t>ВК.600.300.1700.4ТК</t>
  </si>
  <si>
    <t>ВК.600.300.1750.4ТК</t>
  </si>
  <si>
    <t>ВК.600.300.1800.4ТК</t>
  </si>
  <si>
    <t>ВК.600.300.1850.4ТК</t>
  </si>
  <si>
    <t>ВК.600.300.1900.4ТК</t>
  </si>
  <si>
    <t>ВК.600.300.1950.4ТК</t>
  </si>
  <si>
    <t>ВК.600.300.2000.4ТК</t>
  </si>
  <si>
    <t>ВК.600.300.2050.4ТК</t>
  </si>
  <si>
    <t>ВК.600.300.2100.4ТК</t>
  </si>
  <si>
    <t>ВК.600.300.2150.4ТК</t>
  </si>
  <si>
    <t>ВК.600.300.2200.4ТК</t>
  </si>
  <si>
    <t>ВК.600.300.2250.4ТК</t>
  </si>
  <si>
    <t>ВК.600.300.2300.4ТК</t>
  </si>
  <si>
    <t>ВК.600.300.2350.4ТК</t>
  </si>
  <si>
    <t>ВК.600.300.2400.4ТК</t>
  </si>
  <si>
    <t>ВК.600.300.2450.4ТК</t>
  </si>
  <si>
    <t>ВК.600.300.2500.4ТК</t>
  </si>
  <si>
    <t>ВК.600.300.2550.4ТК</t>
  </si>
  <si>
    <t>ВК.600.300.2600.4ТК</t>
  </si>
  <si>
    <t>ВК.600.300.2650.4ТК</t>
  </si>
  <si>
    <t>ВК.600.300.2700.4ТК</t>
  </si>
  <si>
    <t>ВК.600.300.2750.4ТК</t>
  </si>
  <si>
    <t>ВК.600.300.2800.4ТК</t>
  </si>
  <si>
    <t>ВК.600.300.2850.4ТК</t>
  </si>
  <si>
    <t>ВК.600.300.2900.4ТК</t>
  </si>
  <si>
    <t>ВК.600.300.2950.4ТК</t>
  </si>
  <si>
    <t>ВК.600.300.3000.4ТК</t>
  </si>
  <si>
    <t>ВК.600.360.600.8ТП</t>
  </si>
  <si>
    <t>ВК.600.360.650.8ТП</t>
  </si>
  <si>
    <t>ВК.600.360.700.8ТП</t>
  </si>
  <si>
    <t>ВК.600.360.750.8ТП</t>
  </si>
  <si>
    <t>ВК.600.360.800.8ТП</t>
  </si>
  <si>
    <t>ВК.600.360.850.8ТП</t>
  </si>
  <si>
    <t>ВК.600.360.900.8ТП</t>
  </si>
  <si>
    <t>ВК.600.360.950.8ТП</t>
  </si>
  <si>
    <t>ВК.600.360.1000.8ТП</t>
  </si>
  <si>
    <t>ВК.600.360.1050.8ТП</t>
  </si>
  <si>
    <t>ВК.600.360.1100.8ТП</t>
  </si>
  <si>
    <t>ВК.600.360.1150.8ТП</t>
  </si>
  <si>
    <t>ВК.600.360.1200.8ТП</t>
  </si>
  <si>
    <t>ВК.600.360.1250.8ТП</t>
  </si>
  <si>
    <t>ВК.600.360.1300.8ТП</t>
  </si>
  <si>
    <t>ВК.600.360.1350.8ТП</t>
  </si>
  <si>
    <t>ВК.600.360.1400.8ТП</t>
  </si>
  <si>
    <t>ВК.600.360.1450.8ТП</t>
  </si>
  <si>
    <t>ВК.600.360.1500.8ТП</t>
  </si>
  <si>
    <t>ВК.600.360.1550.8ТП</t>
  </si>
  <si>
    <t>ВК.600.360.1600.8ТП</t>
  </si>
  <si>
    <t>ВК.600.360.1650.8ТП</t>
  </si>
  <si>
    <t>ВК.600.360.1700.8ТП</t>
  </si>
  <si>
    <t>ВК.600.360.1750.8ТП</t>
  </si>
  <si>
    <t>ВК.600.360.1800.8ТП</t>
  </si>
  <si>
    <t>ВК.600.360.1850.8ТП</t>
  </si>
  <si>
    <t>ВК.600.360.1900.8ТП</t>
  </si>
  <si>
    <t>ВК.600.360.1950.8ТП</t>
  </si>
  <si>
    <t>ВК.600.360.2000.8ТП</t>
  </si>
  <si>
    <t>ВК.600.360.2050.8ТП</t>
  </si>
  <si>
    <t>ВК.600.360.2100.8ТП</t>
  </si>
  <si>
    <t>ВК.600.360.2150.8ТП</t>
  </si>
  <si>
    <t>ВК.600.360.2200.8ТП</t>
  </si>
  <si>
    <t>ВК.600.360.2250.8ТП</t>
  </si>
  <si>
    <t>ВК.600.360.2300.8ТП</t>
  </si>
  <si>
    <t>ВК.600.360.2350.8ТП</t>
  </si>
  <si>
    <t>ВК.600.360.2400.8ТП</t>
  </si>
  <si>
    <t>ВК.600.360.2450.8ТП</t>
  </si>
  <si>
    <t>ВК.600.360.2500.8ТП</t>
  </si>
  <si>
    <t>ВК.600.360.2550.8ТП</t>
  </si>
  <si>
    <t>ВК.600.360.2600.8ТП</t>
  </si>
  <si>
    <t>ВК.600.360.2650.8ТП</t>
  </si>
  <si>
    <t>ВК.600.360.2700.8ТП</t>
  </si>
  <si>
    <t>ВК.600.360.2750.8ТП</t>
  </si>
  <si>
    <t>ВК.600.360.2800.8ТП</t>
  </si>
  <si>
    <t>ВК.600.360.2850.8ТП</t>
  </si>
  <si>
    <t>ВК.600.360.2900.8ТП</t>
  </si>
  <si>
    <t>ВК.600.360.2950.8ТП</t>
  </si>
  <si>
    <t>ВК.600.360.3000.8ТП</t>
  </si>
  <si>
    <t>Теплообменник 65х130 мм</t>
  </si>
  <si>
    <t>ВК.МАХ</t>
  </si>
  <si>
    <t>Теплообменник 65х260 мм</t>
  </si>
  <si>
    <t>Теплообменник 130х130 мм</t>
  </si>
  <si>
    <t>ВК.МАХ.90.200.600.2ТГ</t>
  </si>
  <si>
    <t>ВК.МАХ.90.200.650.2ТГ</t>
  </si>
  <si>
    <t>ВК.МАХ.90.200.700.2ТГ</t>
  </si>
  <si>
    <t>ВК.МАХ.90.200.750.2ТГ</t>
  </si>
  <si>
    <t>ВК.МАХ.90.200.800.2ТГ</t>
  </si>
  <si>
    <t>ВК.МАХ.90.200.850.2ТГ</t>
  </si>
  <si>
    <t>ВК.МАХ.90.200.900.2ТГ</t>
  </si>
  <si>
    <t>ВК.МАХ.90.200.950.2ТГ</t>
  </si>
  <si>
    <t>ВК.МАХ.90.200.1000.2ТГ</t>
  </si>
  <si>
    <t>ВК.МАХ.90.200.1050.2ТГ</t>
  </si>
  <si>
    <t>ВК.МАХ.90.200.1100.2ТГ</t>
  </si>
  <si>
    <t>ВК.МАХ.90.200.1150.2ТГ</t>
  </si>
  <si>
    <t>ВК.МАХ.90.200.1200.2ТГ</t>
  </si>
  <si>
    <t>ВК.МАХ.90.200.1250.2ТГ</t>
  </si>
  <si>
    <t>ВК.МАХ.90.200.1300.2ТГ</t>
  </si>
  <si>
    <t>ВК.МАХ.90.200.1350.2ТГ</t>
  </si>
  <si>
    <t>ВК.МАХ.90.200.1400.2ТГ</t>
  </si>
  <si>
    <t>ВК.МАХ.90.200.1450.2ТГ</t>
  </si>
  <si>
    <t>ВК.МАХ.90.200.1500.2ТГ</t>
  </si>
  <si>
    <t>ВК.МАХ.90.200.1550.2ТГ</t>
  </si>
  <si>
    <t>ВК.МАХ.90.200.1600.2ТГ</t>
  </si>
  <si>
    <t>ВК.МАХ.90.200.1650.2ТГ</t>
  </si>
  <si>
    <t>ВК.МАХ.90.200.1700.2ТГ</t>
  </si>
  <si>
    <t>ВК.МАХ.90.200.1750.2ТГ</t>
  </si>
  <si>
    <t>ВК.МАХ.90.200.1800.2ТГ</t>
  </si>
  <si>
    <t>ВК.МАХ.90.200.1850.2ТГ</t>
  </si>
  <si>
    <t>ВК.МАХ.90.200.1900.2ТГ</t>
  </si>
  <si>
    <t>ВК.МАХ.90.200.1950.2ТГ</t>
  </si>
  <si>
    <t>ВК.МАХ.90.200.2000.2ТГ</t>
  </si>
  <si>
    <t>ВК.МАХ.90.200.2050.2ТГ</t>
  </si>
  <si>
    <t>ВК.МАХ.90.200.2100.2ТГ</t>
  </si>
  <si>
    <t>ВК.МАХ.90.200.2150.2ТГ</t>
  </si>
  <si>
    <t>ВК.МАХ.90.200.2200.2ТГ</t>
  </si>
  <si>
    <t>ВК.МАХ.90.200.2250.2ТГ</t>
  </si>
  <si>
    <t>ВК.МАХ.90.200.2300.2ТГ</t>
  </si>
  <si>
    <t>ВК.МАХ.90.200.2350.2ТГ</t>
  </si>
  <si>
    <t>ВК.МАХ.90.200.2400.2ТГ</t>
  </si>
  <si>
    <t>ВК.МАХ.90.200.2450.2ТГ</t>
  </si>
  <si>
    <t>ВК.МАХ.90.200.2500.2ТГ</t>
  </si>
  <si>
    <t>ВК.МАХ.90.200.2550.2ТГ</t>
  </si>
  <si>
    <t>ВК.МАХ.90.200.2600.2ТГ</t>
  </si>
  <si>
    <t>ВК.МАХ.90.200.2650.2ТГ</t>
  </si>
  <si>
    <t>ВК.МАХ.90.200.2700.2ТГ</t>
  </si>
  <si>
    <t>ВК.МАХ.90.200.2750.2ТГ</t>
  </si>
  <si>
    <t>ВК.МАХ.90.200.2800.2ТГ</t>
  </si>
  <si>
    <t>ВК.МАХ.90.200.2850.2ТГ</t>
  </si>
  <si>
    <t>ВК.МАХ.90.200.2900.2ТГ</t>
  </si>
  <si>
    <t>ВК.МАХ.90.200.2950.2ТГ</t>
  </si>
  <si>
    <t>ВК.МАХ.90.200.3000.2ТГ</t>
  </si>
  <si>
    <t>ВК.МАХ.90.260.600.2ТГ</t>
  </si>
  <si>
    <t>ВК.МАХ.90.260.650.2ТГ</t>
  </si>
  <si>
    <t>ВК.МАХ.90.260.700.2ТГ</t>
  </si>
  <si>
    <t>ВК.МАХ.90.260.750.2ТГ</t>
  </si>
  <si>
    <t>ВК.МАХ.90.260.800.2ТГ</t>
  </si>
  <si>
    <t>ВК.МАХ.90.260.850.2ТГ</t>
  </si>
  <si>
    <t>ВК.МАХ.90.260.900.2ТГ</t>
  </si>
  <si>
    <t>ВК.МАХ.90.260.950.2ТГ</t>
  </si>
  <si>
    <t>ВК.МАХ.90.260.1000.2ТГ</t>
  </si>
  <si>
    <t>ВК.МАХ.90.260.1050.2ТГ</t>
  </si>
  <si>
    <t>ВК.МАХ.90.260.1100.2ТГ</t>
  </si>
  <si>
    <t>ВК.МАХ.90.260.1150.2ТГ</t>
  </si>
  <si>
    <t>ВК.МАХ.90.260.1200.2ТГ</t>
  </si>
  <si>
    <t>ВК.МАХ.90.260.1250.2ТГ</t>
  </si>
  <si>
    <t>ВК.МАХ.90.260.1300.2ТГ</t>
  </si>
  <si>
    <t>ВК.МАХ.90.260.1350.2ТГ</t>
  </si>
  <si>
    <t>ВК.МАХ.90.260.1400.2ТГ</t>
  </si>
  <si>
    <t>ВК.МАХ.90.260.1450.2ТГ</t>
  </si>
  <si>
    <t>ВК.МАХ.90.260.1500.2ТГ</t>
  </si>
  <si>
    <t>ВК.МАХ.90.260.1550.2ТГ</t>
  </si>
  <si>
    <t>ВК.МАХ.90.260.1600.2ТГ</t>
  </si>
  <si>
    <t>ВК.МАХ.90.260.1650.2ТГ</t>
  </si>
  <si>
    <t>ВК.МАХ.90.260.1700.2ТГ</t>
  </si>
  <si>
    <t>ВК.МАХ.90.260.1750.2ТГ</t>
  </si>
  <si>
    <t>ВК.МАХ.90.260.1800.2ТГ</t>
  </si>
  <si>
    <t>ВК.МАХ.90.260.1850.2ТГ</t>
  </si>
  <si>
    <t>ВК.МАХ.90.260.1900.2ТГ</t>
  </si>
  <si>
    <t>ВК.МАХ.90.260.1950.2ТГ</t>
  </si>
  <si>
    <t>ВК.МАХ.90.260.2000.2ТГ</t>
  </si>
  <si>
    <t>ВК.МАХ.90.260.2050.2ТГ</t>
  </si>
  <si>
    <t>ВК.МАХ.90.260.2100.2ТГ</t>
  </si>
  <si>
    <t>ВК.МАХ.90.260.2150.2ТГ</t>
  </si>
  <si>
    <t>ВК.МАХ.90.260.2200.2ТГ</t>
  </si>
  <si>
    <t>ВК.МАХ.90.260.2250.2ТГ</t>
  </si>
  <si>
    <t>ВК.МАХ.90.260.2300.2ТГ</t>
  </si>
  <si>
    <t>ВК.МАХ.90.260.2350.2ТГ</t>
  </si>
  <si>
    <t>ВК.МАХ.90.260.2400.2ТГ</t>
  </si>
  <si>
    <t>ВК.МАХ.90.260.2450.2ТГ</t>
  </si>
  <si>
    <t>ВК.МАХ.90.260.2500.2ТГ</t>
  </si>
  <si>
    <t>ВК.МАХ.90.260.2550.2ТГ</t>
  </si>
  <si>
    <t>ВК.МАХ.90.260.2600.2ТГ</t>
  </si>
  <si>
    <t>ВК.МАХ.90.260.2650.2ТГ</t>
  </si>
  <si>
    <t>ВК.МАХ.90.260.2700.2ТГ</t>
  </si>
  <si>
    <t>ВК.МАХ.90.260.2750.2ТГ</t>
  </si>
  <si>
    <t>ВК.МАХ.90.260.2800.2ТГ</t>
  </si>
  <si>
    <t>ВК.МАХ.90.260.2850.2ТГ</t>
  </si>
  <si>
    <t>ВК.МАХ.90.260.2900.2ТГ</t>
  </si>
  <si>
    <t>ВК.МАХ.90.260.2950.2ТГ</t>
  </si>
  <si>
    <t>ВК.МАХ.90.260.3000.2ТГ</t>
  </si>
  <si>
    <t>ВК.МАХ.90.300.600.2ТГ</t>
  </si>
  <si>
    <t>ВК.МАХ.90.300.650.2ТГ</t>
  </si>
  <si>
    <t>ВК.МАХ.90.300.700.2ТГ</t>
  </si>
  <si>
    <t>ВК.МАХ.90.300.750.2ТГ</t>
  </si>
  <si>
    <t>ВК.МАХ.90.300.800.2ТГ</t>
  </si>
  <si>
    <t>ВК.МАХ.90.300.850.2ТГ</t>
  </si>
  <si>
    <t>ВК.МАХ.90.300.900.2ТГ</t>
  </si>
  <si>
    <t>ВК.МАХ.90.300.950.2ТГ</t>
  </si>
  <si>
    <t>ВК.МАХ.90.300.1000.2ТГ</t>
  </si>
  <si>
    <t>ВК.МАХ.90.300.1050.2ТГ</t>
  </si>
  <si>
    <t>ВК.МАХ.90.300.1100.2ТГ</t>
  </si>
  <si>
    <t>ВК.МАХ.90.300.1150.2ТГ</t>
  </si>
  <si>
    <t>ВК.МАХ.90.300.1200.2ТГ</t>
  </si>
  <si>
    <t>ВК.МАХ.90.300.1250.2ТГ</t>
  </si>
  <si>
    <t>ВК.МАХ.90.300.1300.2ТГ</t>
  </si>
  <si>
    <t>ВК.МАХ.90.300.1350.2ТГ</t>
  </si>
  <si>
    <t>ВК.МАХ.90.300.1400.2ТГ</t>
  </si>
  <si>
    <t>ВК.МАХ.90.300.1450.2ТГ</t>
  </si>
  <si>
    <t>ВК.МАХ.90.300.1500.2ТГ</t>
  </si>
  <si>
    <t>ВК.МАХ.90.300.1550.2ТГ</t>
  </si>
  <si>
    <t>ВК.МАХ.90.300.1600.2ТГ</t>
  </si>
  <si>
    <t>ВК.МАХ.90.300.1650.2ТГ</t>
  </si>
  <si>
    <t>ВК.МАХ.90.300.1700.2ТГ</t>
  </si>
  <si>
    <t>ВК.МАХ.90.300.1750.2ТГ</t>
  </si>
  <si>
    <t>ВК.МАХ.90.300.1800.2ТГ</t>
  </si>
  <si>
    <t>ВК.МАХ.90.300.1850.2ТГ</t>
  </si>
  <si>
    <t>ВК.МАХ.90.300.1900.2ТГ</t>
  </si>
  <si>
    <t>ВК.МАХ.90.300.1950.2ТГ</t>
  </si>
  <si>
    <t>ВК.МАХ.90.300.2000.2ТГ</t>
  </si>
  <si>
    <t>ВК.МАХ.90.300.2050.2ТГ</t>
  </si>
  <si>
    <t>ВК.МАХ.90.300.2100.2ТГ</t>
  </si>
  <si>
    <t>ВК.МАХ.90.300.2150.2ТГ</t>
  </si>
  <si>
    <t>ВК.МАХ.90.300.2200.2ТГ</t>
  </si>
  <si>
    <t>ВК.МАХ.90.300.2250.2ТГ</t>
  </si>
  <si>
    <t>ВК.МАХ.90.300.2300.2ТГ</t>
  </si>
  <si>
    <t>ВК.МАХ.90.300.2350.2ТГ</t>
  </si>
  <si>
    <t>ВК.МАХ.90.300.2400.2ТГ</t>
  </si>
  <si>
    <t>ВК.МАХ.90.300.2450.2ТГ</t>
  </si>
  <si>
    <t>ВК.МАХ.90.300.2500.2ТГ</t>
  </si>
  <si>
    <t>ВК.МАХ.90.300.2550.2ТГ</t>
  </si>
  <si>
    <t>ВК.МАХ.90.300.2600.2ТГ</t>
  </si>
  <si>
    <t>ВК.МАХ.90.300.2650.2ТГ</t>
  </si>
  <si>
    <t>ВК.МАХ.90.300.2700.2ТГ</t>
  </si>
  <si>
    <t>ВК.МАХ.90.300.2750.2ТГ</t>
  </si>
  <si>
    <t>ВК.МАХ.90.300.2800.2ТГ</t>
  </si>
  <si>
    <t>ВК.МАХ.90.300.2850.2ТГ</t>
  </si>
  <si>
    <t>ВК.МАХ.90.300.2900.2ТГ</t>
  </si>
  <si>
    <t>ВК.МАХ.90.300.2950.2ТГ</t>
  </si>
  <si>
    <t>ВК.МАХ.90.300.3000.2ТГ</t>
  </si>
  <si>
    <t>ВК.МАХ.90.360.600.2ТГ</t>
  </si>
  <si>
    <t>ВК.МАХ.90.360.650.2ТГ</t>
  </si>
  <si>
    <t>ВК.МАХ.90.360.700.2ТГ</t>
  </si>
  <si>
    <t>ВК.МАХ.90.360.750.2ТГ</t>
  </si>
  <si>
    <t>ВК.МАХ.90.360.800.2ТГ</t>
  </si>
  <si>
    <t>ВК.МАХ.90.360.850.2ТГ</t>
  </si>
  <si>
    <t>ВК.МАХ.90.360.900.2ТГ</t>
  </si>
  <si>
    <t>ВК.МАХ.90.360.950.2ТГ</t>
  </si>
  <si>
    <t>ВК.МАХ.90.360.1000.2ТГ</t>
  </si>
  <si>
    <t>ВК.МАХ.90.360.1050.2ТГ</t>
  </si>
  <si>
    <t>ВК.МАХ.90.360.1100.2ТГ</t>
  </si>
  <si>
    <t>ВК.МАХ.90.360.1150.2ТГ</t>
  </si>
  <si>
    <t>ВК.МАХ.90.360.1200.2ТГ</t>
  </si>
  <si>
    <t>ВК.МАХ.90.360.1250.2ТГ</t>
  </si>
  <si>
    <t>ВК.МАХ.90.360.1300.2ТГ</t>
  </si>
  <si>
    <t>ВК.МАХ.90.360.1350.2ТГ</t>
  </si>
  <si>
    <t>ВК.МАХ.90.360.1400.2ТГ</t>
  </si>
  <si>
    <t>ВК.МАХ.90.360.1450.2ТГ</t>
  </si>
  <si>
    <t>ВК.МАХ.90.360.1500.2ТГ</t>
  </si>
  <si>
    <t>ВК.МАХ.90.360.1550.2ТГ</t>
  </si>
  <si>
    <t>ВК.МАХ.90.360.1600.2ТГ</t>
  </si>
  <si>
    <t>ВК.МАХ.90.360.1650.2ТГ</t>
  </si>
  <si>
    <t>ВК.МАХ.90.360.1700.2ТГ</t>
  </si>
  <si>
    <t>ВК.МАХ.90.360.1750.2ТГ</t>
  </si>
  <si>
    <t>ВК.МАХ.90.360.1800.2ТГ</t>
  </si>
  <si>
    <t>ВК.МАХ.90.360.1850.2ТГ</t>
  </si>
  <si>
    <t>ВК.МАХ.90.360.1900.2ТГ</t>
  </si>
  <si>
    <t>ВК.МАХ.90.360.1950.2ТГ</t>
  </si>
  <si>
    <t>ВК.МАХ.90.360.2000.2ТГ</t>
  </si>
  <si>
    <t>ВК.МАХ.90.360.2050.2ТГ</t>
  </si>
  <si>
    <t>ВК.МАХ.90.360.2100.2ТГ</t>
  </si>
  <si>
    <t>ВК.МАХ.90.360.2150.2ТГ</t>
  </si>
  <si>
    <t>ВК.МАХ.90.360.2200.2ТГ</t>
  </si>
  <si>
    <t>ВК.МАХ.90.360.2250.2ТГ</t>
  </si>
  <si>
    <t>ВК.МАХ.90.360.2300.2ТГ</t>
  </si>
  <si>
    <t>ВК.МАХ.90.360.2350.2ТГ</t>
  </si>
  <si>
    <t>ВК.МАХ.90.360.2400.2ТГ</t>
  </si>
  <si>
    <t>ВК.МАХ.90.360.2450.2ТГ</t>
  </si>
  <si>
    <t>ВК.МАХ.90.360.2500.2ТГ</t>
  </si>
  <si>
    <t>ВК.МАХ.90.360.2550.2ТГ</t>
  </si>
  <si>
    <t>ВК.МАХ.90.360.2600.2ТГ</t>
  </si>
  <si>
    <t>ВК.МАХ.90.360.2650.2ТГ</t>
  </si>
  <si>
    <t>ВК.МАХ.90.360.2700.2ТГ</t>
  </si>
  <si>
    <t>ВК.МАХ.90.360.2750.2ТГ</t>
  </si>
  <si>
    <t>ВК.МАХ.90.360.2800.2ТГ</t>
  </si>
  <si>
    <t>ВК.МАХ.90.360.2850.2ТГ</t>
  </si>
  <si>
    <t>ВК.МАХ.90.360.2900.2ТГ</t>
  </si>
  <si>
    <t>ВК.МАХ.90.360.2950.2ТГ</t>
  </si>
  <si>
    <t>ВК.МАХ.90.360.3000.2ТГ</t>
  </si>
  <si>
    <t>ВК.МАХ.90.360.600.4ТГ</t>
  </si>
  <si>
    <t>ВК.МАХ.90.360.650.4ТГ</t>
  </si>
  <si>
    <t>ВК.МАХ.90.360.700.4ТГ</t>
  </si>
  <si>
    <t>ВК.МАХ.90.360.750.4ТГ</t>
  </si>
  <si>
    <t>ВК.МАХ.90.360.800.4ТГ</t>
  </si>
  <si>
    <t>ВК.МАХ.90.360.850.4ТГ</t>
  </si>
  <si>
    <t>ВК.МАХ.90.360.900.4ТГ</t>
  </si>
  <si>
    <t>ВК.МАХ.90.360.950.4ТГ</t>
  </si>
  <si>
    <t>ВК.МАХ.90.360.1000.4ТГ</t>
  </si>
  <si>
    <t>ВК.МАХ.90.360.1050.4ТГ</t>
  </si>
  <si>
    <t>ВК.МАХ.90.360.1100.4ТГ</t>
  </si>
  <si>
    <t>ВК.МАХ.90.360.1150.4ТГ</t>
  </si>
  <si>
    <t>ВК.МАХ.90.360.1200.4ТГ</t>
  </si>
  <si>
    <t>ВК.МАХ.90.360.1250.4ТГ</t>
  </si>
  <si>
    <t>ВК.МАХ.90.360.1300.4ТГ</t>
  </si>
  <si>
    <t>ВК.МАХ.90.360.1350.4ТГ</t>
  </si>
  <si>
    <t>ВК.МАХ.90.360.1400.4ТГ</t>
  </si>
  <si>
    <t>ВК.МАХ.90.360.1450.4ТГ</t>
  </si>
  <si>
    <t>ВК.МАХ.90.360.1500.4ТГ</t>
  </si>
  <si>
    <t>ВК.МАХ.90.360.1550.4ТГ</t>
  </si>
  <si>
    <t>ВК.МАХ.90.360.1600.4ТГ</t>
  </si>
  <si>
    <t>ВК.МАХ.90.360.1650.4ТГ</t>
  </si>
  <si>
    <t>ВК.МАХ.90.360.1700.4ТГ</t>
  </si>
  <si>
    <t>ВК.МАХ.90.360.1750.4ТГ</t>
  </si>
  <si>
    <t>ВК.МАХ.90.360.1800.4ТГ</t>
  </si>
  <si>
    <t>ВК.МАХ.90.360.1850.4ТГ</t>
  </si>
  <si>
    <t>ВК.МАХ.90.360.1900.4ТГ</t>
  </si>
  <si>
    <t>ВК.МАХ.90.360.1950.4ТГ</t>
  </si>
  <si>
    <t>ВК.МАХ.90.360.2000.4ТГ</t>
  </si>
  <si>
    <t>ВК.МАХ.90.360.2050.4ТГ</t>
  </si>
  <si>
    <t>ВК.МАХ.90.360.2100.4ТГ</t>
  </si>
  <si>
    <t>ВК.МАХ.90.360.2150.4ТГ</t>
  </si>
  <si>
    <t>ВК.МАХ.90.360.2200.4ТГ</t>
  </si>
  <si>
    <t>ВК.МАХ.90.360.2250.4ТГ</t>
  </si>
  <si>
    <t>ВК.МАХ.90.360.2300.4ТГ</t>
  </si>
  <si>
    <t>ВК.МАХ.90.360.2350.4ТГ</t>
  </si>
  <si>
    <t>ВК.МАХ.90.360.2400.4ТГ</t>
  </si>
  <si>
    <t>ВК.МАХ.90.360.2450.4ТГ</t>
  </si>
  <si>
    <t>ВК.МАХ.90.360.2500.4ТГ</t>
  </si>
  <si>
    <t>ВК.МАХ.90.360.2550.4ТГ</t>
  </si>
  <si>
    <t>ВК.МАХ.90.360.2600.4ТГ</t>
  </si>
  <si>
    <t>ВК.МАХ.90.360.2650.4ТГ</t>
  </si>
  <si>
    <t>ВК.МАХ.90.360.2700.4ТГ</t>
  </si>
  <si>
    <t>ВК.МАХ.90.360.2750.4ТГ</t>
  </si>
  <si>
    <t>ВК.МАХ.90.360.2800.4ТГ</t>
  </si>
  <si>
    <t>ВК.МАХ.90.360.2850.4ТГ</t>
  </si>
  <si>
    <t>ВК.МАХ.90.360.2900.4ТГ</t>
  </si>
  <si>
    <t>ВК.МАХ.90.360.2950.4ТГ</t>
  </si>
  <si>
    <t>ВК.МАХ.90.360.3000.4ТГ</t>
  </si>
  <si>
    <t>ВК.МАХ.90.400.600.4ТГ</t>
  </si>
  <si>
    <t>ВК.МАХ.90.400.650.4ТГ</t>
  </si>
  <si>
    <t>ВК.МАХ.90.400.700.4ТГ</t>
  </si>
  <si>
    <t>ВК.МАХ.90.400.750.4ТГ</t>
  </si>
  <si>
    <t>ВК.МАХ.90.400.800.4ТГ</t>
  </si>
  <si>
    <t>ВК.МАХ.90.400.850.4ТГ</t>
  </si>
  <si>
    <t>ВК.МАХ.90.400.900.4ТГ</t>
  </si>
  <si>
    <t>ВК.МАХ.90.400.950.4ТГ</t>
  </si>
  <si>
    <t>ВК.МАХ.90.400.1000.4ТГ</t>
  </si>
  <si>
    <t>ВК.МАХ.90.400.1050.4ТГ</t>
  </si>
  <si>
    <t>ВК.МАХ.90.400.1100.4ТГ</t>
  </si>
  <si>
    <t>ВК.МАХ.90.400.1150.4ТГ</t>
  </si>
  <si>
    <t>ВК.МАХ.90.400.1200.4ТГ</t>
  </si>
  <si>
    <t>ВК.МАХ.90.400.1250.4ТГ</t>
  </si>
  <si>
    <t>ВК.МАХ.90.400.1300.4ТГ</t>
  </si>
  <si>
    <t>ВК.МАХ.90.400.1350.4ТГ</t>
  </si>
  <si>
    <t>ВК.МАХ.90.400.1400.4ТГ</t>
  </si>
  <si>
    <t>ВК.МАХ.90.400.1450.4ТГ</t>
  </si>
  <si>
    <t>ВК.МАХ.90.400.1500.4ТГ</t>
  </si>
  <si>
    <t>ВК.МАХ.90.400.1550.4ТГ</t>
  </si>
  <si>
    <t>ВК.МАХ.90.400.1600.4ТГ</t>
  </si>
  <si>
    <t>ВК.МАХ.90.400.1650.4ТГ</t>
  </si>
  <si>
    <t>ВК.МАХ.90.400.1700.4ТГ</t>
  </si>
  <si>
    <t>ВК.МАХ.90.400.1750.4ТГ</t>
  </si>
  <si>
    <t>ВК.МАХ.90.400.1800.4ТГ</t>
  </si>
  <si>
    <t>ВК.МАХ.90.400.1850.4ТГ</t>
  </si>
  <si>
    <t>ВК.МАХ.90.400.1900.4ТГ</t>
  </si>
  <si>
    <t>ВК.МАХ.90.400.1950.4ТГ</t>
  </si>
  <si>
    <t>ВК.МАХ.90.400.2000.4ТГ</t>
  </si>
  <si>
    <t>ВК.МАХ.90.400.2050.4ТГ</t>
  </si>
  <si>
    <t>ВК.МАХ.90.400.2100.4ТГ</t>
  </si>
  <si>
    <t>ВК.МАХ.90.400.2150.4ТГ</t>
  </si>
  <si>
    <t>ВК.МАХ.90.400.2200.4ТГ</t>
  </si>
  <si>
    <t>ВК.МАХ.90.400.2250.4ТГ</t>
  </si>
  <si>
    <t>ВК.МАХ.90.400.2300.4ТГ</t>
  </si>
  <si>
    <t>ВК.МАХ.90.400.2350.4ТГ</t>
  </si>
  <si>
    <t>ВК.МАХ.90.400.2400.4ТГ</t>
  </si>
  <si>
    <t>ВК.МАХ.90.400.2450.4ТГ</t>
  </si>
  <si>
    <t>ВК.МАХ.90.400.2500.4ТГ</t>
  </si>
  <si>
    <t>ВК.МАХ.90.400.2550.4ТГ</t>
  </si>
  <si>
    <t>ВК.МАХ.90.400.2600.4ТГ</t>
  </si>
  <si>
    <t>ВК.МАХ.90.400.2650.4ТГ</t>
  </si>
  <si>
    <t>ВК.МАХ.90.400.2700.4ТГ</t>
  </si>
  <si>
    <t>ВК.МАХ.90.400.2750.4ТГ</t>
  </si>
  <si>
    <t>ВК.МАХ.90.400.2800.4ТГ</t>
  </si>
  <si>
    <t>ВК.МАХ.90.400.2850.4ТГ</t>
  </si>
  <si>
    <t>ВК.МАХ.90.400.2900.4ТГ</t>
  </si>
  <si>
    <t>ВК.МАХ.90.400.2950.4ТГ</t>
  </si>
  <si>
    <t>ВК.МАХ.90.400.3000.4ТГ</t>
  </si>
  <si>
    <t>ВК.МАХ.110.200.600.2ТГ</t>
  </si>
  <si>
    <t>ВК.МАХ.110.200.650.2ТГ</t>
  </si>
  <si>
    <t>ВК.МАХ.110.200.700.2ТГ</t>
  </si>
  <si>
    <t>ВК.МАХ.110.200.750.2ТГ</t>
  </si>
  <si>
    <t>ВК.МАХ.110.200.800.2ТГ</t>
  </si>
  <si>
    <t>ВК.МАХ.110.200.850.2ТГ</t>
  </si>
  <si>
    <t>ВК.МАХ.110.200.900.2ТГ</t>
  </si>
  <si>
    <t>ВК.МАХ.110.200.950.2ТГ</t>
  </si>
  <si>
    <t>ВК.МАХ.110.200.1000.2ТГ</t>
  </si>
  <si>
    <t>ВК.МАХ.110.200.1050.2ТГ</t>
  </si>
  <si>
    <t>ВК.МАХ.110.200.1100.2ТГ</t>
  </si>
  <si>
    <t>ВК.МАХ.110.200.1150.2ТГ</t>
  </si>
  <si>
    <t>ВК.МАХ.110.200.1200.2ТГ</t>
  </si>
  <si>
    <t>ВК.МАХ.110.200.1250.2ТГ</t>
  </si>
  <si>
    <t>ВК.МАХ.110.200.1300.2ТГ</t>
  </si>
  <si>
    <t>ВК.МАХ.110.200.1350.2ТГ</t>
  </si>
  <si>
    <t>ВК.МАХ.110.200.1400.2ТГ</t>
  </si>
  <si>
    <t>ВК.МАХ.110.200.1450.2ТГ</t>
  </si>
  <si>
    <t>ВК.МАХ.110.200.1500.2ТГ</t>
  </si>
  <si>
    <t>ВК.МАХ.110.200.1550.2ТГ</t>
  </si>
  <si>
    <t>ВК.МАХ.110.200.1600.2ТГ</t>
  </si>
  <si>
    <t>ВК.МАХ.110.200.1650.2ТГ</t>
  </si>
  <si>
    <t>ВК.МАХ.110.200.1700.2ТГ</t>
  </si>
  <si>
    <t>ВК.МАХ.110.200.1750.2ТГ</t>
  </si>
  <si>
    <t>ВК.МАХ.110.200.1800.2ТГ</t>
  </si>
  <si>
    <t>ВК.МАХ.110.200.1850.2ТГ</t>
  </si>
  <si>
    <t>ВК.МАХ.110.200.1900.2ТГ</t>
  </si>
  <si>
    <t>ВК.МАХ.110.200.1950.2ТГ</t>
  </si>
  <si>
    <t>ВК.МАХ.110.200.2000.2ТГ</t>
  </si>
  <si>
    <t>ВК.МАХ.110.200.2050.2ТГ</t>
  </si>
  <si>
    <t>ВК.МАХ.110.200.2100.2ТГ</t>
  </si>
  <si>
    <t>ВК.МАХ.110.200.2150.2ТГ</t>
  </si>
  <si>
    <t>ВК.МАХ.110.200.2200.2ТГ</t>
  </si>
  <si>
    <t>ВК.МАХ.110.200.2250.2ТГ</t>
  </si>
  <si>
    <t>ВК.МАХ.110.200.2300.2ТГ</t>
  </si>
  <si>
    <t>ВК.МАХ.110.200.2350.2ТГ</t>
  </si>
  <si>
    <t>ВК.МАХ.110.200.2400.2ТГ</t>
  </si>
  <si>
    <t>ВК.МАХ.110.200.2450.2ТГ</t>
  </si>
  <si>
    <t>ВК.МАХ.110.200.2500.2ТГ</t>
  </si>
  <si>
    <t>ВК.МАХ.110.200.2550.2ТГ</t>
  </si>
  <si>
    <t>ВК.МАХ.110.200.2600.2ТГ</t>
  </si>
  <si>
    <t>ВК.МАХ.110.200.2650.2ТГ</t>
  </si>
  <si>
    <t>ВК.МАХ.110.200.2700.2ТГ</t>
  </si>
  <si>
    <t>ВК.МАХ.110.200.2750.2ТГ</t>
  </si>
  <si>
    <t>ВК.МАХ.110.200.2800.2ТГ</t>
  </si>
  <si>
    <t>ВК.МАХ.110.200.2850.2ТГ</t>
  </si>
  <si>
    <t>ВК.МАХ.110.200.2900.2ТГ</t>
  </si>
  <si>
    <t>ВК.МАХ.110.200.2950.2ТГ</t>
  </si>
  <si>
    <t>ВК.МАХ.110.200.3000.2ТГ</t>
  </si>
  <si>
    <t>ВК.МАХ.110.260.600.2ТГ</t>
  </si>
  <si>
    <t>ВК.МАХ.110.260.650.2ТГ</t>
  </si>
  <si>
    <t>ВК.МАХ.110.260.700.2ТГ</t>
  </si>
  <si>
    <t>ВК.МАХ.110.260.750.2ТГ</t>
  </si>
  <si>
    <t>ВК.МАХ.110.260.800.2ТГ</t>
  </si>
  <si>
    <t>ВК.МАХ.110.260.850.2ТГ</t>
  </si>
  <si>
    <t>ВК.МАХ.110.260.900.2ТГ</t>
  </si>
  <si>
    <t>ВК.МАХ.110.260.950.2ТГ</t>
  </si>
  <si>
    <t>ВК.МАХ.110.260.1000.2ТГ</t>
  </si>
  <si>
    <t>ВК.МАХ.110.260.1050.2ТГ</t>
  </si>
  <si>
    <t>ВК.МАХ.110.260.1100.2ТГ</t>
  </si>
  <si>
    <t>ВК.МАХ.110.260.1150.2ТГ</t>
  </si>
  <si>
    <t>ВК.МАХ.110.260.1200.2ТГ</t>
  </si>
  <si>
    <t>ВК.МАХ.110.260.1250.2ТГ</t>
  </si>
  <si>
    <t>ВК.МАХ.110.260.1300.2ТГ</t>
  </si>
  <si>
    <t>ВК.МАХ.110.260.1350.2ТГ</t>
  </si>
  <si>
    <t>ВК.МАХ.110.260.1400.2ТГ</t>
  </si>
  <si>
    <t>ВК.МАХ.110.260.1450.2ТГ</t>
  </si>
  <si>
    <t>ВК.МАХ.110.260.1500.2ТГ</t>
  </si>
  <si>
    <t>ВК.МАХ.110.260.1550.2ТГ</t>
  </si>
  <si>
    <t>ВК.МАХ.110.260.1600.2ТГ</t>
  </si>
  <si>
    <t>ВК.МАХ.110.260.1650.2ТГ</t>
  </si>
  <si>
    <t>ВК.МАХ.110.260.1700.2ТГ</t>
  </si>
  <si>
    <t>ВК.МАХ.110.260.1750.2ТГ</t>
  </si>
  <si>
    <t>ВК.МАХ.110.260.1800.2ТГ</t>
  </si>
  <si>
    <t>ВК.МАХ.110.260.1850.2ТГ</t>
  </si>
  <si>
    <t>ВК.МАХ.110.260.1900.2ТГ</t>
  </si>
  <si>
    <t>ВК.МАХ.110.260.1950.2ТГ</t>
  </si>
  <si>
    <t>ВК.МАХ.110.260.2000.2ТГ</t>
  </si>
  <si>
    <t>ВК.МАХ.110.260.2050.2ТГ</t>
  </si>
  <si>
    <t>ВК.МАХ.110.260.2100.2ТГ</t>
  </si>
  <si>
    <t>ВК.МАХ.110.260.2150.2ТГ</t>
  </si>
  <si>
    <t>ВК.МАХ.110.260.2200.2ТГ</t>
  </si>
  <si>
    <t>ВК.МАХ.110.260.2250.2ТГ</t>
  </si>
  <si>
    <t>ВК.МАХ.110.260.2300.2ТГ</t>
  </si>
  <si>
    <t>ВК.МАХ.110.260.2350.2ТГ</t>
  </si>
  <si>
    <t>ВК.МАХ.110.260.2400.2ТГ</t>
  </si>
  <si>
    <t>ВК.МАХ.110.260.2450.2ТГ</t>
  </si>
  <si>
    <t>ВК.МАХ.110.260.2500.2ТГ</t>
  </si>
  <si>
    <t>ВК.МАХ.110.260.2550.2ТГ</t>
  </si>
  <si>
    <t>ВК.МАХ.110.260.2600.2ТГ</t>
  </si>
  <si>
    <t>ВК.МАХ.110.260.2650.2ТГ</t>
  </si>
  <si>
    <t>ВК.МАХ.110.260.2700.2ТГ</t>
  </si>
  <si>
    <t>ВК.МАХ.110.260.2750.2ТГ</t>
  </si>
  <si>
    <t>ВК.МАХ.110.260.2800.2ТГ</t>
  </si>
  <si>
    <t>ВК.МАХ.110.260.2850.2ТГ</t>
  </si>
  <si>
    <t>ВК.МАХ.110.260.2900.2ТГ</t>
  </si>
  <si>
    <t>ВК.МАХ.110.260.2950.2ТГ</t>
  </si>
  <si>
    <t>ВК.МАХ.110.260.3000.2ТГ</t>
  </si>
  <si>
    <t>ВК.МАХ.110.300.600.2ТГ</t>
  </si>
  <si>
    <t>ВК.МАХ.110.300.650.2ТГ</t>
  </si>
  <si>
    <t>ВК.МАХ.110.300.700.2ТГ</t>
  </si>
  <si>
    <t>ВК.МАХ.110.300.750.2ТГ</t>
  </si>
  <si>
    <t>ВК.МАХ.110.300.800.2ТГ</t>
  </si>
  <si>
    <t>ВК.МАХ.110.300.850.2ТГ</t>
  </si>
  <si>
    <t>ВК.МАХ.110.300.900.2ТГ</t>
  </si>
  <si>
    <t>ВК.МАХ.110.300.950.2ТГ</t>
  </si>
  <si>
    <t>ВК.МАХ.110.300.1000.2ТГ</t>
  </si>
  <si>
    <t>ВК.МАХ.110.300.1050.2ТГ</t>
  </si>
  <si>
    <t>ВК.МАХ.110.300.1100.2ТГ</t>
  </si>
  <si>
    <t>ВК.МАХ.110.300.1150.2ТГ</t>
  </si>
  <si>
    <t>ВК.МАХ.110.300.1200.2ТГ</t>
  </si>
  <si>
    <t>ВК.МАХ.110.300.1250.2ТГ</t>
  </si>
  <si>
    <t>ВК.МАХ.110.300.1300.2ТГ</t>
  </si>
  <si>
    <t>ВК.МАХ.110.300.1350.2ТГ</t>
  </si>
  <si>
    <t>ВК.МАХ.110.300.1400.2ТГ</t>
  </si>
  <si>
    <t>ВК.МАХ.110.300.1450.2ТГ</t>
  </si>
  <si>
    <t>ВК.МАХ.110.300.1500.2ТГ</t>
  </si>
  <si>
    <t>ВК.МАХ.110.300.1550.2ТГ</t>
  </si>
  <si>
    <t>ВК.МАХ.110.300.1600.2ТГ</t>
  </si>
  <si>
    <t>ВК.МАХ.110.300.1650.2ТГ</t>
  </si>
  <si>
    <t>ВК.МАХ.110.300.1700.2ТГ</t>
  </si>
  <si>
    <t>ВК.МАХ.110.300.1750.2ТГ</t>
  </si>
  <si>
    <t>ВК.МАХ.110.300.1800.2ТГ</t>
  </si>
  <si>
    <t>ВК.МАХ.110.300.1850.2ТГ</t>
  </si>
  <si>
    <t>ВК.МАХ.110.300.1900.2ТГ</t>
  </si>
  <si>
    <t>ВК.МАХ.110.300.1950.2ТГ</t>
  </si>
  <si>
    <t>ВК.МАХ.110.300.2000.2ТГ</t>
  </si>
  <si>
    <t>ВК.МАХ.110.300.2050.2ТГ</t>
  </si>
  <si>
    <t>ВК.МАХ.110.300.2100.2ТГ</t>
  </si>
  <si>
    <t>ВК.МАХ.110.300.2150.2ТГ</t>
  </si>
  <si>
    <t>ВК.МАХ.110.300.2200.2ТГ</t>
  </si>
  <si>
    <t>ВК.МАХ.110.300.2250.2ТГ</t>
  </si>
  <si>
    <t>ВК.МАХ.110.300.2300.2ТГ</t>
  </si>
  <si>
    <t>ВК.МАХ.110.300.2350.2ТГ</t>
  </si>
  <si>
    <t>ВК.МАХ.110.300.2400.2ТГ</t>
  </si>
  <si>
    <t>ВК.МАХ.110.300.2450.2ТГ</t>
  </si>
  <si>
    <t>ВК.МАХ.110.300.2500.2ТГ</t>
  </si>
  <si>
    <t>ВК.МАХ.110.300.2550.2ТГ</t>
  </si>
  <si>
    <t>ВК.МАХ.110.300.2600.2ТГ</t>
  </si>
  <si>
    <t>ВК.МАХ.110.300.2650.2ТГ</t>
  </si>
  <si>
    <t>ВК.МАХ.110.300.2700.2ТГ</t>
  </si>
  <si>
    <t>ВК.МАХ.110.300.2750.2ТГ</t>
  </si>
  <si>
    <t>ВК.МАХ.110.300.2800.2ТГ</t>
  </si>
  <si>
    <t>ВК.МАХ.110.300.2850.2ТГ</t>
  </si>
  <si>
    <t>ВК.МАХ.110.300.2900.2ТГ</t>
  </si>
  <si>
    <t>ВК.МАХ.110.300.2950.2ТГ</t>
  </si>
  <si>
    <t>ВК.МАХ.110.300.3000.2ТГ</t>
  </si>
  <si>
    <t>ВК.МАХ.110.360.600.2ТГ</t>
  </si>
  <si>
    <t>ВК.МАХ.110.360.650.2ТГ</t>
  </si>
  <si>
    <t>ВК.МАХ.110.360.700.2ТГ</t>
  </si>
  <si>
    <t>ВК.МАХ.110.360.750.2ТГ</t>
  </si>
  <si>
    <t>ВК.МАХ.110.360.800.2ТГ</t>
  </si>
  <si>
    <t>ВК.МАХ.110.360.850.2ТГ</t>
  </si>
  <si>
    <t>ВК.МАХ.110.360.900.2ТГ</t>
  </si>
  <si>
    <t>ВК.МАХ.110.360.950.2ТГ</t>
  </si>
  <si>
    <t>ВК.МАХ.110.360.1000.2ТГ</t>
  </si>
  <si>
    <t>ВК.МАХ.110.360.1050.2ТГ</t>
  </si>
  <si>
    <t>ВК.МАХ.110.360.1100.2ТГ</t>
  </si>
  <si>
    <t>ВК.МАХ.110.360.1150.2ТГ</t>
  </si>
  <si>
    <t>ВК.МАХ.110.360.1200.2ТГ</t>
  </si>
  <si>
    <t>ВК.МАХ.110.360.1250.2ТГ</t>
  </si>
  <si>
    <t>ВК.МАХ.110.360.1300.2ТГ</t>
  </si>
  <si>
    <t>ВК.МАХ.110.360.1350.2ТГ</t>
  </si>
  <si>
    <t>ВК.МАХ.110.360.1400.2ТГ</t>
  </si>
  <si>
    <t>ВК.МАХ.110.360.1450.2ТГ</t>
  </si>
  <si>
    <t>ВК.МАХ.110.360.1500.2ТГ</t>
  </si>
  <si>
    <t>ВК.МАХ.110.360.1550.2ТГ</t>
  </si>
  <si>
    <t>ВК.МАХ.110.360.1600.2ТГ</t>
  </si>
  <si>
    <t>ВК.МАХ.110.360.1650.2ТГ</t>
  </si>
  <si>
    <t>ВК.МАХ.110.360.1700.2ТГ</t>
  </si>
  <si>
    <t>ВК.МАХ.110.360.1750.2ТГ</t>
  </si>
  <si>
    <t>ВК.МАХ.110.360.1800.2ТГ</t>
  </si>
  <si>
    <t>ВК.МАХ.110.360.1850.2ТГ</t>
  </si>
  <si>
    <t>ВК.МАХ.110.360.1900.2ТГ</t>
  </si>
  <si>
    <t>ВК.МАХ.110.360.1950.2ТГ</t>
  </si>
  <si>
    <t>ВК.МАХ.110.360.2000.2ТГ</t>
  </si>
  <si>
    <t>ВК.МАХ.110.360.2050.2ТГ</t>
  </si>
  <si>
    <t>ВК.МАХ.110.360.2100.2ТГ</t>
  </si>
  <si>
    <t>ВК.МАХ.110.360.2150.2ТГ</t>
  </si>
  <si>
    <t>ВК.МАХ.110.360.2200.2ТГ</t>
  </si>
  <si>
    <t>ВК.МАХ.110.360.2250.2ТГ</t>
  </si>
  <si>
    <t>ВК.МАХ.110.360.2300.2ТГ</t>
  </si>
  <si>
    <t>ВК.МАХ.110.360.2350.2ТГ</t>
  </si>
  <si>
    <t>ВК.МАХ.110.360.2400.2ТГ</t>
  </si>
  <si>
    <t>ВК.МАХ.110.360.2450.2ТГ</t>
  </si>
  <si>
    <t>ВК.МАХ.110.360.2500.2ТГ</t>
  </si>
  <si>
    <t>ВК.МАХ.110.360.2550.2ТГ</t>
  </si>
  <si>
    <t>ВК.МАХ.110.360.2600.2ТГ</t>
  </si>
  <si>
    <t>ВК.МАХ.110.360.2650.2ТГ</t>
  </si>
  <si>
    <t>ВК.МАХ.110.360.2700.2ТГ</t>
  </si>
  <si>
    <t>ВК.МАХ.110.360.2750.2ТГ</t>
  </si>
  <si>
    <t>ВК.МАХ.110.360.2800.2ТГ</t>
  </si>
  <si>
    <t>ВК.МАХ.110.360.2850.2ТГ</t>
  </si>
  <si>
    <t>ВК.МАХ.110.360.2900.2ТГ</t>
  </si>
  <si>
    <t>ВК.МАХ.110.360.2950.2ТГ</t>
  </si>
  <si>
    <t>ВК.МАХ.110.360.3000.2ТГ</t>
  </si>
  <si>
    <t>ВК.МАХ.110.360.600.4ТГ</t>
  </si>
  <si>
    <t>ВК.МАХ.110.360.650.4ТГ</t>
  </si>
  <si>
    <t>ВК.МАХ.110.360.700.4ТГ</t>
  </si>
  <si>
    <t>ВК.МАХ.110.360.750.4ТГ</t>
  </si>
  <si>
    <t>ВК.МАХ.110.360.800.4ТГ</t>
  </si>
  <si>
    <t>ВК.МАХ.110.360.850.4ТГ</t>
  </si>
  <si>
    <t>ВК.МАХ.110.360.900.4ТГ</t>
  </si>
  <si>
    <t>ВК.МАХ.110.360.950.4ТГ</t>
  </si>
  <si>
    <t>ВК.МАХ.110.360.1000.4ТГ</t>
  </si>
  <si>
    <t>ВК.МАХ.110.360.1050.4ТГ</t>
  </si>
  <si>
    <t>ВК.МАХ.110.360.1100.4ТГ</t>
  </si>
  <si>
    <t>ВК.МАХ.110.360.1150.4ТГ</t>
  </si>
  <si>
    <t>ВК.МАХ.110.360.1200.4ТГ</t>
  </si>
  <si>
    <t>ВК.МАХ.110.360.1250.4ТГ</t>
  </si>
  <si>
    <t>ВК.МАХ.110.360.1300.4ТГ</t>
  </si>
  <si>
    <t>ВК.МАХ.110.360.1350.4ТГ</t>
  </si>
  <si>
    <t>ВК.МАХ.110.360.1400.4ТГ</t>
  </si>
  <si>
    <t>ВК.МАХ.110.360.1450.4ТГ</t>
  </si>
  <si>
    <t>ВК.МАХ.110.360.1500.4ТГ</t>
  </si>
  <si>
    <t>ВК.МАХ.110.360.1550.4ТГ</t>
  </si>
  <si>
    <t>ВК.МАХ.110.360.1600.4ТГ</t>
  </si>
  <si>
    <t>ВК.МАХ.110.360.1650.4ТГ</t>
  </si>
  <si>
    <t>ВК.МАХ.110.360.1700.4ТГ</t>
  </si>
  <si>
    <t>ВК.МАХ.110.360.1750.4ТГ</t>
  </si>
  <si>
    <t>ВК.МАХ.110.360.1800.4ТГ</t>
  </si>
  <si>
    <t>ВК.МАХ.110.360.1850.4ТГ</t>
  </si>
  <si>
    <t>ВК.МАХ.110.360.1900.4ТГ</t>
  </si>
  <si>
    <t>ВК.МАХ.110.360.1950.4ТГ</t>
  </si>
  <si>
    <t>ВК.МАХ.110.360.2000.4ТГ</t>
  </si>
  <si>
    <t>ВК.МАХ.110.360.2050.4ТГ</t>
  </si>
  <si>
    <t>ВК.МАХ.110.360.2100.4ТГ</t>
  </si>
  <si>
    <t>ВК.МАХ.110.360.2150.4ТГ</t>
  </si>
  <si>
    <t>ВК.МАХ.110.360.2200.4ТГ</t>
  </si>
  <si>
    <t>ВК.МАХ.110.360.2250.4ТГ</t>
  </si>
  <si>
    <t>ВК.МАХ.110.360.2300.4ТГ</t>
  </si>
  <si>
    <t>ВК.МАХ.110.360.2350.4ТГ</t>
  </si>
  <si>
    <t>ВК.МАХ.110.360.2400.4ТГ</t>
  </si>
  <si>
    <t>ВК.МАХ.110.360.2450.4ТГ</t>
  </si>
  <si>
    <t>ВК.МАХ.110.360.2500.4ТГ</t>
  </si>
  <si>
    <t>ВК.МАХ.110.360.2550.4ТГ</t>
  </si>
  <si>
    <t>ВК.МАХ.110.360.2600.4ТГ</t>
  </si>
  <si>
    <t>ВК.МАХ.110.360.2650.4ТГ</t>
  </si>
  <si>
    <t>ВК.МАХ.110.360.2700.4ТГ</t>
  </si>
  <si>
    <t>ВК.МАХ.110.360.2750.4ТГ</t>
  </si>
  <si>
    <t>ВК.МАХ.110.360.2800.4ТГ</t>
  </si>
  <si>
    <t>ВК.МАХ.110.360.2850.4ТГ</t>
  </si>
  <si>
    <t>ВК.МАХ.110.360.2900.4ТГ</t>
  </si>
  <si>
    <t>ВК.МАХ.110.360.2950.4ТГ</t>
  </si>
  <si>
    <t>ВК.МАХ.110.360.3000.4ТГ</t>
  </si>
  <si>
    <t>ВК.МАХ.110.400.600.4ТГ</t>
  </si>
  <si>
    <t>ВК.МАХ.110.400.650.4ТГ</t>
  </si>
  <si>
    <t>ВК.МАХ.110.400.700.4ТГ</t>
  </si>
  <si>
    <t>ВК.МАХ.110.400.750.4ТГ</t>
  </si>
  <si>
    <t>ВК.МАХ.110.400.800.4ТГ</t>
  </si>
  <si>
    <t>ВК.МАХ.110.400.850.4ТГ</t>
  </si>
  <si>
    <t>ВК.МАХ.110.400.900.4ТГ</t>
  </si>
  <si>
    <t>ВК.МАХ.110.400.950.4ТГ</t>
  </si>
  <si>
    <t>ВК.МАХ.110.400.1000.4ТГ</t>
  </si>
  <si>
    <t>ВК.МАХ.110.400.1050.4ТГ</t>
  </si>
  <si>
    <t>ВК.МАХ.110.400.1100.4ТГ</t>
  </si>
  <si>
    <t>ВК.МАХ.110.400.1150.4ТГ</t>
  </si>
  <si>
    <t>ВК.МАХ.110.400.1200.4ТГ</t>
  </si>
  <si>
    <t>ВК.МАХ.110.400.1250.4ТГ</t>
  </si>
  <si>
    <t>ВК.МАХ.110.400.1300.4ТГ</t>
  </si>
  <si>
    <t>ВК.МАХ.110.400.1350.4ТГ</t>
  </si>
  <si>
    <t>ВК.МАХ.110.400.1400.4ТГ</t>
  </si>
  <si>
    <t>ВК.МАХ.110.400.1450.4ТГ</t>
  </si>
  <si>
    <t>ВК.МАХ.110.400.1500.4ТГ</t>
  </si>
  <si>
    <t>ВК.МАХ.110.400.1550.4ТГ</t>
  </si>
  <si>
    <t>ВК.МАХ.110.400.1600.4ТГ</t>
  </si>
  <si>
    <t>ВК.МАХ.110.400.1650.4ТГ</t>
  </si>
  <si>
    <t>ВК.МАХ.110.400.1700.4ТГ</t>
  </si>
  <si>
    <t>ВК.МАХ.110.400.1750.4ТГ</t>
  </si>
  <si>
    <t>ВК.МАХ.110.400.1800.4ТГ</t>
  </si>
  <si>
    <t>ВК.МАХ.110.400.1850.4ТГ</t>
  </si>
  <si>
    <t>ВК.МАХ.110.400.1900.4ТГ</t>
  </si>
  <si>
    <t>ВК.МАХ.110.400.1950.4ТГ</t>
  </si>
  <si>
    <t>ВК.МАХ.110.400.2000.4ТГ</t>
  </si>
  <si>
    <t>ВК.МАХ.110.400.2050.4ТГ</t>
  </si>
  <si>
    <t>ВК.МАХ.110.400.2100.4ТГ</t>
  </si>
  <si>
    <t>ВК.МАХ.110.400.2150.4ТГ</t>
  </si>
  <si>
    <t>ВК.МАХ.110.400.2200.4ТГ</t>
  </si>
  <si>
    <t>ВК.МАХ.110.400.2250.4ТГ</t>
  </si>
  <si>
    <t>ВК.МАХ.110.400.2300.4ТГ</t>
  </si>
  <si>
    <t>ВК.МАХ.110.400.2350.4ТГ</t>
  </si>
  <si>
    <t>ВК.МАХ.110.400.2400.4ТГ</t>
  </si>
  <si>
    <t>ВК.МАХ.110.400.2450.4ТГ</t>
  </si>
  <si>
    <t>ВК.МАХ.110.400.2500.4ТГ</t>
  </si>
  <si>
    <t>ВК.МАХ.110.400.2550.4ТГ</t>
  </si>
  <si>
    <t>ВК.МАХ.110.400.2600.4ТГ</t>
  </si>
  <si>
    <t>ВК.МАХ.110.400.2650.4ТГ</t>
  </si>
  <si>
    <t>ВК.МАХ.110.400.2700.4ТГ</t>
  </si>
  <si>
    <t>ВК.МАХ.110.400.2750.4ТГ</t>
  </si>
  <si>
    <t>ВК.МАХ.110.400.2800.4ТГ</t>
  </si>
  <si>
    <t>ВК.МАХ.110.400.2850.4ТГ</t>
  </si>
  <si>
    <t>ВК.МАХ.110.400.2900.4ТГ</t>
  </si>
  <si>
    <t>ВК.МАХ.110.400.2950.4ТГ</t>
  </si>
  <si>
    <t>ВК.МАХ.110.400.3000.4ТГ</t>
  </si>
  <si>
    <t>ВК.МАХ.150.200.600.2ТГ</t>
  </si>
  <si>
    <t>ВК.МАХ.150.200.650.2ТГ</t>
  </si>
  <si>
    <t>ВК.МАХ.150.200.700.2ТГ</t>
  </si>
  <si>
    <t>ВК.МАХ.150.200.750.2ТГ</t>
  </si>
  <si>
    <t>ВК.МАХ.150.200.800.2ТГ</t>
  </si>
  <si>
    <t>ВК.МАХ.150.200.850.2ТГ</t>
  </si>
  <si>
    <t>ВК.МАХ.150.200.900.2ТГ</t>
  </si>
  <si>
    <t>ВК.МАХ.150.200.950.2ТГ</t>
  </si>
  <si>
    <t>ВК.МАХ.150.200.1000.2ТГ</t>
  </si>
  <si>
    <t>ВК.МАХ.150.200.1050.2ТГ</t>
  </si>
  <si>
    <t>ВК.МАХ.150.200.1100.2ТГ</t>
  </si>
  <si>
    <t>ВК.МАХ.150.200.1150.2ТГ</t>
  </si>
  <si>
    <t>ВК.МАХ.150.200.1200.2ТГ</t>
  </si>
  <si>
    <t>ВК.МАХ.150.200.1250.2ТГ</t>
  </si>
  <si>
    <t>ВК.МАХ.150.200.1300.2ТГ</t>
  </si>
  <si>
    <t>ВК.МАХ.150.200.1350.2ТГ</t>
  </si>
  <si>
    <t>ВК.МАХ.150.200.1400.2ТГ</t>
  </si>
  <si>
    <t>ВК.МАХ.150.200.1450.2ТГ</t>
  </si>
  <si>
    <t>ВК.МАХ.150.200.1500.2ТГ</t>
  </si>
  <si>
    <t>ВК.МАХ.150.200.1550.2ТГ</t>
  </si>
  <si>
    <t>ВК.МАХ.150.200.1600.2ТГ</t>
  </si>
  <si>
    <t>ВК.МАХ.150.200.1650.2ТГ</t>
  </si>
  <si>
    <t>ВК.МАХ.150.200.1700.2ТГ</t>
  </si>
  <si>
    <t>ВК.МАХ.150.200.1750.2ТГ</t>
  </si>
  <si>
    <t>ВК.МАХ.150.200.1800.2ТГ</t>
  </si>
  <si>
    <t>ВК.МАХ.150.200.1850.2ТГ</t>
  </si>
  <si>
    <t>ВК.МАХ.150.200.1900.2ТГ</t>
  </si>
  <si>
    <t>ВК.МАХ.150.200.1950.2ТГ</t>
  </si>
  <si>
    <t>ВК.МАХ.150.200.2000.2ТГ</t>
  </si>
  <si>
    <t>ВК.МАХ.150.200.2050.2ТГ</t>
  </si>
  <si>
    <t>ВК.МАХ.150.200.2100.2ТГ</t>
  </si>
  <si>
    <t>ВК.МАХ.150.200.2150.2ТГ</t>
  </si>
  <si>
    <t>ВК.МАХ.150.200.2200.2ТГ</t>
  </si>
  <si>
    <t>ВК.МАХ.150.200.2250.2ТГ</t>
  </si>
  <si>
    <t>ВК.МАХ.150.200.2300.2ТГ</t>
  </si>
  <si>
    <t>ВК.МАХ.150.200.2350.2ТГ</t>
  </si>
  <si>
    <t>ВК.МАХ.150.200.2400.2ТГ</t>
  </si>
  <si>
    <t>ВК.МАХ.150.200.2450.2ТГ</t>
  </si>
  <si>
    <t>ВК.МАХ.150.200.2500.2ТГ</t>
  </si>
  <si>
    <t>ВК.МАХ.150.200.2550.2ТГ</t>
  </si>
  <si>
    <t>ВК.МАХ.150.200.2600.2ТГ</t>
  </si>
  <si>
    <t>ВК.МАХ.150.200.2650.2ТГ</t>
  </si>
  <si>
    <t>ВК.МАХ.150.200.2700.2ТГ</t>
  </si>
  <si>
    <t>ВК.МАХ.150.200.2750.2ТГ</t>
  </si>
  <si>
    <t>ВК.МАХ.150.200.2800.2ТГ</t>
  </si>
  <si>
    <t>ВК.МАХ.150.200.2850.2ТГ</t>
  </si>
  <si>
    <t>ВК.МАХ.150.200.2900.2ТГ</t>
  </si>
  <si>
    <t>ВК.МАХ.150.200.2950.2ТГ</t>
  </si>
  <si>
    <t>ВК.МАХ.150.200.3000.2ТГ</t>
  </si>
  <si>
    <t>ВК.МАХ.150.260.600.2ТГ</t>
  </si>
  <si>
    <t>ВК.МАХ.150.260.650.2ТГ</t>
  </si>
  <si>
    <t>ВК.МАХ.150.260.700.2ТГ</t>
  </si>
  <si>
    <t>ВК.МАХ.150.260.750.2ТГ</t>
  </si>
  <si>
    <t>ВК.МАХ.150.260.800.2ТГ</t>
  </si>
  <si>
    <t>ВК.МАХ.150.260.850.2ТГ</t>
  </si>
  <si>
    <t>ВК.МАХ.150.260.900.2ТГ</t>
  </si>
  <si>
    <t>ВК.МАХ.150.260.950.2ТГ</t>
  </si>
  <si>
    <t>ВК.МАХ.150.260.1000.2ТГ</t>
  </si>
  <si>
    <t>ВК.МАХ.150.260.1050.2ТГ</t>
  </si>
  <si>
    <t>ВК.МАХ.150.260.1100.2ТГ</t>
  </si>
  <si>
    <t>ВК.МАХ.150.260.1150.2ТГ</t>
  </si>
  <si>
    <t>ВК.МАХ.150.260.1200.2ТГ</t>
  </si>
  <si>
    <t>ВК.МАХ.150.260.1250.2ТГ</t>
  </si>
  <si>
    <t>ВК.МАХ.150.260.1300.2ТГ</t>
  </si>
  <si>
    <t>ВК.МАХ.150.260.1350.2ТГ</t>
  </si>
  <si>
    <t>ВК.МАХ.150.260.1400.2ТГ</t>
  </si>
  <si>
    <t>ВК.МАХ.150.260.1450.2ТГ</t>
  </si>
  <si>
    <t>ВК.МАХ.150.260.1500.2ТГ</t>
  </si>
  <si>
    <t>ВК.МАХ.150.260.1550.2ТГ</t>
  </si>
  <si>
    <t>ВК.МАХ.150.260.1600.2ТГ</t>
  </si>
  <si>
    <t>ВК.МАХ.150.260.1650.2ТГ</t>
  </si>
  <si>
    <t>ВК.МАХ.150.260.1700.2ТГ</t>
  </si>
  <si>
    <t>ВК.МАХ.150.260.1750.2ТГ</t>
  </si>
  <si>
    <t>ВК.МАХ.150.260.1800.2ТГ</t>
  </si>
  <si>
    <t>ВК.МАХ.150.260.1850.2ТГ</t>
  </si>
  <si>
    <t>ВК.МАХ.150.260.1900.2ТГ</t>
  </si>
  <si>
    <t>ВК.МАХ.150.260.1950.2ТГ</t>
  </si>
  <si>
    <t>ВК.МАХ.150.260.2000.2ТГ</t>
  </si>
  <si>
    <t>ВК.МАХ.150.260.2050.2ТГ</t>
  </si>
  <si>
    <t>ВК.МАХ.150.260.2100.2ТГ</t>
  </si>
  <si>
    <t>ВК.МАХ.150.260.2150.2ТГ</t>
  </si>
  <si>
    <t>ВК.МАХ.150.260.2200.2ТГ</t>
  </si>
  <si>
    <t>ВК.МАХ.150.260.2250.2ТГ</t>
  </si>
  <si>
    <t>ВК.МАХ.150.260.2300.2ТГ</t>
  </si>
  <si>
    <t>ВК.МАХ.150.260.2350.2ТГ</t>
  </si>
  <si>
    <t>ВК.МАХ.150.260.2400.2ТГ</t>
  </si>
  <si>
    <t>ВК.МАХ.150.260.2450.2ТГ</t>
  </si>
  <si>
    <t>ВК.МАХ.150.260.2500.2ТГ</t>
  </si>
  <si>
    <t>ВК.МАХ.150.260.2550.2ТГ</t>
  </si>
  <si>
    <t>ВК.МАХ.150.260.2600.2ТГ</t>
  </si>
  <si>
    <t>ВК.МАХ.150.260.2650.2ТГ</t>
  </si>
  <si>
    <t>ВК.МАХ.150.260.2700.2ТГ</t>
  </si>
  <si>
    <t>ВК.МАХ.150.260.2750.2ТГ</t>
  </si>
  <si>
    <t>ВК.МАХ.150.260.2800.2ТГ</t>
  </si>
  <si>
    <t>ВК.МАХ.150.260.2850.2ТГ</t>
  </si>
  <si>
    <t>ВК.МАХ.150.260.2900.2ТГ</t>
  </si>
  <si>
    <t>ВК.МАХ.150.260.2950.2ТГ</t>
  </si>
  <si>
    <t>ВК.МАХ.150.260.3000.2ТГ</t>
  </si>
  <si>
    <t>ВК.МАХ.150.300.600.2ТГ</t>
  </si>
  <si>
    <t>ВК.МАХ.150.300.650.2ТГ</t>
  </si>
  <si>
    <t>ВК.МАХ.150.300.700.2ТГ</t>
  </si>
  <si>
    <t>ВК.МАХ.150.300.750.2ТГ</t>
  </si>
  <si>
    <t>ВК.МАХ.150.300.800.2ТГ</t>
  </si>
  <si>
    <t>ВК.МАХ.150.300.850.2ТГ</t>
  </si>
  <si>
    <t>ВК.МАХ.150.300.900.2ТГ</t>
  </si>
  <si>
    <t>ВК.МАХ.150.300.950.2ТГ</t>
  </si>
  <si>
    <t>ВК.МАХ.150.300.1000.2ТГ</t>
  </si>
  <si>
    <t>ВК.МАХ.150.300.1050.2ТГ</t>
  </si>
  <si>
    <t>ВК.МАХ.150.300.1100.2ТГ</t>
  </si>
  <si>
    <t>ВК.МАХ.150.300.1150.2ТГ</t>
  </si>
  <si>
    <t>ВК.МАХ.150.300.1200.2ТГ</t>
  </si>
  <si>
    <t>ВК.МАХ.150.300.1250.2ТГ</t>
  </si>
  <si>
    <t>ВК.МАХ.150.300.1300.2ТГ</t>
  </si>
  <si>
    <t>ВК.МАХ.150.300.1350.2ТГ</t>
  </si>
  <si>
    <t>ВК.МАХ.150.300.1400.2ТГ</t>
  </si>
  <si>
    <t>ВК.МАХ.150.300.1450.2ТГ</t>
  </si>
  <si>
    <t>ВК.МАХ.150.300.1500.2ТГ</t>
  </si>
  <si>
    <t>ВК.МАХ.150.300.1550.2ТГ</t>
  </si>
  <si>
    <t>ВК.МАХ.150.300.1600.2ТГ</t>
  </si>
  <si>
    <t>ВК.МАХ.150.300.1650.2ТГ</t>
  </si>
  <si>
    <t>ВК.МАХ.150.300.1700.2ТГ</t>
  </si>
  <si>
    <t>ВК.МАХ.150.300.1750.2ТГ</t>
  </si>
  <si>
    <t>ВК.МАХ.150.300.1800.2ТГ</t>
  </si>
  <si>
    <t>ВК.МАХ.150.300.1850.2ТГ</t>
  </si>
  <si>
    <t>ВК.МАХ.150.300.1900.2ТГ</t>
  </si>
  <si>
    <t>ВК.МАХ.150.300.1950.2ТГ</t>
  </si>
  <si>
    <t>ВК.МАХ.150.300.2000.2ТГ</t>
  </si>
  <si>
    <t>ВК.МАХ.150.300.2050.2ТГ</t>
  </si>
  <si>
    <t>ВК.МАХ.150.300.2100.2ТГ</t>
  </si>
  <si>
    <t>ВК.МАХ.150.300.2150.2ТГ</t>
  </si>
  <si>
    <t>ВК.МАХ.150.300.2200.2ТГ</t>
  </si>
  <si>
    <t>ВК.МАХ.150.300.2250.2ТГ</t>
  </si>
  <si>
    <t>ВК.МАХ.150.300.2300.2ТГ</t>
  </si>
  <si>
    <t>ВК.МАХ.150.300.2350.2ТГ</t>
  </si>
  <si>
    <t>ВК.МАХ.150.300.2400.2ТГ</t>
  </si>
  <si>
    <t>ВК.МАХ.150.300.2450.2ТГ</t>
  </si>
  <si>
    <t>ВК.МАХ.150.300.2500.2ТГ</t>
  </si>
  <si>
    <t>ВК.МАХ.150.300.2550.2ТГ</t>
  </si>
  <si>
    <t>ВК.МАХ.150.300.2600.2ТГ</t>
  </si>
  <si>
    <t>ВК.МАХ.150.300.2650.2ТГ</t>
  </si>
  <si>
    <t>ВК.МАХ.150.300.2700.2ТГ</t>
  </si>
  <si>
    <t>ВК.МАХ.150.300.2750.2ТГ</t>
  </si>
  <si>
    <t>ВК.МАХ.150.300.2800.2ТГ</t>
  </si>
  <si>
    <t>ВК.МАХ.150.300.2850.2ТГ</t>
  </si>
  <si>
    <t>ВК.МАХ.150.300.2900.2ТГ</t>
  </si>
  <si>
    <t>ВК.МАХ.150.300.2950.2ТГ</t>
  </si>
  <si>
    <t>ВК.МАХ.150.300.3000.2ТГ</t>
  </si>
  <si>
    <t>ВК.МАХ.150.360.600.2ТГ</t>
  </si>
  <si>
    <t>ВК.МАХ.150.360.650.2ТГ</t>
  </si>
  <si>
    <t>ВК.МАХ.150.360.700.2ТГ</t>
  </si>
  <si>
    <t>ВК.МАХ.150.360.750.2ТГ</t>
  </si>
  <si>
    <t>ВК.МАХ.150.360.800.2ТГ</t>
  </si>
  <si>
    <t>ВК.МАХ.150.360.850.2ТГ</t>
  </si>
  <si>
    <t>ВК.МАХ.150.360.900.2ТГ</t>
  </si>
  <si>
    <t>ВК.МАХ.150.360.950.2ТГ</t>
  </si>
  <si>
    <t>ВК.МАХ.150.360.1000.2ТГ</t>
  </si>
  <si>
    <t>ВК.МАХ.150.360.1050.2ТГ</t>
  </si>
  <si>
    <t>ВК.МАХ.150.360.1100.2ТГ</t>
  </si>
  <si>
    <t>ВК.МАХ.150.360.1150.2ТГ</t>
  </si>
  <si>
    <t>ВК.МАХ.150.360.1200.2ТГ</t>
  </si>
  <si>
    <t>ВК.МАХ.150.360.1250.2ТГ</t>
  </si>
  <si>
    <t>ВК.МАХ.150.360.1300.2ТГ</t>
  </si>
  <si>
    <t>ВК.МАХ.150.360.1350.2ТГ</t>
  </si>
  <si>
    <t>ВК.МАХ.150.360.1400.2ТГ</t>
  </si>
  <si>
    <t>ВК.МАХ.150.360.1450.2ТГ</t>
  </si>
  <si>
    <t>ВК.МАХ.150.360.1500.2ТГ</t>
  </si>
  <si>
    <t>ВК.МАХ.150.360.1550.2ТГ</t>
  </si>
  <si>
    <t>ВК.МАХ.150.360.1600.2ТГ</t>
  </si>
  <si>
    <t>ВК.МАХ.150.360.1650.2ТГ</t>
  </si>
  <si>
    <t>ВК.МАХ.150.360.1700.2ТГ</t>
  </si>
  <si>
    <t>ВК.МАХ.150.360.1750.2ТГ</t>
  </si>
  <si>
    <t>ВК.МАХ.150.360.1800.2ТГ</t>
  </si>
  <si>
    <t>ВК.МАХ.150.360.1850.2ТГ</t>
  </si>
  <si>
    <t>ВК.МАХ.150.360.1900.2ТГ</t>
  </si>
  <si>
    <t>ВК.МАХ.150.360.1950.2ТГ</t>
  </si>
  <si>
    <t>ВК.МАХ.150.360.2000.2ТГ</t>
  </si>
  <si>
    <t>ВК.МАХ.150.360.2050.2ТГ</t>
  </si>
  <si>
    <t>ВК.МАХ.150.360.2100.2ТГ</t>
  </si>
  <si>
    <t>ВК.МАХ.150.360.2150.2ТГ</t>
  </si>
  <si>
    <t>ВК.МАХ.150.360.2200.2ТГ</t>
  </si>
  <si>
    <t>ВК.МАХ.150.360.2250.2ТГ</t>
  </si>
  <si>
    <t>ВК.МАХ.150.360.2300.2ТГ</t>
  </si>
  <si>
    <t>ВК.МАХ.150.360.2350.2ТГ</t>
  </si>
  <si>
    <t>ВК.МАХ.150.360.2400.2ТГ</t>
  </si>
  <si>
    <t>ВК.МАХ.150.360.2450.2ТГ</t>
  </si>
  <si>
    <t>ВК.МАХ.150.360.2500.2ТГ</t>
  </si>
  <si>
    <t>ВК.МАХ.150.360.2550.2ТГ</t>
  </si>
  <si>
    <t>ВК.МАХ.150.360.2600.2ТГ</t>
  </si>
  <si>
    <t>ВК.МАХ.150.360.2650.2ТГ</t>
  </si>
  <si>
    <t>ВК.МАХ.150.360.2700.2ТГ</t>
  </si>
  <si>
    <t>ВК.МАХ.150.360.2750.2ТГ</t>
  </si>
  <si>
    <t>ВК.МАХ.150.360.2800.2ТГ</t>
  </si>
  <si>
    <t>ВК.МАХ.150.360.2850.2ТГ</t>
  </si>
  <si>
    <t>ВК.МАХ.150.360.2900.2ТГ</t>
  </si>
  <si>
    <t>ВК.МАХ.150.360.2950.2ТГ</t>
  </si>
  <si>
    <t>ВК.МАХ.150.360.3000.2ТГ</t>
  </si>
  <si>
    <t>ВК.МАХ.150.360.600.4ТГ</t>
  </si>
  <si>
    <t>ВК.МАХ.150.360.650.4ТГ</t>
  </si>
  <si>
    <t>ВК.МАХ.150.360.700.4ТГ</t>
  </si>
  <si>
    <t>ВК.МАХ.150.360.750.4ТГ</t>
  </si>
  <si>
    <t>ВК.МАХ.150.360.800.4ТГ</t>
  </si>
  <si>
    <t>ВК.МАХ.150.360.850.4ТГ</t>
  </si>
  <si>
    <t>ВК.МАХ.150.360.900.4ТГ</t>
  </si>
  <si>
    <t>ВК.МАХ.150.360.950.4ТГ</t>
  </si>
  <si>
    <t>ВК.МАХ.150.360.1000.4ТГ</t>
  </si>
  <si>
    <t>ВК.МАХ.150.360.1050.4ТГ</t>
  </si>
  <si>
    <t>ВК.МАХ.150.360.1100.4ТГ</t>
  </si>
  <si>
    <t>ВК.МАХ.150.360.1150.4ТГ</t>
  </si>
  <si>
    <t>ВК.МАХ.150.360.1200.4ТГ</t>
  </si>
  <si>
    <t>ВК.МАХ.150.360.1250.4ТГ</t>
  </si>
  <si>
    <t>ВК.МАХ.150.360.1300.4ТГ</t>
  </si>
  <si>
    <t>ВК.МАХ.150.360.1350.4ТГ</t>
  </si>
  <si>
    <t>ВК.МАХ.150.360.1400.4ТГ</t>
  </si>
  <si>
    <t>ВК.МАХ.150.360.1450.4ТГ</t>
  </si>
  <si>
    <t>ВК.МАХ.150.360.1500.4ТГ</t>
  </si>
  <si>
    <t>ВК.МАХ.150.360.1550.4ТГ</t>
  </si>
  <si>
    <t>ВК.МАХ.150.360.1600.4ТГ</t>
  </si>
  <si>
    <t>ВК.МАХ.150.360.1650.4ТГ</t>
  </si>
  <si>
    <t>ВК.МАХ.150.360.1700.4ТГ</t>
  </si>
  <si>
    <t>ВК.МАХ.150.360.1750.4ТГ</t>
  </si>
  <si>
    <t>ВК.МАХ.150.360.1800.4ТГ</t>
  </si>
  <si>
    <t>ВК.МАХ.150.360.1850.4ТГ</t>
  </si>
  <si>
    <t>ВК.МАХ.150.360.1900.4ТГ</t>
  </si>
  <si>
    <t>ВК.МАХ.150.360.1950.4ТГ</t>
  </si>
  <si>
    <t>ВК.МАХ.150.360.2000.4ТГ</t>
  </si>
  <si>
    <t>ВК.МАХ.150.360.2050.4ТГ</t>
  </si>
  <si>
    <t>ВК.МАХ.150.360.2100.4ТГ</t>
  </si>
  <si>
    <t>ВК.МАХ.150.360.2150.4ТГ</t>
  </si>
  <si>
    <t>ВК.МАХ.150.360.2200.4ТГ</t>
  </si>
  <si>
    <t>ВК.МАХ.150.360.2250.4ТГ</t>
  </si>
  <si>
    <t>ВК.МАХ.150.360.2300.4ТГ</t>
  </si>
  <si>
    <t>ВК.МАХ.150.360.2350.4ТГ</t>
  </si>
  <si>
    <t>ВК.МАХ.150.360.2400.4ТГ</t>
  </si>
  <si>
    <t>ВК.МАХ.150.360.2450.4ТГ</t>
  </si>
  <si>
    <t>ВК.МАХ.150.360.2500.4ТГ</t>
  </si>
  <si>
    <t>ВК.МАХ.150.360.2550.4ТГ</t>
  </si>
  <si>
    <t>ВК.МАХ.150.360.2600.4ТГ</t>
  </si>
  <si>
    <t>ВК.МАХ.150.360.2650.4ТГ</t>
  </si>
  <si>
    <t>ВК.МАХ.150.360.2700.4ТГ</t>
  </si>
  <si>
    <t>ВК.МАХ.150.360.2750.4ТГ</t>
  </si>
  <si>
    <t>ВК.МАХ.150.360.2800.4ТГ</t>
  </si>
  <si>
    <t>ВК.МАХ.150.360.2850.4ТГ</t>
  </si>
  <si>
    <t>ВК.МАХ.150.360.2900.4ТГ</t>
  </si>
  <si>
    <t>ВК.МАХ.150.360.2950.4ТГ</t>
  </si>
  <si>
    <t>ВК.МАХ.150.360.3000.4ТГ</t>
  </si>
  <si>
    <t>ВК.МАХ.150.400.600.4ТГ</t>
  </si>
  <si>
    <t>ВК.МАХ.150.400.650.4ТГ</t>
  </si>
  <si>
    <t>ВК.МАХ.150.400.700.4ТГ</t>
  </si>
  <si>
    <t>ВК.МАХ.150.400.750.4ТГ</t>
  </si>
  <si>
    <t>ВК.МАХ.150.400.800.4ТГ</t>
  </si>
  <si>
    <t>ВК.МАХ.150.400.850.4ТГ</t>
  </si>
  <si>
    <t>ВК.МАХ.150.400.900.4ТГ</t>
  </si>
  <si>
    <t>ВК.МАХ.150.400.950.4ТГ</t>
  </si>
  <si>
    <t>ВК.МАХ.150.400.1000.4ТГ</t>
  </si>
  <si>
    <t>ВК.МАХ.150.400.1050.4ТГ</t>
  </si>
  <si>
    <t>ВК.МАХ.150.400.1100.4ТГ</t>
  </si>
  <si>
    <t>ВК.МАХ.150.400.1150.4ТГ</t>
  </si>
  <si>
    <t>ВК.МАХ.150.400.1200.4ТГ</t>
  </si>
  <si>
    <t>ВК.МАХ.150.400.1250.4ТГ</t>
  </si>
  <si>
    <t>ВК.МАХ.150.400.1300.4ТГ</t>
  </si>
  <si>
    <t>ВК.МАХ.150.400.1350.4ТГ</t>
  </si>
  <si>
    <t>ВК.МАХ.150.400.1400.4ТГ</t>
  </si>
  <si>
    <t>ВК.МАХ.150.400.1450.4ТГ</t>
  </si>
  <si>
    <t>ВК.МАХ.150.400.1500.4ТГ</t>
  </si>
  <si>
    <t>ВК.МАХ.150.400.1550.4ТГ</t>
  </si>
  <si>
    <t>ВК.МАХ.150.400.1600.4ТГ</t>
  </si>
  <si>
    <t>ВК.МАХ.150.400.1650.4ТГ</t>
  </si>
  <si>
    <t>ВК.МАХ.150.400.1700.4ТГ</t>
  </si>
  <si>
    <t>ВК.МАХ.150.400.1750.4ТГ</t>
  </si>
  <si>
    <t>ВК.МАХ.150.400.1800.4ТГ</t>
  </si>
  <si>
    <t>ВК.МАХ.150.400.1850.4ТГ</t>
  </si>
  <si>
    <t>ВК.МАХ.150.400.1900.4ТГ</t>
  </si>
  <si>
    <t>ВК.МАХ.150.400.1950.4ТГ</t>
  </si>
  <si>
    <t>ВК.МАХ.150.400.2000.4ТГ</t>
  </si>
  <si>
    <t>ВК.МАХ.150.400.2050.4ТГ</t>
  </si>
  <si>
    <t>ВК.МАХ.150.400.2100.4ТГ</t>
  </si>
  <si>
    <t>ВК.МАХ.150.400.2150.4ТГ</t>
  </si>
  <si>
    <t>ВК.МАХ.150.400.2200.4ТГ</t>
  </si>
  <si>
    <t>ВК.МАХ.150.400.2250.4ТГ</t>
  </si>
  <si>
    <t>ВК.МАХ.150.400.2300.4ТГ</t>
  </si>
  <si>
    <t>ВК.МАХ.150.400.2350.4ТГ</t>
  </si>
  <si>
    <t>ВК.МАХ.150.400.2400.4ТГ</t>
  </si>
  <si>
    <t>ВК.МАХ.150.400.2450.4ТГ</t>
  </si>
  <si>
    <t>ВК.МАХ.150.400.2500.4ТГ</t>
  </si>
  <si>
    <t>ВК.МАХ.150.400.2550.4ТГ</t>
  </si>
  <si>
    <t>ВК.МАХ.150.400.2600.4ТГ</t>
  </si>
  <si>
    <t>ВК.МАХ.150.400.2650.4ТГ</t>
  </si>
  <si>
    <t>ВК.МАХ.150.400.2700.4ТГ</t>
  </si>
  <si>
    <t>ВК.МАХ.150.400.2750.4ТГ</t>
  </si>
  <si>
    <t>ВК.МАХ.150.400.2800.4ТГ</t>
  </si>
  <si>
    <t>ВК.МАХ.150.400.2850.4ТГ</t>
  </si>
  <si>
    <t>ВК.МАХ.150.400.2900.4ТГ</t>
  </si>
  <si>
    <t>ВК.МАХ.150.400.2950.4ТГ</t>
  </si>
  <si>
    <t>ВК.МАХ.150.400.3000.4ТГ</t>
  </si>
  <si>
    <t>ВК.МАХ.200.200.600.4ТК</t>
  </si>
  <si>
    <t>ВК.МАХ.200.200.650.4ТК</t>
  </si>
  <si>
    <t>ВК.МАХ.200.200.700.4ТК</t>
  </si>
  <si>
    <t>ВК.МАХ.200.200.750.4ТК</t>
  </si>
  <si>
    <t>ВК.МАХ.200.200.800.4ТК</t>
  </si>
  <si>
    <t>ВК.МАХ.200.200.850.4ТК</t>
  </si>
  <si>
    <t>ВК.МАХ.200.200.900.4ТК</t>
  </si>
  <si>
    <t>ВК.МАХ.200.200.950.4ТК</t>
  </si>
  <si>
    <t>ВК.МАХ.200.200.1000.4ТК</t>
  </si>
  <si>
    <t>ВК.МАХ.200.200.1050.4ТК</t>
  </si>
  <si>
    <t>ВК.МАХ.200.200.1100.4ТК</t>
  </si>
  <si>
    <t>ВК.МАХ.200.200.1150.4ТК</t>
  </si>
  <si>
    <t>ВК.МАХ.200.200.1200.4ТК</t>
  </si>
  <si>
    <t>ВК.МАХ.200.200.1250.4ТК</t>
  </si>
  <si>
    <t>ВК.МАХ.200.200.1300.4ТК</t>
  </si>
  <si>
    <t>ВК.МАХ.200.200.1350.4ТК</t>
  </si>
  <si>
    <t>ВК.МАХ.200.200.1400.4ТК</t>
  </si>
  <si>
    <t>ВК.МАХ.200.200.1450.4ТК</t>
  </si>
  <si>
    <t>ВК.МАХ.200.200.1500.4ТК</t>
  </si>
  <si>
    <t>ВК.МАХ.200.200.1550.4ТК</t>
  </si>
  <si>
    <t>ВК.МАХ.200.200.1600.4ТК</t>
  </si>
  <si>
    <t>ВК.МАХ.200.200.1650.4ТК</t>
  </si>
  <si>
    <t>ВК.МАХ.200.200.1700.4ТК</t>
  </si>
  <si>
    <t>ВК.МАХ.200.200.1750.4ТК</t>
  </si>
  <si>
    <t>ВК.МАХ.200.200.1800.4ТК</t>
  </si>
  <si>
    <t>ВК.МАХ.200.200.1850.4ТК</t>
  </si>
  <si>
    <t>ВК.МАХ.200.200.1900.4ТК</t>
  </si>
  <si>
    <t>ВК.МАХ.200.200.1950.4ТК</t>
  </si>
  <si>
    <t>ВК.МАХ.200.200.2000.4ТК</t>
  </si>
  <si>
    <t>ВК.МАХ.200.200.2050.4ТК</t>
  </si>
  <si>
    <t>ВК.МАХ.200.200.2100.4ТК</t>
  </si>
  <si>
    <t>ВК.МАХ.200.200.2150.4ТК</t>
  </si>
  <si>
    <t>ВК.МАХ.200.200.2200.4ТК</t>
  </si>
  <si>
    <t>ВК.МАХ.200.200.2250.4ТК</t>
  </si>
  <si>
    <t>ВК.МАХ.200.200.2300.4ТК</t>
  </si>
  <si>
    <t>ВК.МАХ.200.200.2350.4ТК</t>
  </si>
  <si>
    <t>ВК.МАХ.200.200.2400.4ТК</t>
  </si>
  <si>
    <t>ВК.МАХ.200.200.2450.4ТК</t>
  </si>
  <si>
    <t>ВК.МАХ.200.200.2500.4ТК</t>
  </si>
  <si>
    <t>ВК.МАХ.200.200.2550.4ТК</t>
  </si>
  <si>
    <t>ВК.МАХ.200.200.2600.4ТК</t>
  </si>
  <si>
    <t>ВК.МАХ.200.200.2650.4ТК</t>
  </si>
  <si>
    <t>ВК.МАХ.200.200.2700.4ТК</t>
  </si>
  <si>
    <t>ВК.МАХ.200.200.2750.4ТК</t>
  </si>
  <si>
    <t>ВК.МАХ.200.200.2800.4ТК</t>
  </si>
  <si>
    <t>ВК.МАХ.200.200.2850.4ТК</t>
  </si>
  <si>
    <t>ВК.МАХ.200.200.2900.4ТК</t>
  </si>
  <si>
    <t>ВК.МАХ.200.200.2950.4ТК</t>
  </si>
  <si>
    <t>ВК.МАХ.200.200.3000.4ТК</t>
  </si>
  <si>
    <t>ВК.МАХ.200.260.600.4ТК</t>
  </si>
  <si>
    <t>ВК.МАХ.200.260.650.4ТК</t>
  </si>
  <si>
    <t>ВК.МАХ.200.260.700.4ТК</t>
  </si>
  <si>
    <t>ВК.МАХ.200.260.750.4ТК</t>
  </si>
  <si>
    <t>ВК.МАХ.200.260.800.4ТК</t>
  </si>
  <si>
    <t>ВК.МАХ.200.260.850.4ТК</t>
  </si>
  <si>
    <t>ВК.МАХ.200.260.900.4ТК</t>
  </si>
  <si>
    <t>ВК.МАХ.200.260.950.4ТК</t>
  </si>
  <si>
    <t>ВК.МАХ.200.260.1000.4ТК</t>
  </si>
  <si>
    <t>ВК.МАХ.200.260.1050.4ТК</t>
  </si>
  <si>
    <t>ВК.МАХ.200.260.1100.4ТК</t>
  </si>
  <si>
    <t>ВК.МАХ.200.260.1150.4ТК</t>
  </si>
  <si>
    <t>ВК.МАХ.200.260.1200.4ТК</t>
  </si>
  <si>
    <t>ВК.МАХ.200.260.1250.4ТК</t>
  </si>
  <si>
    <t>ВК.МАХ.200.260.1300.4ТК</t>
  </si>
  <si>
    <t>ВК.МАХ.200.260.1350.4ТК</t>
  </si>
  <si>
    <t>ВК.МАХ.200.260.1400.4ТК</t>
  </si>
  <si>
    <t>ВК.МАХ.200.260.1450.4ТК</t>
  </si>
  <si>
    <t>ВК.МАХ.200.260.1500.4ТК</t>
  </si>
  <si>
    <t>ВК.МАХ.200.260.1550.4ТК</t>
  </si>
  <si>
    <t>ВК.МАХ.200.260.1600.4ТК</t>
  </si>
  <si>
    <t>ВК.МАХ.200.260.1650.4ТК</t>
  </si>
  <si>
    <t>ВК.МАХ.200.260.1700.4ТК</t>
  </si>
  <si>
    <t>ВК.МАХ.200.260.1750.4ТК</t>
  </si>
  <si>
    <t>ВК.МАХ.200.260.1800.4ТК</t>
  </si>
  <si>
    <t>ВК.МАХ.200.260.1850.4ТК</t>
  </si>
  <si>
    <t>ВК.МАХ.200.260.1900.4ТК</t>
  </si>
  <si>
    <t>ВК.МАХ.200.260.1950.4ТК</t>
  </si>
  <si>
    <t>ВК.МАХ.200.260.2000.4ТК</t>
  </si>
  <si>
    <t>ВК.МАХ.200.260.2050.4ТК</t>
  </si>
  <si>
    <t>ВК.МАХ.200.260.2100.4ТК</t>
  </si>
  <si>
    <t>ВК.МАХ.200.260.2150.4ТК</t>
  </si>
  <si>
    <t>ВК.МАХ.200.260.2200.4ТК</t>
  </si>
  <si>
    <t>ВК.МАХ.200.260.2250.4ТК</t>
  </si>
  <si>
    <t>ВК.МАХ.200.260.2300.4ТК</t>
  </si>
  <si>
    <t>ВК.МАХ.200.260.2350.4ТК</t>
  </si>
  <si>
    <t>ВК.МАХ.200.260.2400.4ТК</t>
  </si>
  <si>
    <t>ВК.МАХ.200.260.2450.4ТК</t>
  </si>
  <si>
    <t>ВК.МАХ.200.260.2500.4ТК</t>
  </si>
  <si>
    <t>ВК.МАХ.200.260.2550.4ТК</t>
  </si>
  <si>
    <t>ВК.МАХ.200.260.2600.4ТК</t>
  </si>
  <si>
    <t>ВК.МАХ.200.260.2650.4ТК</t>
  </si>
  <si>
    <t>ВК.МАХ.200.260.2700.4ТК</t>
  </si>
  <si>
    <t>ВК.МАХ.200.260.2750.4ТК</t>
  </si>
  <si>
    <t>ВК.МАХ.200.260.2800.4ТК</t>
  </si>
  <si>
    <t>ВК.МАХ.200.260.2850.4ТК</t>
  </si>
  <si>
    <t>ВК.МАХ.200.260.2900.4ТК</t>
  </si>
  <si>
    <t>ВК.МАХ.200.260.2950.4ТК</t>
  </si>
  <si>
    <t>ВК.МАХ.200.260.3000.4ТК</t>
  </si>
  <si>
    <t>ВК.МАХ.200.300.600.4ТК</t>
  </si>
  <si>
    <t>ВК.МАХ.200.300.650.4ТК</t>
  </si>
  <si>
    <t>ВК.МАХ.200.300.700.4ТК</t>
  </si>
  <si>
    <t>ВК.МАХ.200.300.750.4ТК</t>
  </si>
  <si>
    <t>ВК.МАХ.200.300.800.4ТК</t>
  </si>
  <si>
    <t>ВК.МАХ.200.300.850.4ТК</t>
  </si>
  <si>
    <t>ВК.МАХ.200.300.900.4ТК</t>
  </si>
  <si>
    <t>ВК.МАХ.200.300.950.4ТК</t>
  </si>
  <si>
    <t>ВК.МАХ.200.300.1000.4ТК</t>
  </si>
  <si>
    <t>ВК.МАХ.200.300.1050.4ТК</t>
  </si>
  <si>
    <t>ВК.МАХ.200.300.1100.4ТК</t>
  </si>
  <si>
    <t>ВК.МАХ.200.300.1150.4ТК</t>
  </si>
  <si>
    <t>ВК.МАХ.200.300.1200.4ТК</t>
  </si>
  <si>
    <t>ВК.МАХ.200.300.1250.4ТК</t>
  </si>
  <si>
    <t>ВК.МАХ.200.300.1300.4ТК</t>
  </si>
  <si>
    <t>ВК.МАХ.200.300.1350.4ТК</t>
  </si>
  <si>
    <t>ВК.МАХ.200.300.1400.4ТК</t>
  </si>
  <si>
    <t>ВК.МАХ.200.300.1450.4ТК</t>
  </si>
  <si>
    <t>ВК.МАХ.200.300.1500.4ТК</t>
  </si>
  <si>
    <t>ВК.МАХ.200.300.1550.4ТК</t>
  </si>
  <si>
    <t>ВК.МАХ.200.300.1600.4ТК</t>
  </si>
  <si>
    <t>ВК.МАХ.200.300.1650.4ТК</t>
  </si>
  <si>
    <t>ВК.МАХ.200.300.1700.4ТК</t>
  </si>
  <si>
    <t>ВК.МАХ.200.300.1750.4ТК</t>
  </si>
  <si>
    <t>ВК.МАХ.200.300.1800.4ТК</t>
  </si>
  <si>
    <t>ВК.МАХ.200.300.1850.4ТК</t>
  </si>
  <si>
    <t>ВК.МАХ.200.300.1900.4ТК</t>
  </si>
  <si>
    <t>ВК.МАХ.200.300.1950.4ТК</t>
  </si>
  <si>
    <t>ВК.МАХ.200.300.2000.4ТК</t>
  </si>
  <si>
    <t>ВК.МАХ.200.300.2050.4ТК</t>
  </si>
  <si>
    <t>ВК.МАХ.200.300.2100.4ТК</t>
  </si>
  <si>
    <t>ВК.МАХ.200.300.2150.4ТК</t>
  </si>
  <si>
    <t>ВК.МАХ.200.300.2200.4ТК</t>
  </si>
  <si>
    <t>ВК.МАХ.200.300.2250.4ТК</t>
  </si>
  <si>
    <t>ВК.МАХ.200.300.2300.4ТК</t>
  </si>
  <si>
    <t>ВК.МАХ.200.300.2350.4ТК</t>
  </si>
  <si>
    <t>ВК.МАХ.200.300.2400.4ТК</t>
  </si>
  <si>
    <t>ВК.МАХ.200.300.2450.4ТК</t>
  </si>
  <si>
    <t>ВК.МАХ.200.300.2500.4ТК</t>
  </si>
  <si>
    <t>ВК.МАХ.200.300.2550.4ТК</t>
  </si>
  <si>
    <t>ВК.МАХ.200.300.2600.4ТК</t>
  </si>
  <si>
    <t>ВК.МАХ.200.300.2650.4ТК</t>
  </si>
  <si>
    <t>ВК.МАХ.200.300.2700.4ТК</t>
  </si>
  <si>
    <t>ВК.МАХ.200.300.2750.4ТК</t>
  </si>
  <si>
    <t>ВК.МАХ.200.300.2800.4ТК</t>
  </si>
  <si>
    <t>ВК.МАХ.200.300.2850.4ТК</t>
  </si>
  <si>
    <t>ВК.МАХ.200.300.2900.4ТК</t>
  </si>
  <si>
    <t>ВК.МАХ.200.300.2950.4ТК</t>
  </si>
  <si>
    <t>ВК.МАХ.200.300.3000.4ТК</t>
  </si>
  <si>
    <t>ВК.МАХ.200.360.600.4ТГ</t>
  </si>
  <si>
    <t>ВК.МАХ.200.360.650.4ТГ</t>
  </si>
  <si>
    <t>ВК.МАХ.200.360.700.4ТГ</t>
  </si>
  <si>
    <t>ВК.МАХ.200.360.750.4ТГ</t>
  </si>
  <si>
    <t>ВК.МАХ.200.360.800.4ТГ</t>
  </si>
  <si>
    <t>ВК.МАХ.200.360.850.4ТГ</t>
  </si>
  <si>
    <t>ВК.МАХ.200.360.900.4ТГ</t>
  </si>
  <si>
    <t>ВК.МАХ.200.360.950.4ТГ</t>
  </si>
  <si>
    <t>ВК.МАХ.200.360.1000.4ТГ</t>
  </si>
  <si>
    <t>ВК.МАХ.200.360.1050.4ТГ</t>
  </si>
  <si>
    <t>ВК.МАХ.200.360.1100.4ТГ</t>
  </si>
  <si>
    <t>ВК.МАХ.200.360.1150.4ТГ</t>
  </si>
  <si>
    <t>ВК.МАХ.200.360.1200.4ТГ</t>
  </si>
  <si>
    <t>ВК.МАХ.200.360.1250.4ТГ</t>
  </si>
  <si>
    <t>ВК.МАХ.200.360.1300.4ТГ</t>
  </si>
  <si>
    <t>ВК.МАХ.200.360.1350.4ТГ</t>
  </si>
  <si>
    <t>ВК.МАХ.200.360.1400.4ТГ</t>
  </si>
  <si>
    <t>ВК.МАХ.200.360.1450.4ТГ</t>
  </si>
  <si>
    <t>ВК.МАХ.200.360.1500.4ТГ</t>
  </si>
  <si>
    <t>ВК.МАХ.200.360.1550.4ТГ</t>
  </si>
  <si>
    <t>ВК.МАХ.200.360.1600.4ТГ</t>
  </si>
  <si>
    <t>ВК.МАХ.200.360.1650.4ТГ</t>
  </si>
  <si>
    <t>ВК.МАХ.200.360.1700.4ТГ</t>
  </si>
  <si>
    <t>ВК.МАХ.200.360.1750.4ТГ</t>
  </si>
  <si>
    <t>ВК.МАХ.200.360.1800.4ТГ</t>
  </si>
  <si>
    <t>ВК.МАХ.200.360.1850.4ТГ</t>
  </si>
  <si>
    <t>ВК.МАХ.200.360.1900.4ТГ</t>
  </si>
  <si>
    <t>ВК.МАХ.200.360.1950.4ТГ</t>
  </si>
  <si>
    <t>ВК.МАХ.200.360.2000.4ТГ</t>
  </si>
  <si>
    <t>ВК.МАХ.200.360.2050.4ТГ</t>
  </si>
  <si>
    <t>ВК.МАХ.200.360.2100.4ТГ</t>
  </si>
  <si>
    <t>ВК.МАХ.200.360.2150.4ТГ</t>
  </si>
  <si>
    <t>ВК.МАХ.200.360.2200.4ТГ</t>
  </si>
  <si>
    <t>ВК.МАХ.200.360.2250.4ТГ</t>
  </si>
  <si>
    <t>ВК.МАХ.200.360.2300.4ТГ</t>
  </si>
  <si>
    <t>ВК.МАХ.200.360.2350.4ТГ</t>
  </si>
  <si>
    <t>ВК.МАХ.200.360.2400.4ТГ</t>
  </si>
  <si>
    <t>ВК.МАХ.200.360.2450.4ТГ</t>
  </si>
  <si>
    <t>ВК.МАХ.200.360.2500.4ТГ</t>
  </si>
  <si>
    <t>ВК.МАХ.200.360.2550.4ТГ</t>
  </si>
  <si>
    <t>ВК.МАХ.200.360.2600.4ТГ</t>
  </si>
  <si>
    <t>ВК.МАХ.200.360.2650.4ТГ</t>
  </si>
  <si>
    <t>ВК.МАХ.200.360.2700.4ТГ</t>
  </si>
  <si>
    <t>ВК.МАХ.200.360.2750.4ТГ</t>
  </si>
  <si>
    <t>ВК.МАХ.200.360.2800.4ТГ</t>
  </si>
  <si>
    <t>ВК.МАХ.200.360.2850.4ТГ</t>
  </si>
  <si>
    <t>ВК.МАХ.200.360.2900.4ТГ</t>
  </si>
  <si>
    <t>ВК.МАХ.200.360.2950.4ТГ</t>
  </si>
  <si>
    <t>ВК.МАХ.200.360.3000.4ТГ</t>
  </si>
  <si>
    <t>ВК.МАХ.200.400.600.4ТГ</t>
  </si>
  <si>
    <t>ВК.МАХ.200.400.650.4ТГ</t>
  </si>
  <si>
    <t>ВК.МАХ.200.400.700.4ТГ</t>
  </si>
  <si>
    <t>ВК.МАХ.200.400.750.4ТГ</t>
  </si>
  <si>
    <t>ВК.МАХ.200.400.800.4ТГ</t>
  </si>
  <si>
    <t>ВК.МАХ.200.400.850.4ТГ</t>
  </si>
  <si>
    <t>ВК.МАХ.200.400.900.4ТГ</t>
  </si>
  <si>
    <t>ВК.МАХ.200.400.950.4ТГ</t>
  </si>
  <si>
    <t>ВК.МАХ.200.400.1000.4ТГ</t>
  </si>
  <si>
    <t>ВК.МАХ.200.400.1050.4ТГ</t>
  </si>
  <si>
    <t>ВК.МАХ.200.400.1100.4ТГ</t>
  </si>
  <si>
    <t>ВК.МАХ.200.400.1150.4ТГ</t>
  </si>
  <si>
    <t>ВК.МАХ.200.400.1200.4ТГ</t>
  </si>
  <si>
    <t>ВК.МАХ.200.400.1250.4ТГ</t>
  </si>
  <si>
    <t>ВК.МАХ.200.400.1300.4ТГ</t>
  </si>
  <si>
    <t>ВК.МАХ.200.400.1350.4ТГ</t>
  </si>
  <si>
    <t>ВК.МАХ.200.400.1400.4ТГ</t>
  </si>
  <si>
    <t>ВК.МАХ.200.400.1450.4ТГ</t>
  </si>
  <si>
    <t>ВК.МАХ.200.400.1500.4ТГ</t>
  </si>
  <si>
    <t>ВК.МАХ.200.400.1550.4ТГ</t>
  </si>
  <si>
    <t>ВК.МАХ.200.400.1600.4ТГ</t>
  </si>
  <si>
    <t>ВК.МАХ.200.400.1650.4ТГ</t>
  </si>
  <si>
    <t>ВК.МАХ.200.400.1700.4ТГ</t>
  </si>
  <si>
    <t>ВК.МАХ.200.400.1750.4ТГ</t>
  </si>
  <si>
    <t>ВК.МАХ.200.400.1800.4ТГ</t>
  </si>
  <si>
    <t>ВК.МАХ.200.400.1850.4ТГ</t>
  </si>
  <si>
    <t>ВК.МАХ.200.400.1900.4ТГ</t>
  </si>
  <si>
    <t>ВК.МАХ.200.400.1950.4ТГ</t>
  </si>
  <si>
    <t>ВК.МАХ.200.400.2000.4ТГ</t>
  </si>
  <si>
    <t>ВК.МАХ.200.400.2050.4ТГ</t>
  </si>
  <si>
    <t>ВК.МАХ.200.400.2100.4ТГ</t>
  </si>
  <si>
    <t>ВК.МАХ.200.400.2150.4ТГ</t>
  </si>
  <si>
    <t>ВК.МАХ.200.400.2200.4ТГ</t>
  </si>
  <si>
    <t>ВК.МАХ.200.400.2250.4ТГ</t>
  </si>
  <si>
    <t>ВК.МАХ.200.400.2300.4ТГ</t>
  </si>
  <si>
    <t>ВК.МАХ.200.400.2350.4ТГ</t>
  </si>
  <si>
    <t>ВК.МАХ.200.400.2400.4ТГ</t>
  </si>
  <si>
    <t>ВК.МАХ.200.400.2450.4ТГ</t>
  </si>
  <si>
    <t>ВК.МАХ.200.400.2500.4ТГ</t>
  </si>
  <si>
    <t>ВК.МАХ.200.400.2550.4ТГ</t>
  </si>
  <si>
    <t>ВК.МАХ.200.400.2600.4ТГ</t>
  </si>
  <si>
    <t>ВК.МАХ.200.400.2650.4ТГ</t>
  </si>
  <si>
    <t>ВК.МАХ.200.400.2700.4ТГ</t>
  </si>
  <si>
    <t>ВК.МАХ.200.400.2750.4ТГ</t>
  </si>
  <si>
    <t>ВК.МАХ.200.400.2800.4ТГ</t>
  </si>
  <si>
    <t>ВК.МАХ.200.400.2850.4ТГ</t>
  </si>
  <si>
    <t>ВК.МАХ.200.400.2900.4ТГ</t>
  </si>
  <si>
    <t>ВК.МАХ.200.400.2950.4ТГ</t>
  </si>
  <si>
    <t>ВК.МАХ.200.400.3000.4ТГ</t>
  </si>
  <si>
    <t>ВК.МАХ.90 мм</t>
  </si>
  <si>
    <t>ВК.МАХ.110 мм</t>
  </si>
  <si>
    <t>ВК.МАХ.150 мм</t>
  </si>
  <si>
    <t>ВК.МАХ.200 мм</t>
  </si>
  <si>
    <t>• МАХ  - труба ø22 мм</t>
  </si>
  <si>
    <t>МАХ.</t>
  </si>
  <si>
    <t>ВК.МАХ.090.200.ХХХ.2ТГ</t>
  </si>
  <si>
    <t>ВК.МАХ.090.260.ХХХ.2ТГ</t>
  </si>
  <si>
    <t>ВК.МАХ.090.300.ХХХ.2ТГ</t>
  </si>
  <si>
    <t>ВК.МАХ.090.360.ХХХ.2ТГ</t>
  </si>
  <si>
    <t>ВК.МАХ.090.360.ХХХ.4ТГ</t>
  </si>
  <si>
    <t>ВК.МАХ.090.400.ХХХ.4ТГ</t>
  </si>
  <si>
    <t>ВК.МАХ.110.200.ХХХ.2ТГ</t>
  </si>
  <si>
    <t>ВК.МАХ.110.260.ХХХ.2ТГ</t>
  </si>
  <si>
    <t>ВК.МАХ.110.300.ХХХ.2ТГ</t>
  </si>
  <si>
    <t>ВК.МАХ.110.360.ХХХ.2ТГ</t>
  </si>
  <si>
    <t>ВК.МАХ.110.360.ХХХ.4ТГ</t>
  </si>
  <si>
    <t>ВК.МАХ.110.400.ХХХ.4ТГ</t>
  </si>
  <si>
    <t>ВК.МАХ.150.200.ХХХ.2ТГ</t>
  </si>
  <si>
    <t>ВК.МАХ.150.260.ХХХ.2ТГ</t>
  </si>
  <si>
    <t>ВК.МАХ.150.300.ХХХ.2ТГ</t>
  </si>
  <si>
    <t>ВК.МАХ.150.360.ХХХ.2ТГ</t>
  </si>
  <si>
    <t>ВК.МАХ.150.360.ХХХ.4ТГ</t>
  </si>
  <si>
    <t>ВК.МАХ.150.400.ХХХ.4ТГ</t>
  </si>
  <si>
    <t>ВК.МАХ.200.160.ХХХ.2ТВ</t>
  </si>
  <si>
    <t>2ТВ</t>
  </si>
  <si>
    <t>ВК.МАХ.200.200.ХХХ.4ТК</t>
  </si>
  <si>
    <t>ВК.МАХ.200.260.ХХХ.4ТК</t>
  </si>
  <si>
    <t>ВК.МАХ.200.300.ХХХ.4ТК</t>
  </si>
  <si>
    <t>ВК.МАХ.200.360.ХХХ.4ТГ</t>
  </si>
  <si>
    <t>ВК.МАХ.200.400.ХХХ.4ТГ</t>
  </si>
  <si>
    <t>Стоимость с НДС, руб</t>
  </si>
  <si>
    <t xml:space="preserve">Цена 1 пог. м, руб </t>
  </si>
  <si>
    <t>Расход воздуха м3</t>
  </si>
  <si>
    <t>Максимальная скорость воздуха в системе, м/с</t>
  </si>
  <si>
    <t>ВКВ.МАХ</t>
  </si>
  <si>
    <t>ВКВ.МАХ 24В</t>
  </si>
  <si>
    <t>ВКВТХ 24В</t>
  </si>
  <si>
    <t>Кол-во патрубков, шт</t>
  </si>
  <si>
    <r>
      <rPr>
        <sz val="16"/>
        <color theme="1"/>
        <rFont val="Calibri"/>
        <family val="2"/>
        <charset val="204"/>
      </rPr>
      <t>ø</t>
    </r>
    <r>
      <rPr>
        <sz val="13.6"/>
        <color theme="1"/>
        <rFont val="Calibri"/>
        <family val="2"/>
      </rPr>
      <t xml:space="preserve"> патрубка, мм</t>
    </r>
  </si>
  <si>
    <t>ВК.065.260.ХХХ.2ТГ.24V</t>
  </si>
  <si>
    <t>ВКВ.МАХ.090.260.ХХХ.2ТГ.24V</t>
  </si>
  <si>
    <t>ВКВ.МАХ.090.300.ХХХ.2ТГ.24V</t>
  </si>
  <si>
    <t>ВКВ.МАХ.090.360.ХХХ.2ТГ.24V</t>
  </si>
  <si>
    <t>ВКВ.МАХ.090.400.ХХХ.2ТГ.24V</t>
  </si>
  <si>
    <t>ВКВ.МАХ.110.260.ХХХ.2ТГ.24V</t>
  </si>
  <si>
    <t>ВКВ.МАХ.110.300.ХХХ.2ТГ.24V</t>
  </si>
  <si>
    <t>ВКВ.МАХ.110.360.ХХХ.2ТГ.24V</t>
  </si>
  <si>
    <t>ВКВ.МАХ.110.400.ХХХ.2ТГ.24V</t>
  </si>
  <si>
    <t>ВКВ.МАХ.150.200.ХХХ.2ТГ.24V</t>
  </si>
  <si>
    <t>ВКВ.МАХ.150.260.ХХХ.2ТГ.24V</t>
  </si>
  <si>
    <t>ВКВ.МАХ.150.300.ХХХ.2ТГ.24V</t>
  </si>
  <si>
    <t>ВКВ.МАХ.150.360.ХХХ.2ТГ.24V</t>
  </si>
  <si>
    <t>ВКВ.МАХ.090.260.ХХХ.2ТГ</t>
  </si>
  <si>
    <t>ВКВ.МАХ.090.300.ХХХ.2ТГ</t>
  </si>
  <si>
    <t>ВКВ.МАХ.090.360.ХХХ.2ТГ</t>
  </si>
  <si>
    <t>ВКВ.МАХ.090.400.ХХХ.2ТГ</t>
  </si>
  <si>
    <t>ВКВ.МАХ.110.260.ХХХ.2ТГ</t>
  </si>
  <si>
    <t>ВКВ.МАХ.110.300.ХХХ.2ТГ</t>
  </si>
  <si>
    <t>ВКВ.МАХ.110.360.ХХХ.2ТГ</t>
  </si>
  <si>
    <t>ВКВ.МАХ.110.400.ХХХ.2ТГ</t>
  </si>
  <si>
    <t>ВКВ.МАХ.150.200.ХХХ.2ТГ</t>
  </si>
  <si>
    <t>ВКВ.МАХ.150.260.ХХХ.2ТГ</t>
  </si>
  <si>
    <t>ВКВ.МАХ.150.300.ХХХ.2ТГ</t>
  </si>
  <si>
    <t>ВКВ.МАХ.150.360.ХХХ.2ТГ</t>
  </si>
  <si>
    <t>ВКВ.МАХ.200.200.ХХХ.2ТГ</t>
  </si>
  <si>
    <t>ВКВ.МАХ.200.260.ХХХ.2ТГ</t>
  </si>
  <si>
    <t>ВКВ.МАХ.200.300.ХХХ.4ТГ</t>
  </si>
  <si>
    <t>ВКВ.МАХ.200.360.ХХХ.4ТГ</t>
  </si>
  <si>
    <t>• РПО – решетка на резиновом основании с окантовкой;</t>
  </si>
  <si>
    <t>• РПР – решетка на резиновом основании с рамкой;</t>
  </si>
  <si>
    <r>
      <rPr>
        <sz val="7"/>
        <color theme="1"/>
        <rFont val="Times New Roman"/>
        <family val="1"/>
        <charset val="204"/>
      </rPr>
      <t xml:space="preserve"> • </t>
    </r>
    <r>
      <rPr>
        <sz val="14"/>
        <color theme="1"/>
        <rFont val="Times New Roman"/>
        <family val="1"/>
        <charset val="204"/>
      </rPr>
      <t>РПF – решетка на резиновом основании с F-образной окантовкой;</t>
    </r>
  </si>
  <si>
    <r>
      <rPr>
        <sz val="7"/>
        <color theme="1"/>
        <rFont val="Times New Roman"/>
        <family val="1"/>
        <charset val="204"/>
      </rPr>
      <t xml:space="preserve"> • </t>
    </r>
    <r>
      <rPr>
        <sz val="14"/>
        <color theme="1"/>
        <rFont val="Times New Roman"/>
        <family val="1"/>
        <charset val="204"/>
      </rPr>
      <t>РПZ – решетка на резиновом основании с Z-рамкой;</t>
    </r>
  </si>
  <si>
    <r>
      <t>Стоимость руб.</t>
    </r>
    <r>
      <rPr>
        <b/>
        <sz val="16"/>
        <color theme="0"/>
        <rFont val="Calibri"/>
        <family val="2"/>
        <charset val="204"/>
      </rPr>
      <t xml:space="preserve"> </t>
    </r>
    <r>
      <rPr>
        <b/>
        <sz val="16"/>
        <color theme="0"/>
        <rFont val="Calibri"/>
        <family val="2"/>
        <charset val="204"/>
        <scheme val="minor"/>
      </rPr>
      <t>с НДС</t>
    </r>
  </si>
  <si>
    <r>
      <t>Стоимость руб.</t>
    </r>
    <r>
      <rPr>
        <b/>
        <sz val="16"/>
        <color theme="0"/>
        <rFont val="Calibri"/>
        <family val="2"/>
        <charset val="204"/>
      </rPr>
      <t xml:space="preserve"> </t>
    </r>
    <r>
      <rPr>
        <b/>
        <sz val="16"/>
        <color theme="0"/>
        <rFont val="Calibri"/>
        <family val="2"/>
        <charset val="204"/>
        <scheme val="minor"/>
      </rPr>
      <t xml:space="preserve">с НДС </t>
    </r>
  </si>
  <si>
    <t>Минимальная надбавка 11 000 руб.</t>
  </si>
  <si>
    <t>Минимальная надбавка 8 000 руб.</t>
  </si>
  <si>
    <t>*Минимальная надбавка на покраску дубовой решетки - 8 000 руб.</t>
  </si>
  <si>
    <t>Посезонная вкладка и монтажные крышки</t>
  </si>
  <si>
    <t>600-1199</t>
  </si>
  <si>
    <t>1200-1699</t>
  </si>
  <si>
    <t>1700-2199</t>
  </si>
  <si>
    <t>2200-2699</t>
  </si>
  <si>
    <t>2700-3000</t>
  </si>
  <si>
    <t>Скорость потока, м/с</t>
  </si>
  <si>
    <t>Для быстрого перехода в интересующий вас раздел нажмите на одну из ссылок ниже:</t>
  </si>
  <si>
    <t>Транспортные цвета, муары и шагрени в палитру не входят и обсуждаются отдельно.</t>
  </si>
  <si>
    <t>Конвектор с вентилятором, с корпусом из оцинкованной стали (ОЦ 1мм), крашеный в черный цвет, с алюминиевой решеткой и окантовкой.</t>
  </si>
  <si>
    <t>Конвектор с вентилятором, с корпусом из нержавеющей стали (AISI 0,8мм), с алюминиевой решеткой и окантовкой.</t>
  </si>
  <si>
    <t>Конвектор с вентилятором, с корпусом из оцинкованной стали (ОЦ 1мм), крашеный в черный цвет, с алюминиевой решеткой и рамкой (либо окантовкой).</t>
  </si>
  <si>
    <t>Конвектор с вентилятором, с корпусом из нержавеющей стали(AISI  0,8мм), с алюминиевой решеткой и рамкой (либо окантовкой).</t>
  </si>
  <si>
    <t>Стоимость решетки и рамки (либо окантовкой) в составе конвектора.</t>
  </si>
  <si>
    <t>Комплект подключения №1</t>
  </si>
  <si>
    <t>Комплект подключения №2</t>
  </si>
  <si>
    <t>Комплект подключения №3</t>
  </si>
  <si>
    <t>Комплект подключения №3С</t>
  </si>
  <si>
    <t>Комплект подключения №3Т</t>
  </si>
  <si>
    <t>Комплект подключения №4</t>
  </si>
  <si>
    <t>Комплект подключения №5</t>
  </si>
  <si>
    <t>Термостат W-Therm WB 0-10V  (110V-240VAC, fan control 0-10V, WIFI, black)</t>
  </si>
  <si>
    <t>Термостат W-Therm WW 0-10V (110V-240VAC, fan control 0-10V, WIFI, white)</t>
  </si>
  <si>
    <t>Термостат W-Therm fancoil RWB 0-10V  (110V-240VAC, fan control 0-10V, WIFI, RS485, black)</t>
  </si>
  <si>
    <t>Термостат W-Therm fancoil RWW 0-10V (110V-240VAC, fan control 0-10V, WIFI, RS485, white)</t>
  </si>
  <si>
    <r>
      <t xml:space="preserve">Термостатическая головка MINI DIAMANT Белая M30*1,5 с логотипом Vitron </t>
    </r>
    <r>
      <rPr>
        <sz val="12"/>
        <color theme="1"/>
        <rFont val="Calibri"/>
        <family val="2"/>
        <charset val="204"/>
        <scheme val="minor"/>
      </rPr>
      <t>Производство Польша</t>
    </r>
  </si>
  <si>
    <t>ВК ВКЭ 220В</t>
  </si>
  <si>
    <t>ВКВТХ 24В ВКВ 24В</t>
  </si>
  <si>
    <t>VITRON.30.248.220VAC-1I</t>
  </si>
  <si>
    <t>ВКВ.65.260.700.2ТГ.24</t>
  </si>
  <si>
    <t>ВКВ.65.260.750.2ТГ.24</t>
  </si>
  <si>
    <t>ВКВ.65.260.800.2ТГ.24</t>
  </si>
  <si>
    <t>ВКВ.65.260.850.2ТГ.24</t>
  </si>
  <si>
    <t>ВКВ.65.260.900.2ТГ.24</t>
  </si>
  <si>
    <t>ВКВ.65.260.950.2ТГ.24</t>
  </si>
  <si>
    <t>ВКВ.65.260.1000.2ТГ.24</t>
  </si>
  <si>
    <t>ВКВ.65.260.1050.2ТГ.24</t>
  </si>
  <si>
    <t>ВКВ.65.260.1100.2ТГ.24</t>
  </si>
  <si>
    <t>ВКВ.65.260.1150.2ТГ.24</t>
  </si>
  <si>
    <t>ВКВ.65.260.1200.2ТГ.24</t>
  </si>
  <si>
    <t>ВКВ.65.260.1250.2ТГ.24</t>
  </si>
  <si>
    <t>ВКВ.65.260.1300.2ТГ.24</t>
  </si>
  <si>
    <t>ВКВ.65.260.1350.2ТГ.24</t>
  </si>
  <si>
    <t>ВКВ.65.260.1400.2ТГ.24</t>
  </si>
  <si>
    <t>ВКВ.65.260.1450.2ТГ.24</t>
  </si>
  <si>
    <t>ВКВ.65.260.1500.2ТГ.24</t>
  </si>
  <si>
    <t>ВКВ.65.260.1550.2ТГ.24</t>
  </si>
  <si>
    <t>ВКВ.65.260.1600.2ТГ.24</t>
  </si>
  <si>
    <t>ВКВ.65.260.1650.2ТГ.24</t>
  </si>
  <si>
    <t>ВКВ.65.260.1700.2ТГ.24</t>
  </si>
  <si>
    <t>ВКВ.65.260.1750.2ТГ.24</t>
  </si>
  <si>
    <t>ВКВ.65.260.1800.2ТГ.24</t>
  </si>
  <si>
    <t>ВКВ.65.260.1850.2ТГ.24</t>
  </si>
  <si>
    <t>ВКВ.65.260.1900.2ТГ.24</t>
  </si>
  <si>
    <t>ВКВ.65.260.1950.2ТГ.24</t>
  </si>
  <si>
    <t>ВКВ.65.260.2000.2ТГ.24</t>
  </si>
  <si>
    <t>ВКВ.65.260.2050.2ТГ.24</t>
  </si>
  <si>
    <t>ВКВ.65.260.2100.2ТГ.24</t>
  </si>
  <si>
    <t>ВКВ.65.260.2150.2ТГ.24</t>
  </si>
  <si>
    <t>ВКВ.65.260.2200.2ТГ.24</t>
  </si>
  <si>
    <t>ВКВ.65.260.2250.2ТГ.24</t>
  </si>
  <si>
    <t>ВКВ.65.260.2300.2ТГ.24</t>
  </si>
  <si>
    <t>ВКВ.65.260.2350.2ТГ.24</t>
  </si>
  <si>
    <t>ВКВ.65.260.2400.2ТГ.24</t>
  </si>
  <si>
    <t>ВКВ.65.260.2450.2ТГ.24</t>
  </si>
  <si>
    <t>ВКВ.65.260.2500.2ТГ.24</t>
  </si>
  <si>
    <t>ВКВ.65.260.2550.2ТГ.24</t>
  </si>
  <si>
    <t>ВКВ.65.260.2600.2ТГ.24</t>
  </si>
  <si>
    <t>ВКВ.65.260.2650.2ТГ.24</t>
  </si>
  <si>
    <t>ВКВ.65.260.2700.2ТГ.24</t>
  </si>
  <si>
    <t>ВКВ.65.260.2750.2ТГ.24</t>
  </si>
  <si>
    <t>ВКВ.65.260.2800.2ТГ.24</t>
  </si>
  <si>
    <t>ВКВ.65.260.2850.2ТГ.24</t>
  </si>
  <si>
    <t>ВКВ.65.260.2900.2ТГ.24</t>
  </si>
  <si>
    <t>ВКВ.65.260.2950.2ТГ.24</t>
  </si>
  <si>
    <t>ВКВ.65.260.3000.2ТГ.24</t>
  </si>
  <si>
    <t>ВКВ.65.300.700.2ТГ.24</t>
  </si>
  <si>
    <t>ВКВ.65.300.750.2ТГ.24</t>
  </si>
  <si>
    <t>ВКВ.65.300.800.2ТГ.24</t>
  </si>
  <si>
    <t>ВКВ.65.300.850.2ТГ.24</t>
  </si>
  <si>
    <t>ВКВ.65.300.900.2ТГ.24</t>
  </si>
  <si>
    <t>ВКВ.65.300.950.2ТГ.24</t>
  </si>
  <si>
    <t>ВКВ.65.300.1000.2ТГ.24</t>
  </si>
  <si>
    <t>ВКВ.65.300.1050.2ТГ.24</t>
  </si>
  <si>
    <t>ВКВ.65.300.1100.2ТГ.24</t>
  </si>
  <si>
    <t>ВКВ.65.300.1150.2ТГ.24</t>
  </si>
  <si>
    <t>ВКВ.65.300.1200.2ТГ.24</t>
  </si>
  <si>
    <t>ВКВ.65.300.1250.2ТГ.24</t>
  </si>
  <si>
    <t>ВКВ.65.300.1300.2ТГ.24</t>
  </si>
  <si>
    <t>ВКВ.65.300.1350.2ТГ.24</t>
  </si>
  <si>
    <t>ВКВ.65.300.1400.2ТГ.24</t>
  </si>
  <si>
    <t>ВКВ.65.300.1450.2ТГ.24</t>
  </si>
  <si>
    <t>ВКВ.65.300.1500.2ТГ.24</t>
  </si>
  <si>
    <t>ВКВ.65.300.1550.2ТГ.24</t>
  </si>
  <si>
    <t>ВКВ.65.300.1600.2ТГ.24</t>
  </si>
  <si>
    <t>ВКВ.65.300.1650.2ТГ.24</t>
  </si>
  <si>
    <t>ВКВ.65.300.1700.2ТГ.24</t>
  </si>
  <si>
    <t>ВКВ.65.300.1750.2ТГ.24</t>
  </si>
  <si>
    <t>ВКВ.65.300.1800.2ТГ.24</t>
  </si>
  <si>
    <t>ВКВ.65.300.1850.2ТГ.24</t>
  </si>
  <si>
    <t>ВКВ.65.300.1900.2ТГ.24</t>
  </si>
  <si>
    <t>ВКВ.65.300.1950.2ТГ.24</t>
  </si>
  <si>
    <t>ВКВ.65.300.2000.2ТГ.24</t>
  </si>
  <si>
    <t>ВКВ.65.300.2050.2ТГ.24</t>
  </si>
  <si>
    <t>ВКВ.65.300.2100.2ТГ.24</t>
  </si>
  <si>
    <t>ВКВ.65.300.2150.2ТГ.24</t>
  </si>
  <si>
    <t>ВКВ.65.300.2200.2ТГ.24</t>
  </si>
  <si>
    <t>ВКВ.65.300.2250.2ТГ.24</t>
  </si>
  <si>
    <t>ВКВ.65.300.2300.2ТГ.24</t>
  </si>
  <si>
    <t>ВКВ.65.300.2350.2ТГ.24</t>
  </si>
  <si>
    <t>ВКВ.65.300.2400.2ТГ.24</t>
  </si>
  <si>
    <t>ВКВ.65.300.2450.2ТГ.24</t>
  </si>
  <si>
    <t>ВКВ.65.300.2500.2ТГ.24</t>
  </si>
  <si>
    <t>ВКВ.65.300.2550.2ТГ.24</t>
  </si>
  <si>
    <t>ВКВ.65.300.2600.2ТГ.24</t>
  </si>
  <si>
    <t>ВКВ.65.300.2650.2ТГ.24</t>
  </si>
  <si>
    <t>ВКВ.65.300.2700.2ТГ.24</t>
  </si>
  <si>
    <t>ВКВ.65.300.2750.2ТГ.24</t>
  </si>
  <si>
    <t>ВКВ.65.300.2800.2ТГ.24</t>
  </si>
  <si>
    <t>ВКВ.65.300.2850.2ТГ.24</t>
  </si>
  <si>
    <t>ВКВ.65.300.2900.2ТГ.24</t>
  </si>
  <si>
    <t>ВКВ.65.300.2950.2ТГ.24</t>
  </si>
  <si>
    <t>ВКВ.65.300.3000.2ТГ.24</t>
  </si>
  <si>
    <t>ВКВ.70.260.700.2ТГ.24</t>
  </si>
  <si>
    <t>ВКВ.70.260.750.2ТГ.24</t>
  </si>
  <si>
    <t>ВКВ.70.260.800.2ТГ.24</t>
  </si>
  <si>
    <t>ВКВ.70.260.850.2ТГ.24</t>
  </si>
  <si>
    <t>ВКВ.70.260.900.2ТГ.24</t>
  </si>
  <si>
    <t>ВКВ.70.260.950.2ТГ.24</t>
  </si>
  <si>
    <t>ВКВ.70.260.1000.2ТГ.24</t>
  </si>
  <si>
    <t>ВКВ.70.260.1050.2ТГ.24</t>
  </si>
  <si>
    <t>ВКВ.70.260.1100.2ТГ.24</t>
  </si>
  <si>
    <t>ВКВ.70.260.1150.2ТГ.24</t>
  </si>
  <si>
    <t>ВКВ.70.260.1200.2ТГ.24</t>
  </si>
  <si>
    <t>ВКВ.70.260.1250.2ТГ.24</t>
  </si>
  <si>
    <t>ВКВ.70.260.1300.2ТГ.24</t>
  </si>
  <si>
    <t>ВКВ.70.260.1350.2ТГ.24</t>
  </si>
  <si>
    <t>ВКВ.70.260.1400.2ТГ.24</t>
  </si>
  <si>
    <t>ВКВ.70.260.1450.2ТГ.24</t>
  </si>
  <si>
    <t>ВКВ.70.260.1500.2ТГ.24</t>
  </si>
  <si>
    <t>ВКВ.70.260.1550.2ТГ.24</t>
  </si>
  <si>
    <t>ВКВ.70.260.1600.2ТГ.24</t>
  </si>
  <si>
    <t>ВКВ.70.260.1650.2ТГ.24</t>
  </si>
  <si>
    <t>ВКВ.70.260.1700.2ТГ.24</t>
  </si>
  <si>
    <t>ВКВ.70.260.1750.2ТГ.24</t>
  </si>
  <si>
    <t>ВКВ.70.260.1800.2ТГ.24</t>
  </si>
  <si>
    <t>ВКВ.70.260.1850.2ТГ.24</t>
  </si>
  <si>
    <t>ВКВ.70.260.1900.2ТГ.24</t>
  </si>
  <si>
    <t>ВКВ.70.260.1950.2ТГ.24</t>
  </si>
  <si>
    <t>ВКВ.70.260.2000.2ТГ.24</t>
  </si>
  <si>
    <t>ВКВ.70.260.2050.2ТГ.24</t>
  </si>
  <si>
    <t>ВКВ.70.260.2100.2ТГ.24</t>
  </si>
  <si>
    <t>ВКВ.70.260.2150.2ТГ.24</t>
  </si>
  <si>
    <t>ВКВ.70.260.2200.2ТГ.24</t>
  </si>
  <si>
    <t>ВКВ.70.260.2250.2ТГ.24</t>
  </si>
  <si>
    <t>ВКВ.70.260.2300.2ТГ.24</t>
  </si>
  <si>
    <t>ВКВ.70.260.2350.2ТГ.24</t>
  </si>
  <si>
    <t>ВКВ.70.260.2400.2ТГ.24</t>
  </si>
  <si>
    <t>ВКВ.70.260.2450.2ТГ.24</t>
  </si>
  <si>
    <t>ВКВ.70.260.2500.2ТГ.24</t>
  </si>
  <si>
    <t>ВКВ.70.260.2550.2ТГ.24</t>
  </si>
  <si>
    <t>ВКВ.70.260.2600.2ТГ.24</t>
  </si>
  <si>
    <t>ВКВ.70.260.2650.2ТГ.24</t>
  </si>
  <si>
    <t>ВКВ.70.260.2700.2ТГ.24</t>
  </si>
  <si>
    <t>ВКВ.70.260.2750.2ТГ.24</t>
  </si>
  <si>
    <t>ВКВ.70.260.2800.2ТГ.24</t>
  </si>
  <si>
    <t>ВКВ.70.260.2850.2ТГ.24</t>
  </si>
  <si>
    <t>ВКВ.70.260.2900.2ТГ.24</t>
  </si>
  <si>
    <t>ВКВ.70.260.2950.2ТГ.24</t>
  </si>
  <si>
    <t>ВКВ.70.260.3000.2ТГ.24</t>
  </si>
  <si>
    <t>ВКВ.70.300.700.2ТГ.24</t>
  </si>
  <si>
    <t>ВКВ.70.300.750.2ТГ.24</t>
  </si>
  <si>
    <t>ВКВ.70.300.800.2ТГ.24</t>
  </si>
  <si>
    <t>ВКВ.70.300.850.2ТГ.24</t>
  </si>
  <si>
    <t>ВКВ.70.300.900.2ТГ.24</t>
  </si>
  <si>
    <t>ВКВ.70.300.950.2ТГ.24</t>
  </si>
  <si>
    <t>ВКВ.70.300.1000.2ТГ.24</t>
  </si>
  <si>
    <t>ВКВ.70.300.1050.2ТГ.24</t>
  </si>
  <si>
    <t>ВКВ.70.300.1100.2ТГ.24</t>
  </si>
  <si>
    <t>ВКВ.70.300.1150.2ТГ.24</t>
  </si>
  <si>
    <t>ВКВ.70.300.1200.2ТГ.24</t>
  </si>
  <si>
    <t>ВКВ.70.300.1250.2ТГ.24</t>
  </si>
  <si>
    <t>ВКВ.70.300.1300.2ТГ.24</t>
  </si>
  <si>
    <t>ВКВ.70.300.1350.2ТГ.24</t>
  </si>
  <si>
    <t>ВКВ.70.300.1400.2ТГ.24</t>
  </si>
  <si>
    <t>ВКВ.70.300.1450.2ТГ.24</t>
  </si>
  <si>
    <t>ВКВ.70.300.1500.2ТГ.24</t>
  </si>
  <si>
    <t>ВКВ.70.300.1550.2ТГ.24</t>
  </si>
  <si>
    <t>ВКВ.70.300.1600.2ТГ.24</t>
  </si>
  <si>
    <t>ВКВ.70.300.1650.2ТГ.24</t>
  </si>
  <si>
    <t>ВКВ.70.300.1700.2ТГ.24</t>
  </si>
  <si>
    <t>ВКВ.70.300.1750.2ТГ.24</t>
  </si>
  <si>
    <t>ВКВ.70.300.1800.2ТГ.24</t>
  </si>
  <si>
    <t>ВКВ.70.300.1850.2ТГ.24</t>
  </si>
  <si>
    <t>ВКВ.70.300.1900.2ТГ.24</t>
  </si>
  <si>
    <t>ВКВ.70.300.1950.2ТГ.24</t>
  </si>
  <si>
    <t>ВКВ.70.300.2000.2ТГ.24</t>
  </si>
  <si>
    <t>ВКВ.70.300.2050.2ТГ.24</t>
  </si>
  <si>
    <t>ВКВ.70.300.2100.2ТГ.24</t>
  </si>
  <si>
    <t>ВКВ.70.300.2150.2ТГ.24</t>
  </si>
  <si>
    <t>ВКВ.70.300.2200.2ТГ.24</t>
  </si>
  <si>
    <t>ВКВ.70.300.2250.2ТГ.24</t>
  </si>
  <si>
    <t>ВКВ.70.300.2300.2ТГ.24</t>
  </si>
  <si>
    <t>ВКВ.70.300.2350.2ТГ.24</t>
  </si>
  <si>
    <t>ВКВ.70.300.2400.2ТГ.24</t>
  </si>
  <si>
    <t>ВКВ.70.300.2450.2ТГ.24</t>
  </si>
  <si>
    <t>ВКВ.70.300.2500.2ТГ.24</t>
  </si>
  <si>
    <t>ВКВ.70.300.2550.2ТГ.24</t>
  </si>
  <si>
    <t>ВКВ.70.300.2600.2ТГ.24</t>
  </si>
  <si>
    <t>ВКВ.70.300.2650.2ТГ.24</t>
  </si>
  <si>
    <t>ВКВ.70.300.2700.2ТГ.24</t>
  </si>
  <si>
    <t>ВКВ.70.300.2750.2ТГ.24</t>
  </si>
  <si>
    <t>ВКВ.70.300.2800.2ТГ.24</t>
  </si>
  <si>
    <t>ВКВ.70.300.2850.2ТГ.24</t>
  </si>
  <si>
    <t>ВКВ.70.300.2900.2ТГ.24</t>
  </si>
  <si>
    <t>ВКВ.70.300.2950.2ТГ.24</t>
  </si>
  <si>
    <t>ВКВ.70.300.3000.2ТГ.24</t>
  </si>
  <si>
    <t>ВКВ.75.260.700.2ТГ.24</t>
  </si>
  <si>
    <t>ВКВ.75.260.750.2ТГ.24</t>
  </si>
  <si>
    <t>ВКВ.75.260.800.2ТГ.24</t>
  </si>
  <si>
    <t>ВКВ.75.260.850.2ТГ.24</t>
  </si>
  <si>
    <t>ВКВ.75.260.900.2ТГ.24</t>
  </si>
  <si>
    <t>ВКВ.75.260.950.2ТГ.24</t>
  </si>
  <si>
    <t>ВКВ.75.260.1000.2ТГ.24</t>
  </si>
  <si>
    <t>ВКВ.75.260.1050.2ТГ.24</t>
  </si>
  <si>
    <t>ВКВ.75.260.1100.2ТГ.24</t>
  </si>
  <si>
    <t>ВКВ.75.260.1150.2ТГ.24</t>
  </si>
  <si>
    <t>ВКВ.75.260.1200.2ТГ.24</t>
  </si>
  <si>
    <t>ВКВ.75.260.1250.2ТГ.24</t>
  </si>
  <si>
    <t>ВКВ.75.260.1300.2ТГ.24</t>
  </si>
  <si>
    <t>ВКВ.75.260.1350.2ТГ.24</t>
  </si>
  <si>
    <t>ВКВ.75.260.1400.2ТГ.24</t>
  </si>
  <si>
    <t>ВКВ.75.260.1450.2ТГ.24</t>
  </si>
  <si>
    <t>ВКВ.75.260.1500.2ТГ.24</t>
  </si>
  <si>
    <t>ВКВ.75.260.1550.2ТГ.24</t>
  </si>
  <si>
    <t>ВКВ.75.260.1600.2ТГ.24</t>
  </si>
  <si>
    <t>ВКВ.75.260.1650.2ТГ.24</t>
  </si>
  <si>
    <t>ВКВ.75.260.1700.2ТГ.24</t>
  </si>
  <si>
    <t>ВКВ.75.260.1750.2ТГ.24</t>
  </si>
  <si>
    <t>ВКВ.75.260.1800.2ТГ.24</t>
  </si>
  <si>
    <t>ВКВ.75.260.1850.2ТГ.24</t>
  </si>
  <si>
    <t>ВКВ.75.260.1900.2ТГ.24</t>
  </si>
  <si>
    <t>ВКВ.75.260.1950.2ТГ.24</t>
  </si>
  <si>
    <t>ВКВ.75.260.2000.2ТГ.24</t>
  </si>
  <si>
    <t>ВКВ.75.260.2050.2ТГ.24</t>
  </si>
  <si>
    <t>ВКВ.75.260.2100.2ТГ.24</t>
  </si>
  <si>
    <t>ВКВ.75.260.2150.2ТГ.24</t>
  </si>
  <si>
    <t>ВКВ.75.260.2200.2ТГ.24</t>
  </si>
  <si>
    <t>ВКВ.75.260.2250.2ТГ.24</t>
  </si>
  <si>
    <t>ВКВ.75.260.2300.2ТГ.24</t>
  </si>
  <si>
    <t>ВКВ.75.260.2350.2ТГ.24</t>
  </si>
  <si>
    <t>ВКВ.75.260.2400.2ТГ.24</t>
  </si>
  <si>
    <t>ВКВ.75.260.2450.2ТГ.24</t>
  </si>
  <si>
    <t>ВКВ.75.260.2500.2ТГ.24</t>
  </si>
  <si>
    <t>ВКВ.75.260.2550.2ТГ.24</t>
  </si>
  <si>
    <t>ВКВ.75.260.2600.2ТГ.24</t>
  </si>
  <si>
    <t>ВКВ.75.260.2650.2ТГ.24</t>
  </si>
  <si>
    <t>ВКВ.75.260.2700.2ТГ.24</t>
  </si>
  <si>
    <t>ВКВ.75.260.2750.2ТГ.24</t>
  </si>
  <si>
    <t>ВКВ.75.260.2800.2ТГ.24</t>
  </si>
  <si>
    <t>ВКВ.75.260.2850.2ТГ.24</t>
  </si>
  <si>
    <t>ВКВ.75.260.2900.2ТГ.24</t>
  </si>
  <si>
    <t>ВКВ.75.260.2950.2ТГ.24</t>
  </si>
  <si>
    <t>ВКВ.75.260.3000.2ТГ.24</t>
  </si>
  <si>
    <t>ВКВ.75.300.700.2ТГ.24</t>
  </si>
  <si>
    <t>ВКВ.75.300.750.2ТГ.24</t>
  </si>
  <si>
    <t>ВКВ.75.300.800.2ТГ.24</t>
  </si>
  <si>
    <t>ВКВ.75.300.850.2ТГ.24</t>
  </si>
  <si>
    <t>ВКВ.75.300.900.2ТГ.24</t>
  </si>
  <si>
    <t>ВКВ.75.300.950.2ТГ.24</t>
  </si>
  <si>
    <t>ВКВ.75.300.1000.2ТГ.24</t>
  </si>
  <si>
    <t>ВКВ.75.300.1050.2ТГ.24</t>
  </si>
  <si>
    <t>ВКВ.75.300.1100.2ТГ.24</t>
  </si>
  <si>
    <t>ВКВ.75.300.1150.2ТГ.24</t>
  </si>
  <si>
    <t>ВКВ.75.300.1200.2ТГ.24</t>
  </si>
  <si>
    <t>ВКВ.75.300.1250.2ТГ.24</t>
  </si>
  <si>
    <t>ВКВ.75.300.1300.2ТГ.24</t>
  </si>
  <si>
    <t>ВКВ.75.300.1350.2ТГ.24</t>
  </si>
  <si>
    <t>ВКВ.75.300.1400.2ТГ.24</t>
  </si>
  <si>
    <t>ВКВ.75.300.1450.2ТГ.24</t>
  </si>
  <si>
    <t>ВКВ.75.300.1500.2ТГ.24</t>
  </si>
  <si>
    <t>ВКВ.75.300.1550.2ТГ.24</t>
  </si>
  <si>
    <t>ВКВ.75.300.1600.2ТГ.24</t>
  </si>
  <si>
    <t>ВКВ.75.300.1650.2ТГ.24</t>
  </si>
  <si>
    <t>ВКВ.75.300.1700.2ТГ.24</t>
  </si>
  <si>
    <t>ВКВ.75.300.1750.2ТГ.24</t>
  </si>
  <si>
    <t>ВКВ.75.300.1800.2ТГ.24</t>
  </si>
  <si>
    <t>ВКВ.75.300.1850.2ТГ.24</t>
  </si>
  <si>
    <t>ВКВ.75.300.1900.2ТГ.24</t>
  </si>
  <si>
    <t>ВКВ.75.300.1950.2ТГ.24</t>
  </si>
  <si>
    <t>ВКВ.75.300.2000.2ТГ.24</t>
  </si>
  <si>
    <t>ВКВ.75.300.2050.2ТГ.24</t>
  </si>
  <si>
    <t>ВКВ.75.300.2100.2ТГ.24</t>
  </si>
  <si>
    <t>ВКВ.75.300.2150.2ТГ.24</t>
  </si>
  <si>
    <t>ВКВ.75.300.2200.2ТГ.24</t>
  </si>
  <si>
    <t>ВКВ.75.300.2250.2ТГ.24</t>
  </si>
  <si>
    <t>ВКВ.75.300.2300.2ТГ.24</t>
  </si>
  <si>
    <t>ВКВ.75.300.2350.2ТГ.24</t>
  </si>
  <si>
    <t>ВКВ.75.300.2400.2ТГ.24</t>
  </si>
  <si>
    <t>ВКВ.75.300.2450.2ТГ.24</t>
  </si>
  <si>
    <t>ВКВ.75.300.2500.2ТГ.24</t>
  </si>
  <si>
    <t>ВКВ.75.300.2550.2ТГ.24</t>
  </si>
  <si>
    <t>ВКВ.75.300.2600.2ТГ.24</t>
  </si>
  <si>
    <t>ВКВ.75.300.2650.2ТГ.24</t>
  </si>
  <si>
    <t>ВКВ.75.300.2700.2ТГ.24</t>
  </si>
  <si>
    <t>ВКВ.75.300.2750.2ТГ.24</t>
  </si>
  <si>
    <t>ВКВ.75.300.2800.2ТГ.24</t>
  </si>
  <si>
    <t>ВКВ.75.300.2850.2ТГ.24</t>
  </si>
  <si>
    <t>ВКВ.75.300.2900.2ТГ.24</t>
  </si>
  <si>
    <t>ВКВ.75.300.2950.2ТГ.24</t>
  </si>
  <si>
    <t>ВКВ.75.300.3000.2ТГ.24</t>
  </si>
  <si>
    <t>ВКВ.75.360.700.4ТГ.24</t>
  </si>
  <si>
    <t>ВКВ.75.360.750.4ТГ.24</t>
  </si>
  <si>
    <t>ВКВ.75.360.800.4ТГ.24</t>
  </si>
  <si>
    <t>ВКВ.75.360.850.4ТГ.24</t>
  </si>
  <si>
    <t>ВКВ.75.360.900.4ТГ.24</t>
  </si>
  <si>
    <t>ВКВ.75.360.950.4ТГ.24</t>
  </si>
  <si>
    <t>ВКВ.75.360.1000.4ТГ.24</t>
  </si>
  <si>
    <t>ВКВ.75.360.1050.4ТГ.24</t>
  </si>
  <si>
    <t>ВКВ.75.360.1100.4ТГ.24</t>
  </si>
  <si>
    <t>ВКВ.75.360.1150.4ТГ.24</t>
  </si>
  <si>
    <t>ВКВ.75.360.1200.4ТГ.24</t>
  </si>
  <si>
    <t>ВКВ.75.360.1250.4ТГ.24</t>
  </si>
  <si>
    <t>ВКВ.75.360.1300.4ТГ.24</t>
  </si>
  <si>
    <t>ВКВ.75.360.1350.4ТГ.24</t>
  </si>
  <si>
    <t>ВКВ.75.360.1400.4ТГ.24</t>
  </si>
  <si>
    <t>ВКВ.75.360.1450.4ТГ.24</t>
  </si>
  <si>
    <t>ВКВ.75.360.1500.4ТГ.24</t>
  </si>
  <si>
    <t>ВКВ.75.360.1550.4ТГ.24</t>
  </si>
  <si>
    <t>ВКВ.75.360.1600.4ТГ.24</t>
  </si>
  <si>
    <t>ВКВ.75.360.1650.4ТГ.24</t>
  </si>
  <si>
    <t>ВКВ.75.360.1700.4ТГ.24</t>
  </si>
  <si>
    <t>ВКВ.75.360.1750.4ТГ.24</t>
  </si>
  <si>
    <t>ВКВ.75.360.1800.4ТГ.24</t>
  </si>
  <si>
    <t>ВКВ.75.360.1850.4ТГ.24</t>
  </si>
  <si>
    <t>ВКВ.75.360.1900.4ТГ.24</t>
  </si>
  <si>
    <t>ВКВ.75.360.1950.4ТГ.24</t>
  </si>
  <si>
    <t>ВКВ.75.360.2000.4ТГ.24</t>
  </si>
  <si>
    <t>ВКВ.75.360.2050.4ТГ.24</t>
  </si>
  <si>
    <t>ВКВ.75.360.2100.4ТГ.24</t>
  </si>
  <si>
    <t>ВКВ.75.360.2150.4ТГ.24</t>
  </si>
  <si>
    <t>ВКВ.75.360.2200.4ТГ.24</t>
  </si>
  <si>
    <t>ВКВ.75.360.2250.4ТГ.24</t>
  </si>
  <si>
    <t>ВКВ.75.360.2300.4ТГ.24</t>
  </si>
  <si>
    <t>ВКВ.75.360.2350.4ТГ.24</t>
  </si>
  <si>
    <t>ВКВ.75.360.2400.4ТГ.24</t>
  </si>
  <si>
    <t>ВКВ.75.360.2450.4ТГ.24</t>
  </si>
  <si>
    <t>ВКВ.75.360.2500.4ТГ.24</t>
  </si>
  <si>
    <t>ВКВ.75.360.2550.4ТГ.24</t>
  </si>
  <si>
    <t>ВКВ.75.360.2600.4ТГ.24</t>
  </si>
  <si>
    <t>ВКВ.75.360.2650.4ТГ.24</t>
  </si>
  <si>
    <t>ВКВ.75.360.2700.4ТГ.24</t>
  </si>
  <si>
    <t>ВКВ.75.360.2750.4ТГ.24</t>
  </si>
  <si>
    <t>ВКВ.75.360.2800.4ТГ.24</t>
  </si>
  <si>
    <t>ВКВ.75.360.2850.4ТГ.24</t>
  </si>
  <si>
    <t>ВКВ.75.360.2900.4ТГ.24</t>
  </si>
  <si>
    <t>ВКВ.75.360.2950.4ТГ.24</t>
  </si>
  <si>
    <t>ВКВ.75.360.3000.4ТГ.24</t>
  </si>
  <si>
    <t>ВКВ.75.400.700.4ТГ.24</t>
  </si>
  <si>
    <t>ВКВ.75.400.750.4ТГ.24</t>
  </si>
  <si>
    <t>ВКВ.75.400.800.4ТГ.24</t>
  </si>
  <si>
    <t>ВКВ.75.400.850.4ТГ.24</t>
  </si>
  <si>
    <t>ВКВ.75.400.900.4ТГ.24</t>
  </si>
  <si>
    <t>ВКВ.75.400.950.4ТГ.24</t>
  </si>
  <si>
    <t>ВКВ.75.400.1000.4ТГ.24</t>
  </si>
  <si>
    <t>ВКВ.75.400.1050.4ТГ.24</t>
  </si>
  <si>
    <t>ВКВ.75.400.1100.4ТГ.24</t>
  </si>
  <si>
    <t>ВКВ.75.400.1150.4ТГ.24</t>
  </si>
  <si>
    <t>ВКВ.75.400.1200.4ТГ.24</t>
  </si>
  <si>
    <t>ВКВ.75.400.1250.4ТГ.24</t>
  </si>
  <si>
    <t>ВКВ.75.400.1300.4ТГ.24</t>
  </si>
  <si>
    <t>ВКВ.75.400.1350.4ТГ.24</t>
  </si>
  <si>
    <t>ВКВ.75.400.1400.4ТГ.24</t>
  </si>
  <si>
    <t>ВКВ.75.400.1450.4ТГ.24</t>
  </si>
  <si>
    <t>ВКВ.75.400.1500.4ТГ.24</t>
  </si>
  <si>
    <t>ВКВ.75.400.1550.4ТГ.24</t>
  </si>
  <si>
    <t>ВКВ.75.400.1600.4ТГ.24</t>
  </si>
  <si>
    <t>ВКВ.75.400.1650.4ТГ.24</t>
  </si>
  <si>
    <t>ВКВ.75.400.1700.4ТГ.24</t>
  </si>
  <si>
    <t>ВКВ.75.400.1750.4ТГ.24</t>
  </si>
  <si>
    <t>ВКВ.75.400.1800.4ТГ.24</t>
  </si>
  <si>
    <t>ВКВ.75.400.1850.4ТГ.24</t>
  </si>
  <si>
    <t>ВКВ.75.400.1900.4ТГ.24</t>
  </si>
  <si>
    <t>ВКВ.75.400.1950.4ТГ.24</t>
  </si>
  <si>
    <t>ВКВ.75.400.2000.4ТГ.24</t>
  </si>
  <si>
    <t>ВКВ.75.400.2050.4ТГ.24</t>
  </si>
  <si>
    <t>ВКВ.75.400.2100.4ТГ.24</t>
  </si>
  <si>
    <t>ВКВ.75.400.2150.4ТГ.24</t>
  </si>
  <si>
    <t>ВКВ.75.400.2200.4ТГ.24</t>
  </si>
  <si>
    <t>ВКВ.75.400.2250.4ТГ.24</t>
  </si>
  <si>
    <t>ВКВ.75.400.2300.4ТГ.24</t>
  </si>
  <si>
    <t>ВКВ.75.400.2350.4ТГ.24</t>
  </si>
  <si>
    <t>ВКВ.75.400.2400.4ТГ.24</t>
  </si>
  <si>
    <t>ВКВ.75.400.2450.4ТГ.24</t>
  </si>
  <si>
    <t>ВКВ.75.400.2500.4ТГ.24</t>
  </si>
  <si>
    <t>ВКВ.75.400.2550.4ТГ.24</t>
  </si>
  <si>
    <t>ВКВ.75.400.2600.4ТГ.24</t>
  </si>
  <si>
    <t>ВКВ.75.400.2650.4ТГ.24</t>
  </si>
  <si>
    <t>ВКВ.75.400.2700.4ТГ.24</t>
  </si>
  <si>
    <t>ВКВ.75.400.2750.4ТГ.24</t>
  </si>
  <si>
    <t>ВКВ.75.400.2800.4ТГ.24</t>
  </si>
  <si>
    <t>ВКВ.75.400.2850.4ТГ.24</t>
  </si>
  <si>
    <t>ВКВ.75.400.2900.4ТГ.24</t>
  </si>
  <si>
    <t>ВКВ.75.400.2950.4ТГ.24</t>
  </si>
  <si>
    <t>ВКВ.75.400.3000.4ТГ.24</t>
  </si>
  <si>
    <t>ВКВ.80.260.700.2ТГ.24</t>
  </si>
  <si>
    <t>ВКВ.80.260.750.2ТГ.24</t>
  </si>
  <si>
    <t>ВКВ.80.260.800.2ТГ.24</t>
  </si>
  <si>
    <t>ВКВ.80.260.850.2ТГ.24</t>
  </si>
  <si>
    <t>ВКВ.80.260.900.2ТГ.24</t>
  </si>
  <si>
    <t>ВКВ.80.260.950.2ТГ.24</t>
  </si>
  <si>
    <t>ВКВ.80.260.1000.2ТГ.24</t>
  </si>
  <si>
    <t>ВКВ.80.260.1050.2ТГ.24</t>
  </si>
  <si>
    <t>ВКВ.80.260.1100.2ТГ.24</t>
  </si>
  <si>
    <t>ВКВ.80.260.1150.2ТГ.24</t>
  </si>
  <si>
    <t>ВКВ.80.260.1200.2ТГ.24</t>
  </si>
  <si>
    <t>ВКВ.80.260.1250.2ТГ.24</t>
  </si>
  <si>
    <t>ВКВ.80.260.1300.2ТГ.24</t>
  </si>
  <si>
    <t>ВКВ.80.260.1350.2ТГ.24</t>
  </si>
  <si>
    <t>ВКВ.80.260.1400.2ТГ.24</t>
  </si>
  <si>
    <t>ВКВ.80.260.1450.2ТГ.24</t>
  </si>
  <si>
    <t>ВКВ.80.260.1500.2ТГ.24</t>
  </si>
  <si>
    <t>ВКВ.80.260.1550.2ТГ.24</t>
  </si>
  <si>
    <t>ВКВ.80.260.1600.2ТГ.24</t>
  </si>
  <si>
    <t>ВКВ.80.260.1650.2ТГ.24</t>
  </si>
  <si>
    <t>ВКВ.80.260.1700.2ТГ.24</t>
  </si>
  <si>
    <t>ВКВ.80.260.1750.2ТГ.24</t>
  </si>
  <si>
    <t>ВКВ.80.260.1800.2ТГ.24</t>
  </si>
  <si>
    <t>ВКВ.80.260.1850.2ТГ.24</t>
  </si>
  <si>
    <t>ВКВ.80.260.1900.2ТГ.24</t>
  </si>
  <si>
    <t>ВКВ.80.260.1950.2ТГ.24</t>
  </si>
  <si>
    <t>ВКВ.80.260.2000.2ТГ.24</t>
  </si>
  <si>
    <t>ВКВ.80.260.2050.2ТГ.24</t>
  </si>
  <si>
    <t>ВКВ.80.260.2100.2ТГ.24</t>
  </si>
  <si>
    <t>ВКВ.80.260.2150.2ТГ.24</t>
  </si>
  <si>
    <t>ВКВ.80.260.2200.2ТГ.24</t>
  </si>
  <si>
    <t>ВКВ.80.260.2250.2ТГ.24</t>
  </si>
  <si>
    <t>ВКВ.80.260.2300.2ТГ.24</t>
  </si>
  <si>
    <t>ВКВ.80.260.2350.2ТГ.24</t>
  </si>
  <si>
    <t>ВКВ.80.260.2400.2ТГ.24</t>
  </si>
  <si>
    <t>ВКВ.80.260.2450.2ТГ.24</t>
  </si>
  <si>
    <t>ВКВ.80.260.2500.2ТГ.24</t>
  </si>
  <si>
    <t>ВКВ.80.260.2550.2ТГ.24</t>
  </si>
  <si>
    <t>ВКВ.80.260.2600.2ТГ.24</t>
  </si>
  <si>
    <t>ВКВ.80.260.2650.2ТГ.24</t>
  </si>
  <si>
    <t>ВКВ.80.260.2700.2ТГ.24</t>
  </si>
  <si>
    <t>ВКВ.80.260.2750.2ТГ.24</t>
  </si>
  <si>
    <t>ВКВ.80.260.2800.2ТГ.24</t>
  </si>
  <si>
    <t>ВКВ.80.260.2850.2ТГ.24</t>
  </si>
  <si>
    <t>ВКВ.80.260.2900.2ТГ.24</t>
  </si>
  <si>
    <t>ВКВ.80.260.2950.2ТГ.24</t>
  </si>
  <si>
    <t>ВКВ.80.260.3000.2ТГ.24</t>
  </si>
  <si>
    <t>ВКВ.80.300.700.2ТГ.24</t>
  </si>
  <si>
    <t>ВКВ.80.300.750.2ТГ.24</t>
  </si>
  <si>
    <t>ВКВ.80.300.800.2ТГ.24</t>
  </si>
  <si>
    <t>ВКВ.80.300.850.2ТГ.24</t>
  </si>
  <si>
    <t>ВКВ.80.300.900.2ТГ.24</t>
  </si>
  <si>
    <t>ВКВ.80.300.950.2ТГ.24</t>
  </si>
  <si>
    <t>ВКВ.80.300.1000.2ТГ.24</t>
  </si>
  <si>
    <t>ВКВ.80.300.1050.2ТГ.24</t>
  </si>
  <si>
    <t>ВКВ.80.300.1100.2ТГ.24</t>
  </si>
  <si>
    <t>ВКВ.80.300.1150.2ТГ.24</t>
  </si>
  <si>
    <t>ВКВ.80.300.1200.2ТГ.24</t>
  </si>
  <si>
    <t>ВКВ.80.300.1250.2ТГ.24</t>
  </si>
  <si>
    <t>ВКВ.80.300.1300.2ТГ.24</t>
  </si>
  <si>
    <t>ВКВ.80.300.1350.2ТГ.24</t>
  </si>
  <si>
    <t>ВКВ.80.300.1400.2ТГ.24</t>
  </si>
  <si>
    <t>ВКВ.80.300.1450.2ТГ.24</t>
  </si>
  <si>
    <t>ВКВ.80.300.1500.2ТГ.24</t>
  </si>
  <si>
    <t>ВКВ.80.300.1550.2ТГ.24</t>
  </si>
  <si>
    <t>ВКВ.80.300.1600.2ТГ.24</t>
  </si>
  <si>
    <t>ВКВ.80.300.1650.2ТГ.24</t>
  </si>
  <si>
    <t>ВКВ.80.300.1700.2ТГ.24</t>
  </si>
  <si>
    <t>ВКВ.80.300.1750.2ТГ.24</t>
  </si>
  <si>
    <t>ВКВ.80.300.1800.2ТГ.24</t>
  </si>
  <si>
    <t>ВКВ.80.300.1850.2ТГ.24</t>
  </si>
  <si>
    <t>ВКВ.80.300.1900.2ТГ.24</t>
  </si>
  <si>
    <t>ВКВ.80.300.1950.2ТГ.24</t>
  </si>
  <si>
    <t>ВКВ.80.300.2000.2ТГ.24</t>
  </si>
  <si>
    <t>ВКВ.80.300.2050.2ТГ.24</t>
  </si>
  <si>
    <t>ВКВ.80.300.2100.2ТГ.24</t>
  </si>
  <si>
    <t>ВКВ.80.300.2150.2ТГ.24</t>
  </si>
  <si>
    <t>ВКВ.80.300.2200.2ТГ.24</t>
  </si>
  <si>
    <t>ВКВ.80.300.2250.2ТГ.24</t>
  </si>
  <si>
    <t>ВКВ.80.300.2300.2ТГ.24</t>
  </si>
  <si>
    <t>ВКВ.80.300.2350.2ТГ.24</t>
  </si>
  <si>
    <t>ВКВ.80.300.2400.2ТГ.24</t>
  </si>
  <si>
    <t>ВКВ.80.300.2450.2ТГ.24</t>
  </si>
  <si>
    <t>ВКВ.80.300.2500.2ТГ.24</t>
  </si>
  <si>
    <t>ВКВ.80.300.2550.2ТГ.24</t>
  </si>
  <si>
    <t>ВКВ.80.300.2600.2ТГ.24</t>
  </si>
  <si>
    <t>ВКВ.80.300.2650.2ТГ.24</t>
  </si>
  <si>
    <t>ВКВ.80.300.2700.2ТГ.24</t>
  </si>
  <si>
    <t>ВКВ.80.300.2750.2ТГ.24</t>
  </si>
  <si>
    <t>ВКВ.80.300.2800.2ТГ.24</t>
  </si>
  <si>
    <t>ВКВ.80.300.2850.2ТГ.24</t>
  </si>
  <si>
    <t>ВКВ.80.300.2900.2ТГ.24</t>
  </si>
  <si>
    <t>ВКВ.80.300.2950.2ТГ.24</t>
  </si>
  <si>
    <t>ВКВ.80.300.3000.2ТГ.24</t>
  </si>
  <si>
    <t>ВКВ.80.360.700.4ТГ.24</t>
  </si>
  <si>
    <t>ВКВ.80.360.750.4ТГ.24</t>
  </si>
  <si>
    <t>ВКВ.80.360.800.4ТГ.24</t>
  </si>
  <si>
    <t>ВКВ.80.360.850.4ТГ.24</t>
  </si>
  <si>
    <t>ВКВ.80.360.900.4ТГ.24</t>
  </si>
  <si>
    <t>ВКВ.80.360.950.4ТГ.24</t>
  </si>
  <si>
    <t>ВКВ.80.360.1000.4ТГ.24</t>
  </si>
  <si>
    <t>ВКВ.80.360.1050.4ТГ.24</t>
  </si>
  <si>
    <t>ВКВ.80.360.1100.4ТГ.24</t>
  </si>
  <si>
    <t>ВКВ.80.360.1150.4ТГ.24</t>
  </si>
  <si>
    <t>ВКВ.80.360.1200.4ТГ.24</t>
  </si>
  <si>
    <t>ВКВ.80.360.1250.4ТГ.24</t>
  </si>
  <si>
    <t>ВКВ.80.360.1300.4ТГ.24</t>
  </si>
  <si>
    <t>ВКВ.80.360.1350.4ТГ.24</t>
  </si>
  <si>
    <t>ВКВ.80.360.1400.4ТГ.24</t>
  </si>
  <si>
    <t>ВКВ.80.360.1450.4ТГ.24</t>
  </si>
  <si>
    <t>ВКВ.80.360.1500.4ТГ.24</t>
  </si>
  <si>
    <t>ВКВ.80.360.1550.4ТГ.24</t>
  </si>
  <si>
    <t>ВКВ.80.360.1600.4ТГ.24</t>
  </si>
  <si>
    <t>ВКВ.80.360.1650.4ТГ.24</t>
  </si>
  <si>
    <t>ВКВ.80.360.1700.4ТГ.24</t>
  </si>
  <si>
    <t>ВКВ.80.360.1750.4ТГ.24</t>
  </si>
  <si>
    <t>ВКВ.80.360.1800.4ТГ.24</t>
  </si>
  <si>
    <t>ВКВ.80.360.1850.4ТГ.24</t>
  </si>
  <si>
    <t>ВКВ.80.360.1900.4ТГ.24</t>
  </si>
  <si>
    <t>ВКВ.80.360.1950.4ТГ.24</t>
  </si>
  <si>
    <t>ВКВ.80.360.2000.4ТГ.24</t>
  </si>
  <si>
    <t>ВКВ.80.360.2050.4ТГ.24</t>
  </si>
  <si>
    <t>ВКВ.80.360.2100.4ТГ.24</t>
  </si>
  <si>
    <t>ВКВ.80.360.2150.4ТГ.24</t>
  </si>
  <si>
    <t>ВКВ.80.360.2200.4ТГ.24</t>
  </si>
  <si>
    <t>ВКВ.80.360.2250.4ТГ.24</t>
  </si>
  <si>
    <t>ВКВ.80.360.2300.4ТГ.24</t>
  </si>
  <si>
    <t>ВКВ.80.360.2350.4ТГ.24</t>
  </si>
  <si>
    <t>ВКВ.80.360.2400.4ТГ.24</t>
  </si>
  <si>
    <t>ВКВ.80.360.2450.4ТГ.24</t>
  </si>
  <si>
    <t>ВКВ.80.360.2500.4ТГ.24</t>
  </si>
  <si>
    <t>ВКВ.80.360.2550.4ТГ.24</t>
  </si>
  <si>
    <t>ВКВ.80.360.2600.4ТГ.24</t>
  </si>
  <si>
    <t>ВКВ.80.360.2650.4ТГ.24</t>
  </si>
  <si>
    <t>ВКВ.80.360.2700.4ТГ.24</t>
  </si>
  <si>
    <t>ВКВ.80.360.2750.4ТГ.24</t>
  </si>
  <si>
    <t>ВКВ.80.360.2800.4ТГ.24</t>
  </si>
  <si>
    <t>ВКВ.80.360.2850.4ТГ.24</t>
  </si>
  <si>
    <t>ВКВ.80.360.2900.4ТГ.24</t>
  </si>
  <si>
    <t>ВКВ.80.360.2950.4ТГ.24</t>
  </si>
  <si>
    <t>ВКВ.80.360.3000.4ТГ.24</t>
  </si>
  <si>
    <t>ВКВ.80.400.700.4ТГ.24</t>
  </si>
  <si>
    <t>ВКВ.80.400.750.4ТГ.24</t>
  </si>
  <si>
    <t>ВКВ.80.400.800.4ТГ.24</t>
  </si>
  <si>
    <t>ВКВ.80.400.850.4ТГ.24</t>
  </si>
  <si>
    <t>ВКВ.80.400.900.4ТГ.24</t>
  </si>
  <si>
    <t>ВКВ.80.400.950.4ТГ.24</t>
  </si>
  <si>
    <t>ВКВ.80.400.1000.4ТГ.24</t>
  </si>
  <si>
    <t>ВКВ.80.400.1050.4ТГ.24</t>
  </si>
  <si>
    <t>ВКВ.80.400.1100.4ТГ.24</t>
  </si>
  <si>
    <t>ВКВ.80.400.1150.4ТГ.24</t>
  </si>
  <si>
    <t>ВКВ.80.400.1200.4ТГ.24</t>
  </si>
  <si>
    <t>ВКВ.80.400.1250.4ТГ.24</t>
  </si>
  <si>
    <t>ВКВ.80.400.1300.4ТГ.24</t>
  </si>
  <si>
    <t>ВКВ.80.400.1350.4ТГ.24</t>
  </si>
  <si>
    <t>ВКВ.80.400.1400.4ТГ.24</t>
  </si>
  <si>
    <t>ВКВ.80.400.1450.4ТГ.24</t>
  </si>
  <si>
    <t>ВКВ.80.400.1500.4ТГ.24</t>
  </si>
  <si>
    <t>ВКВ.80.400.1550.4ТГ.24</t>
  </si>
  <si>
    <t>ВКВ.80.400.1600.4ТГ.24</t>
  </si>
  <si>
    <t>ВКВ.80.400.1650.4ТГ.24</t>
  </si>
  <si>
    <t>ВКВ.80.400.1700.4ТГ.24</t>
  </si>
  <si>
    <t>ВКВ.80.400.1750.4ТГ.24</t>
  </si>
  <si>
    <t>ВКВ.80.400.1800.4ТГ.24</t>
  </si>
  <si>
    <t>ВКВ.80.400.1850.4ТГ.24</t>
  </si>
  <si>
    <t>ВКВ.80.400.1900.4ТГ.24</t>
  </si>
  <si>
    <t>ВКВ.80.400.1950.4ТГ.24</t>
  </si>
  <si>
    <t>ВКВ.80.400.2000.4ТГ.24</t>
  </si>
  <si>
    <t>ВКВ.80.400.2050.4ТГ.24</t>
  </si>
  <si>
    <t>ВКВ.80.400.2100.4ТГ.24</t>
  </si>
  <si>
    <t>ВКВ.80.400.2150.4ТГ.24</t>
  </si>
  <si>
    <t>ВКВ.80.400.2200.4ТГ.24</t>
  </si>
  <si>
    <t>ВКВ.80.400.2250.4ТГ.24</t>
  </si>
  <si>
    <t>ВКВ.80.400.2300.4ТГ.24</t>
  </si>
  <si>
    <t>ВКВ.80.400.2350.4ТГ.24</t>
  </si>
  <si>
    <t>ВКВ.80.400.2400.4ТГ.24</t>
  </si>
  <si>
    <t>ВКВ.80.400.2450.4ТГ.24</t>
  </si>
  <si>
    <t>ВКВ.80.400.2500.4ТГ.24</t>
  </si>
  <si>
    <t>ВКВ.80.400.2550.4ТГ.24</t>
  </si>
  <si>
    <t>ВКВ.80.400.2600.4ТГ.24</t>
  </si>
  <si>
    <t>ВКВ.80.400.2650.4ТГ.24</t>
  </si>
  <si>
    <t>ВКВ.80.400.2700.4ТГ.24</t>
  </si>
  <si>
    <t>ВКВ.80.400.2750.4ТГ.24</t>
  </si>
  <si>
    <t>ВКВ.80.400.2800.4ТГ.24</t>
  </si>
  <si>
    <t>ВКВ.80.400.2850.4ТГ.24</t>
  </si>
  <si>
    <t>ВКВ.80.400.2900.4ТГ.24</t>
  </si>
  <si>
    <t>ВКВ.80.400.2950.4ТГ.24</t>
  </si>
  <si>
    <t>ВКВ.80.400.3000.4ТГ.24</t>
  </si>
  <si>
    <t>ВКВ.90.200.700.2ТГ.24</t>
  </si>
  <si>
    <t>ВКВ.90.200.750.2ТГ.24</t>
  </si>
  <si>
    <t>ВКВ.90.200.800.2ТГ.24</t>
  </si>
  <si>
    <t>ВКВ.90.200.850.2ТГ.24</t>
  </si>
  <si>
    <t>ВКВ.90.200.900.2ТГ.24</t>
  </si>
  <si>
    <t>ВКВ.90.200.950.2ТГ.24</t>
  </si>
  <si>
    <t>ВКВ.90.200.1000.2ТГ.24</t>
  </si>
  <si>
    <t>ВКВ.90.200.1050.2ТГ.24</t>
  </si>
  <si>
    <t>ВКВ.90.200.1100.2ТГ.24</t>
  </si>
  <si>
    <t>ВКВ.90.200.1150.2ТГ.24</t>
  </si>
  <si>
    <t>ВКВ.90.200.1200.2ТГ.24</t>
  </si>
  <si>
    <t>ВКВ.90.200.1250.2ТГ.24</t>
  </si>
  <si>
    <t>ВКВ.90.200.1300.2ТГ.24</t>
  </si>
  <si>
    <t>ВКВ.90.200.1350.2ТГ.24</t>
  </si>
  <si>
    <t>ВКВ.90.200.1400.2ТГ.24</t>
  </si>
  <si>
    <t>ВКВ.90.200.1450.2ТГ.24</t>
  </si>
  <si>
    <t>ВКВ.90.200.1500.2ТГ.24</t>
  </si>
  <si>
    <t>ВКВ.90.200.1550.2ТГ.24</t>
  </si>
  <si>
    <t>ВКВ.90.200.1600.2ТГ.24</t>
  </si>
  <si>
    <t>ВКВ.90.200.1650.2ТГ.24</t>
  </si>
  <si>
    <t>ВКВ.90.200.1700.2ТГ.24</t>
  </si>
  <si>
    <t>ВКВ.90.200.1750.2ТГ.24</t>
  </si>
  <si>
    <t>ВКВ.90.200.1800.2ТГ.24</t>
  </si>
  <si>
    <t>ВКВ.90.200.1850.2ТГ.24</t>
  </si>
  <si>
    <t>ВКВ.90.200.1900.2ТГ.24</t>
  </si>
  <si>
    <t>ВКВ.90.200.1950.2ТГ.24</t>
  </si>
  <si>
    <t>ВКВ.90.200.2000.2ТГ.24</t>
  </si>
  <si>
    <t>ВКВ.90.200.2050.2ТГ.24</t>
  </si>
  <si>
    <t>ВКВ.90.200.2100.2ТГ.24</t>
  </si>
  <si>
    <t>ВКВ.90.200.2150.2ТГ.24</t>
  </si>
  <si>
    <t>ВКВ.90.200.2200.2ТГ.24</t>
  </si>
  <si>
    <t>ВКВ.90.200.2250.2ТГ.24</t>
  </si>
  <si>
    <t>ВКВ.90.200.2300.2ТГ.24</t>
  </si>
  <si>
    <t>ВКВ.90.200.2350.2ТГ.24</t>
  </si>
  <si>
    <t>ВКВ.90.200.2400.2ТГ.24</t>
  </si>
  <si>
    <t>ВКВ.90.200.2450.2ТГ.24</t>
  </si>
  <si>
    <t>ВКВ.90.200.2500.2ТГ.24</t>
  </si>
  <si>
    <t>ВКВ.90.200.2550.2ТГ.24</t>
  </si>
  <si>
    <t>ВКВ.90.200.2600.2ТГ.24</t>
  </si>
  <si>
    <t>ВКВ.90.200.2650.2ТГ.24</t>
  </si>
  <si>
    <t>ВКВ.90.200.2700.2ТГ.24</t>
  </si>
  <si>
    <t>ВКВ.90.200.2750.2ТГ.24</t>
  </si>
  <si>
    <t>ВКВ.90.200.2800.2ТГ.24</t>
  </si>
  <si>
    <t>ВКВ.90.200.2850.2ТГ.24</t>
  </si>
  <si>
    <t>ВКВ.90.200.2900.2ТГ.24</t>
  </si>
  <si>
    <t>ВКВ.90.200.2950.2ТГ.24</t>
  </si>
  <si>
    <t>ВКВ.90.200.3000.2ТГ.24</t>
  </si>
  <si>
    <t>ВКВ.90.260.700.2ТГ.24</t>
  </si>
  <si>
    <t>ВКВ.90.260.750.2ТГ.24</t>
  </si>
  <si>
    <t>ВКВ.90.260.800.2ТГ.24</t>
  </si>
  <si>
    <t>ВКВ.90.260.850.2ТГ.24</t>
  </si>
  <si>
    <t>ВКВ.90.260.900.2ТГ.24</t>
  </si>
  <si>
    <t>ВКВ.90.260.950.2ТГ.24</t>
  </si>
  <si>
    <t>ВКВ.90.260.1000.2ТГ.24</t>
  </si>
  <si>
    <t>ВКВ.90.260.1050.2ТГ.24</t>
  </si>
  <si>
    <t>ВКВ.90.260.1100.2ТГ.24</t>
  </si>
  <si>
    <t>ВКВ.90.260.1150.2ТГ.24</t>
  </si>
  <si>
    <t>ВКВ.90.260.1200.2ТГ.24</t>
  </si>
  <si>
    <t>ВКВ.90.260.1250.2ТГ.24</t>
  </si>
  <si>
    <t>ВКВ.90.260.1300.2ТГ.24</t>
  </si>
  <si>
    <t>ВКВ.90.260.1350.2ТГ.24</t>
  </si>
  <si>
    <t>ВКВ.90.260.1400.2ТГ.24</t>
  </si>
  <si>
    <t>ВКВ.90.260.1450.2ТГ.24</t>
  </si>
  <si>
    <t>ВКВ.90.260.1500.2ТГ.24</t>
  </si>
  <si>
    <t>ВКВ.90.260.1550.2ТГ.24</t>
  </si>
  <si>
    <t>ВКВ.90.260.1600.2ТГ.24</t>
  </si>
  <si>
    <t>ВКВ.90.260.1650.2ТГ.24</t>
  </si>
  <si>
    <t>ВКВ.90.260.1700.2ТГ.24</t>
  </si>
  <si>
    <t>ВКВ.90.260.1750.2ТГ.24</t>
  </si>
  <si>
    <t>ВКВ.90.260.1800.2ТГ.24</t>
  </si>
  <si>
    <t>ВКВ.90.260.1850.2ТГ.24</t>
  </si>
  <si>
    <t>ВКВ.90.260.1900.2ТГ.24</t>
  </si>
  <si>
    <t>ВКВ.90.260.1950.2ТГ.24</t>
  </si>
  <si>
    <t>ВКВ.90.260.2000.2ТГ.24</t>
  </si>
  <si>
    <t>ВКВ.90.260.2050.2ТГ.24</t>
  </si>
  <si>
    <t>ВКВ.90.260.2100.2ТГ.24</t>
  </si>
  <si>
    <t>ВКВ.90.260.2150.2ТГ.24</t>
  </si>
  <si>
    <t>ВКВ.90.260.2200.2ТГ.24</t>
  </si>
  <si>
    <t>ВКВ.90.260.2250.2ТГ.24</t>
  </si>
  <si>
    <t>ВКВ.90.260.2300.2ТГ.24</t>
  </si>
  <si>
    <t>ВКВ.90.260.2350.2ТГ.24</t>
  </si>
  <si>
    <t>ВКВ.90.260.2400.2ТГ.24</t>
  </si>
  <si>
    <t>ВКВ.90.260.2450.2ТГ.24</t>
  </si>
  <si>
    <t>ВКВ.90.260.2500.2ТГ.24</t>
  </si>
  <si>
    <t>ВКВ.90.260.2550.2ТГ.24</t>
  </si>
  <si>
    <t>ВКВ.90.260.2600.2ТГ.24</t>
  </si>
  <si>
    <t>ВКВ.90.260.2650.2ТГ.24</t>
  </si>
  <si>
    <t>ВКВ.90.260.2700.2ТГ.24</t>
  </si>
  <si>
    <t>ВКВ.90.260.2750.2ТГ.24</t>
  </si>
  <si>
    <t>ВКВ.90.260.2800.2ТГ.24</t>
  </si>
  <si>
    <t>ВКВ.90.260.2850.2ТГ.24</t>
  </si>
  <si>
    <t>ВКВ.90.260.2900.2ТГ.24</t>
  </si>
  <si>
    <t>ВКВ.90.260.2950.2ТГ.24</t>
  </si>
  <si>
    <t>ВКВ.90.260.3000.2ТГ.24</t>
  </si>
  <si>
    <t>ВКВ.90.300.700.2ТГ.24</t>
  </si>
  <si>
    <t>ВКВ.90.300.750.2ТГ.24</t>
  </si>
  <si>
    <t>ВКВ.90.300.800.2ТГ.24</t>
  </si>
  <si>
    <t>ВКВ.90.300.850.2ТГ.24</t>
  </si>
  <si>
    <t>ВКВ.90.300.900.2ТГ.24</t>
  </si>
  <si>
    <t>ВКВ.90.300.950.2ТГ.24</t>
  </si>
  <si>
    <t>ВКВ.90.300.1000.2ТГ.24</t>
  </si>
  <si>
    <t>ВКВ.90.300.1050.2ТГ.24</t>
  </si>
  <si>
    <t>ВКВ.90.300.1100.2ТГ.24</t>
  </si>
  <si>
    <t>ВКВ.90.300.1150.2ТГ.24</t>
  </si>
  <si>
    <t>ВКВ.90.300.1200.2ТГ.24</t>
  </si>
  <si>
    <t>ВКВ.90.300.1250.2ТГ.24</t>
  </si>
  <si>
    <t>ВКВ.90.300.1300.2ТГ.24</t>
  </si>
  <si>
    <t>ВКВ.90.300.1350.2ТГ.24</t>
  </si>
  <si>
    <t>ВКВ.90.300.1400.2ТГ.24</t>
  </si>
  <si>
    <t>ВКВ.90.300.1450.2ТГ.24</t>
  </si>
  <si>
    <t>ВКВ.90.300.1500.2ТГ.24</t>
  </si>
  <si>
    <t>ВКВ.90.300.1550.2ТГ.24</t>
  </si>
  <si>
    <t>ВКВ.90.300.1600.2ТГ.24</t>
  </si>
  <si>
    <t>ВКВ.90.300.1650.2ТГ.24</t>
  </si>
  <si>
    <t>ВКВ.90.300.1700.2ТГ.24</t>
  </si>
  <si>
    <t>ВКВ.90.300.1750.2ТГ.24</t>
  </si>
  <si>
    <t>ВКВ.90.300.1800.2ТГ.24</t>
  </si>
  <si>
    <t>ВКВ.90.300.1850.2ТГ.24</t>
  </si>
  <si>
    <t>ВКВ.90.300.1900.2ТГ.24</t>
  </si>
  <si>
    <t>ВКВ.90.300.1950.2ТГ.24</t>
  </si>
  <si>
    <t>ВКВ.90.300.2000.2ТГ.24</t>
  </si>
  <si>
    <t>ВКВ.90.300.2050.2ТГ.24</t>
  </si>
  <si>
    <t>ВКВ.90.300.2100.2ТГ.24</t>
  </si>
  <si>
    <t>ВКВ.90.300.2150.2ТГ.24</t>
  </si>
  <si>
    <t>ВКВ.90.300.2200.2ТГ.24</t>
  </si>
  <si>
    <t>ВКВ.90.300.2250.2ТГ.24</t>
  </si>
  <si>
    <t>ВКВ.90.300.2300.2ТГ.24</t>
  </si>
  <si>
    <t>ВКВ.90.300.2350.2ТГ.24</t>
  </si>
  <si>
    <t>ВКВ.90.300.2400.2ТГ.24</t>
  </si>
  <si>
    <t>ВКВ.90.300.2450.2ТГ.24</t>
  </si>
  <si>
    <t>ВКВ.90.300.2500.2ТГ.24</t>
  </si>
  <si>
    <t>ВКВ.90.300.2550.2ТГ.24</t>
  </si>
  <si>
    <t>ВКВ.90.300.2600.2ТГ.24</t>
  </si>
  <si>
    <t>ВКВ.90.300.2650.2ТГ.24</t>
  </si>
  <si>
    <t>ВКВ.90.300.2700.2ТГ.24</t>
  </si>
  <si>
    <t>ВКВ.90.300.2750.2ТГ.24</t>
  </si>
  <si>
    <t>ВКВ.90.300.2800.2ТГ.24</t>
  </si>
  <si>
    <t>ВКВ.90.300.2850.2ТГ.24</t>
  </si>
  <si>
    <t>ВКВ.90.300.2900.2ТГ.24</t>
  </si>
  <si>
    <t>ВКВ.90.300.2950.2ТГ.24</t>
  </si>
  <si>
    <t>ВКВ.90.300.3000.2ТГ.24</t>
  </si>
  <si>
    <t>ВКВ.90.360.700.4ТГ.24</t>
  </si>
  <si>
    <t>ВКВ.90.360.750.4ТГ.24</t>
  </si>
  <si>
    <t>ВКВ.90.360.800.4ТГ.24</t>
  </si>
  <si>
    <t>ВКВ.90.360.850.4ТГ.24</t>
  </si>
  <si>
    <t>ВКВ.90.360.900.4ТГ.24</t>
  </si>
  <si>
    <t>ВКВ.90.360.950.4ТГ.24</t>
  </si>
  <si>
    <t>ВКВ.90.360.1000.4ТГ.24</t>
  </si>
  <si>
    <t>ВКВ.90.360.1050.4ТГ.24</t>
  </si>
  <si>
    <t>ВКВ.90.360.1100.4ТГ.24</t>
  </si>
  <si>
    <t>ВКВ.90.360.1150.4ТГ.24</t>
  </si>
  <si>
    <t>ВКВ.90.360.1200.4ТГ.24</t>
  </si>
  <si>
    <t>ВКВ.90.360.1250.4ТГ.24</t>
  </si>
  <si>
    <t>ВКВ.90.360.1300.4ТГ.24</t>
  </si>
  <si>
    <t>ВКВ.90.360.1350.4ТГ.24</t>
  </si>
  <si>
    <t>ВКВ.90.360.1400.4ТГ.24</t>
  </si>
  <si>
    <t>ВКВ.90.360.1450.4ТГ.24</t>
  </si>
  <si>
    <t>ВКВ.90.360.1500.4ТГ.24</t>
  </si>
  <si>
    <t>ВКВ.90.360.1550.4ТГ.24</t>
  </si>
  <si>
    <t>ВКВ.90.360.1600.4ТГ.24</t>
  </si>
  <si>
    <t>ВКВ.90.360.1650.4ТГ.24</t>
  </si>
  <si>
    <t>ВКВ.90.360.1700.4ТГ.24</t>
  </si>
  <si>
    <t>ВКВ.90.360.1750.4ТГ.24</t>
  </si>
  <si>
    <t>ВКВ.90.360.1800.4ТГ.24</t>
  </si>
  <si>
    <t>ВКВ.90.360.1850.4ТГ.24</t>
  </si>
  <si>
    <t>ВКВ.90.360.1900.4ТГ.24</t>
  </si>
  <si>
    <t>ВКВ.90.360.1950.4ТГ.24</t>
  </si>
  <si>
    <t>ВКВ.90.360.2000.4ТГ.24</t>
  </si>
  <si>
    <t>ВКВ.90.360.2050.4ТГ.24</t>
  </si>
  <si>
    <t>ВКВ.90.360.2100.4ТГ.24</t>
  </si>
  <si>
    <t>ВКВ.90.360.2150.4ТГ.24</t>
  </si>
  <si>
    <t>ВКВ.90.360.2200.4ТГ.24</t>
  </si>
  <si>
    <t>ВКВ.90.360.2250.4ТГ.24</t>
  </si>
  <si>
    <t>ВКВ.90.360.2300.4ТГ.24</t>
  </si>
  <si>
    <t>ВКВ.90.360.2350.4ТГ.24</t>
  </si>
  <si>
    <t>ВКВ.90.360.2400.4ТГ.24</t>
  </si>
  <si>
    <t>ВКВ.90.360.2450.4ТГ.24</t>
  </si>
  <si>
    <t>ВКВ.90.360.2500.4ТГ.24</t>
  </si>
  <si>
    <t>ВКВ.90.360.2550.4ТГ.24</t>
  </si>
  <si>
    <t>ВКВ.90.360.2600.4ТГ.24</t>
  </si>
  <si>
    <t>ВКВ.90.360.2650.4ТГ.24</t>
  </si>
  <si>
    <t>ВКВ.90.360.2700.4ТГ.24</t>
  </si>
  <si>
    <t>ВКВ.90.360.2750.4ТГ.24</t>
  </si>
  <si>
    <t>ВКВ.90.360.2800.4ТГ.24</t>
  </si>
  <si>
    <t>ВКВ.90.360.2850.4ТГ.24</t>
  </si>
  <si>
    <t>ВКВ.90.360.2900.4ТГ.24</t>
  </si>
  <si>
    <t>ВКВ.90.360.2950.4ТГ.24</t>
  </si>
  <si>
    <t>ВКВ.90.360.3000.4ТГ.24</t>
  </si>
  <si>
    <t>ВКВ.90.400.700.4ТГ.24</t>
  </si>
  <si>
    <t>ВКВ.90.400.750.4ТГ.24</t>
  </si>
  <si>
    <t>ВКВ.90.400.800.4ТГ.24</t>
  </si>
  <si>
    <t>ВКВ.90.400.850.4ТГ.24</t>
  </si>
  <si>
    <t>ВКВ.90.400.900.4ТГ.24</t>
  </si>
  <si>
    <t>ВКВ.90.400.950.4ТГ.24</t>
  </si>
  <si>
    <t>ВКВ.90.400.1000.4ТГ.24</t>
  </si>
  <si>
    <t>ВКВ.90.400.1050.4ТГ.24</t>
  </si>
  <si>
    <t>ВКВ.90.400.1100.4ТГ.24</t>
  </si>
  <si>
    <t>ВКВ.90.400.1150.4ТГ.24</t>
  </si>
  <si>
    <t>ВКВ.90.400.1200.4ТГ.24</t>
  </si>
  <si>
    <t>ВКВ.90.400.1250.4ТГ.24</t>
  </si>
  <si>
    <t>ВКВ.90.400.1300.4ТГ.24</t>
  </si>
  <si>
    <t>ВКВ.90.400.1350.4ТГ.24</t>
  </si>
  <si>
    <t>ВКВ.90.400.1400.4ТГ.24</t>
  </si>
  <si>
    <t>ВКВ.90.400.1450.4ТГ.24</t>
  </si>
  <si>
    <t>ВКВ.90.400.1500.4ТГ.24</t>
  </si>
  <si>
    <t>ВКВ.90.400.1550.4ТГ.24</t>
  </si>
  <si>
    <t>ВКВ.90.400.1600.4ТГ.24</t>
  </si>
  <si>
    <t>ВКВ.90.400.1650.4ТГ.24</t>
  </si>
  <si>
    <t>ВКВ.90.400.1700.4ТГ.24</t>
  </si>
  <si>
    <t>ВКВ.90.400.1750.4ТГ.24</t>
  </si>
  <si>
    <t>ВКВ.90.400.1800.4ТГ.24</t>
  </si>
  <si>
    <t>ВКВ.90.400.1850.4ТГ.24</t>
  </si>
  <si>
    <t>ВКВ.90.400.1900.4ТГ.24</t>
  </si>
  <si>
    <t>ВКВ.90.400.1950.4ТГ.24</t>
  </si>
  <si>
    <t>ВКВ.90.400.2000.4ТГ.24</t>
  </si>
  <si>
    <t>ВКВ.90.400.2050.4ТГ.24</t>
  </si>
  <si>
    <t>ВКВ.90.400.2100.4ТГ.24</t>
  </si>
  <si>
    <t>ВКВ.90.400.2150.4ТГ.24</t>
  </si>
  <si>
    <t>ВКВ.90.400.2200.4ТГ.24</t>
  </si>
  <si>
    <t>ВКВ.90.400.2250.4ТГ.24</t>
  </si>
  <si>
    <t>ВКВ.90.400.2300.4ТГ.24</t>
  </si>
  <si>
    <t>ВКВ.90.400.2350.4ТГ.24</t>
  </si>
  <si>
    <t>ВКВ.90.400.2400.4ТГ.24</t>
  </si>
  <si>
    <t>ВКВ.90.400.2450.4ТГ.24</t>
  </si>
  <si>
    <t>ВКВ.90.400.2500.4ТГ.24</t>
  </si>
  <si>
    <t>ВКВ.90.400.2550.4ТГ.24</t>
  </si>
  <si>
    <t>ВКВ.90.400.2600.4ТГ.24</t>
  </si>
  <si>
    <t>ВКВ.90.400.2650.4ТГ.24</t>
  </si>
  <si>
    <t>ВКВ.90.400.2700.4ТГ.24</t>
  </si>
  <si>
    <t>ВКВ.90.400.2750.4ТГ.24</t>
  </si>
  <si>
    <t>ВКВ.90.400.2800.4ТГ.24</t>
  </si>
  <si>
    <t>ВКВ.90.400.2850.4ТГ.24</t>
  </si>
  <si>
    <t>ВКВ.90.400.2900.4ТГ.24</t>
  </si>
  <si>
    <t>ВКВ.90.400.2950.4ТГ.24</t>
  </si>
  <si>
    <t>ВКВ.90.400.3000.4ТГ.24</t>
  </si>
  <si>
    <t>ВКВ.110.200.700.2ТГ.24</t>
  </si>
  <si>
    <t>ВКВ.110.200.750.2ТГ.24</t>
  </si>
  <si>
    <t>ВКВ.110.200.800.2ТГ.24</t>
  </si>
  <si>
    <t>ВКВ.110.200.850.2ТГ.24</t>
  </si>
  <si>
    <t>ВКВ.110.200.900.2ТГ.24</t>
  </si>
  <si>
    <t>ВКВ.110.200.950.2ТГ.24</t>
  </si>
  <si>
    <t>ВКВ.110.200.1000.2ТГ.24</t>
  </si>
  <si>
    <t>ВКВ.110.200.1050.2ТГ.24</t>
  </si>
  <si>
    <t>ВКВ.110.200.1100.2ТГ.24</t>
  </si>
  <si>
    <t>ВКВ.110.200.1150.2ТГ.24</t>
  </si>
  <si>
    <t>ВКВ.110.200.1200.2ТГ.24</t>
  </si>
  <si>
    <t>ВКВ.110.200.1250.2ТГ.24</t>
  </si>
  <si>
    <t>ВКВ.110.200.1300.2ТГ.24</t>
  </si>
  <si>
    <t>ВКВ.110.200.1350.2ТГ.24</t>
  </si>
  <si>
    <t>ВКВ.110.200.1400.2ТГ.24</t>
  </si>
  <si>
    <t>ВКВ.110.200.1450.2ТГ.24</t>
  </si>
  <si>
    <t>ВКВ.110.200.1500.2ТГ.24</t>
  </si>
  <si>
    <t>ВКВ.110.200.1550.2ТГ.24</t>
  </si>
  <si>
    <t>ВКВ.110.200.1600.2ТГ.24</t>
  </si>
  <si>
    <t>ВКВ.110.200.1650.2ТГ.24</t>
  </si>
  <si>
    <t>ВКВ.110.200.1700.2ТГ.24</t>
  </si>
  <si>
    <t>ВКВ.110.200.1750.2ТГ.24</t>
  </si>
  <si>
    <t>ВКВ.110.200.1800.2ТГ.24</t>
  </si>
  <si>
    <t>ВКВ.110.200.1850.2ТГ.24</t>
  </si>
  <si>
    <t>ВКВ.110.200.1900.2ТГ.24</t>
  </si>
  <si>
    <t>ВКВ.110.200.1950.2ТГ.24</t>
  </si>
  <si>
    <t>ВКВ.110.200.2000.2ТГ.24</t>
  </si>
  <si>
    <t>ВКВ.110.200.2050.2ТГ.24</t>
  </si>
  <si>
    <t>ВКВ.110.200.2100.2ТГ.24</t>
  </si>
  <si>
    <t>ВКВ.110.200.2150.2ТГ.24</t>
  </si>
  <si>
    <t>ВКВ.110.200.2200.2ТГ.24</t>
  </si>
  <si>
    <t>ВКВ.110.200.2250.2ТГ.24</t>
  </si>
  <si>
    <t>ВКВ.110.200.2300.2ТГ.24</t>
  </si>
  <si>
    <t>ВКВ.110.200.2350.2ТГ.24</t>
  </si>
  <si>
    <t>ВКВ.110.200.2400.2ТГ.24</t>
  </si>
  <si>
    <t>ВКВ.110.200.2450.2ТГ.24</t>
  </si>
  <si>
    <t>ВКВ.110.200.2500.2ТГ.24</t>
  </si>
  <si>
    <t>ВКВ.110.200.2550.2ТГ.24</t>
  </si>
  <si>
    <t>ВКВ.110.200.2600.2ТГ.24</t>
  </si>
  <si>
    <t>ВКВ.110.200.2650.2ТГ.24</t>
  </si>
  <si>
    <t>ВКВ.110.200.2700.2ТГ.24</t>
  </si>
  <si>
    <t>ВКВ.110.200.2750.2ТГ.24</t>
  </si>
  <si>
    <t>ВКВ.110.200.2800.2ТГ.24</t>
  </si>
  <si>
    <t>ВКВ.110.200.2850.2ТГ.24</t>
  </si>
  <si>
    <t>ВКВ.110.200.2900.2ТГ.24</t>
  </si>
  <si>
    <t>ВКВ.110.200.2950.2ТГ.24</t>
  </si>
  <si>
    <t>ВКВ.110.200.3000.2ТГ.24</t>
  </si>
  <si>
    <t>ВКВ.110.260.700.2ТГ.24</t>
  </si>
  <si>
    <t>ВКВ.110.260.750.2ТГ.24</t>
  </si>
  <si>
    <t>ВКВ.110.260.800.2ТГ.24</t>
  </si>
  <si>
    <t>ВКВ.110.260.850.2ТГ.24</t>
  </si>
  <si>
    <t>ВКВ.110.260.900.2ТГ.24</t>
  </si>
  <si>
    <t>ВКВ.110.260.950.2ТГ.24</t>
  </si>
  <si>
    <t>ВКВ.110.260.1000.2ТГ.24</t>
  </si>
  <si>
    <t>ВКВ.110.260.1050.2ТГ.24</t>
  </si>
  <si>
    <t>ВКВ.110.260.1100.2ТГ.24</t>
  </si>
  <si>
    <t>ВКВ.110.260.1150.2ТГ.24</t>
  </si>
  <si>
    <t>ВКВ.110.260.1200.2ТГ.24</t>
  </si>
  <si>
    <t>ВКВ.110.260.1250.2ТГ.24</t>
  </si>
  <si>
    <t>ВКВ.110.260.1300.2ТГ.24</t>
  </si>
  <si>
    <t>ВКВ.110.260.1350.2ТГ.24</t>
  </si>
  <si>
    <t>ВКВ.110.260.1400.2ТГ.24</t>
  </si>
  <si>
    <t>ВКВ.110.260.1450.2ТГ.24</t>
  </si>
  <si>
    <t>ВКВ.110.260.1500.2ТГ.24</t>
  </si>
  <si>
    <t>ВКВ.110.260.1550.2ТГ.24</t>
  </si>
  <si>
    <t>ВКВ.110.260.1600.2ТГ.24</t>
  </si>
  <si>
    <t>ВКВ.110.260.1650.2ТГ.24</t>
  </si>
  <si>
    <t>ВКВ.110.260.1700.2ТГ.24</t>
  </si>
  <si>
    <t>ВКВ.110.260.1750.2ТГ.24</t>
  </si>
  <si>
    <t>ВКВ.110.260.1800.2ТГ.24</t>
  </si>
  <si>
    <t>ВКВ.110.260.1850.2ТГ.24</t>
  </si>
  <si>
    <t>ВКВ.110.260.1900.2ТГ.24</t>
  </si>
  <si>
    <t>ВКВ.110.260.1950.2ТГ.24</t>
  </si>
  <si>
    <t>ВКВ.110.260.2000.2ТГ.24</t>
  </si>
  <si>
    <t>ВКВ.110.260.2050.2ТГ.24</t>
  </si>
  <si>
    <t>ВКВ.110.260.2100.2ТГ.24</t>
  </si>
  <si>
    <t>ВКВ.110.260.2150.2ТГ.24</t>
  </si>
  <si>
    <t>ВКВ.110.260.2200.2ТГ.24</t>
  </si>
  <si>
    <t>ВКВ.110.260.2250.2ТГ.24</t>
  </si>
  <si>
    <t>ВКВ.110.260.2300.2ТГ.24</t>
  </si>
  <si>
    <t>ВКВ.110.260.2350.2ТГ.24</t>
  </si>
  <si>
    <t>ВКВ.110.260.2400.2ТГ.24</t>
  </si>
  <si>
    <t>ВКВ.110.260.2450.2ТГ.24</t>
  </si>
  <si>
    <t>ВКВ.110.260.2500.2ТГ.24</t>
  </si>
  <si>
    <t>ВКВ.110.260.2550.2ТГ.24</t>
  </si>
  <si>
    <t>ВКВ.110.260.2600.2ТГ.24</t>
  </si>
  <si>
    <t>ВКВ.110.260.2650.2ТГ.24</t>
  </si>
  <si>
    <t>ВКВ.110.260.2700.2ТГ.24</t>
  </si>
  <si>
    <t>ВКВ.110.260.2750.2ТГ.24</t>
  </si>
  <si>
    <t>ВКВ.110.260.2800.2ТГ.24</t>
  </si>
  <si>
    <t>ВКВ.110.260.2850.2ТГ.24</t>
  </si>
  <si>
    <t>ВКВ.110.260.2900.2ТГ.24</t>
  </si>
  <si>
    <t>ВКВ.110.260.2950.2ТГ.24</t>
  </si>
  <si>
    <t>ВКВ.110.260.3000.2ТГ.24</t>
  </si>
  <si>
    <t>ВКВ.110.300.700.2ТГ.24</t>
  </si>
  <si>
    <t>ВКВ.110.300.750.2ТГ.24</t>
  </si>
  <si>
    <t>ВКВ.110.300.800.2ТГ.24</t>
  </si>
  <si>
    <t>ВКВ.110.300.850.2ТГ.24</t>
  </si>
  <si>
    <t>ВКВ.110.300.900.2ТГ.24</t>
  </si>
  <si>
    <t>ВКВ.110.300.950.2ТГ.24</t>
  </si>
  <si>
    <t>ВКВ.110.300.1000.2ТГ.24</t>
  </si>
  <si>
    <t>ВКВ.110.300.1050.2ТГ.24</t>
  </si>
  <si>
    <t>ВКВ.110.300.1100.2ТГ.24</t>
  </si>
  <si>
    <t>ВКВ.110.300.1150.2ТГ.24</t>
  </si>
  <si>
    <t>ВКВ.110.300.1200.2ТГ.24</t>
  </si>
  <si>
    <t>ВКВ.110.300.1250.2ТГ.24</t>
  </si>
  <si>
    <t>ВКВ.110.300.1300.2ТГ.24</t>
  </si>
  <si>
    <t>ВКВ.110.300.1350.2ТГ.24</t>
  </si>
  <si>
    <t>ВКВ.110.300.1400.2ТГ.24</t>
  </si>
  <si>
    <t>ВКВ.110.300.1450.2ТГ.24</t>
  </si>
  <si>
    <t>ВКВ.110.300.1500.2ТГ.24</t>
  </si>
  <si>
    <t>ВКВ.110.300.1550.2ТГ.24</t>
  </si>
  <si>
    <t>ВКВ.110.300.1600.2ТГ.24</t>
  </si>
  <si>
    <t>ВКВ.110.300.1650.2ТГ.24</t>
  </si>
  <si>
    <t>ВКВ.110.300.1700.2ТГ.24</t>
  </si>
  <si>
    <t>ВКВ.110.300.1750.2ТГ.24</t>
  </si>
  <si>
    <t>ВКВ.110.300.1800.2ТГ.24</t>
  </si>
  <si>
    <t>ВКВ.110.300.1850.2ТГ.24</t>
  </si>
  <si>
    <t>ВКВ.110.300.1900.2ТГ.24</t>
  </si>
  <si>
    <t>ВКВ.110.300.1950.2ТГ.24</t>
  </si>
  <si>
    <t>ВКВ.110.300.2000.2ТГ.24</t>
  </si>
  <si>
    <t>ВКВ.110.300.2050.2ТГ.24</t>
  </si>
  <si>
    <t>ВКВ.110.300.2100.2ТГ.24</t>
  </si>
  <si>
    <t>ВКВ.110.300.2150.2ТГ.24</t>
  </si>
  <si>
    <t>ВКВ.110.300.2200.2ТГ.24</t>
  </si>
  <si>
    <t>ВКВ.110.300.2250.2ТГ.24</t>
  </si>
  <si>
    <t>ВКВ.110.300.2300.2ТГ.24</t>
  </si>
  <si>
    <t>ВКВ.110.300.2350.2ТГ.24</t>
  </si>
  <si>
    <t>ВКВ.110.300.2400.2ТГ.24</t>
  </si>
  <si>
    <t>ВКВ.110.300.2450.2ТГ.24</t>
  </si>
  <si>
    <t>ВКВ.110.300.2500.2ТГ.24</t>
  </si>
  <si>
    <t>ВКВ.110.300.2550.2ТГ.24</t>
  </si>
  <si>
    <t>ВКВ.110.300.2600.2ТГ.24</t>
  </si>
  <si>
    <t>ВКВ.110.300.2650.2ТГ.24</t>
  </si>
  <si>
    <t>ВКВ.110.300.2700.2ТГ.24</t>
  </si>
  <si>
    <t>ВКВ.110.300.2750.2ТГ.24</t>
  </si>
  <si>
    <t>ВКВ.110.300.2800.2ТГ.24</t>
  </si>
  <si>
    <t>ВКВ.110.300.2850.2ТГ.24</t>
  </si>
  <si>
    <t>ВКВ.110.300.2900.2ТГ.24</t>
  </si>
  <si>
    <t>ВКВ.110.300.2950.2ТГ.24</t>
  </si>
  <si>
    <t>ВКВ.110.300.3000.2ТГ.24</t>
  </si>
  <si>
    <t>ВКВ.110.360.700.4ТГ.24</t>
  </si>
  <si>
    <t>ВКВ.110.360.750.4ТГ.24</t>
  </si>
  <si>
    <t>ВКВ.110.360.800.4ТГ.24</t>
  </si>
  <si>
    <t>ВКВ.110.360.850.4ТГ.24</t>
  </si>
  <si>
    <t>ВКВ.110.360.900.4ТГ.24</t>
  </si>
  <si>
    <t>ВКВ.110.360.950.4ТГ.24</t>
  </si>
  <si>
    <t>ВКВ.110.360.1000.4ТГ.24</t>
  </si>
  <si>
    <t>ВКВ.110.360.1050.4ТГ.24</t>
  </si>
  <si>
    <t>ВКВ.110.360.1100.4ТГ.24</t>
  </si>
  <si>
    <t>ВКВ.110.360.1150.4ТГ.24</t>
  </si>
  <si>
    <t>ВКВ.110.360.1200.4ТГ.24</t>
  </si>
  <si>
    <t>ВКВ.110.360.1250.4ТГ.24</t>
  </si>
  <si>
    <t>ВКВ.110.360.1300.4ТГ.24</t>
  </si>
  <si>
    <t>ВКВ.110.360.1350.4ТГ.24</t>
  </si>
  <si>
    <t>ВКВ.110.360.1400.4ТГ.24</t>
  </si>
  <si>
    <t>ВКВ.110.360.1450.4ТГ.24</t>
  </si>
  <si>
    <t>ВКВ.110.360.1500.4ТГ.24</t>
  </si>
  <si>
    <t>ВКВ.110.360.1550.4ТГ.24</t>
  </si>
  <si>
    <t>ВКВ.110.360.1600.4ТГ.24</t>
  </si>
  <si>
    <t>ВКВ.110.360.1650.4ТГ.24</t>
  </si>
  <si>
    <t>ВКВ.110.360.1700.4ТГ.24</t>
  </si>
  <si>
    <t>ВКВ.110.360.1750.4ТГ.24</t>
  </si>
  <si>
    <t>ВКВ.110.360.1800.4ТГ.24</t>
  </si>
  <si>
    <t>ВКВ.110.360.1850.4ТГ.24</t>
  </si>
  <si>
    <t>ВКВ.110.360.1900.4ТГ.24</t>
  </si>
  <si>
    <t>ВКВ.110.360.1950.4ТГ.24</t>
  </si>
  <si>
    <t>ВКВ.110.360.2000.4ТГ.24</t>
  </si>
  <si>
    <t>ВКВ.110.360.2050.4ТГ.24</t>
  </si>
  <si>
    <t>ВКВ.110.360.2100.4ТГ.24</t>
  </si>
  <si>
    <t>ВКВ.110.360.2150.4ТГ.24</t>
  </si>
  <si>
    <t>ВКВ.110.360.2200.4ТГ.24</t>
  </si>
  <si>
    <t>ВКВ.110.360.2250.4ТГ.24</t>
  </si>
  <si>
    <t>ВКВ.110.360.2300.4ТГ.24</t>
  </si>
  <si>
    <t>ВКВ.110.360.2350.4ТГ.24</t>
  </si>
  <si>
    <t>ВКВ.110.360.2400.4ТГ.24</t>
  </si>
  <si>
    <t>ВКВ.110.360.2450.4ТГ.24</t>
  </si>
  <si>
    <t>ВКВ.110.360.2500.4ТГ.24</t>
  </si>
  <si>
    <t>ВКВ.110.360.2550.4ТГ.24</t>
  </si>
  <si>
    <t>ВКВ.110.360.2600.4ТГ.24</t>
  </si>
  <si>
    <t>ВКВ.110.360.2650.4ТГ.24</t>
  </si>
  <si>
    <t>ВКВ.110.360.2700.4ТГ.24</t>
  </si>
  <si>
    <t>ВКВ.110.360.2750.4ТГ.24</t>
  </si>
  <si>
    <t>ВКВ.110.360.2800.4ТГ.24</t>
  </si>
  <si>
    <t>ВКВ.110.360.2850.4ТГ.24</t>
  </si>
  <si>
    <t>ВКВ.110.360.2900.4ТГ.24</t>
  </si>
  <si>
    <t>ВКВ.110.360.2950.4ТГ.24</t>
  </si>
  <si>
    <t>ВКВ.110.360.3000.4ТГ.24</t>
  </si>
  <si>
    <t>ВКВ.110.400.700.4ТГ.24</t>
  </si>
  <si>
    <t>ВКВ.110.400.750.4ТГ.24</t>
  </si>
  <si>
    <t>ВКВ.110.400.800.4ТГ.24</t>
  </si>
  <si>
    <t>ВКВ.110.400.850.4ТГ.24</t>
  </si>
  <si>
    <t>ВКВ.110.400.900.4ТГ.24</t>
  </si>
  <si>
    <t>ВКВ.110.400.950.4ТГ.24</t>
  </si>
  <si>
    <t>ВКВ.110.400.1000.4ТГ.24</t>
  </si>
  <si>
    <t>ВКВ.110.400.1050.4ТГ.24</t>
  </si>
  <si>
    <t>ВКВ.110.400.1100.4ТГ.24</t>
  </si>
  <si>
    <t>ВКВ.110.400.1150.4ТГ.24</t>
  </si>
  <si>
    <t>ВКВ.110.400.1200.4ТГ.24</t>
  </si>
  <si>
    <t>ВКВ.110.400.1250.4ТГ.24</t>
  </si>
  <si>
    <t>ВКВ.110.400.1300.4ТГ.24</t>
  </si>
  <si>
    <t>ВКВ.110.400.1350.4ТГ.24</t>
  </si>
  <si>
    <t>ВКВ.110.400.1400.4ТГ.24</t>
  </si>
  <si>
    <t>ВКВ.110.400.1450.4ТГ.24</t>
  </si>
  <si>
    <t>ВКВ.110.400.1500.4ТГ.24</t>
  </si>
  <si>
    <t>ВКВ.110.400.1550.4ТГ.24</t>
  </si>
  <si>
    <t>ВКВ.110.400.1600.4ТГ.24</t>
  </si>
  <si>
    <t>ВКВ.110.400.1650.4ТГ.24</t>
  </si>
  <si>
    <t>ВКВ.110.400.1700.4ТГ.24</t>
  </si>
  <si>
    <t>ВКВ.110.400.1750.4ТГ.24</t>
  </si>
  <si>
    <t>ВКВ.110.400.1800.4ТГ.24</t>
  </si>
  <si>
    <t>ВКВ.110.400.1850.4ТГ.24</t>
  </si>
  <si>
    <t>ВКВ.110.400.1900.4ТГ.24</t>
  </si>
  <si>
    <t>ВКВ.110.400.1950.4ТГ.24</t>
  </si>
  <si>
    <t>ВКВ.110.400.2000.4ТГ.24</t>
  </si>
  <si>
    <t>ВКВ.110.400.2050.4ТГ.24</t>
  </si>
  <si>
    <t>ВКВ.110.400.2100.4ТГ.24</t>
  </si>
  <si>
    <t>ВКВ.110.400.2150.4ТГ.24</t>
  </si>
  <si>
    <t>ВКВ.110.400.2200.4ТГ.24</t>
  </si>
  <si>
    <t>ВКВ.110.400.2250.4ТГ.24</t>
  </si>
  <si>
    <t>ВКВ.110.400.2300.4ТГ.24</t>
  </si>
  <si>
    <t>ВКВ.110.400.2350.4ТГ.24</t>
  </si>
  <si>
    <t>ВКВ.110.400.2400.4ТГ.24</t>
  </si>
  <si>
    <t>ВКВ.110.400.2450.4ТГ.24</t>
  </si>
  <si>
    <t>ВКВ.110.400.2500.4ТГ.24</t>
  </si>
  <si>
    <t>ВКВ.110.400.2550.4ТГ.24</t>
  </si>
  <si>
    <t>ВКВ.110.400.2600.4ТГ.24</t>
  </si>
  <si>
    <t>ВКВ.110.400.2650.4ТГ.24</t>
  </si>
  <si>
    <t>ВКВ.110.400.2700.4ТГ.24</t>
  </si>
  <si>
    <t>ВКВ.110.400.2750.4ТГ.24</t>
  </si>
  <si>
    <t>ВКВ.110.400.2800.4ТГ.24</t>
  </si>
  <si>
    <t>ВКВ.110.400.2850.4ТГ.24</t>
  </si>
  <si>
    <t>ВКВ.110.400.2900.4ТГ.24</t>
  </si>
  <si>
    <t>ВКВ.110.400.2950.4ТГ.24</t>
  </si>
  <si>
    <t>ВКВ.110.400.3000.4ТГ.24</t>
  </si>
  <si>
    <t>ВКВ.140.160.700.2ТГ.24</t>
  </si>
  <si>
    <t>ВКВ.140.160.750.2ТГ.24</t>
  </si>
  <si>
    <t>ВКВ.140.160.800.2ТГ.24</t>
  </si>
  <si>
    <t>ВКВ.140.160.850.2ТГ.24</t>
  </si>
  <si>
    <t>ВКВ.140.160.900.2ТГ.24</t>
  </si>
  <si>
    <t>ВКВ.140.160.950.2ТГ.24</t>
  </si>
  <si>
    <t>ВКВ.140.160.1000.2ТГ.24</t>
  </si>
  <si>
    <t>ВКВ.140.160.1050.2ТГ.24</t>
  </si>
  <si>
    <t>ВКВ.140.160.1100.2ТГ.24</t>
  </si>
  <si>
    <t>ВКВ.140.160.1150.2ТГ.24</t>
  </si>
  <si>
    <t>ВКВ.140.160.1200.2ТГ.24</t>
  </si>
  <si>
    <t>ВКВ.140.160.1250.2ТГ.24</t>
  </si>
  <si>
    <t>ВКВ.140.160.1300.2ТГ.24</t>
  </si>
  <si>
    <t>ВКВ.140.160.1350.2ТГ.24</t>
  </si>
  <si>
    <t>ВКВ.140.160.1400.2ТГ.24</t>
  </si>
  <si>
    <t>ВКВ.140.160.1450.2ТГ.24</t>
  </si>
  <si>
    <t>ВКВ.140.160.1500.2ТГ.24</t>
  </si>
  <si>
    <t>ВКВ.140.160.1550.2ТГ.24</t>
  </si>
  <si>
    <t>ВКВ.140.160.1600.2ТГ.24</t>
  </si>
  <si>
    <t>ВКВ.140.160.1650.2ТГ.24</t>
  </si>
  <si>
    <t>ВКВ.140.160.1700.2ТГ.24</t>
  </si>
  <si>
    <t>ВКВ.140.160.1750.2ТГ.24</t>
  </si>
  <si>
    <t>ВКВ.140.160.1800.2ТГ.24</t>
  </si>
  <si>
    <t>ВКВ.140.160.1850.2ТГ.24</t>
  </si>
  <si>
    <t>ВКВ.140.160.1900.2ТГ.24</t>
  </si>
  <si>
    <t>ВКВ.140.160.1950.2ТГ.24</t>
  </si>
  <si>
    <t>ВКВ.140.160.2000.2ТГ.24</t>
  </si>
  <si>
    <t>ВКВ.140.160.2050.2ТГ.24</t>
  </si>
  <si>
    <t>ВКВ.140.160.2100.2ТГ.24</t>
  </si>
  <si>
    <t>ВКВ.140.160.2150.2ТГ.24</t>
  </si>
  <si>
    <t>ВКВ.140.160.2200.2ТГ.24</t>
  </si>
  <si>
    <t>ВКВ.140.160.2250.2ТГ.24</t>
  </si>
  <si>
    <t>ВКВ.140.160.2300.2ТГ.24</t>
  </si>
  <si>
    <t>ВКВ.140.160.2350.2ТГ.24</t>
  </si>
  <si>
    <t>ВКВ.140.160.2400.2ТГ.24</t>
  </si>
  <si>
    <t>ВКВ.140.160.2450.2ТГ.24</t>
  </si>
  <si>
    <t>ВКВ.140.160.2500.2ТГ.24</t>
  </si>
  <si>
    <t>ВКВ.140.160.2550.2ТГ.24</t>
  </si>
  <si>
    <t>ВКВ.140.160.2600.2ТГ.24</t>
  </si>
  <si>
    <t>ВКВ.140.160.2650.2ТГ.24</t>
  </si>
  <si>
    <t>ВКВ.140.160.2700.2ТГ.24</t>
  </si>
  <si>
    <t>ВКВ.140.160.2750.2ТГ.24</t>
  </si>
  <si>
    <t>ВКВ.140.160.2800.2ТГ.24</t>
  </si>
  <si>
    <t>ВКВ.140.160.2850.2ТГ.24</t>
  </si>
  <si>
    <t>ВКВ.140.160.2900.2ТГ.24</t>
  </si>
  <si>
    <t>ВКВ.140.160.2950.2ТГ.24</t>
  </si>
  <si>
    <t>ВКВ.140.160.3000.2ТГ.24</t>
  </si>
  <si>
    <t>ВКВ.140.200.700.2ТГ.24</t>
  </si>
  <si>
    <t>ВКВ.140.200.750.2ТГ.24</t>
  </si>
  <si>
    <t>ВКВ.140.200.800.2ТГ.24</t>
  </si>
  <si>
    <t>ВКВ.140.200.850.2ТГ.24</t>
  </si>
  <si>
    <t>ВКВ.140.200.900.2ТГ.24</t>
  </si>
  <si>
    <t>ВКВ.140.200.950.2ТГ.24</t>
  </si>
  <si>
    <t>ВКВ.140.200.1000.2ТГ.24</t>
  </si>
  <si>
    <t>ВКВ.140.200.1050.2ТГ.24</t>
  </si>
  <si>
    <t>ВКВ.140.200.1100.2ТГ.24</t>
  </si>
  <si>
    <t>ВКВ.140.200.1150.2ТГ.24</t>
  </si>
  <si>
    <t>ВКВ.140.200.1200.2ТГ.24</t>
  </si>
  <si>
    <t>ВКВ.140.200.1250.2ТГ.24</t>
  </si>
  <si>
    <t>ВКВ.140.200.1300.2ТГ.24</t>
  </si>
  <si>
    <t>ВКВ.140.200.1350.2ТГ.24</t>
  </si>
  <si>
    <t>ВКВ.140.200.1400.2ТГ.24</t>
  </si>
  <si>
    <t>ВКВ.140.200.1450.2ТГ.24</t>
  </si>
  <si>
    <t>ВКВ.140.200.1500.2ТГ.24</t>
  </si>
  <si>
    <t>ВКВ.140.200.1550.2ТГ.24</t>
  </si>
  <si>
    <t>ВКВ.140.200.1600.2ТГ.24</t>
  </si>
  <si>
    <t>ВКВ.140.200.1650.2ТГ.24</t>
  </si>
  <si>
    <t>ВКВ.140.200.1700.2ТГ.24</t>
  </si>
  <si>
    <t>ВКВ.140.200.1750.2ТГ.24</t>
  </si>
  <si>
    <t>ВКВ.140.200.1800.2ТГ.24</t>
  </si>
  <si>
    <t>ВКВ.140.200.1850.2ТГ.24</t>
  </si>
  <si>
    <t>ВКВ.140.200.1900.2ТГ.24</t>
  </si>
  <si>
    <t>ВКВ.140.200.1950.2ТГ.24</t>
  </si>
  <si>
    <t>ВКВ.140.200.2000.2ТГ.24</t>
  </si>
  <si>
    <t>ВКВ.140.200.2050.2ТГ.24</t>
  </si>
  <si>
    <t>ВКВ.140.200.2100.2ТГ.24</t>
  </si>
  <si>
    <t>ВКВ.140.200.2150.2ТГ.24</t>
  </si>
  <si>
    <t>ВКВ.140.200.2200.2ТГ.24</t>
  </si>
  <si>
    <t>ВКВ.140.200.2250.2ТГ.24</t>
  </si>
  <si>
    <t>ВКВ.140.200.2300.2ТГ.24</t>
  </si>
  <si>
    <t>ВКВ.140.200.2350.2ТГ.24</t>
  </si>
  <si>
    <t>ВКВ.140.200.2400.2ТГ.24</t>
  </si>
  <si>
    <t>ВКВ.140.200.2450.2ТГ.24</t>
  </si>
  <si>
    <t>ВКВ.140.200.2500.2ТГ.24</t>
  </si>
  <si>
    <t>ВКВ.140.200.2550.2ТГ.24</t>
  </si>
  <si>
    <t>ВКВ.140.200.2600.2ТГ.24</t>
  </si>
  <si>
    <t>ВКВ.140.200.2650.2ТГ.24</t>
  </si>
  <si>
    <t>ВКВ.140.200.2700.2ТГ.24</t>
  </si>
  <si>
    <t>ВКВ.140.200.2750.2ТГ.24</t>
  </si>
  <si>
    <t>ВКВ.140.200.2800.2ТГ.24</t>
  </si>
  <si>
    <t>ВКВ.140.200.2850.2ТГ.24</t>
  </si>
  <si>
    <t>ВКВ.140.200.2900.2ТГ.24</t>
  </si>
  <si>
    <t>ВКВ.140.200.2950.2ТГ.24</t>
  </si>
  <si>
    <t>ВКВ.140.200.3000.2ТГ.24</t>
  </si>
  <si>
    <t>ВКВ.140.260.700.4ТК.24</t>
  </si>
  <si>
    <t>ВКВ.140.260.750.4ТК.24</t>
  </si>
  <si>
    <t>ВКВ.140.260.800.4ТК.24</t>
  </si>
  <si>
    <t>ВКВ.140.260.850.4ТК.24</t>
  </si>
  <si>
    <t>ВКВ.140.260.900.4ТК.24</t>
  </si>
  <si>
    <t>ВКВ.140.260.950.4ТК.24</t>
  </si>
  <si>
    <t>ВКВ.140.260.1000.4ТК.24</t>
  </si>
  <si>
    <t>ВКВ.140.260.1050.4ТК.24</t>
  </si>
  <si>
    <t>ВКВ.140.260.1100.4ТК.24</t>
  </si>
  <si>
    <t>ВКВ.140.260.1150.4ТК.24</t>
  </si>
  <si>
    <t>ВКВ.140.260.1200.4ТК.24</t>
  </si>
  <si>
    <t>ВКВ.140.260.1250.4ТК.24</t>
  </si>
  <si>
    <t>ВКВ.140.260.1300.4ТК.24</t>
  </si>
  <si>
    <t>ВКВ.140.260.1350.4ТК.24</t>
  </si>
  <si>
    <t>ВКВ.140.260.1400.4ТК.24</t>
  </si>
  <si>
    <t>ВКВ.140.260.1450.4ТК.24</t>
  </si>
  <si>
    <t>ВКВ.140.260.1500.4ТК.24</t>
  </si>
  <si>
    <t>ВКВ.140.260.1550.4ТК.24</t>
  </si>
  <si>
    <t>ВКВ.140.260.1600.4ТК.24</t>
  </si>
  <si>
    <t>ВКВ.140.260.1650.4ТК.24</t>
  </si>
  <si>
    <t>ВКВ.140.260.1700.4ТК.24</t>
  </si>
  <si>
    <t>ВКВ.140.260.1750.4ТК.24</t>
  </si>
  <si>
    <t>ВКВ.140.260.1800.4ТК.24</t>
  </si>
  <si>
    <t>ВКВ.140.260.1850.4ТК.24</t>
  </si>
  <si>
    <t>ВКВ.140.260.1900.4ТК.24</t>
  </si>
  <si>
    <t>ВКВ.140.260.1950.4ТК.24</t>
  </si>
  <si>
    <t>ВКВ.140.260.2000.4ТК.24</t>
  </si>
  <si>
    <t>ВКВ.140.260.2050.4ТК.24</t>
  </si>
  <si>
    <t>ВКВ.140.260.2100.4ТК.24</t>
  </si>
  <si>
    <t>ВКВ.140.260.2150.4ТК.24</t>
  </si>
  <si>
    <t>ВКВ.140.260.2200.4ТК.24</t>
  </si>
  <si>
    <t>ВКВ.140.260.2250.4ТК.24</t>
  </si>
  <si>
    <t>ВКВ.140.260.2300.4ТК.24</t>
  </si>
  <si>
    <t>ВКВ.140.260.2350.4ТК.24</t>
  </si>
  <si>
    <t>ВКВ.140.260.2400.4ТК.24</t>
  </si>
  <si>
    <t>ВКВ.140.260.2450.4ТК.24</t>
  </si>
  <si>
    <t>ВКВ.140.260.2500.4ТК.24</t>
  </si>
  <si>
    <t>ВКВ.140.260.2550.4ТК.24</t>
  </si>
  <si>
    <t>ВКВ.140.260.2600.4ТК.24</t>
  </si>
  <si>
    <t>ВКВ.140.260.2650.4ТК.24</t>
  </si>
  <si>
    <t>ВКВ.140.260.2700.4ТК.24</t>
  </si>
  <si>
    <t>ВКВ.140.260.2750.4ТК.24</t>
  </si>
  <si>
    <t>ВКВ.140.260.2800.4ТК.24</t>
  </si>
  <si>
    <t>ВКВ.140.260.2850.4ТК.24</t>
  </si>
  <si>
    <t>ВКВ.140.260.2900.4ТК.24</t>
  </si>
  <si>
    <t>ВКВ.140.260.2950.4ТК.24</t>
  </si>
  <si>
    <t>ВКВ.140.260.3000.4ТК.24</t>
  </si>
  <si>
    <t>ВКВ.140.300.700.4ТК.24</t>
  </si>
  <si>
    <t>ВКВ.140.300.750.4ТК.24</t>
  </si>
  <si>
    <t>ВКВ.140.300.800.4ТК.24</t>
  </si>
  <si>
    <t>ВКВ.140.300.850.4ТК.24</t>
  </si>
  <si>
    <t>ВКВ.140.300.900.4ТК.24</t>
  </si>
  <si>
    <t>ВКВ.140.300.950.4ТК.24</t>
  </si>
  <si>
    <t>ВКВ.140.300.1000.4ТК.24</t>
  </si>
  <si>
    <t>ВКВ.140.300.1050.4ТК.24</t>
  </si>
  <si>
    <t>ВКВ.140.300.1100.4ТК.24</t>
  </si>
  <si>
    <t>ВКВ.140.300.1150.4ТК.24</t>
  </si>
  <si>
    <t>ВКВ.140.300.1200.4ТК.24</t>
  </si>
  <si>
    <t>ВКВ.140.300.1250.4ТК.24</t>
  </si>
  <si>
    <t>ВКВ.140.300.1300.4ТК.24</t>
  </si>
  <si>
    <t>ВКВ.140.300.1350.4ТК.24</t>
  </si>
  <si>
    <t>ВКВ.140.300.1400.4ТК.24</t>
  </si>
  <si>
    <t>ВКВ.140.300.1450.4ТК.24</t>
  </si>
  <si>
    <t>ВКВ.140.300.1500.4ТК.24</t>
  </si>
  <si>
    <t>ВКВ.140.300.1550.4ТК.24</t>
  </si>
  <si>
    <t>ВКВ.140.300.1600.4ТК.24</t>
  </si>
  <si>
    <t>ВКВ.140.300.1650.4ТК.24</t>
  </si>
  <si>
    <t>ВКВ.140.300.1700.4ТК.24</t>
  </si>
  <si>
    <t>ВКВ.140.300.1750.4ТК.24</t>
  </si>
  <si>
    <t>ВКВ.140.300.1800.4ТК.24</t>
  </si>
  <si>
    <t>ВКВ.140.300.1850.4ТК.24</t>
  </si>
  <si>
    <t>ВКВ.140.300.1900.4ТК.24</t>
  </si>
  <si>
    <t>ВКВ.140.300.1950.4ТК.24</t>
  </si>
  <si>
    <t>ВКВ.140.300.2000.4ТК.24</t>
  </si>
  <si>
    <t>ВКВ.140.300.2050.4ТК.24</t>
  </si>
  <si>
    <t>ВКВ.140.300.2100.4ТК.24</t>
  </si>
  <si>
    <t>ВКВ.140.300.2150.4ТК.24</t>
  </si>
  <si>
    <t>ВКВ.140.300.2200.4ТК.24</t>
  </si>
  <si>
    <t>ВКВ.140.300.2250.4ТК.24</t>
  </si>
  <si>
    <t>ВКВ.140.300.2300.4ТК.24</t>
  </si>
  <si>
    <t>ВКВ.140.300.2350.4ТК.24</t>
  </si>
  <si>
    <t>ВКВ.140.300.2400.4ТК.24</t>
  </si>
  <si>
    <t>ВКВ.140.300.2450.4ТК.24</t>
  </si>
  <si>
    <t>ВКВ.140.300.2500.4ТК.24</t>
  </si>
  <si>
    <t>ВКВ.140.300.2550.4ТК.24</t>
  </si>
  <si>
    <t>ВКВ.140.300.2600.4ТК.24</t>
  </si>
  <si>
    <t>ВКВ.140.300.2650.4ТК.24</t>
  </si>
  <si>
    <t>ВКВ.140.300.2700.4ТК.24</t>
  </si>
  <si>
    <t>ВКВ.140.300.2750.4ТК.24</t>
  </si>
  <si>
    <t>ВКВ.140.300.2800.4ТК.24</t>
  </si>
  <si>
    <t>ВКВ.140.300.2850.4ТК.24</t>
  </si>
  <si>
    <t>ВКВ.140.300.2900.4ТК.24</t>
  </si>
  <si>
    <t>ВКВ.140.300.2950.4ТК.24</t>
  </si>
  <si>
    <t>ВКВ.140.300.3000.4ТК.24</t>
  </si>
  <si>
    <t>ВКВ.140.360.700.6ТП.24</t>
  </si>
  <si>
    <t>ВКВ.140.360.750.6ТП.24</t>
  </si>
  <si>
    <t>ВКВ.140.360.800.6ТП.24</t>
  </si>
  <si>
    <t>ВКВ.140.360.850.6ТП.24</t>
  </si>
  <si>
    <t>ВКВ.140.360.900.6ТП.24</t>
  </si>
  <si>
    <t>ВКВ.140.360.950.6ТП.24</t>
  </si>
  <si>
    <t>ВКВ.140.360.1000.6ТП.24</t>
  </si>
  <si>
    <t>ВКВ.140.360.1050.6ТП.24</t>
  </si>
  <si>
    <t>ВКВ.140.360.1100.6ТП.24</t>
  </si>
  <si>
    <t>ВКВ.140.360.1150.6ТП.24</t>
  </si>
  <si>
    <t>ВКВ.140.360.1200.6ТП.24</t>
  </si>
  <si>
    <t>ВКВ.140.360.1250.6ТП.24</t>
  </si>
  <si>
    <t>ВКВ.140.360.1300.6ТП.24</t>
  </si>
  <si>
    <t>ВКВ.140.360.1350.6ТП.24</t>
  </si>
  <si>
    <t>ВКВ.140.360.1400.6ТП.24</t>
  </si>
  <si>
    <t>ВКВ.140.360.1450.6ТП.24</t>
  </si>
  <si>
    <t>ВКВ.140.360.1500.6ТП.24</t>
  </si>
  <si>
    <t>ВКВ.140.360.1550.6ТП.24</t>
  </si>
  <si>
    <t>ВКВ.140.360.1600.6ТП.24</t>
  </si>
  <si>
    <t>ВКВ.140.360.1650.6ТП.24</t>
  </si>
  <si>
    <t>ВКВ.140.360.1700.6ТП.24</t>
  </si>
  <si>
    <t>ВКВ.140.360.1750.6ТП.24</t>
  </si>
  <si>
    <t>ВКВ.140.360.1800.6ТП.24</t>
  </si>
  <si>
    <t>ВКВ.140.360.1850.6ТП.24</t>
  </si>
  <si>
    <t>ВКВ.140.360.1900.6ТП.24</t>
  </si>
  <si>
    <t>ВКВ.140.360.1950.6ТП.24</t>
  </si>
  <si>
    <t>ВКВ.140.360.2000.6ТП.24</t>
  </si>
  <si>
    <t>ВКВ.140.360.2050.6ТП.24</t>
  </si>
  <si>
    <t>ВКВ.140.360.2100.6ТП.24</t>
  </si>
  <si>
    <t>ВКВ.140.360.2150.6ТП.24</t>
  </si>
  <si>
    <t>ВКВ.140.360.2200.6ТП.24</t>
  </si>
  <si>
    <t>ВКВ.140.360.2250.6ТП.24</t>
  </si>
  <si>
    <t>ВКВ.140.360.2300.6ТП.24</t>
  </si>
  <si>
    <t>ВКВ.140.360.2350.6ТП.24</t>
  </si>
  <si>
    <t>ВКВ.140.360.2400.6ТП.24</t>
  </si>
  <si>
    <t>ВКВ.140.360.2450.6ТП.24</t>
  </si>
  <si>
    <t>ВКВ.140.360.2500.6ТП.24</t>
  </si>
  <si>
    <t>ВКВ.140.360.2550.6ТП.24</t>
  </si>
  <si>
    <t>ВКВ.140.360.2600.6ТП.24</t>
  </si>
  <si>
    <t>ВКВ.140.360.2650.6ТП.24</t>
  </si>
  <si>
    <t>ВКВ.140.360.2700.6ТП.24</t>
  </si>
  <si>
    <t>ВКВ.140.360.2750.6ТП.24</t>
  </si>
  <si>
    <t>ВКВ.140.360.2800.6ТП.24</t>
  </si>
  <si>
    <t>ВКВ.140.360.2850.6ТП.24</t>
  </si>
  <si>
    <t>ВКВ.140.360.2900.6ТП.24</t>
  </si>
  <si>
    <t>ВКВ.140.360.2950.6ТП.24</t>
  </si>
  <si>
    <t>ВКВ.140.360.3000.6ТП.24</t>
  </si>
  <si>
    <t>ВКВ.140.360.700.8ТП.24</t>
  </si>
  <si>
    <t>ВКВ.140.360.750.8ТП.24</t>
  </si>
  <si>
    <t>ВКВ.140.360.800.8ТП.24</t>
  </si>
  <si>
    <t>ВКВ.140.360.850.8ТП.24</t>
  </si>
  <si>
    <t>ВКВ.140.360.900.8ТП.24</t>
  </si>
  <si>
    <t>ВКВ.140.360.950.8ТП.24</t>
  </si>
  <si>
    <t>ВКВ.140.360.1000.8ТП.24</t>
  </si>
  <si>
    <t>ВКВ.140.360.1050.8ТП.24</t>
  </si>
  <si>
    <t>ВКВ.140.360.1100.8ТП.24</t>
  </si>
  <si>
    <t>ВКВ.140.360.1150.8ТП.24</t>
  </si>
  <si>
    <t>ВКВ.140.360.1200.8ТП.24</t>
  </si>
  <si>
    <t>ВКВ.140.360.1250.8ТП.24</t>
  </si>
  <si>
    <t>ВКВ.140.360.1300.8ТП.24</t>
  </si>
  <si>
    <t>ВКВ.140.360.1350.8ТП.24</t>
  </si>
  <si>
    <t>ВКВ.140.360.1400.8ТП.24</t>
  </si>
  <si>
    <t>ВКВ.140.360.1450.8ТП.24</t>
  </si>
  <si>
    <t>ВКВ.140.360.1500.8ТП.24</t>
  </si>
  <si>
    <t>ВКВ.140.360.1550.8ТП.24</t>
  </si>
  <si>
    <t>ВКВ.140.360.1600.8ТП.24</t>
  </si>
  <si>
    <t>ВКВ.140.360.1650.8ТП.24</t>
  </si>
  <si>
    <t>ВКВ.140.360.1700.8ТП.24</t>
  </si>
  <si>
    <t>ВКВ.140.360.1750.8ТП.24</t>
  </si>
  <si>
    <t>ВКВ.140.360.1800.8ТП.24</t>
  </si>
  <si>
    <t>ВКВ.140.360.1850.8ТП.24</t>
  </si>
  <si>
    <t>ВКВ.140.360.1900.8ТП.24</t>
  </si>
  <si>
    <t>ВКВ.140.360.1950.8ТП.24</t>
  </si>
  <si>
    <t>ВКВ.140.360.2000.8ТП.24</t>
  </si>
  <si>
    <t>ВКВ.140.360.2050.8ТП.24</t>
  </si>
  <si>
    <t>ВКВ.140.360.2100.8ТП.24</t>
  </si>
  <si>
    <t>ВКВ.140.360.2150.8ТП.24</t>
  </si>
  <si>
    <t>ВКВ.140.360.2200.8ТП.24</t>
  </si>
  <si>
    <t>ВКВ.140.360.2250.8ТП.24</t>
  </si>
  <si>
    <t>ВКВ.140.360.2300.8ТП.24</t>
  </si>
  <si>
    <t>ВКВ.140.360.2350.8ТП.24</t>
  </si>
  <si>
    <t>ВКВ.140.360.2400.8ТП.24</t>
  </si>
  <si>
    <t>ВКВ.140.360.2450.8ТП.24</t>
  </si>
  <si>
    <t>ВКВ.140.360.2500.8ТП.24</t>
  </si>
  <si>
    <t>ВКВ.140.360.2550.8ТП.24</t>
  </si>
  <si>
    <t>ВКВ.140.360.2600.8ТП.24</t>
  </si>
  <si>
    <t>ВКВ.140.360.2650.8ТП.24</t>
  </si>
  <si>
    <t>ВКВ.140.360.2700.8ТП.24</t>
  </si>
  <si>
    <t>ВКВ.140.360.2750.8ТП.24</t>
  </si>
  <si>
    <t>ВКВ.140.360.2800.8ТП.24</t>
  </si>
  <si>
    <t>ВКВ.140.360.2850.8ТП.24</t>
  </si>
  <si>
    <t>ВКВ.140.360.2900.8ТП.24</t>
  </si>
  <si>
    <t>ВКВ.140.360.2950.8ТП.24</t>
  </si>
  <si>
    <t>ВКВ.140.360.3000.8ТП.24</t>
  </si>
  <si>
    <t>ВКВ.140.400.700.6ТП.24</t>
  </si>
  <si>
    <t>ВКВ.140.400.750.6ТП.24</t>
  </si>
  <si>
    <t>ВКВ.140.400.800.6ТП.24</t>
  </si>
  <si>
    <t>ВКВ.140.400.850.6ТП.24</t>
  </si>
  <si>
    <t>ВКВ.140.400.900.6ТП.24</t>
  </si>
  <si>
    <t>ВКВ.140.400.950.6ТП.24</t>
  </si>
  <si>
    <t>ВКВ.140.400.1000.6ТП.24</t>
  </si>
  <si>
    <t>ВКВ.140.400.1050.6ТП.24</t>
  </si>
  <si>
    <t>ВКВ.140.400.1100.6ТП.24</t>
  </si>
  <si>
    <t>ВКВ.140.400.1150.6ТП.24</t>
  </si>
  <si>
    <t>ВКВ.140.400.1200.6ТП.24</t>
  </si>
  <si>
    <t>ВКВ.140.400.1250.6ТП.24</t>
  </si>
  <si>
    <t>ВКВ.140.400.1300.6ТП.24</t>
  </si>
  <si>
    <t>ВКВ.140.400.1350.6ТП.24</t>
  </si>
  <si>
    <t>ВКВ.140.400.1400.6ТП.24</t>
  </si>
  <si>
    <t>ВКВ.140.400.1450.6ТП.24</t>
  </si>
  <si>
    <t>ВКВ.140.400.1500.6ТП.24</t>
  </si>
  <si>
    <t>ВКВ.140.400.1550.6ТП.24</t>
  </si>
  <si>
    <t>ВКВ.140.400.1600.6ТП.24</t>
  </si>
  <si>
    <t>ВКВ.140.400.1650.6ТП.24</t>
  </si>
  <si>
    <t>ВКВ.140.400.1700.6ТП.24</t>
  </si>
  <si>
    <t>ВКВ.140.400.1750.6ТП.24</t>
  </si>
  <si>
    <t>ВКВ.140.400.1800.6ТП.24</t>
  </si>
  <si>
    <t>ВКВ.140.400.1850.6ТП.24</t>
  </si>
  <si>
    <t>ВКВ.140.400.1900.6ТП.24</t>
  </si>
  <si>
    <t>ВКВ.140.400.1950.6ТП.24</t>
  </si>
  <si>
    <t>ВКВ.140.400.2000.6ТП.24</t>
  </si>
  <si>
    <t>ВКВ.140.400.2050.6ТП.24</t>
  </si>
  <si>
    <t>ВКВ.140.400.2100.6ТП.24</t>
  </si>
  <si>
    <t>ВКВ.140.400.2150.6ТП.24</t>
  </si>
  <si>
    <t>ВКВ.140.400.2200.6ТП.24</t>
  </si>
  <si>
    <t>ВКВ.140.400.2250.6ТП.24</t>
  </si>
  <si>
    <t>ВКВ.140.400.2300.6ТП.24</t>
  </si>
  <si>
    <t>ВКВ.140.400.2350.6ТП.24</t>
  </si>
  <si>
    <t>ВКВ.140.400.2400.6ТП.24</t>
  </si>
  <si>
    <t>ВКВ.140.400.2450.6ТП.24</t>
  </si>
  <si>
    <t>ВКВ.140.400.2500.6ТП.24</t>
  </si>
  <si>
    <t>ВКВ.140.400.2550.6ТП.24</t>
  </si>
  <si>
    <t>ВКВ.140.400.2600.6ТП.24</t>
  </si>
  <si>
    <t>ВКВ.140.400.2650.6ТП.24</t>
  </si>
  <si>
    <t>ВКВ.140.400.2700.6ТП.24</t>
  </si>
  <si>
    <t>ВКВ.140.400.2750.6ТП.24</t>
  </si>
  <si>
    <t>ВКВ.140.400.2800.6ТП.24</t>
  </si>
  <si>
    <t>ВКВ.140.400.2850.6ТП.24</t>
  </si>
  <si>
    <t>ВКВ.140.400.2900.6ТП.24</t>
  </si>
  <si>
    <t>ВКВ.140.400.2950.6ТП.24</t>
  </si>
  <si>
    <t>ВКВ.140.400.3000.6ТП.24</t>
  </si>
  <si>
    <t>ВКВ.140.400.700.8ТП.24</t>
  </si>
  <si>
    <t>ВКВ.140.400.750.8ТП.24</t>
  </si>
  <si>
    <t>ВКВ.140.400.800.8ТП.24</t>
  </si>
  <si>
    <t>ВКВ.140.400.850.8ТП.24</t>
  </si>
  <si>
    <t>ВКВ.140.400.900.8ТП.24</t>
  </si>
  <si>
    <t>ВКВ.140.400.950.8ТП.24</t>
  </si>
  <si>
    <t>ВКВ.140.400.1000.8ТП.24</t>
  </si>
  <si>
    <t>ВКВ.140.400.1050.8ТП.24</t>
  </si>
  <si>
    <t>ВКВ.140.400.1100.8ТП.24</t>
  </si>
  <si>
    <t>ВКВ.140.400.1150.8ТП.24</t>
  </si>
  <si>
    <t>ВКВ.140.400.1200.8ТП.24</t>
  </si>
  <si>
    <t>ВКВ.140.400.1250.8ТП.24</t>
  </si>
  <si>
    <t>ВКВ.140.400.1300.8ТП.24</t>
  </si>
  <si>
    <t>ВКВ.140.400.1350.8ТП.24</t>
  </si>
  <si>
    <t>ВКВ.140.400.1400.8ТП.24</t>
  </si>
  <si>
    <t>ВКВ.140.400.1450.8ТП.24</t>
  </si>
  <si>
    <t>ВКВ.140.400.1500.8ТП.24</t>
  </si>
  <si>
    <t>ВКВ.140.400.1550.8ТП.24</t>
  </si>
  <si>
    <t>ВКВ.140.400.1600.8ТП.24</t>
  </si>
  <si>
    <t>ВКВ.140.400.1650.8ТП.24</t>
  </si>
  <si>
    <t>ВКВ.140.400.1700.8ТП.24</t>
  </si>
  <si>
    <t>ВКВ.140.400.1750.8ТП.24</t>
  </si>
  <si>
    <t>ВКВ.140.400.1800.8ТП.24</t>
  </si>
  <si>
    <t>ВКВ.140.400.1850.8ТП.24</t>
  </si>
  <si>
    <t>ВКВ.140.400.1900.8ТП.24</t>
  </si>
  <si>
    <t>ВКВ.140.400.1950.8ТП.24</t>
  </si>
  <si>
    <t>ВКВ.140.400.2000.8ТП.24</t>
  </si>
  <si>
    <t>ВКВ.140.400.2050.8ТП.24</t>
  </si>
  <si>
    <t>ВКВ.140.400.2100.8ТП.24</t>
  </si>
  <si>
    <t>ВКВ.140.400.2150.8ТП.24</t>
  </si>
  <si>
    <t>ВКВ.140.400.2200.8ТП.24</t>
  </si>
  <si>
    <t>ВКВ.140.400.2250.8ТП.24</t>
  </si>
  <si>
    <t>ВКВ.140.400.2300.8ТП.24</t>
  </si>
  <si>
    <t>ВКВ.140.400.2350.8ТП.24</t>
  </si>
  <si>
    <t>ВКВ.140.400.2400.8ТП.24</t>
  </si>
  <si>
    <t>ВКВ.140.400.2450.8ТП.24</t>
  </si>
  <si>
    <t>ВКВ.140.400.2500.8ТП.24</t>
  </si>
  <si>
    <t>ВКВ.140.400.2550.8ТП.24</t>
  </si>
  <si>
    <t>ВКВ.140.400.2600.8ТП.24</t>
  </si>
  <si>
    <t>ВКВ.140.400.2650.8ТП.24</t>
  </si>
  <si>
    <t>ВКВ.140.400.2700.8ТП.24</t>
  </si>
  <si>
    <t>ВКВ.140.400.2750.8ТП.24</t>
  </si>
  <si>
    <t>ВКВ.140.400.2800.8ТП.24</t>
  </si>
  <si>
    <t>ВКВ.140.400.2850.8ТП.24</t>
  </si>
  <si>
    <t>ВКВ.140.400.2900.8ТП.24</t>
  </si>
  <si>
    <t>ВКВ.140.400.2950.8ТП.24</t>
  </si>
  <si>
    <t>ВКВ.140.400.3000.8ТП.24</t>
  </si>
  <si>
    <t>ВКВ.150.160.700.2ТГ.24</t>
  </si>
  <si>
    <t>ВКВ.150.160.750.2ТГ.24</t>
  </si>
  <si>
    <t>ВКВ.150.160.800.2ТГ.24</t>
  </si>
  <si>
    <t>ВКВ.150.160.850.2ТГ.24</t>
  </si>
  <si>
    <t>ВКВ.150.160.900.2ТГ.24</t>
  </si>
  <si>
    <t>ВКВ.150.160.950.2ТГ.24</t>
  </si>
  <si>
    <t>ВКВ.150.160.1000.2ТГ.24</t>
  </si>
  <si>
    <t>ВКВ.150.160.1050.2ТГ.24</t>
  </si>
  <si>
    <t>ВКВ.150.160.1100.2ТГ.24</t>
  </si>
  <si>
    <t>ВКВ.150.160.1150.2ТГ.24</t>
  </si>
  <si>
    <t>ВКВ.150.160.1200.2ТГ.24</t>
  </si>
  <si>
    <t>ВКВ.150.160.1250.2ТГ.24</t>
  </si>
  <si>
    <t>ВКВ.150.160.1300.2ТГ.24</t>
  </si>
  <si>
    <t>ВКВ.150.160.1350.2ТГ.24</t>
  </si>
  <si>
    <t>ВКВ.150.160.1400.2ТГ.24</t>
  </si>
  <si>
    <t>ВКВ.150.160.1450.2ТГ.24</t>
  </si>
  <si>
    <t>ВКВ.150.160.1500.2ТГ.24</t>
  </si>
  <si>
    <t>ВКВ.150.160.1550.2ТГ.24</t>
  </si>
  <si>
    <t>ВКВ.150.160.1600.2ТГ.24</t>
  </si>
  <si>
    <t>ВКВ.150.160.1650.2ТГ.24</t>
  </si>
  <si>
    <t>ВКВ.150.160.1700.2ТГ.24</t>
  </si>
  <si>
    <t>ВКВ.150.160.1750.2ТГ.24</t>
  </si>
  <si>
    <t>ВКВ.150.160.1800.2ТГ.24</t>
  </si>
  <si>
    <t>ВКВ.150.160.1850.2ТГ.24</t>
  </si>
  <si>
    <t>ВКВ.150.160.1900.2ТГ.24</t>
  </si>
  <si>
    <t>ВКВ.150.160.1950.2ТГ.24</t>
  </si>
  <si>
    <t>ВКВ.150.160.2000.2ТГ.24</t>
  </si>
  <si>
    <t>ВКВ.150.160.2050.2ТГ.24</t>
  </si>
  <si>
    <t>ВКВ.150.160.2100.2ТГ.24</t>
  </si>
  <si>
    <t>ВКВ.150.160.2150.2ТГ.24</t>
  </si>
  <si>
    <t>ВКВ.150.160.2200.2ТГ.24</t>
  </si>
  <si>
    <t>ВКВ.150.160.2250.2ТГ.24</t>
  </si>
  <si>
    <t>ВКВ.150.160.2300.2ТГ.24</t>
  </si>
  <si>
    <t>ВКВ.150.160.2350.2ТГ.24</t>
  </si>
  <si>
    <t>ВКВ.150.160.2400.2ТГ.24</t>
  </si>
  <si>
    <t>ВКВ.150.160.2450.2ТГ.24</t>
  </si>
  <si>
    <t>ВКВ.150.160.2500.2ТГ.24</t>
  </si>
  <si>
    <t>ВКВ.150.160.2550.2ТГ.24</t>
  </si>
  <si>
    <t>ВКВ.150.160.2600.2ТГ.24</t>
  </si>
  <si>
    <t>ВКВ.150.160.2650.2ТГ.24</t>
  </si>
  <si>
    <t>ВКВ.150.160.2700.2ТГ.24</t>
  </si>
  <si>
    <t>ВКВ.150.160.2750.2ТГ.24</t>
  </si>
  <si>
    <t>ВКВ.150.160.2800.2ТГ.24</t>
  </si>
  <si>
    <t>ВКВ.150.160.2850.2ТГ.24</t>
  </si>
  <si>
    <t>ВКВ.150.160.2900.2ТГ.24</t>
  </si>
  <si>
    <t>ВКВ.150.160.2950.2ТГ.24</t>
  </si>
  <si>
    <t>ВКВ.150.160.3000.2ТГ.24</t>
  </si>
  <si>
    <t>ВКВ.150.200.700.2ТГ.24</t>
  </si>
  <si>
    <t>ВКВ.150.200.750.2ТГ.24</t>
  </si>
  <si>
    <t>ВКВ.150.200.800.2ТГ.24</t>
  </si>
  <si>
    <t>ВКВ.150.200.850.2ТГ.24</t>
  </si>
  <si>
    <t>ВКВ.150.200.900.2ТГ.24</t>
  </si>
  <si>
    <t>ВКВ.150.200.950.2ТГ.24</t>
  </si>
  <si>
    <t>ВКВ.150.200.1000.2ТГ.24</t>
  </si>
  <si>
    <t>ВКВ.150.200.1050.2ТГ.24</t>
  </si>
  <si>
    <t>ВКВ.150.200.1100.2ТГ.24</t>
  </si>
  <si>
    <t>ВКВ.150.200.1150.2ТГ.24</t>
  </si>
  <si>
    <t>ВКВ.150.200.1200.2ТГ.24</t>
  </si>
  <si>
    <t>ВКВ.150.200.1250.2ТГ.24</t>
  </si>
  <si>
    <t>ВКВ.150.200.1300.2ТГ.24</t>
  </si>
  <si>
    <t>ВКВ.150.200.1350.2ТГ.24</t>
  </si>
  <si>
    <t>ВКВ.150.200.1400.2ТГ.24</t>
  </si>
  <si>
    <t>ВКВ.150.200.1450.2ТГ.24</t>
  </si>
  <si>
    <t>ВКВ.150.200.1500.2ТГ.24</t>
  </si>
  <si>
    <t>ВКВ.150.200.1550.2ТГ.24</t>
  </si>
  <si>
    <t>ВКВ.150.200.1600.2ТГ.24</t>
  </si>
  <si>
    <t>ВКВ.150.200.1650.2ТГ.24</t>
  </si>
  <si>
    <t>ВКВ.150.200.1700.2ТГ.24</t>
  </si>
  <si>
    <t>ВКВ.150.200.1750.2ТГ.24</t>
  </si>
  <si>
    <t>ВКВ.150.200.1800.2ТГ.24</t>
  </si>
  <si>
    <t>ВКВ.150.200.1850.2ТГ.24</t>
  </si>
  <si>
    <t>ВКВ.150.200.1900.2ТГ.24</t>
  </si>
  <si>
    <t>ВКВ.150.200.1950.2ТГ.24</t>
  </si>
  <si>
    <t>ВКВ.150.200.2000.2ТГ.24</t>
  </si>
  <si>
    <t>ВКВ.150.200.2050.2ТГ.24</t>
  </si>
  <si>
    <t>ВКВ.150.200.2100.2ТГ.24</t>
  </si>
  <si>
    <t>ВКВ.150.200.2150.2ТГ.24</t>
  </si>
  <si>
    <t>ВКВ.150.200.2200.2ТГ.24</t>
  </si>
  <si>
    <t>ВКВ.150.200.2250.2ТГ.24</t>
  </si>
  <si>
    <t>ВКВ.150.200.2300.2ТГ.24</t>
  </si>
  <si>
    <t>ВКВ.150.200.2350.2ТГ.24</t>
  </si>
  <si>
    <t>ВКВ.150.200.2400.2ТГ.24</t>
  </si>
  <si>
    <t>ВКВ.150.200.2450.2ТГ.24</t>
  </si>
  <si>
    <t>ВКВ.150.200.2500.2ТГ.24</t>
  </si>
  <si>
    <t>ВКВ.150.200.2550.2ТГ.24</t>
  </si>
  <si>
    <t>ВКВ.150.200.2600.2ТГ.24</t>
  </si>
  <si>
    <t>ВКВ.150.200.2650.2ТГ.24</t>
  </si>
  <si>
    <t>ВКВ.150.200.2700.2ТГ.24</t>
  </si>
  <si>
    <t>ВКВ.150.200.2750.2ТГ.24</t>
  </si>
  <si>
    <t>ВКВ.150.200.2800.2ТГ.24</t>
  </si>
  <si>
    <t>ВКВ.150.200.2850.2ТГ.24</t>
  </si>
  <si>
    <t>ВКВ.150.200.2900.2ТГ.24</t>
  </si>
  <si>
    <t>ВКВ.150.200.2950.2ТГ.24</t>
  </si>
  <si>
    <t>ВКВ.150.200.3000.2ТГ.24</t>
  </si>
  <si>
    <t>ВКВ.150.260.700.4ТК.24</t>
  </si>
  <si>
    <t>ВКВ.150.260.750.4ТК.24</t>
  </si>
  <si>
    <t>ВКВ.150.260.800.4ТК.24</t>
  </si>
  <si>
    <t>ВКВ.150.260.850.4ТК.24</t>
  </si>
  <si>
    <t>ВКВ.150.260.900.4ТК.24</t>
  </si>
  <si>
    <t>ВКВ.150.260.950.4ТК.24</t>
  </si>
  <si>
    <t>ВКВ.150.260.1000.4ТК.24</t>
  </si>
  <si>
    <t>ВКВ.150.260.1050.4ТК.24</t>
  </si>
  <si>
    <t>ВКВ.150.260.1100.4ТК.24</t>
  </si>
  <si>
    <t>ВКВ.150.260.1150.4ТК.24</t>
  </si>
  <si>
    <t>ВКВ.150.260.1200.4ТК.24</t>
  </si>
  <si>
    <t>ВКВ.150.260.1250.4ТК.24</t>
  </si>
  <si>
    <t>ВКВ.150.260.1300.4ТК.24</t>
  </si>
  <si>
    <t>ВКВ.150.260.1350.4ТК.24</t>
  </si>
  <si>
    <t>ВКВ.150.260.1400.4ТК.24</t>
  </si>
  <si>
    <t>ВКВ.150.260.1450.4ТК.24</t>
  </si>
  <si>
    <t>ВКВ.150.260.1500.4ТК.24</t>
  </si>
  <si>
    <t>ВКВ.150.260.1550.4ТК.24</t>
  </si>
  <si>
    <t>ВКВ.150.260.1600.4ТК.24</t>
  </si>
  <si>
    <t>ВКВ.150.260.1650.4ТК.24</t>
  </si>
  <si>
    <t>ВКВ.150.260.1700.4ТК.24</t>
  </si>
  <si>
    <t>ВКВ.150.260.1750.4ТК.24</t>
  </si>
  <si>
    <t>ВКВ.150.260.1800.4ТК.24</t>
  </si>
  <si>
    <t>ВКВ.150.260.1850.4ТК.24</t>
  </si>
  <si>
    <t>ВКВ.150.260.1900.4ТК.24</t>
  </si>
  <si>
    <t>ВКВ.150.260.1950.4ТК.24</t>
  </si>
  <si>
    <t>ВКВ.150.260.2000.4ТК.24</t>
  </si>
  <si>
    <t>ВКВ.150.260.2050.4ТК.24</t>
  </si>
  <si>
    <t>ВКВ.150.260.2100.4ТК.24</t>
  </si>
  <si>
    <t>ВКВ.150.260.2150.4ТК.24</t>
  </si>
  <si>
    <t>ВКВ.150.260.2200.4ТК.24</t>
  </si>
  <si>
    <t>ВКВ.150.260.2250.4ТК.24</t>
  </si>
  <si>
    <t>ВКВ.150.260.2300.4ТК.24</t>
  </si>
  <si>
    <t>ВКВ.150.260.2350.4ТК.24</t>
  </si>
  <si>
    <t>ВКВ.150.260.2400.4ТК.24</t>
  </si>
  <si>
    <t>ВКВ.150.260.2450.4ТК.24</t>
  </si>
  <si>
    <t>ВКВ.150.260.2500.4ТК.24</t>
  </si>
  <si>
    <t>ВКВ.150.260.2550.4ТК.24</t>
  </si>
  <si>
    <t>ВКВ.150.260.2600.4ТК.24</t>
  </si>
  <si>
    <t>ВКВ.150.260.2650.4ТК.24</t>
  </si>
  <si>
    <t>ВКВ.150.260.2700.4ТК.24</t>
  </si>
  <si>
    <t>ВКВ.150.260.2750.4ТК.24</t>
  </si>
  <si>
    <t>ВКВ.150.260.2800.4ТК.24</t>
  </si>
  <si>
    <t>ВКВ.150.260.2850.4ТК.24</t>
  </si>
  <si>
    <t>ВКВ.150.260.2900.4ТК.24</t>
  </si>
  <si>
    <t>ВКВ.150.260.2950.4ТК.24</t>
  </si>
  <si>
    <t>ВКВ.150.260.3000.4ТК.24</t>
  </si>
  <si>
    <t>ВКВ.150.300.700.4ТК.24</t>
  </si>
  <si>
    <t>ВКВ.150.300.750.4ТК.24</t>
  </si>
  <si>
    <t>ВКВ.150.300.800.4ТК.24</t>
  </si>
  <si>
    <t>ВКВ.150.300.850.4ТК.24</t>
  </si>
  <si>
    <t>ВКВ.150.300.900.4ТК.24</t>
  </si>
  <si>
    <t>ВКВ.150.300.950.4ТК.24</t>
  </si>
  <si>
    <t>ВКВ.150.300.1000.4ТК.24</t>
  </si>
  <si>
    <t>ВКВ.150.300.1050.4ТК.24</t>
  </si>
  <si>
    <t>ВКВ.150.300.1100.4ТК.24</t>
  </si>
  <si>
    <t>ВКВ.150.300.1150.4ТК.24</t>
  </si>
  <si>
    <t>ВКВ.150.300.1200.4ТК.24</t>
  </si>
  <si>
    <t>ВКВ.150.300.1250.4ТК.24</t>
  </si>
  <si>
    <t>ВКВ.150.300.1300.4ТК.24</t>
  </si>
  <si>
    <t>ВКВ.150.300.1350.4ТК.24</t>
  </si>
  <si>
    <t>ВКВ.150.300.1400.4ТК.24</t>
  </si>
  <si>
    <t>ВКВ.150.300.1450.4ТК.24</t>
  </si>
  <si>
    <t>ВКВ.150.300.1500.4ТК.24</t>
  </si>
  <si>
    <t>ВКВ.150.300.1550.4ТК.24</t>
  </si>
  <si>
    <t>ВКВ.150.300.1600.4ТК.24</t>
  </si>
  <si>
    <t>ВКВ.150.300.1650.4ТК.24</t>
  </si>
  <si>
    <t>ВКВ.150.300.1700.4ТК.24</t>
  </si>
  <si>
    <t>ВКВ.150.300.1750.4ТК.24</t>
  </si>
  <si>
    <t>ВКВ.150.300.1800.4ТК.24</t>
  </si>
  <si>
    <t>ВКВ.150.300.1850.4ТК.24</t>
  </si>
  <si>
    <t>ВКВ.150.300.1900.4ТК.24</t>
  </si>
  <si>
    <t>ВКВ.150.300.1950.4ТК.24</t>
  </si>
  <si>
    <t>ВКВ.150.300.2000.4ТК.24</t>
  </si>
  <si>
    <t>ВКВ.150.300.2050.4ТК.24</t>
  </si>
  <si>
    <t>ВКВ.150.300.2100.4ТК.24</t>
  </si>
  <si>
    <t>ВКВ.150.300.2150.4ТК.24</t>
  </si>
  <si>
    <t>ВКВ.150.300.2200.4ТК.24</t>
  </si>
  <si>
    <t>ВКВ.150.300.2250.4ТК.24</t>
  </si>
  <si>
    <t>ВКВ.150.300.2300.4ТК.24</t>
  </si>
  <si>
    <t>ВКВ.150.300.2350.4ТК.24</t>
  </si>
  <si>
    <t>ВКВ.150.300.2400.4ТК.24</t>
  </si>
  <si>
    <t>ВКВ.150.300.2450.4ТК.24</t>
  </si>
  <si>
    <t>ВКВ.150.300.2500.4ТК.24</t>
  </si>
  <si>
    <t>ВКВ.150.300.2550.4ТК.24</t>
  </si>
  <si>
    <t>ВКВ.150.300.2600.4ТК.24</t>
  </si>
  <si>
    <t>ВКВ.150.300.2650.4ТК.24</t>
  </si>
  <si>
    <t>ВКВ.150.300.2700.4ТК.24</t>
  </si>
  <si>
    <t>ВКВ.150.300.2750.4ТК.24</t>
  </si>
  <si>
    <t>ВКВ.150.300.2800.4ТК.24</t>
  </si>
  <si>
    <t>ВКВ.150.300.2850.4ТК.24</t>
  </si>
  <si>
    <t>ВКВ.150.300.2900.4ТК.24</t>
  </si>
  <si>
    <t>ВКВ.150.300.2950.4ТК.24</t>
  </si>
  <si>
    <t>ВКВ.150.300.3000.4ТК.24</t>
  </si>
  <si>
    <t>ВКВ.150.360.700.6ТП.24</t>
  </si>
  <si>
    <t>ВКВ.150.360.750.6ТП.24</t>
  </si>
  <si>
    <t>ВКВ.150.360.800.6ТП.24</t>
  </si>
  <si>
    <t>ВКВ.150.360.850.6ТП.24</t>
  </si>
  <si>
    <t>ВКВ.150.360.900.6ТП.24</t>
  </si>
  <si>
    <t>ВКВ.150.360.950.6ТП.24</t>
  </si>
  <si>
    <t>ВКВ.150.360.1000.6ТП.24</t>
  </si>
  <si>
    <t>ВКВ.150.360.1050.6ТП.24</t>
  </si>
  <si>
    <t>ВКВ.150.360.1100.6ТП.24</t>
  </si>
  <si>
    <t>ВКВ.150.360.1150.6ТП.24</t>
  </si>
  <si>
    <t>ВКВ.150.360.1200.6ТП.24</t>
  </si>
  <si>
    <t>ВКВ.150.360.1250.6ТП.24</t>
  </si>
  <si>
    <t>ВКВ.150.360.1300.6ТП.24</t>
  </si>
  <si>
    <t>ВКВ.150.360.1350.6ТП.24</t>
  </si>
  <si>
    <t>ВКВ.150.360.1400.6ТП.24</t>
  </si>
  <si>
    <t>ВКВ.150.360.1450.6ТП.24</t>
  </si>
  <si>
    <t>ВКВ.150.360.1500.6ТП.24</t>
  </si>
  <si>
    <t>ВКВ.150.360.1550.6ТП.24</t>
  </si>
  <si>
    <t>ВКВ.150.360.1600.6ТП.24</t>
  </si>
  <si>
    <t>ВКВ.150.360.1650.6ТП.24</t>
  </si>
  <si>
    <t>ВКВ.150.360.1700.6ТП.24</t>
  </si>
  <si>
    <t>ВКВ.150.360.1750.6ТП.24</t>
  </si>
  <si>
    <t>ВКВ.150.360.1800.6ТП.24</t>
  </si>
  <si>
    <t>ВКВ.150.360.1850.6ТП.24</t>
  </si>
  <si>
    <t>ВКВ.150.360.1900.6ТП.24</t>
  </si>
  <si>
    <t>ВКВ.150.360.1950.6ТП.24</t>
  </si>
  <si>
    <t>ВКВ.150.360.2000.6ТП.24</t>
  </si>
  <si>
    <t>ВКВ.150.360.2050.6ТП.24</t>
  </si>
  <si>
    <t>ВКВ.150.360.2100.6ТП.24</t>
  </si>
  <si>
    <t>ВКВ.150.360.2150.6ТП.24</t>
  </si>
  <si>
    <t>ВКВ.150.360.2200.6ТП.24</t>
  </si>
  <si>
    <t>ВКВ.150.360.2250.6ТП.24</t>
  </si>
  <si>
    <t>ВКВ.150.360.2300.6ТП.24</t>
  </si>
  <si>
    <t>ВКВ.150.360.2350.6ТП.24</t>
  </si>
  <si>
    <t>ВКВ.150.360.2400.6ТП.24</t>
  </si>
  <si>
    <t>ВКВ.150.360.2450.6ТП.24</t>
  </si>
  <si>
    <t>ВКВ.150.360.2500.6ТП.24</t>
  </si>
  <si>
    <t>ВКВ.150.360.2550.6ТП.24</t>
  </si>
  <si>
    <t>ВКВ.150.360.2600.6ТП.24</t>
  </si>
  <si>
    <t>ВКВ.150.360.2650.6ТП.24</t>
  </si>
  <si>
    <t>ВКВ.150.360.2700.6ТП.24</t>
  </si>
  <si>
    <t>ВКВ.150.360.2750.6ТП.24</t>
  </si>
  <si>
    <t>ВКВ.150.360.2800.6ТП.24</t>
  </si>
  <si>
    <t>ВКВ.150.360.2850.6ТП.24</t>
  </si>
  <si>
    <t>ВКВ.150.360.2900.6ТП.24</t>
  </si>
  <si>
    <t>ВКВ.150.360.2950.6ТП.24</t>
  </si>
  <si>
    <t>ВКВ.150.360.3000.6ТП.24</t>
  </si>
  <si>
    <t>ВКВ.150.360.700.8ТП.24</t>
  </si>
  <si>
    <t>ВКВ.150.360.750.8ТП.24</t>
  </si>
  <si>
    <t>ВКВ.150.360.800.8ТП.24</t>
  </si>
  <si>
    <t>ВКВ.150.360.850.8ТП.24</t>
  </si>
  <si>
    <t>ВКВ.150.360.900.8ТП.24</t>
  </si>
  <si>
    <t>ВКВ.150.360.950.8ТП.24</t>
  </si>
  <si>
    <t>ВКВ.150.360.1000.8ТП.24</t>
  </si>
  <si>
    <t>ВКВ.150.360.1050.8ТП.24</t>
  </si>
  <si>
    <t>ВКВ.150.360.1100.8ТП.24</t>
  </si>
  <si>
    <t>ВКВ.150.360.1150.8ТП.24</t>
  </si>
  <si>
    <t>ВКВ.150.360.1200.8ТП.24</t>
  </si>
  <si>
    <t>ВКВ.150.360.1250.8ТП.24</t>
  </si>
  <si>
    <t>ВКВ.150.360.1300.8ТП.24</t>
  </si>
  <si>
    <t>ВКВ.150.360.1350.8ТП.24</t>
  </si>
  <si>
    <t>ВКВ.150.360.1400.8ТП.24</t>
  </si>
  <si>
    <t>ВКВ.150.360.1450.8ТП.24</t>
  </si>
  <si>
    <t>ВКВ.150.360.1500.8ТП.24</t>
  </si>
  <si>
    <t>ВКВ.150.360.1550.8ТП.24</t>
  </si>
  <si>
    <t>ВКВ.150.360.1600.8ТП.24</t>
  </si>
  <si>
    <t>ВКВ.150.360.1650.8ТП.24</t>
  </si>
  <si>
    <t>ВКВ.150.360.1700.8ТП.24</t>
  </si>
  <si>
    <t>ВКВ.150.360.1750.8ТП.24</t>
  </si>
  <si>
    <t>ВКВ.150.360.1800.8ТП.24</t>
  </si>
  <si>
    <t>ВКВ.150.360.1850.8ТП.24</t>
  </si>
  <si>
    <t>ВКВ.150.360.1900.8ТП.24</t>
  </si>
  <si>
    <t>ВКВ.150.360.1950.8ТП.24</t>
  </si>
  <si>
    <t>ВКВ.150.360.2000.8ТП.24</t>
  </si>
  <si>
    <t>ВКВ.150.360.2050.8ТП.24</t>
  </si>
  <si>
    <t>ВКВ.150.360.2100.8ТП.24</t>
  </si>
  <si>
    <t>ВКВ.150.360.2150.8ТП.24</t>
  </si>
  <si>
    <t>ВКВ.150.360.2200.8ТП.24</t>
  </si>
  <si>
    <t>ВКВ.150.360.2250.8ТП.24</t>
  </si>
  <si>
    <t>ВКВ.150.360.2300.8ТП.24</t>
  </si>
  <si>
    <t>ВКВ.150.360.2350.8ТП.24</t>
  </si>
  <si>
    <t>ВКВ.150.360.2400.8ТП.24</t>
  </si>
  <si>
    <t>ВКВ.150.360.2450.8ТП.24</t>
  </si>
  <si>
    <t>ВКВ.150.360.2500.8ТП.24</t>
  </si>
  <si>
    <t>ВКВ.150.360.2550.8ТП.24</t>
  </si>
  <si>
    <t>ВКВ.150.360.2600.8ТП.24</t>
  </si>
  <si>
    <t>ВКВ.150.360.2650.8ТП.24</t>
  </si>
  <si>
    <t>ВКВ.150.360.2700.8ТП.24</t>
  </si>
  <si>
    <t>ВКВ.150.360.2750.8ТП.24</t>
  </si>
  <si>
    <t>ВКВ.150.360.2800.8ТП.24</t>
  </si>
  <si>
    <t>ВКВ.150.360.2850.8ТП.24</t>
  </si>
  <si>
    <t>ВКВ.150.360.2900.8ТП.24</t>
  </si>
  <si>
    <t>ВКВ.150.360.2950.8ТП.24</t>
  </si>
  <si>
    <t>ВКВ.150.360.3000.8ТП.24</t>
  </si>
  <si>
    <t>ВКВ.150.400.700.6ТП.24</t>
  </si>
  <si>
    <t>ВКВ.150.400.750.6ТП.24</t>
  </si>
  <si>
    <t>ВКВ.150.400.800.6ТП.24</t>
  </si>
  <si>
    <t>ВКВ.150.400.850.6ТП.24</t>
  </si>
  <si>
    <t>ВКВ.150.400.900.6ТП.24</t>
  </si>
  <si>
    <t>ВКВ.150.400.950.6ТП.24</t>
  </si>
  <si>
    <t>ВКВ.150.400.1000.6ТП.24</t>
  </si>
  <si>
    <t>ВКВ.150.400.1050.6ТП.24</t>
  </si>
  <si>
    <t>ВКВ.150.400.1100.6ТП.24</t>
  </si>
  <si>
    <t>ВКВ.150.400.1150.6ТП.24</t>
  </si>
  <si>
    <t>ВКВ.150.400.1200.6ТП.24</t>
  </si>
  <si>
    <t>ВКВ.150.400.1250.6ТП.24</t>
  </si>
  <si>
    <t>ВКВ.150.400.1300.6ТП.24</t>
  </si>
  <si>
    <t>ВКВ.150.400.1350.6ТП.24</t>
  </si>
  <si>
    <t>ВКВ.150.400.1400.6ТП.24</t>
  </si>
  <si>
    <t>ВКВ.150.400.1450.6ТП.24</t>
  </si>
  <si>
    <t>ВКВ.150.400.1500.6ТП.24</t>
  </si>
  <si>
    <t>ВКВ.150.400.1550.6ТП.24</t>
  </si>
  <si>
    <t>ВКВ.150.400.1600.6ТП.24</t>
  </si>
  <si>
    <t>ВКВ.150.400.1650.6ТП.24</t>
  </si>
  <si>
    <t>ВКВ.150.400.1700.6ТП.24</t>
  </si>
  <si>
    <t>ВКВ.150.400.1750.6ТП.24</t>
  </si>
  <si>
    <t>ВКВ.150.400.1800.6ТП.24</t>
  </si>
  <si>
    <t>ВКВ.150.400.1850.6ТП.24</t>
  </si>
  <si>
    <t>ВКВ.150.400.1900.6ТП.24</t>
  </si>
  <si>
    <t>ВКВ.150.400.1950.6ТП.24</t>
  </si>
  <si>
    <t>ВКВ.150.400.2000.6ТП.24</t>
  </si>
  <si>
    <t>ВКВ.150.400.2050.6ТП.24</t>
  </si>
  <si>
    <t>ВКВ.150.400.2100.6ТП.24</t>
  </si>
  <si>
    <t>ВКВ.150.400.2150.6ТП.24</t>
  </si>
  <si>
    <t>ВКВ.150.400.2200.6ТП.24</t>
  </si>
  <si>
    <t>ВКВ.150.400.2250.6ТП.24</t>
  </si>
  <si>
    <t>ВКВ.150.400.2300.6ТП.24</t>
  </si>
  <si>
    <t>ВКВ.150.400.2350.6ТП.24</t>
  </si>
  <si>
    <t>ВКВ.150.400.2400.6ТП.24</t>
  </si>
  <si>
    <t>ВКВ.150.400.2450.6ТП.24</t>
  </si>
  <si>
    <t>ВКВ.150.400.2500.6ТП.24</t>
  </si>
  <si>
    <t>ВКВ.150.400.2550.6ТП.24</t>
  </si>
  <si>
    <t>ВКВ.150.400.2600.6ТП.24</t>
  </si>
  <si>
    <t>ВКВ.150.400.2650.6ТП.24</t>
  </si>
  <si>
    <t>ВКВ.150.400.2700.6ТП.24</t>
  </si>
  <si>
    <t>ВКВ.150.400.2750.6ТП.24</t>
  </si>
  <si>
    <t>ВКВ.150.400.2800.6ТП.24</t>
  </si>
  <si>
    <t>ВКВ.150.400.2850.6ТП.24</t>
  </si>
  <si>
    <t>ВКВ.150.400.2900.6ТП.24</t>
  </si>
  <si>
    <t>ВКВ.150.400.2950.6ТП.24</t>
  </si>
  <si>
    <t>ВКВ.150.400.3000.6ТП.24</t>
  </si>
  <si>
    <t>ВКВ.150.400.700.8ТП.24</t>
  </si>
  <si>
    <t>ВКВ.150.400.750.8ТП.24</t>
  </si>
  <si>
    <t>ВКВ.150.400.800.8ТП.24</t>
  </si>
  <si>
    <t>ВКВ.150.400.850.8ТП.24</t>
  </si>
  <si>
    <t>ВКВ.150.400.900.8ТП.24</t>
  </si>
  <si>
    <t>ВКВ.150.400.950.8ТП.24</t>
  </si>
  <si>
    <t>ВКВ.150.400.1000.8ТП.24</t>
  </si>
  <si>
    <t>ВКВ.150.400.1050.8ТП.24</t>
  </si>
  <si>
    <t>ВКВ.150.400.1100.8ТП.24</t>
  </si>
  <si>
    <t>ВКВ.150.400.1150.8ТП.24</t>
  </si>
  <si>
    <t>ВКВ.150.400.1200.8ТП.24</t>
  </si>
  <si>
    <t>ВКВ.150.400.1250.8ТП.24</t>
  </si>
  <si>
    <t>ВКВ.150.400.1300.8ТП.24</t>
  </si>
  <si>
    <t>ВКВ.150.400.1350.8ТП.24</t>
  </si>
  <si>
    <t>ВКВ.150.400.1400.8ТП.24</t>
  </si>
  <si>
    <t>ВКВ.150.400.1450.8ТП.24</t>
  </si>
  <si>
    <t>ВКВ.150.400.1500.8ТП.24</t>
  </si>
  <si>
    <t>ВКВ.150.400.1550.8ТП.24</t>
  </si>
  <si>
    <t>ВКВ.150.400.1600.8ТП.24</t>
  </si>
  <si>
    <t>ВКВ.150.400.1650.8ТП.24</t>
  </si>
  <si>
    <t>ВКВ.150.400.1700.8ТП.24</t>
  </si>
  <si>
    <t>ВКВ.150.400.1750.8ТП.24</t>
  </si>
  <si>
    <t>ВКВ.150.400.1800.8ТП.24</t>
  </si>
  <si>
    <t>ВКВ.150.400.1850.8ТП.24</t>
  </si>
  <si>
    <t>ВКВ.150.400.1900.8ТП.24</t>
  </si>
  <si>
    <t>ВКВ.150.400.1950.8ТП.24</t>
  </si>
  <si>
    <t>ВКВ.150.400.2000.8ТП.24</t>
  </si>
  <si>
    <t>ВКВ.150.400.2050.8ТП.24</t>
  </si>
  <si>
    <t>ВКВ.150.400.2100.8ТП.24</t>
  </si>
  <si>
    <t>ВКВ.150.400.2150.8ТП.24</t>
  </si>
  <si>
    <t>ВКВ.150.400.2200.8ТП.24</t>
  </si>
  <si>
    <t>ВКВ.150.400.2250.8ТП.24</t>
  </si>
  <si>
    <t>ВКВ.150.400.2300.8ТП.24</t>
  </si>
  <si>
    <t>ВКВ.150.400.2350.8ТП.24</t>
  </si>
  <si>
    <t>ВКВ.150.400.2400.8ТП.24</t>
  </si>
  <si>
    <t>ВКВ.150.400.2450.8ТП.24</t>
  </si>
  <si>
    <t>ВКВ.150.400.2500.8ТП.24</t>
  </si>
  <si>
    <t>ВКВ.150.400.2550.8ТП.24</t>
  </si>
  <si>
    <t>ВКВ.150.400.2600.8ТП.24</t>
  </si>
  <si>
    <t>ВКВ.150.400.2650.8ТП.24</t>
  </si>
  <si>
    <t>ВКВ.150.400.2700.8ТП.24</t>
  </si>
  <si>
    <t>ВКВ.150.400.2750.8ТП.24</t>
  </si>
  <si>
    <t>ВКВ.150.400.2800.8ТП.24</t>
  </si>
  <si>
    <t>ВКВ.150.400.2850.8ТП.24</t>
  </si>
  <si>
    <t>ВКВ.150.400.2900.8ТП.24</t>
  </si>
  <si>
    <t>ВКВ.150.400.2950.8ТП.24</t>
  </si>
  <si>
    <t>ВКВ.150.400.3000.8ТП.24</t>
  </si>
  <si>
    <t>ВКВ+ВКЭ.90.360.700.2ТГ.24</t>
  </si>
  <si>
    <t>ВКВ+ВКЭ.90.360.750.2ТГ.24</t>
  </si>
  <si>
    <t>ВКВ+ВКЭ.90.360.800.2ТГ.24</t>
  </si>
  <si>
    <t>ВКВ+ВКЭ.90.360.850.2ТГ.24</t>
  </si>
  <si>
    <t>ВКВ+ВКЭ.90.360.900.2ТГ.24</t>
  </si>
  <si>
    <t>ВКВ+ВКЭ.90.360.950.2ТГ.24</t>
  </si>
  <si>
    <t>ВКВ+ВКЭ.90.360.1000.2ТГ.24</t>
  </si>
  <si>
    <t>ВКВ+ВКЭ.90.360.1050.2ТГ.24</t>
  </si>
  <si>
    <t>ВКВ+ВКЭ.90.360.1100.2ТГ.24</t>
  </si>
  <si>
    <t>ВКВ+ВКЭ.90.360.1150.2ТГ.24</t>
  </si>
  <si>
    <t>ВКВ+ВКЭ.90.360.1200.2ТГ.24</t>
  </si>
  <si>
    <t>ВКВ+ВКЭ.90.360.1250.2ТГ.24</t>
  </si>
  <si>
    <t>ВКВ+ВКЭ.90.360.1300.2ТГ.24</t>
  </si>
  <si>
    <t>ВКВ+ВКЭ.90.360.1350.2ТГ.24</t>
  </si>
  <si>
    <t>ВКВ+ВКЭ.90.360.1400.2ТГ.24</t>
  </si>
  <si>
    <t>ВКВ+ВКЭ.90.360.1450.2ТГ.24</t>
  </si>
  <si>
    <t>ВКВ+ВКЭ.90.360.1500.2ТГ.24</t>
  </si>
  <si>
    <t>ВКВ+ВКЭ.90.360.1550.2ТГ.24</t>
  </si>
  <si>
    <t>ВКВ+ВКЭ.90.360.1600.2ТГ.24</t>
  </si>
  <si>
    <t>ВКВ+ВКЭ.90.360.1650.2ТГ.24</t>
  </si>
  <si>
    <t>ВКВ+ВКЭ.90.360.1700.2ТГ.24</t>
  </si>
  <si>
    <t>ВКВ+ВКЭ.90.360.1750.2ТГ.24</t>
  </si>
  <si>
    <t>ВКВ+ВКЭ.90.360.1800.2ТГ.24</t>
  </si>
  <si>
    <t>ВКВ+ВКЭ.90.360.1850.2ТГ.24</t>
  </si>
  <si>
    <t>ВКВ+ВКЭ.90.360.1900.2ТГ.24</t>
  </si>
  <si>
    <t>ВКВ+ВКЭ.90.360.1950.2ТГ.24</t>
  </si>
  <si>
    <t>ВКВ+ВКЭ.90.360.2000.2ТГ.24</t>
  </si>
  <si>
    <t>ВКВ+ВКЭ.90.360.2050.2ТГ.24</t>
  </si>
  <si>
    <t>ВКВ+ВКЭ.90.360.2100.2ТГ.24</t>
  </si>
  <si>
    <t>ВКВ+ВКЭ.90.360.2150.2ТГ.24</t>
  </si>
  <si>
    <t>ВКВ+ВКЭ.90.360.2200.2ТГ.24</t>
  </si>
  <si>
    <t>ВКВ+ВКЭ.90.360.2250.2ТГ.24</t>
  </si>
  <si>
    <t>ВКВ+ВКЭ.90.360.2300.2ТГ.24</t>
  </si>
  <si>
    <t>ВКВ+ВКЭ.90.360.2350.2ТГ.24</t>
  </si>
  <si>
    <t>ВКВ+ВКЭ.90.360.2400.2ТГ.24</t>
  </si>
  <si>
    <t>ВКВ+ВКЭ.90.360.2450.2ТГ.24</t>
  </si>
  <si>
    <t>ВКВ+ВКЭ.90.360.2500.2ТГ.24</t>
  </si>
  <si>
    <t>ВКВ+ВКЭ.90.360.2550.2ТГ.24</t>
  </si>
  <si>
    <t>ВКВ+ВКЭ.90.360.2600.2ТГ.24</t>
  </si>
  <si>
    <t>ВКВ+ВКЭ.90.360.2650.2ТГ.24</t>
  </si>
  <si>
    <t>ВКВ+ВКЭ.90.360.2700.2ТГ.24</t>
  </si>
  <si>
    <t>ВКВ+ВКЭ.90.360.2750.2ТГ.24</t>
  </si>
  <si>
    <t>ВКВ+ВКЭ.90.360.2800.2ТГ.24</t>
  </si>
  <si>
    <t>ВКВ+ВКЭ.90.360.2850.2ТГ.24</t>
  </si>
  <si>
    <t>ВКВ+ВКЭ.90.360.2900.2ТГ.24</t>
  </si>
  <si>
    <t>ВКВ+ВКЭ.90.360.2950.2ТГ.24</t>
  </si>
  <si>
    <t>ВКВ+ВКЭ.90.360.3000.2ТГ.24</t>
  </si>
  <si>
    <t>ВТ.65.130.2ТГ.ХХХ</t>
  </si>
  <si>
    <t>ВТ.130.130.4ТК(4ТГ).ХХХ</t>
  </si>
  <si>
    <t>ВТ.130.195.6ТП(6ТГ).ХХХ</t>
  </si>
  <si>
    <t>ВТ.130.260.8ТП.ХХХ</t>
  </si>
  <si>
    <t>130 (65)</t>
  </si>
  <si>
    <t>130 (260)</t>
  </si>
  <si>
    <t>195 (390)</t>
  </si>
  <si>
    <t>Черный и белый  (Ral 9005, Ral 9016)</t>
  </si>
  <si>
    <t>Классическая палитра Ral</t>
  </si>
  <si>
    <t xml:space="preserve">Муар, шагрень палитра Ral </t>
  </si>
  <si>
    <t>Конвектор с лотком из нержавеющей стали (AISI 304 0,8мм) без решетки и рамки.</t>
  </si>
  <si>
    <t>Конвектор и лоток из нержавеющей стали (AISI 304 0,8мм)  с алюминиевой решеткой и рамкой (либо окантовкой).</t>
  </si>
  <si>
    <t>Конвектор и лоток из нержавеющей стали (AISI 304 0,8мм) с нержавеющей решеткой и окантовкой.</t>
  </si>
  <si>
    <t xml:space="preserve"> Стоимость решетки и окантовки из нержавеющей стали (AISI).</t>
  </si>
  <si>
    <t>Блок питания HDR-100-24</t>
  </si>
  <si>
    <t>Коэффициент для ВК</t>
  </si>
  <si>
    <t>160-260</t>
  </si>
  <si>
    <t>300-400</t>
  </si>
  <si>
    <t>600-1250</t>
  </si>
  <si>
    <t>Коэффициент для ВКВ</t>
  </si>
  <si>
    <t>Шаблон прямой</t>
  </si>
  <si>
    <t xml:space="preserve">Ножка для крепления конвектора </t>
  </si>
  <si>
    <t>Комплект для конвектора от 600-1950 мм (4 ножки)</t>
  </si>
  <si>
    <t>Комплект для конвектора от 2000-3000 мм (6 ножек)</t>
  </si>
  <si>
    <t>Максимальная высота конвектора от основания пола, мм</t>
  </si>
  <si>
    <t>*Услуга подбора цвета для дубовой решетки по образцу заказчика - 12 000 руб.</t>
  </si>
  <si>
    <t>Крышка перфорированная</t>
  </si>
  <si>
    <t>Крышка перфорированная по эскизу клиента</t>
  </si>
  <si>
    <t>Крышка перфорированная Узор 1-10</t>
  </si>
  <si>
    <t>Исполнение крышки перфорированной в цветах по классической палитре Ral</t>
  </si>
  <si>
    <t>Исполнение крышек перфорированных в цветах по палитре Ral</t>
  </si>
  <si>
    <t>Крышки перфорированные №1, 2, 3, 4 шириной до 300 мм</t>
  </si>
  <si>
    <t>Надбавка к цене крышки перфорированной, руб</t>
  </si>
  <si>
    <t>Нестандартная геометрия</t>
  </si>
  <si>
    <t>Ограничения!!!</t>
  </si>
  <si>
    <t>Минимальная величина угла 70°
Минимальная длина угловой части конвектора ВКВ без подключения теплоносителя = 400 мм + ширина мм конвектора. Минимальная длина угловой части конвектора ВКВ с подключением теплоносителя = 600 мм + ширина мм конвектора. В моделях ВКВЭ количество терморезисторов = длина мм угловой части - ширина мм конвектора</t>
  </si>
  <si>
    <t>Приточная вентиляция/дренаж</t>
  </si>
  <si>
    <t>Приточная вентиляция</t>
  </si>
  <si>
    <t>Приток не делается снизу конвектора для вентиляторных моделей!
Приточные патрубки доступны с высоты конвектора 90мм - ⌀50мм.
С высоты 150мм - ⌀100мм.
С высоты 200мм - ⌀150мм.</t>
  </si>
  <si>
    <t>Короб из оцинковки</t>
  </si>
  <si>
    <t>Короб из нержавейки</t>
  </si>
  <si>
    <t>Решетки</t>
  </si>
  <si>
    <t>Решетка на пластиковом основании</t>
  </si>
  <si>
    <t>Дуб</t>
  </si>
  <si>
    <t>Декор</t>
  </si>
  <si>
    <t>Алюминиевая решетка, декорированная под дерево.</t>
  </si>
  <si>
    <t>Надбавка к стандартной решетке</t>
  </si>
  <si>
    <t>Надбавка к стандартной решетке и рамке</t>
  </si>
  <si>
    <t>Решетка из дуба без покрытия, с втулками декор и рамкой, декорированными под дерево</t>
  </si>
  <si>
    <t>Решетка из дуба с покрытием масло-грунт, с втулками декор и рамкой, декорированными под дерево</t>
  </si>
  <si>
    <t>Решетка из дуба с покрытием масло-грунт, с втулками декор, без рамки или окантовки</t>
  </si>
  <si>
    <t>Решетка нержавеющая 18х10 с нержавеющей окантовкой и нержавеющими втулками</t>
  </si>
  <si>
    <t>Решетка нержавеющая 10х10 с нержавеющей окантовкой  и нержавеющими втулками</t>
  </si>
  <si>
    <t>Исполнение алюминиевой решетки с нерж. пружиной</t>
  </si>
  <si>
    <t>Изготовление декоративной крышки без покраски</t>
  </si>
  <si>
    <t>Надбавка к цене алюминиевой решетки и рамки</t>
  </si>
  <si>
    <t>Изготовление декоративной крышки с покраской в RAL</t>
  </si>
  <si>
    <t xml:space="preserve">Надбавка к цене крышки перфорированной </t>
  </si>
  <si>
    <t>Покраска</t>
  </si>
  <si>
    <t>Фитинг 3/4"</t>
  </si>
  <si>
    <t>Специсполнение с фитингом на 3/4'</t>
  </si>
  <si>
    <t>Перфорированная крышка</t>
  </si>
  <si>
    <t>Исполнение данной высоты возможно только под окантовку</t>
  </si>
  <si>
    <t>Комплекты подключения</t>
  </si>
  <si>
    <t>Калькулятор приточной вентиляции</t>
  </si>
  <si>
    <t>• КП №1– Крышка перфорированная узор №1;</t>
  </si>
  <si>
    <t>• Нерж –  решетка из нержавеющей стали.</t>
  </si>
  <si>
    <t>Решетка на пластиковом основании изготавливается без наценки к стоимости конвектора с рамкой или окантовкой.</t>
  </si>
  <si>
    <t>Решетка из дуба без покрытия, с втулками декор, рамкой из анодированного алюминия стандартного цвета</t>
  </si>
  <si>
    <t>* исполнение теплообменника для конвектора с принудительной конвекцией +15%</t>
  </si>
  <si>
    <t>Конвектор из оцинкованной стали с нержавеющим лотком (AISI 304 0,8мм) без решетки и рамки.</t>
  </si>
  <si>
    <t>Конвектор из оцинкованной стали с нержавеющим лотком (AISI 304 0,8мм)  с алюминиевой решеткой и рамкой (либо окантовкой).</t>
  </si>
  <si>
    <t>Конвектор из оцинкованной стали с нержавеющим лотком (AISI 304 0,8мм)  с нержавеющей решеткой и окантовкой.</t>
  </si>
  <si>
    <t>Таблица, показывающая конвекторы и комплекты подключения, которые к ним подходят</t>
  </si>
  <si>
    <t>Радиусное исполнение</t>
  </si>
  <si>
    <t>Комментарий: шаблон дает наглядное представление о том, как будет располагаться дуговой конвектор на объекте.</t>
  </si>
  <si>
    <t>Отвод конденсата (дренаж)</t>
  </si>
  <si>
    <t>НЕ ИЗГОТАВЛИВАЮТСЯ РАДИУСНЫЕ ВКВ 90/110.200.
Радиусные конвекторы изготавливаются только под J-окантовку или П-окантовку нерж. Радиусные конвекторы изготавливаются только с теплообменниками с трубой диаметром 15 мм. Для ВКЭ минимальный радиус 1500 мм</t>
  </si>
  <si>
    <t xml:space="preserve">Исполнение с выемкой под колонну применяется для установки конвектора, проходящего через любые виды колонн. </t>
  </si>
  <si>
    <t>Нержавеющая сталь</t>
  </si>
  <si>
    <t>ВКП.085.140.ХХХ.2ТГ</t>
  </si>
  <si>
    <t>ВКП</t>
  </si>
  <si>
    <t>ВКП.085.180.ХХХ.2ТГ</t>
  </si>
  <si>
    <t>ВКП.140.140.ХХХ.4ТК</t>
  </si>
  <si>
    <t>ВКВП.085.180.ХХХ.2ТГ.24V</t>
  </si>
  <si>
    <t>ВКВП</t>
  </si>
  <si>
    <t>ВКВП.140.140.ХХХ.2ТГ.24V</t>
  </si>
  <si>
    <t>Конвектор встраиваемый в подоконник без вентиляторов (естественная конвекция)</t>
  </si>
  <si>
    <t>Конвектор встраиваемый в подоконник с вентиляторами 24В DC (принудительная конвекция)</t>
  </si>
  <si>
    <t>Вернуться Калькулятор теплоотдач ВКП</t>
  </si>
  <si>
    <t xml:space="preserve"> Стоимость Решетки и Окантовки в составе конвектора.</t>
  </si>
  <si>
    <t>Исполнение возможно только под окантовку</t>
  </si>
  <si>
    <r>
      <t xml:space="preserve">Ширина конвектора </t>
    </r>
    <r>
      <rPr>
        <b/>
        <sz val="16"/>
        <color theme="1"/>
        <rFont val="Calibri"/>
        <family val="2"/>
        <charset val="204"/>
        <scheme val="minor"/>
      </rPr>
      <t>140</t>
    </r>
    <r>
      <rPr>
        <b/>
        <sz val="14"/>
        <color theme="1"/>
        <rFont val="Calibri"/>
        <family val="2"/>
        <charset val="204"/>
        <scheme val="minor"/>
      </rPr>
      <t xml:space="preserve"> мм</t>
    </r>
  </si>
  <si>
    <t>ВКП.</t>
  </si>
  <si>
    <r>
      <t xml:space="preserve">Ширина конвектора </t>
    </r>
    <r>
      <rPr>
        <b/>
        <sz val="16"/>
        <color theme="1"/>
        <rFont val="Calibri"/>
        <family val="2"/>
        <charset val="204"/>
        <scheme val="minor"/>
      </rPr>
      <t>180</t>
    </r>
    <r>
      <rPr>
        <b/>
        <sz val="14"/>
        <color theme="1"/>
        <rFont val="Calibri"/>
        <family val="2"/>
        <charset val="204"/>
        <scheme val="minor"/>
      </rPr>
      <t xml:space="preserve"> мм</t>
    </r>
  </si>
  <si>
    <t>Вернуться Калькулятор теплоотдач ВКВП</t>
  </si>
  <si>
    <t>Ширина конвектора 140 мм</t>
  </si>
  <si>
    <t>Калькулятор для подбора внутрипольного конвектора с приточной вентиляцией VITRON.</t>
  </si>
  <si>
    <t>• РF – решетка на пружине с F-образной окантовкой;</t>
  </si>
  <si>
    <r>
      <t xml:space="preserve">Термостатический клапан (аксиальный) G1/2''. </t>
    </r>
    <r>
      <rPr>
        <sz val="12"/>
        <color theme="1"/>
        <rFont val="Calibri"/>
        <family val="2"/>
        <charset val="204"/>
        <scheme val="minor"/>
      </rPr>
      <t>Производство Польша</t>
    </r>
  </si>
  <si>
    <t>Конвектор встраиваемый в подоконник с решеткой без дубовой доски.</t>
  </si>
  <si>
    <t>Стоимость дубовой доски</t>
  </si>
  <si>
    <t>Конвектор встраиваемый в подоконник с решёткой с дубовой доской.</t>
  </si>
  <si>
    <t>Ширина конвектора 290 мм</t>
  </si>
  <si>
    <t>ВКВП.90.290.900.2ТГ.24</t>
  </si>
  <si>
    <t>ВКВП.90.290.1000.2ТГ.24</t>
  </si>
  <si>
    <t>ВКВП.90.290.1250.2ТГ.24</t>
  </si>
  <si>
    <t>ВКВП.90.290.1500.2ТГ.24</t>
  </si>
  <si>
    <t>Конвектор с доской встраиваемый в подоконник с вентиляторами 24В DC (принудительная конвекция)</t>
  </si>
  <si>
    <t>Конвектор встраиваемый в подоконник, окрашеный в черный цвет, без решетки и окантовки.</t>
  </si>
  <si>
    <t>Конвектор подоконный с корпусом, окрашеный в черный цвет, с алюминиевой решеткой и окантовкой.</t>
  </si>
  <si>
    <t>Конвектор встраиваемый в подоконник с вентилятором, окрашенный в черный цвет, без решетки и окантовки.</t>
  </si>
  <si>
    <t>Конвектор встраиваемый в подоконник с вентилятором, окрашенный в черный цвет, с алюминиевой решеткой окантовкой.</t>
  </si>
  <si>
    <t>Термостат W-therm MCW.630/OH WI-FI белый.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</si>
</sst>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#,##0\ &quot;₽&quot;"/>
    <numFmt numFmtId="165" formatCode="#,##0.00\ [$₽-419];\-#,##0.00\ [$₽-419]"/>
    <numFmt numFmtId="166" formatCode="[$€-2]\ #,##0.00;\-[$€-2]\ #,##0.00"/>
    <numFmt numFmtId="167" formatCode="#,##0\ [$₽-419];\-#,##0\ [$₽-419]"/>
    <numFmt numFmtId="168" formatCode="#,##0.00_ ;\-#,##0.00\ "/>
    <numFmt numFmtId="169" formatCode="0.0"/>
    <numFmt numFmtId="170" formatCode="#,##0.000\ [$₽-419];\-#,##0.000\ [$₽-419]"/>
    <numFmt numFmtId="171" formatCode="_-* #,##0\ &quot;₽&quot;_-;\-* #,##0\ &quot;₽&quot;_-;_-* &quot;-&quot;??\ &quot;₽&quot;_-;_-@_-"/>
    <numFmt numFmtId="172" formatCode="0.000"/>
    <numFmt numFmtId="173" formatCode="#,##0&quot; ₽&quot;"/>
    <numFmt numFmtId="174" formatCode="0_ ;\-0\ "/>
    <numFmt numFmtId="175" formatCode="#,##0_ ;\-#,##0\ "/>
  </numFmts>
  <fonts count="1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Georgia"/>
      <family val="1"/>
      <charset val="204"/>
    </font>
    <font>
      <b/>
      <sz val="16"/>
      <color theme="1"/>
      <name val="Georgia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6"/>
      <color theme="1"/>
      <name val="Georgia"/>
      <family val="1"/>
      <charset val="204"/>
    </font>
    <font>
      <b/>
      <sz val="22"/>
      <color theme="1"/>
      <name val="Georgia"/>
      <family val="1"/>
      <charset val="204"/>
    </font>
    <font>
      <b/>
      <i/>
      <sz val="14"/>
      <color theme="1"/>
      <name val="Georgia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0"/>
      <name val="Calibri Light"/>
      <family val="2"/>
      <charset val="204"/>
      <scheme val="major"/>
    </font>
    <font>
      <b/>
      <shadow/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u/>
      <sz val="16"/>
      <name val="Georgia"/>
      <family val="1"/>
      <charset val="204"/>
    </font>
    <font>
      <b/>
      <u/>
      <sz val="16"/>
      <color rgb="FF92D050"/>
      <name val="Georgia"/>
      <family val="1"/>
      <charset val="204"/>
    </font>
    <font>
      <sz val="11"/>
      <color rgb="FF92D050"/>
      <name val="Calibri"/>
      <family val="2"/>
      <charset val="204"/>
      <scheme val="minor"/>
    </font>
    <font>
      <b/>
      <sz val="16"/>
      <name val="Georgia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6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4"/>
      <color rgb="FFFF33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b/>
      <sz val="13"/>
      <color theme="1"/>
      <name val="Times New Roman"/>
      <family val="1"/>
      <charset val="204"/>
    </font>
    <font>
      <b/>
      <sz val="11.5"/>
      <color rgb="FF000000"/>
      <name val="Arial"/>
      <family val="2"/>
      <charset val="204"/>
    </font>
    <font>
      <sz val="11.5"/>
      <color rgb="FF000000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u/>
      <sz val="18"/>
      <color theme="1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36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26"/>
      <color theme="1"/>
      <name val="Calibri"/>
      <family val="2"/>
      <scheme val="minor"/>
    </font>
    <font>
      <sz val="26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6"/>
      <color theme="0"/>
      <name val="Calibri Light"/>
      <family val="2"/>
      <charset val="204"/>
      <scheme val="major"/>
    </font>
    <font>
      <b/>
      <sz val="16"/>
      <color theme="0"/>
      <name val="Calibri"/>
      <family val="2"/>
      <charset val="204"/>
      <scheme val="minor"/>
    </font>
    <font>
      <b/>
      <sz val="16"/>
      <color theme="0"/>
      <name val="Calibri"/>
      <family val="2"/>
      <charset val="204"/>
    </font>
    <font>
      <b/>
      <sz val="11"/>
      <color rgb="FF000000"/>
      <name val="Yandex-sans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24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shadow/>
      <sz val="12"/>
      <name val="Calibri"/>
      <family val="2"/>
      <charset val="204"/>
      <scheme val="minor"/>
    </font>
    <font>
      <sz val="11"/>
      <color rgb="FF000000"/>
      <name val="Yandex-sans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charset val="204"/>
    </font>
    <font>
      <sz val="13.6"/>
      <color theme="1"/>
      <name val="Calibri"/>
      <family val="2"/>
    </font>
    <font>
      <b/>
      <sz val="36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36"/>
      <color indexed="64"/>
      <name val="Calibri"/>
      <family val="2"/>
      <charset val="204"/>
    </font>
    <font>
      <b/>
      <sz val="20"/>
      <color indexed="64"/>
      <name val="Calibri"/>
      <family val="2"/>
      <charset val="204"/>
    </font>
    <font>
      <sz val="18"/>
      <color indexed="2"/>
      <name val="Calibri"/>
      <family val="2"/>
      <charset val="204"/>
    </font>
    <font>
      <sz val="20"/>
      <color indexed="2"/>
      <name val="Calibri"/>
      <family val="2"/>
      <charset val="204"/>
    </font>
    <font>
      <b/>
      <sz val="12"/>
      <color indexed="2"/>
      <name val="Calibri"/>
      <family val="2"/>
      <charset val="204"/>
    </font>
    <font>
      <b/>
      <sz val="12"/>
      <color indexed="64"/>
      <name val="Calibri"/>
      <family val="2"/>
      <charset val="204"/>
    </font>
    <font>
      <sz val="11"/>
      <color indexed="2"/>
      <name val="Calibri"/>
      <family val="2"/>
      <charset val="204"/>
    </font>
    <font>
      <sz val="14"/>
      <color indexed="2"/>
      <name val="Calibri"/>
      <family val="2"/>
      <charset val="204"/>
    </font>
    <font>
      <b/>
      <sz val="16"/>
      <color indexed="64"/>
      <name val="Calibri"/>
      <family val="2"/>
      <charset val="204"/>
    </font>
    <font>
      <sz val="12"/>
      <color indexed="64"/>
      <name val="Calibri"/>
      <family val="2"/>
      <charset val="204"/>
    </font>
    <font>
      <b/>
      <sz val="18"/>
      <color indexed="64"/>
      <name val="Calibri"/>
      <family val="2"/>
      <charset val="204"/>
    </font>
    <font>
      <sz val="36"/>
      <color indexed="64"/>
      <name val="Calibri"/>
      <family val="2"/>
      <charset val="204"/>
    </font>
    <font>
      <b/>
      <sz val="14"/>
      <color indexed="64"/>
      <name val="Calibri"/>
      <family val="2"/>
      <charset val="204"/>
    </font>
    <font>
      <b/>
      <sz val="11"/>
      <color indexed="64"/>
      <name val="Calibri"/>
      <family val="2"/>
      <charset val="204"/>
    </font>
    <font>
      <sz val="11"/>
      <color indexed="64"/>
      <name val="Calibri"/>
      <family val="2"/>
      <charset val="204"/>
    </font>
    <font>
      <sz val="28"/>
      <color indexed="2"/>
      <name val="Calibri"/>
      <family val="2"/>
      <charset val="204"/>
    </font>
    <font>
      <sz val="10"/>
      <color indexed="2"/>
      <name val="Calibri"/>
      <family val="2"/>
      <charset val="204"/>
    </font>
    <font>
      <sz val="36"/>
      <color indexed="2"/>
      <name val="Calibri"/>
      <family val="2"/>
      <charset val="204"/>
    </font>
    <font>
      <sz val="16"/>
      <color indexed="2"/>
      <name val="Calibri"/>
      <family val="2"/>
      <charset val="204"/>
    </font>
    <font>
      <sz val="28"/>
      <color indexed="64"/>
      <name val="Calibri"/>
      <family val="2"/>
      <charset val="204"/>
    </font>
    <font>
      <sz val="16"/>
      <color indexed="64"/>
      <name val="Calibri"/>
      <family val="2"/>
      <charset val="204"/>
    </font>
    <font>
      <sz val="26"/>
      <color indexed="64"/>
      <name val="Calibri"/>
      <family val="2"/>
      <charset val="204"/>
    </font>
    <font>
      <b/>
      <sz val="22"/>
      <color indexed="64"/>
      <name val="Calibri"/>
      <family val="2"/>
      <charset val="204"/>
    </font>
    <font>
      <sz val="22"/>
      <color indexed="2"/>
      <name val="Calibri"/>
      <family val="2"/>
      <charset val="204"/>
    </font>
    <font>
      <sz val="24"/>
      <color indexed="2"/>
      <name val="Calibri"/>
      <family val="2"/>
      <charset val="204"/>
    </font>
    <font>
      <sz val="24"/>
      <color indexed="64"/>
      <name val="Calibri"/>
      <family val="2"/>
      <charset val="204"/>
    </font>
    <font>
      <sz val="14"/>
      <color indexed="64"/>
      <name val="Calibri"/>
      <family val="2"/>
      <charset val="204"/>
    </font>
    <font>
      <b/>
      <sz val="26"/>
      <color indexed="64"/>
      <name val="Calibri"/>
      <family val="2"/>
      <charset val="204"/>
    </font>
    <font>
      <sz val="11"/>
      <color rgb="FF0F1115"/>
      <name val="Segoe UI"/>
      <family val="2"/>
      <charset val="204"/>
    </font>
    <font>
      <sz val="22"/>
      <color indexed="64"/>
      <name val="Calibri"/>
      <family val="2"/>
      <charset val="204"/>
    </font>
    <font>
      <b/>
      <sz val="10"/>
      <color indexed="64"/>
      <name val="Calibri"/>
      <family val="2"/>
      <charset val="204"/>
    </font>
  </fonts>
  <fills count="6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00FF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3FFFF"/>
        <bgColor rgb="FFEDEDED"/>
      </patternFill>
    </fill>
    <fill>
      <patternFill patternType="solid">
        <fgColor rgb="FFF3FFFF"/>
        <bgColor rgb="FFF3FFFF"/>
      </patternFill>
    </fill>
    <fill>
      <patternFill patternType="solid">
        <fgColor theme="0"/>
        <bgColor rgb="FFEDEDED"/>
      </patternFill>
    </fill>
    <fill>
      <patternFill patternType="solid">
        <fgColor theme="8" tint="0.79998168889431442"/>
        <bgColor rgb="FFDAE3F3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rgb="FFFCF7FF"/>
        <bgColor rgb="FFEDEDED"/>
      </patternFill>
    </fill>
    <fill>
      <patternFill patternType="solid">
        <fgColor theme="8" tint="0.79998168889431442"/>
        <bgColor rgb="FFFFE699"/>
      </patternFill>
    </fill>
    <fill>
      <patternFill patternType="solid">
        <fgColor theme="7" tint="0.39997558519241921"/>
        <bgColor rgb="FFFFE699"/>
      </patternFill>
    </fill>
    <fill>
      <patternFill patternType="solid">
        <fgColor theme="7" tint="0.39997558519241921"/>
        <bgColor rgb="FFBDD7EE"/>
      </patternFill>
    </fill>
    <fill>
      <patternFill patternType="solid">
        <fgColor theme="7" tint="0.39997558519241921"/>
        <bgColor rgb="FFEDEDED"/>
      </patternFill>
    </fill>
    <fill>
      <patternFill patternType="solid">
        <fgColor theme="0"/>
        <bgColor rgb="FFDAE3F3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E699"/>
      </patternFill>
    </fill>
    <fill>
      <patternFill patternType="solid">
        <fgColor rgb="FFFCF7FF"/>
        <bgColor rgb="FFFCF7FF"/>
      </patternFill>
    </fill>
    <fill>
      <patternFill patternType="solid">
        <fgColor theme="0"/>
        <bgColor rgb="FFDEEBF7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theme="7" tint="-0.249977111117893"/>
        <bgColor indexed="64"/>
      </patternFill>
    </fill>
  </fills>
  <borders count="1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Up="1"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auto="1"/>
      </diagonal>
    </border>
    <border diagonalUp="1" diagonalDown="1">
      <left/>
      <right/>
      <top style="medium">
        <color indexed="64"/>
      </top>
      <bottom style="medium">
        <color indexed="64"/>
      </bottom>
      <diagonal style="thin">
        <color auto="1"/>
      </diagonal>
    </border>
    <border diagonalUp="1"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 diagonalUp="1" diagonalDown="1">
      <left/>
      <right/>
      <top/>
      <bottom/>
      <diagonal style="thin">
        <color auto="1"/>
      </diagonal>
    </border>
    <border diagonalUp="1"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auto="1"/>
      </diagonal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 diagonalUp="1" diagonalDown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auto="1"/>
      </diagonal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Up="1" diagonalDown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auto="1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auto="1"/>
      </diagonal>
    </border>
    <border diagonalUp="1"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auto="1"/>
      </diagonal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auto="1"/>
      </diagonal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auto="1"/>
      </diagonal>
    </border>
    <border diagonalUp="1" diagonalDown="1">
      <left style="medium">
        <color indexed="64"/>
      </left>
      <right/>
      <top/>
      <bottom style="medium">
        <color indexed="64"/>
      </bottom>
      <diagonal style="thin">
        <color auto="1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auto="1"/>
      </diagonal>
    </border>
    <border diagonalUp="1" diagonalDown="1">
      <left style="medium">
        <color indexed="64"/>
      </left>
      <right style="medium">
        <color indexed="64"/>
      </right>
      <top/>
      <bottom/>
      <diagonal style="thin">
        <color auto="1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auto="1"/>
      </diagonal>
    </border>
    <border diagonalUp="1"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auto="1"/>
      </diagonal>
    </border>
    <border diagonalUp="1"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auto="1"/>
      </diagonal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Up="1"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medium">
        <color indexed="64"/>
      </left>
      <right/>
      <top style="thin">
        <color indexed="64"/>
      </top>
      <bottom/>
      <diagonal style="thin">
        <color auto="1"/>
      </diagonal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auto="1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auto="1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Up="1"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auto="1"/>
      </diagonal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 diagonalUp="1"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/>
      <right/>
      <top style="medium">
        <color indexed="64"/>
      </top>
      <bottom/>
      <diagonal style="thin">
        <color indexed="64"/>
      </diagonal>
    </border>
    <border diagonalUp="1" diagonalDown="1">
      <left/>
      <right/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5"/>
      </left>
      <right style="thin">
        <color indexed="65"/>
      </right>
      <top/>
      <bottom/>
      <diagonal/>
    </border>
    <border>
      <left/>
      <right style="medium">
        <color auto="1"/>
      </right>
      <top style="thin">
        <color indexed="65"/>
      </top>
      <bottom/>
      <diagonal/>
    </border>
    <border>
      <left/>
      <right style="medium">
        <color auto="1"/>
      </right>
      <top/>
      <bottom style="thin">
        <color indexed="65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4">
    <xf numFmtId="165" fontId="0" fillId="0" borderId="0"/>
    <xf numFmtId="165" fontId="4" fillId="0" borderId="0" applyNumberFormat="0" applyFill="0" applyBorder="0" applyAlignment="0" applyProtection="0"/>
    <xf numFmtId="165" fontId="14" fillId="7" borderId="0" applyNumberFormat="0" applyBorder="0" applyAlignment="0" applyProtection="0"/>
    <xf numFmtId="165" fontId="14" fillId="8" borderId="0" applyNumberFormat="0" applyBorder="0" applyAlignment="0" applyProtection="0"/>
    <xf numFmtId="44" fontId="29" fillId="0" borderId="0" applyFont="0" applyFill="0" applyBorder="0" applyAlignment="0" applyProtection="0"/>
    <xf numFmtId="165" fontId="29" fillId="0" borderId="0"/>
    <xf numFmtId="0" fontId="32" fillId="0" borderId="0"/>
    <xf numFmtId="44" fontId="29" fillId="0" borderId="0" applyFont="0" applyFill="0" applyBorder="0" applyAlignment="0" applyProtection="0"/>
    <xf numFmtId="165" fontId="29" fillId="0" borderId="0"/>
    <xf numFmtId="0" fontId="69" fillId="41" borderId="0" applyNumberFormat="0" applyBorder="0" applyAlignment="0" applyProtection="0"/>
    <xf numFmtId="0" fontId="70" fillId="42" borderId="0" applyNumberFormat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</cellStyleXfs>
  <cellXfs count="3423">
    <xf numFmtId="165" fontId="0" fillId="0" borderId="0" xfId="0"/>
    <xf numFmtId="2" fontId="0" fillId="0" borderId="0" xfId="0" applyNumberFormat="1"/>
    <xf numFmtId="1" fontId="0" fillId="0" borderId="0" xfId="0" applyNumberFormat="1"/>
    <xf numFmtId="165" fontId="3" fillId="2" borderId="0" xfId="0" applyFont="1" applyFill="1"/>
    <xf numFmtId="165" fontId="5" fillId="2" borderId="0" xfId="1" applyFont="1" applyFill="1"/>
    <xf numFmtId="165" fontId="3" fillId="3" borderId="0" xfId="0" applyFont="1" applyFill="1" applyAlignment="1">
      <alignment vertical="center"/>
    </xf>
    <xf numFmtId="165" fontId="3" fillId="4" borderId="0" xfId="0" applyFont="1" applyFill="1" applyAlignment="1">
      <alignment vertical="center"/>
    </xf>
    <xf numFmtId="165" fontId="8" fillId="0" borderId="0" xfId="0" applyFont="1"/>
    <xf numFmtId="1" fontId="8" fillId="0" borderId="0" xfId="0" applyNumberFormat="1" applyFont="1" applyAlignment="1">
      <alignment horizontal="center"/>
    </xf>
    <xf numFmtId="2" fontId="8" fillId="0" borderId="0" xfId="0" applyNumberFormat="1" applyFont="1"/>
    <xf numFmtId="165" fontId="5" fillId="3" borderId="0" xfId="1" applyFont="1" applyFill="1" applyAlignment="1">
      <alignment vertical="center"/>
    </xf>
    <xf numFmtId="165" fontId="5" fillId="3" borderId="0" xfId="1" applyFont="1" applyFill="1"/>
    <xf numFmtId="165" fontId="5" fillId="3" borderId="0" xfId="1" applyFont="1" applyFill="1" applyAlignment="1"/>
    <xf numFmtId="165" fontId="5" fillId="4" borderId="0" xfId="1" applyFont="1" applyFill="1" applyAlignment="1">
      <alignment horizontal="left" vertical="center"/>
    </xf>
    <xf numFmtId="165" fontId="9" fillId="0" borderId="0" xfId="0" applyFont="1" applyAlignment="1">
      <alignment horizontal="left" vertical="center"/>
    </xf>
    <xf numFmtId="165" fontId="12" fillId="6" borderId="0" xfId="1" applyFont="1" applyFill="1"/>
    <xf numFmtId="165" fontId="12" fillId="0" borderId="0" xfId="1" applyFont="1" applyFill="1" applyAlignment="1"/>
    <xf numFmtId="165" fontId="0" fillId="12" borderId="0" xfId="0" applyFill="1"/>
    <xf numFmtId="165" fontId="3" fillId="2" borderId="0" xfId="0" applyFont="1" applyFill="1" applyAlignment="1">
      <alignment horizontal="right"/>
    </xf>
    <xf numFmtId="165" fontId="3" fillId="9" borderId="0" xfId="0" applyFont="1" applyFill="1" applyAlignment="1">
      <alignment vertical="center"/>
    </xf>
    <xf numFmtId="165" fontId="19" fillId="9" borderId="0" xfId="1" applyFont="1" applyFill="1" applyAlignment="1">
      <alignment vertical="center"/>
    </xf>
    <xf numFmtId="165" fontId="20" fillId="9" borderId="0" xfId="1" applyFont="1" applyFill="1" applyAlignment="1">
      <alignment vertical="center"/>
    </xf>
    <xf numFmtId="165" fontId="3" fillId="13" borderId="0" xfId="0" applyFont="1" applyFill="1" applyAlignment="1">
      <alignment vertical="center"/>
    </xf>
    <xf numFmtId="165" fontId="5" fillId="13" borderId="0" xfId="1" applyFont="1" applyFill="1"/>
    <xf numFmtId="165" fontId="9" fillId="14" borderId="15" xfId="0" applyFont="1" applyFill="1" applyBorder="1"/>
    <xf numFmtId="165" fontId="9" fillId="14" borderId="17" xfId="0" applyFont="1" applyFill="1" applyBorder="1"/>
    <xf numFmtId="1" fontId="9" fillId="2" borderId="11" xfId="0" applyNumberFormat="1" applyFont="1" applyFill="1" applyBorder="1" applyAlignment="1">
      <alignment horizontal="center" vertical="center" wrapText="1"/>
    </xf>
    <xf numFmtId="165" fontId="8" fillId="0" borderId="0" xfId="0" applyFont="1" applyAlignment="1">
      <alignment horizontal="center" vertical="center"/>
    </xf>
    <xf numFmtId="165" fontId="24" fillId="0" borderId="0" xfId="0" applyFont="1"/>
    <xf numFmtId="165" fontId="22" fillId="16" borderId="0" xfId="0" applyFont="1" applyFill="1"/>
    <xf numFmtId="165" fontId="19" fillId="16" borderId="0" xfId="1" applyFont="1" applyFill="1"/>
    <xf numFmtId="165" fontId="15" fillId="3" borderId="3" xfId="2" applyFont="1" applyFill="1" applyBorder="1" applyAlignment="1">
      <alignment horizontal="center" vertical="center"/>
    </xf>
    <xf numFmtId="165" fontId="15" fillId="3" borderId="6" xfId="2" applyFont="1" applyFill="1" applyBorder="1" applyAlignment="1">
      <alignment horizontal="center" vertical="center"/>
    </xf>
    <xf numFmtId="165" fontId="15" fillId="3" borderId="0" xfId="2" applyFont="1" applyFill="1" applyBorder="1" applyAlignment="1">
      <alignment horizontal="center" vertical="center"/>
    </xf>
    <xf numFmtId="165" fontId="15" fillId="3" borderId="11" xfId="2" applyFont="1" applyFill="1" applyBorder="1" applyAlignment="1">
      <alignment horizontal="center" vertical="center"/>
    </xf>
    <xf numFmtId="165" fontId="22" fillId="17" borderId="0" xfId="0" applyFont="1" applyFill="1"/>
    <xf numFmtId="165" fontId="19" fillId="17" borderId="0" xfId="1" applyFont="1" applyFill="1"/>
    <xf numFmtId="1" fontId="9" fillId="2" borderId="11" xfId="0" applyNumberFormat="1" applyFont="1" applyFill="1" applyBorder="1" applyAlignment="1">
      <alignment horizontal="center" vertical="center" wrapText="1"/>
    </xf>
    <xf numFmtId="165" fontId="9" fillId="2" borderId="5" xfId="0" applyFont="1" applyFill="1" applyBorder="1" applyAlignment="1">
      <alignment horizontal="center"/>
    </xf>
    <xf numFmtId="3" fontId="9" fillId="2" borderId="6" xfId="0" applyNumberFormat="1" applyFont="1" applyFill="1" applyBorder="1" applyAlignment="1">
      <alignment horizontal="center"/>
    </xf>
    <xf numFmtId="165" fontId="9" fillId="2" borderId="6" xfId="0" applyFont="1" applyFill="1" applyBorder="1" applyAlignment="1">
      <alignment horizontal="left"/>
    </xf>
    <xf numFmtId="165" fontId="9" fillId="2" borderId="8" xfId="0" applyFont="1" applyFill="1" applyBorder="1" applyAlignment="1">
      <alignment horizontal="center"/>
    </xf>
    <xf numFmtId="3" fontId="9" fillId="2" borderId="9" xfId="0" applyNumberFormat="1" applyFont="1" applyFill="1" applyBorder="1" applyAlignment="1">
      <alignment horizontal="center"/>
    </xf>
    <xf numFmtId="165" fontId="9" fillId="2" borderId="2" xfId="0" applyFont="1" applyFill="1" applyBorder="1" applyAlignment="1">
      <alignment horizontal="center"/>
    </xf>
    <xf numFmtId="3" fontId="9" fillId="2" borderId="3" xfId="0" applyNumberFormat="1" applyFont="1" applyFill="1" applyBorder="1" applyAlignment="1">
      <alignment horizontal="center"/>
    </xf>
    <xf numFmtId="165" fontId="9" fillId="2" borderId="0" xfId="0" applyFont="1" applyFill="1" applyBorder="1" applyAlignment="1">
      <alignment horizontal="left"/>
    </xf>
    <xf numFmtId="3" fontId="9" fillId="2" borderId="0" xfId="0" applyNumberFormat="1" applyFont="1" applyFill="1" applyBorder="1" applyAlignment="1">
      <alignment horizontal="center"/>
    </xf>
    <xf numFmtId="165" fontId="19" fillId="2" borderId="0" xfId="1" applyFont="1" applyFill="1"/>
    <xf numFmtId="165" fontId="9" fillId="18" borderId="8" xfId="0" applyFont="1" applyFill="1" applyBorder="1" applyAlignment="1">
      <alignment horizontal="center"/>
    </xf>
    <xf numFmtId="3" fontId="9" fillId="18" borderId="9" xfId="0" applyNumberFormat="1" applyFont="1" applyFill="1" applyBorder="1" applyAlignment="1">
      <alignment horizontal="center"/>
    </xf>
    <xf numFmtId="1" fontId="9" fillId="18" borderId="9" xfId="0" applyNumberFormat="1" applyFont="1" applyFill="1" applyBorder="1" applyAlignment="1">
      <alignment horizontal="left"/>
    </xf>
    <xf numFmtId="3" fontId="9" fillId="18" borderId="6" xfId="0" applyNumberFormat="1" applyFont="1" applyFill="1" applyBorder="1" applyAlignment="1">
      <alignment horizontal="center"/>
    </xf>
    <xf numFmtId="165" fontId="9" fillId="18" borderId="6" xfId="0" applyFont="1" applyFill="1" applyBorder="1" applyAlignment="1">
      <alignment horizontal="left"/>
    </xf>
    <xf numFmtId="165" fontId="9" fillId="18" borderId="5" xfId="0" applyFont="1" applyFill="1" applyBorder="1" applyAlignment="1">
      <alignment horizontal="center"/>
    </xf>
    <xf numFmtId="1" fontId="9" fillId="18" borderId="6" xfId="0" applyNumberFormat="1" applyFont="1" applyFill="1" applyBorder="1" applyAlignment="1">
      <alignment horizontal="left"/>
    </xf>
    <xf numFmtId="165" fontId="9" fillId="18" borderId="2" xfId="0" applyFont="1" applyFill="1" applyBorder="1" applyAlignment="1">
      <alignment horizontal="center"/>
    </xf>
    <xf numFmtId="3" fontId="9" fillId="18" borderId="3" xfId="0" applyNumberFormat="1" applyFont="1" applyFill="1" applyBorder="1" applyAlignment="1">
      <alignment horizontal="center"/>
    </xf>
    <xf numFmtId="1" fontId="9" fillId="18" borderId="3" xfId="0" applyNumberFormat="1" applyFont="1" applyFill="1" applyBorder="1" applyAlignment="1">
      <alignment horizontal="left"/>
    </xf>
    <xf numFmtId="164" fontId="8" fillId="0" borderId="12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165" fontId="0" fillId="0" borderId="20" xfId="0" applyBorder="1"/>
    <xf numFmtId="165" fontId="0" fillId="0" borderId="0" xfId="0"/>
    <xf numFmtId="1" fontId="8" fillId="0" borderId="30" xfId="0" applyNumberFormat="1" applyFont="1" applyBorder="1" applyAlignment="1">
      <alignment horizontal="center" vertical="center"/>
    </xf>
    <xf numFmtId="1" fontId="0" fillId="12" borderId="0" xfId="0" applyNumberFormat="1" applyFill="1"/>
    <xf numFmtId="165" fontId="6" fillId="12" borderId="0" xfId="0" applyFont="1" applyFill="1"/>
    <xf numFmtId="165" fontId="7" fillId="12" borderId="0" xfId="0" applyFont="1" applyFill="1"/>
    <xf numFmtId="165" fontId="21" fillId="12" borderId="0" xfId="0" applyFont="1" applyFill="1"/>
    <xf numFmtId="165" fontId="3" fillId="12" borderId="0" xfId="0" applyFont="1" applyFill="1"/>
    <xf numFmtId="165" fontId="1" fillId="12" borderId="0" xfId="0" applyFont="1" applyFill="1"/>
    <xf numFmtId="165" fontId="22" fillId="12" borderId="0" xfId="0" applyFont="1" applyFill="1"/>
    <xf numFmtId="165" fontId="23" fillId="12" borderId="0" xfId="0" applyFont="1" applyFill="1"/>
    <xf numFmtId="165" fontId="24" fillId="12" borderId="0" xfId="0" applyFont="1" applyFill="1"/>
    <xf numFmtId="165" fontId="2" fillId="12" borderId="0" xfId="0" applyFont="1" applyFill="1"/>
    <xf numFmtId="165" fontId="27" fillId="12" borderId="0" xfId="0" applyFont="1" applyFill="1"/>
    <xf numFmtId="1" fontId="8" fillId="0" borderId="30" xfId="0" applyNumberFormat="1" applyFont="1" applyBorder="1" applyAlignment="1">
      <alignment horizontal="center"/>
    </xf>
    <xf numFmtId="164" fontId="11" fillId="0" borderId="32" xfId="0" applyNumberFormat="1" applyFont="1" applyBorder="1" applyAlignment="1">
      <alignment horizontal="center" vertical="center"/>
    </xf>
    <xf numFmtId="164" fontId="11" fillId="0" borderId="33" xfId="0" applyNumberFormat="1" applyFont="1" applyBorder="1" applyAlignment="1">
      <alignment horizontal="center" vertical="center"/>
    </xf>
    <xf numFmtId="164" fontId="11" fillId="0" borderId="22" xfId="0" applyNumberFormat="1" applyFont="1" applyBorder="1" applyAlignment="1">
      <alignment horizontal="center" vertical="center"/>
    </xf>
    <xf numFmtId="165" fontId="22" fillId="18" borderId="0" xfId="0" applyFont="1" applyFill="1"/>
    <xf numFmtId="165" fontId="3" fillId="18" borderId="0" xfId="0" applyFont="1" applyFill="1"/>
    <xf numFmtId="165" fontId="29" fillId="0" borderId="0" xfId="5"/>
    <xf numFmtId="2" fontId="29" fillId="0" borderId="0" xfId="5" applyNumberFormat="1"/>
    <xf numFmtId="165" fontId="29" fillId="0" borderId="0" xfId="5" applyAlignment="1">
      <alignment horizontal="left" vertical="center"/>
    </xf>
    <xf numFmtId="1" fontId="8" fillId="0" borderId="0" xfId="0" applyNumberFormat="1" applyFont="1"/>
    <xf numFmtId="1" fontId="12" fillId="6" borderId="0" xfId="1" applyNumberFormat="1" applyFont="1" applyFill="1" applyAlignment="1"/>
    <xf numFmtId="1" fontId="12" fillId="0" borderId="0" xfId="1" applyNumberFormat="1" applyFont="1" applyFill="1" applyAlignment="1"/>
    <xf numFmtId="1" fontId="9" fillId="2" borderId="6" xfId="0" applyNumberFormat="1" applyFont="1" applyFill="1" applyBorder="1" applyAlignment="1">
      <alignment horizontal="left"/>
    </xf>
    <xf numFmtId="1" fontId="9" fillId="2" borderId="0" xfId="0" applyNumberFormat="1" applyFont="1" applyFill="1" applyBorder="1" applyAlignment="1">
      <alignment horizontal="left"/>
    </xf>
    <xf numFmtId="1" fontId="9" fillId="2" borderId="20" xfId="0" applyNumberFormat="1" applyFont="1" applyFill="1" applyBorder="1" applyAlignment="1">
      <alignment horizontal="center" vertical="center"/>
    </xf>
    <xf numFmtId="1" fontId="9" fillId="2" borderId="8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18" fillId="3" borderId="22" xfId="2" applyNumberFormat="1" applyFont="1" applyFill="1" applyBorder="1" applyAlignment="1">
      <alignment horizontal="center" vertical="center" wrapText="1" shrinkToFit="1"/>
    </xf>
    <xf numFmtId="166" fontId="18" fillId="3" borderId="25" xfId="2" applyNumberFormat="1" applyFont="1" applyFill="1" applyBorder="1" applyAlignment="1">
      <alignment horizontal="center" vertical="center" wrapText="1" shrinkToFit="1"/>
    </xf>
    <xf numFmtId="1" fontId="12" fillId="6" borderId="0" xfId="1" applyNumberFormat="1" applyFont="1" applyFill="1"/>
    <xf numFmtId="1" fontId="15" fillId="3" borderId="11" xfId="2" applyNumberFormat="1" applyFont="1" applyFill="1" applyBorder="1" applyAlignment="1">
      <alignment horizontal="center" vertical="center"/>
    </xf>
    <xf numFmtId="0" fontId="8" fillId="0" borderId="0" xfId="0" applyNumberFormat="1" applyFont="1"/>
    <xf numFmtId="0" fontId="12" fillId="0" borderId="0" xfId="1" applyNumberFormat="1" applyFont="1" applyFill="1" applyAlignment="1"/>
    <xf numFmtId="0" fontId="9" fillId="2" borderId="6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left"/>
    </xf>
    <xf numFmtId="3" fontId="8" fillId="0" borderId="34" xfId="0" applyNumberFormat="1" applyFont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9" fillId="2" borderId="20" xfId="0" applyNumberFormat="1" applyFont="1" applyFill="1" applyBorder="1" applyAlignment="1">
      <alignment horizontal="center" vertical="center"/>
    </xf>
    <xf numFmtId="164" fontId="8" fillId="0" borderId="0" xfId="4" applyNumberFormat="1" applyFont="1" applyAlignment="1">
      <alignment horizontal="right"/>
    </xf>
    <xf numFmtId="164" fontId="0" fillId="0" borderId="0" xfId="4" applyNumberFormat="1" applyFont="1"/>
    <xf numFmtId="164" fontId="8" fillId="0" borderId="0" xfId="4" applyNumberFormat="1" applyFont="1"/>
    <xf numFmtId="164" fontId="8" fillId="0" borderId="30" xfId="4" applyNumberFormat="1" applyFont="1" applyBorder="1" applyAlignment="1">
      <alignment horizontal="right" vertical="center"/>
    </xf>
    <xf numFmtId="164" fontId="8" fillId="0" borderId="30" xfId="4" applyNumberFormat="1" applyFont="1" applyBorder="1"/>
    <xf numFmtId="164" fontId="8" fillId="0" borderId="30" xfId="4" applyNumberFormat="1" applyFont="1" applyBorder="1" applyAlignment="1">
      <alignment horizontal="right"/>
    </xf>
    <xf numFmtId="164" fontId="0" fillId="0" borderId="0" xfId="0" applyNumberFormat="1"/>
    <xf numFmtId="164" fontId="8" fillId="0" borderId="30" xfId="0" applyNumberFormat="1" applyFont="1" applyBorder="1"/>
    <xf numFmtId="165" fontId="8" fillId="0" borderId="0" xfId="0" applyFont="1" applyFill="1"/>
    <xf numFmtId="1" fontId="8" fillId="0" borderId="0" xfId="0" applyNumberFormat="1" applyFont="1" applyFill="1"/>
    <xf numFmtId="167" fontId="0" fillId="0" borderId="0" xfId="0" applyNumberFormat="1"/>
    <xf numFmtId="3" fontId="9" fillId="20" borderId="6" xfId="0" applyNumberFormat="1" applyFont="1" applyFill="1" applyBorder="1" applyAlignment="1">
      <alignment horizontal="center"/>
    </xf>
    <xf numFmtId="1" fontId="9" fillId="20" borderId="6" xfId="0" applyNumberFormat="1" applyFont="1" applyFill="1" applyBorder="1" applyAlignment="1">
      <alignment horizontal="left"/>
    </xf>
    <xf numFmtId="3" fontId="9" fillId="20" borderId="9" xfId="0" applyNumberFormat="1" applyFont="1" applyFill="1" applyBorder="1" applyAlignment="1">
      <alignment horizontal="center"/>
    </xf>
    <xf numFmtId="165" fontId="9" fillId="14" borderId="15" xfId="0" applyFont="1" applyFill="1" applyBorder="1" applyAlignment="1">
      <alignment wrapText="1"/>
    </xf>
    <xf numFmtId="3" fontId="8" fillId="0" borderId="36" xfId="0" applyNumberFormat="1" applyFont="1" applyBorder="1" applyAlignment="1">
      <alignment horizontal="center" vertical="center"/>
    </xf>
    <xf numFmtId="1" fontId="8" fillId="0" borderId="37" xfId="0" applyNumberFormat="1" applyFont="1" applyBorder="1" applyAlignment="1">
      <alignment horizontal="center" vertical="center"/>
    </xf>
    <xf numFmtId="1" fontId="8" fillId="0" borderId="37" xfId="0" applyNumberFormat="1" applyFont="1" applyBorder="1" applyAlignment="1">
      <alignment horizontal="center"/>
    </xf>
    <xf numFmtId="164" fontId="8" fillId="0" borderId="37" xfId="0" applyNumberFormat="1" applyFont="1" applyBorder="1"/>
    <xf numFmtId="3" fontId="8" fillId="0" borderId="38" xfId="0" applyNumberFormat="1" applyFont="1" applyBorder="1" applyAlignment="1">
      <alignment horizontal="center" vertical="center"/>
    </xf>
    <xf numFmtId="1" fontId="8" fillId="0" borderId="39" xfId="0" applyNumberFormat="1" applyFont="1" applyBorder="1" applyAlignment="1">
      <alignment horizontal="center" vertical="center"/>
    </xf>
    <xf numFmtId="1" fontId="8" fillId="0" borderId="39" xfId="0" applyNumberFormat="1" applyFont="1" applyBorder="1" applyAlignment="1">
      <alignment horizontal="center"/>
    </xf>
    <xf numFmtId="164" fontId="8" fillId="0" borderId="39" xfId="0" applyNumberFormat="1" applyFont="1" applyBorder="1"/>
    <xf numFmtId="165" fontId="9" fillId="14" borderId="12" xfId="0" applyFont="1" applyFill="1" applyBorder="1"/>
    <xf numFmtId="165" fontId="9" fillId="14" borderId="14" xfId="0" applyFont="1" applyFill="1" applyBorder="1"/>
    <xf numFmtId="1" fontId="9" fillId="14" borderId="16" xfId="0" applyNumberFormat="1" applyFont="1" applyFill="1" applyBorder="1" applyAlignment="1">
      <alignment horizontal="center" vertical="center"/>
    </xf>
    <xf numFmtId="1" fontId="9" fillId="14" borderId="19" xfId="0" applyNumberFormat="1" applyFont="1" applyFill="1" applyBorder="1" applyAlignment="1">
      <alignment horizontal="center" vertical="center"/>
    </xf>
    <xf numFmtId="165" fontId="0" fillId="12" borderId="0" xfId="0" applyFill="1" applyBorder="1"/>
    <xf numFmtId="0" fontId="8" fillId="0" borderId="39" xfId="0" applyNumberFormat="1" applyFont="1" applyBorder="1" applyAlignment="1">
      <alignment horizontal="center" vertical="center"/>
    </xf>
    <xf numFmtId="164" fontId="8" fillId="0" borderId="39" xfId="4" applyNumberFormat="1" applyFont="1" applyBorder="1" applyAlignment="1">
      <alignment horizontal="right"/>
    </xf>
    <xf numFmtId="164" fontId="8" fillId="0" borderId="39" xfId="4" applyNumberFormat="1" applyFont="1" applyBorder="1"/>
    <xf numFmtId="1" fontId="9" fillId="20" borderId="9" xfId="0" applyNumberFormat="1" applyFont="1" applyFill="1" applyBorder="1" applyAlignment="1">
      <alignment horizontal="left"/>
    </xf>
    <xf numFmtId="0" fontId="8" fillId="0" borderId="37" xfId="0" applyNumberFormat="1" applyFont="1" applyBorder="1" applyAlignment="1">
      <alignment horizontal="center" vertical="center"/>
    </xf>
    <xf numFmtId="164" fontId="8" fillId="0" borderId="37" xfId="4" applyNumberFormat="1" applyFont="1" applyBorder="1"/>
    <xf numFmtId="2" fontId="0" fillId="0" borderId="0" xfId="4" applyNumberFormat="1" applyFont="1"/>
    <xf numFmtId="2" fontId="8" fillId="0" borderId="0" xfId="4" applyNumberFormat="1" applyFont="1"/>
    <xf numFmtId="2" fontId="9" fillId="2" borderId="11" xfId="0" applyNumberFormat="1" applyFont="1" applyFill="1" applyBorder="1" applyAlignment="1">
      <alignment horizontal="center" vertical="center" wrapText="1"/>
    </xf>
    <xf numFmtId="2" fontId="9" fillId="2" borderId="20" xfId="0" applyNumberFormat="1" applyFont="1" applyFill="1" applyBorder="1" applyAlignment="1">
      <alignment horizontal="center" vertical="center"/>
    </xf>
    <xf numFmtId="165" fontId="0" fillId="0" borderId="30" xfId="0" applyBorder="1"/>
    <xf numFmtId="2" fontId="9" fillId="2" borderId="11" xfId="4" applyNumberFormat="1" applyFont="1" applyFill="1" applyBorder="1" applyAlignment="1">
      <alignment horizontal="center" vertical="center" wrapText="1" shrinkToFit="1"/>
    </xf>
    <xf numFmtId="3" fontId="8" fillId="0" borderId="37" xfId="0" applyNumberFormat="1" applyFont="1" applyBorder="1" applyAlignment="1">
      <alignment horizontal="center" vertical="center"/>
    </xf>
    <xf numFmtId="2" fontId="8" fillId="0" borderId="37" xfId="4" applyNumberFormat="1" applyFont="1" applyBorder="1"/>
    <xf numFmtId="164" fontId="8" fillId="0" borderId="37" xfId="4" applyNumberFormat="1" applyFont="1" applyBorder="1" applyAlignment="1">
      <alignment horizontal="right"/>
    </xf>
    <xf numFmtId="3" fontId="8" fillId="0" borderId="30" xfId="0" applyNumberFormat="1" applyFont="1" applyBorder="1" applyAlignment="1">
      <alignment horizontal="center" vertical="center"/>
    </xf>
    <xf numFmtId="2" fontId="8" fillId="0" borderId="30" xfId="4" applyNumberFormat="1" applyFont="1" applyBorder="1"/>
    <xf numFmtId="3" fontId="8" fillId="0" borderId="39" xfId="0" applyNumberFormat="1" applyFont="1" applyBorder="1" applyAlignment="1">
      <alignment horizontal="center" vertical="center"/>
    </xf>
    <xf numFmtId="2" fontId="8" fillId="0" borderId="39" xfId="4" applyNumberFormat="1" applyFont="1" applyBorder="1"/>
    <xf numFmtId="164" fontId="8" fillId="0" borderId="37" xfId="4" applyNumberFormat="1" applyFont="1" applyBorder="1" applyAlignment="1">
      <alignment horizontal="right" vertical="center"/>
    </xf>
    <xf numFmtId="164" fontId="8" fillId="0" borderId="39" xfId="4" applyNumberFormat="1" applyFont="1" applyBorder="1" applyAlignment="1">
      <alignment horizontal="right" vertical="center"/>
    </xf>
    <xf numFmtId="2" fontId="8" fillId="0" borderId="37" xfId="0" applyNumberFormat="1" applyFont="1" applyBorder="1"/>
    <xf numFmtId="2" fontId="8" fillId="0" borderId="30" xfId="0" applyNumberFormat="1" applyFont="1" applyBorder="1"/>
    <xf numFmtId="2" fontId="8" fillId="0" borderId="39" xfId="0" applyNumberFormat="1" applyFont="1" applyBorder="1"/>
    <xf numFmtId="2" fontId="29" fillId="0" borderId="30" xfId="5" applyNumberFormat="1" applyBorder="1"/>
    <xf numFmtId="2" fontId="29" fillId="0" borderId="39" xfId="5" applyNumberFormat="1" applyBorder="1"/>
    <xf numFmtId="167" fontId="8" fillId="0" borderId="37" xfId="0" applyNumberFormat="1" applyFont="1" applyBorder="1"/>
    <xf numFmtId="167" fontId="8" fillId="0" borderId="30" xfId="0" applyNumberFormat="1" applyFont="1" applyBorder="1"/>
    <xf numFmtId="167" fontId="8" fillId="0" borderId="39" xfId="0" applyNumberFormat="1" applyFont="1" applyBorder="1"/>
    <xf numFmtId="2" fontId="8" fillId="0" borderId="37" xfId="5" applyNumberFormat="1" applyFont="1" applyBorder="1"/>
    <xf numFmtId="2" fontId="8" fillId="0" borderId="30" xfId="5" applyNumberFormat="1" applyFont="1" applyBorder="1"/>
    <xf numFmtId="165" fontId="9" fillId="6" borderId="41" xfId="0" applyFont="1" applyFill="1" applyBorder="1"/>
    <xf numFmtId="0" fontId="8" fillId="0" borderId="41" xfId="0" applyNumberFormat="1" applyFont="1" applyBorder="1" applyAlignment="1">
      <alignment horizontal="center" vertical="center"/>
    </xf>
    <xf numFmtId="165" fontId="3" fillId="6" borderId="0" xfId="0" applyFont="1" applyFill="1" applyAlignment="1">
      <alignment vertical="center"/>
    </xf>
    <xf numFmtId="165" fontId="5" fillId="6" borderId="0" xfId="1" applyFont="1" applyFill="1" applyAlignment="1">
      <alignment horizontal="left" vertical="center"/>
    </xf>
    <xf numFmtId="0" fontId="9" fillId="6" borderId="20" xfId="0" applyNumberFormat="1" applyFont="1" applyFill="1" applyBorder="1" applyAlignment="1">
      <alignment horizontal="center" vertical="center"/>
    </xf>
    <xf numFmtId="167" fontId="8" fillId="0" borderId="41" xfId="0" applyNumberFormat="1" applyFont="1" applyBorder="1"/>
    <xf numFmtId="2" fontId="8" fillId="0" borderId="39" xfId="5" applyNumberFormat="1" applyFont="1" applyBorder="1"/>
    <xf numFmtId="0" fontId="19" fillId="2" borderId="0" xfId="1" applyNumberFormat="1" applyFont="1" applyFill="1"/>
    <xf numFmtId="165" fontId="29" fillId="12" borderId="0" xfId="0" applyFont="1" applyFill="1" applyAlignment="1">
      <alignment horizontal="center" vertical="center"/>
    </xf>
    <xf numFmtId="165" fontId="34" fillId="12" borderId="0" xfId="0" applyFont="1" applyFill="1" applyAlignment="1">
      <alignment horizontal="left" vertical="center"/>
    </xf>
    <xf numFmtId="165" fontId="35" fillId="12" borderId="0" xfId="0" applyFont="1" applyFill="1" applyAlignment="1">
      <alignment vertical="center"/>
    </xf>
    <xf numFmtId="165" fontId="36" fillId="12" borderId="0" xfId="0" applyFont="1" applyFill="1" applyAlignment="1">
      <alignment vertical="center"/>
    </xf>
    <xf numFmtId="165" fontId="37" fillId="12" borderId="0" xfId="0" applyFont="1" applyFill="1" applyAlignment="1">
      <alignment horizontal="justify" vertical="center"/>
    </xf>
    <xf numFmtId="165" fontId="36" fillId="12" borderId="0" xfId="0" applyFont="1" applyFill="1" applyAlignment="1">
      <alignment horizontal="justify" vertical="center"/>
    </xf>
    <xf numFmtId="165" fontId="39" fillId="12" borderId="0" xfId="0" applyFont="1" applyFill="1" applyAlignment="1">
      <alignment vertical="center"/>
    </xf>
    <xf numFmtId="165" fontId="40" fillId="12" borderId="0" xfId="0" applyFont="1" applyFill="1" applyAlignment="1">
      <alignment horizontal="justify" vertical="center"/>
    </xf>
    <xf numFmtId="165" fontId="29" fillId="12" borderId="0" xfId="5" applyFill="1"/>
    <xf numFmtId="165" fontId="37" fillId="12" borderId="0" xfId="0" applyFont="1" applyFill="1"/>
    <xf numFmtId="165" fontId="22" fillId="20" borderId="0" xfId="0" applyFont="1" applyFill="1"/>
    <xf numFmtId="165" fontId="19" fillId="20" borderId="0" xfId="1" applyFont="1" applyFill="1" applyAlignment="1">
      <alignment horizontal="left"/>
    </xf>
    <xf numFmtId="165" fontId="3" fillId="20" borderId="0" xfId="0" applyFont="1" applyFill="1"/>
    <xf numFmtId="1" fontId="8" fillId="0" borderId="20" xfId="0" applyNumberFormat="1" applyFont="1" applyBorder="1" applyAlignment="1">
      <alignment horizontal="center" vertical="center"/>
    </xf>
    <xf numFmtId="165" fontId="29" fillId="0" borderId="30" xfId="5" applyBorder="1" applyAlignment="1">
      <alignment horizontal="left" vertical="center"/>
    </xf>
    <xf numFmtId="165" fontId="29" fillId="0" borderId="30" xfId="5" applyBorder="1"/>
    <xf numFmtId="165" fontId="29" fillId="0" borderId="30" xfId="5" applyFill="1" applyBorder="1" applyAlignment="1"/>
    <xf numFmtId="165" fontId="9" fillId="0" borderId="30" xfId="5" applyFont="1" applyBorder="1" applyAlignment="1">
      <alignment horizontal="left" vertical="center"/>
    </xf>
    <xf numFmtId="165" fontId="16" fillId="0" borderId="30" xfId="5" applyFont="1" applyBorder="1" applyAlignment="1">
      <alignment horizontal="left" vertical="center" wrapText="1" shrinkToFit="1"/>
    </xf>
    <xf numFmtId="165" fontId="9" fillId="0" borderId="30" xfId="5" applyFont="1" applyBorder="1" applyAlignment="1">
      <alignment horizontal="left" vertical="center" wrapText="1"/>
    </xf>
    <xf numFmtId="165" fontId="17" fillId="0" borderId="30" xfId="5" applyFont="1" applyBorder="1" applyAlignment="1">
      <alignment horizontal="left" vertical="center"/>
    </xf>
    <xf numFmtId="165" fontId="29" fillId="0" borderId="39" xfId="5" applyBorder="1"/>
    <xf numFmtId="165" fontId="41" fillId="12" borderId="0" xfId="0" applyFont="1" applyFill="1" applyAlignment="1">
      <alignment vertical="center"/>
    </xf>
    <xf numFmtId="165" fontId="42" fillId="12" borderId="0" xfId="0" applyFont="1" applyFill="1" applyAlignment="1">
      <alignment vertical="center"/>
    </xf>
    <xf numFmtId="165" fontId="3" fillId="23" borderId="0" xfId="0" applyFont="1" applyFill="1" applyAlignment="1">
      <alignment vertical="center"/>
    </xf>
    <xf numFmtId="165" fontId="5" fillId="23" borderId="0" xfId="1" applyFont="1" applyFill="1"/>
    <xf numFmtId="164" fontId="8" fillId="0" borderId="0" xfId="0" applyNumberFormat="1" applyFont="1"/>
    <xf numFmtId="1" fontId="9" fillId="2" borderId="9" xfId="0" applyNumberFormat="1" applyFont="1" applyFill="1" applyBorder="1" applyAlignment="1">
      <alignment horizontal="left"/>
    </xf>
    <xf numFmtId="165" fontId="9" fillId="2" borderId="10" xfId="0" applyFont="1" applyFill="1" applyBorder="1" applyAlignment="1">
      <alignment horizontal="left"/>
    </xf>
    <xf numFmtId="0" fontId="29" fillId="0" borderId="0" xfId="5" applyNumberFormat="1"/>
    <xf numFmtId="165" fontId="3" fillId="24" borderId="0" xfId="0" applyFont="1" applyFill="1"/>
    <xf numFmtId="165" fontId="3" fillId="24" borderId="0" xfId="0" applyFont="1" applyFill="1" applyAlignment="1">
      <alignment horizontal="right"/>
    </xf>
    <xf numFmtId="165" fontId="22" fillId="24" borderId="0" xfId="0" applyFont="1" applyFill="1"/>
    <xf numFmtId="2" fontId="9" fillId="24" borderId="11" xfId="4" applyNumberFormat="1" applyFont="1" applyFill="1" applyBorder="1" applyAlignment="1">
      <alignment horizontal="center" vertical="center" wrapText="1" shrinkToFit="1"/>
    </xf>
    <xf numFmtId="165" fontId="9" fillId="24" borderId="5" xfId="0" applyFont="1" applyFill="1" applyBorder="1" applyAlignment="1">
      <alignment horizontal="center"/>
    </xf>
    <xf numFmtId="3" fontId="9" fillId="24" borderId="6" xfId="0" applyNumberFormat="1" applyFont="1" applyFill="1" applyBorder="1" applyAlignment="1">
      <alignment horizontal="center"/>
    </xf>
    <xf numFmtId="1" fontId="9" fillId="24" borderId="6" xfId="0" applyNumberFormat="1" applyFont="1" applyFill="1" applyBorder="1" applyAlignment="1">
      <alignment horizontal="left"/>
    </xf>
    <xf numFmtId="165" fontId="9" fillId="24" borderId="6" xfId="0" applyFont="1" applyFill="1" applyBorder="1" applyAlignment="1">
      <alignment horizontal="left"/>
    </xf>
    <xf numFmtId="3" fontId="9" fillId="24" borderId="9" xfId="0" applyNumberFormat="1" applyFont="1" applyFill="1" applyBorder="1" applyAlignment="1">
      <alignment horizontal="center"/>
    </xf>
    <xf numFmtId="165" fontId="9" fillId="24" borderId="27" xfId="0" applyFont="1" applyFill="1" applyBorder="1" applyAlignment="1">
      <alignment horizontal="center"/>
    </xf>
    <xf numFmtId="3" fontId="9" fillId="24" borderId="3" xfId="0" applyNumberFormat="1" applyFont="1" applyFill="1" applyBorder="1" applyAlignment="1">
      <alignment horizontal="center"/>
    </xf>
    <xf numFmtId="1" fontId="9" fillId="24" borderId="0" xfId="0" applyNumberFormat="1" applyFont="1" applyFill="1" applyBorder="1" applyAlignment="1">
      <alignment horizontal="left"/>
    </xf>
    <xf numFmtId="3" fontId="9" fillId="24" borderId="0" xfId="0" applyNumberFormat="1" applyFont="1" applyFill="1" applyBorder="1" applyAlignment="1">
      <alignment horizontal="center"/>
    </xf>
    <xf numFmtId="165" fontId="19" fillId="24" borderId="0" xfId="0" applyFont="1" applyFill="1"/>
    <xf numFmtId="165" fontId="19" fillId="24" borderId="0" xfId="1" applyFont="1" applyFill="1"/>
    <xf numFmtId="1" fontId="8" fillId="0" borderId="30" xfId="0" applyNumberFormat="1" applyFont="1" applyBorder="1" applyAlignment="1">
      <alignment horizontal="center" vertical="center" wrapText="1"/>
    </xf>
    <xf numFmtId="165" fontId="0" fillId="0" borderId="30" xfId="0" applyBorder="1" applyAlignment="1">
      <alignment horizontal="center" vertical="center" wrapText="1"/>
    </xf>
    <xf numFmtId="1" fontId="8" fillId="0" borderId="30" xfId="0" applyNumberFormat="1" applyFont="1" applyFill="1" applyBorder="1" applyAlignment="1">
      <alignment horizontal="center" vertical="center"/>
    </xf>
    <xf numFmtId="1" fontId="25" fillId="0" borderId="30" xfId="0" applyNumberFormat="1" applyFont="1" applyBorder="1" applyAlignment="1">
      <alignment horizontal="center" vertical="center"/>
    </xf>
    <xf numFmtId="164" fontId="0" fillId="9" borderId="39" xfId="0" applyNumberFormat="1" applyFill="1" applyBorder="1" applyAlignment="1">
      <alignment horizontal="center" vertical="center"/>
    </xf>
    <xf numFmtId="2" fontId="8" fillId="0" borderId="39" xfId="0" applyNumberFormat="1" applyFont="1" applyFill="1" applyBorder="1" applyAlignment="1">
      <alignment horizontal="center" vertical="center" wrapText="1"/>
    </xf>
    <xf numFmtId="165" fontId="0" fillId="12" borderId="0" xfId="0" applyFill="1" applyAlignment="1">
      <alignment horizontal="center" vertical="center"/>
    </xf>
    <xf numFmtId="2" fontId="8" fillId="12" borderId="0" xfId="0" applyNumberFormat="1" applyFont="1" applyFill="1" applyBorder="1" applyAlignment="1">
      <alignment horizontal="center" vertical="center"/>
    </xf>
    <xf numFmtId="1" fontId="25" fillId="12" borderId="0" xfId="0" applyNumberFormat="1" applyFont="1" applyFill="1" applyBorder="1" applyAlignment="1">
      <alignment horizontal="center" vertical="center"/>
    </xf>
    <xf numFmtId="1" fontId="8" fillId="12" borderId="0" xfId="0" applyNumberFormat="1" applyFont="1" applyFill="1" applyBorder="1" applyAlignment="1">
      <alignment horizontal="center" vertical="center" wrapText="1"/>
    </xf>
    <xf numFmtId="165" fontId="0" fillId="12" borderId="0" xfId="0" applyFill="1" applyBorder="1" applyAlignment="1">
      <alignment horizontal="center" vertical="center" wrapText="1"/>
    </xf>
    <xf numFmtId="165" fontId="0" fillId="12" borderId="0" xfId="0" applyFill="1" applyBorder="1" applyAlignment="1">
      <alignment horizontal="center" vertical="center"/>
    </xf>
    <xf numFmtId="166" fontId="9" fillId="12" borderId="0" xfId="0" applyNumberFormat="1" applyFont="1" applyFill="1" applyBorder="1" applyAlignment="1">
      <alignment horizontal="center" vertical="center"/>
    </xf>
    <xf numFmtId="2" fontId="8" fillId="12" borderId="0" xfId="0" applyNumberFormat="1" applyFont="1" applyFill="1" applyBorder="1" applyAlignment="1">
      <alignment vertical="center"/>
    </xf>
    <xf numFmtId="2" fontId="11" fillId="0" borderId="10" xfId="0" applyNumberFormat="1" applyFont="1" applyFill="1" applyBorder="1" applyAlignment="1">
      <alignment horizontal="center" vertical="center" wrapText="1"/>
    </xf>
    <xf numFmtId="2" fontId="11" fillId="0" borderId="20" xfId="0" applyNumberFormat="1" applyFont="1" applyFill="1" applyBorder="1" applyAlignment="1">
      <alignment horizontal="center" vertical="center"/>
    </xf>
    <xf numFmtId="166" fontId="0" fillId="12" borderId="0" xfId="0" applyNumberFormat="1" applyFill="1"/>
    <xf numFmtId="3" fontId="9" fillId="24" borderId="10" xfId="0" applyNumberFormat="1" applyFont="1" applyFill="1" applyBorder="1" applyAlignment="1">
      <alignment horizontal="center" vertical="center"/>
    </xf>
    <xf numFmtId="3" fontId="9" fillId="20" borderId="10" xfId="0" applyNumberFormat="1" applyFont="1" applyFill="1" applyBorder="1" applyAlignment="1">
      <alignment horizontal="center" vertical="center"/>
    </xf>
    <xf numFmtId="3" fontId="9" fillId="19" borderId="10" xfId="0" applyNumberFormat="1" applyFont="1" applyFill="1" applyBorder="1" applyAlignment="1">
      <alignment horizontal="center" vertical="center"/>
    </xf>
    <xf numFmtId="0" fontId="9" fillId="19" borderId="20" xfId="0" applyNumberFormat="1" applyFont="1" applyFill="1" applyBorder="1" applyAlignment="1">
      <alignment horizontal="center" vertical="center"/>
    </xf>
    <xf numFmtId="2" fontId="9" fillId="19" borderId="11" xfId="4" applyNumberFormat="1" applyFont="1" applyFill="1" applyBorder="1" applyAlignment="1">
      <alignment horizontal="center" vertical="center" wrapText="1" shrinkToFit="1"/>
    </xf>
    <xf numFmtId="0" fontId="9" fillId="24" borderId="20" xfId="0" applyNumberFormat="1" applyFont="1" applyFill="1" applyBorder="1" applyAlignment="1">
      <alignment horizontal="center" vertical="center"/>
    </xf>
    <xf numFmtId="0" fontId="9" fillId="20" borderId="20" xfId="0" applyNumberFormat="1" applyFont="1" applyFill="1" applyBorder="1" applyAlignment="1">
      <alignment horizontal="center" vertical="center"/>
    </xf>
    <xf numFmtId="2" fontId="9" fillId="20" borderId="11" xfId="4" applyNumberFormat="1" applyFont="1" applyFill="1" applyBorder="1" applyAlignment="1">
      <alignment horizontal="center" vertical="center" wrapText="1" shrinkToFit="1"/>
    </xf>
    <xf numFmtId="165" fontId="12" fillId="6" borderId="0" xfId="1" applyFont="1" applyFill="1" applyAlignment="1">
      <alignment horizontal="left"/>
    </xf>
    <xf numFmtId="165" fontId="29" fillId="12" borderId="0" xfId="5" applyFill="1" applyAlignment="1">
      <alignment horizontal="left" vertical="center"/>
    </xf>
    <xf numFmtId="2" fontId="8" fillId="0" borderId="41" xfId="5" applyNumberFormat="1" applyFont="1" applyBorder="1"/>
    <xf numFmtId="1" fontId="8" fillId="0" borderId="41" xfId="0" applyNumberFormat="1" applyFont="1" applyBorder="1" applyAlignment="1">
      <alignment horizontal="center"/>
    </xf>
    <xf numFmtId="164" fontId="8" fillId="0" borderId="41" xfId="0" applyNumberFormat="1" applyFont="1" applyBorder="1"/>
    <xf numFmtId="164" fontId="8" fillId="0" borderId="41" xfId="4" applyNumberFormat="1" applyFont="1" applyBorder="1"/>
    <xf numFmtId="2" fontId="8" fillId="0" borderId="43" xfId="5" applyNumberFormat="1" applyFont="1" applyBorder="1"/>
    <xf numFmtId="1" fontId="8" fillId="0" borderId="43" xfId="0" applyNumberFormat="1" applyFont="1" applyBorder="1" applyAlignment="1">
      <alignment horizontal="center"/>
    </xf>
    <xf numFmtId="164" fontId="8" fillId="0" borderId="43" xfId="0" applyNumberFormat="1" applyFont="1" applyBorder="1"/>
    <xf numFmtId="164" fontId="8" fillId="0" borderId="43" xfId="4" applyNumberFormat="1" applyFont="1" applyBorder="1"/>
    <xf numFmtId="164" fontId="8" fillId="0" borderId="46" xfId="4" applyNumberFormat="1" applyFont="1" applyBorder="1"/>
    <xf numFmtId="164" fontId="8" fillId="0" borderId="42" xfId="4" applyNumberFormat="1" applyFont="1" applyBorder="1"/>
    <xf numFmtId="164" fontId="8" fillId="0" borderId="47" xfId="4" applyNumberFormat="1" applyFont="1" applyBorder="1"/>
    <xf numFmtId="164" fontId="8" fillId="0" borderId="12" xfId="4" applyNumberFormat="1" applyFont="1" applyBorder="1"/>
    <xf numFmtId="164" fontId="8" fillId="0" borderId="14" xfId="4" applyNumberFormat="1" applyFont="1" applyBorder="1"/>
    <xf numFmtId="164" fontId="8" fillId="0" borderId="15" xfId="4" applyNumberFormat="1" applyFont="1" applyBorder="1"/>
    <xf numFmtId="164" fontId="8" fillId="0" borderId="16" xfId="4" applyNumberFormat="1" applyFont="1" applyBorder="1"/>
    <xf numFmtId="164" fontId="8" fillId="0" borderId="17" xfId="4" applyNumberFormat="1" applyFont="1" applyBorder="1"/>
    <xf numFmtId="164" fontId="8" fillId="0" borderId="19" xfId="4" applyNumberFormat="1" applyFont="1" applyBorder="1"/>
    <xf numFmtId="164" fontId="8" fillId="0" borderId="12" xfId="0" applyNumberFormat="1" applyFont="1" applyBorder="1"/>
    <xf numFmtId="164" fontId="8" fillId="0" borderId="15" xfId="0" applyNumberFormat="1" applyFont="1" applyBorder="1"/>
    <xf numFmtId="164" fontId="8" fillId="0" borderId="17" xfId="0" applyNumberFormat="1" applyFont="1" applyBorder="1"/>
    <xf numFmtId="3" fontId="8" fillId="0" borderId="43" xfId="0" applyNumberFormat="1" applyFont="1" applyBorder="1" applyAlignment="1">
      <alignment horizontal="center" vertical="center"/>
    </xf>
    <xf numFmtId="1" fontId="8" fillId="0" borderId="43" xfId="0" applyNumberFormat="1" applyFont="1" applyBorder="1" applyAlignment="1">
      <alignment horizontal="center" vertical="center"/>
    </xf>
    <xf numFmtId="164" fontId="8" fillId="0" borderId="48" xfId="4" applyNumberFormat="1" applyFont="1" applyBorder="1"/>
    <xf numFmtId="164" fontId="8" fillId="0" borderId="52" xfId="0" applyNumberFormat="1" applyFont="1" applyBorder="1"/>
    <xf numFmtId="164" fontId="8" fillId="0" borderId="56" xfId="4" applyNumberFormat="1" applyFont="1" applyBorder="1"/>
    <xf numFmtId="3" fontId="8" fillId="0" borderId="41" xfId="0" applyNumberFormat="1" applyFont="1" applyBorder="1" applyAlignment="1">
      <alignment horizontal="center" vertical="center"/>
    </xf>
    <xf numFmtId="1" fontId="8" fillId="0" borderId="41" xfId="0" applyNumberFormat="1" applyFont="1" applyBorder="1" applyAlignment="1">
      <alignment horizontal="center" vertical="center"/>
    </xf>
    <xf numFmtId="164" fontId="8" fillId="0" borderId="49" xfId="4" applyNumberFormat="1" applyFont="1" applyBorder="1"/>
    <xf numFmtId="164" fontId="8" fillId="0" borderId="21" xfId="0" applyNumberFormat="1" applyFont="1" applyBorder="1"/>
    <xf numFmtId="164" fontId="8" fillId="0" borderId="24" xfId="4" applyNumberFormat="1" applyFont="1" applyBorder="1"/>
    <xf numFmtId="164" fontId="8" fillId="0" borderId="41" xfId="4" applyNumberFormat="1" applyFont="1" applyBorder="1" applyAlignment="1">
      <alignment horizontal="right"/>
    </xf>
    <xf numFmtId="2" fontId="8" fillId="0" borderId="43" xfId="4" applyNumberFormat="1" applyFont="1" applyBorder="1"/>
    <xf numFmtId="164" fontId="8" fillId="0" borderId="43" xfId="4" applyNumberFormat="1" applyFont="1" applyBorder="1" applyAlignment="1">
      <alignment horizontal="right" vertical="center"/>
    </xf>
    <xf numFmtId="2" fontId="8" fillId="0" borderId="41" xfId="4" applyNumberFormat="1" applyFont="1" applyBorder="1"/>
    <xf numFmtId="164" fontId="8" fillId="0" borderId="41" xfId="4" applyNumberFormat="1" applyFont="1" applyBorder="1" applyAlignment="1">
      <alignment horizontal="right" vertical="center"/>
    </xf>
    <xf numFmtId="164" fontId="8" fillId="0" borderId="43" xfId="4" applyNumberFormat="1" applyFont="1" applyBorder="1" applyAlignment="1">
      <alignment horizontal="right"/>
    </xf>
    <xf numFmtId="2" fontId="8" fillId="0" borderId="43" xfId="0" applyNumberFormat="1" applyFont="1" applyBorder="1"/>
    <xf numFmtId="2" fontId="8" fillId="0" borderId="41" xfId="0" applyNumberFormat="1" applyFont="1" applyBorder="1"/>
    <xf numFmtId="167" fontId="8" fillId="0" borderId="43" xfId="0" applyNumberFormat="1" applyFont="1" applyBorder="1"/>
    <xf numFmtId="2" fontId="29" fillId="0" borderId="41" xfId="5" applyNumberFormat="1" applyBorder="1"/>
    <xf numFmtId="2" fontId="29" fillId="0" borderId="43" xfId="5" applyNumberFormat="1" applyBorder="1"/>
    <xf numFmtId="3" fontId="8" fillId="0" borderId="61" xfId="0" applyNumberFormat="1" applyFont="1" applyBorder="1" applyAlignment="1">
      <alignment horizontal="center" vertical="center"/>
    </xf>
    <xf numFmtId="3" fontId="8" fillId="0" borderId="62" xfId="0" applyNumberFormat="1" applyFont="1" applyBorder="1" applyAlignment="1">
      <alignment horizontal="center" vertical="center"/>
    </xf>
    <xf numFmtId="165" fontId="10" fillId="12" borderId="0" xfId="0" applyFont="1" applyFill="1"/>
    <xf numFmtId="165" fontId="9" fillId="2" borderId="47" xfId="0" applyFont="1" applyFill="1" applyBorder="1" applyAlignment="1">
      <alignment horizontal="center"/>
    </xf>
    <xf numFmtId="3" fontId="9" fillId="2" borderId="65" xfId="0" applyNumberFormat="1" applyFont="1" applyFill="1" applyBorder="1" applyAlignment="1">
      <alignment horizontal="center"/>
    </xf>
    <xf numFmtId="1" fontId="9" fillId="2" borderId="65" xfId="0" applyNumberFormat="1" applyFont="1" applyFill="1" applyBorder="1" applyAlignment="1">
      <alignment horizontal="left"/>
    </xf>
    <xf numFmtId="165" fontId="9" fillId="2" borderId="65" xfId="0" applyFont="1" applyFill="1" applyBorder="1" applyAlignment="1">
      <alignment horizontal="left"/>
    </xf>
    <xf numFmtId="165" fontId="12" fillId="6" borderId="0" xfId="1" applyFont="1" applyFill="1" applyAlignment="1"/>
    <xf numFmtId="165" fontId="48" fillId="12" borderId="0" xfId="0" applyFont="1" applyFill="1" applyAlignment="1" applyProtection="1">
      <alignment horizontal="center"/>
      <protection hidden="1"/>
    </xf>
    <xf numFmtId="165" fontId="48" fillId="12" borderId="63" xfId="0" applyFont="1" applyFill="1" applyBorder="1" applyAlignment="1">
      <alignment horizontal="right" wrapText="1"/>
    </xf>
    <xf numFmtId="165" fontId="48" fillId="12" borderId="37" xfId="0" applyFont="1" applyFill="1" applyBorder="1" applyAlignment="1" applyProtection="1">
      <alignment horizontal="right"/>
      <protection hidden="1"/>
    </xf>
    <xf numFmtId="1" fontId="48" fillId="21" borderId="14" xfId="0" applyNumberFormat="1" applyFont="1" applyFill="1" applyBorder="1" applyAlignment="1" applyProtection="1">
      <alignment horizontal="right"/>
      <protection locked="0"/>
    </xf>
    <xf numFmtId="1" fontId="48" fillId="12" borderId="0" xfId="0" applyNumberFormat="1" applyFont="1" applyFill="1" applyBorder="1" applyAlignment="1" applyProtection="1">
      <alignment horizontal="right"/>
      <protection locked="0"/>
    </xf>
    <xf numFmtId="1" fontId="0" fillId="12" borderId="0" xfId="0" applyNumberFormat="1" applyFill="1" applyBorder="1"/>
    <xf numFmtId="165" fontId="48" fillId="12" borderId="30" xfId="0" applyFont="1" applyFill="1" applyBorder="1" applyAlignment="1" applyProtection="1">
      <alignment horizontal="right"/>
      <protection hidden="1"/>
    </xf>
    <xf numFmtId="1" fontId="48" fillId="21" borderId="16" xfId="0" applyNumberFormat="1" applyFont="1" applyFill="1" applyBorder="1" applyAlignment="1" applyProtection="1">
      <alignment horizontal="right"/>
      <protection locked="0"/>
    </xf>
    <xf numFmtId="165" fontId="48" fillId="12" borderId="17" xfId="0" applyFont="1" applyFill="1" applyBorder="1" applyAlignment="1">
      <alignment horizontal="right"/>
    </xf>
    <xf numFmtId="1" fontId="48" fillId="12" borderId="19" xfId="0" applyNumberFormat="1" applyFont="1" applyFill="1" applyBorder="1" applyAlignment="1">
      <alignment horizontal="right"/>
    </xf>
    <xf numFmtId="1" fontId="48" fillId="12" borderId="0" xfId="0" applyNumberFormat="1" applyFont="1" applyFill="1" applyBorder="1" applyAlignment="1">
      <alignment horizontal="right"/>
    </xf>
    <xf numFmtId="165" fontId="48" fillId="12" borderId="0" xfId="0" applyFont="1" applyFill="1" applyBorder="1" applyAlignment="1">
      <alignment horizontal="right"/>
    </xf>
    <xf numFmtId="1" fontId="48" fillId="12" borderId="12" xfId="0" applyNumberFormat="1" applyFont="1" applyFill="1" applyBorder="1" applyAlignment="1">
      <alignment horizontal="right"/>
    </xf>
    <xf numFmtId="165" fontId="48" fillId="12" borderId="15" xfId="0" applyFont="1" applyFill="1" applyBorder="1" applyAlignment="1">
      <alignment horizontal="right"/>
    </xf>
    <xf numFmtId="1" fontId="49" fillId="12" borderId="0" xfId="0" applyNumberFormat="1" applyFont="1" applyFill="1"/>
    <xf numFmtId="1" fontId="48" fillId="21" borderId="19" xfId="0" applyNumberFormat="1" applyFont="1" applyFill="1" applyBorder="1" applyAlignment="1" applyProtection="1">
      <alignment horizontal="right"/>
      <protection locked="0"/>
    </xf>
    <xf numFmtId="1" fontId="0" fillId="12" borderId="51" xfId="0" applyNumberFormat="1" applyFill="1" applyBorder="1"/>
    <xf numFmtId="165" fontId="0" fillId="12" borderId="11" xfId="0" applyFill="1" applyBorder="1" applyAlignment="1">
      <alignment horizontal="center" vertical="center"/>
    </xf>
    <xf numFmtId="165" fontId="0" fillId="12" borderId="37" xfId="0" applyFill="1" applyBorder="1" applyAlignment="1">
      <alignment horizontal="center" vertical="center"/>
    </xf>
    <xf numFmtId="1" fontId="0" fillId="12" borderId="37" xfId="0" applyNumberFormat="1" applyFill="1" applyBorder="1"/>
    <xf numFmtId="1" fontId="0" fillId="12" borderId="68" xfId="0" applyNumberFormat="1" applyFill="1" applyBorder="1" applyAlignment="1"/>
    <xf numFmtId="1" fontId="0" fillId="12" borderId="1" xfId="0" applyNumberFormat="1" applyFill="1" applyBorder="1"/>
    <xf numFmtId="165" fontId="0" fillId="12" borderId="20" xfId="0" applyFill="1" applyBorder="1" applyAlignment="1">
      <alignment horizontal="center" vertical="center"/>
    </xf>
    <xf numFmtId="165" fontId="0" fillId="12" borderId="30" xfId="0" applyFill="1" applyBorder="1" applyAlignment="1">
      <alignment horizontal="center" vertical="center"/>
    </xf>
    <xf numFmtId="1" fontId="0" fillId="12" borderId="30" xfId="0" applyNumberFormat="1" applyFill="1" applyBorder="1"/>
    <xf numFmtId="1" fontId="0" fillId="12" borderId="51" xfId="0" applyNumberFormat="1" applyFill="1" applyBorder="1" applyAlignment="1"/>
    <xf numFmtId="165" fontId="0" fillId="12" borderId="0" xfId="0" applyFill="1" applyBorder="1" applyAlignment="1">
      <alignment horizontal="right"/>
    </xf>
    <xf numFmtId="1" fontId="0" fillId="12" borderId="39" xfId="0" applyNumberFormat="1" applyFill="1" applyBorder="1"/>
    <xf numFmtId="1" fontId="0" fillId="28" borderId="59" xfId="0" applyNumberFormat="1" applyFill="1" applyBorder="1"/>
    <xf numFmtId="2" fontId="0" fillId="28" borderId="1" xfId="0" applyNumberFormat="1" applyFill="1" applyBorder="1"/>
    <xf numFmtId="1" fontId="0" fillId="28" borderId="1" xfId="0" applyNumberFormat="1" applyFill="1" applyBorder="1"/>
    <xf numFmtId="169" fontId="0" fillId="28" borderId="1" xfId="0" applyNumberFormat="1" applyFill="1" applyBorder="1"/>
    <xf numFmtId="1" fontId="0" fillId="9" borderId="59" xfId="0" applyNumberFormat="1" applyFill="1" applyBorder="1" applyAlignment="1">
      <alignment horizontal="right"/>
    </xf>
    <xf numFmtId="1" fontId="0" fillId="9" borderId="1" xfId="0" applyNumberFormat="1" applyFill="1" applyBorder="1" applyAlignment="1">
      <alignment horizontal="right" vertical="center"/>
    </xf>
    <xf numFmtId="1" fontId="0" fillId="9" borderId="16" xfId="0" applyNumberFormat="1" applyFill="1" applyBorder="1" applyAlignment="1">
      <alignment horizontal="right" vertical="center"/>
    </xf>
    <xf numFmtId="1" fontId="0" fillId="12" borderId="0" xfId="0" applyNumberFormat="1" applyFill="1" applyBorder="1" applyAlignment="1">
      <alignment horizontal="right" vertical="center"/>
    </xf>
    <xf numFmtId="1" fontId="0" fillId="30" borderId="59" xfId="0" applyNumberFormat="1" applyFill="1" applyBorder="1" applyAlignment="1">
      <alignment horizontal="right"/>
    </xf>
    <xf numFmtId="1" fontId="0" fillId="30" borderId="40" xfId="0" applyNumberFormat="1" applyFill="1" applyBorder="1" applyAlignment="1">
      <alignment horizontal="right"/>
    </xf>
    <xf numFmtId="1" fontId="0" fillId="12" borderId="0" xfId="0" applyNumberFormat="1" applyFill="1" applyBorder="1" applyAlignment="1">
      <alignment horizontal="right"/>
    </xf>
    <xf numFmtId="1" fontId="0" fillId="31" borderId="59" xfId="0" applyNumberFormat="1" applyFill="1" applyBorder="1" applyAlignment="1">
      <alignment horizontal="right"/>
    </xf>
    <xf numFmtId="1" fontId="0" fillId="31" borderId="1" xfId="0" applyNumberFormat="1" applyFill="1" applyBorder="1" applyAlignment="1">
      <alignment horizontal="right" vertical="center"/>
    </xf>
    <xf numFmtId="1" fontId="51" fillId="31" borderId="1" xfId="0" applyNumberFormat="1" applyFont="1" applyFill="1" applyBorder="1" applyAlignment="1">
      <alignment horizontal="right" vertical="center"/>
    </xf>
    <xf numFmtId="165" fontId="51" fillId="12" borderId="0" xfId="0" applyFont="1" applyFill="1" applyBorder="1" applyAlignment="1">
      <alignment horizontal="right" vertical="center"/>
    </xf>
    <xf numFmtId="1" fontId="0" fillId="15" borderId="59" xfId="0" applyNumberFormat="1" applyFill="1" applyBorder="1" applyAlignment="1">
      <alignment horizontal="right"/>
    </xf>
    <xf numFmtId="1" fontId="0" fillId="15" borderId="1" xfId="0" applyNumberFormat="1" applyFill="1" applyBorder="1" applyAlignment="1">
      <alignment horizontal="right" vertical="center"/>
    </xf>
    <xf numFmtId="1" fontId="0" fillId="15" borderId="16" xfId="0" applyNumberFormat="1" applyFill="1" applyBorder="1" applyAlignment="1">
      <alignment horizontal="right" vertical="center"/>
    </xf>
    <xf numFmtId="1" fontId="0" fillId="22" borderId="59" xfId="0" applyNumberFormat="1" applyFill="1" applyBorder="1" applyAlignment="1">
      <alignment horizontal="right"/>
    </xf>
    <xf numFmtId="1" fontId="52" fillId="22" borderId="1" xfId="0" applyNumberFormat="1" applyFont="1" applyFill="1" applyBorder="1" applyAlignment="1">
      <alignment horizontal="right" vertical="center"/>
    </xf>
    <xf numFmtId="1" fontId="0" fillId="22" borderId="1" xfId="0" applyNumberFormat="1" applyFill="1" applyBorder="1" applyAlignment="1">
      <alignment horizontal="right" vertical="center"/>
    </xf>
    <xf numFmtId="1" fontId="51" fillId="22" borderId="1" xfId="0" applyNumberFormat="1" applyFont="1" applyFill="1" applyBorder="1" applyAlignment="1">
      <alignment horizontal="right" vertical="center"/>
    </xf>
    <xf numFmtId="1" fontId="51" fillId="22" borderId="16" xfId="0" applyNumberFormat="1" applyFont="1" applyFill="1" applyBorder="1" applyAlignment="1">
      <alignment horizontal="right" vertical="center"/>
    </xf>
    <xf numFmtId="1" fontId="51" fillId="12" borderId="0" xfId="0" applyNumberFormat="1" applyFont="1" applyFill="1" applyBorder="1" applyAlignment="1">
      <alignment horizontal="right" vertical="center"/>
    </xf>
    <xf numFmtId="1" fontId="0" fillId="10" borderId="1" xfId="0" applyNumberFormat="1" applyFill="1" applyBorder="1" applyAlignment="1">
      <alignment horizontal="right" vertical="center"/>
    </xf>
    <xf numFmtId="1" fontId="0" fillId="10" borderId="16" xfId="0" applyNumberFormat="1" applyFill="1" applyBorder="1" applyAlignment="1">
      <alignment horizontal="right" vertical="center"/>
    </xf>
    <xf numFmtId="1" fontId="0" fillId="5" borderId="1" xfId="0" applyNumberFormat="1" applyFill="1" applyBorder="1" applyAlignment="1">
      <alignment horizontal="right" vertical="center"/>
    </xf>
    <xf numFmtId="1" fontId="0" fillId="5" borderId="16" xfId="0" applyNumberFormat="1" applyFill="1" applyBorder="1" applyAlignment="1">
      <alignment horizontal="right" vertical="center"/>
    </xf>
    <xf numFmtId="1" fontId="53" fillId="32" borderId="1" xfId="0" applyNumberFormat="1" applyFont="1" applyFill="1" applyBorder="1" applyAlignment="1">
      <alignment horizontal="right" vertical="center"/>
    </xf>
    <xf numFmtId="1" fontId="0" fillId="32" borderId="1" xfId="0" applyNumberFormat="1" applyFont="1" applyFill="1" applyBorder="1" applyAlignment="1">
      <alignment horizontal="right" vertical="center"/>
    </xf>
    <xf numFmtId="1" fontId="0" fillId="32" borderId="1" xfId="0" applyNumberFormat="1" applyFill="1" applyBorder="1" applyAlignment="1">
      <alignment horizontal="right" vertical="center"/>
    </xf>
    <xf numFmtId="1" fontId="53" fillId="32" borderId="16" xfId="0" applyNumberFormat="1" applyFont="1" applyFill="1" applyBorder="1" applyAlignment="1">
      <alignment horizontal="right" vertical="center"/>
    </xf>
    <xf numFmtId="1" fontId="53" fillId="12" borderId="0" xfId="0" applyNumberFormat="1" applyFont="1" applyFill="1" applyBorder="1" applyAlignment="1">
      <alignment horizontal="right" vertical="center"/>
    </xf>
    <xf numFmtId="1" fontId="0" fillId="4" borderId="1" xfId="0" applyNumberFormat="1" applyFill="1" applyBorder="1" applyAlignment="1">
      <alignment horizontal="right" vertical="center"/>
    </xf>
    <xf numFmtId="1" fontId="0" fillId="4" borderId="16" xfId="0" applyNumberFormat="1" applyFill="1" applyBorder="1" applyAlignment="1">
      <alignment horizontal="right" vertical="center"/>
    </xf>
    <xf numFmtId="1" fontId="0" fillId="33" borderId="18" xfId="0" applyNumberFormat="1" applyFill="1" applyBorder="1" applyAlignment="1">
      <alignment horizontal="right" vertical="center"/>
    </xf>
    <xf numFmtId="1" fontId="0" fillId="33" borderId="19" xfId="0" applyNumberFormat="1" applyFill="1" applyBorder="1" applyAlignment="1">
      <alignment horizontal="right" vertical="center"/>
    </xf>
    <xf numFmtId="2" fontId="0" fillId="12" borderId="0" xfId="0" applyNumberFormat="1" applyFill="1" applyBorder="1" applyAlignment="1">
      <alignment horizontal="right"/>
    </xf>
    <xf numFmtId="1" fontId="0" fillId="0" borderId="59" xfId="0" applyNumberFormat="1" applyFill="1" applyBorder="1" applyAlignment="1">
      <alignment horizontal="right"/>
    </xf>
    <xf numFmtId="1" fontId="0" fillId="0" borderId="1" xfId="0" applyNumberFormat="1" applyFill="1" applyBorder="1" applyAlignment="1">
      <alignment horizontal="right" vertical="center"/>
    </xf>
    <xf numFmtId="1" fontId="0" fillId="0" borderId="16" xfId="0" applyNumberFormat="1" applyFill="1" applyBorder="1" applyAlignment="1">
      <alignment horizontal="right" vertical="center"/>
    </xf>
    <xf numFmtId="1" fontId="0" fillId="0" borderId="40" xfId="0" applyNumberFormat="1" applyFill="1" applyBorder="1" applyAlignment="1">
      <alignment horizontal="right"/>
    </xf>
    <xf numFmtId="1" fontId="0" fillId="21" borderId="59" xfId="0" applyNumberFormat="1" applyFill="1" applyBorder="1" applyAlignment="1">
      <alignment horizontal="right"/>
    </xf>
    <xf numFmtId="1" fontId="0" fillId="21" borderId="1" xfId="0" applyNumberFormat="1" applyFill="1" applyBorder="1" applyAlignment="1">
      <alignment horizontal="right" vertical="center"/>
    </xf>
    <xf numFmtId="1" fontId="51" fillId="21" borderId="1" xfId="0" applyNumberFormat="1" applyFont="1" applyFill="1" applyBorder="1" applyAlignment="1">
      <alignment horizontal="right" vertical="center"/>
    </xf>
    <xf numFmtId="1" fontId="0" fillId="11" borderId="59" xfId="0" applyNumberFormat="1" applyFill="1" applyBorder="1" applyAlignment="1">
      <alignment horizontal="right"/>
    </xf>
    <xf numFmtId="1" fontId="0" fillId="11" borderId="1" xfId="0" applyNumberFormat="1" applyFill="1" applyBorder="1" applyAlignment="1">
      <alignment horizontal="right" vertical="center"/>
    </xf>
    <xf numFmtId="1" fontId="0" fillId="11" borderId="16" xfId="0" applyNumberFormat="1" applyFill="1" applyBorder="1" applyAlignment="1">
      <alignment horizontal="right" vertical="center"/>
    </xf>
    <xf numFmtId="1" fontId="0" fillId="34" borderId="59" xfId="0" applyNumberFormat="1" applyFill="1" applyBorder="1" applyAlignment="1">
      <alignment horizontal="right"/>
    </xf>
    <xf numFmtId="1" fontId="52" fillId="34" borderId="1" xfId="0" applyNumberFormat="1" applyFont="1" applyFill="1" applyBorder="1" applyAlignment="1">
      <alignment horizontal="right" vertical="center"/>
    </xf>
    <xf numFmtId="1" fontId="0" fillId="34" borderId="1" xfId="0" applyNumberFormat="1" applyFill="1" applyBorder="1" applyAlignment="1">
      <alignment horizontal="right" vertical="center"/>
    </xf>
    <xf numFmtId="1" fontId="51" fillId="34" borderId="1" xfId="0" applyNumberFormat="1" applyFont="1" applyFill="1" applyBorder="1" applyAlignment="1">
      <alignment horizontal="right" vertical="center"/>
    </xf>
    <xf numFmtId="1" fontId="51" fillId="34" borderId="16" xfId="0" applyNumberFormat="1" applyFont="1" applyFill="1" applyBorder="1" applyAlignment="1">
      <alignment horizontal="right" vertical="center"/>
    </xf>
    <xf numFmtId="1" fontId="0" fillId="35" borderId="1" xfId="0" applyNumberFormat="1" applyFill="1" applyBorder="1" applyAlignment="1">
      <alignment horizontal="right" vertical="center"/>
    </xf>
    <xf numFmtId="1" fontId="53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 vertical="center"/>
    </xf>
    <xf numFmtId="1" fontId="53" fillId="0" borderId="16" xfId="0" applyNumberFormat="1" applyFont="1" applyFill="1" applyBorder="1" applyAlignment="1">
      <alignment horizontal="right" vertical="center"/>
    </xf>
    <xf numFmtId="2" fontId="0" fillId="0" borderId="69" xfId="0" applyNumberFormat="1" applyFill="1" applyBorder="1" applyAlignment="1">
      <alignment horizontal="right"/>
    </xf>
    <xf numFmtId="2" fontId="0" fillId="12" borderId="0" xfId="0" applyNumberFormat="1" applyFill="1" applyBorder="1"/>
    <xf numFmtId="1" fontId="0" fillId="12" borderId="0" xfId="0" applyNumberFormat="1" applyFill="1" applyBorder="1" applyAlignment="1">
      <alignment horizontal="center" vertical="center"/>
    </xf>
    <xf numFmtId="165" fontId="48" fillId="28" borderId="41" xfId="0" applyFont="1" applyFill="1" applyBorder="1" applyAlignment="1">
      <alignment horizontal="center" vertical="center"/>
    </xf>
    <xf numFmtId="165" fontId="48" fillId="28" borderId="44" xfId="0" applyFont="1" applyFill="1" applyBorder="1" applyAlignment="1">
      <alignment horizontal="center" vertical="center"/>
    </xf>
    <xf numFmtId="165" fontId="48" fillId="28" borderId="30" xfId="0" applyFont="1" applyFill="1" applyBorder="1" applyAlignment="1">
      <alignment horizontal="center" vertical="center"/>
    </xf>
    <xf numFmtId="165" fontId="48" fillId="28" borderId="40" xfId="0" applyFont="1" applyFill="1" applyBorder="1" applyAlignment="1">
      <alignment horizontal="center" vertical="center"/>
    </xf>
    <xf numFmtId="165" fontId="48" fillId="28" borderId="39" xfId="0" applyFont="1" applyFill="1" applyBorder="1" applyAlignment="1">
      <alignment horizontal="center" vertical="center"/>
    </xf>
    <xf numFmtId="165" fontId="48" fillId="28" borderId="55" xfId="0" applyFont="1" applyFill="1" applyBorder="1" applyAlignment="1">
      <alignment horizontal="center" vertical="center"/>
    </xf>
    <xf numFmtId="165" fontId="48" fillId="27" borderId="44" xfId="0" applyFont="1" applyFill="1" applyBorder="1" applyAlignment="1">
      <alignment horizontal="center" vertical="center"/>
    </xf>
    <xf numFmtId="165" fontId="48" fillId="27" borderId="40" xfId="0" applyFont="1" applyFill="1" applyBorder="1" applyAlignment="1">
      <alignment horizontal="center" vertical="center"/>
    </xf>
    <xf numFmtId="165" fontId="48" fillId="27" borderId="55" xfId="0" applyFont="1" applyFill="1" applyBorder="1" applyAlignment="1">
      <alignment horizontal="center" vertical="center"/>
    </xf>
    <xf numFmtId="165" fontId="48" fillId="29" borderId="54" xfId="0" applyFont="1" applyFill="1" applyBorder="1" applyAlignment="1">
      <alignment horizontal="center" vertical="center"/>
    </xf>
    <xf numFmtId="165" fontId="48" fillId="29" borderId="40" xfId="0" applyFont="1" applyFill="1" applyBorder="1" applyAlignment="1">
      <alignment horizontal="center" vertical="center"/>
    </xf>
    <xf numFmtId="165" fontId="48" fillId="29" borderId="55" xfId="0" applyFont="1" applyFill="1" applyBorder="1" applyAlignment="1">
      <alignment horizontal="center" vertical="center"/>
    </xf>
    <xf numFmtId="165" fontId="48" fillId="9" borderId="54" xfId="0" applyFont="1" applyFill="1" applyBorder="1" applyAlignment="1">
      <alignment horizontal="center" vertical="center"/>
    </xf>
    <xf numFmtId="165" fontId="48" fillId="9" borderId="40" xfId="0" applyFont="1" applyFill="1" applyBorder="1" applyAlignment="1">
      <alignment horizontal="center" vertical="center"/>
    </xf>
    <xf numFmtId="165" fontId="48" fillId="9" borderId="45" xfId="0" applyFont="1" applyFill="1" applyBorder="1" applyAlignment="1">
      <alignment horizontal="center" vertical="center"/>
    </xf>
    <xf numFmtId="165" fontId="48" fillId="30" borderId="37" xfId="0" applyFont="1" applyFill="1" applyBorder="1" applyAlignment="1">
      <alignment horizontal="center" vertical="center"/>
    </xf>
    <xf numFmtId="165" fontId="48" fillId="30" borderId="54" xfId="0" applyFont="1" applyFill="1" applyBorder="1" applyAlignment="1">
      <alignment horizontal="center" vertical="center"/>
    </xf>
    <xf numFmtId="165" fontId="48" fillId="30" borderId="30" xfId="0" applyFont="1" applyFill="1" applyBorder="1" applyAlignment="1">
      <alignment horizontal="center" vertical="center"/>
    </xf>
    <xf numFmtId="165" fontId="48" fillId="30" borderId="40" xfId="0" applyFont="1" applyFill="1" applyBorder="1" applyAlignment="1">
      <alignment horizontal="center" vertical="center"/>
    </xf>
    <xf numFmtId="165" fontId="48" fillId="30" borderId="43" xfId="0" applyFont="1" applyFill="1" applyBorder="1" applyAlignment="1">
      <alignment horizontal="center" vertical="center"/>
    </xf>
    <xf numFmtId="165" fontId="48" fillId="30" borderId="45" xfId="0" applyFont="1" applyFill="1" applyBorder="1" applyAlignment="1">
      <alignment horizontal="center" vertical="center"/>
    </xf>
    <xf numFmtId="165" fontId="48" fillId="31" borderId="37" xfId="0" applyFont="1" applyFill="1" applyBorder="1" applyAlignment="1">
      <alignment horizontal="center" vertical="center"/>
    </xf>
    <xf numFmtId="165" fontId="48" fillId="31" borderId="30" xfId="0" applyFont="1" applyFill="1" applyBorder="1" applyAlignment="1">
      <alignment horizontal="center" vertical="center"/>
    </xf>
    <xf numFmtId="165" fontId="48" fillId="31" borderId="39" xfId="0" applyFont="1" applyFill="1" applyBorder="1" applyAlignment="1">
      <alignment horizontal="center" vertical="center"/>
    </xf>
    <xf numFmtId="165" fontId="48" fillId="15" borderId="37" xfId="0" applyFont="1" applyFill="1" applyBorder="1" applyAlignment="1">
      <alignment horizontal="center" vertical="center"/>
    </xf>
    <xf numFmtId="165" fontId="48" fillId="15" borderId="30" xfId="0" applyFont="1" applyFill="1" applyBorder="1" applyAlignment="1">
      <alignment horizontal="center" vertical="center"/>
    </xf>
    <xf numFmtId="165" fontId="48" fillId="15" borderId="39" xfId="0" applyFont="1" applyFill="1" applyBorder="1" applyAlignment="1">
      <alignment horizontal="center" vertical="center"/>
    </xf>
    <xf numFmtId="165" fontId="48" fillId="22" borderId="37" xfId="0" applyFont="1" applyFill="1" applyBorder="1" applyAlignment="1">
      <alignment horizontal="center" vertical="center"/>
    </xf>
    <xf numFmtId="165" fontId="48" fillId="22" borderId="30" xfId="0" applyFont="1" applyFill="1" applyBorder="1" applyAlignment="1">
      <alignment horizontal="center" vertical="center"/>
    </xf>
    <xf numFmtId="165" fontId="48" fillId="22" borderId="39" xfId="0" applyFont="1" applyFill="1" applyBorder="1" applyAlignment="1">
      <alignment horizontal="center" vertical="center"/>
    </xf>
    <xf numFmtId="165" fontId="48" fillId="10" borderId="37" xfId="0" applyFont="1" applyFill="1" applyBorder="1" applyAlignment="1">
      <alignment horizontal="center" vertical="center"/>
    </xf>
    <xf numFmtId="165" fontId="48" fillId="10" borderId="30" xfId="0" applyFont="1" applyFill="1" applyBorder="1" applyAlignment="1">
      <alignment horizontal="center" vertical="center"/>
    </xf>
    <xf numFmtId="165" fontId="48" fillId="10" borderId="39" xfId="0" applyFont="1" applyFill="1" applyBorder="1" applyAlignment="1">
      <alignment horizontal="center" vertical="center"/>
    </xf>
    <xf numFmtId="165" fontId="48" fillId="5" borderId="41" xfId="0" applyFont="1" applyFill="1" applyBorder="1" applyAlignment="1">
      <alignment horizontal="center" vertical="center"/>
    </xf>
    <xf numFmtId="165" fontId="48" fillId="5" borderId="30" xfId="0" applyFont="1" applyFill="1" applyBorder="1" applyAlignment="1">
      <alignment horizontal="center" vertical="center"/>
    </xf>
    <xf numFmtId="165" fontId="48" fillId="5" borderId="43" xfId="0" applyFont="1" applyFill="1" applyBorder="1" applyAlignment="1">
      <alignment horizontal="center" vertical="center"/>
    </xf>
    <xf numFmtId="165" fontId="48" fillId="32" borderId="37" xfId="0" applyFont="1" applyFill="1" applyBorder="1" applyAlignment="1">
      <alignment horizontal="center" vertical="center"/>
    </xf>
    <xf numFmtId="165" fontId="48" fillId="32" borderId="30" xfId="0" applyFont="1" applyFill="1" applyBorder="1" applyAlignment="1">
      <alignment horizontal="center" vertical="center"/>
    </xf>
    <xf numFmtId="165" fontId="48" fillId="32" borderId="39" xfId="0" applyFont="1" applyFill="1" applyBorder="1" applyAlignment="1">
      <alignment horizontal="center" vertical="center"/>
    </xf>
    <xf numFmtId="165" fontId="48" fillId="4" borderId="37" xfId="0" applyFont="1" applyFill="1" applyBorder="1" applyAlignment="1">
      <alignment horizontal="center" vertical="center"/>
    </xf>
    <xf numFmtId="165" fontId="48" fillId="4" borderId="30" xfId="0" applyFont="1" applyFill="1" applyBorder="1" applyAlignment="1">
      <alignment horizontal="center" vertical="center"/>
    </xf>
    <xf numFmtId="165" fontId="48" fillId="4" borderId="39" xfId="0" applyFont="1" applyFill="1" applyBorder="1" applyAlignment="1">
      <alignment horizontal="center" vertical="center"/>
    </xf>
    <xf numFmtId="165" fontId="48" fillId="33" borderId="37" xfId="0" applyFont="1" applyFill="1" applyBorder="1" applyAlignment="1">
      <alignment horizontal="center" vertical="center"/>
    </xf>
    <xf numFmtId="165" fontId="48" fillId="33" borderId="30" xfId="0" applyFont="1" applyFill="1" applyBorder="1" applyAlignment="1">
      <alignment horizontal="center" vertical="center"/>
    </xf>
    <xf numFmtId="165" fontId="48" fillId="33" borderId="39" xfId="0" applyFont="1" applyFill="1" applyBorder="1" applyAlignment="1">
      <alignment horizontal="center" vertical="center"/>
    </xf>
    <xf numFmtId="165" fontId="48" fillId="21" borderId="37" xfId="0" applyFont="1" applyFill="1" applyBorder="1" applyAlignment="1">
      <alignment horizontal="center" vertical="center"/>
    </xf>
    <xf numFmtId="165" fontId="48" fillId="21" borderId="30" xfId="0" applyFont="1" applyFill="1" applyBorder="1" applyAlignment="1">
      <alignment horizontal="center" vertical="center"/>
    </xf>
    <xf numFmtId="165" fontId="48" fillId="21" borderId="39" xfId="0" applyFont="1" applyFill="1" applyBorder="1" applyAlignment="1">
      <alignment horizontal="center" vertical="center"/>
    </xf>
    <xf numFmtId="2" fontId="0" fillId="12" borderId="0" xfId="0" applyNumberFormat="1" applyFill="1" applyBorder="1" applyAlignment="1">
      <alignment horizontal="center" vertical="center"/>
    </xf>
    <xf numFmtId="1" fontId="48" fillId="28" borderId="44" xfId="0" applyNumberFormat="1" applyFont="1" applyFill="1" applyBorder="1" applyAlignment="1">
      <alignment horizontal="center" vertical="center"/>
    </xf>
    <xf numFmtId="1" fontId="48" fillId="28" borderId="40" xfId="0" applyNumberFormat="1" applyFont="1" applyFill="1" applyBorder="1" applyAlignment="1">
      <alignment horizontal="center" vertical="center"/>
    </xf>
    <xf numFmtId="1" fontId="48" fillId="28" borderId="55" xfId="0" applyNumberFormat="1" applyFont="1" applyFill="1" applyBorder="1" applyAlignment="1">
      <alignment horizontal="center" vertical="center"/>
    </xf>
    <xf numFmtId="1" fontId="48" fillId="27" borderId="44" xfId="0" applyNumberFormat="1" applyFont="1" applyFill="1" applyBorder="1" applyAlignment="1">
      <alignment horizontal="center" vertical="center"/>
    </xf>
    <xf numFmtId="1" fontId="48" fillId="27" borderId="40" xfId="0" applyNumberFormat="1" applyFont="1" applyFill="1" applyBorder="1" applyAlignment="1">
      <alignment horizontal="center" vertical="center"/>
    </xf>
    <xf numFmtId="1" fontId="48" fillId="27" borderId="55" xfId="0" applyNumberFormat="1" applyFont="1" applyFill="1" applyBorder="1" applyAlignment="1">
      <alignment horizontal="center" vertical="center"/>
    </xf>
    <xf numFmtId="1" fontId="48" fillId="29" borderId="54" xfId="0" applyNumberFormat="1" applyFont="1" applyFill="1" applyBorder="1" applyAlignment="1">
      <alignment horizontal="center" vertical="center"/>
    </xf>
    <xf numFmtId="1" fontId="48" fillId="29" borderId="40" xfId="0" applyNumberFormat="1" applyFont="1" applyFill="1" applyBorder="1" applyAlignment="1">
      <alignment horizontal="center" vertical="center"/>
    </xf>
    <xf numFmtId="1" fontId="48" fillId="29" borderId="55" xfId="0" applyNumberFormat="1" applyFont="1" applyFill="1" applyBorder="1" applyAlignment="1">
      <alignment horizontal="center" vertical="center"/>
    </xf>
    <xf numFmtId="1" fontId="48" fillId="9" borderId="40" xfId="0" applyNumberFormat="1" applyFont="1" applyFill="1" applyBorder="1" applyAlignment="1">
      <alignment horizontal="center" vertical="center"/>
    </xf>
    <xf numFmtId="1" fontId="48" fillId="9" borderId="54" xfId="0" applyNumberFormat="1" applyFont="1" applyFill="1" applyBorder="1" applyAlignment="1">
      <alignment horizontal="center" vertical="center"/>
    </xf>
    <xf numFmtId="1" fontId="48" fillId="9" borderId="45" xfId="0" applyNumberFormat="1" applyFont="1" applyFill="1" applyBorder="1" applyAlignment="1">
      <alignment horizontal="center" vertical="center"/>
    </xf>
    <xf numFmtId="1" fontId="48" fillId="30" borderId="54" xfId="0" applyNumberFormat="1" applyFont="1" applyFill="1" applyBorder="1" applyAlignment="1">
      <alignment horizontal="center" vertical="center"/>
    </xf>
    <xf numFmtId="1" fontId="48" fillId="30" borderId="40" xfId="0" applyNumberFormat="1" applyFont="1" applyFill="1" applyBorder="1" applyAlignment="1">
      <alignment horizontal="center" vertical="center"/>
    </xf>
    <xf numFmtId="1" fontId="48" fillId="30" borderId="45" xfId="0" applyNumberFormat="1" applyFont="1" applyFill="1" applyBorder="1" applyAlignment="1">
      <alignment horizontal="center" vertical="center"/>
    </xf>
    <xf numFmtId="1" fontId="48" fillId="31" borderId="37" xfId="0" applyNumberFormat="1" applyFont="1" applyFill="1" applyBorder="1" applyAlignment="1">
      <alignment horizontal="center" vertical="center"/>
    </xf>
    <xf numFmtId="1" fontId="48" fillId="31" borderId="30" xfId="0" applyNumberFormat="1" applyFont="1" applyFill="1" applyBorder="1" applyAlignment="1">
      <alignment horizontal="center" vertical="center"/>
    </xf>
    <xf numFmtId="1" fontId="48" fillId="31" borderId="39" xfId="0" applyNumberFormat="1" applyFont="1" applyFill="1" applyBorder="1" applyAlignment="1">
      <alignment horizontal="center" vertical="center"/>
    </xf>
    <xf numFmtId="1" fontId="48" fillId="15" borderId="37" xfId="0" applyNumberFormat="1" applyFont="1" applyFill="1" applyBorder="1" applyAlignment="1">
      <alignment horizontal="center" vertical="center"/>
    </xf>
    <xf numFmtId="1" fontId="48" fillId="15" borderId="30" xfId="0" applyNumberFormat="1" applyFont="1" applyFill="1" applyBorder="1" applyAlignment="1">
      <alignment horizontal="center" vertical="center"/>
    </xf>
    <xf numFmtId="1" fontId="48" fillId="15" borderId="39" xfId="0" applyNumberFormat="1" applyFont="1" applyFill="1" applyBorder="1" applyAlignment="1">
      <alignment horizontal="center" vertical="center"/>
    </xf>
    <xf numFmtId="1" fontId="48" fillId="22" borderId="37" xfId="0" applyNumberFormat="1" applyFont="1" applyFill="1" applyBorder="1" applyAlignment="1">
      <alignment horizontal="center" vertical="center"/>
    </xf>
    <xf numFmtId="1" fontId="48" fillId="22" borderId="30" xfId="0" applyNumberFormat="1" applyFont="1" applyFill="1" applyBorder="1" applyAlignment="1">
      <alignment horizontal="center" vertical="center"/>
    </xf>
    <xf numFmtId="1" fontId="48" fillId="10" borderId="37" xfId="0" applyNumberFormat="1" applyFont="1" applyFill="1" applyBorder="1" applyAlignment="1">
      <alignment horizontal="center" vertical="center"/>
    </xf>
    <xf numFmtId="1" fontId="48" fillId="10" borderId="30" xfId="0" applyNumberFormat="1" applyFont="1" applyFill="1" applyBorder="1" applyAlignment="1">
      <alignment horizontal="center" vertical="center"/>
    </xf>
    <xf numFmtId="1" fontId="48" fillId="10" borderId="39" xfId="0" applyNumberFormat="1" applyFont="1" applyFill="1" applyBorder="1" applyAlignment="1">
      <alignment horizontal="center" vertical="center"/>
    </xf>
    <xf numFmtId="1" fontId="48" fillId="5" borderId="41" xfId="0" applyNumberFormat="1" applyFont="1" applyFill="1" applyBorder="1" applyAlignment="1">
      <alignment horizontal="center" vertical="center"/>
    </xf>
    <xf numFmtId="1" fontId="48" fillId="5" borderId="30" xfId="0" applyNumberFormat="1" applyFont="1" applyFill="1" applyBorder="1" applyAlignment="1">
      <alignment horizontal="center" vertical="center"/>
    </xf>
    <xf numFmtId="1" fontId="48" fillId="5" borderId="43" xfId="0" applyNumberFormat="1" applyFont="1" applyFill="1" applyBorder="1" applyAlignment="1">
      <alignment horizontal="center" vertical="center"/>
    </xf>
    <xf numFmtId="1" fontId="48" fillId="32" borderId="37" xfId="0" applyNumberFormat="1" applyFont="1" applyFill="1" applyBorder="1" applyAlignment="1">
      <alignment horizontal="center" vertical="center"/>
    </xf>
    <xf numFmtId="1" fontId="48" fillId="32" borderId="30" xfId="0" applyNumberFormat="1" applyFont="1" applyFill="1" applyBorder="1" applyAlignment="1">
      <alignment horizontal="center" vertical="center"/>
    </xf>
    <xf numFmtId="1" fontId="48" fillId="32" borderId="39" xfId="0" applyNumberFormat="1" applyFont="1" applyFill="1" applyBorder="1" applyAlignment="1">
      <alignment horizontal="center" vertical="center"/>
    </xf>
    <xf numFmtId="1" fontId="48" fillId="4" borderId="37" xfId="0" applyNumberFormat="1" applyFont="1" applyFill="1" applyBorder="1" applyAlignment="1">
      <alignment horizontal="center" vertical="center"/>
    </xf>
    <xf numFmtId="1" fontId="48" fillId="4" borderId="30" xfId="0" applyNumberFormat="1" applyFont="1" applyFill="1" applyBorder="1" applyAlignment="1">
      <alignment horizontal="center" vertical="center"/>
    </xf>
    <xf numFmtId="1" fontId="48" fillId="4" borderId="39" xfId="0" applyNumberFormat="1" applyFont="1" applyFill="1" applyBorder="1" applyAlignment="1">
      <alignment horizontal="center" vertical="center"/>
    </xf>
    <xf numFmtId="1" fontId="48" fillId="33" borderId="37" xfId="0" applyNumberFormat="1" applyFont="1" applyFill="1" applyBorder="1" applyAlignment="1">
      <alignment horizontal="center" vertical="center"/>
    </xf>
    <xf numFmtId="1" fontId="48" fillId="33" borderId="30" xfId="0" applyNumberFormat="1" applyFont="1" applyFill="1" applyBorder="1" applyAlignment="1">
      <alignment horizontal="center" vertical="center"/>
    </xf>
    <xf numFmtId="1" fontId="48" fillId="33" borderId="39" xfId="0" applyNumberFormat="1" applyFont="1" applyFill="1" applyBorder="1" applyAlignment="1">
      <alignment horizontal="center" vertical="center"/>
    </xf>
    <xf numFmtId="1" fontId="48" fillId="21" borderId="37" xfId="0" applyNumberFormat="1" applyFont="1" applyFill="1" applyBorder="1" applyAlignment="1">
      <alignment horizontal="center" vertical="center"/>
    </xf>
    <xf numFmtId="1" fontId="48" fillId="21" borderId="30" xfId="0" applyNumberFormat="1" applyFont="1" applyFill="1" applyBorder="1" applyAlignment="1">
      <alignment horizontal="center" vertical="center"/>
    </xf>
    <xf numFmtId="1" fontId="48" fillId="21" borderId="39" xfId="0" applyNumberFormat="1" applyFont="1" applyFill="1" applyBorder="1" applyAlignment="1">
      <alignment horizontal="center" vertical="center"/>
    </xf>
    <xf numFmtId="165" fontId="3" fillId="37" borderId="0" xfId="0" applyFont="1" applyFill="1" applyAlignment="1">
      <alignment vertical="center"/>
    </xf>
    <xf numFmtId="165" fontId="19" fillId="37" borderId="0" xfId="1" applyFont="1" applyFill="1" applyAlignment="1">
      <alignment horizontal="left" vertical="center"/>
    </xf>
    <xf numFmtId="165" fontId="5" fillId="37" borderId="0" xfId="1" applyFont="1" applyFill="1"/>
    <xf numFmtId="2" fontId="0" fillId="27" borderId="12" xfId="0" applyNumberFormat="1" applyFont="1" applyFill="1" applyBorder="1" applyAlignment="1">
      <alignment horizontal="center"/>
    </xf>
    <xf numFmtId="2" fontId="0" fillId="27" borderId="13" xfId="0" applyNumberFormat="1" applyFont="1" applyFill="1" applyBorder="1" applyAlignment="1">
      <alignment horizontal="center" vertical="center"/>
    </xf>
    <xf numFmtId="2" fontId="0" fillId="27" borderId="14" xfId="0" applyNumberFormat="1" applyFont="1" applyFill="1" applyBorder="1" applyAlignment="1">
      <alignment horizontal="center" vertical="center"/>
    </xf>
    <xf numFmtId="2" fontId="0" fillId="29" borderId="15" xfId="0" applyNumberFormat="1" applyFill="1" applyBorder="1" applyAlignment="1">
      <alignment horizontal="center"/>
    </xf>
    <xf numFmtId="2" fontId="0" fillId="29" borderId="1" xfId="0" applyNumberFormat="1" applyFill="1" applyBorder="1" applyAlignment="1">
      <alignment horizontal="center" vertical="center"/>
    </xf>
    <xf numFmtId="2" fontId="0" fillId="29" borderId="16" xfId="0" applyNumberFormat="1" applyFill="1" applyBorder="1" applyAlignment="1">
      <alignment horizontal="center" vertical="center"/>
    </xf>
    <xf numFmtId="2" fontId="0" fillId="9" borderId="59" xfId="0" applyNumberFormat="1" applyFill="1" applyBorder="1"/>
    <xf numFmtId="2" fontId="0" fillId="9" borderId="1" xfId="0" applyNumberFormat="1" applyFill="1" applyBorder="1"/>
    <xf numFmtId="2" fontId="0" fillId="9" borderId="16" xfId="0" applyNumberFormat="1" applyFill="1" applyBorder="1"/>
    <xf numFmtId="2" fontId="0" fillId="30" borderId="15" xfId="0" applyNumberFormat="1" applyFill="1" applyBorder="1"/>
    <xf numFmtId="2" fontId="0" fillId="30" borderId="1" xfId="0" applyNumberFormat="1" applyFill="1" applyBorder="1"/>
    <xf numFmtId="2" fontId="0" fillId="30" borderId="16" xfId="0" applyNumberFormat="1" applyFill="1" applyBorder="1"/>
    <xf numFmtId="2" fontId="0" fillId="31" borderId="59" xfId="0" applyNumberFormat="1" applyFill="1" applyBorder="1"/>
    <xf numFmtId="2" fontId="0" fillId="31" borderId="1" xfId="0" applyNumberFormat="1" applyFill="1" applyBorder="1"/>
    <xf numFmtId="2" fontId="0" fillId="31" borderId="16" xfId="0" applyNumberFormat="1" applyFill="1" applyBorder="1"/>
    <xf numFmtId="2" fontId="0" fillId="15" borderId="59" xfId="0" applyNumberFormat="1" applyFill="1" applyBorder="1"/>
    <xf numFmtId="2" fontId="0" fillId="15" borderId="1" xfId="0" applyNumberFormat="1" applyFill="1" applyBorder="1"/>
    <xf numFmtId="2" fontId="0" fillId="15" borderId="16" xfId="0" applyNumberFormat="1" applyFill="1" applyBorder="1"/>
    <xf numFmtId="2" fontId="0" fillId="22" borderId="59" xfId="0" applyNumberFormat="1" applyFill="1" applyBorder="1"/>
    <xf numFmtId="2" fontId="0" fillId="22" borderId="1" xfId="0" applyNumberFormat="1" applyFill="1" applyBorder="1"/>
    <xf numFmtId="2" fontId="0" fillId="22" borderId="16" xfId="0" applyNumberFormat="1" applyFill="1" applyBorder="1"/>
    <xf numFmtId="2" fontId="0" fillId="10" borderId="59" xfId="0" applyNumberFormat="1" applyFill="1" applyBorder="1"/>
    <xf numFmtId="2" fontId="0" fillId="10" borderId="1" xfId="0" applyNumberFormat="1" applyFill="1" applyBorder="1"/>
    <xf numFmtId="2" fontId="0" fillId="10" borderId="16" xfId="0" applyNumberFormat="1" applyFill="1" applyBorder="1"/>
    <xf numFmtId="2" fontId="0" fillId="5" borderId="59" xfId="0" applyNumberFormat="1" applyFill="1" applyBorder="1"/>
    <xf numFmtId="2" fontId="0" fillId="5" borderId="1" xfId="0" applyNumberFormat="1" applyFill="1" applyBorder="1"/>
    <xf numFmtId="2" fontId="0" fillId="5" borderId="16" xfId="0" applyNumberFormat="1" applyFill="1" applyBorder="1"/>
    <xf numFmtId="2" fontId="0" fillId="32" borderId="59" xfId="0" applyNumberFormat="1" applyFill="1" applyBorder="1"/>
    <xf numFmtId="2" fontId="0" fillId="32" borderId="1" xfId="0" applyNumberFormat="1" applyFill="1" applyBorder="1"/>
    <xf numFmtId="2" fontId="0" fillId="32" borderId="16" xfId="0" applyNumberFormat="1" applyFill="1" applyBorder="1"/>
    <xf numFmtId="2" fontId="0" fillId="4" borderId="59" xfId="0" applyNumberFormat="1" applyFill="1" applyBorder="1"/>
    <xf numFmtId="2" fontId="0" fillId="4" borderId="1" xfId="0" applyNumberFormat="1" applyFill="1" applyBorder="1"/>
    <xf numFmtId="2" fontId="0" fillId="4" borderId="16" xfId="0" applyNumberFormat="1" applyFill="1" applyBorder="1"/>
    <xf numFmtId="2" fontId="0" fillId="33" borderId="69" xfId="0" applyNumberFormat="1" applyFill="1" applyBorder="1"/>
    <xf numFmtId="2" fontId="0" fillId="33" borderId="18" xfId="0" applyNumberFormat="1" applyFill="1" applyBorder="1"/>
    <xf numFmtId="2" fontId="0" fillId="33" borderId="19" xfId="0" applyNumberFormat="1" applyFill="1" applyBorder="1"/>
    <xf numFmtId="1" fontId="0" fillId="12" borderId="16" xfId="0" applyNumberFormat="1" applyFill="1" applyBorder="1" applyAlignment="1">
      <alignment horizontal="center" vertical="center"/>
    </xf>
    <xf numFmtId="1" fontId="0" fillId="12" borderId="18" xfId="0" applyNumberFormat="1" applyFill="1" applyBorder="1" applyAlignment="1">
      <alignment vertical="center"/>
    </xf>
    <xf numFmtId="1" fontId="0" fillId="12" borderId="19" xfId="0" applyNumberFormat="1" applyFill="1" applyBorder="1" applyAlignment="1">
      <alignment horizontal="center" vertical="center"/>
    </xf>
    <xf numFmtId="2" fontId="0" fillId="12" borderId="37" xfId="0" applyNumberFormat="1" applyFill="1" applyBorder="1" applyAlignment="1">
      <alignment horizontal="center" vertical="center"/>
    </xf>
    <xf numFmtId="2" fontId="0" fillId="12" borderId="30" xfId="0" applyNumberFormat="1" applyFill="1" applyBorder="1" applyAlignment="1">
      <alignment horizontal="center" vertical="center"/>
    </xf>
    <xf numFmtId="1" fontId="0" fillId="12" borderId="37" xfId="0" applyNumberFormat="1" applyFill="1" applyBorder="1" applyAlignment="1">
      <alignment horizontal="center" vertical="center"/>
    </xf>
    <xf numFmtId="1" fontId="0" fillId="12" borderId="30" xfId="0" applyNumberFormat="1" applyFill="1" applyBorder="1" applyAlignment="1">
      <alignment horizontal="center" vertical="center"/>
    </xf>
    <xf numFmtId="1" fontId="0" fillId="12" borderId="39" xfId="0" applyNumberFormat="1" applyFill="1" applyBorder="1" applyAlignment="1">
      <alignment horizontal="center" vertical="center"/>
    </xf>
    <xf numFmtId="1" fontId="0" fillId="27" borderId="70" xfId="0" applyNumberFormat="1" applyFill="1" applyBorder="1" applyAlignment="1">
      <alignment horizontal="right"/>
    </xf>
    <xf numFmtId="1" fontId="0" fillId="27" borderId="44" xfId="0" applyNumberFormat="1" applyFill="1" applyBorder="1" applyAlignment="1">
      <alignment horizontal="right"/>
    </xf>
    <xf numFmtId="1" fontId="0" fillId="29" borderId="59" xfId="0" applyNumberFormat="1" applyFill="1" applyBorder="1" applyAlignment="1">
      <alignment horizontal="right"/>
    </xf>
    <xf numFmtId="1" fontId="0" fillId="29" borderId="40" xfId="0" applyNumberFormat="1" applyFill="1" applyBorder="1" applyAlignment="1">
      <alignment horizontal="right"/>
    </xf>
    <xf numFmtId="1" fontId="51" fillId="31" borderId="16" xfId="0" applyNumberFormat="1" applyFont="1" applyFill="1" applyBorder="1" applyAlignment="1">
      <alignment horizontal="right" vertical="center"/>
    </xf>
    <xf numFmtId="1" fontId="0" fillId="10" borderId="59" xfId="0" applyNumberFormat="1" applyFill="1" applyBorder="1" applyAlignment="1">
      <alignment horizontal="right"/>
    </xf>
    <xf numFmtId="1" fontId="0" fillId="5" borderId="59" xfId="0" applyNumberFormat="1" applyFill="1" applyBorder="1" applyAlignment="1">
      <alignment horizontal="right"/>
    </xf>
    <xf numFmtId="1" fontId="53" fillId="32" borderId="59" xfId="0" applyNumberFormat="1" applyFont="1" applyFill="1" applyBorder="1" applyAlignment="1">
      <alignment horizontal="right"/>
    </xf>
    <xf numFmtId="1" fontId="0" fillId="4" borderId="59" xfId="0" applyNumberFormat="1" applyFill="1" applyBorder="1" applyAlignment="1">
      <alignment horizontal="right"/>
    </xf>
    <xf numFmtId="1" fontId="0" fillId="33" borderId="69" xfId="0" applyNumberFormat="1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2" fontId="0" fillId="0" borderId="12" xfId="0" applyNumberFormat="1" applyFont="1" applyFill="1" applyBorder="1" applyAlignment="1">
      <alignment horizontal="center"/>
    </xf>
    <xf numFmtId="2" fontId="0" fillId="0" borderId="13" xfId="0" applyNumberFormat="1" applyFont="1" applyFill="1" applyBorder="1" applyAlignment="1">
      <alignment horizontal="center" vertical="center"/>
    </xf>
    <xf numFmtId="2" fontId="0" fillId="0" borderId="14" xfId="0" applyNumberFormat="1" applyFont="1" applyFill="1" applyBorder="1" applyAlignment="1">
      <alignment horizontal="center" vertical="center"/>
    </xf>
    <xf numFmtId="2" fontId="0" fillId="0" borderId="15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16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right" vertical="center"/>
    </xf>
    <xf numFmtId="2" fontId="0" fillId="0" borderId="59" xfId="0" applyNumberFormat="1" applyFill="1" applyBorder="1"/>
    <xf numFmtId="2" fontId="0" fillId="0" borderId="1" xfId="0" applyNumberFormat="1" applyFill="1" applyBorder="1"/>
    <xf numFmtId="2" fontId="0" fillId="0" borderId="16" xfId="0" applyNumberFormat="1" applyFill="1" applyBorder="1"/>
    <xf numFmtId="2" fontId="0" fillId="0" borderId="15" xfId="0" applyNumberFormat="1" applyFill="1" applyBorder="1"/>
    <xf numFmtId="2" fontId="51" fillId="0" borderId="0" xfId="0" applyNumberFormat="1" applyFont="1" applyFill="1" applyBorder="1" applyAlignment="1">
      <alignment horizontal="right" vertical="center"/>
    </xf>
    <xf numFmtId="2" fontId="0" fillId="21" borderId="59" xfId="0" applyNumberFormat="1" applyFill="1" applyBorder="1"/>
    <xf numFmtId="2" fontId="0" fillId="21" borderId="1" xfId="0" applyNumberFormat="1" applyFill="1" applyBorder="1"/>
    <xf numFmtId="2" fontId="0" fillId="21" borderId="16" xfId="0" applyNumberFormat="1" applyFill="1" applyBorder="1"/>
    <xf numFmtId="2" fontId="0" fillId="11" borderId="59" xfId="0" applyNumberFormat="1" applyFill="1" applyBorder="1"/>
    <xf numFmtId="2" fontId="0" fillId="11" borderId="1" xfId="0" applyNumberFormat="1" applyFill="1" applyBorder="1"/>
    <xf numFmtId="2" fontId="0" fillId="11" borderId="16" xfId="0" applyNumberFormat="1" applyFill="1" applyBorder="1"/>
    <xf numFmtId="2" fontId="0" fillId="34" borderId="59" xfId="0" applyNumberFormat="1" applyFill="1" applyBorder="1"/>
    <xf numFmtId="2" fontId="0" fillId="34" borderId="1" xfId="0" applyNumberFormat="1" applyFill="1" applyBorder="1"/>
    <xf numFmtId="2" fontId="0" fillId="34" borderId="16" xfId="0" applyNumberFormat="1" applyFill="1" applyBorder="1"/>
    <xf numFmtId="2" fontId="0" fillId="35" borderId="59" xfId="0" applyNumberFormat="1" applyFill="1" applyBorder="1"/>
    <xf numFmtId="2" fontId="0" fillId="35" borderId="1" xfId="0" applyNumberFormat="1" applyFill="1" applyBorder="1"/>
    <xf numFmtId="2" fontId="0" fillId="35" borderId="16" xfId="0" applyNumberFormat="1" applyFill="1" applyBorder="1"/>
    <xf numFmtId="2" fontId="53" fillId="0" borderId="0" xfId="0" applyNumberFormat="1" applyFont="1" applyFill="1" applyBorder="1" applyAlignment="1">
      <alignment horizontal="right" vertical="center"/>
    </xf>
    <xf numFmtId="2" fontId="0" fillId="0" borderId="18" xfId="0" applyNumberFormat="1" applyFill="1" applyBorder="1" applyAlignment="1">
      <alignment horizontal="right" vertical="center"/>
    </xf>
    <xf numFmtId="2" fontId="0" fillId="0" borderId="19" xfId="0" applyNumberFormat="1" applyFill="1" applyBorder="1" applyAlignment="1">
      <alignment horizontal="right" vertical="center"/>
    </xf>
    <xf numFmtId="2" fontId="0" fillId="0" borderId="69" xfId="0" applyNumberFormat="1" applyFill="1" applyBorder="1"/>
    <xf numFmtId="2" fontId="0" fillId="0" borderId="18" xfId="0" applyNumberFormat="1" applyFill="1" applyBorder="1"/>
    <xf numFmtId="2" fontId="0" fillId="0" borderId="19" xfId="0" applyNumberFormat="1" applyFill="1" applyBorder="1"/>
    <xf numFmtId="1" fontId="51" fillId="21" borderId="16" xfId="0" applyNumberFormat="1" applyFont="1" applyFill="1" applyBorder="1" applyAlignment="1">
      <alignment horizontal="right" vertical="center"/>
    </xf>
    <xf numFmtId="1" fontId="0" fillId="12" borderId="11" xfId="0" applyNumberFormat="1" applyFill="1" applyBorder="1" applyAlignment="1">
      <alignment horizontal="center" vertical="center"/>
    </xf>
    <xf numFmtId="1" fontId="0" fillId="12" borderId="20" xfId="0" applyNumberFormat="1" applyFill="1" applyBorder="1" applyAlignment="1">
      <alignment horizontal="center" vertical="center"/>
    </xf>
    <xf numFmtId="1" fontId="0" fillId="12" borderId="26" xfId="0" applyNumberFormat="1" applyFill="1" applyBorder="1" applyAlignment="1">
      <alignment horizontal="center" vertical="center"/>
    </xf>
    <xf numFmtId="1" fontId="0" fillId="0" borderId="70" xfId="0" applyNumberFormat="1" applyFill="1" applyBorder="1" applyAlignment="1">
      <alignment horizontal="right"/>
    </xf>
    <xf numFmtId="1" fontId="0" fillId="0" borderId="44" xfId="0" applyNumberFormat="1" applyFill="1" applyBorder="1" applyAlignment="1">
      <alignment horizontal="right"/>
    </xf>
    <xf numFmtId="1" fontId="53" fillId="0" borderId="59" xfId="0" applyNumberFormat="1" applyFont="1" applyFill="1" applyBorder="1" applyAlignment="1">
      <alignment horizontal="right"/>
    </xf>
    <xf numFmtId="1" fontId="0" fillId="12" borderId="41" xfId="0" applyNumberFormat="1" applyFill="1" applyBorder="1" applyAlignment="1">
      <alignment horizontal="center" vertical="center"/>
    </xf>
    <xf numFmtId="1" fontId="48" fillId="12" borderId="63" xfId="0" applyNumberFormat="1" applyFont="1" applyFill="1" applyBorder="1" applyAlignment="1">
      <alignment vertical="center"/>
    </xf>
    <xf numFmtId="1" fontId="48" fillId="12" borderId="68" xfId="0" applyNumberFormat="1" applyFont="1" applyFill="1" applyBorder="1" applyAlignment="1">
      <alignment vertical="center"/>
    </xf>
    <xf numFmtId="1" fontId="48" fillId="12" borderId="25" xfId="0" applyNumberFormat="1" applyFont="1" applyFill="1" applyBorder="1" applyAlignment="1">
      <alignment vertical="center"/>
    </xf>
    <xf numFmtId="165" fontId="0" fillId="12" borderId="0" xfId="0" applyFill="1" applyProtection="1">
      <protection hidden="1"/>
    </xf>
    <xf numFmtId="165" fontId="0" fillId="12" borderId="0" xfId="0" applyFill="1" applyAlignment="1" applyProtection="1">
      <alignment horizontal="center"/>
      <protection hidden="1"/>
    </xf>
    <xf numFmtId="165" fontId="0" fillId="12" borderId="11" xfId="0" applyFill="1" applyBorder="1" applyAlignment="1" applyProtection="1">
      <alignment horizontal="right" wrapText="1"/>
      <protection hidden="1"/>
    </xf>
    <xf numFmtId="1" fontId="48" fillId="21" borderId="54" xfId="0" applyNumberFormat="1" applyFont="1" applyFill="1" applyBorder="1" applyAlignment="1" applyProtection="1">
      <alignment horizontal="right"/>
      <protection locked="0"/>
    </xf>
    <xf numFmtId="1" fontId="48" fillId="12" borderId="0" xfId="0" applyNumberFormat="1" applyFont="1" applyFill="1" applyBorder="1" applyProtection="1">
      <protection hidden="1"/>
    </xf>
    <xf numFmtId="165" fontId="48" fillId="12" borderId="0" xfId="0" applyFont="1" applyFill="1" applyProtection="1">
      <protection hidden="1"/>
    </xf>
    <xf numFmtId="1" fontId="0" fillId="12" borderId="0" xfId="0" applyNumberFormat="1" applyFill="1" applyBorder="1" applyProtection="1">
      <protection hidden="1"/>
    </xf>
    <xf numFmtId="1" fontId="48" fillId="21" borderId="40" xfId="0" applyNumberFormat="1" applyFont="1" applyFill="1" applyBorder="1" applyAlignment="1" applyProtection="1">
      <alignment horizontal="right"/>
      <protection locked="0"/>
    </xf>
    <xf numFmtId="165" fontId="48" fillId="12" borderId="39" xfId="0" applyFont="1" applyFill="1" applyBorder="1" applyAlignment="1" applyProtection="1">
      <alignment horizontal="right"/>
      <protection hidden="1"/>
    </xf>
    <xf numFmtId="1" fontId="48" fillId="12" borderId="55" xfId="0" applyNumberFormat="1" applyFont="1" applyFill="1" applyBorder="1" applyAlignment="1" applyProtection="1">
      <alignment horizontal="right"/>
      <protection hidden="1"/>
    </xf>
    <xf numFmtId="165" fontId="48" fillId="12" borderId="0" xfId="0" applyFont="1" applyFill="1" applyBorder="1" applyAlignment="1" applyProtection="1">
      <alignment horizontal="right"/>
      <protection hidden="1"/>
    </xf>
    <xf numFmtId="1" fontId="48" fillId="12" borderId="0" xfId="0" applyNumberFormat="1" applyFont="1" applyFill="1" applyBorder="1" applyAlignment="1" applyProtection="1">
      <alignment horizontal="right"/>
      <protection hidden="1"/>
    </xf>
    <xf numFmtId="1" fontId="48" fillId="12" borderId="12" xfId="0" applyNumberFormat="1" applyFont="1" applyFill="1" applyBorder="1" applyAlignment="1" applyProtection="1">
      <alignment horizontal="right"/>
      <protection hidden="1"/>
    </xf>
    <xf numFmtId="165" fontId="48" fillId="12" borderId="15" xfId="0" applyFont="1" applyFill="1" applyBorder="1" applyAlignment="1" applyProtection="1">
      <alignment horizontal="right"/>
      <protection hidden="1"/>
    </xf>
    <xf numFmtId="1" fontId="55" fillId="12" borderId="0" xfId="0" applyNumberFormat="1" applyFont="1" applyFill="1" applyProtection="1">
      <protection hidden="1"/>
    </xf>
    <xf numFmtId="165" fontId="48" fillId="12" borderId="17" xfId="0" applyFont="1" applyFill="1" applyBorder="1" applyAlignment="1" applyProtection="1">
      <alignment horizontal="right"/>
      <protection hidden="1"/>
    </xf>
    <xf numFmtId="165" fontId="48" fillId="12" borderId="20" xfId="0" applyFont="1" applyFill="1" applyBorder="1" applyAlignment="1" applyProtection="1">
      <alignment horizontal="right"/>
      <protection hidden="1"/>
    </xf>
    <xf numFmtId="1" fontId="48" fillId="21" borderId="20" xfId="0" applyNumberFormat="1" applyFont="1" applyFill="1" applyBorder="1" applyAlignment="1" applyProtection="1">
      <alignment horizontal="right"/>
      <protection locked="0"/>
    </xf>
    <xf numFmtId="165" fontId="48" fillId="12" borderId="0" xfId="0" applyFont="1" applyFill="1" applyBorder="1" applyAlignment="1" applyProtection="1">
      <alignment horizontal="center" vertical="center"/>
      <protection hidden="1"/>
    </xf>
    <xf numFmtId="165" fontId="48" fillId="12" borderId="37" xfId="0" applyFont="1" applyFill="1" applyBorder="1" applyAlignment="1" applyProtection="1">
      <alignment horizontal="center" vertical="center"/>
      <protection hidden="1"/>
    </xf>
    <xf numFmtId="165" fontId="48" fillId="12" borderId="39" xfId="0" applyFont="1" applyFill="1" applyBorder="1" applyAlignment="1" applyProtection="1">
      <alignment horizontal="center" vertical="center"/>
      <protection hidden="1"/>
    </xf>
    <xf numFmtId="1" fontId="48" fillId="27" borderId="51" xfId="0" applyNumberFormat="1" applyFont="1" applyFill="1" applyBorder="1" applyAlignment="1" applyProtection="1">
      <alignment horizontal="right" vertical="center"/>
      <protection hidden="1"/>
    </xf>
    <xf numFmtId="1" fontId="48" fillId="29" borderId="1" xfId="0" applyNumberFormat="1" applyFont="1" applyFill="1" applyBorder="1" applyAlignment="1" applyProtection="1">
      <alignment horizontal="right" vertical="center"/>
      <protection hidden="1"/>
    </xf>
    <xf numFmtId="1" fontId="48" fillId="9" borderId="59" xfId="0" applyNumberFormat="1" applyFont="1" applyFill="1" applyBorder="1" applyProtection="1">
      <protection hidden="1"/>
    </xf>
    <xf numFmtId="1" fontId="48" fillId="9" borderId="1" xfId="0" applyNumberFormat="1" applyFont="1" applyFill="1" applyBorder="1" applyAlignment="1" applyProtection="1">
      <alignment horizontal="center" vertical="center"/>
      <protection hidden="1"/>
    </xf>
    <xf numFmtId="1" fontId="48" fillId="9" borderId="16" xfId="0" applyNumberFormat="1" applyFont="1" applyFill="1" applyBorder="1" applyAlignment="1" applyProtection="1">
      <alignment horizontal="center" vertical="center"/>
      <protection hidden="1"/>
    </xf>
    <xf numFmtId="1" fontId="48" fillId="30" borderId="1" xfId="0" applyNumberFormat="1" applyFont="1" applyFill="1" applyBorder="1" applyAlignment="1" applyProtection="1">
      <alignment horizontal="right"/>
      <protection hidden="1"/>
    </xf>
    <xf numFmtId="1" fontId="48" fillId="31" borderId="59" xfId="0" applyNumberFormat="1" applyFont="1" applyFill="1" applyBorder="1" applyProtection="1">
      <protection hidden="1"/>
    </xf>
    <xf numFmtId="1" fontId="48" fillId="31" borderId="1" xfId="0" applyNumberFormat="1" applyFont="1" applyFill="1" applyBorder="1" applyAlignment="1" applyProtection="1">
      <alignment horizontal="center" vertical="center"/>
      <protection hidden="1"/>
    </xf>
    <xf numFmtId="1" fontId="56" fillId="31" borderId="1" xfId="0" applyNumberFormat="1" applyFont="1" applyFill="1" applyBorder="1" applyAlignment="1" applyProtection="1">
      <alignment horizontal="center" vertical="center"/>
      <protection hidden="1"/>
    </xf>
    <xf numFmtId="1" fontId="48" fillId="35" borderId="59" xfId="0" applyNumberFormat="1" applyFont="1" applyFill="1" applyBorder="1" applyProtection="1">
      <protection hidden="1"/>
    </xf>
    <xf numFmtId="1" fontId="48" fillId="35" borderId="1" xfId="0" applyNumberFormat="1" applyFont="1" applyFill="1" applyBorder="1" applyAlignment="1" applyProtection="1">
      <alignment horizontal="center" vertical="center"/>
      <protection hidden="1"/>
    </xf>
    <xf numFmtId="1" fontId="48" fillId="35" borderId="16" xfId="0" applyNumberFormat="1" applyFont="1" applyFill="1" applyBorder="1" applyAlignment="1" applyProtection="1">
      <alignment horizontal="center" vertical="center"/>
      <protection hidden="1"/>
    </xf>
    <xf numFmtId="1" fontId="48" fillId="22" borderId="59" xfId="0" applyNumberFormat="1" applyFont="1" applyFill="1" applyBorder="1" applyProtection="1">
      <protection hidden="1"/>
    </xf>
    <xf numFmtId="1" fontId="57" fillId="22" borderId="1" xfId="0" applyNumberFormat="1" applyFont="1" applyFill="1" applyBorder="1" applyAlignment="1" applyProtection="1">
      <alignment horizontal="center" vertical="center"/>
      <protection hidden="1"/>
    </xf>
    <xf numFmtId="1" fontId="56" fillId="22" borderId="1" xfId="0" applyNumberFormat="1" applyFont="1" applyFill="1" applyBorder="1" applyAlignment="1" applyProtection="1">
      <alignment horizontal="center" vertical="center"/>
      <protection hidden="1"/>
    </xf>
    <xf numFmtId="1" fontId="48" fillId="22" borderId="1" xfId="0" applyNumberFormat="1" applyFont="1" applyFill="1" applyBorder="1" applyAlignment="1" applyProtection="1">
      <alignment horizontal="center" vertical="center"/>
      <protection hidden="1"/>
    </xf>
    <xf numFmtId="1" fontId="56" fillId="22" borderId="16" xfId="0" applyNumberFormat="1" applyFont="1" applyFill="1" applyBorder="1" applyAlignment="1" applyProtection="1">
      <alignment horizontal="center" vertical="center"/>
      <protection hidden="1"/>
    </xf>
    <xf numFmtId="1" fontId="48" fillId="10" borderId="59" xfId="0" applyNumberFormat="1" applyFont="1" applyFill="1" applyBorder="1" applyProtection="1">
      <protection hidden="1"/>
    </xf>
    <xf numFmtId="1" fontId="48" fillId="10" borderId="1" xfId="0" applyNumberFormat="1" applyFont="1" applyFill="1" applyBorder="1" applyAlignment="1" applyProtection="1">
      <alignment horizontal="center" vertical="center"/>
      <protection hidden="1"/>
    </xf>
    <xf numFmtId="1" fontId="48" fillId="10" borderId="16" xfId="0" applyNumberFormat="1" applyFont="1" applyFill="1" applyBorder="1" applyAlignment="1" applyProtection="1">
      <alignment horizontal="center" vertical="center"/>
      <protection hidden="1"/>
    </xf>
    <xf numFmtId="1" fontId="48" fillId="5" borderId="59" xfId="0" applyNumberFormat="1" applyFont="1" applyFill="1" applyBorder="1" applyProtection="1">
      <protection hidden="1"/>
    </xf>
    <xf numFmtId="1" fontId="48" fillId="5" borderId="1" xfId="0" applyNumberFormat="1" applyFont="1" applyFill="1" applyBorder="1" applyAlignment="1" applyProtection="1">
      <alignment horizontal="center" vertical="center"/>
      <protection hidden="1"/>
    </xf>
    <xf numFmtId="1" fontId="48" fillId="5" borderId="16" xfId="0" applyNumberFormat="1" applyFont="1" applyFill="1" applyBorder="1" applyAlignment="1" applyProtection="1">
      <alignment horizontal="center" vertical="center"/>
      <protection hidden="1"/>
    </xf>
    <xf numFmtId="1" fontId="48" fillId="32" borderId="59" xfId="0" applyNumberFormat="1" applyFont="1" applyFill="1" applyBorder="1" applyProtection="1">
      <protection hidden="1"/>
    </xf>
    <xf numFmtId="1" fontId="48" fillId="32" borderId="1" xfId="0" applyNumberFormat="1" applyFont="1" applyFill="1" applyBorder="1" applyAlignment="1" applyProtection="1">
      <alignment horizontal="center" vertical="center"/>
      <protection hidden="1"/>
    </xf>
    <xf numFmtId="1" fontId="48" fillId="32" borderId="16" xfId="0" applyNumberFormat="1" applyFont="1" applyFill="1" applyBorder="1" applyAlignment="1" applyProtection="1">
      <alignment horizontal="center" vertical="center"/>
      <protection hidden="1"/>
    </xf>
    <xf numFmtId="1" fontId="48" fillId="12" borderId="39" xfId="0" applyNumberFormat="1" applyFont="1" applyFill="1" applyBorder="1" applyProtection="1">
      <protection hidden="1"/>
    </xf>
    <xf numFmtId="1" fontId="48" fillId="4" borderId="59" xfId="0" applyNumberFormat="1" applyFont="1" applyFill="1" applyBorder="1" applyProtection="1">
      <protection hidden="1"/>
    </xf>
    <xf numFmtId="1" fontId="48" fillId="4" borderId="1" xfId="0" applyNumberFormat="1" applyFont="1" applyFill="1" applyBorder="1" applyAlignment="1" applyProtection="1">
      <alignment horizontal="center" vertical="center"/>
      <protection hidden="1"/>
    </xf>
    <xf numFmtId="1" fontId="48" fillId="4" borderId="16" xfId="0" applyNumberFormat="1" applyFont="1" applyFill="1" applyBorder="1" applyAlignment="1" applyProtection="1">
      <alignment horizontal="center" vertical="center"/>
      <protection hidden="1"/>
    </xf>
    <xf numFmtId="1" fontId="48" fillId="33" borderId="69" xfId="0" applyNumberFormat="1" applyFont="1" applyFill="1" applyBorder="1" applyProtection="1">
      <protection hidden="1"/>
    </xf>
    <xf numFmtId="1" fontId="48" fillId="33" borderId="18" xfId="0" applyNumberFormat="1" applyFont="1" applyFill="1" applyBorder="1" applyAlignment="1" applyProtection="1">
      <alignment horizontal="center" vertical="center"/>
      <protection hidden="1"/>
    </xf>
    <xf numFmtId="1" fontId="48" fillId="33" borderId="19" xfId="0" applyNumberFormat="1" applyFont="1" applyFill="1" applyBorder="1" applyAlignment="1" applyProtection="1">
      <alignment horizontal="center" vertical="center"/>
      <protection hidden="1"/>
    </xf>
    <xf numFmtId="1" fontId="48" fillId="12" borderId="0" xfId="0" applyNumberFormat="1" applyFont="1" applyFill="1" applyBorder="1" applyAlignment="1" applyProtection="1">
      <alignment horizontal="center" vertical="center"/>
      <protection hidden="1"/>
    </xf>
    <xf numFmtId="165" fontId="48" fillId="12" borderId="0" xfId="0" applyFont="1" applyFill="1" applyBorder="1" applyProtection="1">
      <protection hidden="1"/>
    </xf>
    <xf numFmtId="1" fontId="48" fillId="12" borderId="1" xfId="0" applyNumberFormat="1" applyFont="1" applyFill="1" applyBorder="1" applyAlignment="1" applyProtection="1">
      <alignment horizontal="center" vertical="center"/>
      <protection hidden="1"/>
    </xf>
    <xf numFmtId="1" fontId="48" fillId="12" borderId="16" xfId="0" applyNumberFormat="1" applyFont="1" applyFill="1" applyBorder="1" applyAlignment="1" applyProtection="1">
      <alignment horizontal="center" vertical="center"/>
      <protection hidden="1"/>
    </xf>
    <xf numFmtId="1" fontId="0" fillId="12" borderId="0" xfId="0" applyNumberFormat="1" applyFont="1" applyFill="1" applyBorder="1" applyAlignment="1" applyProtection="1">
      <alignment horizontal="center" vertical="center"/>
      <protection hidden="1"/>
    </xf>
    <xf numFmtId="2" fontId="48" fillId="12" borderId="0" xfId="0" applyNumberFormat="1" applyFont="1" applyFill="1" applyBorder="1" applyProtection="1">
      <protection hidden="1"/>
    </xf>
    <xf numFmtId="165" fontId="48" fillId="12" borderId="8" xfId="0" applyFont="1" applyFill="1" applyBorder="1" applyAlignment="1" applyProtection="1">
      <alignment horizontal="center" vertical="center"/>
      <protection hidden="1"/>
    </xf>
    <xf numFmtId="165" fontId="48" fillId="12" borderId="20" xfId="0" applyFont="1" applyFill="1" applyBorder="1" applyAlignment="1" applyProtection="1">
      <alignment horizontal="center" vertical="center"/>
      <protection hidden="1"/>
    </xf>
    <xf numFmtId="165" fontId="48" fillId="12" borderId="32" xfId="0" applyFont="1" applyFill="1" applyBorder="1" applyAlignment="1" applyProtection="1">
      <alignment vertical="center"/>
      <protection hidden="1"/>
    </xf>
    <xf numFmtId="165" fontId="48" fillId="12" borderId="33" xfId="0" applyFont="1" applyFill="1" applyBorder="1" applyAlignment="1" applyProtection="1">
      <alignment vertical="center"/>
      <protection hidden="1"/>
    </xf>
    <xf numFmtId="165" fontId="0" fillId="12" borderId="33" xfId="0" applyFill="1" applyBorder="1" applyAlignment="1" applyProtection="1">
      <alignment vertical="center"/>
      <protection hidden="1"/>
    </xf>
    <xf numFmtId="165" fontId="0" fillId="12" borderId="22" xfId="0" applyFill="1" applyBorder="1" applyAlignment="1" applyProtection="1">
      <alignment vertical="center"/>
      <protection hidden="1"/>
    </xf>
    <xf numFmtId="165" fontId="58" fillId="12" borderId="8" xfId="0" applyFont="1" applyFill="1" applyBorder="1" applyAlignment="1" applyProtection="1">
      <alignment horizontal="center" vertical="center"/>
      <protection hidden="1"/>
    </xf>
    <xf numFmtId="165" fontId="58" fillId="12" borderId="10" xfId="0" applyFont="1" applyFill="1" applyBorder="1" applyAlignment="1" applyProtection="1">
      <alignment horizontal="center" vertical="center"/>
      <protection hidden="1"/>
    </xf>
    <xf numFmtId="1" fontId="48" fillId="12" borderId="9" xfId="0" applyNumberFormat="1" applyFont="1" applyFill="1" applyBorder="1" applyAlignment="1">
      <alignment horizontal="center" vertical="center"/>
    </xf>
    <xf numFmtId="1" fontId="48" fillId="12" borderId="20" xfId="0" applyNumberFormat="1" applyFont="1" applyFill="1" applyBorder="1" applyAlignment="1">
      <alignment horizontal="center" vertical="center"/>
    </xf>
    <xf numFmtId="165" fontId="0" fillId="12" borderId="4" xfId="0" applyFill="1" applyBorder="1" applyAlignment="1" applyProtection="1">
      <alignment horizontal="right" wrapText="1"/>
      <protection hidden="1"/>
    </xf>
    <xf numFmtId="165" fontId="58" fillId="12" borderId="9" xfId="0" applyFont="1" applyFill="1" applyBorder="1" applyAlignment="1" applyProtection="1">
      <alignment horizontal="center" vertical="center"/>
      <protection hidden="1"/>
    </xf>
    <xf numFmtId="1" fontId="0" fillId="12" borderId="0" xfId="0" applyNumberFormat="1" applyFont="1" applyFill="1" applyBorder="1" applyProtection="1">
      <protection hidden="1"/>
    </xf>
    <xf numFmtId="1" fontId="0" fillId="12" borderId="0" xfId="0" applyNumberFormat="1" applyFill="1" applyProtection="1">
      <protection hidden="1"/>
    </xf>
    <xf numFmtId="2" fontId="48" fillId="12" borderId="20" xfId="0" applyNumberFormat="1" applyFont="1" applyFill="1" applyBorder="1" applyAlignment="1" applyProtection="1">
      <protection hidden="1"/>
    </xf>
    <xf numFmtId="2" fontId="0" fillId="12" borderId="0" xfId="0" applyNumberFormat="1" applyFill="1" applyProtection="1">
      <protection hidden="1"/>
    </xf>
    <xf numFmtId="2" fontId="48" fillId="12" borderId="20" xfId="0" applyNumberFormat="1" applyFont="1" applyFill="1" applyBorder="1" applyAlignment="1" applyProtection="1">
      <alignment horizontal="right"/>
      <protection hidden="1"/>
    </xf>
    <xf numFmtId="1" fontId="48" fillId="12" borderId="20" xfId="0" applyNumberFormat="1" applyFont="1" applyFill="1" applyBorder="1" applyAlignment="1" applyProtection="1">
      <alignment horizontal="right"/>
      <protection hidden="1"/>
    </xf>
    <xf numFmtId="1" fontId="48" fillId="12" borderId="41" xfId="0" applyNumberFormat="1" applyFont="1" applyFill="1" applyBorder="1" applyAlignment="1" applyProtection="1">
      <alignment horizontal="center" vertical="center"/>
      <protection hidden="1"/>
    </xf>
    <xf numFmtId="1" fontId="48" fillId="12" borderId="30" xfId="0" applyNumberFormat="1" applyFont="1" applyFill="1" applyBorder="1" applyAlignment="1" applyProtection="1">
      <alignment horizontal="center" vertical="center"/>
      <protection hidden="1"/>
    </xf>
    <xf numFmtId="1" fontId="48" fillId="12" borderId="30" xfId="0" applyNumberFormat="1" applyFont="1" applyFill="1" applyBorder="1" applyProtection="1">
      <protection hidden="1"/>
    </xf>
    <xf numFmtId="2" fontId="48" fillId="27" borderId="70" xfId="0" applyNumberFormat="1" applyFont="1" applyFill="1" applyBorder="1" applyAlignment="1" applyProtection="1">
      <alignment horizontal="right" vertical="center"/>
      <protection hidden="1"/>
    </xf>
    <xf numFmtId="2" fontId="48" fillId="27" borderId="51" xfId="0" applyNumberFormat="1" applyFont="1" applyFill="1" applyBorder="1" applyAlignment="1" applyProtection="1">
      <alignment horizontal="right" vertical="center"/>
      <protection hidden="1"/>
    </xf>
    <xf numFmtId="2" fontId="48" fillId="27" borderId="24" xfId="0" applyNumberFormat="1" applyFont="1" applyFill="1" applyBorder="1" applyAlignment="1" applyProtection="1">
      <alignment horizontal="right" vertical="center"/>
      <protection hidden="1"/>
    </xf>
    <xf numFmtId="2" fontId="0" fillId="27" borderId="51" xfId="0" applyNumberFormat="1" applyFont="1" applyFill="1" applyBorder="1" applyAlignment="1">
      <alignment horizontal="right" vertical="center"/>
    </xf>
    <xf numFmtId="2" fontId="48" fillId="29" borderId="59" xfId="0" applyNumberFormat="1" applyFont="1" applyFill="1" applyBorder="1" applyAlignment="1" applyProtection="1">
      <alignment horizontal="right" vertical="center"/>
      <protection hidden="1"/>
    </xf>
    <xf numFmtId="2" fontId="48" fillId="29" borderId="1" xfId="0" applyNumberFormat="1" applyFont="1" applyFill="1" applyBorder="1" applyAlignment="1" applyProtection="1">
      <alignment horizontal="right" vertical="center"/>
      <protection hidden="1"/>
    </xf>
    <xf numFmtId="2" fontId="48" fillId="29" borderId="16" xfId="0" applyNumberFormat="1" applyFont="1" applyFill="1" applyBorder="1" applyAlignment="1" applyProtection="1">
      <alignment horizontal="right" vertical="center"/>
      <protection hidden="1"/>
    </xf>
    <xf numFmtId="2" fontId="0" fillId="29" borderId="1" xfId="0" applyNumberFormat="1" applyFill="1" applyBorder="1" applyAlignment="1">
      <alignment horizontal="right" vertical="center"/>
    </xf>
    <xf numFmtId="2" fontId="48" fillId="9" borderId="59" xfId="0" applyNumberFormat="1" applyFont="1" applyFill="1" applyBorder="1" applyProtection="1">
      <protection hidden="1"/>
    </xf>
    <xf numFmtId="2" fontId="48" fillId="9" borderId="1" xfId="0" applyNumberFormat="1" applyFont="1" applyFill="1" applyBorder="1" applyProtection="1">
      <protection hidden="1"/>
    </xf>
    <xf numFmtId="2" fontId="48" fillId="9" borderId="16" xfId="0" applyNumberFormat="1" applyFont="1" applyFill="1" applyBorder="1" applyProtection="1">
      <protection hidden="1"/>
    </xf>
    <xf numFmtId="2" fontId="48" fillId="30" borderId="59" xfId="0" applyNumberFormat="1" applyFont="1" applyFill="1" applyBorder="1" applyAlignment="1" applyProtection="1">
      <alignment horizontal="right" vertical="center"/>
      <protection hidden="1"/>
    </xf>
    <xf numFmtId="2" fontId="48" fillId="30" borderId="1" xfId="0" applyNumberFormat="1" applyFont="1" applyFill="1" applyBorder="1" applyAlignment="1" applyProtection="1">
      <alignment horizontal="right" vertical="center"/>
      <protection hidden="1"/>
    </xf>
    <xf numFmtId="2" fontId="48" fillId="30" borderId="16" xfId="0" applyNumberFormat="1" applyFont="1" applyFill="1" applyBorder="1" applyAlignment="1" applyProtection="1">
      <alignment horizontal="right" vertical="center"/>
      <protection hidden="1"/>
    </xf>
    <xf numFmtId="2" fontId="0" fillId="30" borderId="1" xfId="0" applyNumberFormat="1" applyFill="1" applyBorder="1" applyAlignment="1">
      <alignment horizontal="right"/>
    </xf>
    <xf numFmtId="2" fontId="48" fillId="31" borderId="59" xfId="0" applyNumberFormat="1" applyFont="1" applyFill="1" applyBorder="1" applyProtection="1">
      <protection hidden="1"/>
    </xf>
    <xf numFmtId="2" fontId="48" fillId="31" borderId="1" xfId="0" applyNumberFormat="1" applyFont="1" applyFill="1" applyBorder="1" applyProtection="1">
      <protection hidden="1"/>
    </xf>
    <xf numFmtId="2" fontId="48" fillId="31" borderId="16" xfId="0" applyNumberFormat="1" applyFont="1" applyFill="1" applyBorder="1" applyProtection="1">
      <protection hidden="1"/>
    </xf>
    <xf numFmtId="2" fontId="48" fillId="35" borderId="59" xfId="0" applyNumberFormat="1" applyFont="1" applyFill="1" applyBorder="1" applyProtection="1">
      <protection hidden="1"/>
    </xf>
    <xf numFmtId="2" fontId="48" fillId="35" borderId="1" xfId="0" applyNumberFormat="1" applyFont="1" applyFill="1" applyBorder="1" applyProtection="1">
      <protection hidden="1"/>
    </xf>
    <xf numFmtId="2" fontId="48" fillId="35" borderId="16" xfId="0" applyNumberFormat="1" applyFont="1" applyFill="1" applyBorder="1" applyProtection="1">
      <protection hidden="1"/>
    </xf>
    <xf numFmtId="2" fontId="48" fillId="22" borderId="59" xfId="0" applyNumberFormat="1" applyFont="1" applyFill="1" applyBorder="1" applyProtection="1">
      <protection hidden="1"/>
    </xf>
    <xf numFmtId="2" fontId="48" fillId="22" borderId="1" xfId="0" applyNumberFormat="1" applyFont="1" applyFill="1" applyBorder="1" applyProtection="1">
      <protection hidden="1"/>
    </xf>
    <xf numFmtId="2" fontId="48" fillId="22" borderId="16" xfId="0" applyNumberFormat="1" applyFont="1" applyFill="1" applyBorder="1" applyProtection="1">
      <protection hidden="1"/>
    </xf>
    <xf numFmtId="2" fontId="48" fillId="10" borderId="59" xfId="0" applyNumberFormat="1" applyFont="1" applyFill="1" applyBorder="1" applyProtection="1">
      <protection hidden="1"/>
    </xf>
    <xf numFmtId="2" fontId="48" fillId="10" borderId="1" xfId="0" applyNumberFormat="1" applyFont="1" applyFill="1" applyBorder="1" applyProtection="1">
      <protection hidden="1"/>
    </xf>
    <xf numFmtId="2" fontId="48" fillId="10" borderId="16" xfId="0" applyNumberFormat="1" applyFont="1" applyFill="1" applyBorder="1" applyProtection="1">
      <protection hidden="1"/>
    </xf>
    <xf numFmtId="2" fontId="48" fillId="5" borderId="59" xfId="0" applyNumberFormat="1" applyFont="1" applyFill="1" applyBorder="1" applyProtection="1">
      <protection hidden="1"/>
    </xf>
    <xf numFmtId="2" fontId="48" fillId="5" borderId="1" xfId="0" applyNumberFormat="1" applyFont="1" applyFill="1" applyBorder="1" applyProtection="1">
      <protection hidden="1"/>
    </xf>
    <xf numFmtId="2" fontId="48" fillId="5" borderId="16" xfId="0" applyNumberFormat="1" applyFont="1" applyFill="1" applyBorder="1" applyProtection="1">
      <protection hidden="1"/>
    </xf>
    <xf numFmtId="2" fontId="48" fillId="32" borderId="59" xfId="0" applyNumberFormat="1" applyFont="1" applyFill="1" applyBorder="1" applyProtection="1">
      <protection hidden="1"/>
    </xf>
    <xf numFmtId="2" fontId="48" fillId="32" borderId="1" xfId="0" applyNumberFormat="1" applyFont="1" applyFill="1" applyBorder="1" applyProtection="1">
      <protection hidden="1"/>
    </xf>
    <xf numFmtId="2" fontId="48" fillId="32" borderId="16" xfId="0" applyNumberFormat="1" applyFont="1" applyFill="1" applyBorder="1" applyProtection="1">
      <protection hidden="1"/>
    </xf>
    <xf numFmtId="2" fontId="48" fillId="4" borderId="59" xfId="0" applyNumberFormat="1" applyFont="1" applyFill="1" applyBorder="1" applyProtection="1">
      <protection hidden="1"/>
    </xf>
    <xf numFmtId="2" fontId="48" fillId="4" borderId="1" xfId="0" applyNumberFormat="1" applyFont="1" applyFill="1" applyBorder="1" applyProtection="1">
      <protection hidden="1"/>
    </xf>
    <xf numFmtId="2" fontId="48" fillId="4" borderId="16" xfId="0" applyNumberFormat="1" applyFont="1" applyFill="1" applyBorder="1" applyProtection="1">
      <protection hidden="1"/>
    </xf>
    <xf numFmtId="2" fontId="48" fillId="33" borderId="69" xfId="0" applyNumberFormat="1" applyFont="1" applyFill="1" applyBorder="1" applyProtection="1">
      <protection hidden="1"/>
    </xf>
    <xf numFmtId="2" fontId="48" fillId="33" borderId="18" xfId="0" applyNumberFormat="1" applyFont="1" applyFill="1" applyBorder="1" applyProtection="1">
      <protection hidden="1"/>
    </xf>
    <xf numFmtId="2" fontId="48" fillId="33" borderId="19" xfId="0" applyNumberFormat="1" applyFont="1" applyFill="1" applyBorder="1" applyProtection="1">
      <protection hidden="1"/>
    </xf>
    <xf numFmtId="1" fontId="48" fillId="27" borderId="70" xfId="0" applyNumberFormat="1" applyFont="1" applyFill="1" applyBorder="1" applyAlignment="1" applyProtection="1">
      <alignment horizontal="right" vertical="center"/>
      <protection hidden="1"/>
    </xf>
    <xf numFmtId="1" fontId="48" fillId="27" borderId="24" xfId="0" applyNumberFormat="1" applyFont="1" applyFill="1" applyBorder="1" applyAlignment="1" applyProtection="1">
      <alignment horizontal="right" vertical="center"/>
      <protection hidden="1"/>
    </xf>
    <xf numFmtId="1" fontId="48" fillId="29" borderId="59" xfId="0" applyNumberFormat="1" applyFont="1" applyFill="1" applyBorder="1" applyAlignment="1" applyProtection="1">
      <alignment horizontal="right" vertical="center"/>
      <protection hidden="1"/>
    </xf>
    <xf numFmtId="1" fontId="48" fillId="29" borderId="16" xfId="0" applyNumberFormat="1" applyFont="1" applyFill="1" applyBorder="1" applyAlignment="1" applyProtection="1">
      <alignment horizontal="right" vertical="center"/>
      <protection hidden="1"/>
    </xf>
    <xf numFmtId="1" fontId="48" fillId="30" borderId="59" xfId="0" applyNumberFormat="1" applyFont="1" applyFill="1" applyBorder="1" applyAlignment="1" applyProtection="1">
      <alignment horizontal="right" vertical="center"/>
      <protection hidden="1"/>
    </xf>
    <xf numFmtId="1" fontId="48" fillId="30" borderId="1" xfId="0" applyNumberFormat="1" applyFont="1" applyFill="1" applyBorder="1" applyAlignment="1" applyProtection="1">
      <alignment horizontal="right" vertical="center"/>
      <protection hidden="1"/>
    </xf>
    <xf numFmtId="1" fontId="48" fillId="30" borderId="16" xfId="0" applyNumberFormat="1" applyFont="1" applyFill="1" applyBorder="1" applyAlignment="1" applyProtection="1">
      <alignment horizontal="right" vertical="center"/>
      <protection hidden="1"/>
    </xf>
    <xf numFmtId="1" fontId="56" fillId="31" borderId="16" xfId="0" applyNumberFormat="1" applyFont="1" applyFill="1" applyBorder="1" applyAlignment="1" applyProtection="1">
      <alignment horizontal="center" vertical="center"/>
      <protection hidden="1"/>
    </xf>
    <xf numFmtId="1" fontId="48" fillId="12" borderId="39" xfId="0" applyNumberFormat="1" applyFont="1" applyFill="1" applyBorder="1" applyAlignment="1" applyProtection="1">
      <alignment horizontal="center" vertical="center"/>
      <protection hidden="1"/>
    </xf>
    <xf numFmtId="1" fontId="48" fillId="12" borderId="13" xfId="0" applyNumberFormat="1" applyFont="1" applyFill="1" applyBorder="1" applyAlignment="1" applyProtection="1">
      <alignment horizontal="center" vertical="center"/>
      <protection hidden="1"/>
    </xf>
    <xf numFmtId="1" fontId="48" fillId="12" borderId="14" xfId="0" applyNumberFormat="1" applyFont="1" applyFill="1" applyBorder="1" applyAlignment="1" applyProtection="1">
      <alignment horizontal="center" vertical="center"/>
      <protection hidden="1"/>
    </xf>
    <xf numFmtId="1" fontId="48" fillId="12" borderId="37" xfId="0" applyNumberFormat="1" applyFont="1" applyFill="1" applyBorder="1" applyAlignment="1" applyProtection="1">
      <alignment horizontal="center" vertical="center"/>
      <protection hidden="1"/>
    </xf>
    <xf numFmtId="1" fontId="48" fillId="12" borderId="18" xfId="0" applyNumberFormat="1" applyFont="1" applyFill="1" applyBorder="1" applyAlignment="1" applyProtection="1">
      <alignment horizontal="center" vertical="center"/>
      <protection hidden="1"/>
    </xf>
    <xf numFmtId="1" fontId="48" fillId="12" borderId="19" xfId="0" applyNumberFormat="1" applyFont="1" applyFill="1" applyBorder="1" applyAlignment="1" applyProtection="1">
      <alignment horizontal="center" vertical="center"/>
      <protection hidden="1"/>
    </xf>
    <xf numFmtId="2" fontId="48" fillId="27" borderId="51" xfId="0" applyNumberFormat="1" applyFont="1" applyFill="1" applyBorder="1" applyAlignment="1" applyProtection="1">
      <alignment vertical="center"/>
      <protection hidden="1"/>
    </xf>
    <xf numFmtId="2" fontId="48" fillId="27" borderId="71" xfId="0" applyNumberFormat="1" applyFont="1" applyFill="1" applyBorder="1" applyAlignment="1" applyProtection="1">
      <alignment vertical="center"/>
      <protection hidden="1"/>
    </xf>
    <xf numFmtId="2" fontId="48" fillId="29" borderId="1" xfId="0" applyNumberFormat="1" applyFont="1" applyFill="1" applyBorder="1" applyAlignment="1" applyProtection="1">
      <alignment vertical="center"/>
      <protection hidden="1"/>
    </xf>
    <xf numFmtId="2" fontId="48" fillId="29" borderId="72" xfId="0" applyNumberFormat="1" applyFont="1" applyFill="1" applyBorder="1" applyAlignment="1" applyProtection="1">
      <alignment vertical="center"/>
      <protection hidden="1"/>
    </xf>
    <xf numFmtId="2" fontId="48" fillId="9" borderId="1" xfId="0" applyNumberFormat="1" applyFont="1" applyFill="1" applyBorder="1" applyAlignment="1" applyProtection="1">
      <alignment vertical="center"/>
      <protection hidden="1"/>
    </xf>
    <xf numFmtId="2" fontId="48" fillId="9" borderId="72" xfId="0" applyNumberFormat="1" applyFont="1" applyFill="1" applyBorder="1" applyAlignment="1" applyProtection="1">
      <alignment vertical="center"/>
      <protection hidden="1"/>
    </xf>
    <xf numFmtId="2" fontId="48" fillId="30" borderId="1" xfId="0" applyNumberFormat="1" applyFont="1" applyFill="1" applyBorder="1" applyAlignment="1" applyProtection="1">
      <alignment vertical="center"/>
      <protection hidden="1"/>
    </xf>
    <xf numFmtId="2" fontId="48" fillId="30" borderId="72" xfId="0" applyNumberFormat="1" applyFont="1" applyFill="1" applyBorder="1" applyAlignment="1" applyProtection="1">
      <alignment vertical="center"/>
      <protection hidden="1"/>
    </xf>
    <xf numFmtId="2" fontId="48" fillId="31" borderId="1" xfId="0" applyNumberFormat="1" applyFont="1" applyFill="1" applyBorder="1" applyAlignment="1" applyProtection="1">
      <alignment vertical="center"/>
      <protection hidden="1"/>
    </xf>
    <xf numFmtId="2" fontId="48" fillId="31" borderId="72" xfId="0" applyNumberFormat="1" applyFont="1" applyFill="1" applyBorder="1" applyAlignment="1" applyProtection="1">
      <alignment vertical="center"/>
      <protection hidden="1"/>
    </xf>
    <xf numFmtId="2" fontId="48" fillId="35" borderId="1" xfId="0" applyNumberFormat="1" applyFont="1" applyFill="1" applyBorder="1" applyAlignment="1" applyProtection="1">
      <alignment vertical="center"/>
      <protection hidden="1"/>
    </xf>
    <xf numFmtId="2" fontId="48" fillId="35" borderId="72" xfId="0" applyNumberFormat="1" applyFont="1" applyFill="1" applyBorder="1" applyAlignment="1" applyProtection="1">
      <alignment vertical="center"/>
      <protection hidden="1"/>
    </xf>
    <xf numFmtId="2" fontId="48" fillId="22" borderId="1" xfId="0" applyNumberFormat="1" applyFont="1" applyFill="1" applyBorder="1" applyAlignment="1" applyProtection="1">
      <alignment vertical="center"/>
      <protection hidden="1"/>
    </xf>
    <xf numFmtId="2" fontId="48" fillId="22" borderId="72" xfId="0" applyNumberFormat="1" applyFont="1" applyFill="1" applyBorder="1" applyAlignment="1" applyProtection="1">
      <alignment vertical="center"/>
      <protection hidden="1"/>
    </xf>
    <xf numFmtId="2" fontId="48" fillId="22" borderId="1" xfId="0" applyNumberFormat="1" applyFont="1" applyFill="1" applyBorder="1" applyAlignment="1" applyProtection="1">
      <protection hidden="1"/>
    </xf>
    <xf numFmtId="2" fontId="48" fillId="22" borderId="72" xfId="0" applyNumberFormat="1" applyFont="1" applyFill="1" applyBorder="1" applyAlignment="1" applyProtection="1">
      <protection hidden="1"/>
    </xf>
    <xf numFmtId="2" fontId="48" fillId="22" borderId="18" xfId="0" applyNumberFormat="1" applyFont="1" applyFill="1" applyBorder="1" applyAlignment="1" applyProtection="1">
      <protection hidden="1"/>
    </xf>
    <xf numFmtId="2" fontId="48" fillId="22" borderId="73" xfId="0" applyNumberFormat="1" applyFont="1" applyFill="1" applyBorder="1" applyAlignment="1" applyProtection="1">
      <protection hidden="1"/>
    </xf>
    <xf numFmtId="1" fontId="48" fillId="12" borderId="32" xfId="0" applyNumberFormat="1" applyFont="1" applyFill="1" applyBorder="1" applyAlignment="1" applyProtection="1">
      <alignment horizontal="right" vertical="center"/>
      <protection hidden="1"/>
    </xf>
    <xf numFmtId="1" fontId="48" fillId="12" borderId="33" xfId="0" applyNumberFormat="1" applyFont="1" applyFill="1" applyBorder="1" applyProtection="1">
      <protection hidden="1"/>
    </xf>
    <xf numFmtId="1" fontId="48" fillId="12" borderId="50" xfId="0" applyNumberFormat="1" applyFont="1" applyFill="1" applyBorder="1" applyProtection="1">
      <protection hidden="1"/>
    </xf>
    <xf numFmtId="1" fontId="48" fillId="27" borderId="21" xfId="0" applyNumberFormat="1" applyFont="1" applyFill="1" applyBorder="1" applyAlignment="1" applyProtection="1">
      <alignment horizontal="center" vertical="center"/>
      <protection hidden="1"/>
    </xf>
    <xf numFmtId="1" fontId="48" fillId="29" borderId="15" xfId="0" applyNumberFormat="1" applyFont="1" applyFill="1" applyBorder="1" applyAlignment="1" applyProtection="1">
      <alignment horizontal="center" vertical="center"/>
      <protection hidden="1"/>
    </xf>
    <xf numFmtId="1" fontId="48" fillId="9" borderId="15" xfId="0" applyNumberFormat="1" applyFont="1" applyFill="1" applyBorder="1" applyAlignment="1" applyProtection="1">
      <alignment horizontal="center" vertical="center"/>
      <protection hidden="1"/>
    </xf>
    <xf numFmtId="1" fontId="48" fillId="30" borderId="15" xfId="0" applyNumberFormat="1" applyFont="1" applyFill="1" applyBorder="1" applyAlignment="1" applyProtection="1">
      <alignment horizontal="center" vertical="center"/>
      <protection hidden="1"/>
    </xf>
    <xf numFmtId="1" fontId="48" fillId="31" borderId="15" xfId="0" applyNumberFormat="1" applyFont="1" applyFill="1" applyBorder="1" applyAlignment="1" applyProtection="1">
      <alignment horizontal="center" vertical="center"/>
      <protection hidden="1"/>
    </xf>
    <xf numFmtId="1" fontId="48" fillId="35" borderId="15" xfId="0" applyNumberFormat="1" applyFont="1" applyFill="1" applyBorder="1" applyAlignment="1" applyProtection="1">
      <alignment horizontal="center" vertical="center"/>
      <protection hidden="1"/>
    </xf>
    <xf numFmtId="1" fontId="48" fillId="22" borderId="15" xfId="0" applyNumberFormat="1" applyFont="1" applyFill="1" applyBorder="1" applyAlignment="1" applyProtection="1">
      <alignment horizontal="center" vertical="center"/>
      <protection hidden="1"/>
    </xf>
    <xf numFmtId="1" fontId="48" fillId="12" borderId="32" xfId="0" applyNumberFormat="1" applyFont="1" applyFill="1" applyBorder="1" applyAlignment="1" applyProtection="1">
      <alignment vertical="center"/>
      <protection hidden="1"/>
    </xf>
    <xf numFmtId="1" fontId="48" fillId="12" borderId="33" xfId="0" applyNumberFormat="1" applyFont="1" applyFill="1" applyBorder="1" applyAlignment="1" applyProtection="1">
      <alignment vertical="center"/>
      <protection hidden="1"/>
    </xf>
    <xf numFmtId="1" fontId="0" fillId="12" borderId="33" xfId="0" applyNumberFormat="1" applyFill="1" applyBorder="1" applyAlignment="1" applyProtection="1">
      <alignment vertical="center"/>
      <protection hidden="1"/>
    </xf>
    <xf numFmtId="1" fontId="0" fillId="12" borderId="22" xfId="0" applyNumberFormat="1" applyFill="1" applyBorder="1" applyAlignment="1" applyProtection="1">
      <alignment vertical="center"/>
      <protection hidden="1"/>
    </xf>
    <xf numFmtId="165" fontId="58" fillId="12" borderId="10" xfId="0" applyFont="1" applyFill="1" applyBorder="1" applyAlignment="1" applyProtection="1">
      <alignment vertical="center"/>
      <protection hidden="1"/>
    </xf>
    <xf numFmtId="165" fontId="3" fillId="38" borderId="0" xfId="0" applyFont="1" applyFill="1" applyAlignment="1">
      <alignment vertical="center"/>
    </xf>
    <xf numFmtId="165" fontId="19" fillId="38" borderId="0" xfId="1" applyFont="1" applyFill="1" applyAlignment="1">
      <alignment horizontal="left" vertical="center"/>
    </xf>
    <xf numFmtId="165" fontId="5" fillId="38" borderId="0" xfId="1" applyFont="1" applyFill="1"/>
    <xf numFmtId="165" fontId="48" fillId="27" borderId="54" xfId="0" applyFont="1" applyFill="1" applyBorder="1" applyAlignment="1">
      <alignment horizontal="center" vertical="center"/>
    </xf>
    <xf numFmtId="1" fontId="48" fillId="27" borderId="54" xfId="0" applyNumberFormat="1" applyFont="1" applyFill="1" applyBorder="1" applyAlignment="1">
      <alignment horizontal="center" vertical="center"/>
    </xf>
    <xf numFmtId="2" fontId="0" fillId="0" borderId="0" xfId="0" applyNumberFormat="1" applyFill="1" applyBorder="1"/>
    <xf numFmtId="165" fontId="0" fillId="12" borderId="8" xfId="0" applyFill="1" applyBorder="1" applyAlignment="1">
      <alignment horizontal="center" vertical="center"/>
    </xf>
    <xf numFmtId="1" fontId="0" fillId="12" borderId="12" xfId="0" applyNumberFormat="1" applyFill="1" applyBorder="1" applyAlignment="1">
      <alignment horizontal="center" vertical="center"/>
    </xf>
    <xf numFmtId="1" fontId="51" fillId="12" borderId="1" xfId="0" applyNumberFormat="1" applyFont="1" applyFill="1" applyBorder="1" applyAlignment="1">
      <alignment horizontal="center" vertical="center"/>
    </xf>
    <xf numFmtId="1" fontId="0" fillId="12" borderId="15" xfId="0" applyNumberFormat="1" applyFill="1" applyBorder="1" applyAlignment="1">
      <alignment horizontal="center" vertical="center"/>
    </xf>
    <xf numFmtId="1" fontId="52" fillId="12" borderId="53" xfId="0" applyNumberFormat="1" applyFont="1" applyFill="1" applyBorder="1" applyAlignment="1">
      <alignment horizontal="center" vertical="center"/>
    </xf>
    <xf numFmtId="1" fontId="51" fillId="12" borderId="53" xfId="0" applyNumberFormat="1" applyFont="1" applyFill="1" applyBorder="1" applyAlignment="1">
      <alignment horizontal="center" vertical="center"/>
    </xf>
    <xf numFmtId="1" fontId="51" fillId="12" borderId="56" xfId="0" applyNumberFormat="1" applyFont="1" applyFill="1" applyBorder="1" applyAlignment="1">
      <alignment horizontal="center" vertical="center"/>
    </xf>
    <xf numFmtId="1" fontId="0" fillId="12" borderId="17" xfId="0" applyNumberFormat="1" applyFill="1" applyBorder="1" applyAlignment="1">
      <alignment horizontal="center" vertical="center"/>
    </xf>
    <xf numFmtId="1" fontId="0" fillId="12" borderId="56" xfId="0" applyNumberFormat="1" applyFill="1" applyBorder="1" applyAlignment="1">
      <alignment horizontal="center" vertical="center"/>
    </xf>
    <xf numFmtId="1" fontId="0" fillId="12" borderId="46" xfId="0" applyNumberFormat="1" applyFill="1" applyBorder="1" applyAlignment="1">
      <alignment horizontal="center" vertical="center"/>
    </xf>
    <xf numFmtId="1" fontId="0" fillId="12" borderId="42" xfId="0" applyNumberFormat="1" applyFill="1" applyBorder="1" applyAlignment="1">
      <alignment horizontal="center" vertical="center"/>
    </xf>
    <xf numFmtId="1" fontId="0" fillId="12" borderId="48" xfId="0" applyNumberFormat="1" applyFill="1" applyBorder="1" applyAlignment="1">
      <alignment horizontal="center" vertical="center"/>
    </xf>
    <xf numFmtId="1" fontId="0" fillId="12" borderId="47" xfId="0" applyNumberFormat="1" applyFill="1" applyBorder="1" applyAlignment="1">
      <alignment horizontal="center" vertical="center"/>
    </xf>
    <xf numFmtId="1" fontId="48" fillId="12" borderId="37" xfId="0" applyNumberFormat="1" applyFont="1" applyFill="1" applyBorder="1"/>
    <xf numFmtId="1" fontId="48" fillId="12" borderId="30" xfId="0" applyNumberFormat="1" applyFont="1" applyFill="1" applyBorder="1"/>
    <xf numFmtId="1" fontId="48" fillId="12" borderId="39" xfId="0" applyNumberFormat="1" applyFont="1" applyFill="1" applyBorder="1"/>
    <xf numFmtId="1" fontId="48" fillId="12" borderId="41" xfId="0" applyNumberFormat="1" applyFont="1" applyFill="1" applyBorder="1"/>
    <xf numFmtId="165" fontId="48" fillId="12" borderId="3" xfId="0" applyFont="1" applyFill="1" applyBorder="1" applyAlignment="1">
      <alignment horizontal="center" vertical="center"/>
    </xf>
    <xf numFmtId="165" fontId="48" fillId="12" borderId="6" xfId="0" applyFont="1" applyFill="1" applyBorder="1" applyAlignment="1">
      <alignment horizontal="center" vertical="center"/>
    </xf>
    <xf numFmtId="165" fontId="48" fillId="12" borderId="64" xfId="0" applyFont="1" applyFill="1" applyBorder="1" applyAlignment="1">
      <alignment horizontal="center" vertical="center"/>
    </xf>
    <xf numFmtId="165" fontId="48" fillId="12" borderId="66" xfId="0" applyFont="1" applyFill="1" applyBorder="1" applyAlignment="1">
      <alignment horizontal="center" vertical="center"/>
    </xf>
    <xf numFmtId="165" fontId="48" fillId="12" borderId="65" xfId="0" applyFont="1" applyFill="1" applyBorder="1" applyAlignment="1">
      <alignment horizontal="center" vertical="center"/>
    </xf>
    <xf numFmtId="165" fontId="48" fillId="12" borderId="57" xfId="0" applyFont="1" applyFill="1" applyBorder="1" applyAlignment="1">
      <alignment horizontal="center" vertical="center"/>
    </xf>
    <xf numFmtId="1" fontId="24" fillId="12" borderId="0" xfId="0" applyNumberFormat="1" applyFont="1" applyFill="1"/>
    <xf numFmtId="165" fontId="60" fillId="12" borderId="0" xfId="0" applyFont="1" applyFill="1"/>
    <xf numFmtId="165" fontId="60" fillId="12" borderId="3" xfId="0" applyFont="1" applyFill="1" applyBorder="1" applyAlignment="1">
      <alignment horizontal="right" wrapText="1"/>
    </xf>
    <xf numFmtId="1" fontId="60" fillId="12" borderId="3" xfId="0" applyNumberFormat="1" applyFont="1" applyFill="1" applyBorder="1" applyAlignment="1">
      <alignment horizontal="right" wrapText="1"/>
    </xf>
    <xf numFmtId="1" fontId="60" fillId="21" borderId="0" xfId="0" applyNumberFormat="1" applyFont="1" applyFill="1" applyBorder="1" applyAlignment="1" applyProtection="1">
      <alignment horizontal="right"/>
      <protection locked="0"/>
    </xf>
    <xf numFmtId="1" fontId="60" fillId="12" borderId="0" xfId="0" applyNumberFormat="1" applyFont="1" applyFill="1" applyBorder="1" applyAlignment="1" applyProtection="1">
      <alignment horizontal="right"/>
      <protection locked="0"/>
    </xf>
    <xf numFmtId="1" fontId="60" fillId="12" borderId="0" xfId="0" applyNumberFormat="1" applyFont="1" applyFill="1" applyBorder="1" applyAlignment="1">
      <alignment horizontal="right"/>
    </xf>
    <xf numFmtId="2" fontId="60" fillId="12" borderId="25" xfId="0" applyNumberFormat="1" applyFont="1" applyFill="1" applyBorder="1" applyAlignment="1">
      <alignment horizontal="right"/>
    </xf>
    <xf numFmtId="2" fontId="0" fillId="12" borderId="12" xfId="0" applyNumberFormat="1" applyFill="1" applyBorder="1"/>
    <xf numFmtId="2" fontId="0" fillId="12" borderId="13" xfId="0" applyNumberFormat="1" applyFill="1" applyBorder="1"/>
    <xf numFmtId="2" fontId="0" fillId="12" borderId="14" xfId="0" applyNumberFormat="1" applyFill="1" applyBorder="1"/>
    <xf numFmtId="2" fontId="0" fillId="12" borderId="21" xfId="0" applyNumberFormat="1" applyFill="1" applyBorder="1"/>
    <xf numFmtId="2" fontId="0" fillId="12" borderId="51" xfId="0" applyNumberFormat="1" applyFill="1" applyBorder="1"/>
    <xf numFmtId="2" fontId="0" fillId="12" borderId="24" xfId="0" applyNumberFormat="1" applyFill="1" applyBorder="1"/>
    <xf numFmtId="2" fontId="0" fillId="12" borderId="31" xfId="0" applyNumberFormat="1" applyFill="1" applyBorder="1"/>
    <xf numFmtId="2" fontId="0" fillId="12" borderId="74" xfId="0" applyNumberFormat="1" applyFill="1" applyBorder="1"/>
    <xf numFmtId="2" fontId="0" fillId="12" borderId="75" xfId="0" applyNumberFormat="1" applyFill="1" applyBorder="1"/>
    <xf numFmtId="1" fontId="0" fillId="12" borderId="43" xfId="0" applyNumberFormat="1" applyFill="1" applyBorder="1"/>
    <xf numFmtId="1" fontId="51" fillId="12" borderId="15" xfId="0" applyNumberFormat="1" applyFont="1" applyFill="1" applyBorder="1" applyAlignment="1">
      <alignment horizontal="center" vertical="center"/>
    </xf>
    <xf numFmtId="1" fontId="51" fillId="12" borderId="16" xfId="0" applyNumberFormat="1" applyFont="1" applyFill="1" applyBorder="1" applyAlignment="1">
      <alignment horizontal="center" vertical="center"/>
    </xf>
    <xf numFmtId="1" fontId="51" fillId="12" borderId="52" xfId="0" applyNumberFormat="1" applyFont="1" applyFill="1" applyBorder="1" applyAlignment="1">
      <alignment horizontal="center" vertical="center"/>
    </xf>
    <xf numFmtId="165" fontId="48" fillId="26" borderId="54" xfId="0" applyFont="1" applyFill="1" applyBorder="1" applyAlignment="1">
      <alignment horizontal="center" vertical="center"/>
    </xf>
    <xf numFmtId="165" fontId="48" fillId="26" borderId="40" xfId="0" applyFont="1" applyFill="1" applyBorder="1" applyAlignment="1">
      <alignment horizontal="center" vertical="center"/>
    </xf>
    <xf numFmtId="165" fontId="48" fillId="26" borderId="55" xfId="0" applyFont="1" applyFill="1" applyBorder="1" applyAlignment="1">
      <alignment horizontal="center" vertical="center"/>
    </xf>
    <xf numFmtId="165" fontId="48" fillId="39" borderId="64" xfId="0" applyFont="1" applyFill="1" applyBorder="1" applyAlignment="1">
      <alignment horizontal="center" vertical="center"/>
    </xf>
    <xf numFmtId="165" fontId="48" fillId="39" borderId="66" xfId="0" applyFont="1" applyFill="1" applyBorder="1" applyAlignment="1">
      <alignment horizontal="center" vertical="center"/>
    </xf>
    <xf numFmtId="165" fontId="48" fillId="39" borderId="65" xfId="0" applyFont="1" applyFill="1" applyBorder="1" applyAlignment="1">
      <alignment horizontal="center" vertical="center"/>
    </xf>
    <xf numFmtId="165" fontId="48" fillId="12" borderId="10" xfId="0" applyFont="1" applyFill="1" applyBorder="1" applyAlignment="1" applyProtection="1">
      <protection hidden="1"/>
    </xf>
    <xf numFmtId="165" fontId="48" fillId="12" borderId="11" xfId="0" applyFont="1" applyFill="1" applyBorder="1" applyAlignment="1" applyProtection="1">
      <alignment horizontal="center" vertical="center"/>
      <protection hidden="1"/>
    </xf>
    <xf numFmtId="1" fontId="48" fillId="12" borderId="12" xfId="0" applyNumberFormat="1" applyFont="1" applyFill="1" applyBorder="1" applyAlignment="1" applyProtection="1">
      <alignment horizontal="center" vertical="center"/>
      <protection hidden="1"/>
    </xf>
    <xf numFmtId="1" fontId="56" fillId="12" borderId="13" xfId="0" applyNumberFormat="1" applyFont="1" applyFill="1" applyBorder="1" applyAlignment="1" applyProtection="1">
      <alignment horizontal="center" vertical="center"/>
      <protection hidden="1"/>
    </xf>
    <xf numFmtId="1" fontId="56" fillId="12" borderId="1" xfId="0" applyNumberFormat="1" applyFont="1" applyFill="1" applyBorder="1" applyAlignment="1" applyProtection="1">
      <alignment horizontal="center" vertical="center"/>
      <protection hidden="1"/>
    </xf>
    <xf numFmtId="1" fontId="48" fillId="12" borderId="15" xfId="0" applyNumberFormat="1" applyFont="1" applyFill="1" applyBorder="1" applyAlignment="1" applyProtection="1">
      <alignment horizontal="center" vertical="center"/>
      <protection hidden="1"/>
    </xf>
    <xf numFmtId="1" fontId="56" fillId="12" borderId="53" xfId="0" applyNumberFormat="1" applyFont="1" applyFill="1" applyBorder="1" applyAlignment="1" applyProtection="1">
      <alignment horizontal="center" vertical="center"/>
      <protection hidden="1"/>
    </xf>
    <xf numFmtId="1" fontId="56" fillId="12" borderId="56" xfId="0" applyNumberFormat="1" applyFont="1" applyFill="1" applyBorder="1" applyAlignment="1" applyProtection="1">
      <alignment horizontal="center" vertical="center"/>
      <protection hidden="1"/>
    </xf>
    <xf numFmtId="1" fontId="48" fillId="12" borderId="17" xfId="0" applyNumberFormat="1" applyFont="1" applyFill="1" applyBorder="1" applyAlignment="1" applyProtection="1">
      <alignment horizontal="center" vertical="center"/>
      <protection hidden="1"/>
    </xf>
    <xf numFmtId="2" fontId="48" fillId="12" borderId="1" xfId="0" applyNumberFormat="1" applyFont="1" applyFill="1" applyBorder="1" applyAlignment="1" applyProtection="1">
      <alignment horizontal="center" vertical="center"/>
      <protection hidden="1"/>
    </xf>
    <xf numFmtId="1" fontId="48" fillId="12" borderId="37" xfId="0" applyNumberFormat="1" applyFont="1" applyFill="1" applyBorder="1" applyProtection="1">
      <protection hidden="1"/>
    </xf>
    <xf numFmtId="1" fontId="56" fillId="12" borderId="15" xfId="0" applyNumberFormat="1" applyFont="1" applyFill="1" applyBorder="1" applyAlignment="1" applyProtection="1">
      <alignment horizontal="center" vertical="center"/>
      <protection hidden="1"/>
    </xf>
    <xf numFmtId="1" fontId="56" fillId="12" borderId="16" xfId="0" applyNumberFormat="1" applyFont="1" applyFill="1" applyBorder="1" applyAlignment="1" applyProtection="1">
      <alignment horizontal="center" vertical="center"/>
      <protection hidden="1"/>
    </xf>
    <xf numFmtId="1" fontId="56" fillId="12" borderId="43" xfId="0" applyNumberFormat="1" applyFont="1" applyFill="1" applyBorder="1" applyProtection="1">
      <protection hidden="1"/>
    </xf>
    <xf numFmtId="1" fontId="56" fillId="12" borderId="52" xfId="0" applyNumberFormat="1" applyFont="1" applyFill="1" applyBorder="1" applyAlignment="1" applyProtection="1">
      <alignment horizontal="center" vertical="center"/>
      <protection hidden="1"/>
    </xf>
    <xf numFmtId="1" fontId="48" fillId="12" borderId="53" xfId="0" applyNumberFormat="1" applyFont="1" applyFill="1" applyBorder="1" applyAlignment="1" applyProtection="1">
      <alignment horizontal="center" vertical="center"/>
      <protection hidden="1"/>
    </xf>
    <xf numFmtId="1" fontId="48" fillId="12" borderId="46" xfId="0" applyNumberFormat="1" applyFont="1" applyFill="1" applyBorder="1" applyAlignment="1" applyProtection="1">
      <alignment horizontal="center" vertical="center"/>
      <protection hidden="1"/>
    </xf>
    <xf numFmtId="1" fontId="48" fillId="12" borderId="42" xfId="0" applyNumberFormat="1" applyFont="1" applyFill="1" applyBorder="1" applyAlignment="1" applyProtection="1">
      <alignment horizontal="center" vertical="center"/>
      <protection hidden="1"/>
    </xf>
    <xf numFmtId="1" fontId="48" fillId="12" borderId="48" xfId="0" applyNumberFormat="1" applyFont="1" applyFill="1" applyBorder="1" applyAlignment="1" applyProtection="1">
      <alignment horizontal="center" vertical="center"/>
      <protection hidden="1"/>
    </xf>
    <xf numFmtId="1" fontId="48" fillId="12" borderId="56" xfId="0" applyNumberFormat="1" applyFont="1" applyFill="1" applyBorder="1" applyAlignment="1" applyProtection="1">
      <alignment horizontal="center" vertical="center"/>
      <protection hidden="1"/>
    </xf>
    <xf numFmtId="167" fontId="48" fillId="12" borderId="5" xfId="0" applyNumberFormat="1" applyFont="1" applyFill="1" applyBorder="1" applyAlignment="1" applyProtection="1">
      <alignment horizontal="right" vertical="center"/>
      <protection hidden="1"/>
    </xf>
    <xf numFmtId="167" fontId="48" fillId="12" borderId="5" xfId="0" applyNumberFormat="1" applyFont="1" applyFill="1" applyBorder="1" applyProtection="1">
      <protection hidden="1"/>
    </xf>
    <xf numFmtId="167" fontId="48" fillId="12" borderId="20" xfId="0" applyNumberFormat="1" applyFont="1" applyFill="1" applyBorder="1" applyProtection="1">
      <protection hidden="1"/>
    </xf>
    <xf numFmtId="167" fontId="48" fillId="12" borderId="7" xfId="0" applyNumberFormat="1" applyFont="1" applyFill="1" applyBorder="1" applyProtection="1">
      <protection hidden="1"/>
    </xf>
    <xf numFmtId="167" fontId="48" fillId="12" borderId="51" xfId="0" applyNumberFormat="1" applyFont="1" applyFill="1" applyBorder="1" applyAlignment="1" applyProtection="1">
      <alignment horizontal="center" vertical="center"/>
      <protection hidden="1"/>
    </xf>
    <xf numFmtId="167" fontId="48" fillId="12" borderId="1" xfId="0" applyNumberFormat="1" applyFont="1" applyFill="1" applyBorder="1" applyAlignment="1" applyProtection="1">
      <alignment horizontal="center" vertical="center"/>
      <protection hidden="1"/>
    </xf>
    <xf numFmtId="2" fontId="48" fillId="12" borderId="51" xfId="0" applyNumberFormat="1" applyFont="1" applyFill="1" applyBorder="1" applyAlignment="1" applyProtection="1">
      <alignment horizontal="center" vertical="center"/>
      <protection hidden="1"/>
    </xf>
    <xf numFmtId="2" fontId="48" fillId="12" borderId="0" xfId="0" applyNumberFormat="1" applyFont="1" applyFill="1" applyProtection="1">
      <protection hidden="1"/>
    </xf>
    <xf numFmtId="2" fontId="48" fillId="12" borderId="12" xfId="0" applyNumberFormat="1" applyFont="1" applyFill="1" applyBorder="1" applyProtection="1">
      <protection hidden="1"/>
    </xf>
    <xf numFmtId="2" fontId="48" fillId="12" borderId="13" xfId="0" applyNumberFormat="1" applyFont="1" applyFill="1" applyBorder="1" applyProtection="1">
      <protection hidden="1"/>
    </xf>
    <xf numFmtId="2" fontId="48" fillId="12" borderId="14" xfId="0" applyNumberFormat="1" applyFont="1" applyFill="1" applyBorder="1" applyProtection="1">
      <protection hidden="1"/>
    </xf>
    <xf numFmtId="2" fontId="48" fillId="12" borderId="21" xfId="0" applyNumberFormat="1" applyFont="1" applyFill="1" applyBorder="1" applyProtection="1">
      <protection hidden="1"/>
    </xf>
    <xf numFmtId="2" fontId="48" fillId="12" borderId="51" xfId="0" applyNumberFormat="1" applyFont="1" applyFill="1" applyBorder="1" applyProtection="1">
      <protection hidden="1"/>
    </xf>
    <xf numFmtId="2" fontId="48" fillId="12" borderId="24" xfId="0" applyNumberFormat="1" applyFont="1" applyFill="1" applyBorder="1" applyProtection="1">
      <protection hidden="1"/>
    </xf>
    <xf numFmtId="2" fontId="48" fillId="12" borderId="31" xfId="0" applyNumberFormat="1" applyFont="1" applyFill="1" applyBorder="1" applyProtection="1">
      <protection hidden="1"/>
    </xf>
    <xf numFmtId="2" fontId="48" fillId="12" borderId="74" xfId="0" applyNumberFormat="1" applyFont="1" applyFill="1" applyBorder="1" applyProtection="1">
      <protection hidden="1"/>
    </xf>
    <xf numFmtId="2" fontId="48" fillId="12" borderId="75" xfId="0" applyNumberFormat="1" applyFont="1" applyFill="1" applyBorder="1" applyProtection="1">
      <protection hidden="1"/>
    </xf>
    <xf numFmtId="165" fontId="48" fillId="12" borderId="54" xfId="0" applyFont="1" applyFill="1" applyBorder="1" applyAlignment="1" applyProtection="1">
      <alignment horizontal="center" vertical="center"/>
      <protection hidden="1"/>
    </xf>
    <xf numFmtId="165" fontId="48" fillId="12" borderId="40" xfId="0" applyFont="1" applyFill="1" applyBorder="1" applyAlignment="1" applyProtection="1">
      <alignment horizontal="center" vertical="center"/>
      <protection hidden="1"/>
    </xf>
    <xf numFmtId="165" fontId="48" fillId="12" borderId="55" xfId="0" applyFont="1" applyFill="1" applyBorder="1" applyAlignment="1" applyProtection="1">
      <alignment horizontal="center" vertical="center"/>
      <protection hidden="1"/>
    </xf>
    <xf numFmtId="165" fontId="48" fillId="12" borderId="44" xfId="0" applyFont="1" applyFill="1" applyBorder="1" applyAlignment="1" applyProtection="1">
      <alignment horizontal="center" vertical="center"/>
      <protection hidden="1"/>
    </xf>
    <xf numFmtId="165" fontId="12" fillId="6" borderId="0" xfId="1" applyFont="1" applyFill="1" applyAlignment="1"/>
    <xf numFmtId="165" fontId="9" fillId="0" borderId="0" xfId="0" applyFont="1" applyFill="1" applyBorder="1" applyAlignment="1">
      <alignment horizontal="center" vertical="center"/>
    </xf>
    <xf numFmtId="165" fontId="9" fillId="2" borderId="8" xfId="0" applyFont="1" applyFill="1" applyBorder="1" applyAlignment="1">
      <alignment horizontal="center" vertical="center"/>
    </xf>
    <xf numFmtId="165" fontId="9" fillId="2" borderId="10" xfId="0" applyFont="1" applyFill="1" applyBorder="1" applyAlignment="1">
      <alignment horizontal="center" vertical="center"/>
    </xf>
    <xf numFmtId="165" fontId="48" fillId="12" borderId="6" xfId="0" applyFont="1" applyFill="1" applyBorder="1" applyAlignment="1">
      <alignment horizontal="center" vertical="center" textRotation="45"/>
    </xf>
    <xf numFmtId="165" fontId="60" fillId="27" borderId="54" xfId="0" applyFont="1" applyFill="1" applyBorder="1" applyAlignment="1" applyProtection="1">
      <alignment horizontal="center" vertical="center"/>
      <protection hidden="1"/>
    </xf>
    <xf numFmtId="1" fontId="60" fillId="27" borderId="37" xfId="0" applyNumberFormat="1" applyFont="1" applyFill="1" applyBorder="1" applyProtection="1">
      <protection hidden="1"/>
    </xf>
    <xf numFmtId="165" fontId="60" fillId="27" borderId="40" xfId="0" applyFont="1" applyFill="1" applyBorder="1" applyAlignment="1" applyProtection="1">
      <alignment horizontal="center" vertical="center"/>
      <protection hidden="1"/>
    </xf>
    <xf numFmtId="1" fontId="60" fillId="27" borderId="30" xfId="0" applyNumberFormat="1" applyFont="1" applyFill="1" applyBorder="1" applyProtection="1">
      <protection hidden="1"/>
    </xf>
    <xf numFmtId="165" fontId="60" fillId="27" borderId="55" xfId="0" applyFont="1" applyFill="1" applyBorder="1" applyAlignment="1" applyProtection="1">
      <alignment horizontal="center" vertical="center"/>
      <protection hidden="1"/>
    </xf>
    <xf numFmtId="1" fontId="60" fillId="27" borderId="39" xfId="0" applyNumberFormat="1" applyFont="1" applyFill="1" applyBorder="1" applyProtection="1">
      <protection hidden="1"/>
    </xf>
    <xf numFmtId="165" fontId="60" fillId="29" borderId="54" xfId="0" applyFont="1" applyFill="1" applyBorder="1" applyAlignment="1" applyProtection="1">
      <alignment horizontal="center" vertical="center"/>
      <protection hidden="1"/>
    </xf>
    <xf numFmtId="1" fontId="60" fillId="29" borderId="37" xfId="0" applyNumberFormat="1" applyFont="1" applyFill="1" applyBorder="1" applyProtection="1">
      <protection hidden="1"/>
    </xf>
    <xf numFmtId="165" fontId="60" fillId="29" borderId="40" xfId="0" applyFont="1" applyFill="1" applyBorder="1" applyAlignment="1" applyProtection="1">
      <alignment horizontal="center" vertical="center"/>
      <protection hidden="1"/>
    </xf>
    <xf numFmtId="1" fontId="60" fillId="29" borderId="30" xfId="0" applyNumberFormat="1" applyFont="1" applyFill="1" applyBorder="1" applyProtection="1">
      <protection hidden="1"/>
    </xf>
    <xf numFmtId="165" fontId="60" fillId="29" borderId="55" xfId="0" applyFont="1" applyFill="1" applyBorder="1" applyAlignment="1" applyProtection="1">
      <alignment horizontal="center" vertical="center"/>
      <protection hidden="1"/>
    </xf>
    <xf numFmtId="1" fontId="60" fillId="29" borderId="39" xfId="0" applyNumberFormat="1" applyFont="1" applyFill="1" applyBorder="1" applyProtection="1">
      <protection hidden="1"/>
    </xf>
    <xf numFmtId="165" fontId="60" fillId="9" borderId="54" xfId="0" applyFont="1" applyFill="1" applyBorder="1" applyAlignment="1" applyProtection="1">
      <alignment horizontal="center" vertical="center"/>
      <protection hidden="1"/>
    </xf>
    <xf numFmtId="1" fontId="60" fillId="9" borderId="37" xfId="0" applyNumberFormat="1" applyFont="1" applyFill="1" applyBorder="1" applyProtection="1">
      <protection hidden="1"/>
    </xf>
    <xf numFmtId="165" fontId="60" fillId="9" borderId="40" xfId="0" applyFont="1" applyFill="1" applyBorder="1" applyAlignment="1" applyProtection="1">
      <alignment horizontal="center" vertical="center"/>
      <protection hidden="1"/>
    </xf>
    <xf numFmtId="1" fontId="60" fillId="9" borderId="30" xfId="0" applyNumberFormat="1" applyFont="1" applyFill="1" applyBorder="1" applyProtection="1">
      <protection hidden="1"/>
    </xf>
    <xf numFmtId="165" fontId="60" fillId="9" borderId="55" xfId="0" applyFont="1" applyFill="1" applyBorder="1" applyAlignment="1" applyProtection="1">
      <alignment horizontal="center" vertical="center"/>
      <protection hidden="1"/>
    </xf>
    <xf numFmtId="1" fontId="60" fillId="9" borderId="39" xfId="0" applyNumberFormat="1" applyFont="1" applyFill="1" applyBorder="1" applyProtection="1">
      <protection hidden="1"/>
    </xf>
    <xf numFmtId="165" fontId="60" fillId="30" borderId="54" xfId="0" applyFont="1" applyFill="1" applyBorder="1" applyAlignment="1" applyProtection="1">
      <alignment horizontal="center" vertical="center"/>
      <protection hidden="1"/>
    </xf>
    <xf numFmtId="1" fontId="60" fillId="30" borderId="37" xfId="0" applyNumberFormat="1" applyFont="1" applyFill="1" applyBorder="1" applyProtection="1">
      <protection hidden="1"/>
    </xf>
    <xf numFmtId="165" fontId="60" fillId="30" borderId="40" xfId="0" applyFont="1" applyFill="1" applyBorder="1" applyAlignment="1" applyProtection="1">
      <alignment horizontal="center" vertical="center"/>
      <protection hidden="1"/>
    </xf>
    <xf numFmtId="1" fontId="60" fillId="30" borderId="30" xfId="0" applyNumberFormat="1" applyFont="1" applyFill="1" applyBorder="1" applyProtection="1">
      <protection hidden="1"/>
    </xf>
    <xf numFmtId="165" fontId="60" fillId="30" borderId="45" xfId="0" applyFont="1" applyFill="1" applyBorder="1" applyAlignment="1" applyProtection="1">
      <alignment horizontal="center" vertical="center"/>
      <protection hidden="1"/>
    </xf>
    <xf numFmtId="1" fontId="60" fillId="30" borderId="43" xfId="0" applyNumberFormat="1" applyFont="1" applyFill="1" applyBorder="1" applyProtection="1">
      <protection hidden="1"/>
    </xf>
    <xf numFmtId="165" fontId="60" fillId="31" borderId="37" xfId="0" applyFont="1" applyFill="1" applyBorder="1" applyAlignment="1" applyProtection="1">
      <alignment horizontal="center" vertical="center"/>
      <protection hidden="1"/>
    </xf>
    <xf numFmtId="1" fontId="60" fillId="31" borderId="37" xfId="0" applyNumberFormat="1" applyFont="1" applyFill="1" applyBorder="1" applyProtection="1">
      <protection hidden="1"/>
    </xf>
    <xf numFmtId="165" fontId="60" fillId="31" borderId="30" xfId="0" applyFont="1" applyFill="1" applyBorder="1" applyAlignment="1" applyProtection="1">
      <alignment horizontal="center" vertical="center"/>
      <protection hidden="1"/>
    </xf>
    <xf numFmtId="1" fontId="60" fillId="31" borderId="30" xfId="0" applyNumberFormat="1" applyFont="1" applyFill="1" applyBorder="1" applyProtection="1">
      <protection hidden="1"/>
    </xf>
    <xf numFmtId="165" fontId="60" fillId="31" borderId="39" xfId="0" applyFont="1" applyFill="1" applyBorder="1" applyAlignment="1" applyProtection="1">
      <alignment horizontal="center" vertical="center"/>
      <protection hidden="1"/>
    </xf>
    <xf numFmtId="1" fontId="60" fillId="31" borderId="39" xfId="0" applyNumberFormat="1" applyFont="1" applyFill="1" applyBorder="1" applyProtection="1">
      <protection hidden="1"/>
    </xf>
    <xf numFmtId="1" fontId="60" fillId="15" borderId="41" xfId="0" applyNumberFormat="1" applyFont="1" applyFill="1" applyBorder="1" applyProtection="1">
      <protection hidden="1"/>
    </xf>
    <xf numFmtId="165" fontId="60" fillId="15" borderId="40" xfId="0" applyFont="1" applyFill="1" applyBorder="1" applyAlignment="1" applyProtection="1">
      <alignment horizontal="center" vertical="center"/>
      <protection hidden="1"/>
    </xf>
    <xf numFmtId="1" fontId="60" fillId="15" borderId="30" xfId="0" applyNumberFormat="1" applyFont="1" applyFill="1" applyBorder="1" applyProtection="1">
      <protection hidden="1"/>
    </xf>
    <xf numFmtId="165" fontId="60" fillId="15" borderId="55" xfId="0" applyFont="1" applyFill="1" applyBorder="1" applyAlignment="1" applyProtection="1">
      <alignment horizontal="center" vertical="center"/>
      <protection hidden="1"/>
    </xf>
    <xf numFmtId="1" fontId="60" fillId="15" borderId="39" xfId="0" applyNumberFormat="1" applyFont="1" applyFill="1" applyBorder="1" applyProtection="1">
      <protection hidden="1"/>
    </xf>
    <xf numFmtId="1" fontId="60" fillId="22" borderId="37" xfId="0" applyNumberFormat="1" applyFont="1" applyFill="1" applyBorder="1" applyProtection="1">
      <protection hidden="1"/>
    </xf>
    <xf numFmtId="1" fontId="60" fillId="22" borderId="30" xfId="0" applyNumberFormat="1" applyFont="1" applyFill="1" applyBorder="1" applyProtection="1">
      <protection hidden="1"/>
    </xf>
    <xf numFmtId="1" fontId="60" fillId="22" borderId="39" xfId="0" applyNumberFormat="1" applyFont="1" applyFill="1" applyBorder="1" applyProtection="1">
      <protection hidden="1"/>
    </xf>
    <xf numFmtId="1" fontId="60" fillId="12" borderId="8" xfId="0" applyNumberFormat="1" applyFont="1" applyFill="1" applyBorder="1" applyAlignment="1" applyProtection="1">
      <alignment horizontal="center" vertical="center"/>
      <protection hidden="1"/>
    </xf>
    <xf numFmtId="1" fontId="60" fillId="12" borderId="20" xfId="0" applyNumberFormat="1" applyFont="1" applyFill="1" applyBorder="1" applyAlignment="1" applyProtection="1">
      <alignment horizontal="center" vertical="center"/>
      <protection hidden="1"/>
    </xf>
    <xf numFmtId="1" fontId="60" fillId="12" borderId="32" xfId="0" applyNumberFormat="1" applyFont="1" applyFill="1" applyBorder="1" applyAlignment="1" applyProtection="1">
      <alignment vertical="center"/>
      <protection hidden="1"/>
    </xf>
    <xf numFmtId="1" fontId="60" fillId="12" borderId="33" xfId="0" applyNumberFormat="1" applyFont="1" applyFill="1" applyBorder="1" applyAlignment="1" applyProtection="1">
      <alignment vertical="center"/>
      <protection hidden="1"/>
    </xf>
    <xf numFmtId="1" fontId="24" fillId="12" borderId="33" xfId="0" applyNumberFormat="1" applyFont="1" applyFill="1" applyBorder="1" applyAlignment="1" applyProtection="1">
      <alignment vertical="center"/>
      <protection hidden="1"/>
    </xf>
    <xf numFmtId="1" fontId="24" fillId="12" borderId="22" xfId="0" applyNumberFormat="1" applyFont="1" applyFill="1" applyBorder="1" applyAlignment="1" applyProtection="1">
      <alignment vertical="center"/>
      <protection hidden="1"/>
    </xf>
    <xf numFmtId="165" fontId="60" fillId="12" borderId="3" xfId="0" applyFont="1" applyFill="1" applyBorder="1" applyAlignment="1" applyProtection="1">
      <alignment horizontal="center" vertical="center"/>
      <protection hidden="1"/>
    </xf>
    <xf numFmtId="165" fontId="60" fillId="12" borderId="6" xfId="0" applyFont="1" applyFill="1" applyBorder="1" applyAlignment="1" applyProtection="1">
      <alignment horizontal="center" vertical="center"/>
      <protection hidden="1"/>
    </xf>
    <xf numFmtId="165" fontId="60" fillId="5" borderId="54" xfId="0" applyFont="1" applyFill="1" applyBorder="1" applyAlignment="1" applyProtection="1">
      <alignment horizontal="center" vertical="center"/>
      <protection hidden="1"/>
    </xf>
    <xf numFmtId="1" fontId="60" fillId="5" borderId="37" xfId="0" applyNumberFormat="1" applyFont="1" applyFill="1" applyBorder="1" applyProtection="1">
      <protection hidden="1"/>
    </xf>
    <xf numFmtId="165" fontId="60" fillId="12" borderId="40" xfId="0" applyFont="1" applyFill="1" applyBorder="1" applyAlignment="1" applyProtection="1">
      <alignment horizontal="center" vertical="center"/>
      <protection hidden="1"/>
    </xf>
    <xf numFmtId="1" fontId="60" fillId="12" borderId="30" xfId="0" applyNumberFormat="1" applyFont="1" applyFill="1" applyBorder="1" applyProtection="1">
      <protection hidden="1"/>
    </xf>
    <xf numFmtId="165" fontId="60" fillId="12" borderId="55" xfId="0" applyFont="1" applyFill="1" applyBorder="1" applyAlignment="1" applyProtection="1">
      <alignment horizontal="center" vertical="center"/>
      <protection hidden="1"/>
    </xf>
    <xf numFmtId="1" fontId="60" fillId="12" borderId="39" xfId="0" applyNumberFormat="1" applyFont="1" applyFill="1" applyBorder="1" applyProtection="1">
      <protection hidden="1"/>
    </xf>
    <xf numFmtId="165" fontId="60" fillId="12" borderId="54" xfId="0" applyFont="1" applyFill="1" applyBorder="1" applyAlignment="1" applyProtection="1">
      <alignment horizontal="center" vertical="center"/>
      <protection hidden="1"/>
    </xf>
    <xf numFmtId="1" fontId="60" fillId="12" borderId="37" xfId="0" applyNumberFormat="1" applyFont="1" applyFill="1" applyBorder="1" applyProtection="1">
      <protection hidden="1"/>
    </xf>
    <xf numFmtId="165" fontId="60" fillId="40" borderId="55" xfId="0" applyFont="1" applyFill="1" applyBorder="1" applyAlignment="1" applyProtection="1">
      <alignment horizontal="center" vertical="center"/>
      <protection hidden="1"/>
    </xf>
    <xf numFmtId="165" fontId="66" fillId="6" borderId="0" xfId="1" applyFont="1" applyFill="1" applyAlignment="1"/>
    <xf numFmtId="165" fontId="1" fillId="0" borderId="20" xfId="0" applyFont="1" applyBorder="1" applyAlignment="1">
      <alignment horizontal="center" vertical="center" wrapText="1"/>
    </xf>
    <xf numFmtId="165" fontId="1" fillId="0" borderId="20" xfId="0" applyFont="1" applyBorder="1" applyAlignment="1">
      <alignment horizontal="center" vertical="center"/>
    </xf>
    <xf numFmtId="165" fontId="9" fillId="0" borderId="0" xfId="0" applyFont="1" applyFill="1" applyBorder="1" applyAlignment="1">
      <alignment horizontal="center" vertical="center"/>
    </xf>
    <xf numFmtId="165" fontId="10" fillId="12" borderId="0" xfId="0" applyFont="1" applyFill="1" applyAlignment="1">
      <alignment horizontal="center"/>
    </xf>
    <xf numFmtId="165" fontId="0" fillId="12" borderId="0" xfId="0" applyFill="1"/>
    <xf numFmtId="165" fontId="10" fillId="12" borderId="0" xfId="0" applyFont="1" applyFill="1" applyAlignment="1"/>
    <xf numFmtId="1" fontId="9" fillId="22" borderId="11" xfId="0" applyNumberFormat="1" applyFont="1" applyFill="1" applyBorder="1" applyAlignment="1">
      <alignment horizontal="center" vertical="center" wrapText="1"/>
    </xf>
    <xf numFmtId="1" fontId="9" fillId="22" borderId="20" xfId="0" applyNumberFormat="1" applyFont="1" applyFill="1" applyBorder="1" applyAlignment="1">
      <alignment horizontal="center" vertical="center"/>
    </xf>
    <xf numFmtId="2" fontId="0" fillId="12" borderId="0" xfId="0" applyNumberFormat="1" applyFill="1"/>
    <xf numFmtId="1" fontId="8" fillId="12" borderId="0" xfId="0" applyNumberFormat="1" applyFont="1" applyFill="1" applyAlignment="1">
      <alignment horizontal="center"/>
    </xf>
    <xf numFmtId="165" fontId="0" fillId="12" borderId="0" xfId="0" applyFill="1"/>
    <xf numFmtId="165" fontId="48" fillId="12" borderId="8" xfId="0" applyFont="1" applyFill="1" applyBorder="1" applyAlignment="1" applyProtection="1">
      <alignment horizontal="center" vertical="center"/>
      <protection hidden="1"/>
    </xf>
    <xf numFmtId="165" fontId="0" fillId="12" borderId="0" xfId="0" applyFill="1"/>
    <xf numFmtId="165" fontId="60" fillId="12" borderId="0" xfId="0" applyFont="1" applyFill="1" applyBorder="1" applyAlignment="1" applyProtection="1">
      <alignment horizontal="center" vertical="center"/>
      <protection hidden="1"/>
    </xf>
    <xf numFmtId="1" fontId="60" fillId="12" borderId="0" xfId="0" applyNumberFormat="1" applyFont="1" applyFill="1" applyBorder="1" applyProtection="1">
      <protection hidden="1"/>
    </xf>
    <xf numFmtId="165" fontId="48" fillId="12" borderId="20" xfId="0" applyFont="1" applyFill="1" applyBorder="1" applyAlignment="1" applyProtection="1">
      <protection hidden="1"/>
    </xf>
    <xf numFmtId="2" fontId="48" fillId="27" borderId="21" xfId="0" applyNumberFormat="1" applyFont="1" applyFill="1" applyBorder="1" applyAlignment="1" applyProtection="1">
      <alignment horizontal="center" vertical="center"/>
      <protection hidden="1"/>
    </xf>
    <xf numFmtId="2" fontId="48" fillId="29" borderId="15" xfId="0" applyNumberFormat="1" applyFont="1" applyFill="1" applyBorder="1" applyAlignment="1" applyProtection="1">
      <alignment horizontal="center" vertical="center"/>
      <protection hidden="1"/>
    </xf>
    <xf numFmtId="2" fontId="48" fillId="9" borderId="15" xfId="0" applyNumberFormat="1" applyFont="1" applyFill="1" applyBorder="1" applyAlignment="1" applyProtection="1">
      <alignment horizontal="center" vertical="center"/>
      <protection hidden="1"/>
    </xf>
    <xf numFmtId="2" fontId="48" fillId="30" borderId="15" xfId="0" applyNumberFormat="1" applyFont="1" applyFill="1" applyBorder="1" applyAlignment="1" applyProtection="1">
      <alignment horizontal="center" vertical="center"/>
      <protection hidden="1"/>
    </xf>
    <xf numFmtId="2" fontId="48" fillId="31" borderId="15" xfId="0" applyNumberFormat="1" applyFont="1" applyFill="1" applyBorder="1" applyAlignment="1" applyProtection="1">
      <alignment horizontal="center" vertical="center"/>
      <protection hidden="1"/>
    </xf>
    <xf numFmtId="2" fontId="48" fillId="35" borderId="15" xfId="0" applyNumberFormat="1" applyFont="1" applyFill="1" applyBorder="1" applyAlignment="1" applyProtection="1">
      <alignment horizontal="center" vertical="center"/>
      <protection hidden="1"/>
    </xf>
    <xf numFmtId="2" fontId="48" fillId="22" borderId="15" xfId="0" applyNumberFormat="1" applyFont="1" applyFill="1" applyBorder="1" applyAlignment="1" applyProtection="1">
      <alignment horizontal="center" vertical="center"/>
      <protection hidden="1"/>
    </xf>
    <xf numFmtId="1" fontId="48" fillId="22" borderId="37" xfId="0" applyNumberFormat="1" applyFont="1" applyFill="1" applyBorder="1" applyProtection="1">
      <protection hidden="1"/>
    </xf>
    <xf numFmtId="165" fontId="48" fillId="22" borderId="54" xfId="0" applyFont="1" applyFill="1" applyBorder="1" applyAlignment="1" applyProtection="1">
      <alignment horizontal="center" vertical="center"/>
      <protection hidden="1"/>
    </xf>
    <xf numFmtId="1" fontId="54" fillId="12" borderId="4" xfId="0" applyNumberFormat="1" applyFont="1" applyFill="1" applyBorder="1" applyAlignment="1" applyProtection="1">
      <alignment horizontal="right"/>
      <protection hidden="1"/>
    </xf>
    <xf numFmtId="165" fontId="48" fillId="22" borderId="64" xfId="0" applyFont="1" applyFill="1" applyBorder="1" applyAlignment="1" applyProtection="1">
      <alignment horizontal="center" vertical="center"/>
      <protection hidden="1"/>
    </xf>
    <xf numFmtId="1" fontId="48" fillId="22" borderId="54" xfId="0" applyNumberFormat="1" applyFont="1" applyFill="1" applyBorder="1" applyProtection="1">
      <protection hidden="1"/>
    </xf>
    <xf numFmtId="1" fontId="48" fillId="12" borderId="8" xfId="0" applyNumberFormat="1" applyFont="1" applyFill="1" applyBorder="1" applyAlignment="1" applyProtection="1">
      <alignment horizontal="center" vertical="center"/>
      <protection hidden="1"/>
    </xf>
    <xf numFmtId="1" fontId="48" fillId="12" borderId="20" xfId="0" applyNumberFormat="1" applyFont="1" applyFill="1" applyBorder="1" applyAlignment="1" applyProtection="1">
      <alignment horizontal="center" vertical="center"/>
      <protection hidden="1"/>
    </xf>
    <xf numFmtId="1" fontId="48" fillId="33" borderId="60" xfId="0" applyNumberFormat="1" applyFont="1" applyFill="1" applyBorder="1" applyProtection="1">
      <protection hidden="1"/>
    </xf>
    <xf numFmtId="1" fontId="48" fillId="33" borderId="53" xfId="0" applyNumberFormat="1" applyFont="1" applyFill="1" applyBorder="1" applyAlignment="1" applyProtection="1">
      <alignment horizontal="center" vertical="center"/>
      <protection hidden="1"/>
    </xf>
    <xf numFmtId="1" fontId="48" fillId="12" borderId="43" xfId="0" applyNumberFormat="1" applyFont="1" applyFill="1" applyBorder="1" applyAlignment="1" applyProtection="1">
      <alignment horizontal="center" vertical="center"/>
      <protection hidden="1"/>
    </xf>
    <xf numFmtId="2" fontId="48" fillId="33" borderId="60" xfId="0" applyNumberFormat="1" applyFont="1" applyFill="1" applyBorder="1" applyProtection="1">
      <protection hidden="1"/>
    </xf>
    <xf numFmtId="2" fontId="48" fillId="33" borderId="53" xfId="0" applyNumberFormat="1" applyFont="1" applyFill="1" applyBorder="1" applyProtection="1">
      <protection hidden="1"/>
    </xf>
    <xf numFmtId="2" fontId="48" fillId="33" borderId="56" xfId="0" applyNumberFormat="1" applyFont="1" applyFill="1" applyBorder="1" applyProtection="1">
      <protection hidden="1"/>
    </xf>
    <xf numFmtId="1" fontId="48" fillId="22" borderId="13" xfId="0" applyNumberFormat="1" applyFont="1" applyFill="1" applyBorder="1" applyProtection="1">
      <protection hidden="1"/>
    </xf>
    <xf numFmtId="1" fontId="48" fillId="22" borderId="14" xfId="0" applyNumberFormat="1" applyFont="1" applyFill="1" applyBorder="1" applyProtection="1">
      <protection hidden="1"/>
    </xf>
    <xf numFmtId="165" fontId="48" fillId="22" borderId="55" xfId="0" applyFont="1" applyFill="1" applyBorder="1" applyAlignment="1" applyProtection="1">
      <alignment horizontal="center" vertical="center"/>
      <protection hidden="1"/>
    </xf>
    <xf numFmtId="165" fontId="48" fillId="22" borderId="65" xfId="0" applyFont="1" applyFill="1" applyBorder="1" applyAlignment="1" applyProtection="1">
      <alignment horizontal="center" vertical="center"/>
      <protection hidden="1"/>
    </xf>
    <xf numFmtId="1" fontId="48" fillId="22" borderId="18" xfId="0" applyNumberFormat="1" applyFont="1" applyFill="1" applyBorder="1" applyProtection="1">
      <protection hidden="1"/>
    </xf>
    <xf numFmtId="1" fontId="48" fillId="22" borderId="19" xfId="0" applyNumberFormat="1" applyFont="1" applyFill="1" applyBorder="1" applyProtection="1">
      <protection hidden="1"/>
    </xf>
    <xf numFmtId="1" fontId="48" fillId="12" borderId="41" xfId="0" applyNumberFormat="1" applyFont="1" applyFill="1" applyBorder="1" applyProtection="1">
      <protection hidden="1"/>
    </xf>
    <xf numFmtId="1" fontId="60" fillId="40" borderId="39" xfId="0" applyNumberFormat="1" applyFont="1" applyFill="1" applyBorder="1" applyProtection="1">
      <protection hidden="1"/>
    </xf>
    <xf numFmtId="165" fontId="8" fillId="12" borderId="0" xfId="0" applyFont="1" applyFill="1"/>
    <xf numFmtId="1" fontId="8" fillId="12" borderId="0" xfId="0" applyNumberFormat="1" applyFont="1" applyFill="1"/>
    <xf numFmtId="164" fontId="0" fillId="12" borderId="0" xfId="0" applyNumberFormat="1" applyFill="1"/>
    <xf numFmtId="165" fontId="0" fillId="12" borderId="0" xfId="0" applyFill="1"/>
    <xf numFmtId="165" fontId="48" fillId="29" borderId="44" xfId="0" applyFont="1" applyFill="1" applyBorder="1" applyAlignment="1">
      <alignment horizontal="center" vertical="center"/>
    </xf>
    <xf numFmtId="1" fontId="48" fillId="29" borderId="44" xfId="0" applyNumberFormat="1" applyFont="1" applyFill="1" applyBorder="1" applyAlignment="1">
      <alignment horizontal="center" vertical="center"/>
    </xf>
    <xf numFmtId="1" fontId="48" fillId="12" borderId="47" xfId="0" applyNumberFormat="1" applyFont="1" applyFill="1" applyBorder="1" applyAlignment="1" applyProtection="1">
      <alignment horizontal="center" vertical="center"/>
      <protection hidden="1"/>
    </xf>
    <xf numFmtId="1" fontId="48" fillId="21" borderId="59" xfId="0" applyNumberFormat="1" applyFont="1" applyFill="1" applyBorder="1" applyProtection="1">
      <protection hidden="1"/>
    </xf>
    <xf numFmtId="2" fontId="48" fillId="21" borderId="59" xfId="0" applyNumberFormat="1" applyFont="1" applyFill="1" applyBorder="1" applyProtection="1">
      <protection hidden="1"/>
    </xf>
    <xf numFmtId="2" fontId="48" fillId="21" borderId="1" xfId="0" applyNumberFormat="1" applyFont="1" applyFill="1" applyBorder="1" applyProtection="1">
      <protection hidden="1"/>
    </xf>
    <xf numFmtId="2" fontId="48" fillId="21" borderId="16" xfId="0" applyNumberFormat="1" applyFont="1" applyFill="1" applyBorder="1" applyProtection="1">
      <protection hidden="1"/>
    </xf>
    <xf numFmtId="1" fontId="48" fillId="21" borderId="15" xfId="0" applyNumberFormat="1" applyFont="1" applyFill="1" applyBorder="1" applyAlignment="1" applyProtection="1">
      <alignment horizontal="center" vertical="center"/>
      <protection hidden="1"/>
    </xf>
    <xf numFmtId="2" fontId="48" fillId="21" borderId="1" xfId="0" applyNumberFormat="1" applyFont="1" applyFill="1" applyBorder="1" applyAlignment="1" applyProtection="1">
      <alignment vertical="center"/>
      <protection hidden="1"/>
    </xf>
    <xf numFmtId="2" fontId="48" fillId="21" borderId="72" xfId="0" applyNumberFormat="1" applyFont="1" applyFill="1" applyBorder="1" applyAlignment="1" applyProtection="1">
      <alignment vertical="center"/>
      <protection hidden="1"/>
    </xf>
    <xf numFmtId="1" fontId="60" fillId="21" borderId="37" xfId="0" applyNumberFormat="1" applyFont="1" applyFill="1" applyBorder="1" applyProtection="1">
      <protection hidden="1"/>
    </xf>
    <xf numFmtId="1" fontId="60" fillId="21" borderId="30" xfId="0" applyNumberFormat="1" applyFont="1" applyFill="1" applyBorder="1" applyProtection="1">
      <protection hidden="1"/>
    </xf>
    <xf numFmtId="1" fontId="60" fillId="21" borderId="39" xfId="0" applyNumberFormat="1" applyFont="1" applyFill="1" applyBorder="1" applyProtection="1">
      <protection hidden="1"/>
    </xf>
    <xf numFmtId="165" fontId="0" fillId="12" borderId="0" xfId="0" applyFill="1"/>
    <xf numFmtId="165" fontId="69" fillId="41" borderId="59" xfId="9" applyNumberFormat="1" applyBorder="1"/>
    <xf numFmtId="165" fontId="69" fillId="41" borderId="1" xfId="9" applyNumberFormat="1" applyBorder="1"/>
    <xf numFmtId="165" fontId="48" fillId="28" borderId="37" xfId="0" applyFont="1" applyFill="1" applyBorder="1" applyAlignment="1">
      <alignment horizontal="center" vertical="center"/>
    </xf>
    <xf numFmtId="1" fontId="48" fillId="28" borderId="54" xfId="0" applyNumberFormat="1" applyFont="1" applyFill="1" applyBorder="1" applyAlignment="1">
      <alignment horizontal="center" vertical="center"/>
    </xf>
    <xf numFmtId="165" fontId="48" fillId="28" borderId="54" xfId="0" applyFont="1" applyFill="1" applyBorder="1" applyAlignment="1">
      <alignment horizontal="center" vertical="center"/>
    </xf>
    <xf numFmtId="165" fontId="69" fillId="41" borderId="58" xfId="9" applyNumberFormat="1" applyBorder="1"/>
    <xf numFmtId="165" fontId="69" fillId="41" borderId="13" xfId="9" applyNumberFormat="1" applyBorder="1"/>
    <xf numFmtId="165" fontId="69" fillId="41" borderId="14" xfId="9" applyNumberFormat="1" applyBorder="1"/>
    <xf numFmtId="165" fontId="69" fillId="41" borderId="16" xfId="9" applyNumberFormat="1" applyBorder="1"/>
    <xf numFmtId="165" fontId="69" fillId="41" borderId="69" xfId="9" applyNumberFormat="1" applyBorder="1"/>
    <xf numFmtId="165" fontId="69" fillId="41" borderId="18" xfId="9" applyNumberFormat="1" applyBorder="1"/>
    <xf numFmtId="165" fontId="69" fillId="41" borderId="19" xfId="9" applyNumberFormat="1" applyBorder="1"/>
    <xf numFmtId="165" fontId="48" fillId="9" borderId="55" xfId="0" applyFont="1" applyFill="1" applyBorder="1" applyAlignment="1">
      <alignment horizontal="center" vertical="center"/>
    </xf>
    <xf numFmtId="1" fontId="48" fillId="9" borderId="55" xfId="0" applyNumberFormat="1" applyFont="1" applyFill="1" applyBorder="1" applyAlignment="1">
      <alignment horizontal="center" vertical="center"/>
    </xf>
    <xf numFmtId="165" fontId="48" fillId="30" borderId="39" xfId="0" applyFont="1" applyFill="1" applyBorder="1" applyAlignment="1">
      <alignment horizontal="center" vertical="center"/>
    </xf>
    <xf numFmtId="1" fontId="48" fillId="30" borderId="55" xfId="0" applyNumberFormat="1" applyFont="1" applyFill="1" applyBorder="1" applyAlignment="1">
      <alignment horizontal="center" vertical="center"/>
    </xf>
    <xf numFmtId="165" fontId="48" fillId="30" borderId="55" xfId="0" applyFont="1" applyFill="1" applyBorder="1" applyAlignment="1">
      <alignment horizontal="center" vertical="center"/>
    </xf>
    <xf numFmtId="1" fontId="48" fillId="22" borderId="39" xfId="0" applyNumberFormat="1" applyFont="1" applyFill="1" applyBorder="1" applyAlignment="1">
      <alignment horizontal="center" vertical="center"/>
    </xf>
    <xf numFmtId="165" fontId="48" fillId="5" borderId="37" xfId="0" applyFont="1" applyFill="1" applyBorder="1" applyAlignment="1">
      <alignment horizontal="center" vertical="center"/>
    </xf>
    <xf numFmtId="1" fontId="48" fillId="5" borderId="37" xfId="0" applyNumberFormat="1" applyFont="1" applyFill="1" applyBorder="1" applyAlignment="1">
      <alignment horizontal="center" vertical="center"/>
    </xf>
    <xf numFmtId="165" fontId="48" fillId="5" borderId="39" xfId="0" applyFont="1" applyFill="1" applyBorder="1" applyAlignment="1">
      <alignment horizontal="center" vertical="center"/>
    </xf>
    <xf numFmtId="1" fontId="48" fillId="5" borderId="39" xfId="0" applyNumberFormat="1" applyFont="1" applyFill="1" applyBorder="1" applyAlignment="1">
      <alignment horizontal="center" vertical="center"/>
    </xf>
    <xf numFmtId="165" fontId="0" fillId="12" borderId="0" xfId="0" applyFill="1"/>
    <xf numFmtId="165" fontId="70" fillId="42" borderId="76" xfId="10" applyNumberFormat="1" applyBorder="1"/>
    <xf numFmtId="165" fontId="70" fillId="42" borderId="77" xfId="10" applyNumberFormat="1" applyBorder="1"/>
    <xf numFmtId="165" fontId="70" fillId="42" borderId="78" xfId="10" applyNumberFormat="1" applyBorder="1"/>
    <xf numFmtId="167" fontId="29" fillId="0" borderId="0" xfId="5" applyNumberFormat="1"/>
    <xf numFmtId="165" fontId="71" fillId="3" borderId="20" xfId="2" applyFont="1" applyFill="1" applyBorder="1" applyAlignment="1">
      <alignment horizontal="center" vertical="center"/>
    </xf>
    <xf numFmtId="165" fontId="10" fillId="0" borderId="41" xfId="5" applyFont="1" applyBorder="1" applyAlignment="1">
      <alignment horizontal="center" vertical="center"/>
    </xf>
    <xf numFmtId="165" fontId="29" fillId="0" borderId="41" xfId="5" applyBorder="1" applyAlignment="1">
      <alignment horizontal="left" vertical="center"/>
    </xf>
    <xf numFmtId="165" fontId="29" fillId="0" borderId="41" xfId="5" applyBorder="1"/>
    <xf numFmtId="165" fontId="10" fillId="0" borderId="30" xfId="5" applyFont="1" applyBorder="1" applyAlignment="1">
      <alignment horizontal="center" vertical="center"/>
    </xf>
    <xf numFmtId="165" fontId="10" fillId="0" borderId="30" xfId="5" applyFont="1" applyBorder="1" applyAlignment="1">
      <alignment horizontal="center" vertical="center" wrapText="1"/>
    </xf>
    <xf numFmtId="165" fontId="74" fillId="0" borderId="30" xfId="0" applyFont="1" applyBorder="1" applyAlignment="1">
      <alignment vertical="center" wrapText="1"/>
    </xf>
    <xf numFmtId="165" fontId="10" fillId="0" borderId="30" xfId="5" applyFont="1" applyBorder="1" applyAlignment="1">
      <alignment vertical="center" wrapText="1"/>
    </xf>
    <xf numFmtId="165" fontId="9" fillId="0" borderId="30" xfId="5" applyFont="1" applyBorder="1" applyAlignment="1">
      <alignment vertical="center" wrapText="1"/>
    </xf>
    <xf numFmtId="165" fontId="75" fillId="0" borderId="30" xfId="0" applyFont="1" applyBorder="1" applyAlignment="1">
      <alignment horizontal="left" vertical="center" wrapText="1"/>
    </xf>
    <xf numFmtId="165" fontId="9" fillId="0" borderId="39" xfId="5" applyFont="1" applyBorder="1" applyAlignment="1">
      <alignment vertical="center" wrapText="1"/>
    </xf>
    <xf numFmtId="167" fontId="29" fillId="12" borderId="0" xfId="5" applyNumberFormat="1" applyFill="1"/>
    <xf numFmtId="165" fontId="9" fillId="12" borderId="0" xfId="0" applyFont="1" applyFill="1" applyAlignment="1">
      <alignment horizontal="left" vertical="center"/>
    </xf>
    <xf numFmtId="165" fontId="0" fillId="12" borderId="0" xfId="0" applyFill="1"/>
    <xf numFmtId="165" fontId="12" fillId="6" borderId="0" xfId="1" applyFont="1" applyFill="1" applyAlignment="1"/>
    <xf numFmtId="165" fontId="48" fillId="12" borderId="40" xfId="0" applyFont="1" applyFill="1" applyBorder="1" applyAlignment="1">
      <alignment horizontal="center" vertical="center"/>
    </xf>
    <xf numFmtId="165" fontId="48" fillId="12" borderId="55" xfId="0" applyFont="1" applyFill="1" applyBorder="1" applyAlignment="1">
      <alignment horizontal="center" vertical="center"/>
    </xf>
    <xf numFmtId="165" fontId="48" fillId="12" borderId="44" xfId="0" applyFont="1" applyFill="1" applyBorder="1" applyAlignment="1">
      <alignment horizontal="center" vertical="center"/>
    </xf>
    <xf numFmtId="1" fontId="0" fillId="12" borderId="13" xfId="0" applyNumberFormat="1" applyFill="1" applyBorder="1" applyAlignment="1">
      <alignment horizontal="center" vertical="center"/>
    </xf>
    <xf numFmtId="1" fontId="0" fillId="12" borderId="18" xfId="0" applyNumberFormat="1" applyFill="1" applyBorder="1" applyAlignment="1">
      <alignment horizontal="center" vertical="center"/>
    </xf>
    <xf numFmtId="1" fontId="0" fillId="12" borderId="14" xfId="0" applyNumberFormat="1" applyFill="1" applyBorder="1" applyAlignment="1">
      <alignment horizontal="center" vertical="center"/>
    </xf>
    <xf numFmtId="1" fontId="0" fillId="12" borderId="53" xfId="0" applyNumberFormat="1" applyFill="1" applyBorder="1" applyAlignment="1">
      <alignment horizontal="center" vertical="center"/>
    </xf>
    <xf numFmtId="165" fontId="0" fillId="12" borderId="0" xfId="0" applyFill="1"/>
    <xf numFmtId="1" fontId="0" fillId="12" borderId="1" xfId="0" applyNumberFormat="1" applyFill="1" applyBorder="1" applyAlignment="1">
      <alignment horizontal="center" vertical="center"/>
    </xf>
    <xf numFmtId="165" fontId="24" fillId="12" borderId="0" xfId="0" applyFont="1" applyFill="1"/>
    <xf numFmtId="165" fontId="0" fillId="12" borderId="0" xfId="0" applyFill="1"/>
    <xf numFmtId="167" fontId="11" fillId="21" borderId="41" xfId="0" applyNumberFormat="1" applyFont="1" applyFill="1" applyBorder="1" applyAlignment="1" applyProtection="1">
      <alignment horizontal="center" vertical="center"/>
      <protection hidden="1"/>
    </xf>
    <xf numFmtId="167" fontId="11" fillId="21" borderId="30" xfId="0" applyNumberFormat="1" applyFont="1" applyFill="1" applyBorder="1" applyAlignment="1" applyProtection="1">
      <alignment horizontal="center" vertical="center"/>
      <protection hidden="1"/>
    </xf>
    <xf numFmtId="165" fontId="0" fillId="12" borderId="0" xfId="0" applyFill="1"/>
    <xf numFmtId="165" fontId="5" fillId="24" borderId="0" xfId="1" applyFont="1" applyFill="1"/>
    <xf numFmtId="165" fontId="0" fillId="12" borderId="0" xfId="0" applyFill="1"/>
    <xf numFmtId="1" fontId="48" fillId="28" borderId="37" xfId="0" applyNumberFormat="1" applyFont="1" applyFill="1" applyBorder="1" applyProtection="1">
      <protection hidden="1"/>
    </xf>
    <xf numFmtId="1" fontId="48" fillId="28" borderId="30" xfId="0" applyNumberFormat="1" applyFont="1" applyFill="1" applyBorder="1" applyProtection="1">
      <protection hidden="1"/>
    </xf>
    <xf numFmtId="1" fontId="48" fillId="28" borderId="39" xfId="0" applyNumberFormat="1" applyFont="1" applyFill="1" applyBorder="1" applyProtection="1">
      <protection hidden="1"/>
    </xf>
    <xf numFmtId="1" fontId="48" fillId="28" borderId="41" xfId="0" applyNumberFormat="1" applyFont="1" applyFill="1" applyBorder="1" applyProtection="1">
      <protection hidden="1"/>
    </xf>
    <xf numFmtId="1" fontId="48" fillId="27" borderId="37" xfId="0" applyNumberFormat="1" applyFont="1" applyFill="1" applyBorder="1" applyProtection="1">
      <protection hidden="1"/>
    </xf>
    <xf numFmtId="1" fontId="48" fillId="27" borderId="30" xfId="0" applyNumberFormat="1" applyFont="1" applyFill="1" applyBorder="1" applyProtection="1">
      <protection hidden="1"/>
    </xf>
    <xf numFmtId="1" fontId="48" fillId="27" borderId="39" xfId="0" applyNumberFormat="1" applyFont="1" applyFill="1" applyBorder="1" applyProtection="1">
      <protection hidden="1"/>
    </xf>
    <xf numFmtId="1" fontId="48" fillId="27" borderId="41" xfId="0" applyNumberFormat="1" applyFont="1" applyFill="1" applyBorder="1" applyProtection="1">
      <protection hidden="1"/>
    </xf>
    <xf numFmtId="1" fontId="48" fillId="29" borderId="37" xfId="0" applyNumberFormat="1" applyFont="1" applyFill="1" applyBorder="1" applyProtection="1">
      <protection hidden="1"/>
    </xf>
    <xf numFmtId="1" fontId="48" fillId="29" borderId="30" xfId="0" applyNumberFormat="1" applyFont="1" applyFill="1" applyBorder="1" applyProtection="1">
      <protection hidden="1"/>
    </xf>
    <xf numFmtId="1" fontId="48" fillId="29" borderId="39" xfId="0" applyNumberFormat="1" applyFont="1" applyFill="1" applyBorder="1" applyProtection="1">
      <protection hidden="1"/>
    </xf>
    <xf numFmtId="1" fontId="48" fillId="29" borderId="41" xfId="0" applyNumberFormat="1" applyFont="1" applyFill="1" applyBorder="1" applyProtection="1">
      <protection hidden="1"/>
    </xf>
    <xf numFmtId="1" fontId="48" fillId="9" borderId="37" xfId="0" applyNumberFormat="1" applyFont="1" applyFill="1" applyBorder="1" applyProtection="1">
      <protection hidden="1"/>
    </xf>
    <xf numFmtId="1" fontId="48" fillId="9" borderId="30" xfId="0" applyNumberFormat="1" applyFont="1" applyFill="1" applyBorder="1" applyProtection="1">
      <protection hidden="1"/>
    </xf>
    <xf numFmtId="1" fontId="48" fillId="9" borderId="39" xfId="0" applyNumberFormat="1" applyFont="1" applyFill="1" applyBorder="1" applyProtection="1">
      <protection hidden="1"/>
    </xf>
    <xf numFmtId="1" fontId="48" fillId="30" borderId="37" xfId="0" applyNumberFormat="1" applyFont="1" applyFill="1" applyBorder="1" applyProtection="1">
      <protection hidden="1"/>
    </xf>
    <xf numFmtId="1" fontId="48" fillId="30" borderId="30" xfId="0" applyNumberFormat="1" applyFont="1" applyFill="1" applyBorder="1" applyProtection="1">
      <protection hidden="1"/>
    </xf>
    <xf numFmtId="1" fontId="48" fillId="30" borderId="39" xfId="0" applyNumberFormat="1" applyFont="1" applyFill="1" applyBorder="1" applyProtection="1">
      <protection hidden="1"/>
    </xf>
    <xf numFmtId="1" fontId="48" fillId="31" borderId="58" xfId="0" applyNumberFormat="1" applyFont="1" applyFill="1" applyBorder="1" applyProtection="1">
      <protection hidden="1"/>
    </xf>
    <xf numFmtId="1" fontId="48" fillId="31" borderId="12" xfId="0" applyNumberFormat="1" applyFont="1" applyFill="1" applyBorder="1" applyProtection="1">
      <protection hidden="1"/>
    </xf>
    <xf numFmtId="1" fontId="48" fillId="31" borderId="37" xfId="0" applyNumberFormat="1" applyFont="1" applyFill="1" applyBorder="1" applyProtection="1">
      <protection hidden="1"/>
    </xf>
    <xf numFmtId="1" fontId="48" fillId="31" borderId="15" xfId="0" applyNumberFormat="1" applyFont="1" applyFill="1" applyBorder="1" applyProtection="1">
      <protection hidden="1"/>
    </xf>
    <xf numFmtId="1" fontId="48" fillId="31" borderId="30" xfId="0" applyNumberFormat="1" applyFont="1" applyFill="1" applyBorder="1" applyProtection="1">
      <protection hidden="1"/>
    </xf>
    <xf numFmtId="1" fontId="48" fillId="31" borderId="69" xfId="0" applyNumberFormat="1" applyFont="1" applyFill="1" applyBorder="1" applyProtection="1">
      <protection hidden="1"/>
    </xf>
    <xf numFmtId="1" fontId="48" fillId="31" borderId="17" xfId="0" applyNumberFormat="1" applyFont="1" applyFill="1" applyBorder="1" applyProtection="1">
      <protection hidden="1"/>
    </xf>
    <xf numFmtId="1" fontId="48" fillId="31" borderId="39" xfId="0" applyNumberFormat="1" applyFont="1" applyFill="1" applyBorder="1" applyProtection="1">
      <protection hidden="1"/>
    </xf>
    <xf numFmtId="1" fontId="48" fillId="15" borderId="12" xfId="0" applyNumberFormat="1" applyFont="1" applyFill="1" applyBorder="1" applyProtection="1">
      <protection hidden="1"/>
    </xf>
    <xf numFmtId="1" fontId="48" fillId="15" borderId="37" xfId="0" applyNumberFormat="1" applyFont="1" applyFill="1" applyBorder="1" applyProtection="1">
      <protection hidden="1"/>
    </xf>
    <xf numFmtId="1" fontId="48" fillId="15" borderId="15" xfId="0" applyNumberFormat="1" applyFont="1" applyFill="1" applyBorder="1" applyProtection="1">
      <protection hidden="1"/>
    </xf>
    <xf numFmtId="1" fontId="48" fillId="15" borderId="30" xfId="0" applyNumberFormat="1" applyFont="1" applyFill="1" applyBorder="1" applyProtection="1">
      <protection hidden="1"/>
    </xf>
    <xf numFmtId="1" fontId="48" fillId="15" borderId="17" xfId="0" applyNumberFormat="1" applyFont="1" applyFill="1" applyBorder="1" applyProtection="1">
      <protection hidden="1"/>
    </xf>
    <xf numFmtId="1" fontId="48" fillId="15" borderId="39" xfId="0" applyNumberFormat="1" applyFont="1" applyFill="1" applyBorder="1" applyProtection="1">
      <protection hidden="1"/>
    </xf>
    <xf numFmtId="1" fontId="48" fillId="21" borderId="37" xfId="0" applyNumberFormat="1" applyFont="1" applyFill="1" applyBorder="1" applyProtection="1">
      <protection hidden="1"/>
    </xf>
    <xf numFmtId="1" fontId="48" fillId="21" borderId="30" xfId="0" applyNumberFormat="1" applyFont="1" applyFill="1" applyBorder="1" applyProtection="1">
      <protection hidden="1"/>
    </xf>
    <xf numFmtId="1" fontId="48" fillId="21" borderId="39" xfId="0" applyNumberFormat="1" applyFont="1" applyFill="1" applyBorder="1" applyProtection="1">
      <protection hidden="1"/>
    </xf>
    <xf numFmtId="1" fontId="48" fillId="22" borderId="30" xfId="0" applyNumberFormat="1" applyFont="1" applyFill="1" applyBorder="1" applyProtection="1">
      <protection hidden="1"/>
    </xf>
    <xf numFmtId="1" fontId="48" fillId="22" borderId="39" xfId="0" applyNumberFormat="1" applyFont="1" applyFill="1" applyBorder="1" applyProtection="1">
      <protection hidden="1"/>
    </xf>
    <xf numFmtId="1" fontId="48" fillId="10" borderId="12" xfId="0" applyNumberFormat="1" applyFont="1" applyFill="1" applyBorder="1" applyProtection="1">
      <protection hidden="1"/>
    </xf>
    <xf numFmtId="1" fontId="48" fillId="10" borderId="15" xfId="0" applyNumberFormat="1" applyFont="1" applyFill="1" applyBorder="1" applyProtection="1">
      <protection hidden="1"/>
    </xf>
    <xf numFmtId="1" fontId="48" fillId="10" borderId="30" xfId="0" applyNumberFormat="1" applyFont="1" applyFill="1" applyBorder="1" applyProtection="1">
      <protection hidden="1"/>
    </xf>
    <xf numFmtId="1" fontId="48" fillId="10" borderId="17" xfId="0" applyNumberFormat="1" applyFont="1" applyFill="1" applyBorder="1" applyProtection="1">
      <protection hidden="1"/>
    </xf>
    <xf numFmtId="1" fontId="48" fillId="10" borderId="39" xfId="0" applyNumberFormat="1" applyFont="1" applyFill="1" applyBorder="1" applyProtection="1">
      <protection hidden="1"/>
    </xf>
    <xf numFmtId="1" fontId="48" fillId="5" borderId="12" xfId="0" applyNumberFormat="1" applyFont="1" applyFill="1" applyBorder="1" applyProtection="1">
      <protection hidden="1"/>
    </xf>
    <xf numFmtId="1" fontId="48" fillId="5" borderId="37" xfId="0" applyNumberFormat="1" applyFont="1" applyFill="1" applyBorder="1" applyProtection="1">
      <protection hidden="1"/>
    </xf>
    <xf numFmtId="1" fontId="48" fillId="5" borderId="15" xfId="0" applyNumberFormat="1" applyFont="1" applyFill="1" applyBorder="1" applyProtection="1">
      <protection hidden="1"/>
    </xf>
    <xf numFmtId="1" fontId="48" fillId="5" borderId="30" xfId="0" applyNumberFormat="1" applyFont="1" applyFill="1" applyBorder="1" applyProtection="1">
      <protection hidden="1"/>
    </xf>
    <xf numFmtId="1" fontId="48" fillId="5" borderId="17" xfId="0" applyNumberFormat="1" applyFont="1" applyFill="1" applyBorder="1" applyProtection="1">
      <protection hidden="1"/>
    </xf>
    <xf numFmtId="1" fontId="48" fillId="5" borderId="39" xfId="0" applyNumberFormat="1" applyFont="1" applyFill="1" applyBorder="1" applyProtection="1">
      <protection hidden="1"/>
    </xf>
    <xf numFmtId="1" fontId="48" fillId="32" borderId="12" xfId="0" applyNumberFormat="1" applyFont="1" applyFill="1" applyBorder="1" applyProtection="1">
      <protection hidden="1"/>
    </xf>
    <xf numFmtId="1" fontId="48" fillId="32" borderId="37" xfId="0" applyNumberFormat="1" applyFont="1" applyFill="1" applyBorder="1" applyProtection="1">
      <protection hidden="1"/>
    </xf>
    <xf numFmtId="1" fontId="48" fillId="32" borderId="15" xfId="0" applyNumberFormat="1" applyFont="1" applyFill="1" applyBorder="1" applyProtection="1">
      <protection hidden="1"/>
    </xf>
    <xf numFmtId="1" fontId="48" fillId="32" borderId="30" xfId="0" applyNumberFormat="1" applyFont="1" applyFill="1" applyBorder="1" applyProtection="1">
      <protection hidden="1"/>
    </xf>
    <xf numFmtId="1" fontId="48" fillId="32" borderId="17" xfId="0" applyNumberFormat="1" applyFont="1" applyFill="1" applyBorder="1" applyProtection="1">
      <protection hidden="1"/>
    </xf>
    <xf numFmtId="1" fontId="48" fillId="32" borderId="39" xfId="0" applyNumberFormat="1" applyFont="1" applyFill="1" applyBorder="1" applyProtection="1">
      <protection hidden="1"/>
    </xf>
    <xf numFmtId="1" fontId="48" fillId="4" borderId="12" xfId="0" applyNumberFormat="1" applyFont="1" applyFill="1" applyBorder="1" applyProtection="1">
      <protection hidden="1"/>
    </xf>
    <xf numFmtId="1" fontId="48" fillId="4" borderId="37" xfId="0" applyNumberFormat="1" applyFont="1" applyFill="1" applyBorder="1" applyProtection="1">
      <protection hidden="1"/>
    </xf>
    <xf numFmtId="1" fontId="48" fillId="4" borderId="15" xfId="0" applyNumberFormat="1" applyFont="1" applyFill="1" applyBorder="1" applyProtection="1">
      <protection hidden="1"/>
    </xf>
    <xf numFmtId="1" fontId="48" fillId="4" borderId="30" xfId="0" applyNumberFormat="1" applyFont="1" applyFill="1" applyBorder="1" applyProtection="1">
      <protection hidden="1"/>
    </xf>
    <xf numFmtId="1" fontId="48" fillId="4" borderId="17" xfId="0" applyNumberFormat="1" applyFont="1" applyFill="1" applyBorder="1" applyProtection="1">
      <protection hidden="1"/>
    </xf>
    <xf numFmtId="1" fontId="48" fillId="4" borderId="39" xfId="0" applyNumberFormat="1" applyFont="1" applyFill="1" applyBorder="1" applyProtection="1">
      <protection hidden="1"/>
    </xf>
    <xf numFmtId="1" fontId="48" fillId="33" borderId="12" xfId="0" applyNumberFormat="1" applyFont="1" applyFill="1" applyBorder="1" applyProtection="1">
      <protection hidden="1"/>
    </xf>
    <xf numFmtId="1" fontId="48" fillId="33" borderId="37" xfId="0" applyNumberFormat="1" applyFont="1" applyFill="1" applyBorder="1" applyProtection="1">
      <protection hidden="1"/>
    </xf>
    <xf numFmtId="1" fontId="48" fillId="33" borderId="15" xfId="0" applyNumberFormat="1" applyFont="1" applyFill="1" applyBorder="1" applyProtection="1">
      <protection hidden="1"/>
    </xf>
    <xf numFmtId="1" fontId="48" fillId="33" borderId="30" xfId="0" applyNumberFormat="1" applyFont="1" applyFill="1" applyBorder="1" applyProtection="1">
      <protection hidden="1"/>
    </xf>
    <xf numFmtId="1" fontId="48" fillId="33" borderId="17" xfId="0" applyNumberFormat="1" applyFont="1" applyFill="1" applyBorder="1" applyProtection="1">
      <protection hidden="1"/>
    </xf>
    <xf numFmtId="1" fontId="48" fillId="33" borderId="39" xfId="0" applyNumberFormat="1" applyFont="1" applyFill="1" applyBorder="1" applyProtection="1">
      <protection hidden="1"/>
    </xf>
    <xf numFmtId="1" fontId="48" fillId="12" borderId="63" xfId="0" applyNumberFormat="1" applyFont="1" applyFill="1" applyBorder="1" applyAlignment="1" applyProtection="1">
      <alignment vertical="center"/>
      <protection hidden="1"/>
    </xf>
    <xf numFmtId="1" fontId="48" fillId="12" borderId="68" xfId="0" applyNumberFormat="1" applyFont="1" applyFill="1" applyBorder="1" applyAlignment="1" applyProtection="1">
      <alignment vertical="center"/>
      <protection hidden="1"/>
    </xf>
    <xf numFmtId="1" fontId="48" fillId="12" borderId="25" xfId="0" applyNumberFormat="1" applyFont="1" applyFill="1" applyBorder="1" applyAlignment="1" applyProtection="1">
      <alignment vertical="center"/>
      <protection hidden="1"/>
    </xf>
    <xf numFmtId="1" fontId="48" fillId="26" borderId="37" xfId="0" applyNumberFormat="1" applyFont="1" applyFill="1" applyBorder="1" applyProtection="1">
      <protection hidden="1"/>
    </xf>
    <xf numFmtId="1" fontId="48" fillId="26" borderId="30" xfId="0" applyNumberFormat="1" applyFont="1" applyFill="1" applyBorder="1" applyProtection="1">
      <protection hidden="1"/>
    </xf>
    <xf numFmtId="1" fontId="48" fillId="39" borderId="37" xfId="0" applyNumberFormat="1" applyFont="1" applyFill="1" applyBorder="1" applyProtection="1">
      <protection hidden="1"/>
    </xf>
    <xf numFmtId="1" fontId="48" fillId="39" borderId="30" xfId="0" applyNumberFormat="1" applyFont="1" applyFill="1" applyBorder="1" applyProtection="1">
      <protection hidden="1"/>
    </xf>
    <xf numFmtId="1" fontId="48" fillId="39" borderId="39" xfId="0" applyNumberFormat="1" applyFont="1" applyFill="1" applyBorder="1" applyProtection="1">
      <protection hidden="1"/>
    </xf>
    <xf numFmtId="165" fontId="60" fillId="21" borderId="37" xfId="0" applyFont="1" applyFill="1" applyBorder="1" applyAlignment="1" applyProtection="1">
      <alignment horizontal="center" vertical="center"/>
      <protection hidden="1"/>
    </xf>
    <xf numFmtId="165" fontId="60" fillId="21" borderId="30" xfId="0" applyFont="1" applyFill="1" applyBorder="1" applyAlignment="1" applyProtection="1">
      <alignment horizontal="center" vertical="center"/>
      <protection hidden="1"/>
    </xf>
    <xf numFmtId="165" fontId="60" fillId="21" borderId="39" xfId="0" applyFont="1" applyFill="1" applyBorder="1" applyAlignment="1" applyProtection="1">
      <alignment horizontal="center" vertical="center"/>
      <protection hidden="1"/>
    </xf>
    <xf numFmtId="165" fontId="9" fillId="24" borderId="8" xfId="0" applyFont="1" applyFill="1" applyBorder="1" applyAlignment="1">
      <alignment horizontal="center"/>
    </xf>
    <xf numFmtId="1" fontId="9" fillId="24" borderId="9" xfId="0" applyNumberFormat="1" applyFont="1" applyFill="1" applyBorder="1" applyAlignment="1">
      <alignment horizontal="left"/>
    </xf>
    <xf numFmtId="165" fontId="9" fillId="14" borderId="20" xfId="0" applyFont="1" applyFill="1" applyBorder="1" applyAlignment="1">
      <alignment horizontal="center" vertical="center" wrapText="1"/>
    </xf>
    <xf numFmtId="9" fontId="9" fillId="14" borderId="22" xfId="0" applyNumberFormat="1" applyFont="1" applyFill="1" applyBorder="1" applyAlignment="1">
      <alignment horizontal="center" vertical="center" wrapText="1"/>
    </xf>
    <xf numFmtId="165" fontId="12" fillId="6" borderId="0" xfId="1" applyFont="1" applyFill="1" applyAlignment="1"/>
    <xf numFmtId="165" fontId="0" fillId="12" borderId="0" xfId="0" applyFill="1"/>
    <xf numFmtId="165" fontId="0" fillId="12" borderId="0" xfId="0" applyFill="1"/>
    <xf numFmtId="165" fontId="22" fillId="43" borderId="0" xfId="0" applyFont="1" applyFill="1"/>
    <xf numFmtId="165" fontId="5" fillId="43" borderId="0" xfId="1" applyFont="1" applyFill="1" applyAlignment="1">
      <alignment horizontal="left"/>
    </xf>
    <xf numFmtId="165" fontId="19" fillId="43" borderId="0" xfId="1" applyFont="1" applyFill="1" applyAlignment="1">
      <alignment horizontal="left"/>
    </xf>
    <xf numFmtId="165" fontId="3" fillId="43" borderId="0" xfId="0" applyFont="1" applyFill="1"/>
    <xf numFmtId="3" fontId="9" fillId="43" borderId="10" xfId="0" applyNumberFormat="1" applyFont="1" applyFill="1" applyBorder="1" applyAlignment="1">
      <alignment horizontal="center" vertical="center"/>
    </xf>
    <xf numFmtId="0" fontId="9" fillId="43" borderId="20" xfId="0" applyNumberFormat="1" applyFont="1" applyFill="1" applyBorder="1" applyAlignment="1">
      <alignment horizontal="center" vertical="center"/>
    </xf>
    <xf numFmtId="2" fontId="9" fillId="43" borderId="11" xfId="4" applyNumberFormat="1" applyFont="1" applyFill="1" applyBorder="1" applyAlignment="1">
      <alignment horizontal="center" vertical="center" wrapText="1" shrinkToFit="1"/>
    </xf>
    <xf numFmtId="165" fontId="9" fillId="43" borderId="5" xfId="0" applyFont="1" applyFill="1" applyBorder="1" applyAlignment="1">
      <alignment horizontal="center"/>
    </xf>
    <xf numFmtId="3" fontId="9" fillId="43" borderId="6" xfId="0" applyNumberFormat="1" applyFont="1" applyFill="1" applyBorder="1" applyAlignment="1">
      <alignment horizontal="center"/>
    </xf>
    <xf numFmtId="1" fontId="9" fillId="43" borderId="6" xfId="0" applyNumberFormat="1" applyFont="1" applyFill="1" applyBorder="1" applyAlignment="1">
      <alignment horizontal="left"/>
    </xf>
    <xf numFmtId="165" fontId="9" fillId="43" borderId="6" xfId="0" applyFont="1" applyFill="1" applyBorder="1" applyAlignment="1">
      <alignment horizontal="left"/>
    </xf>
    <xf numFmtId="3" fontId="9" fillId="43" borderId="9" xfId="0" applyNumberFormat="1" applyFont="1" applyFill="1" applyBorder="1" applyAlignment="1">
      <alignment horizontal="center"/>
    </xf>
    <xf numFmtId="165" fontId="0" fillId="12" borderId="0" xfId="0" applyFill="1"/>
    <xf numFmtId="165" fontId="29" fillId="0" borderId="0" xfId="8"/>
    <xf numFmtId="164" fontId="11" fillId="0" borderId="8" xfId="0" applyNumberFormat="1" applyFont="1" applyBorder="1" applyAlignment="1">
      <alignment horizontal="center" vertical="center"/>
    </xf>
    <xf numFmtId="164" fontId="11" fillId="0" borderId="20" xfId="0" applyNumberFormat="1" applyFont="1" applyBorder="1" applyAlignment="1">
      <alignment horizontal="center" vertical="center"/>
    </xf>
    <xf numFmtId="2" fontId="8" fillId="0" borderId="30" xfId="0" applyNumberFormat="1" applyFont="1" applyFill="1" applyBorder="1" applyAlignment="1">
      <alignment horizontal="center" vertical="center" wrapText="1"/>
    </xf>
    <xf numFmtId="164" fontId="0" fillId="9" borderId="30" xfId="0" applyNumberFormat="1" applyFill="1" applyBorder="1" applyAlignment="1">
      <alignment horizontal="center" vertical="center"/>
    </xf>
    <xf numFmtId="165" fontId="0" fillId="12" borderId="0" xfId="0" applyFill="1"/>
    <xf numFmtId="165" fontId="71" fillId="4" borderId="29" xfId="2" applyFont="1" applyFill="1" applyBorder="1" applyAlignment="1">
      <alignment horizontal="center" vertical="center"/>
    </xf>
    <xf numFmtId="165" fontId="71" fillId="4" borderId="20" xfId="2" applyFont="1" applyFill="1" applyBorder="1" applyAlignment="1">
      <alignment horizontal="center" vertical="center"/>
    </xf>
    <xf numFmtId="165" fontId="12" fillId="6" borderId="0" xfId="1" applyFont="1" applyFill="1" applyAlignment="1"/>
    <xf numFmtId="165" fontId="0" fillId="12" borderId="0" xfId="0" applyFill="1"/>
    <xf numFmtId="165" fontId="48" fillId="12" borderId="8" xfId="0" applyFont="1" applyFill="1" applyBorder="1" applyAlignment="1" applyProtection="1">
      <alignment horizontal="center" vertical="center"/>
      <protection hidden="1"/>
    </xf>
    <xf numFmtId="1" fontId="48" fillId="12" borderId="53" xfId="0" applyNumberFormat="1" applyFont="1" applyFill="1" applyBorder="1" applyAlignment="1" applyProtection="1">
      <alignment horizontal="center" vertical="center"/>
      <protection hidden="1"/>
    </xf>
    <xf numFmtId="1" fontId="48" fillId="12" borderId="18" xfId="0" applyNumberFormat="1" applyFont="1" applyFill="1" applyBorder="1" applyAlignment="1" applyProtection="1">
      <alignment horizontal="center" vertical="center"/>
      <protection hidden="1"/>
    </xf>
    <xf numFmtId="3" fontId="9" fillId="2" borderId="10" xfId="0" applyNumberFormat="1" applyFont="1" applyFill="1" applyBorder="1" applyAlignment="1">
      <alignment horizontal="center" vertical="center"/>
    </xf>
    <xf numFmtId="165" fontId="78" fillId="0" borderId="39" xfId="0" applyFont="1" applyBorder="1" applyAlignment="1">
      <alignment horizontal="left" vertical="center" wrapText="1"/>
    </xf>
    <xf numFmtId="167" fontId="11" fillId="21" borderId="39" xfId="0" applyNumberFormat="1" applyFont="1" applyFill="1" applyBorder="1" applyAlignment="1" applyProtection="1">
      <alignment horizontal="center" vertical="center"/>
      <protection hidden="1"/>
    </xf>
    <xf numFmtId="165" fontId="0" fillId="12" borderId="0" xfId="0" applyFill="1"/>
    <xf numFmtId="165" fontId="0" fillId="12" borderId="0" xfId="0" applyFill="1"/>
    <xf numFmtId="165" fontId="79" fillId="0" borderId="30" xfId="0" applyFont="1" applyBorder="1" applyAlignment="1">
      <alignment horizontal="center" vertical="center"/>
    </xf>
    <xf numFmtId="165" fontId="12" fillId="0" borderId="0" xfId="1" applyFont="1" applyFill="1" applyAlignment="1" applyProtection="1"/>
    <xf numFmtId="165" fontId="0" fillId="12" borderId="0" xfId="0" applyFill="1"/>
    <xf numFmtId="165" fontId="0" fillId="0" borderId="26" xfId="0" applyBorder="1" applyAlignment="1">
      <alignment horizontal="center"/>
    </xf>
    <xf numFmtId="165" fontId="8" fillId="0" borderId="26" xfId="0" applyFont="1" applyBorder="1" applyAlignment="1">
      <alignment horizontal="center" vertical="center"/>
    </xf>
    <xf numFmtId="165" fontId="9" fillId="0" borderId="26" xfId="0" applyFont="1" applyBorder="1" applyAlignment="1">
      <alignment horizontal="left" vertical="center" wrapText="1"/>
    </xf>
    <xf numFmtId="167" fontId="46" fillId="10" borderId="26" xfId="0" applyNumberFormat="1" applyFont="1" applyFill="1" applyBorder="1" applyAlignment="1">
      <alignment horizontal="center" vertical="center"/>
    </xf>
    <xf numFmtId="165" fontId="80" fillId="0" borderId="20" xfId="0" applyFont="1" applyBorder="1" applyAlignment="1">
      <alignment horizontal="center" vertical="center"/>
    </xf>
    <xf numFmtId="165" fontId="9" fillId="0" borderId="26" xfId="0" applyFont="1" applyBorder="1" applyAlignment="1">
      <alignment horizontal="left" vertical="center"/>
    </xf>
    <xf numFmtId="165" fontId="0" fillId="0" borderId="26" xfId="0" applyBorder="1"/>
    <xf numFmtId="164" fontId="46" fillId="10" borderId="26" xfId="0" applyNumberFormat="1" applyFont="1" applyFill="1" applyBorder="1" applyAlignment="1">
      <alignment horizontal="center" vertical="center"/>
    </xf>
    <xf numFmtId="165" fontId="9" fillId="0" borderId="20" xfId="0" applyFont="1" applyBorder="1" applyAlignment="1">
      <alignment horizontal="left" vertical="center" wrapText="1"/>
    </xf>
    <xf numFmtId="165" fontId="8" fillId="0" borderId="20" xfId="0" applyFont="1" applyBorder="1" applyAlignment="1">
      <alignment horizontal="left" vertical="center" wrapText="1"/>
    </xf>
    <xf numFmtId="165" fontId="0" fillId="0" borderId="9" xfId="0" applyBorder="1"/>
    <xf numFmtId="167" fontId="46" fillId="10" borderId="20" xfId="0" applyNumberFormat="1" applyFont="1" applyFill="1" applyBorder="1" applyAlignment="1">
      <alignment horizontal="center" vertical="center"/>
    </xf>
    <xf numFmtId="1" fontId="48" fillId="12" borderId="18" xfId="0" applyNumberFormat="1" applyFont="1" applyFill="1" applyBorder="1" applyAlignment="1" applyProtection="1">
      <alignment horizontal="center" vertical="center"/>
      <protection hidden="1"/>
    </xf>
    <xf numFmtId="1" fontId="48" fillId="21" borderId="59" xfId="0" applyNumberFormat="1" applyFont="1" applyFill="1" applyBorder="1" applyAlignment="1" applyProtection="1">
      <alignment horizontal="right"/>
      <protection hidden="1"/>
    </xf>
    <xf numFmtId="1" fontId="48" fillId="22" borderId="1" xfId="0" applyNumberFormat="1" applyFont="1" applyFill="1" applyBorder="1" applyAlignment="1" applyProtection="1">
      <alignment horizontal="right"/>
      <protection hidden="1"/>
    </xf>
    <xf numFmtId="2" fontId="48" fillId="21" borderId="1" xfId="0" applyNumberFormat="1" applyFont="1" applyFill="1" applyBorder="1" applyAlignment="1" applyProtection="1">
      <alignment horizontal="right"/>
      <protection hidden="1"/>
    </xf>
    <xf numFmtId="2" fontId="48" fillId="22" borderId="1" xfId="0" applyNumberFormat="1" applyFont="1" applyFill="1" applyBorder="1" applyAlignment="1" applyProtection="1">
      <alignment horizontal="right"/>
      <protection hidden="1"/>
    </xf>
    <xf numFmtId="1" fontId="60" fillId="21" borderId="43" xfId="0" applyNumberFormat="1" applyFont="1" applyFill="1" applyBorder="1" applyProtection="1">
      <protection hidden="1"/>
    </xf>
    <xf numFmtId="1" fontId="60" fillId="21" borderId="0" xfId="0" applyNumberFormat="1" applyFont="1" applyFill="1" applyBorder="1" applyProtection="1">
      <protection hidden="1"/>
    </xf>
    <xf numFmtId="165" fontId="62" fillId="12" borderId="0" xfId="0" applyFont="1" applyFill="1" applyBorder="1" applyAlignment="1" applyProtection="1">
      <alignment horizontal="center" vertical="center" textRotation="90"/>
      <protection hidden="1"/>
    </xf>
    <xf numFmtId="1" fontId="48" fillId="21" borderId="40" xfId="0" applyNumberFormat="1" applyFont="1" applyFill="1" applyBorder="1" applyAlignment="1" applyProtection="1">
      <alignment horizontal="right"/>
      <protection hidden="1"/>
    </xf>
    <xf numFmtId="1" fontId="48" fillId="22" borderId="16" xfId="0" applyNumberFormat="1" applyFont="1" applyFill="1" applyBorder="1" applyAlignment="1" applyProtection="1">
      <alignment horizontal="right"/>
      <protection hidden="1"/>
    </xf>
    <xf numFmtId="1" fontId="48" fillId="10" borderId="1" xfId="0" applyNumberFormat="1" applyFont="1" applyFill="1" applyBorder="1" applyAlignment="1" applyProtection="1">
      <alignment horizontal="right"/>
      <protection hidden="1"/>
    </xf>
    <xf numFmtId="1" fontId="48" fillId="10" borderId="16" xfId="0" applyNumberFormat="1" applyFont="1" applyFill="1" applyBorder="1" applyAlignment="1" applyProtection="1">
      <alignment horizontal="right"/>
      <protection hidden="1"/>
    </xf>
    <xf numFmtId="1" fontId="48" fillId="5" borderId="1" xfId="0" applyNumberFormat="1" applyFont="1" applyFill="1" applyBorder="1" applyAlignment="1" applyProtection="1">
      <alignment horizontal="right"/>
      <protection hidden="1"/>
    </xf>
    <xf numFmtId="1" fontId="48" fillId="5" borderId="16" xfId="0" applyNumberFormat="1" applyFont="1" applyFill="1" applyBorder="1" applyAlignment="1" applyProtection="1">
      <alignment horizontal="right"/>
      <protection hidden="1"/>
    </xf>
    <xf numFmtId="1" fontId="48" fillId="32" borderId="1" xfId="0" applyNumberFormat="1" applyFont="1" applyFill="1" applyBorder="1" applyAlignment="1" applyProtection="1">
      <alignment horizontal="right"/>
      <protection hidden="1"/>
    </xf>
    <xf numFmtId="1" fontId="48" fillId="32" borderId="16" xfId="0" applyNumberFormat="1" applyFont="1" applyFill="1" applyBorder="1" applyAlignment="1" applyProtection="1">
      <alignment horizontal="right"/>
      <protection hidden="1"/>
    </xf>
    <xf numFmtId="1" fontId="48" fillId="4" borderId="1" xfId="0" applyNumberFormat="1" applyFont="1" applyFill="1" applyBorder="1" applyAlignment="1" applyProtection="1">
      <alignment horizontal="right"/>
      <protection hidden="1"/>
    </xf>
    <xf numFmtId="1" fontId="48" fillId="4" borderId="16" xfId="0" applyNumberFormat="1" applyFont="1" applyFill="1" applyBorder="1" applyAlignment="1" applyProtection="1">
      <alignment horizontal="right"/>
      <protection hidden="1"/>
    </xf>
    <xf numFmtId="1" fontId="48" fillId="33" borderId="18" xfId="0" applyNumberFormat="1" applyFont="1" applyFill="1" applyBorder="1" applyAlignment="1" applyProtection="1">
      <alignment horizontal="right"/>
      <protection hidden="1"/>
    </xf>
    <xf numFmtId="1" fontId="48" fillId="33" borderId="19" xfId="0" applyNumberFormat="1" applyFont="1" applyFill="1" applyBorder="1" applyAlignment="1" applyProtection="1">
      <alignment horizontal="right"/>
      <protection hidden="1"/>
    </xf>
    <xf numFmtId="165" fontId="60" fillId="22" borderId="37" xfId="0" applyFont="1" applyFill="1" applyBorder="1" applyAlignment="1" applyProtection="1">
      <alignment horizontal="center" vertical="center"/>
      <protection hidden="1"/>
    </xf>
    <xf numFmtId="165" fontId="60" fillId="22" borderId="30" xfId="0" applyFont="1" applyFill="1" applyBorder="1" applyAlignment="1" applyProtection="1">
      <alignment horizontal="center" vertical="center"/>
      <protection hidden="1"/>
    </xf>
    <xf numFmtId="165" fontId="60" fillId="22" borderId="39" xfId="0" applyFont="1" applyFill="1" applyBorder="1" applyAlignment="1" applyProtection="1">
      <alignment horizontal="center" vertical="center"/>
      <protection hidden="1"/>
    </xf>
    <xf numFmtId="165" fontId="9" fillId="24" borderId="9" xfId="0" applyFont="1" applyFill="1" applyBorder="1" applyAlignment="1">
      <alignment horizontal="left"/>
    </xf>
    <xf numFmtId="165" fontId="17" fillId="0" borderId="30" xfId="5" applyFont="1" applyBorder="1" applyAlignment="1">
      <alignment horizontal="left" vertical="center" wrapText="1"/>
    </xf>
    <xf numFmtId="165" fontId="0" fillId="12" borderId="0" xfId="0" applyFill="1"/>
    <xf numFmtId="165" fontId="0" fillId="0" borderId="43" xfId="0" applyBorder="1"/>
    <xf numFmtId="2" fontId="8" fillId="0" borderId="29" xfId="5" applyNumberFormat="1" applyFont="1" applyBorder="1"/>
    <xf numFmtId="1" fontId="60" fillId="15" borderId="55" xfId="0" applyNumberFormat="1" applyFont="1" applyFill="1" applyBorder="1" applyAlignment="1" applyProtection="1">
      <alignment horizontal="center" vertical="center"/>
      <protection hidden="1"/>
    </xf>
    <xf numFmtId="165" fontId="60" fillId="15" borderId="54" xfId="0" applyFont="1" applyFill="1" applyBorder="1" applyAlignment="1" applyProtection="1">
      <alignment horizontal="center" vertical="center"/>
      <protection hidden="1"/>
    </xf>
    <xf numFmtId="1" fontId="60" fillId="15" borderId="37" xfId="0" applyNumberFormat="1" applyFont="1" applyFill="1" applyBorder="1" applyProtection="1">
      <protection hidden="1"/>
    </xf>
    <xf numFmtId="165" fontId="0" fillId="12" borderId="0" xfId="0" applyFill="1"/>
    <xf numFmtId="165" fontId="24" fillId="12" borderId="0" xfId="0" applyFont="1" applyFill="1"/>
    <xf numFmtId="1" fontId="48" fillId="21" borderId="0" xfId="0" applyNumberFormat="1" applyFont="1" applyFill="1" applyBorder="1" applyAlignment="1" applyProtection="1">
      <alignment horizontal="right"/>
      <protection locked="0"/>
    </xf>
    <xf numFmtId="0" fontId="9" fillId="38" borderId="20" xfId="0" applyNumberFormat="1" applyFont="1" applyFill="1" applyBorder="1" applyAlignment="1">
      <alignment horizontal="center" vertical="center"/>
    </xf>
    <xf numFmtId="165" fontId="9" fillId="38" borderId="41" xfId="0" applyFont="1" applyFill="1" applyBorder="1"/>
    <xf numFmtId="164" fontId="9" fillId="9" borderId="30" xfId="0" applyNumberFormat="1" applyFont="1" applyFill="1" applyBorder="1" applyAlignment="1">
      <alignment horizontal="center" vertical="center"/>
    </xf>
    <xf numFmtId="165" fontId="12" fillId="6" borderId="0" xfId="1" applyFont="1" applyFill="1" applyAlignment="1"/>
    <xf numFmtId="165" fontId="0" fillId="12" borderId="0" xfId="0" applyFill="1"/>
    <xf numFmtId="3" fontId="9" fillId="44" borderId="10" xfId="0" applyNumberFormat="1" applyFont="1" applyFill="1" applyBorder="1" applyAlignment="1">
      <alignment horizontal="center" vertical="center"/>
    </xf>
    <xf numFmtId="1" fontId="9" fillId="44" borderId="20" xfId="0" applyNumberFormat="1" applyFont="1" applyFill="1" applyBorder="1" applyAlignment="1">
      <alignment horizontal="center" vertical="center"/>
    </xf>
    <xf numFmtId="2" fontId="9" fillId="44" borderId="20" xfId="4" applyNumberFormat="1" applyFont="1" applyFill="1" applyBorder="1" applyAlignment="1">
      <alignment horizontal="center" vertical="center" wrapText="1" shrinkToFit="1"/>
    </xf>
    <xf numFmtId="165" fontId="9" fillId="44" borderId="5" xfId="0" applyFont="1" applyFill="1" applyBorder="1" applyAlignment="1">
      <alignment horizontal="center"/>
    </xf>
    <xf numFmtId="3" fontId="9" fillId="44" borderId="6" xfId="0" applyNumberFormat="1" applyFont="1" applyFill="1" applyBorder="1" applyAlignment="1">
      <alignment horizontal="center"/>
    </xf>
    <xf numFmtId="1" fontId="9" fillId="44" borderId="6" xfId="0" applyNumberFormat="1" applyFont="1" applyFill="1" applyBorder="1" applyAlignment="1">
      <alignment horizontal="left"/>
    </xf>
    <xf numFmtId="165" fontId="9" fillId="44" borderId="6" xfId="0" applyFont="1" applyFill="1" applyBorder="1" applyAlignment="1">
      <alignment horizontal="left"/>
    </xf>
    <xf numFmtId="3" fontId="9" fillId="44" borderId="9" xfId="0" applyNumberFormat="1" applyFont="1" applyFill="1" applyBorder="1" applyAlignment="1">
      <alignment horizontal="center"/>
    </xf>
    <xf numFmtId="165" fontId="9" fillId="44" borderId="27" xfId="0" applyFont="1" applyFill="1" applyBorder="1" applyAlignment="1">
      <alignment horizontal="center"/>
    </xf>
    <xf numFmtId="3" fontId="9" fillId="44" borderId="3" xfId="0" applyNumberFormat="1" applyFont="1" applyFill="1" applyBorder="1" applyAlignment="1">
      <alignment horizontal="center"/>
    </xf>
    <xf numFmtId="1" fontId="9" fillId="44" borderId="0" xfId="0" applyNumberFormat="1" applyFont="1" applyFill="1" applyAlignment="1">
      <alignment horizontal="left"/>
    </xf>
    <xf numFmtId="3" fontId="9" fillId="44" borderId="0" xfId="0" applyNumberFormat="1" applyFont="1" applyFill="1" applyAlignment="1">
      <alignment horizontal="center"/>
    </xf>
    <xf numFmtId="165" fontId="9" fillId="44" borderId="0" xfId="0" applyFont="1" applyFill="1" applyAlignment="1">
      <alignment horizontal="left"/>
    </xf>
    <xf numFmtId="164" fontId="8" fillId="0" borderId="52" xfId="4" applyNumberFormat="1" applyFont="1" applyBorder="1"/>
    <xf numFmtId="164" fontId="8" fillId="0" borderId="21" xfId="4" applyNumberFormat="1" applyFont="1" applyBorder="1"/>
    <xf numFmtId="0" fontId="9" fillId="44" borderId="20" xfId="0" applyNumberFormat="1" applyFont="1" applyFill="1" applyBorder="1" applyAlignment="1">
      <alignment horizontal="center" vertical="center"/>
    </xf>
    <xf numFmtId="2" fontId="9" fillId="44" borderId="11" xfId="4" applyNumberFormat="1" applyFont="1" applyFill="1" applyBorder="1" applyAlignment="1">
      <alignment horizontal="center" vertical="center" wrapText="1" shrinkToFit="1"/>
    </xf>
    <xf numFmtId="1" fontId="9" fillId="44" borderId="9" xfId="0" applyNumberFormat="1" applyFont="1" applyFill="1" applyBorder="1" applyAlignment="1">
      <alignment horizontal="left"/>
    </xf>
    <xf numFmtId="171" fontId="8" fillId="0" borderId="37" xfId="4" applyNumberFormat="1" applyFont="1" applyBorder="1"/>
    <xf numFmtId="164" fontId="8" fillId="0" borderId="46" xfId="7" applyNumberFormat="1" applyFont="1" applyBorder="1"/>
    <xf numFmtId="171" fontId="8" fillId="0" borderId="30" xfId="4" applyNumberFormat="1" applyFont="1" applyBorder="1"/>
    <xf numFmtId="164" fontId="8" fillId="0" borderId="42" xfId="7" applyNumberFormat="1" applyFont="1" applyBorder="1"/>
    <xf numFmtId="171" fontId="8" fillId="0" borderId="43" xfId="4" applyNumberFormat="1" applyFont="1" applyBorder="1"/>
    <xf numFmtId="164" fontId="8" fillId="0" borderId="48" xfId="7" applyNumberFormat="1" applyFont="1" applyBorder="1"/>
    <xf numFmtId="165" fontId="9" fillId="44" borderId="8" xfId="0" applyFont="1" applyFill="1" applyBorder="1" applyAlignment="1">
      <alignment horizontal="center"/>
    </xf>
    <xf numFmtId="165" fontId="9" fillId="44" borderId="9" xfId="0" applyFont="1" applyFill="1" applyBorder="1" applyAlignment="1">
      <alignment horizontal="left"/>
    </xf>
    <xf numFmtId="2" fontId="29" fillId="0" borderId="37" xfId="5" applyNumberFormat="1" applyBorder="1"/>
    <xf numFmtId="1" fontId="8" fillId="0" borderId="29" xfId="0" applyNumberFormat="1" applyFont="1" applyBorder="1" applyAlignment="1">
      <alignment horizontal="center" vertical="center"/>
    </xf>
    <xf numFmtId="164" fontId="8" fillId="0" borderId="31" xfId="0" applyNumberFormat="1" applyFont="1" applyBorder="1"/>
    <xf numFmtId="164" fontId="8" fillId="0" borderId="75" xfId="4" applyNumberFormat="1" applyFont="1" applyBorder="1"/>
    <xf numFmtId="165" fontId="3" fillId="44" borderId="0" xfId="0" applyFont="1" applyFill="1"/>
    <xf numFmtId="165" fontId="5" fillId="44" borderId="0" xfId="1" applyFont="1" applyFill="1"/>
    <xf numFmtId="165" fontId="3" fillId="44" borderId="0" xfId="0" applyFont="1" applyFill="1" applyAlignment="1">
      <alignment horizontal="right"/>
    </xf>
    <xf numFmtId="165" fontId="19" fillId="44" borderId="0" xfId="1" applyFont="1" applyFill="1"/>
    <xf numFmtId="1" fontId="48" fillId="12" borderId="9" xfId="0" applyNumberFormat="1" applyFont="1" applyFill="1" applyBorder="1" applyAlignment="1" applyProtection="1">
      <alignment horizontal="center" vertical="center"/>
      <protection hidden="1"/>
    </xf>
    <xf numFmtId="1" fontId="48" fillId="21" borderId="12" xfId="0" applyNumberFormat="1" applyFont="1" applyFill="1" applyBorder="1" applyProtection="1">
      <protection hidden="1"/>
    </xf>
    <xf numFmtId="1" fontId="48" fillId="21" borderId="46" xfId="0" applyNumberFormat="1" applyFont="1" applyFill="1" applyBorder="1" applyProtection="1">
      <protection hidden="1"/>
    </xf>
    <xf numFmtId="1" fontId="48" fillId="21" borderId="15" xfId="0" applyNumberFormat="1" applyFont="1" applyFill="1" applyBorder="1" applyProtection="1">
      <protection hidden="1"/>
    </xf>
    <xf numFmtId="1" fontId="48" fillId="21" borderId="42" xfId="0" applyNumberFormat="1" applyFont="1" applyFill="1" applyBorder="1" applyProtection="1">
      <protection hidden="1"/>
    </xf>
    <xf numFmtId="1" fontId="48" fillId="21" borderId="17" xfId="0" applyNumberFormat="1" applyFont="1" applyFill="1" applyBorder="1" applyProtection="1">
      <protection hidden="1"/>
    </xf>
    <xf numFmtId="1" fontId="48" fillId="21" borderId="47" xfId="0" applyNumberFormat="1" applyFont="1" applyFill="1" applyBorder="1" applyProtection="1">
      <protection hidden="1"/>
    </xf>
    <xf numFmtId="165" fontId="48" fillId="34" borderId="37" xfId="0" applyFont="1" applyFill="1" applyBorder="1" applyAlignment="1">
      <alignment horizontal="center" vertical="center"/>
    </xf>
    <xf numFmtId="1" fontId="48" fillId="34" borderId="37" xfId="0" applyNumberFormat="1" applyFont="1" applyFill="1" applyBorder="1" applyAlignment="1">
      <alignment horizontal="center" vertical="center"/>
    </xf>
    <xf numFmtId="1" fontId="48" fillId="34" borderId="12" xfId="0" applyNumberFormat="1" applyFont="1" applyFill="1" applyBorder="1" applyProtection="1">
      <protection hidden="1"/>
    </xf>
    <xf numFmtId="1" fontId="48" fillId="34" borderId="46" xfId="0" applyNumberFormat="1" applyFont="1" applyFill="1" applyBorder="1" applyProtection="1">
      <protection hidden="1"/>
    </xf>
    <xf numFmtId="1" fontId="48" fillId="34" borderId="37" xfId="0" applyNumberFormat="1" applyFont="1" applyFill="1" applyBorder="1" applyProtection="1">
      <protection hidden="1"/>
    </xf>
    <xf numFmtId="165" fontId="48" fillId="34" borderId="30" xfId="0" applyFont="1" applyFill="1" applyBorder="1" applyAlignment="1">
      <alignment horizontal="center" vertical="center"/>
    </xf>
    <xf numFmtId="1" fontId="48" fillId="34" borderId="30" xfId="0" applyNumberFormat="1" applyFont="1" applyFill="1" applyBorder="1" applyAlignment="1">
      <alignment horizontal="center" vertical="center"/>
    </xf>
    <xf numFmtId="1" fontId="48" fillId="34" borderId="15" xfId="0" applyNumberFormat="1" applyFont="1" applyFill="1" applyBorder="1" applyProtection="1">
      <protection hidden="1"/>
    </xf>
    <xf numFmtId="1" fontId="48" fillId="34" borderId="42" xfId="0" applyNumberFormat="1" applyFont="1" applyFill="1" applyBorder="1" applyProtection="1">
      <protection hidden="1"/>
    </xf>
    <xf numFmtId="1" fontId="48" fillId="34" borderId="30" xfId="0" applyNumberFormat="1" applyFont="1" applyFill="1" applyBorder="1" applyProtection="1">
      <protection hidden="1"/>
    </xf>
    <xf numFmtId="165" fontId="48" fillId="34" borderId="39" xfId="0" applyFont="1" applyFill="1" applyBorder="1" applyAlignment="1">
      <alignment horizontal="center" vertical="center"/>
    </xf>
    <xf numFmtId="1" fontId="48" fillId="34" borderId="39" xfId="0" applyNumberFormat="1" applyFont="1" applyFill="1" applyBorder="1" applyAlignment="1">
      <alignment horizontal="center" vertical="center"/>
    </xf>
    <xf numFmtId="1" fontId="48" fillId="34" borderId="17" xfId="0" applyNumberFormat="1" applyFont="1" applyFill="1" applyBorder="1" applyProtection="1">
      <protection hidden="1"/>
    </xf>
    <xf numFmtId="1" fontId="48" fillId="34" borderId="47" xfId="0" applyNumberFormat="1" applyFont="1" applyFill="1" applyBorder="1" applyProtection="1">
      <protection hidden="1"/>
    </xf>
    <xf numFmtId="1" fontId="48" fillId="34" borderId="39" xfId="0" applyNumberFormat="1" applyFont="1" applyFill="1" applyBorder="1" applyProtection="1">
      <protection hidden="1"/>
    </xf>
    <xf numFmtId="165" fontId="48" fillId="35" borderId="37" xfId="0" applyFont="1" applyFill="1" applyBorder="1" applyAlignment="1">
      <alignment horizontal="center" vertical="center"/>
    </xf>
    <xf numFmtId="1" fontId="48" fillId="35" borderId="37" xfId="0" applyNumberFormat="1" applyFont="1" applyFill="1" applyBorder="1" applyAlignment="1">
      <alignment horizontal="center" vertical="center"/>
    </xf>
    <xf numFmtId="1" fontId="48" fillId="35" borderId="37" xfId="0" applyNumberFormat="1" applyFont="1" applyFill="1" applyBorder="1" applyProtection="1">
      <protection hidden="1"/>
    </xf>
    <xf numFmtId="1" fontId="48" fillId="35" borderId="46" xfId="0" applyNumberFormat="1" applyFont="1" applyFill="1" applyBorder="1" applyProtection="1">
      <protection hidden="1"/>
    </xf>
    <xf numFmtId="165" fontId="48" fillId="35" borderId="30" xfId="0" applyFont="1" applyFill="1" applyBorder="1" applyAlignment="1">
      <alignment horizontal="center" vertical="center"/>
    </xf>
    <xf numFmtId="1" fontId="48" fillId="35" borderId="30" xfId="0" applyNumberFormat="1" applyFont="1" applyFill="1" applyBorder="1" applyAlignment="1">
      <alignment horizontal="center" vertical="center"/>
    </xf>
    <xf numFmtId="1" fontId="48" fillId="35" borderId="30" xfId="0" applyNumberFormat="1" applyFont="1" applyFill="1" applyBorder="1" applyProtection="1">
      <protection hidden="1"/>
    </xf>
    <xf numFmtId="1" fontId="48" fillId="35" borderId="42" xfId="0" applyNumberFormat="1" applyFont="1" applyFill="1" applyBorder="1" applyProtection="1">
      <protection hidden="1"/>
    </xf>
    <xf numFmtId="165" fontId="48" fillId="35" borderId="39" xfId="0" applyFont="1" applyFill="1" applyBorder="1" applyAlignment="1">
      <alignment horizontal="center" vertical="center"/>
    </xf>
    <xf numFmtId="1" fontId="48" fillId="35" borderId="39" xfId="0" applyNumberFormat="1" applyFont="1" applyFill="1" applyBorder="1" applyAlignment="1">
      <alignment horizontal="center" vertical="center"/>
    </xf>
    <xf numFmtId="1" fontId="48" fillId="35" borderId="39" xfId="0" applyNumberFormat="1" applyFont="1" applyFill="1" applyBorder="1" applyProtection="1">
      <protection hidden="1"/>
    </xf>
    <xf numFmtId="1" fontId="48" fillId="35" borderId="47" xfId="0" applyNumberFormat="1" applyFont="1" applyFill="1" applyBorder="1" applyProtection="1">
      <protection hidden="1"/>
    </xf>
    <xf numFmtId="165" fontId="48" fillId="36" borderId="37" xfId="0" applyFont="1" applyFill="1" applyBorder="1" applyAlignment="1">
      <alignment horizontal="center" vertical="center"/>
    </xf>
    <xf numFmtId="1" fontId="48" fillId="36" borderId="37" xfId="0" applyNumberFormat="1" applyFont="1" applyFill="1" applyBorder="1" applyAlignment="1">
      <alignment horizontal="center" vertical="center"/>
    </xf>
    <xf numFmtId="1" fontId="48" fillId="36" borderId="37" xfId="0" applyNumberFormat="1" applyFont="1" applyFill="1" applyBorder="1" applyProtection="1">
      <protection hidden="1"/>
    </xf>
    <xf numFmtId="1" fontId="48" fillId="36" borderId="46" xfId="0" applyNumberFormat="1" applyFont="1" applyFill="1" applyBorder="1" applyProtection="1">
      <protection hidden="1"/>
    </xf>
    <xf numFmtId="165" fontId="48" fillId="36" borderId="30" xfId="0" applyFont="1" applyFill="1" applyBorder="1" applyAlignment="1">
      <alignment horizontal="center" vertical="center"/>
    </xf>
    <xf numFmtId="1" fontId="48" fillId="36" borderId="30" xfId="0" applyNumberFormat="1" applyFont="1" applyFill="1" applyBorder="1" applyAlignment="1">
      <alignment horizontal="center" vertical="center"/>
    </xf>
    <xf numFmtId="1" fontId="48" fillId="36" borderId="30" xfId="0" applyNumberFormat="1" applyFont="1" applyFill="1" applyBorder="1" applyProtection="1">
      <protection hidden="1"/>
    </xf>
    <xf numFmtId="1" fontId="48" fillId="36" borderId="42" xfId="0" applyNumberFormat="1" applyFont="1" applyFill="1" applyBorder="1" applyProtection="1">
      <protection hidden="1"/>
    </xf>
    <xf numFmtId="165" fontId="58" fillId="12" borderId="0" xfId="0" applyFont="1" applyFill="1" applyAlignment="1">
      <alignment horizontal="center" vertical="center" textRotation="90"/>
    </xf>
    <xf numFmtId="165" fontId="48" fillId="36" borderId="39" xfId="0" applyFont="1" applyFill="1" applyBorder="1" applyAlignment="1">
      <alignment horizontal="center" vertical="center"/>
    </xf>
    <xf numFmtId="1" fontId="48" fillId="36" borderId="39" xfId="0" applyNumberFormat="1" applyFont="1" applyFill="1" applyBorder="1" applyAlignment="1">
      <alignment horizontal="center" vertical="center"/>
    </xf>
    <xf numFmtId="1" fontId="48" fillId="36" borderId="39" xfId="0" applyNumberFormat="1" applyFont="1" applyFill="1" applyBorder="1" applyProtection="1">
      <protection hidden="1"/>
    </xf>
    <xf numFmtId="165" fontId="0" fillId="0" borderId="43" xfId="0" applyBorder="1" applyAlignment="1">
      <alignment horizontal="center" vertical="center"/>
    </xf>
    <xf numFmtId="2" fontId="8" fillId="0" borderId="43" xfId="0" applyNumberFormat="1" applyFont="1" applyFill="1" applyBorder="1" applyAlignment="1">
      <alignment horizontal="center" vertical="center"/>
    </xf>
    <xf numFmtId="1" fontId="25" fillId="0" borderId="43" xfId="0" applyNumberFormat="1" applyFont="1" applyBorder="1" applyAlignment="1">
      <alignment horizontal="center" vertical="center"/>
    </xf>
    <xf numFmtId="1" fontId="8" fillId="0" borderId="43" xfId="0" applyNumberFormat="1" applyFont="1" applyBorder="1" applyAlignment="1">
      <alignment horizontal="center" vertical="center" wrapText="1"/>
    </xf>
    <xf numFmtId="165" fontId="0" fillId="0" borderId="43" xfId="0" applyBorder="1" applyAlignment="1">
      <alignment horizontal="center" vertical="center" wrapText="1"/>
    </xf>
    <xf numFmtId="164" fontId="9" fillId="9" borderId="43" xfId="0" applyNumberFormat="1" applyFont="1" applyFill="1" applyBorder="1" applyAlignment="1">
      <alignment horizontal="center" vertical="center"/>
    </xf>
    <xf numFmtId="2" fontId="8" fillId="0" borderId="20" xfId="0" applyNumberFormat="1" applyFont="1" applyFill="1" applyBorder="1" applyAlignment="1">
      <alignment horizontal="center" vertical="center"/>
    </xf>
    <xf numFmtId="1" fontId="25" fillId="0" borderId="20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 wrapText="1"/>
    </xf>
    <xf numFmtId="165" fontId="0" fillId="0" borderId="20" xfId="0" applyBorder="1" applyAlignment="1">
      <alignment horizontal="center" vertical="center" wrapText="1"/>
    </xf>
    <xf numFmtId="165" fontId="0" fillId="0" borderId="20" xfId="0" applyBorder="1" applyAlignment="1">
      <alignment horizontal="center" vertical="center"/>
    </xf>
    <xf numFmtId="164" fontId="9" fillId="9" borderId="20" xfId="0" applyNumberFormat="1" applyFont="1" applyFill="1" applyBorder="1" applyAlignment="1">
      <alignment horizontal="center" vertical="center"/>
    </xf>
    <xf numFmtId="165" fontId="0" fillId="12" borderId="0" xfId="0" applyFill="1"/>
    <xf numFmtId="165" fontId="48" fillId="12" borderId="0" xfId="0" applyFont="1" applyFill="1" applyAlignment="1" applyProtection="1">
      <alignment horizontal="right"/>
      <protection hidden="1"/>
    </xf>
    <xf numFmtId="1" fontId="48" fillId="12" borderId="0" xfId="0" applyNumberFormat="1" applyFont="1" applyFill="1" applyAlignment="1" applyProtection="1">
      <alignment horizontal="right"/>
      <protection locked="0"/>
    </xf>
    <xf numFmtId="1" fontId="48" fillId="12" borderId="0" xfId="0" applyNumberFormat="1" applyFont="1" applyFill="1" applyProtection="1">
      <protection hidden="1"/>
    </xf>
    <xf numFmtId="1" fontId="48" fillId="12" borderId="0" xfId="0" applyNumberFormat="1" applyFont="1" applyFill="1" applyAlignment="1" applyProtection="1">
      <alignment horizontal="right"/>
      <protection hidden="1"/>
    </xf>
    <xf numFmtId="165" fontId="48" fillId="12" borderId="8" xfId="0" applyFont="1" applyFill="1" applyBorder="1" applyAlignment="1" applyProtection="1">
      <alignment horizontal="right" wrapText="1"/>
      <protection hidden="1"/>
    </xf>
    <xf numFmtId="165" fontId="48" fillId="12" borderId="0" xfId="0" applyFont="1" applyFill="1" applyAlignment="1" applyProtection="1">
      <alignment horizontal="center" vertical="center"/>
      <protection hidden="1"/>
    </xf>
    <xf numFmtId="2" fontId="48" fillId="12" borderId="20" xfId="0" applyNumberFormat="1" applyFont="1" applyFill="1" applyBorder="1" applyProtection="1">
      <protection hidden="1"/>
    </xf>
    <xf numFmtId="2" fontId="0" fillId="27" borderId="51" xfId="0" applyNumberFormat="1" applyFill="1" applyBorder="1" applyAlignment="1">
      <alignment horizontal="right" vertical="center"/>
    </xf>
    <xf numFmtId="2" fontId="48" fillId="22" borderId="72" xfId="0" applyNumberFormat="1" applyFont="1" applyFill="1" applyBorder="1" applyProtection="1">
      <protection hidden="1"/>
    </xf>
    <xf numFmtId="2" fontId="48" fillId="22" borderId="18" xfId="0" applyNumberFormat="1" applyFont="1" applyFill="1" applyBorder="1" applyProtection="1">
      <protection hidden="1"/>
    </xf>
    <xf numFmtId="2" fontId="48" fillId="22" borderId="73" xfId="0" applyNumberFormat="1" applyFont="1" applyFill="1" applyBorder="1" applyProtection="1">
      <protection hidden="1"/>
    </xf>
    <xf numFmtId="1" fontId="48" fillId="27" borderId="58" xfId="0" applyNumberFormat="1" applyFont="1" applyFill="1" applyBorder="1" applyAlignment="1" applyProtection="1">
      <alignment horizontal="right"/>
      <protection hidden="1"/>
    </xf>
    <xf numFmtId="1" fontId="48" fillId="27" borderId="13" xfId="0" applyNumberFormat="1" applyFont="1" applyFill="1" applyBorder="1" applyAlignment="1" applyProtection="1">
      <alignment horizontal="right"/>
      <protection hidden="1"/>
    </xf>
    <xf numFmtId="1" fontId="48" fillId="27" borderId="14" xfId="0" applyNumberFormat="1" applyFont="1" applyFill="1" applyBorder="1" applyAlignment="1" applyProtection="1">
      <alignment horizontal="right"/>
      <protection hidden="1"/>
    </xf>
    <xf numFmtId="2" fontId="48" fillId="27" borderId="70" xfId="0" applyNumberFormat="1" applyFont="1" applyFill="1" applyBorder="1" applyAlignment="1" applyProtection="1">
      <alignment horizontal="right"/>
      <protection hidden="1"/>
    </xf>
    <xf numFmtId="2" fontId="48" fillId="27" borderId="51" xfId="0" applyNumberFormat="1" applyFont="1" applyFill="1" applyBorder="1" applyAlignment="1" applyProtection="1">
      <alignment horizontal="right"/>
      <protection hidden="1"/>
    </xf>
    <xf numFmtId="2" fontId="0" fillId="27" borderId="51" xfId="0" applyNumberFormat="1" applyFill="1" applyBorder="1" applyAlignment="1">
      <alignment horizontal="right"/>
    </xf>
    <xf numFmtId="2" fontId="48" fillId="27" borderId="24" xfId="0" applyNumberFormat="1" applyFont="1" applyFill="1" applyBorder="1" applyAlignment="1" applyProtection="1">
      <alignment horizontal="right"/>
      <protection hidden="1"/>
    </xf>
    <xf numFmtId="1" fontId="48" fillId="29" borderId="59" xfId="0" applyNumberFormat="1" applyFont="1" applyFill="1" applyBorder="1" applyAlignment="1" applyProtection="1">
      <alignment horizontal="right"/>
      <protection hidden="1"/>
    </xf>
    <xf numFmtId="1" fontId="48" fillId="29" borderId="1" xfId="0" applyNumberFormat="1" applyFont="1" applyFill="1" applyBorder="1" applyAlignment="1" applyProtection="1">
      <alignment horizontal="right"/>
      <protection hidden="1"/>
    </xf>
    <xf numFmtId="1" fontId="48" fillId="29" borderId="16" xfId="0" applyNumberFormat="1" applyFont="1" applyFill="1" applyBorder="1" applyAlignment="1" applyProtection="1">
      <alignment horizontal="right"/>
      <protection hidden="1"/>
    </xf>
    <xf numFmtId="2" fontId="48" fillId="29" borderId="59" xfId="0" applyNumberFormat="1" applyFont="1" applyFill="1" applyBorder="1" applyAlignment="1" applyProtection="1">
      <alignment horizontal="right"/>
      <protection hidden="1"/>
    </xf>
    <xf numFmtId="2" fontId="48" fillId="29" borderId="1" xfId="0" applyNumberFormat="1" applyFont="1" applyFill="1" applyBorder="1" applyAlignment="1" applyProtection="1">
      <alignment horizontal="right"/>
      <protection hidden="1"/>
    </xf>
    <xf numFmtId="2" fontId="0" fillId="29" borderId="1" xfId="0" applyNumberFormat="1" applyFill="1" applyBorder="1" applyAlignment="1">
      <alignment horizontal="right"/>
    </xf>
    <xf numFmtId="2" fontId="48" fillId="29" borderId="16" xfId="0" applyNumberFormat="1" applyFont="1" applyFill="1" applyBorder="1" applyAlignment="1" applyProtection="1">
      <alignment horizontal="right"/>
      <protection hidden="1"/>
    </xf>
    <xf numFmtId="1" fontId="48" fillId="9" borderId="59" xfId="0" applyNumberFormat="1" applyFont="1" applyFill="1" applyBorder="1" applyAlignment="1" applyProtection="1">
      <alignment horizontal="right"/>
      <protection hidden="1"/>
    </xf>
    <xf numFmtId="1" fontId="48" fillId="9" borderId="1" xfId="0" applyNumberFormat="1" applyFont="1" applyFill="1" applyBorder="1" applyAlignment="1" applyProtection="1">
      <alignment horizontal="right"/>
      <protection hidden="1"/>
    </xf>
    <xf numFmtId="1" fontId="48" fillId="9" borderId="16" xfId="0" applyNumberFormat="1" applyFont="1" applyFill="1" applyBorder="1" applyAlignment="1" applyProtection="1">
      <alignment horizontal="right"/>
      <protection hidden="1"/>
    </xf>
    <xf numFmtId="2" fontId="48" fillId="9" borderId="59" xfId="0" applyNumberFormat="1" applyFont="1" applyFill="1" applyBorder="1" applyAlignment="1" applyProtection="1">
      <alignment horizontal="right"/>
      <protection hidden="1"/>
    </xf>
    <xf numFmtId="2" fontId="48" fillId="9" borderId="1" xfId="0" applyNumberFormat="1" applyFont="1" applyFill="1" applyBorder="1" applyAlignment="1" applyProtection="1">
      <alignment horizontal="right"/>
      <protection hidden="1"/>
    </xf>
    <xf numFmtId="2" fontId="48" fillId="9" borderId="16" xfId="0" applyNumberFormat="1" applyFont="1" applyFill="1" applyBorder="1" applyAlignment="1" applyProtection="1">
      <alignment horizontal="right"/>
      <protection hidden="1"/>
    </xf>
    <xf numFmtId="1" fontId="48" fillId="30" borderId="59" xfId="0" applyNumberFormat="1" applyFont="1" applyFill="1" applyBorder="1" applyAlignment="1" applyProtection="1">
      <alignment horizontal="right"/>
      <protection hidden="1"/>
    </xf>
    <xf numFmtId="1" fontId="48" fillId="30" borderId="16" xfId="0" applyNumberFormat="1" applyFont="1" applyFill="1" applyBorder="1" applyAlignment="1" applyProtection="1">
      <alignment horizontal="right"/>
      <protection hidden="1"/>
    </xf>
    <xf numFmtId="2" fontId="48" fillId="30" borderId="59" xfId="0" applyNumberFormat="1" applyFont="1" applyFill="1" applyBorder="1" applyAlignment="1" applyProtection="1">
      <alignment horizontal="right"/>
      <protection hidden="1"/>
    </xf>
    <xf numFmtId="2" fontId="48" fillId="30" borderId="1" xfId="0" applyNumberFormat="1" applyFont="1" applyFill="1" applyBorder="1" applyAlignment="1" applyProtection="1">
      <alignment horizontal="right"/>
      <protection hidden="1"/>
    </xf>
    <xf numFmtId="2" fontId="48" fillId="30" borderId="16" xfId="0" applyNumberFormat="1" applyFont="1" applyFill="1" applyBorder="1" applyAlignment="1" applyProtection="1">
      <alignment horizontal="right"/>
      <protection hidden="1"/>
    </xf>
    <xf numFmtId="1" fontId="48" fillId="31" borderId="59" xfId="0" applyNumberFormat="1" applyFont="1" applyFill="1" applyBorder="1" applyAlignment="1" applyProtection="1">
      <alignment horizontal="right"/>
      <protection hidden="1"/>
    </xf>
    <xf numFmtId="1" fontId="56" fillId="31" borderId="1" xfId="0" applyNumberFormat="1" applyFont="1" applyFill="1" applyBorder="1" applyAlignment="1" applyProtection="1">
      <alignment horizontal="right"/>
      <protection hidden="1"/>
    </xf>
    <xf numFmtId="1" fontId="48" fillId="31" borderId="1" xfId="0" applyNumberFormat="1" applyFont="1" applyFill="1" applyBorder="1" applyAlignment="1" applyProtection="1">
      <alignment horizontal="right"/>
      <protection hidden="1"/>
    </xf>
    <xf numFmtId="1" fontId="56" fillId="31" borderId="16" xfId="0" applyNumberFormat="1" applyFont="1" applyFill="1" applyBorder="1" applyAlignment="1" applyProtection="1">
      <alignment horizontal="right"/>
      <protection hidden="1"/>
    </xf>
    <xf numFmtId="2" fontId="48" fillId="31" borderId="59" xfId="0" applyNumberFormat="1" applyFont="1" applyFill="1" applyBorder="1" applyAlignment="1" applyProtection="1">
      <alignment horizontal="right"/>
      <protection hidden="1"/>
    </xf>
    <xf numFmtId="2" fontId="48" fillId="31" borderId="1" xfId="0" applyNumberFormat="1" applyFont="1" applyFill="1" applyBorder="1" applyAlignment="1" applyProtection="1">
      <alignment horizontal="right"/>
      <protection hidden="1"/>
    </xf>
    <xf numFmtId="2" fontId="48" fillId="31" borderId="16" xfId="0" applyNumberFormat="1" applyFont="1" applyFill="1" applyBorder="1" applyAlignment="1" applyProtection="1">
      <alignment horizontal="right"/>
      <protection hidden="1"/>
    </xf>
    <xf numFmtId="1" fontId="48" fillId="35" borderId="59" xfId="0" applyNumberFormat="1" applyFont="1" applyFill="1" applyBorder="1" applyAlignment="1" applyProtection="1">
      <alignment horizontal="right"/>
      <protection hidden="1"/>
    </xf>
    <xf numFmtId="1" fontId="48" fillId="35" borderId="1" xfId="0" applyNumberFormat="1" applyFont="1" applyFill="1" applyBorder="1" applyAlignment="1" applyProtection="1">
      <alignment horizontal="right"/>
      <protection hidden="1"/>
    </xf>
    <xf numFmtId="1" fontId="48" fillId="35" borderId="16" xfId="0" applyNumberFormat="1" applyFont="1" applyFill="1" applyBorder="1" applyAlignment="1" applyProtection="1">
      <alignment horizontal="right"/>
      <protection hidden="1"/>
    </xf>
    <xf numFmtId="2" fontId="48" fillId="35" borderId="59" xfId="0" applyNumberFormat="1" applyFont="1" applyFill="1" applyBorder="1" applyAlignment="1" applyProtection="1">
      <alignment horizontal="right"/>
      <protection hidden="1"/>
    </xf>
    <xf numFmtId="2" fontId="48" fillId="35" borderId="1" xfId="0" applyNumberFormat="1" applyFont="1" applyFill="1" applyBorder="1" applyAlignment="1" applyProtection="1">
      <alignment horizontal="right"/>
      <protection hidden="1"/>
    </xf>
    <xf numFmtId="2" fontId="48" fillId="35" borderId="16" xfId="0" applyNumberFormat="1" applyFont="1" applyFill="1" applyBorder="1" applyAlignment="1" applyProtection="1">
      <alignment horizontal="right"/>
      <protection hidden="1"/>
    </xf>
    <xf numFmtId="2" fontId="48" fillId="21" borderId="59" xfId="0" applyNumberFormat="1" applyFont="1" applyFill="1" applyBorder="1" applyAlignment="1" applyProtection="1">
      <alignment horizontal="right"/>
      <protection hidden="1"/>
    </xf>
    <xf numFmtId="2" fontId="48" fillId="21" borderId="16" xfId="0" applyNumberFormat="1" applyFont="1" applyFill="1" applyBorder="1" applyAlignment="1" applyProtection="1">
      <alignment horizontal="right"/>
      <protection hidden="1"/>
    </xf>
    <xf numFmtId="1" fontId="48" fillId="22" borderId="59" xfId="0" applyNumberFormat="1" applyFont="1" applyFill="1" applyBorder="1" applyAlignment="1" applyProtection="1">
      <alignment horizontal="right"/>
      <protection hidden="1"/>
    </xf>
    <xf numFmtId="1" fontId="56" fillId="22" borderId="1" xfId="0" applyNumberFormat="1" applyFont="1" applyFill="1" applyBorder="1" applyAlignment="1" applyProtection="1">
      <alignment horizontal="right"/>
      <protection hidden="1"/>
    </xf>
    <xf numFmtId="1" fontId="57" fillId="22" borderId="1" xfId="0" applyNumberFormat="1" applyFont="1" applyFill="1" applyBorder="1" applyAlignment="1" applyProtection="1">
      <alignment horizontal="right"/>
      <protection hidden="1"/>
    </xf>
    <xf numFmtId="2" fontId="48" fillId="22" borderId="59" xfId="0" applyNumberFormat="1" applyFont="1" applyFill="1" applyBorder="1" applyAlignment="1" applyProtection="1">
      <alignment horizontal="right"/>
      <protection hidden="1"/>
    </xf>
    <xf numFmtId="2" fontId="48" fillId="22" borderId="16" xfId="0" applyNumberFormat="1" applyFont="1" applyFill="1" applyBorder="1" applyAlignment="1" applyProtection="1">
      <alignment horizontal="right"/>
      <protection hidden="1"/>
    </xf>
    <xf numFmtId="1" fontId="48" fillId="10" borderId="59" xfId="0" applyNumberFormat="1" applyFont="1" applyFill="1" applyBorder="1" applyAlignment="1" applyProtection="1">
      <alignment horizontal="right"/>
      <protection hidden="1"/>
    </xf>
    <xf numFmtId="2" fontId="48" fillId="10" borderId="59" xfId="0" applyNumberFormat="1" applyFont="1" applyFill="1" applyBorder="1" applyAlignment="1" applyProtection="1">
      <alignment horizontal="right"/>
      <protection hidden="1"/>
    </xf>
    <xf numFmtId="2" fontId="48" fillId="10" borderId="1" xfId="0" applyNumberFormat="1" applyFont="1" applyFill="1" applyBorder="1" applyAlignment="1" applyProtection="1">
      <alignment horizontal="right"/>
      <protection hidden="1"/>
    </xf>
    <xf numFmtId="2" fontId="48" fillId="10" borderId="16" xfId="0" applyNumberFormat="1" applyFont="1" applyFill="1" applyBorder="1" applyAlignment="1" applyProtection="1">
      <alignment horizontal="right"/>
      <protection hidden="1"/>
    </xf>
    <xf numFmtId="1" fontId="48" fillId="5" borderId="59" xfId="0" applyNumberFormat="1" applyFont="1" applyFill="1" applyBorder="1" applyAlignment="1" applyProtection="1">
      <alignment horizontal="right"/>
      <protection hidden="1"/>
    </xf>
    <xf numFmtId="2" fontId="48" fillId="5" borderId="59" xfId="0" applyNumberFormat="1" applyFont="1" applyFill="1" applyBorder="1" applyAlignment="1" applyProtection="1">
      <alignment horizontal="right"/>
      <protection hidden="1"/>
    </xf>
    <xf numFmtId="2" fontId="48" fillId="5" borderId="1" xfId="0" applyNumberFormat="1" applyFont="1" applyFill="1" applyBorder="1" applyAlignment="1" applyProtection="1">
      <alignment horizontal="right"/>
      <protection hidden="1"/>
    </xf>
    <xf numFmtId="2" fontId="48" fillId="5" borderId="16" xfId="0" applyNumberFormat="1" applyFont="1" applyFill="1" applyBorder="1" applyAlignment="1" applyProtection="1">
      <alignment horizontal="right"/>
      <protection hidden="1"/>
    </xf>
    <xf numFmtId="1" fontId="48" fillId="32" borderId="59" xfId="0" applyNumberFormat="1" applyFont="1" applyFill="1" applyBorder="1" applyAlignment="1" applyProtection="1">
      <alignment horizontal="right"/>
      <protection hidden="1"/>
    </xf>
    <xf numFmtId="2" fontId="48" fillId="32" borderId="59" xfId="0" applyNumberFormat="1" applyFont="1" applyFill="1" applyBorder="1" applyAlignment="1" applyProtection="1">
      <alignment horizontal="right"/>
      <protection hidden="1"/>
    </xf>
    <xf numFmtId="2" fontId="48" fillId="32" borderId="1" xfId="0" applyNumberFormat="1" applyFont="1" applyFill="1" applyBorder="1" applyAlignment="1" applyProtection="1">
      <alignment horizontal="right"/>
      <protection hidden="1"/>
    </xf>
    <xf numFmtId="2" fontId="48" fillId="32" borderId="16" xfId="0" applyNumberFormat="1" applyFont="1" applyFill="1" applyBorder="1" applyAlignment="1" applyProtection="1">
      <alignment horizontal="right"/>
      <protection hidden="1"/>
    </xf>
    <xf numFmtId="1" fontId="48" fillId="4" borderId="59" xfId="0" applyNumberFormat="1" applyFont="1" applyFill="1" applyBorder="1" applyAlignment="1" applyProtection="1">
      <alignment horizontal="right"/>
      <protection hidden="1"/>
    </xf>
    <xf numFmtId="2" fontId="48" fillId="4" borderId="59" xfId="0" applyNumberFormat="1" applyFont="1" applyFill="1" applyBorder="1" applyAlignment="1" applyProtection="1">
      <alignment horizontal="right"/>
      <protection hidden="1"/>
    </xf>
    <xf numFmtId="2" fontId="48" fillId="4" borderId="1" xfId="0" applyNumberFormat="1" applyFont="1" applyFill="1" applyBorder="1" applyAlignment="1" applyProtection="1">
      <alignment horizontal="right"/>
      <protection hidden="1"/>
    </xf>
    <xf numFmtId="2" fontId="48" fillId="4" borderId="16" xfId="0" applyNumberFormat="1" applyFont="1" applyFill="1" applyBorder="1" applyAlignment="1" applyProtection="1">
      <alignment horizontal="right"/>
      <protection hidden="1"/>
    </xf>
    <xf numFmtId="1" fontId="48" fillId="33" borderId="69" xfId="0" applyNumberFormat="1" applyFont="1" applyFill="1" applyBorder="1" applyAlignment="1" applyProtection="1">
      <alignment horizontal="right"/>
      <protection hidden="1"/>
    </xf>
    <xf numFmtId="1" fontId="48" fillId="12" borderId="6" xfId="0" applyNumberFormat="1" applyFont="1" applyFill="1" applyBorder="1" applyProtection="1">
      <protection hidden="1"/>
    </xf>
    <xf numFmtId="2" fontId="48" fillId="33" borderId="69" xfId="0" applyNumberFormat="1" applyFont="1" applyFill="1" applyBorder="1" applyAlignment="1" applyProtection="1">
      <alignment horizontal="right"/>
      <protection hidden="1"/>
    </xf>
    <xf numFmtId="2" fontId="48" fillId="33" borderId="18" xfId="0" applyNumberFormat="1" applyFont="1" applyFill="1" applyBorder="1" applyAlignment="1" applyProtection="1">
      <alignment horizontal="right"/>
      <protection hidden="1"/>
    </xf>
    <xf numFmtId="2" fontId="48" fillId="33" borderId="19" xfId="0" applyNumberFormat="1" applyFont="1" applyFill="1" applyBorder="1" applyAlignment="1" applyProtection="1">
      <alignment horizontal="right"/>
      <protection hidden="1"/>
    </xf>
    <xf numFmtId="1" fontId="48" fillId="12" borderId="0" xfId="0" applyNumberFormat="1" applyFont="1" applyFill="1" applyAlignment="1" applyProtection="1">
      <alignment horizontal="center" vertical="center"/>
      <protection hidden="1"/>
    </xf>
    <xf numFmtId="1" fontId="48" fillId="12" borderId="84" xfId="0" applyNumberFormat="1" applyFont="1" applyFill="1" applyBorder="1" applyProtection="1">
      <protection hidden="1"/>
    </xf>
    <xf numFmtId="2" fontId="48" fillId="12" borderId="84" xfId="0" applyNumberFormat="1" applyFont="1" applyFill="1" applyBorder="1" applyProtection="1">
      <protection hidden="1"/>
    </xf>
    <xf numFmtId="2" fontId="0" fillId="12" borderId="84" xfId="0" applyNumberFormat="1" applyFill="1" applyBorder="1" applyProtection="1">
      <protection hidden="1"/>
    </xf>
    <xf numFmtId="165" fontId="48" fillId="12" borderId="88" xfId="0" applyFont="1" applyFill="1" applyBorder="1" applyAlignment="1" applyProtection="1">
      <alignment horizontal="center" vertical="center"/>
      <protection hidden="1"/>
    </xf>
    <xf numFmtId="1" fontId="48" fillId="12" borderId="88" xfId="0" applyNumberFormat="1" applyFont="1" applyFill="1" applyBorder="1" applyAlignment="1" applyProtection="1">
      <alignment horizontal="center" vertical="center"/>
      <protection hidden="1"/>
    </xf>
    <xf numFmtId="2" fontId="48" fillId="12" borderId="94" xfId="0" applyNumberFormat="1" applyFont="1" applyFill="1" applyBorder="1" applyProtection="1">
      <protection hidden="1"/>
    </xf>
    <xf numFmtId="165" fontId="48" fillId="12" borderId="95" xfId="0" applyFont="1" applyFill="1" applyBorder="1" applyAlignment="1" applyProtection="1">
      <alignment horizontal="center" vertical="center"/>
      <protection hidden="1"/>
    </xf>
    <xf numFmtId="1" fontId="48" fillId="12" borderId="97" xfId="0" applyNumberFormat="1" applyFont="1" applyFill="1" applyBorder="1" applyAlignment="1" applyProtection="1">
      <alignment horizontal="center" vertical="center"/>
      <protection hidden="1"/>
    </xf>
    <xf numFmtId="1" fontId="48" fillId="12" borderId="95" xfId="0" applyNumberFormat="1" applyFont="1" applyFill="1" applyBorder="1" applyAlignment="1" applyProtection="1">
      <alignment horizontal="center" vertical="center"/>
      <protection hidden="1"/>
    </xf>
    <xf numFmtId="1" fontId="48" fillId="12" borderId="91" xfId="0" applyNumberFormat="1" applyFont="1" applyFill="1" applyBorder="1" applyAlignment="1" applyProtection="1">
      <alignment horizontal="right" vertical="center"/>
      <protection hidden="1"/>
    </xf>
    <xf numFmtId="1" fontId="48" fillId="12" borderId="92" xfId="0" applyNumberFormat="1" applyFont="1" applyFill="1" applyBorder="1" applyProtection="1">
      <protection hidden="1"/>
    </xf>
    <xf numFmtId="1" fontId="48" fillId="12" borderId="93" xfId="0" applyNumberFormat="1" applyFont="1" applyFill="1" applyBorder="1" applyProtection="1">
      <protection hidden="1"/>
    </xf>
    <xf numFmtId="1" fontId="48" fillId="12" borderId="94" xfId="0" applyNumberFormat="1" applyFont="1" applyFill="1" applyBorder="1" applyAlignment="1" applyProtection="1">
      <alignment horizontal="right"/>
      <protection hidden="1"/>
    </xf>
    <xf numFmtId="1" fontId="48" fillId="12" borderId="98" xfId="0" applyNumberFormat="1" applyFont="1" applyFill="1" applyBorder="1" applyAlignment="1" applyProtection="1">
      <alignment horizontal="center" vertical="center"/>
      <protection hidden="1"/>
    </xf>
    <xf numFmtId="1" fontId="48" fillId="12" borderId="99" xfId="0" applyNumberFormat="1" applyFont="1" applyFill="1" applyBorder="1" applyAlignment="1" applyProtection="1">
      <alignment horizontal="right" vertical="center"/>
      <protection hidden="1"/>
    </xf>
    <xf numFmtId="1" fontId="48" fillId="12" borderId="100" xfId="0" applyNumberFormat="1" applyFont="1" applyFill="1" applyBorder="1" applyAlignment="1" applyProtection="1">
      <alignment horizontal="right" vertical="center"/>
      <protection hidden="1"/>
    </xf>
    <xf numFmtId="1" fontId="48" fillId="12" borderId="101" xfId="0" applyNumberFormat="1" applyFont="1" applyFill="1" applyBorder="1" applyAlignment="1" applyProtection="1">
      <alignment horizontal="right" vertical="center"/>
      <protection hidden="1"/>
    </xf>
    <xf numFmtId="2" fontId="48" fillId="12" borderId="99" xfId="0" applyNumberFormat="1" applyFont="1" applyFill="1" applyBorder="1" applyAlignment="1" applyProtection="1">
      <alignment horizontal="right" vertical="center"/>
      <protection hidden="1"/>
    </xf>
    <xf numFmtId="2" fontId="48" fillId="12" borderId="100" xfId="0" applyNumberFormat="1" applyFont="1" applyFill="1" applyBorder="1" applyAlignment="1" applyProtection="1">
      <alignment horizontal="right" vertical="center"/>
      <protection hidden="1"/>
    </xf>
    <xf numFmtId="2" fontId="0" fillId="12" borderId="100" xfId="0" applyNumberFormat="1" applyFill="1" applyBorder="1" applyAlignment="1">
      <alignment horizontal="right" vertical="center"/>
    </xf>
    <xf numFmtId="2" fontId="48" fillId="12" borderId="101" xfId="0" applyNumberFormat="1" applyFont="1" applyFill="1" applyBorder="1" applyAlignment="1" applyProtection="1">
      <alignment horizontal="right" vertical="center"/>
      <protection hidden="1"/>
    </xf>
    <xf numFmtId="1" fontId="48" fillId="27" borderId="102" xfId="0" applyNumberFormat="1" applyFont="1" applyFill="1" applyBorder="1" applyAlignment="1" applyProtection="1">
      <alignment horizontal="center" vertical="center"/>
      <protection hidden="1"/>
    </xf>
    <xf numFmtId="2" fontId="48" fillId="27" borderId="100" xfId="0" applyNumberFormat="1" applyFont="1" applyFill="1" applyBorder="1" applyAlignment="1" applyProtection="1">
      <alignment vertical="center"/>
      <protection hidden="1"/>
    </xf>
    <xf numFmtId="2" fontId="48" fillId="27" borderId="103" xfId="0" applyNumberFormat="1" applyFont="1" applyFill="1" applyBorder="1" applyAlignment="1" applyProtection="1">
      <alignment vertical="center"/>
      <protection hidden="1"/>
    </xf>
    <xf numFmtId="1" fontId="48" fillId="12" borderId="104" xfId="0" applyNumberFormat="1" applyFont="1" applyFill="1" applyBorder="1" applyAlignment="1" applyProtection="1">
      <alignment horizontal="center" vertical="center"/>
      <protection hidden="1"/>
    </xf>
    <xf numFmtId="1" fontId="48" fillId="12" borderId="105" xfId="0" applyNumberFormat="1" applyFont="1" applyFill="1" applyBorder="1" applyAlignment="1" applyProtection="1">
      <alignment horizontal="right" vertical="center"/>
      <protection hidden="1"/>
    </xf>
    <xf numFmtId="1" fontId="48" fillId="12" borderId="77" xfId="0" applyNumberFormat="1" applyFont="1" applyFill="1" applyBorder="1" applyAlignment="1" applyProtection="1">
      <alignment horizontal="right" vertical="center"/>
      <protection hidden="1"/>
    </xf>
    <xf numFmtId="1" fontId="48" fillId="12" borderId="106" xfId="0" applyNumberFormat="1" applyFont="1" applyFill="1" applyBorder="1" applyAlignment="1" applyProtection="1">
      <alignment horizontal="right" vertical="center"/>
      <protection hidden="1"/>
    </xf>
    <xf numFmtId="2" fontId="48" fillId="12" borderId="105" xfId="0" applyNumberFormat="1" applyFont="1" applyFill="1" applyBorder="1" applyAlignment="1" applyProtection="1">
      <alignment horizontal="right" vertical="center"/>
      <protection hidden="1"/>
    </xf>
    <xf numFmtId="2" fontId="48" fillId="12" borderId="77" xfId="0" applyNumberFormat="1" applyFont="1" applyFill="1" applyBorder="1" applyAlignment="1" applyProtection="1">
      <alignment horizontal="right" vertical="center"/>
      <protection hidden="1"/>
    </xf>
    <xf numFmtId="2" fontId="0" fillId="12" borderId="77" xfId="0" applyNumberFormat="1" applyFill="1" applyBorder="1" applyAlignment="1">
      <alignment horizontal="right" vertical="center"/>
    </xf>
    <xf numFmtId="2" fontId="48" fillId="12" borderId="106" xfId="0" applyNumberFormat="1" applyFont="1" applyFill="1" applyBorder="1" applyAlignment="1" applyProtection="1">
      <alignment horizontal="right" vertical="center"/>
      <protection hidden="1"/>
    </xf>
    <xf numFmtId="1" fontId="48" fillId="29" borderId="107" xfId="0" applyNumberFormat="1" applyFont="1" applyFill="1" applyBorder="1" applyAlignment="1" applyProtection="1">
      <alignment horizontal="center" vertical="center"/>
      <protection hidden="1"/>
    </xf>
    <xf numFmtId="2" fontId="48" fillId="29" borderId="77" xfId="0" applyNumberFormat="1" applyFont="1" applyFill="1" applyBorder="1" applyAlignment="1" applyProtection="1">
      <alignment vertical="center"/>
      <protection hidden="1"/>
    </xf>
    <xf numFmtId="2" fontId="48" fillId="29" borderId="108" xfId="0" applyNumberFormat="1" applyFont="1" applyFill="1" applyBorder="1" applyAlignment="1" applyProtection="1">
      <alignment vertical="center"/>
      <protection hidden="1"/>
    </xf>
    <xf numFmtId="1" fontId="48" fillId="12" borderId="105" xfId="0" applyNumberFormat="1" applyFont="1" applyFill="1" applyBorder="1" applyProtection="1">
      <protection hidden="1"/>
    </xf>
    <xf numFmtId="1" fontId="48" fillId="12" borderId="77" xfId="0" applyNumberFormat="1" applyFont="1" applyFill="1" applyBorder="1" applyAlignment="1" applyProtection="1">
      <alignment horizontal="center" vertical="center"/>
      <protection hidden="1"/>
    </xf>
    <xf numFmtId="1" fontId="48" fillId="12" borderId="106" xfId="0" applyNumberFormat="1" applyFont="1" applyFill="1" applyBorder="1" applyAlignment="1" applyProtection="1">
      <alignment horizontal="center" vertical="center"/>
      <protection hidden="1"/>
    </xf>
    <xf numFmtId="2" fontId="48" fillId="12" borderId="105" xfId="0" applyNumberFormat="1" applyFont="1" applyFill="1" applyBorder="1" applyProtection="1">
      <protection hidden="1"/>
    </xf>
    <xf numFmtId="2" fontId="48" fillId="12" borderId="77" xfId="0" applyNumberFormat="1" applyFont="1" applyFill="1" applyBorder="1" applyProtection="1">
      <protection hidden="1"/>
    </xf>
    <xf numFmtId="2" fontId="48" fillId="12" borderId="106" xfId="0" applyNumberFormat="1" applyFont="1" applyFill="1" applyBorder="1" applyProtection="1">
      <protection hidden="1"/>
    </xf>
    <xf numFmtId="1" fontId="48" fillId="9" borderId="107" xfId="0" applyNumberFormat="1" applyFont="1" applyFill="1" applyBorder="1" applyAlignment="1" applyProtection="1">
      <alignment horizontal="center" vertical="center"/>
      <protection hidden="1"/>
    </xf>
    <xf numFmtId="2" fontId="48" fillId="9" borderId="77" xfId="0" applyNumberFormat="1" applyFont="1" applyFill="1" applyBorder="1" applyAlignment="1" applyProtection="1">
      <alignment vertical="center"/>
      <protection hidden="1"/>
    </xf>
    <xf numFmtId="2" fontId="48" fillId="9" borderId="108" xfId="0" applyNumberFormat="1" applyFont="1" applyFill="1" applyBorder="1" applyAlignment="1" applyProtection="1">
      <alignment vertical="center"/>
      <protection hidden="1"/>
    </xf>
    <xf numFmtId="1" fontId="48" fillId="12" borderId="77" xfId="0" applyNumberFormat="1" applyFont="1" applyFill="1" applyBorder="1" applyAlignment="1" applyProtection="1">
      <alignment horizontal="right"/>
      <protection hidden="1"/>
    </xf>
    <xf numFmtId="2" fontId="0" fillId="12" borderId="77" xfId="0" applyNumberFormat="1" applyFill="1" applyBorder="1" applyAlignment="1">
      <alignment horizontal="right"/>
    </xf>
    <xf numFmtId="1" fontId="48" fillId="30" borderId="107" xfId="0" applyNumberFormat="1" applyFont="1" applyFill="1" applyBorder="1" applyAlignment="1" applyProtection="1">
      <alignment horizontal="center" vertical="center"/>
      <protection hidden="1"/>
    </xf>
    <xf numFmtId="2" fontId="48" fillId="30" borderId="77" xfId="0" applyNumberFormat="1" applyFont="1" applyFill="1" applyBorder="1" applyAlignment="1" applyProtection="1">
      <alignment vertical="center"/>
      <protection hidden="1"/>
    </xf>
    <xf numFmtId="2" fontId="48" fillId="30" borderId="108" xfId="0" applyNumberFormat="1" applyFont="1" applyFill="1" applyBorder="1" applyAlignment="1" applyProtection="1">
      <alignment vertical="center"/>
      <protection hidden="1"/>
    </xf>
    <xf numFmtId="1" fontId="48" fillId="31" borderId="105" xfId="0" applyNumberFormat="1" applyFont="1" applyFill="1" applyBorder="1" applyProtection="1">
      <protection hidden="1"/>
    </xf>
    <xf numFmtId="2" fontId="48" fillId="31" borderId="105" xfId="0" applyNumberFormat="1" applyFont="1" applyFill="1" applyBorder="1" applyProtection="1">
      <protection hidden="1"/>
    </xf>
    <xf numFmtId="2" fontId="48" fillId="31" borderId="77" xfId="0" applyNumberFormat="1" applyFont="1" applyFill="1" applyBorder="1" applyProtection="1">
      <protection hidden="1"/>
    </xf>
    <xf numFmtId="2" fontId="48" fillId="31" borderId="106" xfId="0" applyNumberFormat="1" applyFont="1" applyFill="1" applyBorder="1" applyProtection="1">
      <protection hidden="1"/>
    </xf>
    <xf numFmtId="1" fontId="48" fillId="31" borderId="107" xfId="0" applyNumberFormat="1" applyFont="1" applyFill="1" applyBorder="1" applyAlignment="1" applyProtection="1">
      <alignment horizontal="center" vertical="center"/>
      <protection hidden="1"/>
    </xf>
    <xf numFmtId="2" fontId="48" fillId="31" borderId="77" xfId="0" applyNumberFormat="1" applyFont="1" applyFill="1" applyBorder="1" applyAlignment="1" applyProtection="1">
      <alignment vertical="center"/>
      <protection hidden="1"/>
    </xf>
    <xf numFmtId="2" fontId="48" fillId="31" borderId="108" xfId="0" applyNumberFormat="1" applyFont="1" applyFill="1" applyBorder="1" applyAlignment="1" applyProtection="1">
      <alignment vertical="center"/>
      <protection hidden="1"/>
    </xf>
    <xf numFmtId="1" fontId="48" fillId="35" borderId="105" xfId="0" applyNumberFormat="1" applyFont="1" applyFill="1" applyBorder="1" applyProtection="1">
      <protection hidden="1"/>
    </xf>
    <xf numFmtId="2" fontId="48" fillId="35" borderId="105" xfId="0" applyNumberFormat="1" applyFont="1" applyFill="1" applyBorder="1" applyProtection="1">
      <protection hidden="1"/>
    </xf>
    <xf numFmtId="2" fontId="48" fillId="35" borderId="77" xfId="0" applyNumberFormat="1" applyFont="1" applyFill="1" applyBorder="1" applyProtection="1">
      <protection hidden="1"/>
    </xf>
    <xf numFmtId="2" fontId="48" fillId="35" borderId="106" xfId="0" applyNumberFormat="1" applyFont="1" applyFill="1" applyBorder="1" applyProtection="1">
      <protection hidden="1"/>
    </xf>
    <xf numFmtId="1" fontId="48" fillId="35" borderId="107" xfId="0" applyNumberFormat="1" applyFont="1" applyFill="1" applyBorder="1" applyAlignment="1" applyProtection="1">
      <alignment horizontal="center" vertical="center"/>
      <protection hidden="1"/>
    </xf>
    <xf numFmtId="2" fontId="48" fillId="35" borderId="77" xfId="0" applyNumberFormat="1" applyFont="1" applyFill="1" applyBorder="1" applyAlignment="1" applyProtection="1">
      <alignment vertical="center"/>
      <protection hidden="1"/>
    </xf>
    <xf numFmtId="2" fontId="48" fillId="35" borderId="108" xfId="0" applyNumberFormat="1" applyFont="1" applyFill="1" applyBorder="1" applyAlignment="1" applyProtection="1">
      <alignment vertical="center"/>
      <protection hidden="1"/>
    </xf>
    <xf numFmtId="1" fontId="48" fillId="22" borderId="105" xfId="0" applyNumberFormat="1" applyFont="1" applyFill="1" applyBorder="1" applyProtection="1">
      <protection hidden="1"/>
    </xf>
    <xf numFmtId="2" fontId="48" fillId="22" borderId="105" xfId="0" applyNumberFormat="1" applyFont="1" applyFill="1" applyBorder="1" applyProtection="1">
      <protection hidden="1"/>
    </xf>
    <xf numFmtId="2" fontId="48" fillId="22" borderId="77" xfId="0" applyNumberFormat="1" applyFont="1" applyFill="1" applyBorder="1" applyProtection="1">
      <protection hidden="1"/>
    </xf>
    <xf numFmtId="2" fontId="48" fillId="22" borderId="106" xfId="0" applyNumberFormat="1" applyFont="1" applyFill="1" applyBorder="1" applyProtection="1">
      <protection hidden="1"/>
    </xf>
    <xf numFmtId="1" fontId="48" fillId="22" borderId="107" xfId="0" applyNumberFormat="1" applyFont="1" applyFill="1" applyBorder="1" applyAlignment="1" applyProtection="1">
      <alignment horizontal="center" vertical="center"/>
      <protection hidden="1"/>
    </xf>
    <xf numFmtId="2" fontId="48" fillId="22" borderId="77" xfId="0" applyNumberFormat="1" applyFont="1" applyFill="1" applyBorder="1" applyAlignment="1" applyProtection="1">
      <alignment vertical="center"/>
      <protection hidden="1"/>
    </xf>
    <xf numFmtId="2" fontId="48" fillId="22" borderId="108" xfId="0" applyNumberFormat="1" applyFont="1" applyFill="1" applyBorder="1" applyAlignment="1" applyProtection="1">
      <alignment vertical="center"/>
      <protection hidden="1"/>
    </xf>
    <xf numFmtId="1" fontId="48" fillId="10" borderId="105" xfId="0" applyNumberFormat="1" applyFont="1" applyFill="1" applyBorder="1" applyProtection="1">
      <protection hidden="1"/>
    </xf>
    <xf numFmtId="2" fontId="48" fillId="10" borderId="105" xfId="0" applyNumberFormat="1" applyFont="1" applyFill="1" applyBorder="1" applyProtection="1">
      <protection hidden="1"/>
    </xf>
    <xf numFmtId="2" fontId="48" fillId="10" borderId="77" xfId="0" applyNumberFormat="1" applyFont="1" applyFill="1" applyBorder="1" applyProtection="1">
      <protection hidden="1"/>
    </xf>
    <xf numFmtId="2" fontId="48" fillId="10" borderId="106" xfId="0" applyNumberFormat="1" applyFont="1" applyFill="1" applyBorder="1" applyProtection="1">
      <protection hidden="1"/>
    </xf>
    <xf numFmtId="2" fontId="48" fillId="22" borderId="108" xfId="0" applyNumberFormat="1" applyFont="1" applyFill="1" applyBorder="1" applyProtection="1">
      <protection hidden="1"/>
    </xf>
    <xf numFmtId="1" fontId="48" fillId="12" borderId="104" xfId="0" applyNumberFormat="1" applyFont="1" applyFill="1" applyBorder="1" applyProtection="1">
      <protection hidden="1"/>
    </xf>
    <xf numFmtId="2" fontId="48" fillId="22" borderId="78" xfId="0" applyNumberFormat="1" applyFont="1" applyFill="1" applyBorder="1" applyProtection="1">
      <protection hidden="1"/>
    </xf>
    <xf numFmtId="2" fontId="48" fillId="22" borderId="109" xfId="0" applyNumberFormat="1" applyFont="1" applyFill="1" applyBorder="1" applyProtection="1">
      <protection hidden="1"/>
    </xf>
    <xf numFmtId="1" fontId="48" fillId="12" borderId="95" xfId="0" applyNumberFormat="1" applyFont="1" applyFill="1" applyBorder="1" applyProtection="1">
      <protection hidden="1"/>
    </xf>
    <xf numFmtId="1" fontId="29" fillId="0" borderId="84" xfId="5" applyNumberFormat="1" applyBorder="1"/>
    <xf numFmtId="1" fontId="0" fillId="12" borderId="84" xfId="0" applyNumberFormat="1" applyFill="1" applyBorder="1" applyProtection="1">
      <protection hidden="1"/>
    </xf>
    <xf numFmtId="165" fontId="0" fillId="12" borderId="84" xfId="0" applyFill="1" applyBorder="1" applyProtection="1">
      <protection hidden="1"/>
    </xf>
    <xf numFmtId="1" fontId="48" fillId="12" borderId="84" xfId="0" applyNumberFormat="1" applyFont="1" applyFill="1" applyBorder="1" applyAlignment="1" applyProtection="1">
      <alignment horizontal="center" vertical="center"/>
      <protection hidden="1"/>
    </xf>
    <xf numFmtId="1" fontId="0" fillId="12" borderId="84" xfId="0" applyNumberFormat="1" applyFill="1" applyBorder="1" applyAlignment="1" applyProtection="1">
      <alignment horizontal="center" vertical="center"/>
      <protection hidden="1"/>
    </xf>
    <xf numFmtId="165" fontId="48" fillId="12" borderId="84" xfId="0" applyFont="1" applyFill="1" applyBorder="1" applyAlignment="1" applyProtection="1">
      <alignment horizontal="center" vertical="center"/>
      <protection hidden="1"/>
    </xf>
    <xf numFmtId="165" fontId="48" fillId="12" borderId="84" xfId="0" applyFont="1" applyFill="1" applyBorder="1" applyProtection="1">
      <protection hidden="1"/>
    </xf>
    <xf numFmtId="165" fontId="48" fillId="12" borderId="94" xfId="0" applyFont="1" applyFill="1" applyBorder="1" applyProtection="1">
      <protection hidden="1"/>
    </xf>
    <xf numFmtId="1" fontId="48" fillId="27" borderId="99" xfId="0" applyNumberFormat="1" applyFont="1" applyFill="1" applyBorder="1" applyAlignment="1" applyProtection="1">
      <alignment horizontal="right" vertical="center"/>
      <protection hidden="1"/>
    </xf>
    <xf numFmtId="1" fontId="48" fillId="27" borderId="100" xfId="0" applyNumberFormat="1" applyFont="1" applyFill="1" applyBorder="1" applyAlignment="1" applyProtection="1">
      <alignment horizontal="right" vertical="center"/>
      <protection hidden="1"/>
    </xf>
    <xf numFmtId="1" fontId="48" fillId="27" borderId="101" xfId="0" applyNumberFormat="1" applyFont="1" applyFill="1" applyBorder="1" applyAlignment="1" applyProtection="1">
      <alignment horizontal="right" vertical="center"/>
      <protection hidden="1"/>
    </xf>
    <xf numFmtId="2" fontId="48" fillId="27" borderId="99" xfId="0" applyNumberFormat="1" applyFont="1" applyFill="1" applyBorder="1" applyAlignment="1" applyProtection="1">
      <alignment horizontal="right" vertical="center"/>
      <protection hidden="1"/>
    </xf>
    <xf numFmtId="2" fontId="48" fillId="27" borderId="100" xfId="0" applyNumberFormat="1" applyFont="1" applyFill="1" applyBorder="1" applyAlignment="1" applyProtection="1">
      <alignment horizontal="right" vertical="center"/>
      <protection hidden="1"/>
    </xf>
    <xf numFmtId="2" fontId="0" fillId="27" borderId="100" xfId="0" applyNumberFormat="1" applyFill="1" applyBorder="1" applyAlignment="1">
      <alignment horizontal="right" vertical="center"/>
    </xf>
    <xf numFmtId="2" fontId="48" fillId="27" borderId="101" xfId="0" applyNumberFormat="1" applyFont="1" applyFill="1" applyBorder="1" applyAlignment="1" applyProtection="1">
      <alignment horizontal="right" vertical="center"/>
      <protection hidden="1"/>
    </xf>
    <xf numFmtId="2" fontId="48" fillId="27" borderId="102" xfId="0" applyNumberFormat="1" applyFont="1" applyFill="1" applyBorder="1" applyAlignment="1" applyProtection="1">
      <alignment horizontal="center" vertical="center"/>
      <protection hidden="1"/>
    </xf>
    <xf numFmtId="1" fontId="48" fillId="29" borderId="105" xfId="0" applyNumberFormat="1" applyFont="1" applyFill="1" applyBorder="1" applyAlignment="1" applyProtection="1">
      <alignment horizontal="right" vertical="center"/>
      <protection hidden="1"/>
    </xf>
    <xf numFmtId="1" fontId="48" fillId="29" borderId="77" xfId="0" applyNumberFormat="1" applyFont="1" applyFill="1" applyBorder="1" applyAlignment="1" applyProtection="1">
      <alignment horizontal="right" vertical="center"/>
      <protection hidden="1"/>
    </xf>
    <xf numFmtId="1" fontId="48" fillId="29" borderId="106" xfId="0" applyNumberFormat="1" applyFont="1" applyFill="1" applyBorder="1" applyAlignment="1" applyProtection="1">
      <alignment horizontal="right" vertical="center"/>
      <protection hidden="1"/>
    </xf>
    <xf numFmtId="2" fontId="48" fillId="29" borderId="105" xfId="0" applyNumberFormat="1" applyFont="1" applyFill="1" applyBorder="1" applyAlignment="1" applyProtection="1">
      <alignment horizontal="right" vertical="center"/>
      <protection hidden="1"/>
    </xf>
    <xf numFmtId="2" fontId="48" fillId="29" borderId="77" xfId="0" applyNumberFormat="1" applyFont="1" applyFill="1" applyBorder="1" applyAlignment="1" applyProtection="1">
      <alignment horizontal="right" vertical="center"/>
      <protection hidden="1"/>
    </xf>
    <xf numFmtId="2" fontId="0" fillId="29" borderId="77" xfId="0" applyNumberFormat="1" applyFill="1" applyBorder="1" applyAlignment="1">
      <alignment horizontal="right" vertical="center"/>
    </xf>
    <xf numFmtId="2" fontId="48" fillId="29" borderId="106" xfId="0" applyNumberFormat="1" applyFont="1" applyFill="1" applyBorder="1" applyAlignment="1" applyProtection="1">
      <alignment horizontal="right" vertical="center"/>
      <protection hidden="1"/>
    </xf>
    <xf numFmtId="2" fontId="48" fillId="29" borderId="107" xfId="0" applyNumberFormat="1" applyFont="1" applyFill="1" applyBorder="1" applyAlignment="1" applyProtection="1">
      <alignment horizontal="center" vertical="center"/>
      <protection hidden="1"/>
    </xf>
    <xf numFmtId="1" fontId="48" fillId="9" borderId="105" xfId="0" applyNumberFormat="1" applyFont="1" applyFill="1" applyBorder="1" applyProtection="1">
      <protection hidden="1"/>
    </xf>
    <xf numFmtId="1" fontId="48" fillId="9" borderId="77" xfId="0" applyNumberFormat="1" applyFont="1" applyFill="1" applyBorder="1" applyAlignment="1" applyProtection="1">
      <alignment horizontal="center" vertical="center"/>
      <protection hidden="1"/>
    </xf>
    <xf numFmtId="1" fontId="48" fillId="9" borderId="106" xfId="0" applyNumberFormat="1" applyFont="1" applyFill="1" applyBorder="1" applyAlignment="1" applyProtection="1">
      <alignment horizontal="center" vertical="center"/>
      <protection hidden="1"/>
    </xf>
    <xf numFmtId="2" fontId="48" fillId="9" borderId="105" xfId="0" applyNumberFormat="1" applyFont="1" applyFill="1" applyBorder="1" applyProtection="1">
      <protection hidden="1"/>
    </xf>
    <xf numFmtId="2" fontId="48" fillId="9" borderId="77" xfId="0" applyNumberFormat="1" applyFont="1" applyFill="1" applyBorder="1" applyProtection="1">
      <protection hidden="1"/>
    </xf>
    <xf numFmtId="2" fontId="48" fillId="9" borderId="106" xfId="0" applyNumberFormat="1" applyFont="1" applyFill="1" applyBorder="1" applyProtection="1">
      <protection hidden="1"/>
    </xf>
    <xf numFmtId="2" fontId="48" fillId="9" borderId="107" xfId="0" applyNumberFormat="1" applyFont="1" applyFill="1" applyBorder="1" applyAlignment="1" applyProtection="1">
      <alignment horizontal="center" vertical="center"/>
      <protection hidden="1"/>
    </xf>
    <xf numFmtId="1" fontId="48" fillId="30" borderId="105" xfId="0" applyNumberFormat="1" applyFont="1" applyFill="1" applyBorder="1" applyAlignment="1" applyProtection="1">
      <alignment horizontal="right" vertical="center"/>
      <protection hidden="1"/>
    </xf>
    <xf numFmtId="1" fontId="48" fillId="30" borderId="77" xfId="0" applyNumberFormat="1" applyFont="1" applyFill="1" applyBorder="1" applyAlignment="1" applyProtection="1">
      <alignment horizontal="right" vertical="center"/>
      <protection hidden="1"/>
    </xf>
    <xf numFmtId="1" fontId="48" fillId="30" borderId="77" xfId="0" applyNumberFormat="1" applyFont="1" applyFill="1" applyBorder="1" applyAlignment="1" applyProtection="1">
      <alignment horizontal="right"/>
      <protection hidden="1"/>
    </xf>
    <xf numFmtId="1" fontId="48" fillId="30" borderId="106" xfId="0" applyNumberFormat="1" applyFont="1" applyFill="1" applyBorder="1" applyAlignment="1" applyProtection="1">
      <alignment horizontal="right" vertical="center"/>
      <protection hidden="1"/>
    </xf>
    <xf numFmtId="2" fontId="48" fillId="30" borderId="105" xfId="0" applyNumberFormat="1" applyFont="1" applyFill="1" applyBorder="1" applyAlignment="1" applyProtection="1">
      <alignment horizontal="right" vertical="center"/>
      <protection hidden="1"/>
    </xf>
    <xf numFmtId="2" fontId="48" fillId="30" borderId="77" xfId="0" applyNumberFormat="1" applyFont="1" applyFill="1" applyBorder="1" applyAlignment="1" applyProtection="1">
      <alignment horizontal="right" vertical="center"/>
      <protection hidden="1"/>
    </xf>
    <xf numFmtId="2" fontId="0" fillId="30" borderId="77" xfId="0" applyNumberFormat="1" applyFill="1" applyBorder="1" applyAlignment="1">
      <alignment horizontal="right"/>
    </xf>
    <xf numFmtId="2" fontId="48" fillId="30" borderId="106" xfId="0" applyNumberFormat="1" applyFont="1" applyFill="1" applyBorder="1" applyAlignment="1" applyProtection="1">
      <alignment horizontal="right" vertical="center"/>
      <protection hidden="1"/>
    </xf>
    <xf numFmtId="2" fontId="48" fillId="30" borderId="107" xfId="0" applyNumberFormat="1" applyFont="1" applyFill="1" applyBorder="1" applyAlignment="1" applyProtection="1">
      <alignment horizontal="center" vertical="center"/>
      <protection hidden="1"/>
    </xf>
    <xf numFmtId="1" fontId="57" fillId="31" borderId="77" xfId="0" applyNumberFormat="1" applyFont="1" applyFill="1" applyBorder="1" applyAlignment="1" applyProtection="1">
      <alignment horizontal="center" vertical="center"/>
      <protection hidden="1"/>
    </xf>
    <xf numFmtId="1" fontId="48" fillId="31" borderId="77" xfId="0" applyNumberFormat="1" applyFont="1" applyFill="1" applyBorder="1" applyAlignment="1" applyProtection="1">
      <alignment horizontal="center" vertical="center"/>
      <protection hidden="1"/>
    </xf>
    <xf numFmtId="1" fontId="56" fillId="31" borderId="106" xfId="0" applyNumberFormat="1" applyFont="1" applyFill="1" applyBorder="1" applyAlignment="1" applyProtection="1">
      <alignment horizontal="center" vertical="center"/>
      <protection hidden="1"/>
    </xf>
    <xf numFmtId="2" fontId="48" fillId="31" borderId="107" xfId="0" applyNumberFormat="1" applyFont="1" applyFill="1" applyBorder="1" applyAlignment="1" applyProtection="1">
      <alignment horizontal="center" vertical="center"/>
      <protection hidden="1"/>
    </xf>
    <xf numFmtId="1" fontId="57" fillId="35" borderId="77" xfId="0" applyNumberFormat="1" applyFont="1" applyFill="1" applyBorder="1" applyAlignment="1" applyProtection="1">
      <alignment horizontal="center" vertical="center"/>
      <protection hidden="1"/>
    </xf>
    <xf numFmtId="1" fontId="48" fillId="35" borderId="77" xfId="0" applyNumberFormat="1" applyFont="1" applyFill="1" applyBorder="1" applyAlignment="1" applyProtection="1">
      <alignment horizontal="center" vertical="center"/>
      <protection hidden="1"/>
    </xf>
    <xf numFmtId="1" fontId="48" fillId="35" borderId="106" xfId="0" applyNumberFormat="1" applyFont="1" applyFill="1" applyBorder="1" applyAlignment="1" applyProtection="1">
      <alignment horizontal="center" vertical="center"/>
      <protection hidden="1"/>
    </xf>
    <xf numFmtId="2" fontId="48" fillId="35" borderId="107" xfId="0" applyNumberFormat="1" applyFont="1" applyFill="1" applyBorder="1" applyAlignment="1" applyProtection="1">
      <alignment horizontal="center" vertical="center"/>
      <protection hidden="1"/>
    </xf>
    <xf numFmtId="1" fontId="57" fillId="22" borderId="77" xfId="0" applyNumberFormat="1" applyFont="1" applyFill="1" applyBorder="1" applyAlignment="1" applyProtection="1">
      <alignment horizontal="center" vertical="center"/>
      <protection hidden="1"/>
    </xf>
    <xf numFmtId="1" fontId="56" fillId="22" borderId="77" xfId="0" applyNumberFormat="1" applyFont="1" applyFill="1" applyBorder="1" applyAlignment="1" applyProtection="1">
      <alignment horizontal="center" vertical="center"/>
      <protection hidden="1"/>
    </xf>
    <xf numFmtId="1" fontId="48" fillId="22" borderId="77" xfId="0" applyNumberFormat="1" applyFont="1" applyFill="1" applyBorder="1" applyAlignment="1" applyProtection="1">
      <alignment horizontal="center" vertical="center"/>
      <protection hidden="1"/>
    </xf>
    <xf numFmtId="1" fontId="56" fillId="22" borderId="106" xfId="0" applyNumberFormat="1" applyFont="1" applyFill="1" applyBorder="1" applyAlignment="1" applyProtection="1">
      <alignment horizontal="center" vertical="center"/>
      <protection hidden="1"/>
    </xf>
    <xf numFmtId="2" fontId="48" fillId="22" borderId="107" xfId="0" applyNumberFormat="1" applyFont="1" applyFill="1" applyBorder="1" applyAlignment="1" applyProtection="1">
      <alignment horizontal="center" vertical="center"/>
      <protection hidden="1"/>
    </xf>
    <xf numFmtId="1" fontId="48" fillId="10" borderId="77" xfId="0" applyNumberFormat="1" applyFont="1" applyFill="1" applyBorder="1" applyAlignment="1" applyProtection="1">
      <alignment horizontal="center" vertical="center"/>
      <protection hidden="1"/>
    </xf>
    <xf numFmtId="1" fontId="48" fillId="10" borderId="106" xfId="0" applyNumberFormat="1" applyFont="1" applyFill="1" applyBorder="1" applyAlignment="1" applyProtection="1">
      <alignment horizontal="center" vertical="center"/>
      <protection hidden="1"/>
    </xf>
    <xf numFmtId="1" fontId="48" fillId="5" borderId="105" xfId="0" applyNumberFormat="1" applyFont="1" applyFill="1" applyBorder="1" applyProtection="1">
      <protection hidden="1"/>
    </xf>
    <xf numFmtId="1" fontId="48" fillId="5" borderId="77" xfId="0" applyNumberFormat="1" applyFont="1" applyFill="1" applyBorder="1" applyAlignment="1" applyProtection="1">
      <alignment horizontal="center" vertical="center"/>
      <protection hidden="1"/>
    </xf>
    <xf numFmtId="1" fontId="48" fillId="5" borderId="106" xfId="0" applyNumberFormat="1" applyFont="1" applyFill="1" applyBorder="1" applyAlignment="1" applyProtection="1">
      <alignment horizontal="center" vertical="center"/>
      <protection hidden="1"/>
    </xf>
    <xf numFmtId="2" fontId="48" fillId="5" borderId="105" xfId="0" applyNumberFormat="1" applyFont="1" applyFill="1" applyBorder="1" applyProtection="1">
      <protection hidden="1"/>
    </xf>
    <xf numFmtId="2" fontId="48" fillId="5" borderId="77" xfId="0" applyNumberFormat="1" applyFont="1" applyFill="1" applyBorder="1" applyProtection="1">
      <protection hidden="1"/>
    </xf>
    <xf numFmtId="2" fontId="48" fillId="5" borderId="106" xfId="0" applyNumberFormat="1" applyFont="1" applyFill="1" applyBorder="1" applyProtection="1">
      <protection hidden="1"/>
    </xf>
    <xf numFmtId="1" fontId="48" fillId="32" borderId="105" xfId="0" applyNumberFormat="1" applyFont="1" applyFill="1" applyBorder="1" applyProtection="1">
      <protection hidden="1"/>
    </xf>
    <xf numFmtId="1" fontId="48" fillId="32" borderId="77" xfId="0" applyNumberFormat="1" applyFont="1" applyFill="1" applyBorder="1" applyAlignment="1" applyProtection="1">
      <alignment horizontal="center" vertical="center"/>
      <protection hidden="1"/>
    </xf>
    <xf numFmtId="1" fontId="48" fillId="32" borderId="106" xfId="0" applyNumberFormat="1" applyFont="1" applyFill="1" applyBorder="1" applyAlignment="1" applyProtection="1">
      <alignment horizontal="center" vertical="center"/>
      <protection hidden="1"/>
    </xf>
    <xf numFmtId="2" fontId="48" fillId="32" borderId="105" xfId="0" applyNumberFormat="1" applyFont="1" applyFill="1" applyBorder="1" applyProtection="1">
      <protection hidden="1"/>
    </xf>
    <xf numFmtId="2" fontId="48" fillId="32" borderId="77" xfId="0" applyNumberFormat="1" applyFont="1" applyFill="1" applyBorder="1" applyProtection="1">
      <protection hidden="1"/>
    </xf>
    <xf numFmtId="2" fontId="48" fillId="32" borderId="106" xfId="0" applyNumberFormat="1" applyFont="1" applyFill="1" applyBorder="1" applyProtection="1">
      <protection hidden="1"/>
    </xf>
    <xf numFmtId="1" fontId="48" fillId="4" borderId="105" xfId="0" applyNumberFormat="1" applyFont="1" applyFill="1" applyBorder="1" applyProtection="1">
      <protection hidden="1"/>
    </xf>
    <xf numFmtId="1" fontId="48" fillId="4" borderId="77" xfId="0" applyNumberFormat="1" applyFont="1" applyFill="1" applyBorder="1" applyAlignment="1" applyProtection="1">
      <alignment horizontal="center" vertical="center"/>
      <protection hidden="1"/>
    </xf>
    <xf numFmtId="1" fontId="48" fillId="4" borderId="106" xfId="0" applyNumberFormat="1" applyFont="1" applyFill="1" applyBorder="1" applyAlignment="1" applyProtection="1">
      <alignment horizontal="center" vertical="center"/>
      <protection hidden="1"/>
    </xf>
    <xf numFmtId="2" fontId="48" fillId="4" borderId="105" xfId="0" applyNumberFormat="1" applyFont="1" applyFill="1" applyBorder="1" applyProtection="1">
      <protection hidden="1"/>
    </xf>
    <xf numFmtId="2" fontId="48" fillId="4" borderId="77" xfId="0" applyNumberFormat="1" applyFont="1" applyFill="1" applyBorder="1" applyProtection="1">
      <protection hidden="1"/>
    </xf>
    <xf numFmtId="2" fontId="48" fillId="4" borderId="106" xfId="0" applyNumberFormat="1" applyFont="1" applyFill="1" applyBorder="1" applyProtection="1">
      <protection hidden="1"/>
    </xf>
    <xf numFmtId="1" fontId="48" fillId="33" borderId="96" xfId="0" applyNumberFormat="1" applyFont="1" applyFill="1" applyBorder="1" applyProtection="1">
      <protection hidden="1"/>
    </xf>
    <xf numFmtId="1" fontId="48" fillId="33" borderId="78" xfId="0" applyNumberFormat="1" applyFont="1" applyFill="1" applyBorder="1" applyAlignment="1" applyProtection="1">
      <alignment horizontal="center" vertical="center"/>
      <protection hidden="1"/>
    </xf>
    <xf numFmtId="1" fontId="48" fillId="33" borderId="97" xfId="0" applyNumberFormat="1" applyFont="1" applyFill="1" applyBorder="1" applyAlignment="1" applyProtection="1">
      <alignment horizontal="center" vertical="center"/>
      <protection hidden="1"/>
    </xf>
    <xf numFmtId="2" fontId="48" fillId="33" borderId="96" xfId="0" applyNumberFormat="1" applyFont="1" applyFill="1" applyBorder="1" applyProtection="1">
      <protection hidden="1"/>
    </xf>
    <xf numFmtId="2" fontId="48" fillId="33" borderId="78" xfId="0" applyNumberFormat="1" applyFont="1" applyFill="1" applyBorder="1" applyProtection="1">
      <protection hidden="1"/>
    </xf>
    <xf numFmtId="2" fontId="48" fillId="33" borderId="97" xfId="0" applyNumberFormat="1" applyFont="1" applyFill="1" applyBorder="1" applyProtection="1">
      <protection hidden="1"/>
    </xf>
    <xf numFmtId="165" fontId="48" fillId="12" borderId="83" xfId="0" applyFont="1" applyFill="1" applyBorder="1" applyProtection="1">
      <protection hidden="1"/>
    </xf>
    <xf numFmtId="2" fontId="48" fillId="12" borderId="111" xfId="0" applyNumberFormat="1" applyFont="1" applyFill="1" applyBorder="1" applyAlignment="1" applyProtection="1">
      <alignment horizontal="right" vertical="center"/>
      <protection hidden="1"/>
    </xf>
    <xf numFmtId="2" fontId="48" fillId="12" borderId="111" xfId="0" applyNumberFormat="1" applyFont="1" applyFill="1" applyBorder="1" applyProtection="1">
      <protection hidden="1"/>
    </xf>
    <xf numFmtId="2" fontId="48" fillId="12" borderId="112" xfId="0" applyNumberFormat="1" applyFont="1" applyFill="1" applyBorder="1" applyProtection="1">
      <protection hidden="1"/>
    </xf>
    <xf numFmtId="165" fontId="48" fillId="12" borderId="94" xfId="0" applyFont="1" applyFill="1" applyBorder="1" applyAlignment="1" applyProtection="1">
      <alignment horizontal="right"/>
      <protection hidden="1"/>
    </xf>
    <xf numFmtId="165" fontId="48" fillId="12" borderId="110" xfId="0" applyFont="1" applyFill="1" applyBorder="1" applyAlignment="1" applyProtection="1">
      <alignment horizontal="center" vertical="center"/>
      <protection hidden="1"/>
    </xf>
    <xf numFmtId="1" fontId="48" fillId="12" borderId="116" xfId="0" applyNumberFormat="1" applyFont="1" applyFill="1" applyBorder="1" applyAlignment="1" applyProtection="1">
      <alignment horizontal="center" vertical="center"/>
      <protection hidden="1"/>
    </xf>
    <xf numFmtId="2" fontId="48" fillId="12" borderId="100" xfId="0" applyNumberFormat="1" applyFont="1" applyFill="1" applyBorder="1" applyAlignment="1" applyProtection="1">
      <alignment horizontal="center" vertical="center"/>
      <protection hidden="1"/>
    </xf>
    <xf numFmtId="1" fontId="48" fillId="12" borderId="118" xfId="0" applyNumberFormat="1" applyFont="1" applyFill="1" applyBorder="1" applyAlignment="1" applyProtection="1">
      <alignment horizontal="center" vertical="center"/>
      <protection hidden="1"/>
    </xf>
    <xf numFmtId="1" fontId="48" fillId="12" borderId="88" xfId="0" applyNumberFormat="1" applyFont="1" applyFill="1" applyBorder="1" applyProtection="1">
      <protection hidden="1"/>
    </xf>
    <xf numFmtId="1" fontId="48" fillId="12" borderId="119" xfId="0" applyNumberFormat="1" applyFont="1" applyFill="1" applyBorder="1" applyAlignment="1" applyProtection="1">
      <alignment horizontal="center" vertical="center"/>
      <protection hidden="1"/>
    </xf>
    <xf numFmtId="1" fontId="56" fillId="12" borderId="76" xfId="0" applyNumberFormat="1" applyFont="1" applyFill="1" applyBorder="1" applyAlignment="1" applyProtection="1">
      <alignment horizontal="center" vertical="center"/>
      <protection hidden="1"/>
    </xf>
    <xf numFmtId="2" fontId="48" fillId="12" borderId="119" xfId="0" applyNumberFormat="1" applyFont="1" applyFill="1" applyBorder="1" applyProtection="1">
      <protection hidden="1"/>
    </xf>
    <xf numFmtId="2" fontId="48" fillId="12" borderId="76" xfId="0" applyNumberFormat="1" applyFont="1" applyFill="1" applyBorder="1" applyProtection="1">
      <protection hidden="1"/>
    </xf>
    <xf numFmtId="2" fontId="48" fillId="12" borderId="90" xfId="0" applyNumberFormat="1" applyFont="1" applyFill="1" applyBorder="1" applyProtection="1">
      <protection hidden="1"/>
    </xf>
    <xf numFmtId="2" fontId="48" fillId="12" borderId="77" xfId="0" applyNumberFormat="1" applyFont="1" applyFill="1" applyBorder="1" applyAlignment="1" applyProtection="1">
      <alignment horizontal="center" vertical="center"/>
      <protection hidden="1"/>
    </xf>
    <xf numFmtId="1" fontId="48" fillId="12" borderId="120" xfId="0" applyNumberFormat="1" applyFont="1" applyFill="1" applyBorder="1" applyAlignment="1" applyProtection="1">
      <alignment horizontal="center" vertical="center"/>
      <protection hidden="1"/>
    </xf>
    <xf numFmtId="1" fontId="56" fillId="12" borderId="107" xfId="0" applyNumberFormat="1" applyFont="1" applyFill="1" applyBorder="1" applyAlignment="1" applyProtection="1">
      <alignment horizontal="center" vertical="center"/>
      <protection hidden="1"/>
    </xf>
    <xf numFmtId="1" fontId="56" fillId="12" borderId="77" xfId="0" applyNumberFormat="1" applyFont="1" applyFill="1" applyBorder="1" applyAlignment="1" applyProtection="1">
      <alignment horizontal="center" vertical="center"/>
      <protection hidden="1"/>
    </xf>
    <xf numFmtId="1" fontId="56" fillId="12" borderId="106" xfId="0" applyNumberFormat="1" applyFont="1" applyFill="1" applyBorder="1" applyAlignment="1" applyProtection="1">
      <alignment horizontal="center" vertical="center"/>
      <protection hidden="1"/>
    </xf>
    <xf numFmtId="2" fontId="48" fillId="12" borderId="102" xfId="0" applyNumberFormat="1" applyFont="1" applyFill="1" applyBorder="1" applyProtection="1">
      <protection hidden="1"/>
    </xf>
    <xf numFmtId="2" fontId="48" fillId="12" borderId="100" xfId="0" applyNumberFormat="1" applyFont="1" applyFill="1" applyBorder="1" applyProtection="1">
      <protection hidden="1"/>
    </xf>
    <xf numFmtId="2" fontId="48" fillId="12" borderId="101" xfId="0" applyNumberFormat="1" applyFont="1" applyFill="1" applyBorder="1" applyProtection="1">
      <protection hidden="1"/>
    </xf>
    <xf numFmtId="1" fontId="48" fillId="12" borderId="107" xfId="0" applyNumberFormat="1" applyFont="1" applyFill="1" applyBorder="1" applyAlignment="1" applyProtection="1">
      <alignment horizontal="center" vertical="center"/>
      <protection hidden="1"/>
    </xf>
    <xf numFmtId="1" fontId="48" fillId="12" borderId="121" xfId="0" applyNumberFormat="1" applyFont="1" applyFill="1" applyBorder="1" applyAlignment="1" applyProtection="1">
      <alignment horizontal="center" vertical="center"/>
      <protection hidden="1"/>
    </xf>
    <xf numFmtId="1" fontId="56" fillId="12" borderId="122" xfId="0" applyNumberFormat="1" applyFont="1" applyFill="1" applyBorder="1" applyProtection="1">
      <protection hidden="1"/>
    </xf>
    <xf numFmtId="1" fontId="56" fillId="12" borderId="123" xfId="0" applyNumberFormat="1" applyFont="1" applyFill="1" applyBorder="1" applyAlignment="1" applyProtection="1">
      <alignment horizontal="center" vertical="center"/>
      <protection hidden="1"/>
    </xf>
    <xf numFmtId="1" fontId="56" fillId="12" borderId="115" xfId="0" applyNumberFormat="1" applyFont="1" applyFill="1" applyBorder="1" applyAlignment="1" applyProtection="1">
      <alignment horizontal="center" vertical="center"/>
      <protection hidden="1"/>
    </xf>
    <xf numFmtId="1" fontId="56" fillId="12" borderId="116" xfId="0" applyNumberFormat="1" applyFont="1" applyFill="1" applyBorder="1" applyAlignment="1" applyProtection="1">
      <alignment horizontal="center" vertical="center"/>
      <protection hidden="1"/>
    </xf>
    <xf numFmtId="1" fontId="48" fillId="12" borderId="124" xfId="0" applyNumberFormat="1" applyFont="1" applyFill="1" applyBorder="1" applyAlignment="1" applyProtection="1">
      <alignment horizontal="center" vertical="center"/>
      <protection hidden="1"/>
    </xf>
    <xf numFmtId="1" fontId="48" fillId="12" borderId="125" xfId="0" applyNumberFormat="1" applyFont="1" applyFill="1" applyBorder="1" applyAlignment="1" applyProtection="1">
      <alignment horizontal="center" vertical="center"/>
      <protection hidden="1"/>
    </xf>
    <xf numFmtId="2" fontId="48" fillId="12" borderId="85" xfId="0" applyNumberFormat="1" applyFont="1" applyFill="1" applyBorder="1" applyProtection="1">
      <protection hidden="1"/>
    </xf>
    <xf numFmtId="2" fontId="48" fillId="12" borderId="86" xfId="0" applyNumberFormat="1" applyFont="1" applyFill="1" applyBorder="1" applyProtection="1">
      <protection hidden="1"/>
    </xf>
    <xf numFmtId="2" fontId="48" fillId="12" borderId="87" xfId="0" applyNumberFormat="1" applyFont="1" applyFill="1" applyBorder="1" applyProtection="1">
      <protection hidden="1"/>
    </xf>
    <xf numFmtId="1" fontId="0" fillId="12" borderId="0" xfId="0" applyNumberFormat="1" applyFill="1" applyAlignment="1" applyProtection="1">
      <alignment horizontal="center" vertical="center"/>
      <protection hidden="1"/>
    </xf>
    <xf numFmtId="172" fontId="48" fillId="12" borderId="3" xfId="0" applyNumberFormat="1" applyFont="1" applyFill="1" applyBorder="1" applyAlignment="1" applyProtection="1">
      <alignment vertical="center"/>
      <protection hidden="1"/>
    </xf>
    <xf numFmtId="1" fontId="48" fillId="12" borderId="50" xfId="0" applyNumberFormat="1" applyFont="1" applyFill="1" applyBorder="1" applyAlignment="1" applyProtection="1">
      <alignment vertical="center"/>
      <protection hidden="1"/>
    </xf>
    <xf numFmtId="1" fontId="48" fillId="12" borderId="130" xfId="0" applyNumberFormat="1" applyFont="1" applyFill="1" applyBorder="1" applyAlignment="1" applyProtection="1">
      <alignment vertical="center"/>
      <protection hidden="1"/>
    </xf>
    <xf numFmtId="1" fontId="48" fillId="12" borderId="131" xfId="0" applyNumberFormat="1" applyFont="1" applyFill="1" applyBorder="1" applyAlignment="1" applyProtection="1">
      <alignment vertical="center"/>
      <protection hidden="1"/>
    </xf>
    <xf numFmtId="1" fontId="48" fillId="12" borderId="23" xfId="0" applyNumberFormat="1" applyFont="1" applyFill="1" applyBorder="1" applyAlignment="1" applyProtection="1">
      <alignment vertical="center"/>
      <protection hidden="1"/>
    </xf>
    <xf numFmtId="1" fontId="0" fillId="12" borderId="131" xfId="0" applyNumberFormat="1" applyFill="1" applyBorder="1" applyAlignment="1" applyProtection="1">
      <alignment vertical="center"/>
      <protection hidden="1"/>
    </xf>
    <xf numFmtId="165" fontId="61" fillId="12" borderId="0" xfId="0" applyFont="1" applyFill="1" applyAlignment="1" applyProtection="1">
      <alignment horizontal="center" vertical="center"/>
      <protection hidden="1"/>
    </xf>
    <xf numFmtId="165" fontId="48" fillId="12" borderId="27" xfId="0" applyFont="1" applyFill="1" applyBorder="1" applyAlignment="1">
      <alignment horizontal="center" vertical="center" textRotation="45"/>
    </xf>
    <xf numFmtId="1" fontId="48" fillId="12" borderId="0" xfId="0" applyNumberFormat="1" applyFont="1" applyFill="1" applyAlignment="1">
      <alignment horizontal="center" vertical="center" textRotation="45"/>
    </xf>
    <xf numFmtId="165" fontId="48" fillId="12" borderId="28" xfId="0" applyFont="1" applyFill="1" applyBorder="1" applyAlignment="1">
      <alignment horizontal="center" vertical="center" textRotation="45"/>
    </xf>
    <xf numFmtId="1" fontId="48" fillId="12" borderId="3" xfId="0" applyNumberFormat="1" applyFont="1" applyFill="1" applyBorder="1" applyAlignment="1" applyProtection="1">
      <alignment vertical="center"/>
      <protection hidden="1"/>
    </xf>
    <xf numFmtId="1" fontId="48" fillId="12" borderId="132" xfId="0" applyNumberFormat="1" applyFont="1" applyFill="1" applyBorder="1" applyAlignment="1" applyProtection="1">
      <alignment vertical="center"/>
      <protection hidden="1"/>
    </xf>
    <xf numFmtId="1" fontId="48" fillId="12" borderId="133" xfId="0" applyNumberFormat="1" applyFont="1" applyFill="1" applyBorder="1" applyAlignment="1" applyProtection="1">
      <alignment vertical="center"/>
      <protection hidden="1"/>
    </xf>
    <xf numFmtId="1" fontId="0" fillId="12" borderId="3" xfId="0" applyNumberFormat="1" applyFill="1" applyBorder="1" applyAlignment="1" applyProtection="1">
      <alignment vertical="center"/>
      <protection hidden="1"/>
    </xf>
    <xf numFmtId="1" fontId="0" fillId="12" borderId="133" xfId="0" applyNumberFormat="1" applyFill="1" applyBorder="1" applyAlignment="1" applyProtection="1">
      <alignment vertical="center"/>
      <protection hidden="1"/>
    </xf>
    <xf numFmtId="165" fontId="48" fillId="12" borderId="0" xfId="0" applyFont="1" applyFill="1" applyAlignment="1" applyProtection="1">
      <alignment vertical="center"/>
      <protection hidden="1"/>
    </xf>
    <xf numFmtId="1" fontId="60" fillId="27" borderId="88" xfId="0" applyNumberFormat="1" applyFont="1" applyFill="1" applyBorder="1" applyAlignment="1" applyProtection="1">
      <alignment horizontal="center" vertical="center"/>
      <protection hidden="1"/>
    </xf>
    <xf numFmtId="1" fontId="60" fillId="27" borderId="134" xfId="0" applyNumberFormat="1" applyFont="1" applyFill="1" applyBorder="1" applyAlignment="1" applyProtection="1">
      <alignment horizontal="center" vertical="center"/>
      <protection hidden="1"/>
    </xf>
    <xf numFmtId="165" fontId="60" fillId="27" borderId="134" xfId="0" applyFont="1" applyFill="1" applyBorder="1" applyAlignment="1" applyProtection="1">
      <alignment horizontal="center" vertical="center"/>
      <protection hidden="1"/>
    </xf>
    <xf numFmtId="165" fontId="60" fillId="27" borderId="135" xfId="0" applyFont="1" applyFill="1" applyBorder="1" applyAlignment="1" applyProtection="1">
      <alignment horizontal="center" vertical="center"/>
      <protection hidden="1"/>
    </xf>
    <xf numFmtId="1" fontId="60" fillId="27" borderId="136" xfId="0" applyNumberFormat="1" applyFont="1" applyFill="1" applyBorder="1" applyProtection="1">
      <protection hidden="1"/>
    </xf>
    <xf numFmtId="1" fontId="60" fillId="27" borderId="88" xfId="0" applyNumberFormat="1" applyFont="1" applyFill="1" applyBorder="1" applyProtection="1">
      <protection hidden="1"/>
    </xf>
    <xf numFmtId="1" fontId="60" fillId="27" borderId="137" xfId="0" applyNumberFormat="1" applyFont="1" applyFill="1" applyBorder="1" applyProtection="1">
      <protection hidden="1"/>
    </xf>
    <xf numFmtId="1" fontId="60" fillId="27" borderId="134" xfId="0" applyNumberFormat="1" applyFont="1" applyFill="1" applyBorder="1" applyProtection="1">
      <protection hidden="1"/>
    </xf>
    <xf numFmtId="1" fontId="60" fillId="27" borderId="118" xfId="0" applyNumberFormat="1" applyFont="1" applyFill="1" applyBorder="1" applyProtection="1">
      <protection hidden="1"/>
    </xf>
    <xf numFmtId="1" fontId="60" fillId="27" borderId="138" xfId="0" applyNumberFormat="1" applyFont="1" applyFill="1" applyBorder="1" applyAlignment="1" applyProtection="1">
      <alignment horizontal="center" vertical="center"/>
      <protection hidden="1"/>
    </xf>
    <xf numFmtId="165" fontId="60" fillId="27" borderId="138" xfId="0" applyFont="1" applyFill="1" applyBorder="1" applyAlignment="1" applyProtection="1">
      <alignment horizontal="center" vertical="center"/>
      <protection hidden="1"/>
    </xf>
    <xf numFmtId="165" fontId="60" fillId="27" borderId="139" xfId="0" applyFont="1" applyFill="1" applyBorder="1" applyAlignment="1" applyProtection="1">
      <alignment horizontal="center" vertical="center"/>
      <protection hidden="1"/>
    </xf>
    <xf numFmtId="1" fontId="60" fillId="27" borderId="140" xfId="0" applyNumberFormat="1" applyFont="1" applyFill="1" applyBorder="1" applyProtection="1">
      <protection hidden="1"/>
    </xf>
    <xf numFmtId="1" fontId="60" fillId="27" borderId="104" xfId="0" applyNumberFormat="1" applyFont="1" applyFill="1" applyBorder="1" applyProtection="1">
      <protection hidden="1"/>
    </xf>
    <xf numFmtId="1" fontId="60" fillId="27" borderId="141" xfId="0" applyNumberFormat="1" applyFont="1" applyFill="1" applyBorder="1" applyProtection="1">
      <protection hidden="1"/>
    </xf>
    <xf numFmtId="1" fontId="60" fillId="27" borderId="138" xfId="0" applyNumberFormat="1" applyFont="1" applyFill="1" applyBorder="1" applyProtection="1">
      <protection hidden="1"/>
    </xf>
    <xf numFmtId="1" fontId="60" fillId="27" borderId="120" xfId="0" applyNumberFormat="1" applyFont="1" applyFill="1" applyBorder="1" applyProtection="1">
      <protection hidden="1"/>
    </xf>
    <xf numFmtId="1" fontId="64" fillId="27" borderId="138" xfId="1" applyNumberFormat="1" applyFont="1" applyFill="1" applyBorder="1" applyAlignment="1" applyProtection="1">
      <alignment horizontal="center" vertical="center"/>
      <protection hidden="1"/>
    </xf>
    <xf numFmtId="1" fontId="60" fillId="27" borderId="104" xfId="0" applyNumberFormat="1" applyFont="1" applyFill="1" applyBorder="1" applyAlignment="1" applyProtection="1">
      <alignment horizontal="center" vertical="center"/>
      <protection hidden="1"/>
    </xf>
    <xf numFmtId="1" fontId="64" fillId="27" borderId="142" xfId="1" applyNumberFormat="1" applyFont="1" applyFill="1" applyBorder="1" applyAlignment="1" applyProtection="1">
      <alignment horizontal="center" vertical="center"/>
      <protection hidden="1"/>
    </xf>
    <xf numFmtId="1" fontId="60" fillId="27" borderId="95" xfId="0" applyNumberFormat="1" applyFont="1" applyFill="1" applyBorder="1" applyAlignment="1" applyProtection="1">
      <alignment horizontal="center" vertical="center"/>
      <protection hidden="1"/>
    </xf>
    <xf numFmtId="1" fontId="60" fillId="27" borderId="142" xfId="0" applyNumberFormat="1" applyFont="1" applyFill="1" applyBorder="1" applyAlignment="1" applyProtection="1">
      <alignment horizontal="center" vertical="center"/>
      <protection hidden="1"/>
    </xf>
    <xf numFmtId="165" fontId="60" fillId="27" borderId="142" xfId="0" applyFont="1" applyFill="1" applyBorder="1" applyAlignment="1" applyProtection="1">
      <alignment horizontal="center" vertical="center"/>
      <protection hidden="1"/>
    </xf>
    <xf numFmtId="165" fontId="60" fillId="27" borderId="143" xfId="0" applyFont="1" applyFill="1" applyBorder="1" applyAlignment="1" applyProtection="1">
      <alignment horizontal="center" vertical="center"/>
      <protection hidden="1"/>
    </xf>
    <xf numFmtId="1" fontId="60" fillId="27" borderId="144" xfId="0" applyNumberFormat="1" applyFont="1" applyFill="1" applyBorder="1" applyProtection="1">
      <protection hidden="1"/>
    </xf>
    <xf numFmtId="1" fontId="60" fillId="27" borderId="95" xfId="0" applyNumberFormat="1" applyFont="1" applyFill="1" applyBorder="1" applyProtection="1">
      <protection hidden="1"/>
    </xf>
    <xf numFmtId="1" fontId="60" fillId="27" borderId="145" xfId="0" applyNumberFormat="1" applyFont="1" applyFill="1" applyBorder="1" applyProtection="1">
      <protection hidden="1"/>
    </xf>
    <xf numFmtId="1" fontId="60" fillId="27" borderId="142" xfId="0" applyNumberFormat="1" applyFont="1" applyFill="1" applyBorder="1" applyProtection="1">
      <protection hidden="1"/>
    </xf>
    <xf numFmtId="1" fontId="60" fillId="27" borderId="125" xfId="0" applyNumberFormat="1" applyFont="1" applyFill="1" applyBorder="1" applyProtection="1">
      <protection hidden="1"/>
    </xf>
    <xf numFmtId="1" fontId="60" fillId="29" borderId="88" xfId="0" applyNumberFormat="1" applyFont="1" applyFill="1" applyBorder="1" applyAlignment="1" applyProtection="1">
      <alignment horizontal="center" vertical="center"/>
      <protection hidden="1"/>
    </xf>
    <xf numFmtId="1" fontId="60" fillId="29" borderId="134" xfId="0" applyNumberFormat="1" applyFont="1" applyFill="1" applyBorder="1" applyAlignment="1" applyProtection="1">
      <alignment horizontal="center" vertical="center"/>
      <protection hidden="1"/>
    </xf>
    <xf numFmtId="165" fontId="60" fillId="29" borderId="134" xfId="0" applyFont="1" applyFill="1" applyBorder="1" applyAlignment="1" applyProtection="1">
      <alignment horizontal="center" vertical="center"/>
      <protection hidden="1"/>
    </xf>
    <xf numFmtId="165" fontId="60" fillId="29" borderId="135" xfId="0" applyFont="1" applyFill="1" applyBorder="1" applyAlignment="1" applyProtection="1">
      <alignment horizontal="center" vertical="center"/>
      <protection hidden="1"/>
    </xf>
    <xf numFmtId="1" fontId="60" fillId="29" borderId="136" xfId="0" applyNumberFormat="1" applyFont="1" applyFill="1" applyBorder="1" applyProtection="1">
      <protection hidden="1"/>
    </xf>
    <xf numFmtId="1" fontId="60" fillId="29" borderId="88" xfId="0" applyNumberFormat="1" applyFont="1" applyFill="1" applyBorder="1" applyProtection="1">
      <protection hidden="1"/>
    </xf>
    <xf numFmtId="1" fontId="60" fillId="29" borderId="137" xfId="0" applyNumberFormat="1" applyFont="1" applyFill="1" applyBorder="1" applyProtection="1">
      <protection hidden="1"/>
    </xf>
    <xf numFmtId="1" fontId="60" fillId="29" borderId="134" xfId="0" applyNumberFormat="1" applyFont="1" applyFill="1" applyBorder="1" applyProtection="1">
      <protection hidden="1"/>
    </xf>
    <xf numFmtId="1" fontId="60" fillId="29" borderId="118" xfId="0" applyNumberFormat="1" applyFont="1" applyFill="1" applyBorder="1" applyProtection="1">
      <protection hidden="1"/>
    </xf>
    <xf numFmtId="1" fontId="60" fillId="29" borderId="104" xfId="0" applyNumberFormat="1" applyFont="1" applyFill="1" applyBorder="1" applyAlignment="1" applyProtection="1">
      <alignment horizontal="center" vertical="center"/>
      <protection hidden="1"/>
    </xf>
    <xf numFmtId="1" fontId="60" fillId="29" borderId="138" xfId="0" applyNumberFormat="1" applyFont="1" applyFill="1" applyBorder="1" applyAlignment="1" applyProtection="1">
      <alignment horizontal="center" vertical="center"/>
      <protection hidden="1"/>
    </xf>
    <xf numFmtId="165" fontId="60" fillId="29" borderId="138" xfId="0" applyFont="1" applyFill="1" applyBorder="1" applyAlignment="1" applyProtection="1">
      <alignment horizontal="center" vertical="center"/>
      <protection hidden="1"/>
    </xf>
    <xf numFmtId="165" fontId="60" fillId="29" borderId="139" xfId="0" applyFont="1" applyFill="1" applyBorder="1" applyAlignment="1" applyProtection="1">
      <alignment horizontal="center" vertical="center"/>
      <protection hidden="1"/>
    </xf>
    <xf numFmtId="1" fontId="60" fillId="29" borderId="140" xfId="0" applyNumberFormat="1" applyFont="1" applyFill="1" applyBorder="1" applyProtection="1">
      <protection hidden="1"/>
    </xf>
    <xf numFmtId="1" fontId="60" fillId="29" borderId="104" xfId="0" applyNumberFormat="1" applyFont="1" applyFill="1" applyBorder="1" applyProtection="1">
      <protection hidden="1"/>
    </xf>
    <xf numFmtId="1" fontId="60" fillId="29" borderId="141" xfId="0" applyNumberFormat="1" applyFont="1" applyFill="1" applyBorder="1" applyProtection="1">
      <protection hidden="1"/>
    </xf>
    <xf numFmtId="1" fontId="60" fillId="29" borderId="138" xfId="0" applyNumberFormat="1" applyFont="1" applyFill="1" applyBorder="1" applyProtection="1">
      <protection hidden="1"/>
    </xf>
    <xf numFmtId="1" fontId="60" fillId="29" borderId="120" xfId="0" applyNumberFormat="1" applyFont="1" applyFill="1" applyBorder="1" applyProtection="1">
      <protection hidden="1"/>
    </xf>
    <xf numFmtId="1" fontId="64" fillId="29" borderId="138" xfId="1" applyNumberFormat="1" applyFont="1" applyFill="1" applyBorder="1" applyAlignment="1" applyProtection="1">
      <alignment horizontal="center" vertical="center"/>
      <protection hidden="1"/>
    </xf>
    <xf numFmtId="1" fontId="64" fillId="29" borderId="142" xfId="1" applyNumberFormat="1" applyFont="1" applyFill="1" applyBorder="1" applyAlignment="1" applyProtection="1">
      <alignment horizontal="center" vertical="center"/>
      <protection hidden="1"/>
    </xf>
    <xf numFmtId="1" fontId="60" fillId="29" borderId="95" xfId="0" applyNumberFormat="1" applyFont="1" applyFill="1" applyBorder="1" applyAlignment="1" applyProtection="1">
      <alignment horizontal="center" vertical="center"/>
      <protection hidden="1"/>
    </xf>
    <xf numFmtId="1" fontId="60" fillId="29" borderId="142" xfId="0" applyNumberFormat="1" applyFont="1" applyFill="1" applyBorder="1" applyAlignment="1" applyProtection="1">
      <alignment horizontal="center" vertical="center"/>
      <protection hidden="1"/>
    </xf>
    <xf numFmtId="165" fontId="60" fillId="29" borderId="142" xfId="0" applyFont="1" applyFill="1" applyBorder="1" applyAlignment="1" applyProtection="1">
      <alignment horizontal="center" vertical="center"/>
      <protection hidden="1"/>
    </xf>
    <xf numFmtId="165" fontId="60" fillId="29" borderId="143" xfId="0" applyFont="1" applyFill="1" applyBorder="1" applyAlignment="1" applyProtection="1">
      <alignment horizontal="center" vertical="center"/>
      <protection hidden="1"/>
    </xf>
    <xf numFmtId="1" fontId="60" fillId="29" borderId="144" xfId="0" applyNumberFormat="1" applyFont="1" applyFill="1" applyBorder="1" applyProtection="1">
      <protection hidden="1"/>
    </xf>
    <xf numFmtId="1" fontId="60" fillId="29" borderId="95" xfId="0" applyNumberFormat="1" applyFont="1" applyFill="1" applyBorder="1" applyProtection="1">
      <protection hidden="1"/>
    </xf>
    <xf numFmtId="1" fontId="60" fillId="29" borderId="145" xfId="0" applyNumberFormat="1" applyFont="1" applyFill="1" applyBorder="1" applyProtection="1">
      <protection hidden="1"/>
    </xf>
    <xf numFmtId="1" fontId="60" fillId="29" borderId="142" xfId="0" applyNumberFormat="1" applyFont="1" applyFill="1" applyBorder="1" applyProtection="1">
      <protection hidden="1"/>
    </xf>
    <xf numFmtId="1" fontId="60" fillId="29" borderId="125" xfId="0" applyNumberFormat="1" applyFont="1" applyFill="1" applyBorder="1" applyProtection="1">
      <protection hidden="1"/>
    </xf>
    <xf numFmtId="1" fontId="60" fillId="9" borderId="88" xfId="0" applyNumberFormat="1" applyFont="1" applyFill="1" applyBorder="1" applyAlignment="1" applyProtection="1">
      <alignment horizontal="center" vertical="center"/>
      <protection hidden="1"/>
    </xf>
    <xf numFmtId="1" fontId="60" fillId="9" borderId="134" xfId="0" applyNumberFormat="1" applyFont="1" applyFill="1" applyBorder="1" applyAlignment="1" applyProtection="1">
      <alignment horizontal="center" vertical="center"/>
      <protection hidden="1"/>
    </xf>
    <xf numFmtId="165" fontId="60" fillId="9" borderId="134" xfId="0" applyFont="1" applyFill="1" applyBorder="1" applyAlignment="1" applyProtection="1">
      <alignment horizontal="center" vertical="center"/>
      <protection hidden="1"/>
    </xf>
    <xf numFmtId="165" fontId="60" fillId="9" borderId="135" xfId="0" applyFont="1" applyFill="1" applyBorder="1" applyAlignment="1" applyProtection="1">
      <alignment horizontal="center" vertical="center"/>
      <protection hidden="1"/>
    </xf>
    <xf numFmtId="1" fontId="60" fillId="9" borderId="136" xfId="0" applyNumberFormat="1" applyFont="1" applyFill="1" applyBorder="1" applyProtection="1">
      <protection hidden="1"/>
    </xf>
    <xf numFmtId="1" fontId="60" fillId="9" borderId="88" xfId="0" applyNumberFormat="1" applyFont="1" applyFill="1" applyBorder="1" applyProtection="1">
      <protection hidden="1"/>
    </xf>
    <xf numFmtId="1" fontId="60" fillId="9" borderId="137" xfId="0" applyNumberFormat="1" applyFont="1" applyFill="1" applyBorder="1" applyProtection="1">
      <protection hidden="1"/>
    </xf>
    <xf numFmtId="1" fontId="60" fillId="9" borderId="134" xfId="0" applyNumberFormat="1" applyFont="1" applyFill="1" applyBorder="1" applyProtection="1">
      <protection hidden="1"/>
    </xf>
    <xf numFmtId="1" fontId="60" fillId="9" borderId="118" xfId="0" applyNumberFormat="1" applyFont="1" applyFill="1" applyBorder="1" applyProtection="1">
      <protection hidden="1"/>
    </xf>
    <xf numFmtId="1" fontId="60" fillId="9" borderId="104" xfId="0" applyNumberFormat="1" applyFont="1" applyFill="1" applyBorder="1" applyAlignment="1" applyProtection="1">
      <alignment horizontal="center" vertical="center"/>
      <protection hidden="1"/>
    </xf>
    <xf numFmtId="1" fontId="60" fillId="9" borderId="138" xfId="0" applyNumberFormat="1" applyFont="1" applyFill="1" applyBorder="1" applyAlignment="1" applyProtection="1">
      <alignment horizontal="center" vertical="center"/>
      <protection hidden="1"/>
    </xf>
    <xf numFmtId="165" fontId="60" fillId="9" borderId="138" xfId="0" applyFont="1" applyFill="1" applyBorder="1" applyAlignment="1" applyProtection="1">
      <alignment horizontal="center" vertical="center"/>
      <protection hidden="1"/>
    </xf>
    <xf numFmtId="165" fontId="60" fillId="9" borderId="139" xfId="0" applyFont="1" applyFill="1" applyBorder="1" applyAlignment="1" applyProtection="1">
      <alignment horizontal="center" vertical="center"/>
      <protection hidden="1"/>
    </xf>
    <xf numFmtId="1" fontId="60" fillId="9" borderId="140" xfId="0" applyNumberFormat="1" applyFont="1" applyFill="1" applyBorder="1" applyProtection="1">
      <protection hidden="1"/>
    </xf>
    <xf numFmtId="1" fontId="60" fillId="9" borderId="104" xfId="0" applyNumberFormat="1" applyFont="1" applyFill="1" applyBorder="1" applyProtection="1">
      <protection hidden="1"/>
    </xf>
    <xf numFmtId="1" fontId="60" fillId="9" borderId="141" xfId="0" applyNumberFormat="1" applyFont="1" applyFill="1" applyBorder="1" applyProtection="1">
      <protection hidden="1"/>
    </xf>
    <xf numFmtId="1" fontId="60" fillId="9" borderId="138" xfId="0" applyNumberFormat="1" applyFont="1" applyFill="1" applyBorder="1" applyProtection="1">
      <protection hidden="1"/>
    </xf>
    <xf numFmtId="1" fontId="60" fillId="9" borderId="120" xfId="0" applyNumberFormat="1" applyFont="1" applyFill="1" applyBorder="1" applyProtection="1">
      <protection hidden="1"/>
    </xf>
    <xf numFmtId="1" fontId="60" fillId="9" borderId="95" xfId="0" applyNumberFormat="1" applyFont="1" applyFill="1" applyBorder="1" applyAlignment="1" applyProtection="1">
      <alignment horizontal="center" vertical="center"/>
      <protection hidden="1"/>
    </xf>
    <xf numFmtId="1" fontId="60" fillId="9" borderId="142" xfId="0" applyNumberFormat="1" applyFont="1" applyFill="1" applyBorder="1" applyAlignment="1" applyProtection="1">
      <alignment horizontal="center" vertical="center"/>
      <protection hidden="1"/>
    </xf>
    <xf numFmtId="165" fontId="60" fillId="9" borderId="142" xfId="0" applyFont="1" applyFill="1" applyBorder="1" applyAlignment="1" applyProtection="1">
      <alignment horizontal="center" vertical="center"/>
      <protection hidden="1"/>
    </xf>
    <xf numFmtId="165" fontId="60" fillId="9" borderId="143" xfId="0" applyFont="1" applyFill="1" applyBorder="1" applyAlignment="1" applyProtection="1">
      <alignment horizontal="center" vertical="center"/>
      <protection hidden="1"/>
    </xf>
    <xf numFmtId="1" fontId="60" fillId="9" borderId="144" xfId="0" applyNumberFormat="1" applyFont="1" applyFill="1" applyBorder="1" applyProtection="1">
      <protection hidden="1"/>
    </xf>
    <xf numFmtId="1" fontId="60" fillId="9" borderId="95" xfId="0" applyNumberFormat="1" applyFont="1" applyFill="1" applyBorder="1" applyProtection="1">
      <protection hidden="1"/>
    </xf>
    <xf numFmtId="1" fontId="60" fillId="9" borderId="145" xfId="0" applyNumberFormat="1" applyFont="1" applyFill="1" applyBorder="1" applyProtection="1">
      <protection hidden="1"/>
    </xf>
    <xf numFmtId="1" fontId="60" fillId="9" borderId="142" xfId="0" applyNumberFormat="1" applyFont="1" applyFill="1" applyBorder="1" applyProtection="1">
      <protection hidden="1"/>
    </xf>
    <xf numFmtId="1" fontId="60" fillId="9" borderId="125" xfId="0" applyNumberFormat="1" applyFont="1" applyFill="1" applyBorder="1" applyProtection="1">
      <protection hidden="1"/>
    </xf>
    <xf numFmtId="1" fontId="60" fillId="30" borderId="88" xfId="0" applyNumberFormat="1" applyFont="1" applyFill="1" applyBorder="1" applyAlignment="1" applyProtection="1">
      <alignment horizontal="center" vertical="center"/>
      <protection hidden="1"/>
    </xf>
    <xf numFmtId="1" fontId="60" fillId="30" borderId="134" xfId="0" applyNumberFormat="1" applyFont="1" applyFill="1" applyBorder="1" applyAlignment="1" applyProtection="1">
      <alignment horizontal="center" vertical="center"/>
      <protection hidden="1"/>
    </xf>
    <xf numFmtId="165" fontId="60" fillId="30" borderId="134" xfId="0" applyFont="1" applyFill="1" applyBorder="1" applyAlignment="1" applyProtection="1">
      <alignment horizontal="center" vertical="center"/>
      <protection hidden="1"/>
    </xf>
    <xf numFmtId="165" fontId="60" fillId="30" borderId="135" xfId="0" applyFont="1" applyFill="1" applyBorder="1" applyAlignment="1" applyProtection="1">
      <alignment horizontal="center" vertical="center"/>
      <protection hidden="1"/>
    </xf>
    <xf numFmtId="1" fontId="60" fillId="30" borderId="136" xfId="0" applyNumberFormat="1" applyFont="1" applyFill="1" applyBorder="1" applyProtection="1">
      <protection hidden="1"/>
    </xf>
    <xf numFmtId="1" fontId="60" fillId="30" borderId="88" xfId="0" applyNumberFormat="1" applyFont="1" applyFill="1" applyBorder="1" applyProtection="1">
      <protection hidden="1"/>
    </xf>
    <xf numFmtId="1" fontId="60" fillId="30" borderId="137" xfId="0" applyNumberFormat="1" applyFont="1" applyFill="1" applyBorder="1" applyProtection="1">
      <protection hidden="1"/>
    </xf>
    <xf numFmtId="1" fontId="60" fillId="30" borderId="134" xfId="0" applyNumberFormat="1" applyFont="1" applyFill="1" applyBorder="1" applyProtection="1">
      <protection hidden="1"/>
    </xf>
    <xf numFmtId="1" fontId="60" fillId="30" borderId="118" xfId="0" applyNumberFormat="1" applyFont="1" applyFill="1" applyBorder="1" applyProtection="1">
      <protection hidden="1"/>
    </xf>
    <xf numFmtId="1" fontId="60" fillId="30" borderId="104" xfId="0" applyNumberFormat="1" applyFont="1" applyFill="1" applyBorder="1" applyAlignment="1" applyProtection="1">
      <alignment horizontal="center" vertical="center"/>
      <protection hidden="1"/>
    </xf>
    <xf numFmtId="1" fontId="60" fillId="30" borderId="138" xfId="0" applyNumberFormat="1" applyFont="1" applyFill="1" applyBorder="1" applyAlignment="1" applyProtection="1">
      <alignment horizontal="center" vertical="center"/>
      <protection hidden="1"/>
    </xf>
    <xf numFmtId="165" fontId="60" fillId="30" borderId="138" xfId="0" applyFont="1" applyFill="1" applyBorder="1" applyAlignment="1" applyProtection="1">
      <alignment horizontal="center" vertical="center"/>
      <protection hidden="1"/>
    </xf>
    <xf numFmtId="165" fontId="60" fillId="30" borderId="139" xfId="0" applyFont="1" applyFill="1" applyBorder="1" applyAlignment="1" applyProtection="1">
      <alignment horizontal="center" vertical="center"/>
      <protection hidden="1"/>
    </xf>
    <xf numFmtId="1" fontId="60" fillId="30" borderId="140" xfId="0" applyNumberFormat="1" applyFont="1" applyFill="1" applyBorder="1" applyProtection="1">
      <protection hidden="1"/>
    </xf>
    <xf numFmtId="1" fontId="60" fillId="30" borderId="104" xfId="0" applyNumberFormat="1" applyFont="1" applyFill="1" applyBorder="1" applyProtection="1">
      <protection hidden="1"/>
    </xf>
    <xf numFmtId="1" fontId="60" fillId="30" borderId="141" xfId="0" applyNumberFormat="1" applyFont="1" applyFill="1" applyBorder="1" applyProtection="1">
      <protection hidden="1"/>
    </xf>
    <xf numFmtId="1" fontId="60" fillId="30" borderId="138" xfId="0" applyNumberFormat="1" applyFont="1" applyFill="1" applyBorder="1" applyProtection="1">
      <protection hidden="1"/>
    </xf>
    <xf numFmtId="1" fontId="60" fillId="30" borderId="120" xfId="0" applyNumberFormat="1" applyFont="1" applyFill="1" applyBorder="1" applyProtection="1">
      <protection hidden="1"/>
    </xf>
    <xf numFmtId="1" fontId="60" fillId="30" borderId="95" xfId="0" applyNumberFormat="1" applyFont="1" applyFill="1" applyBorder="1" applyAlignment="1" applyProtection="1">
      <alignment horizontal="center" vertical="center"/>
      <protection hidden="1"/>
    </xf>
    <xf numFmtId="1" fontId="60" fillId="30" borderId="142" xfId="0" applyNumberFormat="1" applyFont="1" applyFill="1" applyBorder="1" applyAlignment="1" applyProtection="1">
      <alignment horizontal="center" vertical="center"/>
      <protection hidden="1"/>
    </xf>
    <xf numFmtId="165" fontId="60" fillId="30" borderId="142" xfId="0" applyFont="1" applyFill="1" applyBorder="1" applyAlignment="1" applyProtection="1">
      <alignment horizontal="center" vertical="center"/>
      <protection hidden="1"/>
    </xf>
    <xf numFmtId="165" fontId="60" fillId="30" borderId="143" xfId="0" applyFont="1" applyFill="1" applyBorder="1" applyAlignment="1" applyProtection="1">
      <alignment horizontal="center" vertical="center"/>
      <protection hidden="1"/>
    </xf>
    <xf numFmtId="1" fontId="60" fillId="30" borderId="144" xfId="0" applyNumberFormat="1" applyFont="1" applyFill="1" applyBorder="1" applyProtection="1">
      <protection hidden="1"/>
    </xf>
    <xf numFmtId="1" fontId="60" fillId="30" borderId="95" xfId="0" applyNumberFormat="1" applyFont="1" applyFill="1" applyBorder="1" applyProtection="1">
      <protection hidden="1"/>
    </xf>
    <xf numFmtId="1" fontId="60" fillId="30" borderId="145" xfId="0" applyNumberFormat="1" applyFont="1" applyFill="1" applyBorder="1" applyProtection="1">
      <protection hidden="1"/>
    </xf>
    <xf numFmtId="1" fontId="60" fillId="30" borderId="142" xfId="0" applyNumberFormat="1" applyFont="1" applyFill="1" applyBorder="1" applyProtection="1">
      <protection hidden="1"/>
    </xf>
    <xf numFmtId="1" fontId="60" fillId="30" borderId="125" xfId="0" applyNumberFormat="1" applyFont="1" applyFill="1" applyBorder="1" applyProtection="1">
      <protection hidden="1"/>
    </xf>
    <xf numFmtId="1" fontId="60" fillId="31" borderId="37" xfId="0" applyNumberFormat="1" applyFont="1" applyFill="1" applyBorder="1" applyAlignment="1" applyProtection="1">
      <alignment horizontal="center" vertical="center"/>
      <protection hidden="1"/>
    </xf>
    <xf numFmtId="165" fontId="60" fillId="31" borderId="46" xfId="0" applyFont="1" applyFill="1" applyBorder="1" applyAlignment="1" applyProtection="1">
      <alignment horizontal="center" vertical="center"/>
      <protection hidden="1"/>
    </xf>
    <xf numFmtId="1" fontId="60" fillId="31" borderId="36" xfId="0" applyNumberFormat="1" applyFont="1" applyFill="1" applyBorder="1" applyProtection="1">
      <protection hidden="1"/>
    </xf>
    <xf numFmtId="1" fontId="60" fillId="31" borderId="146" xfId="0" applyNumberFormat="1" applyFont="1" applyFill="1" applyBorder="1" applyProtection="1">
      <protection hidden="1"/>
    </xf>
    <xf numFmtId="1" fontId="60" fillId="31" borderId="54" xfId="0" applyNumberFormat="1" applyFont="1" applyFill="1" applyBorder="1" applyProtection="1">
      <protection hidden="1"/>
    </xf>
    <xf numFmtId="1" fontId="60" fillId="31" borderId="147" xfId="0" applyNumberFormat="1" applyFont="1" applyFill="1" applyBorder="1" applyProtection="1">
      <protection hidden="1"/>
    </xf>
    <xf numFmtId="1" fontId="60" fillId="31" borderId="12" xfId="0" applyNumberFormat="1" applyFont="1" applyFill="1" applyBorder="1" applyProtection="1">
      <protection hidden="1"/>
    </xf>
    <xf numFmtId="1" fontId="60" fillId="31" borderId="30" xfId="0" applyNumberFormat="1" applyFont="1" applyFill="1" applyBorder="1" applyAlignment="1" applyProtection="1">
      <alignment horizontal="center" vertical="center"/>
      <protection hidden="1"/>
    </xf>
    <xf numFmtId="165" fontId="60" fillId="31" borderId="42" xfId="0" applyFont="1" applyFill="1" applyBorder="1" applyAlignment="1" applyProtection="1">
      <alignment horizontal="center" vertical="center"/>
      <protection hidden="1"/>
    </xf>
    <xf numFmtId="1" fontId="60" fillId="31" borderId="34" xfId="0" applyNumberFormat="1" applyFont="1" applyFill="1" applyBorder="1" applyProtection="1">
      <protection hidden="1"/>
    </xf>
    <xf numFmtId="1" fontId="60" fillId="31" borderId="148" xfId="0" applyNumberFormat="1" applyFont="1" applyFill="1" applyBorder="1" applyProtection="1">
      <protection hidden="1"/>
    </xf>
    <xf numFmtId="1" fontId="60" fillId="31" borderId="40" xfId="0" applyNumberFormat="1" applyFont="1" applyFill="1" applyBorder="1" applyProtection="1">
      <protection hidden="1"/>
    </xf>
    <xf numFmtId="1" fontId="60" fillId="31" borderId="149" xfId="0" applyNumberFormat="1" applyFont="1" applyFill="1" applyBorder="1" applyProtection="1">
      <protection hidden="1"/>
    </xf>
    <xf numFmtId="1" fontId="60" fillId="31" borderId="15" xfId="0" applyNumberFormat="1" applyFont="1" applyFill="1" applyBorder="1" applyProtection="1">
      <protection hidden="1"/>
    </xf>
    <xf numFmtId="1" fontId="60" fillId="31" borderId="39" xfId="0" applyNumberFormat="1" applyFont="1" applyFill="1" applyBorder="1" applyAlignment="1" applyProtection="1">
      <alignment horizontal="center" vertical="center"/>
      <protection hidden="1"/>
    </xf>
    <xf numFmtId="165" fontId="60" fillId="31" borderId="47" xfId="0" applyFont="1" applyFill="1" applyBorder="1" applyAlignment="1" applyProtection="1">
      <alignment horizontal="center" vertical="center"/>
      <protection hidden="1"/>
    </xf>
    <xf numFmtId="1" fontId="60" fillId="31" borderId="38" xfId="0" applyNumberFormat="1" applyFont="1" applyFill="1" applyBorder="1" applyProtection="1">
      <protection hidden="1"/>
    </xf>
    <xf numFmtId="1" fontId="60" fillId="31" borderId="150" xfId="0" applyNumberFormat="1" applyFont="1" applyFill="1" applyBorder="1" applyProtection="1">
      <protection hidden="1"/>
    </xf>
    <xf numFmtId="1" fontId="60" fillId="31" borderId="55" xfId="0" applyNumberFormat="1" applyFont="1" applyFill="1" applyBorder="1" applyProtection="1">
      <protection hidden="1"/>
    </xf>
    <xf numFmtId="1" fontId="60" fillId="31" borderId="151" xfId="0" applyNumberFormat="1" applyFont="1" applyFill="1" applyBorder="1" applyProtection="1">
      <protection hidden="1"/>
    </xf>
    <xf numFmtId="1" fontId="60" fillId="31" borderId="17" xfId="0" applyNumberFormat="1" applyFont="1" applyFill="1" applyBorder="1" applyProtection="1">
      <protection hidden="1"/>
    </xf>
    <xf numFmtId="1" fontId="60" fillId="15" borderId="54" xfId="0" applyNumberFormat="1" applyFont="1" applyFill="1" applyBorder="1" applyAlignment="1" applyProtection="1">
      <alignment horizontal="center" vertical="center"/>
      <protection hidden="1"/>
    </xf>
    <xf numFmtId="165" fontId="60" fillId="15" borderId="64" xfId="0" applyFont="1" applyFill="1" applyBorder="1" applyAlignment="1" applyProtection="1">
      <alignment horizontal="center" vertical="center"/>
      <protection hidden="1"/>
    </xf>
    <xf numFmtId="1" fontId="60" fillId="15" borderId="36" xfId="0" applyNumberFormat="1" applyFont="1" applyFill="1" applyBorder="1" applyProtection="1">
      <protection hidden="1"/>
    </xf>
    <xf numFmtId="1" fontId="60" fillId="15" borderId="146" xfId="0" applyNumberFormat="1" applyFont="1" applyFill="1" applyBorder="1" applyProtection="1">
      <protection hidden="1"/>
    </xf>
    <xf numFmtId="1" fontId="60" fillId="15" borderId="54" xfId="0" applyNumberFormat="1" applyFont="1" applyFill="1" applyBorder="1" applyProtection="1">
      <protection hidden="1"/>
    </xf>
    <xf numFmtId="1" fontId="60" fillId="15" borderId="147" xfId="0" applyNumberFormat="1" applyFont="1" applyFill="1" applyBorder="1" applyProtection="1">
      <protection hidden="1"/>
    </xf>
    <xf numFmtId="1" fontId="60" fillId="15" borderId="12" xfId="0" applyNumberFormat="1" applyFont="1" applyFill="1" applyBorder="1" applyProtection="1">
      <protection hidden="1"/>
    </xf>
    <xf numFmtId="1" fontId="60" fillId="15" borderId="40" xfId="0" applyNumberFormat="1" applyFont="1" applyFill="1" applyBorder="1" applyAlignment="1" applyProtection="1">
      <alignment horizontal="center" vertical="center"/>
      <protection hidden="1"/>
    </xf>
    <xf numFmtId="165" fontId="60" fillId="15" borderId="66" xfId="0" applyFont="1" applyFill="1" applyBorder="1" applyAlignment="1" applyProtection="1">
      <alignment horizontal="center" vertical="center"/>
      <protection hidden="1"/>
    </xf>
    <xf numFmtId="1" fontId="60" fillId="15" borderId="34" xfId="0" applyNumberFormat="1" applyFont="1" applyFill="1" applyBorder="1" applyProtection="1">
      <protection hidden="1"/>
    </xf>
    <xf numFmtId="1" fontId="60" fillId="15" borderId="148" xfId="0" applyNumberFormat="1" applyFont="1" applyFill="1" applyBorder="1" applyProtection="1">
      <protection hidden="1"/>
    </xf>
    <xf numFmtId="1" fontId="60" fillId="15" borderId="40" xfId="0" applyNumberFormat="1" applyFont="1" applyFill="1" applyBorder="1" applyProtection="1">
      <protection hidden="1"/>
    </xf>
    <xf numFmtId="1" fontId="60" fillId="15" borderId="149" xfId="0" applyNumberFormat="1" applyFont="1" applyFill="1" applyBorder="1" applyProtection="1">
      <protection hidden="1"/>
    </xf>
    <xf numFmtId="1" fontId="60" fillId="15" borderId="15" xfId="0" applyNumberFormat="1" applyFont="1" applyFill="1" applyBorder="1" applyProtection="1">
      <protection hidden="1"/>
    </xf>
    <xf numFmtId="1" fontId="60" fillId="15" borderId="55" xfId="0" applyNumberFormat="1" applyFont="1" applyFill="1" applyBorder="1" applyProtection="1">
      <protection hidden="1"/>
    </xf>
    <xf numFmtId="165" fontId="60" fillId="15" borderId="65" xfId="0" applyFont="1" applyFill="1" applyBorder="1" applyAlignment="1" applyProtection="1">
      <alignment horizontal="center" vertical="center"/>
      <protection hidden="1"/>
    </xf>
    <xf numFmtId="1" fontId="60" fillId="15" borderId="38" xfId="0" applyNumberFormat="1" applyFont="1" applyFill="1" applyBorder="1" applyProtection="1">
      <protection hidden="1"/>
    </xf>
    <xf numFmtId="1" fontId="60" fillId="15" borderId="150" xfId="0" applyNumberFormat="1" applyFont="1" applyFill="1" applyBorder="1" applyProtection="1">
      <protection hidden="1"/>
    </xf>
    <xf numFmtId="1" fontId="60" fillId="15" borderId="151" xfId="0" applyNumberFormat="1" applyFont="1" applyFill="1" applyBorder="1" applyProtection="1">
      <protection hidden="1"/>
    </xf>
    <xf numFmtId="1" fontId="60" fillId="15" borderId="17" xfId="0" applyNumberFormat="1" applyFont="1" applyFill="1" applyBorder="1" applyProtection="1">
      <protection hidden="1"/>
    </xf>
    <xf numFmtId="1" fontId="60" fillId="21" borderId="37" xfId="0" applyNumberFormat="1" applyFont="1" applyFill="1" applyBorder="1" applyAlignment="1" applyProtection="1">
      <alignment horizontal="center" vertical="center"/>
      <protection hidden="1"/>
    </xf>
    <xf numFmtId="1" fontId="60" fillId="21" borderId="30" xfId="0" applyNumberFormat="1" applyFont="1" applyFill="1" applyBorder="1" applyAlignment="1" applyProtection="1">
      <alignment horizontal="center" vertical="center"/>
      <protection hidden="1"/>
    </xf>
    <xf numFmtId="165" fontId="60" fillId="21" borderId="46" xfId="0" applyFont="1" applyFill="1" applyBorder="1" applyAlignment="1" applyProtection="1">
      <alignment horizontal="center" vertical="center"/>
      <protection hidden="1"/>
    </xf>
    <xf numFmtId="1" fontId="60" fillId="21" borderId="36" xfId="0" applyNumberFormat="1" applyFont="1" applyFill="1" applyBorder="1" applyProtection="1">
      <protection hidden="1"/>
    </xf>
    <xf numFmtId="1" fontId="60" fillId="21" borderId="146" xfId="0" applyNumberFormat="1" applyFont="1" applyFill="1" applyBorder="1" applyProtection="1">
      <protection hidden="1"/>
    </xf>
    <xf numFmtId="1" fontId="60" fillId="21" borderId="54" xfId="0" applyNumberFormat="1" applyFont="1" applyFill="1" applyBorder="1" applyProtection="1">
      <protection hidden="1"/>
    </xf>
    <xf numFmtId="1" fontId="60" fillId="21" borderId="147" xfId="0" applyNumberFormat="1" applyFont="1" applyFill="1" applyBorder="1" applyProtection="1">
      <protection hidden="1"/>
    </xf>
    <xf numFmtId="1" fontId="60" fillId="21" borderId="12" xfId="0" applyNumberFormat="1" applyFont="1" applyFill="1" applyBorder="1" applyProtection="1">
      <protection hidden="1"/>
    </xf>
    <xf numFmtId="165" fontId="60" fillId="21" borderId="42" xfId="0" applyFont="1" applyFill="1" applyBorder="1" applyAlignment="1" applyProtection="1">
      <alignment horizontal="center" vertical="center"/>
      <protection hidden="1"/>
    </xf>
    <xf numFmtId="1" fontId="60" fillId="21" borderId="34" xfId="0" applyNumberFormat="1" applyFont="1" applyFill="1" applyBorder="1" applyProtection="1">
      <protection hidden="1"/>
    </xf>
    <xf numFmtId="1" fontId="60" fillId="21" borderId="148" xfId="0" applyNumberFormat="1" applyFont="1" applyFill="1" applyBorder="1" applyProtection="1">
      <protection hidden="1"/>
    </xf>
    <xf numFmtId="1" fontId="60" fillId="21" borderId="40" xfId="0" applyNumberFormat="1" applyFont="1" applyFill="1" applyBorder="1" applyProtection="1">
      <protection hidden="1"/>
    </xf>
    <xf numFmtId="1" fontId="60" fillId="21" borderId="149" xfId="0" applyNumberFormat="1" applyFont="1" applyFill="1" applyBorder="1" applyProtection="1">
      <protection hidden="1"/>
    </xf>
    <xf numFmtId="1" fontId="60" fillId="21" borderId="15" xfId="0" applyNumberFormat="1" applyFont="1" applyFill="1" applyBorder="1" applyProtection="1">
      <protection hidden="1"/>
    </xf>
    <xf numFmtId="165" fontId="60" fillId="21" borderId="43" xfId="0" applyFont="1" applyFill="1" applyBorder="1" applyAlignment="1" applyProtection="1">
      <alignment horizontal="center" vertical="center"/>
      <protection hidden="1"/>
    </xf>
    <xf numFmtId="165" fontId="60" fillId="21" borderId="48" xfId="0" applyFont="1" applyFill="1" applyBorder="1" applyAlignment="1" applyProtection="1">
      <alignment horizontal="center" vertical="center"/>
      <protection hidden="1"/>
    </xf>
    <xf numFmtId="1" fontId="60" fillId="21" borderId="62" xfId="0" applyNumberFormat="1" applyFont="1" applyFill="1" applyBorder="1" applyProtection="1">
      <protection hidden="1"/>
    </xf>
    <xf numFmtId="1" fontId="60" fillId="21" borderId="152" xfId="0" applyNumberFormat="1" applyFont="1" applyFill="1" applyBorder="1" applyProtection="1">
      <protection hidden="1"/>
    </xf>
    <xf numFmtId="1" fontId="60" fillId="21" borderId="45" xfId="0" applyNumberFormat="1" applyFont="1" applyFill="1" applyBorder="1" applyProtection="1">
      <protection hidden="1"/>
    </xf>
    <xf numFmtId="1" fontId="60" fillId="21" borderId="153" xfId="0" applyNumberFormat="1" applyFont="1" applyFill="1" applyBorder="1" applyProtection="1">
      <protection hidden="1"/>
    </xf>
    <xf numFmtId="1" fontId="60" fillId="21" borderId="52" xfId="0" applyNumberFormat="1" applyFont="1" applyFill="1" applyBorder="1" applyProtection="1">
      <protection hidden="1"/>
    </xf>
    <xf numFmtId="1" fontId="60" fillId="21" borderId="39" xfId="0" applyNumberFormat="1" applyFont="1" applyFill="1" applyBorder="1" applyAlignment="1" applyProtection="1">
      <alignment horizontal="center" vertical="center"/>
      <protection hidden="1"/>
    </xf>
    <xf numFmtId="165" fontId="60" fillId="21" borderId="47" xfId="0" applyFont="1" applyFill="1" applyBorder="1" applyAlignment="1" applyProtection="1">
      <alignment horizontal="center" vertical="center"/>
      <protection hidden="1"/>
    </xf>
    <xf numFmtId="1" fontId="60" fillId="21" borderId="38" xfId="0" applyNumberFormat="1" applyFont="1" applyFill="1" applyBorder="1" applyProtection="1">
      <protection hidden="1"/>
    </xf>
    <xf numFmtId="1" fontId="60" fillId="21" borderId="150" xfId="0" applyNumberFormat="1" applyFont="1" applyFill="1" applyBorder="1" applyProtection="1">
      <protection hidden="1"/>
    </xf>
    <xf numFmtId="1" fontId="60" fillId="21" borderId="55" xfId="0" applyNumberFormat="1" applyFont="1" applyFill="1" applyBorder="1" applyProtection="1">
      <protection hidden="1"/>
    </xf>
    <xf numFmtId="1" fontId="60" fillId="21" borderId="151" xfId="0" applyNumberFormat="1" applyFont="1" applyFill="1" applyBorder="1" applyProtection="1">
      <protection hidden="1"/>
    </xf>
    <xf numFmtId="1" fontId="60" fillId="21" borderId="17" xfId="0" applyNumberFormat="1" applyFont="1" applyFill="1" applyBorder="1" applyProtection="1">
      <protection hidden="1"/>
    </xf>
    <xf numFmtId="1" fontId="60" fillId="22" borderId="37" xfId="0" applyNumberFormat="1" applyFont="1" applyFill="1" applyBorder="1" applyAlignment="1" applyProtection="1">
      <alignment horizontal="center" vertical="center"/>
      <protection hidden="1"/>
    </xf>
    <xf numFmtId="165" fontId="60" fillId="22" borderId="46" xfId="0" applyFont="1" applyFill="1" applyBorder="1" applyAlignment="1" applyProtection="1">
      <alignment horizontal="center" vertical="center"/>
      <protection hidden="1"/>
    </xf>
    <xf numFmtId="1" fontId="60" fillId="22" borderId="36" xfId="0" applyNumberFormat="1" applyFont="1" applyFill="1" applyBorder="1" applyProtection="1">
      <protection hidden="1"/>
    </xf>
    <xf numFmtId="1" fontId="60" fillId="22" borderId="146" xfId="0" applyNumberFormat="1" applyFont="1" applyFill="1" applyBorder="1" applyProtection="1">
      <protection hidden="1"/>
    </xf>
    <xf numFmtId="1" fontId="60" fillId="22" borderId="54" xfId="0" applyNumberFormat="1" applyFont="1" applyFill="1" applyBorder="1" applyProtection="1">
      <protection hidden="1"/>
    </xf>
    <xf numFmtId="1" fontId="60" fillId="22" borderId="147" xfId="0" applyNumberFormat="1" applyFont="1" applyFill="1" applyBorder="1" applyProtection="1">
      <protection hidden="1"/>
    </xf>
    <xf numFmtId="1" fontId="60" fillId="22" borderId="12" xfId="0" applyNumberFormat="1" applyFont="1" applyFill="1" applyBorder="1" applyProtection="1">
      <protection hidden="1"/>
    </xf>
    <xf numFmtId="1" fontId="60" fillId="22" borderId="30" xfId="0" applyNumberFormat="1" applyFont="1" applyFill="1" applyBorder="1" applyAlignment="1" applyProtection="1">
      <alignment horizontal="center" vertical="center"/>
      <protection hidden="1"/>
    </xf>
    <xf numFmtId="165" fontId="60" fillId="22" borderId="42" xfId="0" applyFont="1" applyFill="1" applyBorder="1" applyAlignment="1" applyProtection="1">
      <alignment horizontal="center" vertical="center"/>
      <protection hidden="1"/>
    </xf>
    <xf numFmtId="1" fontId="60" fillId="22" borderId="34" xfId="0" applyNumberFormat="1" applyFont="1" applyFill="1" applyBorder="1" applyProtection="1">
      <protection hidden="1"/>
    </xf>
    <xf numFmtId="1" fontId="60" fillId="22" borderId="148" xfId="0" applyNumberFormat="1" applyFont="1" applyFill="1" applyBorder="1" applyProtection="1">
      <protection hidden="1"/>
    </xf>
    <xf numFmtId="1" fontId="60" fillId="22" borderId="40" xfId="0" applyNumberFormat="1" applyFont="1" applyFill="1" applyBorder="1" applyProtection="1">
      <protection hidden="1"/>
    </xf>
    <xf numFmtId="1" fontId="60" fillId="22" borderId="149" xfId="0" applyNumberFormat="1" applyFont="1" applyFill="1" applyBorder="1" applyProtection="1">
      <protection hidden="1"/>
    </xf>
    <xf numFmtId="1" fontId="60" fillId="22" borderId="15" xfId="0" applyNumberFormat="1" applyFont="1" applyFill="1" applyBorder="1" applyProtection="1">
      <protection hidden="1"/>
    </xf>
    <xf numFmtId="1" fontId="60" fillId="22" borderId="0" xfId="0" applyNumberFormat="1" applyFont="1" applyFill="1" applyProtection="1">
      <protection hidden="1"/>
    </xf>
    <xf numFmtId="1" fontId="60" fillId="22" borderId="59" xfId="0" applyNumberFormat="1" applyFont="1" applyFill="1" applyBorder="1" applyProtection="1">
      <protection hidden="1"/>
    </xf>
    <xf numFmtId="1" fontId="60" fillId="22" borderId="1" xfId="0" applyNumberFormat="1" applyFont="1" applyFill="1" applyBorder="1" applyProtection="1">
      <protection hidden="1"/>
    </xf>
    <xf numFmtId="1" fontId="60" fillId="22" borderId="39" xfId="0" applyNumberFormat="1" applyFont="1" applyFill="1" applyBorder="1" applyAlignment="1" applyProtection="1">
      <alignment horizontal="center" vertical="center"/>
      <protection hidden="1"/>
    </xf>
    <xf numFmtId="165" fontId="60" fillId="22" borderId="47" xfId="0" applyFont="1" applyFill="1" applyBorder="1" applyAlignment="1" applyProtection="1">
      <alignment horizontal="center" vertical="center"/>
      <protection hidden="1"/>
    </xf>
    <xf numFmtId="1" fontId="60" fillId="22" borderId="38" xfId="0" applyNumberFormat="1" applyFont="1" applyFill="1" applyBorder="1" applyProtection="1">
      <protection hidden="1"/>
    </xf>
    <xf numFmtId="1" fontId="60" fillId="22" borderId="150" xfId="0" applyNumberFormat="1" applyFont="1" applyFill="1" applyBorder="1" applyProtection="1">
      <protection hidden="1"/>
    </xf>
    <xf numFmtId="1" fontId="60" fillId="22" borderId="55" xfId="0" applyNumberFormat="1" applyFont="1" applyFill="1" applyBorder="1" applyProtection="1">
      <protection hidden="1"/>
    </xf>
    <xf numFmtId="1" fontId="60" fillId="22" borderId="151" xfId="0" applyNumberFormat="1" applyFont="1" applyFill="1" applyBorder="1" applyProtection="1">
      <protection hidden="1"/>
    </xf>
    <xf numFmtId="1" fontId="60" fillId="22" borderId="17" xfId="0" applyNumberFormat="1" applyFont="1" applyFill="1" applyBorder="1" applyProtection="1">
      <protection hidden="1"/>
    </xf>
    <xf numFmtId="1" fontId="86" fillId="12" borderId="5" xfId="0" applyNumberFormat="1" applyFont="1" applyFill="1" applyBorder="1" applyAlignment="1" applyProtection="1">
      <alignment horizontal="center" vertical="center"/>
      <protection hidden="1"/>
    </xf>
    <xf numFmtId="1" fontId="86" fillId="12" borderId="6" xfId="0" applyNumberFormat="1" applyFont="1" applyFill="1" applyBorder="1" applyAlignment="1" applyProtection="1">
      <alignment horizontal="center" vertical="center"/>
      <protection hidden="1"/>
    </xf>
    <xf numFmtId="1" fontId="86" fillId="12" borderId="7" xfId="0" applyNumberFormat="1" applyFont="1" applyFill="1" applyBorder="1" applyAlignment="1" applyProtection="1">
      <alignment horizontal="center" vertical="center"/>
      <protection hidden="1"/>
    </xf>
    <xf numFmtId="1" fontId="63" fillId="12" borderId="156" xfId="0" applyNumberFormat="1" applyFont="1" applyFill="1" applyBorder="1" applyAlignment="1" applyProtection="1">
      <alignment horizontal="center" vertical="center"/>
      <protection hidden="1"/>
    </xf>
    <xf numFmtId="1" fontId="63" fillId="12" borderId="157" xfId="0" applyNumberFormat="1" applyFont="1" applyFill="1" applyBorder="1" applyAlignment="1" applyProtection="1">
      <alignment horizontal="center" vertical="center"/>
      <protection hidden="1"/>
    </xf>
    <xf numFmtId="1" fontId="60" fillId="12" borderId="81" xfId="0" applyNumberFormat="1" applyFont="1" applyFill="1" applyBorder="1" applyAlignment="1" applyProtection="1">
      <alignment horizontal="center" vertical="center"/>
      <protection hidden="1"/>
    </xf>
    <xf numFmtId="1" fontId="60" fillId="12" borderId="94" xfId="0" applyNumberFormat="1" applyFont="1" applyFill="1" applyBorder="1" applyAlignment="1" applyProtection="1">
      <alignment horizontal="center" vertical="center"/>
      <protection hidden="1"/>
    </xf>
    <xf numFmtId="1" fontId="60" fillId="12" borderId="91" xfId="0" applyNumberFormat="1" applyFont="1" applyFill="1" applyBorder="1" applyAlignment="1" applyProtection="1">
      <alignment vertical="center"/>
      <protection hidden="1"/>
    </xf>
    <xf numFmtId="1" fontId="60" fillId="12" borderId="92" xfId="0" applyNumberFormat="1" applyFont="1" applyFill="1" applyBorder="1" applyAlignment="1" applyProtection="1">
      <alignment vertical="center"/>
      <protection hidden="1"/>
    </xf>
    <xf numFmtId="1" fontId="24" fillId="12" borderId="92" xfId="0" applyNumberFormat="1" applyFont="1" applyFill="1" applyBorder="1" applyAlignment="1" applyProtection="1">
      <alignment vertical="center"/>
      <protection hidden="1"/>
    </xf>
    <xf numFmtId="1" fontId="24" fillId="12" borderId="158" xfId="0" applyNumberFormat="1" applyFont="1" applyFill="1" applyBorder="1" applyAlignment="1" applyProtection="1">
      <alignment vertical="center"/>
      <protection hidden="1"/>
    </xf>
    <xf numFmtId="1" fontId="60" fillId="31" borderId="134" xfId="0" applyNumberFormat="1" applyFont="1" applyFill="1" applyBorder="1" applyAlignment="1" applyProtection="1">
      <alignment horizontal="center" vertical="center"/>
      <protection hidden="1"/>
    </xf>
    <xf numFmtId="1" fontId="60" fillId="31" borderId="88" xfId="0" applyNumberFormat="1" applyFont="1" applyFill="1" applyBorder="1" applyProtection="1">
      <protection hidden="1"/>
    </xf>
    <xf numFmtId="1" fontId="60" fillId="31" borderId="138" xfId="0" applyNumberFormat="1" applyFont="1" applyFill="1" applyBorder="1" applyAlignment="1" applyProtection="1">
      <alignment horizontal="center" vertical="center"/>
      <protection hidden="1"/>
    </xf>
    <xf numFmtId="1" fontId="60" fillId="31" borderId="104" xfId="0" applyNumberFormat="1" applyFont="1" applyFill="1" applyBorder="1" applyProtection="1">
      <protection hidden="1"/>
    </xf>
    <xf numFmtId="1" fontId="60" fillId="31" borderId="142" xfId="0" applyNumberFormat="1" applyFont="1" applyFill="1" applyBorder="1" applyAlignment="1" applyProtection="1">
      <alignment horizontal="center" vertical="center"/>
      <protection hidden="1"/>
    </xf>
    <xf numFmtId="1" fontId="60" fillId="31" borderId="95" xfId="0" applyNumberFormat="1" applyFont="1" applyFill="1" applyBorder="1" applyProtection="1">
      <protection hidden="1"/>
    </xf>
    <xf numFmtId="1" fontId="60" fillId="15" borderId="138" xfId="0" applyNumberFormat="1" applyFont="1" applyFill="1" applyBorder="1" applyAlignment="1" applyProtection="1">
      <alignment horizontal="center" vertical="center"/>
      <protection hidden="1"/>
    </xf>
    <xf numFmtId="1" fontId="60" fillId="15" borderId="104" xfId="0" applyNumberFormat="1" applyFont="1" applyFill="1" applyBorder="1" applyProtection="1">
      <protection hidden="1"/>
    </xf>
    <xf numFmtId="1" fontId="60" fillId="15" borderId="142" xfId="0" applyNumberFormat="1" applyFont="1" applyFill="1" applyBorder="1" applyAlignment="1" applyProtection="1">
      <alignment horizontal="center" vertical="center"/>
      <protection hidden="1"/>
    </xf>
    <xf numFmtId="1" fontId="60" fillId="15" borderId="95" xfId="0" applyNumberFormat="1" applyFont="1" applyFill="1" applyBorder="1" applyProtection="1">
      <protection hidden="1"/>
    </xf>
    <xf numFmtId="1" fontId="60" fillId="22" borderId="159" xfId="0" applyNumberFormat="1" applyFont="1" applyFill="1" applyBorder="1" applyAlignment="1" applyProtection="1">
      <alignment horizontal="center" vertical="center"/>
      <protection hidden="1"/>
    </xf>
    <xf numFmtId="1" fontId="60" fillId="22" borderId="104" xfId="0" applyNumberFormat="1" applyFont="1" applyFill="1" applyBorder="1" applyProtection="1">
      <protection hidden="1"/>
    </xf>
    <xf numFmtId="1" fontId="60" fillId="22" borderId="138" xfId="0" applyNumberFormat="1" applyFont="1" applyFill="1" applyBorder="1" applyAlignment="1" applyProtection="1">
      <alignment horizontal="center" vertical="center"/>
      <protection hidden="1"/>
    </xf>
    <xf numFmtId="1" fontId="60" fillId="22" borderId="142" xfId="0" applyNumberFormat="1" applyFont="1" applyFill="1" applyBorder="1" applyAlignment="1" applyProtection="1">
      <alignment horizontal="center" vertical="center"/>
      <protection hidden="1"/>
    </xf>
    <xf numFmtId="1" fontId="60" fillId="22" borderId="95" xfId="0" applyNumberFormat="1" applyFont="1" applyFill="1" applyBorder="1" applyProtection="1">
      <protection hidden="1"/>
    </xf>
    <xf numFmtId="165" fontId="24" fillId="12" borderId="84" xfId="0" applyFont="1" applyFill="1" applyBorder="1"/>
    <xf numFmtId="1" fontId="24" fillId="12" borderId="84" xfId="0" applyNumberFormat="1" applyFont="1" applyFill="1" applyBorder="1"/>
    <xf numFmtId="1" fontId="86" fillId="12" borderId="154" xfId="0" applyNumberFormat="1" applyFont="1" applyFill="1" applyBorder="1" applyAlignment="1" applyProtection="1">
      <alignment horizontal="center" vertical="center"/>
      <protection hidden="1"/>
    </xf>
    <xf numFmtId="1" fontId="86" fillId="12" borderId="156" xfId="0" applyNumberFormat="1" applyFont="1" applyFill="1" applyBorder="1" applyAlignment="1" applyProtection="1">
      <alignment horizontal="center" vertical="center"/>
      <protection hidden="1"/>
    </xf>
    <xf numFmtId="1" fontId="86" fillId="12" borderId="155" xfId="0" applyNumberFormat="1" applyFont="1" applyFill="1" applyBorder="1" applyAlignment="1" applyProtection="1">
      <alignment horizontal="center" vertical="center"/>
      <protection hidden="1"/>
    </xf>
    <xf numFmtId="1" fontId="60" fillId="10" borderId="138" xfId="0" applyNumberFormat="1" applyFont="1" applyFill="1" applyBorder="1" applyAlignment="1" applyProtection="1">
      <alignment horizontal="center" vertical="center"/>
      <protection hidden="1"/>
    </xf>
    <xf numFmtId="1" fontId="60" fillId="10" borderId="104" xfId="0" applyNumberFormat="1" applyFont="1" applyFill="1" applyBorder="1" applyProtection="1">
      <protection hidden="1"/>
    </xf>
    <xf numFmtId="1" fontId="60" fillId="10" borderId="142" xfId="0" applyNumberFormat="1" applyFont="1" applyFill="1" applyBorder="1" applyAlignment="1" applyProtection="1">
      <alignment horizontal="center" vertical="center"/>
      <protection hidden="1"/>
    </xf>
    <xf numFmtId="1" fontId="60" fillId="10" borderId="95" xfId="0" applyNumberFormat="1" applyFont="1" applyFill="1" applyBorder="1" applyProtection="1">
      <protection hidden="1"/>
    </xf>
    <xf numFmtId="165" fontId="60" fillId="12" borderId="84" xfId="0" applyFont="1" applyFill="1" applyBorder="1" applyAlignment="1" applyProtection="1">
      <alignment horizontal="center" vertical="center"/>
      <protection hidden="1"/>
    </xf>
    <xf numFmtId="1" fontId="60" fillId="12" borderId="84" xfId="0" applyNumberFormat="1" applyFont="1" applyFill="1" applyBorder="1" applyAlignment="1" applyProtection="1">
      <alignment horizontal="center" vertical="center"/>
      <protection hidden="1"/>
    </xf>
    <xf numFmtId="1" fontId="60" fillId="12" borderId="84" xfId="0" applyNumberFormat="1" applyFont="1" applyFill="1" applyBorder="1" applyProtection="1">
      <protection hidden="1"/>
    </xf>
    <xf numFmtId="1" fontId="48" fillId="12" borderId="156" xfId="0" applyNumberFormat="1" applyFont="1" applyFill="1" applyBorder="1" applyAlignment="1" applyProtection="1">
      <alignment horizontal="center" vertical="center"/>
      <protection hidden="1"/>
    </xf>
    <xf numFmtId="1" fontId="48" fillId="12" borderId="157" xfId="0" applyNumberFormat="1" applyFont="1" applyFill="1" applyBorder="1" applyAlignment="1" applyProtection="1">
      <alignment horizontal="center" vertical="center"/>
      <protection hidden="1"/>
    </xf>
    <xf numFmtId="1" fontId="48" fillId="12" borderId="81" xfId="0" applyNumberFormat="1" applyFont="1" applyFill="1" applyBorder="1" applyAlignment="1" applyProtection="1">
      <alignment horizontal="center" vertical="center"/>
      <protection hidden="1"/>
    </xf>
    <xf numFmtId="1" fontId="48" fillId="12" borderId="94" xfId="0" applyNumberFormat="1" applyFont="1" applyFill="1" applyBorder="1" applyAlignment="1" applyProtection="1">
      <alignment horizontal="center" vertical="center"/>
      <protection hidden="1"/>
    </xf>
    <xf numFmtId="1" fontId="48" fillId="12" borderId="91" xfId="0" applyNumberFormat="1" applyFont="1" applyFill="1" applyBorder="1" applyAlignment="1" applyProtection="1">
      <alignment vertical="center"/>
      <protection hidden="1"/>
    </xf>
    <xf numFmtId="1" fontId="48" fillId="12" borderId="92" xfId="0" applyNumberFormat="1" applyFont="1" applyFill="1" applyBorder="1" applyAlignment="1" applyProtection="1">
      <alignment vertical="center"/>
      <protection hidden="1"/>
    </xf>
    <xf numFmtId="1" fontId="0" fillId="12" borderId="92" xfId="0" applyNumberFormat="1" applyFill="1" applyBorder="1" applyAlignment="1" applyProtection="1">
      <alignment vertical="center"/>
      <protection hidden="1"/>
    </xf>
    <xf numFmtId="1" fontId="0" fillId="12" borderId="158" xfId="0" applyNumberFormat="1" applyFill="1" applyBorder="1" applyAlignment="1" applyProtection="1">
      <alignment vertical="center"/>
      <protection hidden="1"/>
    </xf>
    <xf numFmtId="1" fontId="48" fillId="22" borderId="134" xfId="0" applyNumberFormat="1" applyFont="1" applyFill="1" applyBorder="1" applyAlignment="1" applyProtection="1">
      <alignment horizontal="center" vertical="center"/>
      <protection hidden="1"/>
    </xf>
    <xf numFmtId="1" fontId="48" fillId="22" borderId="135" xfId="0" applyNumberFormat="1" applyFont="1" applyFill="1" applyBorder="1" applyAlignment="1" applyProtection="1">
      <alignment horizontal="center" vertical="center"/>
      <protection hidden="1"/>
    </xf>
    <xf numFmtId="1" fontId="48" fillId="22" borderId="76" xfId="0" applyNumberFormat="1" applyFont="1" applyFill="1" applyBorder="1" applyProtection="1">
      <protection hidden="1"/>
    </xf>
    <xf numFmtId="1" fontId="48" fillId="22" borderId="90" xfId="0" applyNumberFormat="1" applyFont="1" applyFill="1" applyBorder="1" applyProtection="1">
      <protection hidden="1"/>
    </xf>
    <xf numFmtId="1" fontId="48" fillId="22" borderId="142" xfId="0" applyNumberFormat="1" applyFont="1" applyFill="1" applyBorder="1" applyAlignment="1" applyProtection="1">
      <alignment horizontal="center" vertical="center"/>
      <protection hidden="1"/>
    </xf>
    <xf numFmtId="1" fontId="48" fillId="22" borderId="143" xfId="0" applyNumberFormat="1" applyFont="1" applyFill="1" applyBorder="1" applyAlignment="1" applyProtection="1">
      <alignment horizontal="center" vertical="center"/>
      <protection hidden="1"/>
    </xf>
    <xf numFmtId="1" fontId="48" fillId="22" borderId="78" xfId="0" applyNumberFormat="1" applyFont="1" applyFill="1" applyBorder="1" applyProtection="1">
      <protection hidden="1"/>
    </xf>
    <xf numFmtId="1" fontId="48" fillId="22" borderId="97" xfId="0" applyNumberFormat="1" applyFont="1" applyFill="1" applyBorder="1" applyProtection="1">
      <protection hidden="1"/>
    </xf>
    <xf numFmtId="1" fontId="60" fillId="12" borderId="156" xfId="0" applyNumberFormat="1" applyFont="1" applyFill="1" applyBorder="1" applyAlignment="1" applyProtection="1">
      <alignment horizontal="center" vertical="center"/>
      <protection hidden="1"/>
    </xf>
    <xf numFmtId="1" fontId="60" fillId="12" borderId="157" xfId="0" applyNumberFormat="1" applyFont="1" applyFill="1" applyBorder="1" applyAlignment="1" applyProtection="1">
      <alignment horizontal="center" vertical="center"/>
      <protection hidden="1"/>
    </xf>
    <xf numFmtId="1" fontId="60" fillId="5" borderId="134" xfId="0" applyNumberFormat="1" applyFont="1" applyFill="1" applyBorder="1" applyAlignment="1" applyProtection="1">
      <alignment horizontal="center" vertical="center"/>
      <protection hidden="1"/>
    </xf>
    <xf numFmtId="1" fontId="60" fillId="5" borderId="88" xfId="0" applyNumberFormat="1" applyFont="1" applyFill="1" applyBorder="1" applyProtection="1">
      <protection hidden="1"/>
    </xf>
    <xf numFmtId="1" fontId="60" fillId="12" borderId="138" xfId="0" applyNumberFormat="1" applyFont="1" applyFill="1" applyBorder="1" applyAlignment="1" applyProtection="1">
      <alignment horizontal="center" vertical="center"/>
      <protection hidden="1"/>
    </xf>
    <xf numFmtId="1" fontId="60" fillId="12" borderId="104" xfId="0" applyNumberFormat="1" applyFont="1" applyFill="1" applyBorder="1" applyProtection="1">
      <protection hidden="1"/>
    </xf>
    <xf numFmtId="1" fontId="60" fillId="12" borderId="142" xfId="0" applyNumberFormat="1" applyFont="1" applyFill="1" applyBorder="1" applyAlignment="1" applyProtection="1">
      <alignment horizontal="center" vertical="center"/>
      <protection hidden="1"/>
    </xf>
    <xf numFmtId="1" fontId="60" fillId="12" borderId="95" xfId="0" applyNumberFormat="1" applyFont="1" applyFill="1" applyBorder="1" applyProtection="1">
      <protection hidden="1"/>
    </xf>
    <xf numFmtId="1" fontId="60" fillId="12" borderId="134" xfId="0" applyNumberFormat="1" applyFont="1" applyFill="1" applyBorder="1" applyAlignment="1" applyProtection="1">
      <alignment horizontal="center" vertical="center"/>
      <protection hidden="1"/>
    </xf>
    <xf numFmtId="1" fontId="60" fillId="12" borderId="88" xfId="0" applyNumberFormat="1" applyFont="1" applyFill="1" applyBorder="1" applyProtection="1">
      <protection hidden="1"/>
    </xf>
    <xf numFmtId="1" fontId="60" fillId="40" borderId="142" xfId="0" applyNumberFormat="1" applyFont="1" applyFill="1" applyBorder="1" applyAlignment="1" applyProtection="1">
      <alignment horizontal="center" vertical="center"/>
      <protection hidden="1"/>
    </xf>
    <xf numFmtId="1" fontId="60" fillId="40" borderId="95" xfId="0" applyNumberFormat="1" applyFont="1" applyFill="1" applyBorder="1" applyProtection="1">
      <protection hidden="1"/>
    </xf>
    <xf numFmtId="1" fontId="48" fillId="12" borderId="20" xfId="0" applyNumberFormat="1" applyFont="1" applyFill="1" applyBorder="1" applyProtection="1">
      <protection locked="0" hidden="1"/>
    </xf>
    <xf numFmtId="2" fontId="0" fillId="12" borderId="20" xfId="0" applyNumberFormat="1" applyFill="1" applyBorder="1" applyProtection="1">
      <protection locked="0" hidden="1"/>
    </xf>
    <xf numFmtId="2" fontId="8" fillId="0" borderId="29" xfId="0" applyNumberFormat="1" applyFont="1" applyBorder="1"/>
    <xf numFmtId="165" fontId="0" fillId="12" borderId="0" xfId="0" applyFill="1"/>
    <xf numFmtId="165" fontId="24" fillId="12" borderId="0" xfId="0" applyFont="1" applyFill="1"/>
    <xf numFmtId="165" fontId="22" fillId="45" borderId="0" xfId="0" applyFont="1" applyFill="1"/>
    <xf numFmtId="165" fontId="19" fillId="45" borderId="0" xfId="1" applyFont="1" applyFill="1"/>
    <xf numFmtId="2" fontId="0" fillId="12" borderId="1" xfId="0" applyNumberFormat="1" applyFill="1" applyBorder="1" applyProtection="1">
      <protection hidden="1"/>
    </xf>
    <xf numFmtId="2" fontId="0" fillId="12" borderId="16" xfId="0" applyNumberFormat="1" applyFill="1" applyBorder="1" applyProtection="1">
      <protection hidden="1"/>
    </xf>
    <xf numFmtId="2" fontId="0" fillId="12" borderId="18" xfId="0" applyNumberFormat="1" applyFill="1" applyBorder="1" applyProtection="1">
      <protection hidden="1"/>
    </xf>
    <xf numFmtId="2" fontId="0" fillId="12" borderId="19" xfId="0" applyNumberFormat="1" applyFill="1" applyBorder="1" applyProtection="1">
      <protection hidden="1"/>
    </xf>
    <xf numFmtId="1" fontId="0" fillId="12" borderId="37" xfId="0" applyNumberFormat="1" applyFill="1" applyBorder="1" applyProtection="1">
      <protection hidden="1"/>
    </xf>
    <xf numFmtId="1" fontId="0" fillId="12" borderId="30" xfId="0" applyNumberFormat="1" applyFill="1" applyBorder="1" applyProtection="1">
      <protection hidden="1"/>
    </xf>
    <xf numFmtId="1" fontId="0" fillId="12" borderId="39" xfId="0" applyNumberFormat="1" applyFill="1" applyBorder="1" applyProtection="1">
      <protection hidden="1"/>
    </xf>
    <xf numFmtId="165" fontId="12" fillId="6" borderId="0" xfId="1" applyFont="1" applyFill="1" applyAlignment="1"/>
    <xf numFmtId="165" fontId="48" fillId="12" borderId="8" xfId="0" applyFont="1" applyFill="1" applyBorder="1" applyAlignment="1" applyProtection="1">
      <alignment horizontal="center" vertical="center"/>
      <protection hidden="1"/>
    </xf>
    <xf numFmtId="1" fontId="48" fillId="12" borderId="18" xfId="0" applyNumberFormat="1" applyFont="1" applyFill="1" applyBorder="1" applyAlignment="1" applyProtection="1">
      <alignment horizontal="center" vertical="center"/>
      <protection hidden="1"/>
    </xf>
    <xf numFmtId="165" fontId="48" fillId="12" borderId="40" xfId="0" applyFont="1" applyFill="1" applyBorder="1" applyAlignment="1" applyProtection="1">
      <alignment horizontal="center" vertical="center"/>
      <protection hidden="1"/>
    </xf>
    <xf numFmtId="165" fontId="48" fillId="12" borderId="55" xfId="0" applyFont="1" applyFill="1" applyBorder="1" applyAlignment="1" applyProtection="1">
      <alignment horizontal="center" vertical="center"/>
      <protection hidden="1"/>
    </xf>
    <xf numFmtId="165" fontId="0" fillId="12" borderId="0" xfId="0" applyFill="1"/>
    <xf numFmtId="165" fontId="48" fillId="12" borderId="44" xfId="0" applyFont="1" applyFill="1" applyBorder="1" applyAlignment="1" applyProtection="1">
      <alignment horizontal="center" vertical="center"/>
      <protection hidden="1"/>
    </xf>
    <xf numFmtId="165" fontId="48" fillId="12" borderId="54" xfId="0" applyFont="1" applyFill="1" applyBorder="1" applyAlignment="1" applyProtection="1">
      <alignment horizontal="center" vertical="center"/>
      <protection hidden="1"/>
    </xf>
    <xf numFmtId="1" fontId="48" fillId="12" borderId="76" xfId="0" applyNumberFormat="1" applyFont="1" applyFill="1" applyBorder="1" applyAlignment="1" applyProtection="1">
      <alignment horizontal="center" vertical="center"/>
      <protection hidden="1"/>
    </xf>
    <xf numFmtId="1" fontId="48" fillId="12" borderId="78" xfId="0" applyNumberFormat="1" applyFont="1" applyFill="1" applyBorder="1" applyAlignment="1" applyProtection="1">
      <alignment horizontal="center" vertical="center"/>
      <protection hidden="1"/>
    </xf>
    <xf numFmtId="1" fontId="48" fillId="12" borderId="90" xfId="0" applyNumberFormat="1" applyFont="1" applyFill="1" applyBorder="1" applyAlignment="1" applyProtection="1">
      <alignment horizontal="center" vertical="center"/>
      <protection hidden="1"/>
    </xf>
    <xf numFmtId="1" fontId="48" fillId="12" borderId="115" xfId="0" applyNumberFormat="1" applyFont="1" applyFill="1" applyBorder="1" applyAlignment="1" applyProtection="1">
      <alignment horizontal="center" vertical="center"/>
      <protection hidden="1"/>
    </xf>
    <xf numFmtId="165" fontId="61" fillId="12" borderId="27" xfId="0" applyFont="1" applyFill="1" applyBorder="1" applyAlignment="1" applyProtection="1">
      <alignment horizontal="center" vertical="center"/>
      <protection hidden="1"/>
    </xf>
    <xf numFmtId="165" fontId="61" fillId="12" borderId="28" xfId="0" applyFont="1" applyFill="1" applyBorder="1" applyAlignment="1" applyProtection="1">
      <alignment horizontal="center" vertical="center"/>
      <protection hidden="1"/>
    </xf>
    <xf numFmtId="165" fontId="62" fillId="12" borderId="0" xfId="0" applyFont="1" applyFill="1" applyAlignment="1" applyProtection="1">
      <alignment horizontal="center" vertical="center" textRotation="90"/>
      <protection hidden="1"/>
    </xf>
    <xf numFmtId="165" fontId="24" fillId="12" borderId="0" xfId="0" applyFont="1" applyFill="1"/>
    <xf numFmtId="165" fontId="48" fillId="12" borderId="81" xfId="0" applyFont="1" applyFill="1" applyBorder="1" applyAlignment="1" applyProtection="1">
      <alignment horizontal="center" vertical="center"/>
      <protection hidden="1"/>
    </xf>
    <xf numFmtId="165" fontId="48" fillId="12" borderId="0" xfId="0" applyFont="1" applyFill="1" applyAlignment="1" applyProtection="1">
      <alignment horizontal="right" wrapText="1"/>
      <protection hidden="1"/>
    </xf>
    <xf numFmtId="165" fontId="0" fillId="12" borderId="17" xfId="0" applyFill="1" applyBorder="1" applyAlignment="1" applyProtection="1">
      <alignment wrapText="1"/>
      <protection hidden="1"/>
    </xf>
    <xf numFmtId="165" fontId="0" fillId="12" borderId="18" xfId="0" applyFill="1" applyBorder="1" applyAlignment="1" applyProtection="1">
      <alignment wrapText="1"/>
      <protection hidden="1"/>
    </xf>
    <xf numFmtId="165" fontId="0" fillId="12" borderId="19" xfId="0" applyFill="1" applyBorder="1" applyAlignment="1" applyProtection="1">
      <alignment wrapText="1"/>
      <protection hidden="1"/>
    </xf>
    <xf numFmtId="2" fontId="0" fillId="12" borderId="12" xfId="0" applyNumberFormat="1" applyFill="1" applyBorder="1" applyProtection="1">
      <protection hidden="1"/>
    </xf>
    <xf numFmtId="2" fontId="0" fillId="12" borderId="13" xfId="0" applyNumberFormat="1" applyFill="1" applyBorder="1" applyProtection="1">
      <protection hidden="1"/>
    </xf>
    <xf numFmtId="2" fontId="0" fillId="12" borderId="14" xfId="0" applyNumberFormat="1" applyFill="1" applyBorder="1" applyProtection="1">
      <protection hidden="1"/>
    </xf>
    <xf numFmtId="2" fontId="0" fillId="12" borderId="15" xfId="0" applyNumberFormat="1" applyFill="1" applyBorder="1" applyProtection="1">
      <protection hidden="1"/>
    </xf>
    <xf numFmtId="2" fontId="0" fillId="12" borderId="17" xfId="0" applyNumberFormat="1" applyFill="1" applyBorder="1" applyProtection="1">
      <protection hidden="1"/>
    </xf>
    <xf numFmtId="165" fontId="0" fillId="12" borderId="0" xfId="0" applyFill="1"/>
    <xf numFmtId="1" fontId="9" fillId="22" borderId="8" xfId="0" applyNumberFormat="1" applyFont="1" applyFill="1" applyBorder="1" applyAlignment="1">
      <alignment horizontal="center" vertical="center"/>
    </xf>
    <xf numFmtId="1" fontId="9" fillId="46" borderId="11" xfId="0" applyNumberFormat="1" applyFont="1" applyFill="1" applyBorder="1" applyAlignment="1">
      <alignment horizontal="center" vertical="center" wrapText="1"/>
    </xf>
    <xf numFmtId="1" fontId="9" fillId="46" borderId="20" xfId="0" applyNumberFormat="1" applyFont="1" applyFill="1" applyBorder="1" applyAlignment="1">
      <alignment horizontal="center" vertical="center"/>
    </xf>
    <xf numFmtId="1" fontId="9" fillId="46" borderId="8" xfId="0" applyNumberFormat="1" applyFont="1" applyFill="1" applyBorder="1" applyAlignment="1">
      <alignment horizontal="center" vertical="center"/>
    </xf>
    <xf numFmtId="165" fontId="0" fillId="12" borderId="0" xfId="0" applyFill="1"/>
    <xf numFmtId="165" fontId="0" fillId="12" borderId="0" xfId="0" applyFill="1"/>
    <xf numFmtId="165" fontId="12" fillId="6" borderId="0" xfId="1" applyFont="1" applyFill="1" applyAlignment="1"/>
    <xf numFmtId="164" fontId="9" fillId="14" borderId="22" xfId="0" applyNumberFormat="1" applyFont="1" applyFill="1" applyBorder="1" applyAlignment="1">
      <alignment horizontal="center" vertical="center" wrapText="1"/>
    </xf>
    <xf numFmtId="165" fontId="9" fillId="14" borderId="16" xfId="0" applyFont="1" applyFill="1" applyBorder="1" applyAlignment="1">
      <alignment horizontal="center" vertical="center"/>
    </xf>
    <xf numFmtId="1" fontId="26" fillId="0" borderId="61" xfId="0" applyNumberFormat="1" applyFont="1" applyBorder="1" applyAlignment="1">
      <alignment horizontal="center"/>
    </xf>
    <xf numFmtId="167" fontId="8" fillId="0" borderId="44" xfId="0" applyNumberFormat="1" applyFont="1" applyBorder="1"/>
    <xf numFmtId="165" fontId="9" fillId="18" borderId="0" xfId="0" applyFont="1" applyFill="1" applyAlignment="1">
      <alignment horizontal="left"/>
    </xf>
    <xf numFmtId="1" fontId="26" fillId="0" borderId="160" xfId="0" applyNumberFormat="1" applyFont="1" applyBorder="1" applyAlignment="1">
      <alignment horizontal="center"/>
    </xf>
    <xf numFmtId="167" fontId="8" fillId="0" borderId="28" xfId="0" applyNumberFormat="1" applyFont="1" applyBorder="1"/>
    <xf numFmtId="164" fontId="8" fillId="0" borderId="44" xfId="0" applyNumberFormat="1" applyFont="1" applyBorder="1"/>
    <xf numFmtId="164" fontId="8" fillId="0" borderId="40" xfId="0" applyNumberFormat="1" applyFont="1" applyBorder="1"/>
    <xf numFmtId="164" fontId="8" fillId="0" borderId="45" xfId="0" applyNumberFormat="1" applyFont="1" applyBorder="1"/>
    <xf numFmtId="1" fontId="26" fillId="0" borderId="161" xfId="0" applyNumberFormat="1" applyFont="1" applyBorder="1" applyAlignment="1">
      <alignment horizontal="center"/>
    </xf>
    <xf numFmtId="167" fontId="8" fillId="0" borderId="7" xfId="0" applyNumberFormat="1" applyFont="1" applyBorder="1"/>
    <xf numFmtId="164" fontId="11" fillId="0" borderId="10" xfId="0" applyNumberFormat="1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65" fontId="0" fillId="12" borderId="0" xfId="0" applyFill="1"/>
    <xf numFmtId="165" fontId="80" fillId="0" borderId="29" xfId="0" applyFont="1" applyBorder="1" applyAlignment="1">
      <alignment horizontal="center" vertical="center"/>
    </xf>
    <xf numFmtId="165" fontId="0" fillId="12" borderId="0" xfId="0" applyFill="1"/>
    <xf numFmtId="165" fontId="5" fillId="45" borderId="0" xfId="1" applyFont="1" applyFill="1" applyAlignment="1">
      <alignment horizontal="left" vertical="center"/>
    </xf>
    <xf numFmtId="165" fontId="0" fillId="47" borderId="0" xfId="0" applyFill="1"/>
    <xf numFmtId="165" fontId="0" fillId="48" borderId="0" xfId="0" applyFill="1"/>
    <xf numFmtId="165" fontId="0" fillId="49" borderId="2" xfId="0" applyFill="1" applyBorder="1"/>
    <xf numFmtId="165" fontId="0" fillId="49" borderId="3" xfId="0" applyFill="1" applyBorder="1"/>
    <xf numFmtId="165" fontId="0" fillId="49" borderId="4" xfId="0" applyFill="1" applyBorder="1"/>
    <xf numFmtId="165" fontId="0" fillId="49" borderId="27" xfId="0" applyFill="1" applyBorder="1"/>
    <xf numFmtId="165" fontId="0" fillId="49" borderId="0" xfId="0" applyFill="1"/>
    <xf numFmtId="165" fontId="0" fillId="49" borderId="28" xfId="0" applyFill="1" applyBorder="1"/>
    <xf numFmtId="165" fontId="9" fillId="51" borderId="39" xfId="0" applyFont="1" applyFill="1" applyBorder="1" applyAlignment="1">
      <alignment horizontal="center"/>
    </xf>
    <xf numFmtId="165" fontId="9" fillId="51" borderId="19" xfId="0" applyFont="1" applyFill="1" applyBorder="1" applyAlignment="1">
      <alignment horizontal="center"/>
    </xf>
    <xf numFmtId="168" fontId="9" fillId="51" borderId="58" xfId="0" applyNumberFormat="1" applyFont="1" applyFill="1" applyBorder="1" applyAlignment="1">
      <alignment horizontal="center"/>
    </xf>
    <xf numFmtId="168" fontId="9" fillId="51" borderId="14" xfId="0" applyNumberFormat="1" applyFont="1" applyFill="1" applyBorder="1" applyAlignment="1">
      <alignment horizontal="center"/>
    </xf>
    <xf numFmtId="168" fontId="9" fillId="51" borderId="69" xfId="0" applyNumberFormat="1" applyFont="1" applyFill="1" applyBorder="1" applyAlignment="1">
      <alignment horizontal="center"/>
    </xf>
    <xf numFmtId="168" fontId="9" fillId="51" borderId="19" xfId="0" applyNumberFormat="1" applyFont="1" applyFill="1" applyBorder="1" applyAlignment="1">
      <alignment horizontal="center"/>
    </xf>
    <xf numFmtId="165" fontId="9" fillId="51" borderId="12" xfId="0" applyFont="1" applyFill="1" applyBorder="1" applyAlignment="1">
      <alignment horizontal="center"/>
    </xf>
    <xf numFmtId="165" fontId="9" fillId="51" borderId="14" xfId="0" applyFont="1" applyFill="1" applyBorder="1" applyAlignment="1">
      <alignment horizontal="center"/>
    </xf>
    <xf numFmtId="165" fontId="9" fillId="51" borderId="17" xfId="0" applyFont="1" applyFill="1" applyBorder="1" applyAlignment="1">
      <alignment horizontal="center"/>
    </xf>
    <xf numFmtId="168" fontId="9" fillId="51" borderId="70" xfId="0" applyNumberFormat="1" applyFont="1" applyFill="1" applyBorder="1" applyAlignment="1">
      <alignment horizontal="center"/>
    </xf>
    <xf numFmtId="168" fontId="9" fillId="51" borderId="24" xfId="0" applyNumberFormat="1" applyFont="1" applyFill="1" applyBorder="1" applyAlignment="1">
      <alignment horizontal="center"/>
    </xf>
    <xf numFmtId="165" fontId="0" fillId="49" borderId="5" xfId="0" applyFill="1" applyBorder="1"/>
    <xf numFmtId="165" fontId="0" fillId="49" borderId="6" xfId="0" applyFill="1" applyBorder="1"/>
    <xf numFmtId="165" fontId="0" fillId="49" borderId="6" xfId="0" applyFill="1" applyBorder="1" applyAlignment="1">
      <alignment horizontal="center" vertical="center" wrapText="1"/>
    </xf>
    <xf numFmtId="165" fontId="0" fillId="49" borderId="7" xfId="0" applyFill="1" applyBorder="1"/>
    <xf numFmtId="165" fontId="0" fillId="47" borderId="0" xfId="0" applyFill="1" applyAlignment="1">
      <alignment horizontal="center" vertical="center" wrapText="1"/>
    </xf>
    <xf numFmtId="165" fontId="96" fillId="49" borderId="3" xfId="0" applyFont="1" applyFill="1" applyBorder="1"/>
    <xf numFmtId="165" fontId="0" fillId="49" borderId="165" xfId="0" applyFill="1" applyBorder="1"/>
    <xf numFmtId="165" fontId="95" fillId="49" borderId="164" xfId="0" applyFont="1" applyFill="1" applyBorder="1"/>
    <xf numFmtId="165" fontId="0" fillId="49" borderId="166" xfId="0" applyFill="1" applyBorder="1"/>
    <xf numFmtId="165" fontId="96" fillId="49" borderId="6" xfId="0" applyFont="1" applyFill="1" applyBorder="1" applyAlignment="1">
      <alignment horizontal="center" vertical="center" wrapText="1"/>
    </xf>
    <xf numFmtId="165" fontId="96" fillId="47" borderId="0" xfId="0" applyFont="1" applyFill="1" applyAlignment="1">
      <alignment horizontal="center" vertical="center" wrapText="1"/>
    </xf>
    <xf numFmtId="165" fontId="96" fillId="49" borderId="3" xfId="0" applyFont="1" applyFill="1" applyBorder="1" applyAlignment="1">
      <alignment horizontal="center" vertical="center" wrapText="1"/>
    </xf>
    <xf numFmtId="165" fontId="96" fillId="49" borderId="0" xfId="0" applyFont="1" applyFill="1" applyAlignment="1">
      <alignment horizontal="center" vertical="center" wrapText="1"/>
    </xf>
    <xf numFmtId="165" fontId="0" fillId="49" borderId="0" xfId="0" applyFill="1" applyAlignment="1">
      <alignment vertical="center" wrapText="1"/>
    </xf>
    <xf numFmtId="165" fontId="0" fillId="49" borderId="6" xfId="0" applyFill="1" applyBorder="1" applyAlignment="1">
      <alignment vertical="center" wrapText="1"/>
    </xf>
    <xf numFmtId="165" fontId="0" fillId="47" borderId="0" xfId="0" applyFill="1" applyAlignment="1">
      <alignment vertical="center" wrapText="1"/>
    </xf>
    <xf numFmtId="165" fontId="0" fillId="49" borderId="3" xfId="0" applyFill="1" applyBorder="1" applyAlignment="1">
      <alignment vertical="center" wrapText="1"/>
    </xf>
    <xf numFmtId="165" fontId="0" fillId="49" borderId="0" xfId="0" applyFill="1" applyAlignment="1">
      <alignment vertical="top" wrapText="1"/>
    </xf>
    <xf numFmtId="165" fontId="0" fillId="49" borderId="6" xfId="0" applyFill="1" applyBorder="1" applyAlignment="1">
      <alignment vertical="top" wrapText="1"/>
    </xf>
    <xf numFmtId="165" fontId="0" fillId="47" borderId="0" xfId="0" applyFill="1" applyAlignment="1">
      <alignment vertical="top" wrapText="1"/>
    </xf>
    <xf numFmtId="165" fontId="95" fillId="54" borderId="13" xfId="0" applyFont="1" applyFill="1" applyBorder="1" applyAlignment="1">
      <alignment horizontal="center" vertical="center"/>
    </xf>
    <xf numFmtId="165" fontId="95" fillId="55" borderId="14" xfId="0" applyFont="1" applyFill="1" applyBorder="1" applyAlignment="1">
      <alignment horizontal="center" vertical="center"/>
    </xf>
    <xf numFmtId="165" fontId="95" fillId="54" borderId="1" xfId="0" applyFont="1" applyFill="1" applyBorder="1" applyAlignment="1">
      <alignment horizontal="center" vertical="center"/>
    </xf>
    <xf numFmtId="165" fontId="95" fillId="55" borderId="16" xfId="0" applyFont="1" applyFill="1" applyBorder="1" applyAlignment="1">
      <alignment horizontal="center" vertical="center"/>
    </xf>
    <xf numFmtId="165" fontId="104" fillId="49" borderId="28" xfId="5" applyFont="1" applyFill="1" applyBorder="1"/>
    <xf numFmtId="165" fontId="29" fillId="49" borderId="0" xfId="0" applyFont="1" applyFill="1"/>
    <xf numFmtId="165" fontId="107" fillId="49" borderId="0" xfId="0" applyFont="1" applyFill="1" applyAlignment="1">
      <alignment horizontal="center" vertical="center"/>
    </xf>
    <xf numFmtId="165" fontId="0" fillId="49" borderId="28" xfId="0" applyFill="1" applyBorder="1" applyAlignment="1">
      <alignment horizontal="left" wrapText="1"/>
    </xf>
    <xf numFmtId="165" fontId="0" fillId="47" borderId="0" xfId="0" applyFill="1" applyAlignment="1">
      <alignment horizontal="left" wrapText="1"/>
    </xf>
    <xf numFmtId="165" fontId="0" fillId="47" borderId="0" xfId="0" applyFill="1" applyAlignment="1">
      <alignment wrapText="1"/>
    </xf>
    <xf numFmtId="165" fontId="0" fillId="49" borderId="167" xfId="0" applyFill="1" applyBorder="1"/>
    <xf numFmtId="165" fontId="90" fillId="47" borderId="0" xfId="0" applyFont="1" applyFill="1" applyAlignment="1">
      <alignment vertical="center"/>
    </xf>
    <xf numFmtId="165" fontId="109" fillId="49" borderId="3" xfId="0" applyFont="1" applyFill="1" applyBorder="1" applyAlignment="1">
      <alignment vertical="center"/>
    </xf>
    <xf numFmtId="165" fontId="109" fillId="49" borderId="0" xfId="0" applyFont="1" applyFill="1" applyAlignment="1">
      <alignment vertical="center"/>
    </xf>
    <xf numFmtId="170" fontId="0" fillId="47" borderId="0" xfId="0" applyNumberFormat="1" applyFill="1"/>
    <xf numFmtId="165" fontId="95" fillId="49" borderId="0" xfId="0" applyFont="1" applyFill="1" applyAlignment="1">
      <alignment horizontal="center" vertical="center"/>
    </xf>
    <xf numFmtId="165" fontId="0" fillId="48" borderId="0" xfId="0" applyFill="1" applyAlignment="1">
      <alignment wrapText="1"/>
    </xf>
    <xf numFmtId="170" fontId="0" fillId="47" borderId="0" xfId="0" applyNumberFormat="1" applyFill="1" applyAlignment="1">
      <alignment wrapText="1"/>
    </xf>
    <xf numFmtId="165" fontId="111" fillId="49" borderId="0" xfId="0" applyFont="1" applyFill="1" applyAlignment="1">
      <alignment horizontal="center" vertical="center"/>
    </xf>
    <xf numFmtId="165" fontId="100" fillId="57" borderId="0" xfId="0" applyFont="1" applyFill="1" applyAlignment="1">
      <alignment vertical="center" wrapText="1"/>
    </xf>
    <xf numFmtId="165" fontId="0" fillId="58" borderId="0" xfId="0" applyFill="1"/>
    <xf numFmtId="9" fontId="95" fillId="59" borderId="0" xfId="0" applyNumberFormat="1" applyFont="1" applyFill="1" applyAlignment="1">
      <alignment vertical="center" wrapText="1"/>
    </xf>
    <xf numFmtId="165" fontId="0" fillId="49" borderId="2" xfId="0" applyFill="1" applyBorder="1" applyAlignment="1">
      <alignment horizontal="center"/>
    </xf>
    <xf numFmtId="165" fontId="0" fillId="49" borderId="3" xfId="0" applyFill="1" applyBorder="1" applyAlignment="1">
      <alignment horizontal="center"/>
    </xf>
    <xf numFmtId="165" fontId="0" fillId="49" borderId="4" xfId="0" applyFill="1" applyBorder="1" applyAlignment="1">
      <alignment horizontal="center"/>
    </xf>
    <xf numFmtId="165" fontId="0" fillId="49" borderId="27" xfId="0" applyFill="1" applyBorder="1" applyAlignment="1">
      <alignment horizontal="center"/>
    </xf>
    <xf numFmtId="165" fontId="0" fillId="49" borderId="0" xfId="0" applyFill="1" applyAlignment="1">
      <alignment horizontal="center"/>
    </xf>
    <xf numFmtId="165" fontId="0" fillId="49" borderId="28" xfId="0" applyFill="1" applyBorder="1" applyAlignment="1">
      <alignment horizontal="center"/>
    </xf>
    <xf numFmtId="165" fontId="0" fillId="49" borderId="5" xfId="0" applyFill="1" applyBorder="1" applyAlignment="1">
      <alignment horizontal="center"/>
    </xf>
    <xf numFmtId="165" fontId="0" fillId="49" borderId="6" xfId="0" applyFill="1" applyBorder="1" applyAlignment="1">
      <alignment horizontal="center"/>
    </xf>
    <xf numFmtId="165" fontId="0" fillId="49" borderId="7" xfId="0" applyFill="1" applyBorder="1" applyAlignment="1">
      <alignment horizontal="center"/>
    </xf>
    <xf numFmtId="165" fontId="115" fillId="49" borderId="3" xfId="0" applyFont="1" applyFill="1" applyBorder="1" applyAlignment="1">
      <alignment horizontal="center" vertical="center"/>
    </xf>
    <xf numFmtId="0" fontId="95" fillId="59" borderId="0" xfId="4" applyNumberFormat="1" applyFont="1" applyFill="1" applyAlignment="1" applyProtection="1">
      <alignment horizontal="center" vertical="center"/>
    </xf>
    <xf numFmtId="2" fontId="95" fillId="59" borderId="0" xfId="0" applyNumberFormat="1" applyFont="1" applyFill="1" applyAlignment="1">
      <alignment horizontal="center" vertical="center" wrapText="1"/>
    </xf>
    <xf numFmtId="165" fontId="0" fillId="49" borderId="27" xfId="0" applyFill="1" applyBorder="1" applyAlignment="1">
      <alignment wrapText="1"/>
    </xf>
    <xf numFmtId="165" fontId="0" fillId="49" borderId="0" xfId="0" applyFill="1" applyAlignment="1">
      <alignment wrapText="1"/>
    </xf>
    <xf numFmtId="165" fontId="0" fillId="49" borderId="28" xfId="0" applyFill="1" applyBorder="1" applyAlignment="1">
      <alignment wrapText="1"/>
    </xf>
    <xf numFmtId="165" fontId="96" fillId="49" borderId="0" xfId="0" applyFont="1" applyFill="1"/>
    <xf numFmtId="165" fontId="117" fillId="61" borderId="3" xfId="0" applyFont="1" applyFill="1" applyBorder="1" applyAlignment="1">
      <alignment horizontal="center" vertical="center"/>
    </xf>
    <xf numFmtId="165" fontId="117" fillId="61" borderId="3" xfId="0" applyFont="1" applyFill="1" applyBorder="1" applyAlignment="1">
      <alignment vertical="center"/>
    </xf>
    <xf numFmtId="165" fontId="91" fillId="61" borderId="3" xfId="0" applyFont="1" applyFill="1" applyBorder="1" applyAlignment="1">
      <alignment vertical="center"/>
    </xf>
    <xf numFmtId="165" fontId="0" fillId="49" borderId="168" xfId="0" applyFill="1" applyBorder="1"/>
    <xf numFmtId="165" fontId="109" fillId="47" borderId="0" xfId="0" applyFont="1" applyFill="1" applyAlignment="1">
      <alignment horizontal="center" vertical="center"/>
    </xf>
    <xf numFmtId="165" fontId="109" fillId="47" borderId="0" xfId="0" applyFont="1" applyFill="1" applyAlignment="1">
      <alignment vertical="center"/>
    </xf>
    <xf numFmtId="174" fontId="118" fillId="48" borderId="0" xfId="0" applyNumberFormat="1" applyFont="1" applyFill="1" applyAlignment="1">
      <alignment horizontal="left" vertical="center" wrapText="1" indent="1"/>
    </xf>
    <xf numFmtId="175" fontId="118" fillId="48" borderId="0" xfId="0" applyNumberFormat="1" applyFont="1" applyFill="1" applyAlignment="1">
      <alignment horizontal="left" vertical="center" wrapText="1" indent="1"/>
    </xf>
    <xf numFmtId="165" fontId="96" fillId="47" borderId="0" xfId="0" applyFont="1" applyFill="1"/>
    <xf numFmtId="165" fontId="0" fillId="47" borderId="0" xfId="0" applyFill="1" applyAlignment="1">
      <alignment vertical="top"/>
    </xf>
    <xf numFmtId="165" fontId="93" fillId="52" borderId="0" xfId="0" applyFont="1" applyFill="1" applyBorder="1" applyAlignment="1">
      <alignment horizontal="center" vertical="center"/>
    </xf>
    <xf numFmtId="170" fontId="94" fillId="52" borderId="0" xfId="0" applyNumberFormat="1" applyFont="1" applyFill="1" applyBorder="1" applyAlignment="1">
      <alignment horizontal="center" vertical="center" wrapText="1"/>
    </xf>
    <xf numFmtId="165" fontId="0" fillId="49" borderId="0" xfId="0" applyFill="1" applyBorder="1"/>
    <xf numFmtId="165" fontId="93" fillId="52" borderId="6" xfId="0" applyFont="1" applyFill="1" applyBorder="1" applyAlignment="1">
      <alignment horizontal="center" vertical="center"/>
    </xf>
    <xf numFmtId="170" fontId="94" fillId="52" borderId="6" xfId="0" applyNumberFormat="1" applyFont="1" applyFill="1" applyBorder="1" applyAlignment="1">
      <alignment horizontal="center" vertical="center" wrapText="1"/>
    </xf>
    <xf numFmtId="165" fontId="95" fillId="49" borderId="3" xfId="0" applyFont="1" applyFill="1" applyBorder="1"/>
    <xf numFmtId="165" fontId="0" fillId="48" borderId="0" xfId="0" applyFill="1" applyBorder="1"/>
    <xf numFmtId="165" fontId="0" fillId="0" borderId="0" xfId="0" applyBorder="1"/>
    <xf numFmtId="165" fontId="8" fillId="49" borderId="167" xfId="0" applyFont="1" applyFill="1" applyBorder="1"/>
    <xf numFmtId="165" fontId="8" fillId="49" borderId="0" xfId="0" applyFont="1" applyFill="1"/>
    <xf numFmtId="165" fontId="8" fillId="49" borderId="168" xfId="0" applyFont="1" applyFill="1" applyBorder="1" applyAlignment="1">
      <alignment horizontal="left" wrapText="1"/>
    </xf>
    <xf numFmtId="165" fontId="0" fillId="12" borderId="0" xfId="0" applyFill="1"/>
    <xf numFmtId="165" fontId="3" fillId="62" borderId="0" xfId="0" applyFont="1" applyFill="1" applyAlignment="1">
      <alignment vertical="center"/>
    </xf>
    <xf numFmtId="165" fontId="5" fillId="62" borderId="0" xfId="1" applyFont="1" applyFill="1" applyAlignment="1">
      <alignment horizontal="left" vertical="center"/>
    </xf>
    <xf numFmtId="165" fontId="3" fillId="63" borderId="0" xfId="0" applyFont="1" applyFill="1" applyAlignment="1">
      <alignment vertical="center"/>
    </xf>
    <xf numFmtId="165" fontId="19" fillId="63" borderId="0" xfId="1" applyFont="1" applyFill="1" applyAlignment="1">
      <alignment horizontal="left" vertical="center"/>
    </xf>
    <xf numFmtId="165" fontId="5" fillId="63" borderId="0" xfId="1" applyFont="1" applyFill="1"/>
    <xf numFmtId="165" fontId="12" fillId="6" borderId="0" xfId="1" applyFont="1" applyFill="1" applyAlignment="1"/>
    <xf numFmtId="165" fontId="0" fillId="12" borderId="0" xfId="0" applyFill="1"/>
    <xf numFmtId="165" fontId="48" fillId="64" borderId="37" xfId="0" applyFont="1" applyFill="1" applyBorder="1" applyAlignment="1">
      <alignment horizontal="center" vertical="center"/>
    </xf>
    <xf numFmtId="1" fontId="48" fillId="64" borderId="37" xfId="0" applyNumberFormat="1" applyFont="1" applyFill="1" applyBorder="1" applyAlignment="1">
      <alignment horizontal="center" vertical="center"/>
    </xf>
    <xf numFmtId="1" fontId="48" fillId="64" borderId="37" xfId="0" applyNumberFormat="1" applyFont="1" applyFill="1" applyBorder="1" applyProtection="1">
      <protection hidden="1"/>
    </xf>
    <xf numFmtId="165" fontId="48" fillId="64" borderId="30" xfId="0" applyFont="1" applyFill="1" applyBorder="1" applyAlignment="1">
      <alignment horizontal="center" vertical="center"/>
    </xf>
    <xf numFmtId="1" fontId="48" fillId="64" borderId="30" xfId="0" applyNumberFormat="1" applyFont="1" applyFill="1" applyBorder="1" applyAlignment="1">
      <alignment horizontal="center" vertical="center"/>
    </xf>
    <xf numFmtId="1" fontId="48" fillId="64" borderId="30" xfId="0" applyNumberFormat="1" applyFont="1" applyFill="1" applyBorder="1" applyProtection="1">
      <protection hidden="1"/>
    </xf>
    <xf numFmtId="165" fontId="48" fillId="64" borderId="39" xfId="0" applyFont="1" applyFill="1" applyBorder="1" applyAlignment="1">
      <alignment horizontal="center" vertical="center"/>
    </xf>
    <xf numFmtId="1" fontId="48" fillId="64" borderId="39" xfId="0" applyNumberFormat="1" applyFont="1" applyFill="1" applyBorder="1" applyAlignment="1">
      <alignment horizontal="center" vertical="center"/>
    </xf>
    <xf numFmtId="1" fontId="48" fillId="64" borderId="39" xfId="0" applyNumberFormat="1" applyFont="1" applyFill="1" applyBorder="1" applyProtection="1">
      <protection hidden="1"/>
    </xf>
    <xf numFmtId="1" fontId="60" fillId="12" borderId="3" xfId="0" applyNumberFormat="1" applyFont="1" applyFill="1" applyBorder="1" applyAlignment="1" applyProtection="1">
      <alignment horizontal="center" vertical="center"/>
      <protection hidden="1"/>
    </xf>
    <xf numFmtId="1" fontId="60" fillId="12" borderId="6" xfId="0" applyNumberFormat="1" applyFont="1" applyFill="1" applyBorder="1" applyAlignment="1" applyProtection="1">
      <alignment horizontal="center" vertical="center"/>
      <protection hidden="1"/>
    </xf>
    <xf numFmtId="1" fontId="60" fillId="20" borderId="37" xfId="0" applyNumberFormat="1" applyFont="1" applyFill="1" applyBorder="1" applyAlignment="1" applyProtection="1">
      <alignment horizontal="center" vertical="center"/>
      <protection hidden="1"/>
    </xf>
    <xf numFmtId="165" fontId="60" fillId="20" borderId="37" xfId="0" applyFont="1" applyFill="1" applyBorder="1" applyAlignment="1" applyProtection="1">
      <alignment horizontal="center" vertical="center"/>
      <protection hidden="1"/>
    </xf>
    <xf numFmtId="1" fontId="60" fillId="20" borderId="37" xfId="0" applyNumberFormat="1" applyFont="1" applyFill="1" applyBorder="1" applyProtection="1">
      <protection hidden="1"/>
    </xf>
    <xf numFmtId="1" fontId="60" fillId="20" borderId="39" xfId="0" applyNumberFormat="1" applyFont="1" applyFill="1" applyBorder="1" applyAlignment="1" applyProtection="1">
      <alignment horizontal="center" vertical="center"/>
      <protection hidden="1"/>
    </xf>
    <xf numFmtId="165" fontId="60" fillId="20" borderId="39" xfId="0" applyFont="1" applyFill="1" applyBorder="1" applyAlignment="1" applyProtection="1">
      <alignment horizontal="center" vertical="center"/>
      <protection hidden="1"/>
    </xf>
    <xf numFmtId="1" fontId="60" fillId="20" borderId="39" xfId="0" applyNumberFormat="1" applyFont="1" applyFill="1" applyBorder="1" applyProtection="1">
      <protection hidden="1"/>
    </xf>
    <xf numFmtId="165" fontId="22" fillId="64" borderId="0" xfId="0" applyFont="1" applyFill="1"/>
    <xf numFmtId="165" fontId="19" fillId="64" borderId="0" xfId="1" applyFont="1" applyFill="1" applyAlignment="1">
      <alignment horizontal="left"/>
    </xf>
    <xf numFmtId="165" fontId="3" fillId="64" borderId="0" xfId="0" applyFont="1" applyFill="1"/>
    <xf numFmtId="3" fontId="9" fillId="64" borderId="10" xfId="0" applyNumberFormat="1" applyFont="1" applyFill="1" applyBorder="1" applyAlignment="1">
      <alignment horizontal="center" vertical="center"/>
    </xf>
    <xf numFmtId="0" fontId="9" fillId="64" borderId="20" xfId="0" applyNumberFormat="1" applyFont="1" applyFill="1" applyBorder="1" applyAlignment="1">
      <alignment horizontal="center" vertical="center"/>
    </xf>
    <xf numFmtId="2" fontId="9" fillId="64" borderId="11" xfId="4" applyNumberFormat="1" applyFont="1" applyFill="1" applyBorder="1" applyAlignment="1">
      <alignment horizontal="center" vertical="center" wrapText="1" shrinkToFit="1"/>
    </xf>
    <xf numFmtId="165" fontId="9" fillId="64" borderId="5" xfId="0" applyFont="1" applyFill="1" applyBorder="1" applyAlignment="1">
      <alignment horizontal="center"/>
    </xf>
    <xf numFmtId="3" fontId="9" fillId="64" borderId="6" xfId="0" applyNumberFormat="1" applyFont="1" applyFill="1" applyBorder="1" applyAlignment="1">
      <alignment horizontal="center"/>
    </xf>
    <xf numFmtId="0" fontId="9" fillId="64" borderId="6" xfId="0" applyNumberFormat="1" applyFont="1" applyFill="1" applyBorder="1" applyAlignment="1">
      <alignment horizontal="left"/>
    </xf>
    <xf numFmtId="165" fontId="9" fillId="64" borderId="6" xfId="0" applyFont="1" applyFill="1" applyBorder="1" applyAlignment="1">
      <alignment horizontal="left"/>
    </xf>
    <xf numFmtId="3" fontId="9" fillId="64" borderId="9" xfId="0" applyNumberFormat="1" applyFont="1" applyFill="1" applyBorder="1" applyAlignment="1">
      <alignment horizontal="center"/>
    </xf>
    <xf numFmtId="3" fontId="9" fillId="64" borderId="3" xfId="0" applyNumberFormat="1" applyFont="1" applyFill="1" applyBorder="1" applyAlignment="1">
      <alignment horizontal="center"/>
    </xf>
    <xf numFmtId="0" fontId="9" fillId="64" borderId="0" xfId="0" applyNumberFormat="1" applyFont="1" applyFill="1" applyAlignment="1">
      <alignment horizontal="left"/>
    </xf>
    <xf numFmtId="3" fontId="9" fillId="64" borderId="0" xfId="0" applyNumberFormat="1" applyFont="1" applyFill="1" applyAlignment="1">
      <alignment horizontal="center"/>
    </xf>
    <xf numFmtId="165" fontId="9" fillId="64" borderId="0" xfId="0" applyFont="1" applyFill="1" applyAlignment="1">
      <alignment horizontal="left"/>
    </xf>
    <xf numFmtId="1" fontId="9" fillId="64" borderId="6" xfId="0" applyNumberFormat="1" applyFont="1" applyFill="1" applyBorder="1" applyAlignment="1">
      <alignment horizontal="left"/>
    </xf>
    <xf numFmtId="1" fontId="9" fillId="64" borderId="9" xfId="0" applyNumberFormat="1" applyFont="1" applyFill="1" applyBorder="1" applyAlignment="1">
      <alignment horizontal="left"/>
    </xf>
    <xf numFmtId="165" fontId="9" fillId="64" borderId="10" xfId="0" applyFont="1" applyFill="1" applyBorder="1" applyAlignment="1">
      <alignment horizontal="left"/>
    </xf>
    <xf numFmtId="165" fontId="9" fillId="64" borderId="8" xfId="0" applyFont="1" applyFill="1" applyBorder="1" applyAlignment="1">
      <alignment horizontal="center"/>
    </xf>
    <xf numFmtId="0" fontId="9" fillId="64" borderId="9" xfId="0" applyNumberFormat="1" applyFont="1" applyFill="1" applyBorder="1" applyAlignment="1">
      <alignment horizontal="left"/>
    </xf>
    <xf numFmtId="165" fontId="9" fillId="64" borderId="9" xfId="0" applyFont="1" applyFill="1" applyBorder="1" applyAlignment="1">
      <alignment horizontal="left"/>
    </xf>
    <xf numFmtId="2" fontId="0" fillId="12" borderId="0" xfId="4" applyNumberFormat="1" applyFont="1" applyFill="1"/>
    <xf numFmtId="164" fontId="0" fillId="12" borderId="0" xfId="4" applyNumberFormat="1" applyFont="1" applyFill="1"/>
    <xf numFmtId="165" fontId="9" fillId="20" borderId="5" xfId="0" applyFont="1" applyFill="1" applyBorder="1" applyAlignment="1">
      <alignment horizontal="center"/>
    </xf>
    <xf numFmtId="165" fontId="9" fillId="20" borderId="6" xfId="0" applyFont="1" applyFill="1" applyBorder="1" applyAlignment="1">
      <alignment horizontal="left"/>
    </xf>
    <xf numFmtId="3" fontId="9" fillId="20" borderId="3" xfId="0" applyNumberFormat="1" applyFont="1" applyFill="1" applyBorder="1" applyAlignment="1">
      <alignment horizontal="center"/>
    </xf>
    <xf numFmtId="1" fontId="9" fillId="20" borderId="0" xfId="0" applyNumberFormat="1" applyFont="1" applyFill="1" applyAlignment="1">
      <alignment horizontal="left"/>
    </xf>
    <xf numFmtId="3" fontId="9" fillId="20" borderId="0" xfId="0" applyNumberFormat="1" applyFont="1" applyFill="1" applyAlignment="1">
      <alignment horizontal="center"/>
    </xf>
    <xf numFmtId="165" fontId="9" fillId="20" borderId="10" xfId="0" applyFont="1" applyFill="1" applyBorder="1" applyAlignment="1">
      <alignment horizontal="left"/>
    </xf>
    <xf numFmtId="3" fontId="8" fillId="0" borderId="40" xfId="0" applyNumberFormat="1" applyFont="1" applyBorder="1" applyAlignment="1">
      <alignment horizontal="center" vertical="center"/>
    </xf>
    <xf numFmtId="165" fontId="9" fillId="20" borderId="7" xfId="0" applyFont="1" applyFill="1" applyBorder="1" applyAlignment="1">
      <alignment horizontal="left"/>
    </xf>
    <xf numFmtId="3" fontId="8" fillId="0" borderId="55" xfId="0" applyNumberFormat="1" applyFont="1" applyBorder="1" applyAlignment="1">
      <alignment horizontal="center" vertical="center"/>
    </xf>
    <xf numFmtId="165" fontId="12" fillId="6" borderId="0" xfId="1" applyFont="1" applyFill="1" applyAlignment="1"/>
    <xf numFmtId="165" fontId="0" fillId="12" borderId="0" xfId="0" applyFill="1"/>
    <xf numFmtId="165" fontId="9" fillId="20" borderId="8" xfId="0" applyFont="1" applyFill="1" applyBorder="1" applyAlignment="1">
      <alignment horizontal="center"/>
    </xf>
    <xf numFmtId="165" fontId="9" fillId="20" borderId="9" xfId="0" applyFont="1" applyFill="1" applyBorder="1" applyAlignment="1">
      <alignment horizontal="left"/>
    </xf>
    <xf numFmtId="2" fontId="0" fillId="0" borderId="37" xfId="0" applyNumberFormat="1" applyBorder="1"/>
    <xf numFmtId="2" fontId="0" fillId="0" borderId="30" xfId="0" applyNumberFormat="1" applyBorder="1"/>
    <xf numFmtId="2" fontId="0" fillId="0" borderId="39" xfId="0" applyNumberFormat="1" applyBorder="1"/>
    <xf numFmtId="165" fontId="0" fillId="12" borderId="0" xfId="0" applyFill="1"/>
    <xf numFmtId="165" fontId="0" fillId="12" borderId="0" xfId="0" applyFill="1"/>
    <xf numFmtId="165" fontId="45" fillId="12" borderId="0" xfId="1" applyFont="1" applyFill="1" applyAlignment="1">
      <alignment horizontal="center"/>
    </xf>
    <xf numFmtId="165" fontId="19" fillId="13" borderId="0" xfId="1" applyFont="1" applyFill="1" applyAlignment="1">
      <alignment horizontal="left" vertical="center"/>
    </xf>
    <xf numFmtId="165" fontId="19" fillId="18" borderId="0" xfId="1" applyFont="1" applyFill="1" applyAlignment="1">
      <alignment horizontal="left"/>
    </xf>
    <xf numFmtId="165" fontId="19" fillId="23" borderId="0" xfId="1" applyFont="1" applyFill="1" applyAlignment="1">
      <alignment horizontal="left" vertical="center"/>
    </xf>
    <xf numFmtId="165" fontId="12" fillId="6" borderId="0" xfId="1" applyFont="1" applyFill="1" applyAlignment="1"/>
    <xf numFmtId="165" fontId="33" fillId="12" borderId="0" xfId="0" applyFont="1" applyFill="1" applyAlignment="1">
      <alignment horizontal="center" vertical="center"/>
    </xf>
    <xf numFmtId="165" fontId="10" fillId="12" borderId="0" xfId="0" applyFont="1" applyFill="1" applyAlignment="1">
      <alignment horizontal="center"/>
    </xf>
    <xf numFmtId="1" fontId="10" fillId="12" borderId="0" xfId="0" applyNumberFormat="1" applyFont="1" applyFill="1" applyAlignment="1">
      <alignment horizontal="center"/>
    </xf>
    <xf numFmtId="165" fontId="13" fillId="12" borderId="0" xfId="1" applyFont="1" applyFill="1" applyAlignment="1"/>
    <xf numFmtId="165" fontId="28" fillId="12" borderId="2" xfId="0" applyFont="1" applyFill="1" applyBorder="1" applyAlignment="1">
      <alignment horizontal="center" vertical="center"/>
    </xf>
    <xf numFmtId="165" fontId="28" fillId="12" borderId="3" xfId="0" applyFont="1" applyFill="1" applyBorder="1" applyAlignment="1">
      <alignment horizontal="center" vertical="center"/>
    </xf>
    <xf numFmtId="165" fontId="28" fillId="12" borderId="4" xfId="0" applyFont="1" applyFill="1" applyBorder="1" applyAlignment="1">
      <alignment horizontal="center" vertical="center"/>
    </xf>
    <xf numFmtId="165" fontId="28" fillId="12" borderId="27" xfId="0" applyFont="1" applyFill="1" applyBorder="1" applyAlignment="1">
      <alignment horizontal="center" vertical="center"/>
    </xf>
    <xf numFmtId="165" fontId="28" fillId="12" borderId="0" xfId="0" applyFont="1" applyFill="1" applyBorder="1" applyAlignment="1">
      <alignment horizontal="center" vertical="center"/>
    </xf>
    <xf numFmtId="165" fontId="28" fillId="12" borderId="28" xfId="0" applyFont="1" applyFill="1" applyBorder="1" applyAlignment="1">
      <alignment horizontal="center" vertical="center"/>
    </xf>
    <xf numFmtId="165" fontId="28" fillId="12" borderId="5" xfId="0" applyFont="1" applyFill="1" applyBorder="1" applyAlignment="1">
      <alignment horizontal="center" vertical="center"/>
    </xf>
    <xf numFmtId="165" fontId="28" fillId="12" borderId="6" xfId="0" applyFont="1" applyFill="1" applyBorder="1" applyAlignment="1">
      <alignment horizontal="center" vertical="center"/>
    </xf>
    <xf numFmtId="165" fontId="28" fillId="12" borderId="7" xfId="0" applyFont="1" applyFill="1" applyBorder="1" applyAlignment="1">
      <alignment horizontal="center" vertical="center"/>
    </xf>
    <xf numFmtId="165" fontId="90" fillId="47" borderId="0" xfId="0" applyFont="1" applyFill="1" applyAlignment="1">
      <alignment horizontal="center"/>
    </xf>
    <xf numFmtId="165" fontId="91" fillId="50" borderId="2" xfId="0" applyFont="1" applyFill="1" applyBorder="1" applyAlignment="1">
      <alignment horizontal="center" vertical="center"/>
    </xf>
    <xf numFmtId="165" fontId="91" fillId="50" borderId="3" xfId="0" applyFont="1" applyFill="1" applyBorder="1" applyAlignment="1">
      <alignment horizontal="center" vertical="center"/>
    </xf>
    <xf numFmtId="165" fontId="91" fillId="50" borderId="4" xfId="0" applyFont="1" applyFill="1" applyBorder="1" applyAlignment="1">
      <alignment horizontal="center" vertical="center"/>
    </xf>
    <xf numFmtId="165" fontId="91" fillId="50" borderId="27" xfId="0" applyFont="1" applyFill="1" applyBorder="1" applyAlignment="1">
      <alignment horizontal="center" vertical="center"/>
    </xf>
    <xf numFmtId="165" fontId="91" fillId="50" borderId="0" xfId="0" applyFont="1" applyFill="1" applyBorder="1" applyAlignment="1">
      <alignment horizontal="center" vertical="center"/>
    </xf>
    <xf numFmtId="165" fontId="91" fillId="50" borderId="28" xfId="0" applyFont="1" applyFill="1" applyBorder="1" applyAlignment="1">
      <alignment horizontal="center" vertical="center"/>
    </xf>
    <xf numFmtId="165" fontId="91" fillId="50" borderId="5" xfId="0" applyFont="1" applyFill="1" applyBorder="1" applyAlignment="1">
      <alignment horizontal="center" vertical="center"/>
    </xf>
    <xf numFmtId="165" fontId="91" fillId="50" borderId="6" xfId="0" applyFont="1" applyFill="1" applyBorder="1" applyAlignment="1">
      <alignment horizontal="center" vertical="center"/>
    </xf>
    <xf numFmtId="165" fontId="91" fillId="50" borderId="7" xfId="0" applyFont="1" applyFill="1" applyBorder="1" applyAlignment="1">
      <alignment horizontal="center" vertical="center"/>
    </xf>
    <xf numFmtId="165" fontId="9" fillId="51" borderId="8" xfId="0" applyFont="1" applyFill="1" applyBorder="1" applyAlignment="1">
      <alignment horizontal="center"/>
    </xf>
    <xf numFmtId="165" fontId="9" fillId="51" borderId="9" xfId="0" applyFont="1" applyFill="1" applyBorder="1" applyAlignment="1">
      <alignment horizontal="center"/>
    </xf>
    <xf numFmtId="165" fontId="9" fillId="51" borderId="10" xfId="0" applyFont="1" applyFill="1" applyBorder="1" applyAlignment="1">
      <alignment horizontal="center"/>
    </xf>
    <xf numFmtId="165" fontId="9" fillId="51" borderId="2" xfId="0" applyFont="1" applyFill="1" applyBorder="1" applyAlignment="1">
      <alignment horizontal="center" vertical="center"/>
    </xf>
    <xf numFmtId="165" fontId="9" fillId="51" borderId="4" xfId="0" applyFont="1" applyFill="1" applyBorder="1" applyAlignment="1">
      <alignment horizontal="center" vertical="center"/>
    </xf>
    <xf numFmtId="165" fontId="9" fillId="51" borderId="5" xfId="0" applyFont="1" applyFill="1" applyBorder="1" applyAlignment="1">
      <alignment horizontal="center" vertical="center"/>
    </xf>
    <xf numFmtId="165" fontId="9" fillId="51" borderId="7" xfId="0" applyFont="1" applyFill="1" applyBorder="1" applyAlignment="1">
      <alignment horizontal="center" vertical="center"/>
    </xf>
    <xf numFmtId="165" fontId="9" fillId="51" borderId="46" xfId="0" applyFont="1" applyFill="1" applyBorder="1" applyAlignment="1">
      <alignment horizontal="center"/>
    </xf>
    <xf numFmtId="165" fontId="9" fillId="51" borderId="54" xfId="0" applyFont="1" applyFill="1" applyBorder="1" applyAlignment="1">
      <alignment horizontal="center"/>
    </xf>
    <xf numFmtId="165" fontId="93" fillId="52" borderId="2" xfId="0" applyFont="1" applyFill="1" applyBorder="1" applyAlignment="1">
      <alignment horizontal="center" vertical="center"/>
    </xf>
    <xf numFmtId="165" fontId="93" fillId="52" borderId="3" xfId="0" applyFont="1" applyFill="1" applyBorder="1" applyAlignment="1">
      <alignment horizontal="center" vertical="center"/>
    </xf>
    <xf numFmtId="165" fontId="93" fillId="52" borderId="4" xfId="0" applyFont="1" applyFill="1" applyBorder="1" applyAlignment="1">
      <alignment horizontal="center" vertical="center"/>
    </xf>
    <xf numFmtId="165" fontId="93" fillId="52" borderId="27" xfId="0" applyFont="1" applyFill="1" applyBorder="1" applyAlignment="1">
      <alignment horizontal="center" vertical="center"/>
    </xf>
    <xf numFmtId="165" fontId="93" fillId="52" borderId="0" xfId="0" applyFont="1" applyFill="1" applyBorder="1" applyAlignment="1">
      <alignment horizontal="center" vertical="center"/>
    </xf>
    <xf numFmtId="165" fontId="93" fillId="52" borderId="28" xfId="0" applyFont="1" applyFill="1" applyBorder="1" applyAlignment="1">
      <alignment horizontal="center" vertical="center"/>
    </xf>
    <xf numFmtId="165" fontId="93" fillId="52" borderId="5" xfId="0" applyFont="1" applyFill="1" applyBorder="1" applyAlignment="1">
      <alignment horizontal="center" vertical="center"/>
    </xf>
    <xf numFmtId="165" fontId="93" fillId="52" borderId="6" xfId="0" applyFont="1" applyFill="1" applyBorder="1" applyAlignment="1">
      <alignment horizontal="center" vertical="center"/>
    </xf>
    <xf numFmtId="165" fontId="93" fillId="52" borderId="7" xfId="0" applyFont="1" applyFill="1" applyBorder="1" applyAlignment="1">
      <alignment horizontal="center" vertical="center"/>
    </xf>
    <xf numFmtId="170" fontId="94" fillId="52" borderId="2" xfId="0" applyNumberFormat="1" applyFont="1" applyFill="1" applyBorder="1" applyAlignment="1">
      <alignment horizontal="center" vertical="center" wrapText="1"/>
    </xf>
    <xf numFmtId="170" fontId="94" fillId="52" borderId="3" xfId="0" applyNumberFormat="1" applyFont="1" applyFill="1" applyBorder="1" applyAlignment="1">
      <alignment horizontal="center" vertical="center" wrapText="1"/>
    </xf>
    <xf numFmtId="170" fontId="94" fillId="52" borderId="4" xfId="0" applyNumberFormat="1" applyFont="1" applyFill="1" applyBorder="1" applyAlignment="1">
      <alignment horizontal="center" vertical="center" wrapText="1"/>
    </xf>
    <xf numFmtId="170" fontId="94" fillId="52" borderId="27" xfId="0" applyNumberFormat="1" applyFont="1" applyFill="1" applyBorder="1" applyAlignment="1">
      <alignment horizontal="center" vertical="center" wrapText="1"/>
    </xf>
    <xf numFmtId="170" fontId="94" fillId="52" borderId="0" xfId="0" applyNumberFormat="1" applyFont="1" applyFill="1" applyBorder="1" applyAlignment="1">
      <alignment horizontal="center" vertical="center" wrapText="1"/>
    </xf>
    <xf numFmtId="170" fontId="94" fillId="52" borderId="28" xfId="0" applyNumberFormat="1" applyFont="1" applyFill="1" applyBorder="1" applyAlignment="1">
      <alignment horizontal="center" vertical="center" wrapText="1"/>
    </xf>
    <xf numFmtId="170" fontId="94" fillId="52" borderId="5" xfId="0" applyNumberFormat="1" applyFont="1" applyFill="1" applyBorder="1" applyAlignment="1">
      <alignment horizontal="center" vertical="center" wrapText="1"/>
    </xf>
    <xf numFmtId="170" fontId="94" fillId="52" borderId="6" xfId="0" applyNumberFormat="1" applyFont="1" applyFill="1" applyBorder="1" applyAlignment="1">
      <alignment horizontal="center" vertical="center" wrapText="1"/>
    </xf>
    <xf numFmtId="170" fontId="94" fillId="52" borderId="7" xfId="0" applyNumberFormat="1" applyFont="1" applyFill="1" applyBorder="1" applyAlignment="1">
      <alignment horizontal="center" vertical="center" wrapText="1"/>
    </xf>
    <xf numFmtId="165" fontId="0" fillId="12" borderId="0" xfId="0" applyFill="1"/>
    <xf numFmtId="165" fontId="9" fillId="51" borderId="47" xfId="0" applyFont="1" applyFill="1" applyBorder="1" applyAlignment="1">
      <alignment horizontal="center"/>
    </xf>
    <xf numFmtId="165" fontId="9" fillId="51" borderId="55" xfId="0" applyFont="1" applyFill="1" applyBorder="1" applyAlignment="1">
      <alignment horizontal="center"/>
    </xf>
    <xf numFmtId="165" fontId="98" fillId="53" borderId="8" xfId="0" applyFont="1" applyFill="1" applyBorder="1" applyAlignment="1">
      <alignment horizontal="center" vertical="center"/>
    </xf>
    <xf numFmtId="165" fontId="98" fillId="53" borderId="9" xfId="0" applyFont="1" applyFill="1" applyBorder="1" applyAlignment="1">
      <alignment horizontal="center" vertical="center"/>
    </xf>
    <xf numFmtId="165" fontId="98" fillId="53" borderId="10" xfId="0" applyFont="1" applyFill="1" applyBorder="1" applyAlignment="1">
      <alignment horizontal="center" vertical="center"/>
    </xf>
    <xf numFmtId="165" fontId="95" fillId="54" borderId="2" xfId="0" applyFont="1" applyFill="1" applyBorder="1" applyAlignment="1">
      <alignment horizontal="center" vertical="center"/>
    </xf>
    <xf numFmtId="165" fontId="95" fillId="54" borderId="4" xfId="0" applyFont="1" applyFill="1" applyBorder="1" applyAlignment="1">
      <alignment horizontal="center" vertical="center"/>
    </xf>
    <xf numFmtId="0" fontId="95" fillId="54" borderId="12" xfId="4" applyNumberFormat="1" applyFont="1" applyFill="1" applyBorder="1" applyAlignment="1" applyProtection="1">
      <alignment horizontal="center" vertical="center"/>
    </xf>
    <xf numFmtId="0" fontId="95" fillId="54" borderId="13" xfId="4" applyNumberFormat="1" applyFont="1" applyFill="1" applyBorder="1" applyAlignment="1" applyProtection="1">
      <alignment horizontal="center" vertical="center"/>
    </xf>
    <xf numFmtId="173" fontId="95" fillId="54" borderId="67" xfId="0" applyNumberFormat="1" applyFont="1" applyFill="1" applyBorder="1" applyAlignment="1">
      <alignment horizontal="center" vertical="center" wrapText="1"/>
    </xf>
    <xf numFmtId="173" fontId="95" fillId="54" borderId="54" xfId="0" applyNumberFormat="1" applyFont="1" applyFill="1" applyBorder="1" applyAlignment="1">
      <alignment horizontal="center" vertical="center" wrapText="1"/>
    </xf>
    <xf numFmtId="0" fontId="95" fillId="54" borderId="15" xfId="4" applyNumberFormat="1" applyFont="1" applyFill="1" applyBorder="1" applyAlignment="1" applyProtection="1">
      <alignment horizontal="center" vertical="center"/>
    </xf>
    <xf numFmtId="0" fontId="95" fillId="54" borderId="1" xfId="4" applyNumberFormat="1" applyFont="1" applyFill="1" applyBorder="1" applyAlignment="1" applyProtection="1">
      <alignment horizontal="center" vertical="center"/>
    </xf>
    <xf numFmtId="173" fontId="95" fillId="54" borderId="72" xfId="0" applyNumberFormat="1" applyFont="1" applyFill="1" applyBorder="1" applyAlignment="1">
      <alignment horizontal="center" vertical="center" wrapText="1"/>
    </xf>
    <xf numFmtId="173" fontId="95" fillId="54" borderId="40" xfId="0" applyNumberFormat="1" applyFont="1" applyFill="1" applyBorder="1" applyAlignment="1">
      <alignment horizontal="center" vertical="center" wrapText="1"/>
    </xf>
    <xf numFmtId="165" fontId="92" fillId="52" borderId="2" xfId="0" applyFont="1" applyFill="1" applyBorder="1" applyAlignment="1">
      <alignment horizontal="center" vertical="center"/>
    </xf>
    <xf numFmtId="165" fontId="92" fillId="52" borderId="3" xfId="0" applyFont="1" applyFill="1" applyBorder="1" applyAlignment="1">
      <alignment horizontal="center" vertical="center"/>
    </xf>
    <xf numFmtId="165" fontId="92" fillId="52" borderId="4" xfId="0" applyFont="1" applyFill="1" applyBorder="1" applyAlignment="1">
      <alignment horizontal="center" vertical="center"/>
    </xf>
    <xf numFmtId="165" fontId="92" fillId="52" borderId="27" xfId="0" applyFont="1" applyFill="1" applyBorder="1" applyAlignment="1">
      <alignment horizontal="center" vertical="center"/>
    </xf>
    <xf numFmtId="165" fontId="92" fillId="52" borderId="0" xfId="0" applyFont="1" applyFill="1" applyBorder="1" applyAlignment="1">
      <alignment horizontal="center" vertical="center"/>
    </xf>
    <xf numFmtId="165" fontId="92" fillId="52" borderId="28" xfId="0" applyFont="1" applyFill="1" applyBorder="1" applyAlignment="1">
      <alignment horizontal="center" vertical="center"/>
    </xf>
    <xf numFmtId="165" fontId="92" fillId="52" borderId="5" xfId="0" applyFont="1" applyFill="1" applyBorder="1" applyAlignment="1">
      <alignment horizontal="center" vertical="center"/>
    </xf>
    <xf numFmtId="165" fontId="92" fillId="52" borderId="6" xfId="0" applyFont="1" applyFill="1" applyBorder="1" applyAlignment="1">
      <alignment horizontal="center" vertical="center"/>
    </xf>
    <xf numFmtId="165" fontId="92" fillId="52" borderId="7" xfId="0" applyFont="1" applyFill="1" applyBorder="1" applyAlignment="1">
      <alignment horizontal="center" vertical="center"/>
    </xf>
    <xf numFmtId="165" fontId="0" fillId="49" borderId="167" xfId="0" applyFill="1" applyBorder="1" applyAlignment="1">
      <alignment horizontal="center" vertical="center" wrapText="1"/>
    </xf>
    <xf numFmtId="165" fontId="0" fillId="49" borderId="0" xfId="0" applyFill="1" applyBorder="1" applyAlignment="1">
      <alignment horizontal="center" vertical="center" wrapText="1"/>
    </xf>
    <xf numFmtId="165" fontId="0" fillId="49" borderId="168" xfId="0" applyFill="1" applyBorder="1" applyAlignment="1">
      <alignment horizontal="center" vertical="center" wrapText="1"/>
    </xf>
    <xf numFmtId="165" fontId="0" fillId="49" borderId="71" xfId="0" applyFill="1" applyBorder="1" applyAlignment="1">
      <alignment horizontal="center" vertical="center" wrapText="1"/>
    </xf>
    <xf numFmtId="165" fontId="0" fillId="49" borderId="57" xfId="0" applyFill="1" applyBorder="1" applyAlignment="1">
      <alignment horizontal="center" vertical="center" wrapText="1"/>
    </xf>
    <xf numFmtId="165" fontId="0" fillId="49" borderId="70" xfId="0" applyFill="1" applyBorder="1" applyAlignment="1">
      <alignment horizontal="center" vertical="center" wrapText="1"/>
    </xf>
    <xf numFmtId="0" fontId="95" fillId="54" borderId="17" xfId="4" applyNumberFormat="1" applyFont="1" applyFill="1" applyBorder="1" applyAlignment="1" applyProtection="1">
      <alignment horizontal="center" vertical="center"/>
    </xf>
    <xf numFmtId="0" fontId="95" fillId="54" borderId="18" xfId="4" applyNumberFormat="1" applyFont="1" applyFill="1" applyBorder="1" applyAlignment="1" applyProtection="1">
      <alignment horizontal="center" vertical="center"/>
    </xf>
    <xf numFmtId="173" fontId="95" fillId="54" borderId="73" xfId="0" applyNumberFormat="1" applyFont="1" applyFill="1" applyBorder="1" applyAlignment="1">
      <alignment horizontal="center" vertical="center" wrapText="1"/>
    </xf>
    <xf numFmtId="173" fontId="95" fillId="54" borderId="55" xfId="0" applyNumberFormat="1" applyFont="1" applyFill="1" applyBorder="1" applyAlignment="1">
      <alignment horizontal="center" vertical="center" wrapText="1"/>
    </xf>
    <xf numFmtId="165" fontId="0" fillId="49" borderId="162" xfId="0" applyFill="1" applyBorder="1" applyAlignment="1">
      <alignment horizontal="center" vertical="center" wrapText="1"/>
    </xf>
    <xf numFmtId="165" fontId="0" fillId="49" borderId="163" xfId="0" applyFill="1" applyBorder="1" applyAlignment="1">
      <alignment horizontal="center" vertical="center" wrapText="1"/>
    </xf>
    <xf numFmtId="165" fontId="0" fillId="49" borderId="60" xfId="0" applyFill="1" applyBorder="1" applyAlignment="1">
      <alignment horizontal="center" vertical="center" wrapText="1"/>
    </xf>
    <xf numFmtId="165" fontId="91" fillId="50" borderId="0" xfId="0" applyFont="1" applyFill="1" applyAlignment="1">
      <alignment horizontal="center" vertical="center"/>
    </xf>
    <xf numFmtId="165" fontId="95" fillId="54" borderId="8" xfId="0" applyFont="1" applyFill="1" applyBorder="1" applyAlignment="1">
      <alignment horizontal="center"/>
    </xf>
    <xf numFmtId="165" fontId="95" fillId="54" borderId="9" xfId="0" applyFont="1" applyFill="1" applyBorder="1" applyAlignment="1">
      <alignment horizontal="center"/>
    </xf>
    <xf numFmtId="165" fontId="95" fillId="54" borderId="10" xfId="0" applyFont="1" applyFill="1" applyBorder="1" applyAlignment="1">
      <alignment horizontal="center"/>
    </xf>
    <xf numFmtId="165" fontId="97" fillId="52" borderId="2" xfId="0" applyFont="1" applyFill="1" applyBorder="1" applyAlignment="1">
      <alignment horizontal="center" vertical="center" wrapText="1"/>
    </xf>
    <xf numFmtId="165" fontId="97" fillId="52" borderId="3" xfId="0" applyFont="1" applyFill="1" applyBorder="1" applyAlignment="1">
      <alignment horizontal="center" vertical="center" wrapText="1"/>
    </xf>
    <xf numFmtId="165" fontId="97" fillId="52" borderId="4" xfId="0" applyFont="1" applyFill="1" applyBorder="1" applyAlignment="1">
      <alignment horizontal="center" vertical="center" wrapText="1"/>
    </xf>
    <xf numFmtId="165" fontId="97" fillId="52" borderId="27" xfId="0" applyFont="1" applyFill="1" applyBorder="1" applyAlignment="1">
      <alignment horizontal="center" vertical="center" wrapText="1"/>
    </xf>
    <xf numFmtId="165" fontId="97" fillId="52" borderId="0" xfId="0" applyFont="1" applyFill="1" applyAlignment="1">
      <alignment horizontal="center" vertical="center" wrapText="1"/>
    </xf>
    <xf numFmtId="165" fontId="97" fillId="52" borderId="28" xfId="0" applyFont="1" applyFill="1" applyBorder="1" applyAlignment="1">
      <alignment horizontal="center" vertical="center" wrapText="1"/>
    </xf>
    <xf numFmtId="165" fontId="97" fillId="52" borderId="5" xfId="0" applyFont="1" applyFill="1" applyBorder="1" applyAlignment="1">
      <alignment horizontal="center" vertical="center" wrapText="1"/>
    </xf>
    <xf numFmtId="165" fontId="97" fillId="52" borderId="6" xfId="0" applyFont="1" applyFill="1" applyBorder="1" applyAlignment="1">
      <alignment horizontal="center" vertical="center" wrapText="1"/>
    </xf>
    <xf numFmtId="165" fontId="97" fillId="52" borderId="7" xfId="0" applyFont="1" applyFill="1" applyBorder="1" applyAlignment="1">
      <alignment horizontal="center" vertical="center" wrapText="1"/>
    </xf>
    <xf numFmtId="165" fontId="98" fillId="50" borderId="2" xfId="0" applyFont="1" applyFill="1" applyBorder="1" applyAlignment="1">
      <alignment horizontal="center" vertical="center"/>
    </xf>
    <xf numFmtId="165" fontId="98" fillId="50" borderId="3" xfId="0" applyFont="1" applyFill="1" applyBorder="1" applyAlignment="1">
      <alignment horizontal="center" vertical="center"/>
    </xf>
    <xf numFmtId="165" fontId="98" fillId="50" borderId="4" xfId="0" applyFont="1" applyFill="1" applyBorder="1" applyAlignment="1">
      <alignment horizontal="center" vertical="center"/>
    </xf>
    <xf numFmtId="165" fontId="98" fillId="50" borderId="5" xfId="0" applyFont="1" applyFill="1" applyBorder="1" applyAlignment="1">
      <alignment horizontal="center" vertical="center"/>
    </xf>
    <xf numFmtId="165" fontId="98" fillId="50" borderId="6" xfId="0" applyFont="1" applyFill="1" applyBorder="1" applyAlignment="1">
      <alignment horizontal="center" vertical="center"/>
    </xf>
    <xf numFmtId="165" fontId="98" fillId="50" borderId="7" xfId="0" applyFont="1" applyFill="1" applyBorder="1" applyAlignment="1">
      <alignment horizontal="center" vertical="center"/>
    </xf>
    <xf numFmtId="165" fontId="99" fillId="49" borderId="162" xfId="0" applyFont="1" applyFill="1" applyBorder="1" applyAlignment="1">
      <alignment horizontal="center" vertical="center" wrapText="1"/>
    </xf>
    <xf numFmtId="165" fontId="99" fillId="49" borderId="163" xfId="0" applyFont="1" applyFill="1" applyBorder="1" applyAlignment="1">
      <alignment horizontal="center" vertical="center" wrapText="1"/>
    </xf>
    <xf numFmtId="165" fontId="99" fillId="49" borderId="60" xfId="0" applyFont="1" applyFill="1" applyBorder="1" applyAlignment="1">
      <alignment horizontal="center" vertical="center" wrapText="1"/>
    </xf>
    <xf numFmtId="165" fontId="99" fillId="49" borderId="167" xfId="0" applyFont="1" applyFill="1" applyBorder="1" applyAlignment="1">
      <alignment horizontal="center" vertical="center" wrapText="1"/>
    </xf>
    <xf numFmtId="165" fontId="99" fillId="49" borderId="0" xfId="0" applyFont="1" applyFill="1" applyAlignment="1">
      <alignment horizontal="center" vertical="center" wrapText="1"/>
    </xf>
    <xf numFmtId="165" fontId="99" fillId="49" borderId="168" xfId="0" applyFont="1" applyFill="1" applyBorder="1" applyAlignment="1">
      <alignment horizontal="center" vertical="center" wrapText="1"/>
    </xf>
    <xf numFmtId="165" fontId="99" fillId="49" borderId="71" xfId="0" applyFont="1" applyFill="1" applyBorder="1" applyAlignment="1">
      <alignment horizontal="center" vertical="center" wrapText="1"/>
    </xf>
    <xf numFmtId="165" fontId="99" fillId="49" borderId="57" xfId="0" applyFont="1" applyFill="1" applyBorder="1" applyAlignment="1">
      <alignment horizontal="center" vertical="center" wrapText="1"/>
    </xf>
    <xf numFmtId="165" fontId="99" fillId="49" borderId="70" xfId="0" applyFont="1" applyFill="1" applyBorder="1" applyAlignment="1">
      <alignment horizontal="center" vertical="center" wrapText="1"/>
    </xf>
    <xf numFmtId="167" fontId="95" fillId="54" borderId="8" xfId="0" applyNumberFormat="1" applyFont="1" applyFill="1" applyBorder="1" applyAlignment="1">
      <alignment horizontal="center"/>
    </xf>
    <xf numFmtId="167" fontId="95" fillId="54" borderId="10" xfId="0" applyNumberFormat="1" applyFont="1" applyFill="1" applyBorder="1" applyAlignment="1">
      <alignment horizontal="center"/>
    </xf>
    <xf numFmtId="165" fontId="95" fillId="49" borderId="164" xfId="0" applyFont="1" applyFill="1" applyBorder="1" applyAlignment="1">
      <alignment horizontal="center"/>
    </xf>
    <xf numFmtId="165" fontId="101" fillId="47" borderId="0" xfId="0" applyFont="1" applyFill="1" applyAlignment="1">
      <alignment horizontal="center" vertical="center"/>
    </xf>
    <xf numFmtId="165" fontId="100" fillId="50" borderId="2" xfId="0" applyFont="1" applyFill="1" applyBorder="1" applyAlignment="1">
      <alignment horizontal="center" vertical="center"/>
    </xf>
    <xf numFmtId="165" fontId="100" fillId="50" borderId="3" xfId="0" applyFont="1" applyFill="1" applyBorder="1" applyAlignment="1">
      <alignment horizontal="center" vertical="center"/>
    </xf>
    <xf numFmtId="165" fontId="100" fillId="50" borderId="4" xfId="0" applyFont="1" applyFill="1" applyBorder="1" applyAlignment="1">
      <alignment horizontal="center" vertical="center"/>
    </xf>
    <xf numFmtId="165" fontId="100" fillId="50" borderId="5" xfId="0" applyFont="1" applyFill="1" applyBorder="1" applyAlignment="1">
      <alignment horizontal="center" vertical="center"/>
    </xf>
    <xf numFmtId="165" fontId="100" fillId="50" borderId="6" xfId="0" applyFont="1" applyFill="1" applyBorder="1" applyAlignment="1">
      <alignment horizontal="center" vertical="center"/>
    </xf>
    <xf numFmtId="165" fontId="100" fillId="50" borderId="7" xfId="0" applyFont="1" applyFill="1" applyBorder="1" applyAlignment="1">
      <alignment horizontal="center" vertical="center"/>
    </xf>
    <xf numFmtId="165" fontId="103" fillId="54" borderId="48" xfId="0" applyFont="1" applyFill="1" applyBorder="1" applyAlignment="1">
      <alignment horizontal="center" vertical="center"/>
    </xf>
    <xf numFmtId="165" fontId="103" fillId="54" borderId="60" xfId="0" applyFont="1" applyFill="1" applyBorder="1" applyAlignment="1">
      <alignment horizontal="center" vertical="center"/>
    </xf>
    <xf numFmtId="165" fontId="103" fillId="54" borderId="49" xfId="0" applyFont="1" applyFill="1" applyBorder="1" applyAlignment="1">
      <alignment horizontal="center" vertical="center"/>
    </xf>
    <xf numFmtId="165" fontId="103" fillId="54" borderId="70" xfId="0" applyFont="1" applyFill="1" applyBorder="1" applyAlignment="1">
      <alignment horizontal="center" vertical="center"/>
    </xf>
    <xf numFmtId="173" fontId="95" fillId="54" borderId="53" xfId="0" applyNumberFormat="1" applyFont="1" applyFill="1" applyBorder="1" applyAlignment="1">
      <alignment horizontal="center" vertical="center"/>
    </xf>
    <xf numFmtId="173" fontId="95" fillId="54" borderId="51" xfId="0" applyNumberFormat="1" applyFont="1" applyFill="1" applyBorder="1" applyAlignment="1">
      <alignment horizontal="center" vertical="center"/>
    </xf>
    <xf numFmtId="173" fontId="95" fillId="55" borderId="56" xfId="0" applyNumberFormat="1" applyFont="1" applyFill="1" applyBorder="1" applyAlignment="1">
      <alignment horizontal="center" vertical="center"/>
    </xf>
    <xf numFmtId="173" fontId="95" fillId="55" borderId="24" xfId="0" applyNumberFormat="1" applyFont="1" applyFill="1" applyBorder="1" applyAlignment="1">
      <alignment horizontal="center" vertical="center"/>
    </xf>
    <xf numFmtId="165" fontId="102" fillId="54" borderId="12" xfId="0" applyFont="1" applyFill="1" applyBorder="1" applyAlignment="1">
      <alignment horizontal="center" vertical="center"/>
    </xf>
    <xf numFmtId="165" fontId="102" fillId="54" borderId="13" xfId="0" applyFont="1" applyFill="1" applyBorder="1" applyAlignment="1">
      <alignment horizontal="center" vertical="center"/>
    </xf>
    <xf numFmtId="165" fontId="102" fillId="54" borderId="15" xfId="0" applyFont="1" applyFill="1" applyBorder="1" applyAlignment="1">
      <alignment horizontal="center" vertical="center"/>
    </xf>
    <xf numFmtId="165" fontId="102" fillId="54" borderId="1" xfId="0" applyFont="1" applyFill="1" applyBorder="1" applyAlignment="1">
      <alignment horizontal="center" vertical="center"/>
    </xf>
    <xf numFmtId="165" fontId="102" fillId="54" borderId="14" xfId="0" applyFont="1" applyFill="1" applyBorder="1" applyAlignment="1">
      <alignment horizontal="center" vertical="center"/>
    </xf>
    <xf numFmtId="165" fontId="102" fillId="54" borderId="16" xfId="0" applyFont="1" applyFill="1" applyBorder="1" applyAlignment="1">
      <alignment horizontal="center" vertical="center"/>
    </xf>
    <xf numFmtId="165" fontId="102" fillId="54" borderId="17" xfId="0" applyFont="1" applyFill="1" applyBorder="1" applyAlignment="1">
      <alignment horizontal="center" vertical="center"/>
    </xf>
    <xf numFmtId="165" fontId="102" fillId="54" borderId="18" xfId="0" applyFont="1" applyFill="1" applyBorder="1" applyAlignment="1">
      <alignment horizontal="center" vertical="center"/>
    </xf>
    <xf numFmtId="167" fontId="102" fillId="54" borderId="1" xfId="0" applyNumberFormat="1" applyFont="1" applyFill="1" applyBorder="1" applyAlignment="1">
      <alignment horizontal="center" vertical="center"/>
    </xf>
    <xf numFmtId="167" fontId="102" fillId="54" borderId="16" xfId="0" applyNumberFormat="1" applyFont="1" applyFill="1" applyBorder="1" applyAlignment="1">
      <alignment horizontal="center" vertical="center"/>
    </xf>
    <xf numFmtId="167" fontId="102" fillId="54" borderId="18" xfId="0" applyNumberFormat="1" applyFont="1" applyFill="1" applyBorder="1" applyAlignment="1">
      <alignment horizontal="center" vertical="center"/>
    </xf>
    <xf numFmtId="167" fontId="102" fillId="54" borderId="19" xfId="0" applyNumberFormat="1" applyFont="1" applyFill="1" applyBorder="1" applyAlignment="1">
      <alignment horizontal="center" vertical="center"/>
    </xf>
    <xf numFmtId="165" fontId="95" fillId="54" borderId="3" xfId="0" applyFont="1" applyFill="1" applyBorder="1" applyAlignment="1">
      <alignment horizontal="center" vertical="center"/>
    </xf>
    <xf numFmtId="165" fontId="95" fillId="54" borderId="5" xfId="0" applyFont="1" applyFill="1" applyBorder="1" applyAlignment="1">
      <alignment horizontal="center" vertical="center"/>
    </xf>
    <xf numFmtId="165" fontId="95" fillId="54" borderId="6" xfId="0" applyFont="1" applyFill="1" applyBorder="1" applyAlignment="1">
      <alignment horizontal="center" vertical="center"/>
    </xf>
    <xf numFmtId="165" fontId="95" fillId="54" borderId="7" xfId="0" applyFont="1" applyFill="1" applyBorder="1" applyAlignment="1">
      <alignment horizontal="center" vertical="center"/>
    </xf>
    <xf numFmtId="165" fontId="95" fillId="54" borderId="12" xfId="0" applyFont="1" applyFill="1" applyBorder="1" applyAlignment="1">
      <alignment horizontal="center" vertical="center"/>
    </xf>
    <xf numFmtId="165" fontId="95" fillId="54" borderId="13" xfId="0" applyFont="1" applyFill="1" applyBorder="1" applyAlignment="1">
      <alignment horizontal="center" vertical="center"/>
    </xf>
    <xf numFmtId="165" fontId="95" fillId="54" borderId="15" xfId="0" applyFont="1" applyFill="1" applyBorder="1" applyAlignment="1">
      <alignment horizontal="center" vertical="center"/>
    </xf>
    <xf numFmtId="165" fontId="95" fillId="54" borderId="1" xfId="0" applyFont="1" applyFill="1" applyBorder="1" applyAlignment="1">
      <alignment horizontal="center" vertical="center"/>
    </xf>
    <xf numFmtId="165" fontId="103" fillId="54" borderId="5" xfId="0" applyFont="1" applyFill="1" applyBorder="1" applyAlignment="1">
      <alignment horizontal="center" vertical="center"/>
    </xf>
    <xf numFmtId="165" fontId="103" fillId="54" borderId="169" xfId="0" applyFont="1" applyFill="1" applyBorder="1" applyAlignment="1">
      <alignment horizontal="center" vertical="center"/>
    </xf>
    <xf numFmtId="173" fontId="95" fillId="54" borderId="74" xfId="0" applyNumberFormat="1" applyFont="1" applyFill="1" applyBorder="1" applyAlignment="1">
      <alignment horizontal="center" vertical="center"/>
    </xf>
    <xf numFmtId="173" fontId="95" fillId="55" borderId="75" xfId="0" applyNumberFormat="1" applyFont="1" applyFill="1" applyBorder="1" applyAlignment="1">
      <alignment horizontal="center" vertical="center"/>
    </xf>
    <xf numFmtId="165" fontId="105" fillId="52" borderId="2" xfId="0" applyFont="1" applyFill="1" applyBorder="1" applyAlignment="1">
      <alignment horizontal="center" vertical="center"/>
    </xf>
    <xf numFmtId="165" fontId="105" fillId="52" borderId="3" xfId="0" applyFont="1" applyFill="1" applyBorder="1" applyAlignment="1">
      <alignment horizontal="center" vertical="center"/>
    </xf>
    <xf numFmtId="165" fontId="105" fillId="52" borderId="4" xfId="0" applyFont="1" applyFill="1" applyBorder="1" applyAlignment="1">
      <alignment horizontal="center" vertical="center"/>
    </xf>
    <xf numFmtId="165" fontId="105" fillId="52" borderId="27" xfId="0" applyFont="1" applyFill="1" applyBorder="1" applyAlignment="1">
      <alignment horizontal="center" vertical="center"/>
    </xf>
    <xf numFmtId="165" fontId="105" fillId="52" borderId="0" xfId="0" applyFont="1" applyFill="1" applyAlignment="1">
      <alignment horizontal="center" vertical="center"/>
    </xf>
    <xf numFmtId="165" fontId="105" fillId="52" borderId="28" xfId="0" applyFont="1" applyFill="1" applyBorder="1" applyAlignment="1">
      <alignment horizontal="center" vertical="center"/>
    </xf>
    <xf numFmtId="165" fontId="105" fillId="52" borderId="5" xfId="0" applyFont="1" applyFill="1" applyBorder="1" applyAlignment="1">
      <alignment horizontal="center" vertical="center"/>
    </xf>
    <xf numFmtId="165" fontId="105" fillId="52" borderId="6" xfId="0" applyFont="1" applyFill="1" applyBorder="1" applyAlignment="1">
      <alignment horizontal="center" vertical="center"/>
    </xf>
    <xf numFmtId="165" fontId="105" fillId="52" borderId="7" xfId="0" applyFont="1" applyFill="1" applyBorder="1" applyAlignment="1">
      <alignment horizontal="center" vertical="center"/>
    </xf>
    <xf numFmtId="165" fontId="106" fillId="52" borderId="2" xfId="0" applyFont="1" applyFill="1" applyBorder="1" applyAlignment="1">
      <alignment horizontal="center" vertical="center" wrapText="1"/>
    </xf>
    <xf numFmtId="165" fontId="106" fillId="52" borderId="3" xfId="0" applyFont="1" applyFill="1" applyBorder="1" applyAlignment="1">
      <alignment horizontal="center" vertical="center" wrapText="1"/>
    </xf>
    <xf numFmtId="165" fontId="106" fillId="52" borderId="4" xfId="0" applyFont="1" applyFill="1" applyBorder="1" applyAlignment="1">
      <alignment horizontal="center" vertical="center" wrapText="1"/>
    </xf>
    <xf numFmtId="165" fontId="106" fillId="52" borderId="27" xfId="0" applyFont="1" applyFill="1" applyBorder="1" applyAlignment="1">
      <alignment horizontal="center" vertical="center" wrapText="1"/>
    </xf>
    <xf numFmtId="165" fontId="106" fillId="52" borderId="0" xfId="0" applyFont="1" applyFill="1" applyAlignment="1">
      <alignment horizontal="center" vertical="center" wrapText="1"/>
    </xf>
    <xf numFmtId="165" fontId="106" fillId="52" borderId="28" xfId="0" applyFont="1" applyFill="1" applyBorder="1" applyAlignment="1">
      <alignment horizontal="center" vertical="center" wrapText="1"/>
    </xf>
    <xf numFmtId="165" fontId="106" fillId="52" borderId="5" xfId="0" applyFont="1" applyFill="1" applyBorder="1" applyAlignment="1">
      <alignment horizontal="center" vertical="center" wrapText="1"/>
    </xf>
    <xf numFmtId="165" fontId="106" fillId="52" borderId="6" xfId="0" applyFont="1" applyFill="1" applyBorder="1" applyAlignment="1">
      <alignment horizontal="center" vertical="center" wrapText="1"/>
    </xf>
    <xf numFmtId="165" fontId="106" fillId="52" borderId="7" xfId="0" applyFont="1" applyFill="1" applyBorder="1" applyAlignment="1">
      <alignment horizontal="center" vertical="center" wrapText="1"/>
    </xf>
    <xf numFmtId="165" fontId="8" fillId="49" borderId="167" xfId="0" applyFont="1" applyFill="1" applyBorder="1" applyAlignment="1">
      <alignment horizontal="center" vertical="center" wrapText="1"/>
    </xf>
    <xf numFmtId="165" fontId="8" fillId="49" borderId="0" xfId="0" applyFont="1" applyFill="1" applyAlignment="1">
      <alignment horizontal="center" vertical="center" wrapText="1"/>
    </xf>
    <xf numFmtId="165" fontId="8" fillId="49" borderId="168" xfId="0" applyFont="1" applyFill="1" applyBorder="1" applyAlignment="1">
      <alignment horizontal="center" vertical="center" wrapText="1"/>
    </xf>
    <xf numFmtId="165" fontId="8" fillId="49" borderId="71" xfId="0" applyFont="1" applyFill="1" applyBorder="1" applyAlignment="1">
      <alignment horizontal="center" vertical="center" wrapText="1"/>
    </xf>
    <xf numFmtId="165" fontId="8" fillId="49" borderId="57" xfId="0" applyFont="1" applyFill="1" applyBorder="1" applyAlignment="1">
      <alignment horizontal="center" vertical="center" wrapText="1"/>
    </xf>
    <xf numFmtId="165" fontId="8" fillId="49" borderId="70" xfId="0" applyFont="1" applyFill="1" applyBorder="1" applyAlignment="1">
      <alignment horizontal="center" vertical="center" wrapText="1"/>
    </xf>
    <xf numFmtId="165" fontId="108" fillId="52" borderId="2" xfId="0" applyFont="1" applyFill="1" applyBorder="1" applyAlignment="1">
      <alignment horizontal="center" vertical="center"/>
    </xf>
    <xf numFmtId="165" fontId="108" fillId="52" borderId="3" xfId="0" applyFont="1" applyFill="1" applyBorder="1" applyAlignment="1">
      <alignment horizontal="center" vertical="center"/>
    </xf>
    <xf numFmtId="165" fontId="108" fillId="52" borderId="4" xfId="0" applyFont="1" applyFill="1" applyBorder="1" applyAlignment="1">
      <alignment horizontal="center" vertical="center"/>
    </xf>
    <xf numFmtId="165" fontId="108" fillId="52" borderId="5" xfId="0" applyFont="1" applyFill="1" applyBorder="1" applyAlignment="1">
      <alignment horizontal="center" vertical="center"/>
    </xf>
    <xf numFmtId="165" fontId="108" fillId="52" borderId="6" xfId="0" applyFont="1" applyFill="1" applyBorder="1" applyAlignment="1">
      <alignment horizontal="center" vertical="center"/>
    </xf>
    <xf numFmtId="165" fontId="108" fillId="52" borderId="7" xfId="0" applyFont="1" applyFill="1" applyBorder="1" applyAlignment="1">
      <alignment horizontal="center" vertical="center"/>
    </xf>
    <xf numFmtId="165" fontId="90" fillId="47" borderId="0" xfId="0" applyFont="1" applyFill="1" applyAlignment="1">
      <alignment horizontal="center" vertical="center"/>
    </xf>
    <xf numFmtId="165" fontId="95" fillId="54" borderId="32" xfId="0" applyFont="1" applyFill="1" applyBorder="1" applyAlignment="1">
      <alignment horizontal="center"/>
    </xf>
    <xf numFmtId="165" fontId="95" fillId="54" borderId="50" xfId="0" applyFont="1" applyFill="1" applyBorder="1" applyAlignment="1">
      <alignment horizontal="center"/>
    </xf>
    <xf numFmtId="165" fontId="95" fillId="54" borderId="21" xfId="0" applyFont="1" applyFill="1" applyBorder="1" applyAlignment="1">
      <alignment horizontal="center"/>
    </xf>
    <xf numFmtId="165" fontId="95" fillId="54" borderId="71" xfId="0" applyFont="1" applyFill="1" applyBorder="1" applyAlignment="1">
      <alignment horizontal="center"/>
    </xf>
    <xf numFmtId="165" fontId="95" fillId="54" borderId="17" xfId="0" applyFont="1" applyFill="1" applyBorder="1" applyAlignment="1">
      <alignment horizontal="center"/>
    </xf>
    <xf numFmtId="165" fontId="95" fillId="54" borderId="73" xfId="0" applyFont="1" applyFill="1" applyBorder="1" applyAlignment="1">
      <alignment horizontal="center"/>
    </xf>
    <xf numFmtId="165" fontId="112" fillId="50" borderId="2" xfId="0" applyFont="1" applyFill="1" applyBorder="1" applyAlignment="1">
      <alignment horizontal="center" vertical="center"/>
    </xf>
    <xf numFmtId="165" fontId="112" fillId="50" borderId="3" xfId="0" applyFont="1" applyFill="1" applyBorder="1" applyAlignment="1">
      <alignment horizontal="center" vertical="center"/>
    </xf>
    <xf numFmtId="165" fontId="112" fillId="50" borderId="4" xfId="0" applyFont="1" applyFill="1" applyBorder="1" applyAlignment="1">
      <alignment horizontal="center" vertical="center"/>
    </xf>
    <xf numFmtId="165" fontId="112" fillId="50" borderId="27" xfId="0" applyFont="1" applyFill="1" applyBorder="1" applyAlignment="1">
      <alignment horizontal="center" vertical="center"/>
    </xf>
    <xf numFmtId="165" fontId="112" fillId="50" borderId="0" xfId="0" applyFont="1" applyFill="1" applyAlignment="1">
      <alignment horizontal="center" vertical="center"/>
    </xf>
    <xf numFmtId="165" fontId="112" fillId="50" borderId="28" xfId="0" applyFont="1" applyFill="1" applyBorder="1" applyAlignment="1">
      <alignment horizontal="center" vertical="center"/>
    </xf>
    <xf numFmtId="165" fontId="112" fillId="50" borderId="5" xfId="0" applyFont="1" applyFill="1" applyBorder="1" applyAlignment="1">
      <alignment horizontal="center" vertical="center"/>
    </xf>
    <xf numFmtId="165" fontId="112" fillId="50" borderId="6" xfId="0" applyFont="1" applyFill="1" applyBorder="1" applyAlignment="1">
      <alignment horizontal="center" vertical="center"/>
    </xf>
    <xf numFmtId="165" fontId="112" fillId="50" borderId="7" xfId="0" applyFont="1" applyFill="1" applyBorder="1" applyAlignment="1">
      <alignment horizontal="center" vertical="center"/>
    </xf>
    <xf numFmtId="165" fontId="102" fillId="49" borderId="8" xfId="0" applyFont="1" applyFill="1" applyBorder="1" applyAlignment="1">
      <alignment horizontal="center" vertical="center" wrapText="1"/>
    </xf>
    <xf numFmtId="165" fontId="102" fillId="49" borderId="9" xfId="0" applyFont="1" applyFill="1" applyBorder="1" applyAlignment="1">
      <alignment horizontal="center" vertical="center" wrapText="1"/>
    </xf>
    <xf numFmtId="165" fontId="102" fillId="49" borderId="10" xfId="0" applyFont="1" applyFill="1" applyBorder="1" applyAlignment="1">
      <alignment horizontal="center" vertical="center" wrapText="1"/>
    </xf>
    <xf numFmtId="165" fontId="102" fillId="49" borderId="8" xfId="0" applyFont="1" applyFill="1" applyBorder="1" applyAlignment="1">
      <alignment horizontal="center" vertical="center"/>
    </xf>
    <xf numFmtId="165" fontId="102" fillId="49" borderId="9" xfId="0" applyFont="1" applyFill="1" applyBorder="1" applyAlignment="1">
      <alignment horizontal="center" vertical="center"/>
    </xf>
    <xf numFmtId="165" fontId="102" fillId="49" borderId="10" xfId="0" applyFont="1" applyFill="1" applyBorder="1" applyAlignment="1">
      <alignment horizontal="center" vertical="center"/>
    </xf>
    <xf numFmtId="165" fontId="0" fillId="49" borderId="2" xfId="0" applyFill="1" applyBorder="1" applyAlignment="1">
      <alignment horizontal="center"/>
    </xf>
    <xf numFmtId="165" fontId="0" fillId="49" borderId="3" xfId="0" applyFill="1" applyBorder="1" applyAlignment="1">
      <alignment horizontal="center"/>
    </xf>
    <xf numFmtId="165" fontId="0" fillId="49" borderId="4" xfId="0" applyFill="1" applyBorder="1" applyAlignment="1">
      <alignment horizontal="center"/>
    </xf>
    <xf numFmtId="165" fontId="0" fillId="49" borderId="27" xfId="0" applyFill="1" applyBorder="1" applyAlignment="1">
      <alignment horizontal="center"/>
    </xf>
    <xf numFmtId="165" fontId="0" fillId="49" borderId="0" xfId="0" applyFill="1" applyAlignment="1">
      <alignment horizontal="center"/>
    </xf>
    <xf numFmtId="165" fontId="0" fillId="49" borderId="28" xfId="0" applyFill="1" applyBorder="1" applyAlignment="1">
      <alignment horizontal="center"/>
    </xf>
    <xf numFmtId="165" fontId="0" fillId="49" borderId="5" xfId="0" applyFill="1" applyBorder="1" applyAlignment="1">
      <alignment horizontal="center"/>
    </xf>
    <xf numFmtId="165" fontId="0" fillId="49" borderId="6" xfId="0" applyFill="1" applyBorder="1" applyAlignment="1">
      <alignment horizontal="center"/>
    </xf>
    <xf numFmtId="165" fontId="0" fillId="49" borderId="7" xfId="0" applyFill="1" applyBorder="1" applyAlignment="1">
      <alignment horizontal="center"/>
    </xf>
    <xf numFmtId="165" fontId="109" fillId="49" borderId="3" xfId="0" applyFont="1" applyFill="1" applyBorder="1" applyAlignment="1">
      <alignment horizontal="center" vertical="center"/>
    </xf>
    <xf numFmtId="165" fontId="109" fillId="49" borderId="0" xfId="0" applyFont="1" applyFill="1" applyAlignment="1">
      <alignment horizontal="center" vertical="center"/>
    </xf>
    <xf numFmtId="165" fontId="110" fillId="56" borderId="2" xfId="0" applyFont="1" applyFill="1" applyBorder="1" applyAlignment="1">
      <alignment horizontal="center" vertical="center" wrapText="1"/>
    </xf>
    <xf numFmtId="165" fontId="110" fillId="56" borderId="3" xfId="0" applyFont="1" applyFill="1" applyBorder="1" applyAlignment="1">
      <alignment horizontal="center" vertical="center" wrapText="1"/>
    </xf>
    <xf numFmtId="165" fontId="110" fillId="56" borderId="4" xfId="0" applyFont="1" applyFill="1" applyBorder="1" applyAlignment="1">
      <alignment horizontal="center" vertical="center" wrapText="1"/>
    </xf>
    <xf numFmtId="165" fontId="110" fillId="56" borderId="27" xfId="0" applyFont="1" applyFill="1" applyBorder="1" applyAlignment="1">
      <alignment horizontal="center" vertical="center" wrapText="1"/>
    </xf>
    <xf numFmtId="165" fontId="110" fillId="56" borderId="0" xfId="0" applyFont="1" applyFill="1" applyAlignment="1">
      <alignment horizontal="center" vertical="center" wrapText="1"/>
    </xf>
    <xf numFmtId="165" fontId="110" fillId="56" borderId="28" xfId="0" applyFont="1" applyFill="1" applyBorder="1" applyAlignment="1">
      <alignment horizontal="center" vertical="center" wrapText="1"/>
    </xf>
    <xf numFmtId="165" fontId="110" fillId="56" borderId="5" xfId="0" applyFont="1" applyFill="1" applyBorder="1" applyAlignment="1">
      <alignment horizontal="center" vertical="center" wrapText="1"/>
    </xf>
    <xf numFmtId="165" fontId="110" fillId="56" borderId="6" xfId="0" applyFont="1" applyFill="1" applyBorder="1" applyAlignment="1">
      <alignment horizontal="center" vertical="center" wrapText="1"/>
    </xf>
    <xf numFmtId="165" fontId="110" fillId="56" borderId="7" xfId="0" applyFont="1" applyFill="1" applyBorder="1" applyAlignment="1">
      <alignment horizontal="center" vertical="center" wrapText="1"/>
    </xf>
    <xf numFmtId="165" fontId="111" fillId="49" borderId="0" xfId="0" applyFont="1" applyFill="1" applyAlignment="1">
      <alignment horizontal="center" vertical="center"/>
    </xf>
    <xf numFmtId="165" fontId="98" fillId="50" borderId="2" xfId="0" applyFont="1" applyFill="1" applyBorder="1" applyAlignment="1">
      <alignment horizontal="center" vertical="center" wrapText="1"/>
    </xf>
    <xf numFmtId="165" fontId="98" fillId="50" borderId="3" xfId="0" applyFont="1" applyFill="1" applyBorder="1" applyAlignment="1">
      <alignment horizontal="center" vertical="center" wrapText="1"/>
    </xf>
    <xf numFmtId="165" fontId="98" fillId="50" borderId="4" xfId="0" applyFont="1" applyFill="1" applyBorder="1" applyAlignment="1">
      <alignment horizontal="center" vertical="center" wrapText="1"/>
    </xf>
    <xf numFmtId="165" fontId="98" fillId="50" borderId="5" xfId="0" applyFont="1" applyFill="1" applyBorder="1" applyAlignment="1">
      <alignment horizontal="center" vertical="center" wrapText="1"/>
    </xf>
    <xf numFmtId="165" fontId="98" fillId="50" borderId="6" xfId="0" applyFont="1" applyFill="1" applyBorder="1" applyAlignment="1">
      <alignment horizontal="center" vertical="center" wrapText="1"/>
    </xf>
    <xf numFmtId="165" fontId="98" fillId="50" borderId="7" xfId="0" applyFont="1" applyFill="1" applyBorder="1" applyAlignment="1">
      <alignment horizontal="center" vertical="center" wrapText="1"/>
    </xf>
    <xf numFmtId="165" fontId="98" fillId="54" borderId="2" xfId="0" applyFont="1" applyFill="1" applyBorder="1" applyAlignment="1">
      <alignment horizontal="center" vertical="center" wrapText="1"/>
    </xf>
    <xf numFmtId="165" fontId="98" fillId="54" borderId="3" xfId="0" applyFont="1" applyFill="1" applyBorder="1" applyAlignment="1">
      <alignment horizontal="center" vertical="center" wrapText="1"/>
    </xf>
    <xf numFmtId="165" fontId="98" fillId="54" borderId="4" xfId="0" applyFont="1" applyFill="1" applyBorder="1" applyAlignment="1">
      <alignment horizontal="center" vertical="center" wrapText="1"/>
    </xf>
    <xf numFmtId="165" fontId="98" fillId="54" borderId="27" xfId="0" applyFont="1" applyFill="1" applyBorder="1" applyAlignment="1">
      <alignment horizontal="center" vertical="center" wrapText="1"/>
    </xf>
    <xf numFmtId="165" fontId="98" fillId="54" borderId="0" xfId="0" applyFont="1" applyFill="1" applyAlignment="1">
      <alignment horizontal="center" vertical="center" wrapText="1"/>
    </xf>
    <xf numFmtId="165" fontId="98" fillId="54" borderId="28" xfId="0" applyFont="1" applyFill="1" applyBorder="1" applyAlignment="1">
      <alignment horizontal="center" vertical="center" wrapText="1"/>
    </xf>
    <xf numFmtId="165" fontId="98" fillId="54" borderId="5" xfId="0" applyFont="1" applyFill="1" applyBorder="1" applyAlignment="1">
      <alignment horizontal="center" vertical="center" wrapText="1"/>
    </xf>
    <xf numFmtId="165" fontId="98" fillId="54" borderId="6" xfId="0" applyFont="1" applyFill="1" applyBorder="1" applyAlignment="1">
      <alignment horizontal="center" vertical="center" wrapText="1"/>
    </xf>
    <xf numFmtId="165" fontId="98" fillId="54" borderId="7" xfId="0" applyFont="1" applyFill="1" applyBorder="1" applyAlignment="1">
      <alignment horizontal="center" vertical="center" wrapText="1"/>
    </xf>
    <xf numFmtId="9" fontId="91" fillId="54" borderId="4" xfId="0" applyNumberFormat="1" applyFont="1" applyFill="1" applyBorder="1" applyAlignment="1">
      <alignment horizontal="center" vertical="center" wrapText="1"/>
    </xf>
    <xf numFmtId="9" fontId="91" fillId="54" borderId="28" xfId="0" applyNumberFormat="1" applyFont="1" applyFill="1" applyBorder="1" applyAlignment="1">
      <alignment horizontal="center" vertical="center" wrapText="1"/>
    </xf>
    <xf numFmtId="9" fontId="91" fillId="54" borderId="7" xfId="0" applyNumberFormat="1" applyFont="1" applyFill="1" applyBorder="1" applyAlignment="1">
      <alignment horizontal="center" vertical="center" wrapText="1"/>
    </xf>
    <xf numFmtId="0" fontId="98" fillId="54" borderId="2" xfId="4" applyNumberFormat="1" applyFont="1" applyFill="1" applyBorder="1" applyAlignment="1" applyProtection="1">
      <alignment horizontal="center" vertical="center" wrapText="1"/>
    </xf>
    <xf numFmtId="0" fontId="98" fillId="54" borderId="3" xfId="4" applyNumberFormat="1" applyFont="1" applyFill="1" applyBorder="1" applyAlignment="1" applyProtection="1">
      <alignment horizontal="center" vertical="center" wrapText="1"/>
    </xf>
    <xf numFmtId="0" fontId="98" fillId="54" borderId="4" xfId="4" applyNumberFormat="1" applyFont="1" applyFill="1" applyBorder="1" applyAlignment="1" applyProtection="1">
      <alignment horizontal="center" vertical="center" wrapText="1"/>
    </xf>
    <xf numFmtId="0" fontId="98" fillId="54" borderId="27" xfId="4" applyNumberFormat="1" applyFont="1" applyFill="1" applyBorder="1" applyAlignment="1" applyProtection="1">
      <alignment horizontal="center" vertical="center" wrapText="1"/>
    </xf>
    <xf numFmtId="0" fontId="98" fillId="54" borderId="0" xfId="4" applyNumberFormat="1" applyFont="1" applyFill="1" applyAlignment="1" applyProtection="1">
      <alignment horizontal="center" vertical="center" wrapText="1"/>
    </xf>
    <xf numFmtId="0" fontId="98" fillId="54" borderId="28" xfId="4" applyNumberFormat="1" applyFont="1" applyFill="1" applyBorder="1" applyAlignment="1" applyProtection="1">
      <alignment horizontal="center" vertical="center" wrapText="1"/>
    </xf>
    <xf numFmtId="0" fontId="98" fillId="54" borderId="5" xfId="4" applyNumberFormat="1" applyFont="1" applyFill="1" applyBorder="1" applyAlignment="1" applyProtection="1">
      <alignment horizontal="center" vertical="center" wrapText="1"/>
    </xf>
    <xf numFmtId="0" fontId="98" fillId="54" borderId="6" xfId="4" applyNumberFormat="1" applyFont="1" applyFill="1" applyBorder="1" applyAlignment="1" applyProtection="1">
      <alignment horizontal="center" vertical="center" wrapText="1"/>
    </xf>
    <xf numFmtId="0" fontId="98" fillId="54" borderId="7" xfId="4" applyNumberFormat="1" applyFont="1" applyFill="1" applyBorder="1" applyAlignment="1" applyProtection="1">
      <alignment horizontal="center" vertical="center" wrapText="1"/>
    </xf>
    <xf numFmtId="165" fontId="113" fillId="60" borderId="2" xfId="0" applyFont="1" applyFill="1" applyBorder="1" applyAlignment="1">
      <alignment horizontal="center" vertical="center"/>
    </xf>
    <xf numFmtId="165" fontId="113" fillId="60" borderId="3" xfId="0" applyFont="1" applyFill="1" applyBorder="1" applyAlignment="1">
      <alignment horizontal="center" vertical="center"/>
    </xf>
    <xf numFmtId="165" fontId="113" fillId="60" borderId="4" xfId="0" applyFont="1" applyFill="1" applyBorder="1" applyAlignment="1">
      <alignment horizontal="center" vertical="center"/>
    </xf>
    <xf numFmtId="165" fontId="113" fillId="60" borderId="27" xfId="0" applyFont="1" applyFill="1" applyBorder="1" applyAlignment="1">
      <alignment horizontal="center" vertical="center"/>
    </xf>
    <xf numFmtId="165" fontId="113" fillId="60" borderId="0" xfId="0" applyFont="1" applyFill="1" applyAlignment="1">
      <alignment horizontal="center" vertical="center"/>
    </xf>
    <xf numFmtId="165" fontId="113" fillId="60" borderId="28" xfId="0" applyFont="1" applyFill="1" applyBorder="1" applyAlignment="1">
      <alignment horizontal="center" vertical="center"/>
    </xf>
    <xf numFmtId="165" fontId="113" fillId="60" borderId="5" xfId="0" applyFont="1" applyFill="1" applyBorder="1" applyAlignment="1">
      <alignment horizontal="center" vertical="center"/>
    </xf>
    <xf numFmtId="165" fontId="113" fillId="60" borderId="6" xfId="0" applyFont="1" applyFill="1" applyBorder="1" applyAlignment="1">
      <alignment horizontal="center" vertical="center"/>
    </xf>
    <xf numFmtId="165" fontId="113" fillId="60" borderId="7" xfId="0" applyFont="1" applyFill="1" applyBorder="1" applyAlignment="1">
      <alignment horizontal="center" vertical="center"/>
    </xf>
    <xf numFmtId="165" fontId="115" fillId="49" borderId="0" xfId="0" applyFont="1" applyFill="1" applyAlignment="1">
      <alignment horizontal="center" vertical="center"/>
    </xf>
    <xf numFmtId="165" fontId="110" fillId="54" borderId="2" xfId="0" applyFont="1" applyFill="1" applyBorder="1" applyAlignment="1">
      <alignment horizontal="center" vertical="center" wrapText="1"/>
    </xf>
    <xf numFmtId="165" fontId="110" fillId="54" borderId="3" xfId="0" applyFont="1" applyFill="1" applyBorder="1" applyAlignment="1">
      <alignment horizontal="center" vertical="center" wrapText="1"/>
    </xf>
    <xf numFmtId="165" fontId="110" fillId="54" borderId="27" xfId="0" applyFont="1" applyFill="1" applyBorder="1" applyAlignment="1">
      <alignment horizontal="center" vertical="center" wrapText="1"/>
    </xf>
    <xf numFmtId="165" fontId="110" fillId="54" borderId="0" xfId="0" applyFont="1" applyFill="1" applyAlignment="1">
      <alignment horizontal="center" vertical="center" wrapText="1"/>
    </xf>
    <xf numFmtId="165" fontId="110" fillId="54" borderId="5" xfId="0" applyFont="1" applyFill="1" applyBorder="1" applyAlignment="1">
      <alignment horizontal="center" vertical="center" wrapText="1"/>
    </xf>
    <xf numFmtId="165" fontId="110" fillId="54" borderId="6" xfId="0" applyFont="1" applyFill="1" applyBorder="1" applyAlignment="1">
      <alignment horizontal="center" vertical="center" wrapText="1"/>
    </xf>
    <xf numFmtId="165" fontId="116" fillId="54" borderId="2" xfId="0" applyFont="1" applyFill="1" applyBorder="1" applyAlignment="1">
      <alignment horizontal="center" vertical="center" wrapText="1"/>
    </xf>
    <xf numFmtId="165" fontId="116" fillId="54" borderId="4" xfId="0" applyFont="1" applyFill="1" applyBorder="1" applyAlignment="1">
      <alignment horizontal="center" vertical="center" wrapText="1"/>
    </xf>
    <xf numFmtId="165" fontId="116" fillId="54" borderId="27" xfId="0" applyFont="1" applyFill="1" applyBorder="1" applyAlignment="1">
      <alignment horizontal="center" vertical="center" wrapText="1"/>
    </xf>
    <xf numFmtId="165" fontId="116" fillId="54" borderId="28" xfId="0" applyFont="1" applyFill="1" applyBorder="1" applyAlignment="1">
      <alignment horizontal="center" vertical="center" wrapText="1"/>
    </xf>
    <xf numFmtId="165" fontId="116" fillId="54" borderId="5" xfId="0" applyFont="1" applyFill="1" applyBorder="1" applyAlignment="1">
      <alignment horizontal="center" vertical="center" wrapText="1"/>
    </xf>
    <xf numFmtId="165" fontId="116" fillId="54" borderId="7" xfId="0" applyFont="1" applyFill="1" applyBorder="1" applyAlignment="1">
      <alignment horizontal="center" vertical="center" wrapText="1"/>
    </xf>
    <xf numFmtId="9" fontId="100" fillId="54" borderId="2" xfId="0" applyNumberFormat="1" applyFont="1" applyFill="1" applyBorder="1" applyAlignment="1">
      <alignment horizontal="center" vertical="center"/>
    </xf>
    <xf numFmtId="9" fontId="100" fillId="54" borderId="4" xfId="0" applyNumberFormat="1" applyFont="1" applyFill="1" applyBorder="1" applyAlignment="1">
      <alignment horizontal="center" vertical="center"/>
    </xf>
    <xf numFmtId="9" fontId="100" fillId="54" borderId="27" xfId="0" applyNumberFormat="1" applyFont="1" applyFill="1" applyBorder="1" applyAlignment="1">
      <alignment horizontal="center" vertical="center"/>
    </xf>
    <xf numFmtId="9" fontId="100" fillId="54" borderId="28" xfId="0" applyNumberFormat="1" applyFont="1" applyFill="1" applyBorder="1" applyAlignment="1">
      <alignment horizontal="center" vertical="center"/>
    </xf>
    <xf numFmtId="9" fontId="100" fillId="54" borderId="5" xfId="0" applyNumberFormat="1" applyFont="1" applyFill="1" applyBorder="1" applyAlignment="1">
      <alignment horizontal="center" vertical="center"/>
    </xf>
    <xf numFmtId="9" fontId="100" fillId="54" borderId="7" xfId="0" applyNumberFormat="1" applyFont="1" applyFill="1" applyBorder="1" applyAlignment="1">
      <alignment horizontal="center" vertical="center"/>
    </xf>
    <xf numFmtId="165" fontId="110" fillId="54" borderId="4" xfId="0" applyFont="1" applyFill="1" applyBorder="1" applyAlignment="1">
      <alignment horizontal="center" vertical="center" wrapText="1"/>
    </xf>
    <xf numFmtId="165" fontId="110" fillId="54" borderId="28" xfId="0" applyFont="1" applyFill="1" applyBorder="1" applyAlignment="1">
      <alignment horizontal="center" vertical="center" wrapText="1"/>
    </xf>
    <xf numFmtId="165" fontId="110" fillId="54" borderId="7" xfId="0" applyFont="1" applyFill="1" applyBorder="1" applyAlignment="1">
      <alignment horizontal="center" vertical="center" wrapText="1"/>
    </xf>
    <xf numFmtId="0" fontId="95" fillId="54" borderId="42" xfId="4" applyNumberFormat="1" applyFont="1" applyFill="1" applyBorder="1" applyAlignment="1" applyProtection="1">
      <alignment horizontal="center" vertical="center"/>
    </xf>
    <xf numFmtId="0" fontId="95" fillId="54" borderId="59" xfId="4" applyNumberFormat="1" applyFont="1" applyFill="1" applyBorder="1" applyAlignment="1" applyProtection="1">
      <alignment horizontal="center" vertical="center"/>
    </xf>
    <xf numFmtId="2" fontId="95" fillId="54" borderId="72" xfId="0" applyNumberFormat="1" applyFont="1" applyFill="1" applyBorder="1" applyAlignment="1">
      <alignment horizontal="center" vertical="center" wrapText="1"/>
    </xf>
    <xf numFmtId="2" fontId="95" fillId="54" borderId="40" xfId="0" applyNumberFormat="1" applyFont="1" applyFill="1" applyBorder="1" applyAlignment="1">
      <alignment horizontal="center" vertical="center" wrapText="1"/>
    </xf>
    <xf numFmtId="165" fontId="95" fillId="50" borderId="2" xfId="0" applyFont="1" applyFill="1" applyBorder="1" applyAlignment="1">
      <alignment horizontal="center" vertical="center" wrapText="1"/>
    </xf>
    <xf numFmtId="165" fontId="95" fillId="50" borderId="3" xfId="0" applyFont="1" applyFill="1" applyBorder="1" applyAlignment="1">
      <alignment horizontal="center" vertical="center" wrapText="1"/>
    </xf>
    <xf numFmtId="165" fontId="95" fillId="50" borderId="4" xfId="0" applyFont="1" applyFill="1" applyBorder="1" applyAlignment="1">
      <alignment horizontal="center" vertical="center" wrapText="1"/>
    </xf>
    <xf numFmtId="165" fontId="95" fillId="50" borderId="5" xfId="0" applyFont="1" applyFill="1" applyBorder="1" applyAlignment="1">
      <alignment horizontal="center" vertical="center" wrapText="1"/>
    </xf>
    <xf numFmtId="165" fontId="95" fillId="50" borderId="6" xfId="0" applyFont="1" applyFill="1" applyBorder="1" applyAlignment="1">
      <alignment horizontal="center" vertical="center" wrapText="1"/>
    </xf>
    <xf numFmtId="165" fontId="95" fillId="50" borderId="7" xfId="0" applyFont="1" applyFill="1" applyBorder="1" applyAlignment="1">
      <alignment horizontal="center" vertical="center" wrapText="1"/>
    </xf>
    <xf numFmtId="165" fontId="95" fillId="54" borderId="8" xfId="0" applyFont="1" applyFill="1" applyBorder="1" applyAlignment="1">
      <alignment horizontal="center" vertical="center" wrapText="1"/>
    </xf>
    <xf numFmtId="165" fontId="95" fillId="54" borderId="10" xfId="0" applyFont="1" applyFill="1" applyBorder="1" applyAlignment="1">
      <alignment horizontal="center" vertical="center" wrapText="1"/>
    </xf>
    <xf numFmtId="0" fontId="95" fillId="54" borderId="46" xfId="4" applyNumberFormat="1" applyFont="1" applyFill="1" applyBorder="1" applyAlignment="1" applyProtection="1">
      <alignment horizontal="center" vertical="center"/>
    </xf>
    <xf numFmtId="0" fontId="95" fillId="54" borderId="58" xfId="4" applyNumberFormat="1" applyFont="1" applyFill="1" applyBorder="1" applyAlignment="1" applyProtection="1">
      <alignment horizontal="center" vertical="center"/>
    </xf>
    <xf numFmtId="2" fontId="95" fillId="54" borderId="67" xfId="0" applyNumberFormat="1" applyFont="1" applyFill="1" applyBorder="1" applyAlignment="1">
      <alignment horizontal="center" vertical="center" wrapText="1"/>
    </xf>
    <xf numFmtId="2" fontId="95" fillId="54" borderId="54" xfId="0" applyNumberFormat="1" applyFont="1" applyFill="1" applyBorder="1" applyAlignment="1">
      <alignment horizontal="center" vertical="center" wrapText="1"/>
    </xf>
    <xf numFmtId="0" fontId="95" fillId="54" borderId="47" xfId="4" applyNumberFormat="1" applyFont="1" applyFill="1" applyBorder="1" applyAlignment="1" applyProtection="1">
      <alignment horizontal="center" vertical="center"/>
    </xf>
    <xf numFmtId="0" fontId="95" fillId="54" borderId="69" xfId="4" applyNumberFormat="1" applyFont="1" applyFill="1" applyBorder="1" applyAlignment="1" applyProtection="1">
      <alignment horizontal="center" vertical="center"/>
    </xf>
    <xf numFmtId="2" fontId="95" fillId="54" borderId="73" xfId="0" applyNumberFormat="1" applyFont="1" applyFill="1" applyBorder="1" applyAlignment="1">
      <alignment horizontal="center" vertical="center" wrapText="1"/>
    </xf>
    <xf numFmtId="2" fontId="95" fillId="54" borderId="55" xfId="0" applyNumberFormat="1" applyFont="1" applyFill="1" applyBorder="1" applyAlignment="1">
      <alignment horizontal="center" vertical="center" wrapText="1"/>
    </xf>
    <xf numFmtId="165" fontId="95" fillId="54" borderId="27" xfId="0" applyFont="1" applyFill="1" applyBorder="1" applyAlignment="1">
      <alignment horizontal="center" vertical="center"/>
    </xf>
    <xf numFmtId="165" fontId="95" fillId="54" borderId="28" xfId="0" applyFont="1" applyFill="1" applyBorder="1" applyAlignment="1">
      <alignment horizontal="center" vertical="center"/>
    </xf>
    <xf numFmtId="165" fontId="95" fillId="54" borderId="2" xfId="0" applyFont="1" applyFill="1" applyBorder="1" applyAlignment="1">
      <alignment horizontal="center" vertical="center" wrapText="1"/>
    </xf>
    <xf numFmtId="165" fontId="95" fillId="54" borderId="4" xfId="0" applyFont="1" applyFill="1" applyBorder="1" applyAlignment="1">
      <alignment horizontal="center" vertical="center" wrapText="1"/>
    </xf>
    <xf numFmtId="165" fontId="95" fillId="54" borderId="27" xfId="0" applyFont="1" applyFill="1" applyBorder="1" applyAlignment="1">
      <alignment horizontal="center" vertical="center" wrapText="1"/>
    </xf>
    <xf numFmtId="165" fontId="95" fillId="54" borderId="28" xfId="0" applyFont="1" applyFill="1" applyBorder="1" applyAlignment="1">
      <alignment horizontal="center" vertical="center" wrapText="1"/>
    </xf>
    <xf numFmtId="165" fontId="95" fillId="54" borderId="5" xfId="0" applyFont="1" applyFill="1" applyBorder="1" applyAlignment="1">
      <alignment horizontal="center" vertical="center" wrapText="1"/>
    </xf>
    <xf numFmtId="165" fontId="95" fillId="54" borderId="7" xfId="0" applyFont="1" applyFill="1" applyBorder="1" applyAlignment="1">
      <alignment horizontal="center" vertical="center" wrapText="1"/>
    </xf>
    <xf numFmtId="165" fontId="100" fillId="50" borderId="2" xfId="0" applyFont="1" applyFill="1" applyBorder="1" applyAlignment="1">
      <alignment horizontal="center" vertical="center" wrapText="1"/>
    </xf>
    <xf numFmtId="165" fontId="100" fillId="50" borderId="3" xfId="0" applyFont="1" applyFill="1" applyBorder="1" applyAlignment="1">
      <alignment horizontal="center" vertical="center" wrapText="1"/>
    </xf>
    <xf numFmtId="165" fontId="100" fillId="50" borderId="4" xfId="0" applyFont="1" applyFill="1" applyBorder="1" applyAlignment="1">
      <alignment horizontal="center" vertical="center" wrapText="1"/>
    </xf>
    <xf numFmtId="165" fontId="100" fillId="50" borderId="27" xfId="0" applyFont="1" applyFill="1" applyBorder="1" applyAlignment="1">
      <alignment horizontal="center" vertical="center" wrapText="1"/>
    </xf>
    <xf numFmtId="165" fontId="100" fillId="50" borderId="0" xfId="0" applyFont="1" applyFill="1" applyAlignment="1">
      <alignment horizontal="center" vertical="center" wrapText="1"/>
    </xf>
    <xf numFmtId="165" fontId="100" fillId="50" borderId="28" xfId="0" applyFont="1" applyFill="1" applyBorder="1" applyAlignment="1">
      <alignment horizontal="center" vertical="center" wrapText="1"/>
    </xf>
    <xf numFmtId="9" fontId="112" fillId="54" borderId="2" xfId="0" applyNumberFormat="1" applyFont="1" applyFill="1" applyBorder="1" applyAlignment="1">
      <alignment horizontal="center" vertical="center" wrapText="1"/>
    </xf>
    <xf numFmtId="9" fontId="112" fillId="54" borderId="4" xfId="0" applyNumberFormat="1" applyFont="1" applyFill="1" applyBorder="1" applyAlignment="1">
      <alignment horizontal="center" vertical="center" wrapText="1"/>
    </xf>
    <xf numFmtId="9" fontId="112" fillId="54" borderId="27" xfId="0" applyNumberFormat="1" applyFont="1" applyFill="1" applyBorder="1" applyAlignment="1">
      <alignment horizontal="center" vertical="center" wrapText="1"/>
    </xf>
    <xf numFmtId="9" fontId="112" fillId="54" borderId="28" xfId="0" applyNumberFormat="1" applyFont="1" applyFill="1" applyBorder="1" applyAlignment="1">
      <alignment horizontal="center" vertical="center" wrapText="1"/>
    </xf>
    <xf numFmtId="9" fontId="112" fillId="54" borderId="5" xfId="0" applyNumberFormat="1" applyFont="1" applyFill="1" applyBorder="1" applyAlignment="1">
      <alignment horizontal="center" vertical="center" wrapText="1"/>
    </xf>
    <xf numFmtId="9" fontId="112" fillId="54" borderId="7" xfId="0" applyNumberFormat="1" applyFont="1" applyFill="1" applyBorder="1" applyAlignment="1">
      <alignment horizontal="center" vertical="center" wrapText="1"/>
    </xf>
    <xf numFmtId="165" fontId="100" fillId="50" borderId="5" xfId="0" applyFont="1" applyFill="1" applyBorder="1" applyAlignment="1">
      <alignment horizontal="center" vertical="center" wrapText="1"/>
    </xf>
    <xf numFmtId="165" fontId="100" fillId="50" borderId="6" xfId="0" applyFont="1" applyFill="1" applyBorder="1" applyAlignment="1">
      <alignment horizontal="center" vertical="center" wrapText="1"/>
    </xf>
    <xf numFmtId="165" fontId="100" fillId="50" borderId="7" xfId="0" applyFont="1" applyFill="1" applyBorder="1" applyAlignment="1">
      <alignment horizontal="center" vertical="center" wrapText="1"/>
    </xf>
    <xf numFmtId="165" fontId="105" fillId="60" borderId="2" xfId="0" applyFont="1" applyFill="1" applyBorder="1" applyAlignment="1">
      <alignment horizontal="center" vertical="center"/>
    </xf>
    <xf numFmtId="165" fontId="105" fillId="60" borderId="3" xfId="0" applyFont="1" applyFill="1" applyBorder="1" applyAlignment="1">
      <alignment horizontal="center" vertical="center"/>
    </xf>
    <xf numFmtId="165" fontId="105" fillId="60" borderId="4" xfId="0" applyFont="1" applyFill="1" applyBorder="1" applyAlignment="1">
      <alignment horizontal="center" vertical="center"/>
    </xf>
    <xf numFmtId="165" fontId="105" fillId="60" borderId="27" xfId="0" applyFont="1" applyFill="1" applyBorder="1" applyAlignment="1">
      <alignment horizontal="center" vertical="center"/>
    </xf>
    <xf numFmtId="165" fontId="105" fillId="60" borderId="0" xfId="0" applyFont="1" applyFill="1" applyAlignment="1">
      <alignment horizontal="center" vertical="center"/>
    </xf>
    <xf numFmtId="165" fontId="105" fillId="60" borderId="28" xfId="0" applyFont="1" applyFill="1" applyBorder="1" applyAlignment="1">
      <alignment horizontal="center" vertical="center"/>
    </xf>
    <xf numFmtId="165" fontId="105" fillId="60" borderId="5" xfId="0" applyFont="1" applyFill="1" applyBorder="1" applyAlignment="1">
      <alignment horizontal="center" vertical="center"/>
    </xf>
    <xf numFmtId="165" fontId="105" fillId="60" borderId="6" xfId="0" applyFont="1" applyFill="1" applyBorder="1" applyAlignment="1">
      <alignment horizontal="center" vertical="center"/>
    </xf>
    <xf numFmtId="165" fontId="105" fillId="60" borderId="7" xfId="0" applyFont="1" applyFill="1" applyBorder="1" applyAlignment="1">
      <alignment horizontal="center" vertical="center"/>
    </xf>
    <xf numFmtId="165" fontId="95" fillId="54" borderId="2" xfId="0" applyFont="1" applyFill="1" applyBorder="1" applyAlignment="1">
      <alignment horizontal="center"/>
    </xf>
    <xf numFmtId="165" fontId="95" fillId="54" borderId="4" xfId="0" applyFont="1" applyFill="1" applyBorder="1" applyAlignment="1">
      <alignment horizontal="center"/>
    </xf>
    <xf numFmtId="165" fontId="95" fillId="54" borderId="12" xfId="0" applyFont="1" applyFill="1" applyBorder="1" applyAlignment="1">
      <alignment horizontal="center"/>
    </xf>
    <xf numFmtId="165" fontId="95" fillId="54" borderId="13" xfId="0" applyFont="1" applyFill="1" applyBorder="1" applyAlignment="1">
      <alignment horizontal="center"/>
    </xf>
    <xf numFmtId="167" fontId="95" fillId="54" borderId="13" xfId="0" applyNumberFormat="1" applyFont="1" applyFill="1" applyBorder="1" applyAlignment="1">
      <alignment horizontal="center"/>
    </xf>
    <xf numFmtId="167" fontId="95" fillId="54" borderId="14" xfId="0" applyNumberFormat="1" applyFont="1" applyFill="1" applyBorder="1" applyAlignment="1">
      <alignment horizontal="center"/>
    </xf>
    <xf numFmtId="165" fontId="95" fillId="54" borderId="18" xfId="0" applyFont="1" applyFill="1" applyBorder="1" applyAlignment="1">
      <alignment horizontal="center"/>
    </xf>
    <xf numFmtId="165" fontId="93" fillId="52" borderId="162" xfId="0" applyFont="1" applyFill="1" applyBorder="1" applyAlignment="1">
      <alignment horizontal="center" vertical="center" wrapText="1"/>
    </xf>
    <xf numFmtId="165" fontId="93" fillId="52" borderId="163" xfId="0" applyFont="1" applyFill="1" applyBorder="1" applyAlignment="1">
      <alignment horizontal="center" vertical="center" wrapText="1"/>
    </xf>
    <xf numFmtId="165" fontId="93" fillId="52" borderId="60" xfId="0" applyFont="1" applyFill="1" applyBorder="1" applyAlignment="1">
      <alignment horizontal="center" vertical="center" wrapText="1"/>
    </xf>
    <xf numFmtId="165" fontId="93" fillId="52" borderId="167" xfId="0" applyFont="1" applyFill="1" applyBorder="1" applyAlignment="1">
      <alignment horizontal="center" vertical="center" wrapText="1"/>
    </xf>
    <xf numFmtId="165" fontId="93" fillId="52" borderId="0" xfId="0" applyFont="1" applyFill="1" applyAlignment="1">
      <alignment horizontal="center" vertical="center" wrapText="1"/>
    </xf>
    <xf numFmtId="165" fontId="93" fillId="52" borderId="168" xfId="0" applyFont="1" applyFill="1" applyBorder="1" applyAlignment="1">
      <alignment horizontal="center" vertical="center" wrapText="1"/>
    </xf>
    <xf numFmtId="165" fontId="93" fillId="52" borderId="71" xfId="0" applyFont="1" applyFill="1" applyBorder="1" applyAlignment="1">
      <alignment horizontal="center" vertical="center" wrapText="1"/>
    </xf>
    <xf numFmtId="165" fontId="93" fillId="52" borderId="57" xfId="0" applyFont="1" applyFill="1" applyBorder="1" applyAlignment="1">
      <alignment horizontal="center" vertical="center" wrapText="1"/>
    </xf>
    <xf numFmtId="165" fontId="93" fillId="52" borderId="70" xfId="0" applyFont="1" applyFill="1" applyBorder="1" applyAlignment="1">
      <alignment horizontal="center" vertical="center" wrapText="1"/>
    </xf>
    <xf numFmtId="165" fontId="0" fillId="47" borderId="0" xfId="0" applyFill="1" applyAlignment="1">
      <alignment horizontal="left" vertical="top" wrapText="1"/>
    </xf>
    <xf numFmtId="165" fontId="0" fillId="49" borderId="162" xfId="0" applyFill="1" applyBorder="1" applyAlignment="1">
      <alignment horizontal="center" wrapText="1"/>
    </xf>
    <xf numFmtId="165" fontId="0" fillId="49" borderId="163" xfId="0" applyFill="1" applyBorder="1" applyAlignment="1">
      <alignment horizontal="center" wrapText="1"/>
    </xf>
    <xf numFmtId="165" fontId="0" fillId="49" borderId="60" xfId="0" applyFill="1" applyBorder="1" applyAlignment="1">
      <alignment horizontal="center" wrapText="1"/>
    </xf>
    <xf numFmtId="165" fontId="0" fillId="49" borderId="167" xfId="0" applyFill="1" applyBorder="1" applyAlignment="1">
      <alignment horizontal="center" wrapText="1"/>
    </xf>
    <xf numFmtId="165" fontId="0" fillId="49" borderId="0" xfId="0" applyFill="1" applyAlignment="1">
      <alignment horizontal="center" wrapText="1"/>
    </xf>
    <xf numFmtId="165" fontId="0" fillId="49" borderId="168" xfId="0" applyFill="1" applyBorder="1" applyAlignment="1">
      <alignment horizontal="center" wrapText="1"/>
    </xf>
    <xf numFmtId="165" fontId="0" fillId="49" borderId="1" xfId="0" applyFill="1" applyBorder="1" applyAlignment="1">
      <alignment horizontal="center" wrapText="1"/>
    </xf>
    <xf numFmtId="165" fontId="114" fillId="52" borderId="162" xfId="0" applyFont="1" applyFill="1" applyBorder="1" applyAlignment="1">
      <alignment horizontal="center" vertical="center" wrapText="1"/>
    </xf>
    <xf numFmtId="165" fontId="114" fillId="52" borderId="163" xfId="0" applyFont="1" applyFill="1" applyBorder="1" applyAlignment="1">
      <alignment horizontal="center" vertical="center" wrapText="1"/>
    </xf>
    <xf numFmtId="165" fontId="114" fillId="52" borderId="60" xfId="0" applyFont="1" applyFill="1" applyBorder="1" applyAlignment="1">
      <alignment horizontal="center" vertical="center" wrapText="1"/>
    </xf>
    <xf numFmtId="165" fontId="114" fillId="52" borderId="167" xfId="0" applyFont="1" applyFill="1" applyBorder="1" applyAlignment="1">
      <alignment horizontal="center" vertical="center" wrapText="1"/>
    </xf>
    <xf numFmtId="165" fontId="114" fillId="52" borderId="0" xfId="0" applyFont="1" applyFill="1" applyAlignment="1">
      <alignment horizontal="center" vertical="center" wrapText="1"/>
    </xf>
    <xf numFmtId="165" fontId="114" fillId="52" borderId="168" xfId="0" applyFont="1" applyFill="1" applyBorder="1" applyAlignment="1">
      <alignment horizontal="center" vertical="center" wrapText="1"/>
    </xf>
    <xf numFmtId="165" fontId="114" fillId="52" borderId="71" xfId="0" applyFont="1" applyFill="1" applyBorder="1" applyAlignment="1">
      <alignment horizontal="center" vertical="center" wrapText="1"/>
    </xf>
    <xf numFmtId="165" fontId="114" fillId="52" borderId="57" xfId="0" applyFont="1" applyFill="1" applyBorder="1" applyAlignment="1">
      <alignment horizontal="center" vertical="center" wrapText="1"/>
    </xf>
    <xf numFmtId="165" fontId="114" fillId="52" borderId="70" xfId="0" applyFont="1" applyFill="1" applyBorder="1" applyAlignment="1">
      <alignment horizontal="center" vertical="center" wrapText="1"/>
    </xf>
    <xf numFmtId="165" fontId="109" fillId="47" borderId="0" xfId="0" applyFont="1" applyFill="1" applyAlignment="1">
      <alignment horizontal="center" vertical="center"/>
    </xf>
    <xf numFmtId="175" fontId="119" fillId="56" borderId="2" xfId="0" applyNumberFormat="1" applyFont="1" applyFill="1" applyBorder="1" applyAlignment="1">
      <alignment horizontal="center" vertical="center"/>
    </xf>
    <xf numFmtId="175" fontId="119" fillId="56" borderId="3" xfId="0" applyNumberFormat="1" applyFont="1" applyFill="1" applyBorder="1" applyAlignment="1">
      <alignment horizontal="center" vertical="center"/>
    </xf>
    <xf numFmtId="175" fontId="119" fillId="56" borderId="4" xfId="0" applyNumberFormat="1" applyFont="1" applyFill="1" applyBorder="1" applyAlignment="1">
      <alignment horizontal="center" vertical="center"/>
    </xf>
    <xf numFmtId="175" fontId="119" fillId="56" borderId="27" xfId="0" applyNumberFormat="1" applyFont="1" applyFill="1" applyBorder="1" applyAlignment="1">
      <alignment horizontal="center" vertical="center"/>
    </xf>
    <xf numFmtId="175" fontId="119" fillId="56" borderId="0" xfId="0" applyNumberFormat="1" applyFont="1" applyFill="1" applyAlignment="1">
      <alignment horizontal="center" vertical="center"/>
    </xf>
    <xf numFmtId="175" fontId="119" fillId="56" borderId="28" xfId="0" applyNumberFormat="1" applyFont="1" applyFill="1" applyBorder="1" applyAlignment="1">
      <alignment horizontal="center" vertical="center"/>
    </xf>
    <xf numFmtId="175" fontId="119" fillId="56" borderId="5" xfId="0" applyNumberFormat="1" applyFont="1" applyFill="1" applyBorder="1" applyAlignment="1">
      <alignment horizontal="center" vertical="center"/>
    </xf>
    <xf numFmtId="175" fontId="119" fillId="56" borderId="6" xfId="0" applyNumberFormat="1" applyFont="1" applyFill="1" applyBorder="1" applyAlignment="1">
      <alignment horizontal="center" vertical="center"/>
    </xf>
    <xf numFmtId="175" fontId="119" fillId="56" borderId="7" xfId="0" applyNumberFormat="1" applyFont="1" applyFill="1" applyBorder="1" applyAlignment="1">
      <alignment horizontal="center" vertical="center"/>
    </xf>
    <xf numFmtId="1" fontId="95" fillId="54" borderId="11" xfId="0" applyNumberFormat="1" applyFont="1" applyFill="1" applyBorder="1" applyAlignment="1">
      <alignment horizontal="center" vertical="center"/>
    </xf>
    <xf numFmtId="1" fontId="95" fillId="54" borderId="29" xfId="0" applyNumberFormat="1" applyFont="1" applyFill="1" applyBorder="1" applyAlignment="1">
      <alignment horizontal="center" vertical="center"/>
    </xf>
    <xf numFmtId="165" fontId="120" fillId="54" borderId="12" xfId="0" applyFont="1" applyFill="1" applyBorder="1" applyAlignment="1">
      <alignment horizontal="center" wrapText="1"/>
    </xf>
    <xf numFmtId="165" fontId="120" fillId="54" borderId="13" xfId="0" applyFont="1" applyFill="1" applyBorder="1" applyAlignment="1">
      <alignment horizontal="center" wrapText="1"/>
    </xf>
    <xf numFmtId="165" fontId="120" fillId="54" borderId="15" xfId="0" applyFont="1" applyFill="1" applyBorder="1" applyAlignment="1">
      <alignment horizontal="center" wrapText="1"/>
    </xf>
    <xf numFmtId="165" fontId="120" fillId="54" borderId="1" xfId="0" applyFont="1" applyFill="1" applyBorder="1" applyAlignment="1">
      <alignment horizontal="center" wrapText="1"/>
    </xf>
    <xf numFmtId="1" fontId="95" fillId="54" borderId="14" xfId="0" applyNumberFormat="1" applyFont="1" applyFill="1" applyBorder="1" applyAlignment="1">
      <alignment horizontal="center" vertical="center"/>
    </xf>
    <xf numFmtId="1" fontId="95" fillId="54" borderId="16" xfId="0" applyNumberFormat="1" applyFont="1" applyFill="1" applyBorder="1" applyAlignment="1">
      <alignment horizontal="center" vertical="center"/>
    </xf>
    <xf numFmtId="165" fontId="120" fillId="54" borderId="17" xfId="0" applyFont="1" applyFill="1" applyBorder="1" applyAlignment="1">
      <alignment horizontal="center" wrapText="1"/>
    </xf>
    <xf numFmtId="165" fontId="120" fillId="54" borderId="18" xfId="0" applyFont="1" applyFill="1" applyBorder="1" applyAlignment="1">
      <alignment horizontal="center" wrapText="1"/>
    </xf>
    <xf numFmtId="1" fontId="95" fillId="54" borderId="19" xfId="0" applyNumberFormat="1" applyFont="1" applyFill="1" applyBorder="1" applyAlignment="1">
      <alignment horizontal="center" vertical="center"/>
    </xf>
    <xf numFmtId="165" fontId="109" fillId="48" borderId="0" xfId="0" applyFont="1" applyFill="1" applyAlignment="1">
      <alignment horizontal="center" vertical="center"/>
    </xf>
    <xf numFmtId="165" fontId="95" fillId="50" borderId="2" xfId="0" applyFont="1" applyFill="1" applyBorder="1" applyAlignment="1">
      <alignment horizontal="center" wrapText="1"/>
    </xf>
    <xf numFmtId="165" fontId="95" fillId="50" borderId="3" xfId="0" applyFont="1" applyFill="1" applyBorder="1" applyAlignment="1">
      <alignment horizontal="center" wrapText="1"/>
    </xf>
    <xf numFmtId="165" fontId="95" fillId="50" borderId="4" xfId="0" applyFont="1" applyFill="1" applyBorder="1" applyAlignment="1">
      <alignment horizontal="center" wrapText="1"/>
    </xf>
    <xf numFmtId="165" fontId="95" fillId="50" borderId="5" xfId="0" applyFont="1" applyFill="1" applyBorder="1" applyAlignment="1">
      <alignment horizontal="center" wrapText="1"/>
    </xf>
    <xf numFmtId="165" fontId="95" fillId="50" borderId="6" xfId="0" applyFont="1" applyFill="1" applyBorder="1" applyAlignment="1">
      <alignment horizontal="center" wrapText="1"/>
    </xf>
    <xf numFmtId="165" fontId="95" fillId="50" borderId="7" xfId="0" applyFont="1" applyFill="1" applyBorder="1" applyAlignment="1">
      <alignment horizontal="center" wrapText="1"/>
    </xf>
    <xf numFmtId="165" fontId="95" fillId="54" borderId="11" xfId="0" applyFont="1" applyFill="1" applyBorder="1" applyAlignment="1">
      <alignment horizontal="center" vertical="center"/>
    </xf>
    <xf numFmtId="165" fontId="95" fillId="54" borderId="29" xfId="0" applyFont="1" applyFill="1" applyBorder="1" applyAlignment="1">
      <alignment horizontal="center" vertical="center"/>
    </xf>
    <xf numFmtId="167" fontId="95" fillId="54" borderId="18" xfId="0" applyNumberFormat="1" applyFont="1" applyFill="1" applyBorder="1" applyAlignment="1">
      <alignment horizontal="center"/>
    </xf>
    <xf numFmtId="167" fontId="95" fillId="54" borderId="19" xfId="0" applyNumberFormat="1" applyFont="1" applyFill="1" applyBorder="1" applyAlignment="1">
      <alignment horizontal="center"/>
    </xf>
    <xf numFmtId="165" fontId="62" fillId="12" borderId="28" xfId="0" applyFont="1" applyFill="1" applyBorder="1" applyAlignment="1">
      <alignment horizontal="center" vertical="center" textRotation="90"/>
    </xf>
    <xf numFmtId="165" fontId="64" fillId="64" borderId="46" xfId="1" applyFont="1" applyFill="1" applyBorder="1" applyAlignment="1">
      <alignment horizontal="center" vertical="center"/>
    </xf>
    <xf numFmtId="165" fontId="64" fillId="64" borderId="54" xfId="1" applyFont="1" applyFill="1" applyBorder="1" applyAlignment="1">
      <alignment horizontal="center" vertical="center"/>
    </xf>
    <xf numFmtId="165" fontId="64" fillId="64" borderId="42" xfId="1" applyFont="1" applyFill="1" applyBorder="1" applyAlignment="1">
      <alignment horizontal="center" vertical="center"/>
    </xf>
    <xf numFmtId="165" fontId="64" fillId="64" borderId="40" xfId="1" applyFont="1" applyFill="1" applyBorder="1" applyAlignment="1">
      <alignment horizontal="center" vertical="center"/>
    </xf>
    <xf numFmtId="165" fontId="64" fillId="64" borderId="39" xfId="1" applyFont="1" applyFill="1" applyBorder="1" applyAlignment="1">
      <alignment horizontal="center" vertical="center"/>
    </xf>
    <xf numFmtId="165" fontId="43" fillId="12" borderId="2" xfId="0" applyFont="1" applyFill="1" applyBorder="1" applyAlignment="1">
      <alignment horizontal="center" vertical="center"/>
    </xf>
    <xf numFmtId="165" fontId="83" fillId="12" borderId="4" xfId="0" applyFont="1" applyFill="1" applyBorder="1" applyAlignment="1">
      <alignment horizontal="center" vertical="center"/>
    </xf>
    <xf numFmtId="165" fontId="83" fillId="12" borderId="5" xfId="0" applyFont="1" applyFill="1" applyBorder="1" applyAlignment="1">
      <alignment horizontal="center" vertical="center"/>
    </xf>
    <xf numFmtId="165" fontId="83" fillId="12" borderId="7" xfId="0" applyFont="1" applyFill="1" applyBorder="1" applyAlignment="1">
      <alignment horizontal="center" vertical="center"/>
    </xf>
    <xf numFmtId="165" fontId="48" fillId="12" borderId="12" xfId="0" applyFont="1" applyFill="1" applyBorder="1" applyAlignment="1">
      <alignment horizontal="center" vertical="center" textRotation="45"/>
    </xf>
    <xf numFmtId="165" fontId="48" fillId="12" borderId="17" xfId="0" applyFont="1" applyFill="1" applyBorder="1" applyAlignment="1">
      <alignment horizontal="center" vertical="center" textRotation="45"/>
    </xf>
    <xf numFmtId="1" fontId="48" fillId="12" borderId="13" xfId="0" applyNumberFormat="1" applyFont="1" applyFill="1" applyBorder="1" applyAlignment="1">
      <alignment horizontal="center" vertical="center" textRotation="45"/>
    </xf>
    <xf numFmtId="1" fontId="48" fillId="12" borderId="18" xfId="0" applyNumberFormat="1" applyFont="1" applyFill="1" applyBorder="1" applyAlignment="1">
      <alignment horizontal="center" vertical="center" textRotation="45"/>
    </xf>
    <xf numFmtId="165" fontId="48" fillId="12" borderId="14" xfId="0" applyFont="1" applyFill="1" applyBorder="1" applyAlignment="1">
      <alignment horizontal="center" vertical="center" textRotation="45"/>
    </xf>
    <xf numFmtId="165" fontId="48" fillId="12" borderId="19" xfId="0" applyFont="1" applyFill="1" applyBorder="1" applyAlignment="1">
      <alignment horizontal="center" vertical="center" textRotation="45"/>
    </xf>
    <xf numFmtId="165" fontId="48" fillId="12" borderId="9" xfId="0" applyFont="1" applyFill="1" applyBorder="1" applyAlignment="1" applyProtection="1">
      <alignment horizontal="center" vertical="center"/>
      <protection hidden="1"/>
    </xf>
    <xf numFmtId="165" fontId="48" fillId="12" borderId="10" xfId="0" applyFont="1" applyFill="1" applyBorder="1" applyAlignment="1" applyProtection="1">
      <alignment horizontal="center" vertical="center"/>
      <protection hidden="1"/>
    </xf>
    <xf numFmtId="165" fontId="58" fillId="12" borderId="28" xfId="0" applyFont="1" applyFill="1" applyBorder="1" applyAlignment="1">
      <alignment horizontal="center" vertical="center" textRotation="90"/>
    </xf>
    <xf numFmtId="165" fontId="64" fillId="21" borderId="46" xfId="1" applyFont="1" applyFill="1" applyBorder="1" applyAlignment="1">
      <alignment horizontal="center" vertical="center"/>
    </xf>
    <xf numFmtId="165" fontId="64" fillId="21" borderId="54" xfId="1" applyFont="1" applyFill="1" applyBorder="1" applyAlignment="1">
      <alignment horizontal="center" vertical="center"/>
    </xf>
    <xf numFmtId="165" fontId="64" fillId="21" borderId="42" xfId="1" applyFont="1" applyFill="1" applyBorder="1" applyAlignment="1">
      <alignment horizontal="center" vertical="center"/>
    </xf>
    <xf numFmtId="165" fontId="64" fillId="21" borderId="40" xfId="1" applyFont="1" applyFill="1" applyBorder="1" applyAlignment="1">
      <alignment horizontal="center" vertical="center"/>
    </xf>
    <xf numFmtId="165" fontId="64" fillId="21" borderId="47" xfId="1" applyFont="1" applyFill="1" applyBorder="1" applyAlignment="1">
      <alignment horizontal="center" vertical="center"/>
    </xf>
    <xf numFmtId="165" fontId="64" fillId="21" borderId="55" xfId="1" applyFont="1" applyFill="1" applyBorder="1" applyAlignment="1">
      <alignment horizontal="center" vertical="center"/>
    </xf>
    <xf numFmtId="165" fontId="64" fillId="34" borderId="46" xfId="1" applyFont="1" applyFill="1" applyBorder="1" applyAlignment="1">
      <alignment horizontal="center" vertical="center"/>
    </xf>
    <xf numFmtId="165" fontId="64" fillId="34" borderId="54" xfId="1" applyFont="1" applyFill="1" applyBorder="1" applyAlignment="1">
      <alignment horizontal="center" vertical="center"/>
    </xf>
    <xf numFmtId="165" fontId="64" fillId="34" borderId="42" xfId="1" applyFont="1" applyFill="1" applyBorder="1" applyAlignment="1">
      <alignment horizontal="center" vertical="center"/>
    </xf>
    <xf numFmtId="165" fontId="64" fillId="34" borderId="40" xfId="1" applyFont="1" applyFill="1" applyBorder="1" applyAlignment="1">
      <alignment horizontal="center" vertical="center"/>
    </xf>
    <xf numFmtId="165" fontId="64" fillId="34" borderId="47" xfId="1" applyFont="1" applyFill="1" applyBorder="1" applyAlignment="1">
      <alignment horizontal="center" vertical="center"/>
    </xf>
    <xf numFmtId="165" fontId="64" fillId="34" borderId="55" xfId="1" applyFont="1" applyFill="1" applyBorder="1" applyAlignment="1">
      <alignment horizontal="center" vertical="center"/>
    </xf>
    <xf numFmtId="165" fontId="64" fillId="35" borderId="37" xfId="1" applyFont="1" applyFill="1" applyBorder="1" applyAlignment="1">
      <alignment horizontal="center" vertical="center"/>
    </xf>
    <xf numFmtId="165" fontId="64" fillId="35" borderId="30" xfId="1" applyFont="1" applyFill="1" applyBorder="1" applyAlignment="1">
      <alignment horizontal="center" vertical="center"/>
    </xf>
    <xf numFmtId="165" fontId="48" fillId="12" borderId="42" xfId="0" applyFont="1" applyFill="1" applyBorder="1" applyAlignment="1">
      <alignment horizontal="center" vertical="center"/>
    </xf>
    <xf numFmtId="165" fontId="48" fillId="12" borderId="40" xfId="0" applyFont="1" applyFill="1" applyBorder="1" applyAlignment="1">
      <alignment horizontal="center" vertical="center"/>
    </xf>
    <xf numFmtId="165" fontId="48" fillId="12" borderId="47" xfId="0" applyFont="1" applyFill="1" applyBorder="1" applyAlignment="1">
      <alignment horizontal="center" vertical="center"/>
    </xf>
    <xf numFmtId="165" fontId="48" fillId="12" borderId="55" xfId="0" applyFont="1" applyFill="1" applyBorder="1" applyAlignment="1">
      <alignment horizontal="center" vertical="center"/>
    </xf>
    <xf numFmtId="165" fontId="48" fillId="12" borderId="8" xfId="0" applyFont="1" applyFill="1" applyBorder="1" applyAlignment="1" applyProtection="1">
      <alignment horizontal="center" vertical="center"/>
      <protection hidden="1"/>
    </xf>
    <xf numFmtId="165" fontId="48" fillId="12" borderId="46" xfId="0" applyFont="1" applyFill="1" applyBorder="1" applyAlignment="1">
      <alignment horizontal="center" vertical="center"/>
    </xf>
    <xf numFmtId="165" fontId="48" fillId="12" borderId="54" xfId="0" applyFont="1" applyFill="1" applyBorder="1" applyAlignment="1">
      <alignment horizontal="center" vertical="center"/>
    </xf>
    <xf numFmtId="165" fontId="64" fillId="39" borderId="46" xfId="1" applyFont="1" applyFill="1" applyBorder="1" applyAlignment="1">
      <alignment horizontal="center" vertical="center"/>
    </xf>
    <xf numFmtId="165" fontId="64" fillId="39" borderId="54" xfId="1" applyFont="1" applyFill="1" applyBorder="1" applyAlignment="1">
      <alignment horizontal="center" vertical="center"/>
    </xf>
    <xf numFmtId="165" fontId="64" fillId="39" borderId="42" xfId="1" applyFont="1" applyFill="1" applyBorder="1" applyAlignment="1">
      <alignment horizontal="center" vertical="center"/>
    </xf>
    <xf numFmtId="165" fontId="64" fillId="39" borderId="40" xfId="1" applyFont="1" applyFill="1" applyBorder="1" applyAlignment="1">
      <alignment horizontal="center" vertical="center"/>
    </xf>
    <xf numFmtId="165" fontId="64" fillId="39" borderId="47" xfId="1" applyFont="1" applyFill="1" applyBorder="1" applyAlignment="1">
      <alignment horizontal="center" vertical="center"/>
    </xf>
    <xf numFmtId="165" fontId="64" fillId="39" borderId="55" xfId="1" applyFont="1" applyFill="1" applyBorder="1" applyAlignment="1">
      <alignment horizontal="center" vertical="center"/>
    </xf>
    <xf numFmtId="165" fontId="48" fillId="12" borderId="49" xfId="0" applyFont="1" applyFill="1" applyBorder="1" applyAlignment="1">
      <alignment horizontal="center" vertical="center"/>
    </xf>
    <xf numFmtId="165" fontId="48" fillId="12" borderId="44" xfId="0" applyFont="1" applyFill="1" applyBorder="1" applyAlignment="1">
      <alignment horizontal="center" vertical="center"/>
    </xf>
    <xf numFmtId="1" fontId="0" fillId="12" borderId="13" xfId="0" applyNumberFormat="1" applyFill="1" applyBorder="1" applyAlignment="1">
      <alignment horizontal="center" vertical="center"/>
    </xf>
    <xf numFmtId="1" fontId="0" fillId="12" borderId="18" xfId="0" applyNumberFormat="1" applyFill="1" applyBorder="1" applyAlignment="1">
      <alignment horizontal="center" vertical="center"/>
    </xf>
    <xf numFmtId="1" fontId="0" fillId="12" borderId="14" xfId="0" applyNumberFormat="1" applyFill="1" applyBorder="1" applyAlignment="1">
      <alignment horizontal="center" vertical="center"/>
    </xf>
    <xf numFmtId="165" fontId="61" fillId="12" borderId="2" xfId="0" applyFont="1" applyFill="1" applyBorder="1" applyAlignment="1">
      <alignment horizontal="center" vertical="center"/>
    </xf>
    <xf numFmtId="165" fontId="61" fillId="12" borderId="4" xfId="0" applyFont="1" applyFill="1" applyBorder="1" applyAlignment="1">
      <alignment horizontal="center" vertical="center"/>
    </xf>
    <xf numFmtId="165" fontId="61" fillId="12" borderId="5" xfId="0" applyFont="1" applyFill="1" applyBorder="1" applyAlignment="1">
      <alignment horizontal="center" vertical="center"/>
    </xf>
    <xf numFmtId="165" fontId="61" fillId="12" borderId="7" xfId="0" applyFont="1" applyFill="1" applyBorder="1" applyAlignment="1">
      <alignment horizontal="center" vertical="center"/>
    </xf>
    <xf numFmtId="165" fontId="64" fillId="26" borderId="46" xfId="1" applyFont="1" applyFill="1" applyBorder="1" applyAlignment="1">
      <alignment horizontal="center" vertical="center"/>
    </xf>
    <xf numFmtId="165" fontId="64" fillId="26" borderId="54" xfId="1" applyFont="1" applyFill="1" applyBorder="1" applyAlignment="1">
      <alignment horizontal="center" vertical="center"/>
    </xf>
    <xf numFmtId="165" fontId="64" fillId="26" borderId="42" xfId="1" applyFont="1" applyFill="1" applyBorder="1" applyAlignment="1">
      <alignment horizontal="center" vertical="center"/>
    </xf>
    <xf numFmtId="165" fontId="64" fillId="26" borderId="40" xfId="1" applyFont="1" applyFill="1" applyBorder="1" applyAlignment="1">
      <alignment horizontal="center" vertical="center"/>
    </xf>
    <xf numFmtId="1" fontId="0" fillId="12" borderId="53" xfId="0" applyNumberFormat="1" applyFill="1" applyBorder="1" applyAlignment="1">
      <alignment horizontal="center" vertical="center"/>
    </xf>
    <xf numFmtId="1" fontId="0" fillId="12" borderId="11" xfId="0" applyNumberFormat="1" applyFill="1" applyBorder="1" applyAlignment="1">
      <alignment horizontal="center"/>
    </xf>
    <xf numFmtId="1" fontId="0" fillId="12" borderId="29" xfId="0" applyNumberFormat="1" applyFill="1" applyBorder="1" applyAlignment="1">
      <alignment horizontal="center"/>
    </xf>
    <xf numFmtId="1" fontId="0" fillId="12" borderId="69" xfId="0" applyNumberFormat="1" applyFill="1" applyBorder="1" applyAlignment="1">
      <alignment horizontal="center" vertical="center"/>
    </xf>
    <xf numFmtId="165" fontId="59" fillId="12" borderId="2" xfId="0" applyFont="1" applyFill="1" applyBorder="1" applyAlignment="1">
      <alignment horizontal="center" vertical="center"/>
    </xf>
    <xf numFmtId="165" fontId="59" fillId="12" borderId="4" xfId="0" applyFont="1" applyFill="1" applyBorder="1" applyAlignment="1">
      <alignment horizontal="center" vertical="center"/>
    </xf>
    <xf numFmtId="165" fontId="59" fillId="12" borderId="5" xfId="0" applyFont="1" applyFill="1" applyBorder="1" applyAlignment="1">
      <alignment horizontal="center" vertical="center"/>
    </xf>
    <xf numFmtId="165" fontId="59" fillId="12" borderId="7" xfId="0" applyFont="1" applyFill="1" applyBorder="1" applyAlignment="1">
      <alignment horizontal="center" vertical="center"/>
    </xf>
    <xf numFmtId="165" fontId="64" fillId="33" borderId="42" xfId="1" applyFont="1" applyFill="1" applyBorder="1" applyAlignment="1">
      <alignment horizontal="center" vertical="center"/>
    </xf>
    <xf numFmtId="165" fontId="64" fillId="33" borderId="40" xfId="1" applyFont="1" applyFill="1" applyBorder="1" applyAlignment="1">
      <alignment horizontal="center" vertical="center"/>
    </xf>
    <xf numFmtId="165" fontId="64" fillId="33" borderId="47" xfId="1" applyFont="1" applyFill="1" applyBorder="1" applyAlignment="1">
      <alignment horizontal="center" vertical="center"/>
    </xf>
    <xf numFmtId="165" fontId="64" fillId="33" borderId="55" xfId="1" applyFont="1" applyFill="1" applyBorder="1" applyAlignment="1">
      <alignment horizontal="center" vertical="center"/>
    </xf>
    <xf numFmtId="1" fontId="0" fillId="12" borderId="26" xfId="0" applyNumberFormat="1" applyFill="1" applyBorder="1" applyAlignment="1">
      <alignment horizontal="center"/>
    </xf>
    <xf numFmtId="1" fontId="0" fillId="12" borderId="60" xfId="0" applyNumberFormat="1" applyFill="1" applyBorder="1" applyAlignment="1">
      <alignment horizontal="center" vertical="center"/>
    </xf>
    <xf numFmtId="165" fontId="64" fillId="10" borderId="42" xfId="1" applyFont="1" applyFill="1" applyBorder="1" applyAlignment="1">
      <alignment horizontal="center" vertical="center"/>
    </xf>
    <xf numFmtId="165" fontId="64" fillId="10" borderId="40" xfId="1" applyFont="1" applyFill="1" applyBorder="1" applyAlignment="1">
      <alignment horizontal="center" vertical="center"/>
    </xf>
    <xf numFmtId="165" fontId="64" fillId="10" borderId="47" xfId="1" applyFont="1" applyFill="1" applyBorder="1" applyAlignment="1">
      <alignment horizontal="center" vertical="center"/>
    </xf>
    <xf numFmtId="165" fontId="64" fillId="10" borderId="55" xfId="1" applyFont="1" applyFill="1" applyBorder="1" applyAlignment="1">
      <alignment horizontal="center" vertical="center"/>
    </xf>
    <xf numFmtId="165" fontId="64" fillId="5" borderId="46" xfId="1" applyFont="1" applyFill="1" applyBorder="1" applyAlignment="1">
      <alignment horizontal="center" vertical="center"/>
    </xf>
    <xf numFmtId="165" fontId="64" fillId="5" borderId="54" xfId="1" applyFont="1" applyFill="1" applyBorder="1" applyAlignment="1">
      <alignment horizontal="center" vertical="center"/>
    </xf>
    <xf numFmtId="165" fontId="64" fillId="5" borderId="42" xfId="1" applyFont="1" applyFill="1" applyBorder="1" applyAlignment="1">
      <alignment horizontal="center" vertical="center"/>
    </xf>
    <xf numFmtId="165" fontId="64" fillId="5" borderId="40" xfId="1" applyFont="1" applyFill="1" applyBorder="1" applyAlignment="1">
      <alignment horizontal="center" vertical="center"/>
    </xf>
    <xf numFmtId="165" fontId="64" fillId="5" borderId="47" xfId="1" applyFont="1" applyFill="1" applyBorder="1" applyAlignment="1">
      <alignment horizontal="center" vertical="center"/>
    </xf>
    <xf numFmtId="165" fontId="64" fillId="5" borderId="55" xfId="1" applyFont="1" applyFill="1" applyBorder="1" applyAlignment="1">
      <alignment horizontal="center" vertical="center"/>
    </xf>
    <xf numFmtId="165" fontId="64" fillId="35" borderId="39" xfId="1" applyFont="1" applyFill="1" applyBorder="1" applyAlignment="1">
      <alignment horizontal="center" vertical="center"/>
    </xf>
    <xf numFmtId="165" fontId="64" fillId="32" borderId="46" xfId="1" applyFont="1" applyFill="1" applyBorder="1" applyAlignment="1">
      <alignment horizontal="center" vertical="center"/>
    </xf>
    <xf numFmtId="165" fontId="64" fillId="32" borderId="54" xfId="1" applyFont="1" applyFill="1" applyBorder="1" applyAlignment="1">
      <alignment horizontal="center" vertical="center"/>
    </xf>
    <xf numFmtId="165" fontId="64" fillId="26" borderId="47" xfId="1" applyFont="1" applyFill="1" applyBorder="1" applyAlignment="1">
      <alignment horizontal="center" vertical="center"/>
    </xf>
    <xf numFmtId="165" fontId="64" fillId="26" borderId="55" xfId="1" applyFont="1" applyFill="1" applyBorder="1" applyAlignment="1">
      <alignment horizontal="center" vertical="center"/>
    </xf>
    <xf numFmtId="165" fontId="65" fillId="12" borderId="49" xfId="0" applyFont="1" applyFill="1" applyBorder="1" applyAlignment="1">
      <alignment horizontal="center" vertical="center"/>
    </xf>
    <xf numFmtId="165" fontId="65" fillId="12" borderId="44" xfId="0" applyFont="1" applyFill="1" applyBorder="1" applyAlignment="1">
      <alignment horizontal="center" vertical="center"/>
    </xf>
    <xf numFmtId="165" fontId="65" fillId="12" borderId="42" xfId="0" applyFont="1" applyFill="1" applyBorder="1" applyAlignment="1">
      <alignment horizontal="center" vertical="center"/>
    </xf>
    <xf numFmtId="165" fontId="65" fillId="12" borderId="40" xfId="0" applyFont="1" applyFill="1" applyBorder="1" applyAlignment="1">
      <alignment horizontal="center" vertical="center"/>
    </xf>
    <xf numFmtId="165" fontId="65" fillId="12" borderId="47" xfId="0" applyFont="1" applyFill="1" applyBorder="1" applyAlignment="1">
      <alignment horizontal="center" vertical="center"/>
    </xf>
    <xf numFmtId="165" fontId="65" fillId="12" borderId="55" xfId="0" applyFont="1" applyFill="1" applyBorder="1" applyAlignment="1">
      <alignment horizontal="center" vertical="center"/>
    </xf>
    <xf numFmtId="165" fontId="64" fillId="32" borderId="42" xfId="1" applyFont="1" applyFill="1" applyBorder="1" applyAlignment="1">
      <alignment horizontal="center" vertical="center"/>
    </xf>
    <xf numFmtId="165" fontId="64" fillId="32" borderId="40" xfId="1" applyFont="1" applyFill="1" applyBorder="1" applyAlignment="1">
      <alignment horizontal="center" vertical="center"/>
    </xf>
    <xf numFmtId="165" fontId="64" fillId="32" borderId="47" xfId="1" applyFont="1" applyFill="1" applyBorder="1" applyAlignment="1">
      <alignment horizontal="center" vertical="center"/>
    </xf>
    <xf numFmtId="165" fontId="64" fillId="32" borderId="55" xfId="1" applyFont="1" applyFill="1" applyBorder="1" applyAlignment="1">
      <alignment horizontal="center" vertical="center"/>
    </xf>
    <xf numFmtId="165" fontId="64" fillId="4" borderId="46" xfId="1" applyFont="1" applyFill="1" applyBorder="1" applyAlignment="1">
      <alignment horizontal="center" vertical="center"/>
    </xf>
    <xf numFmtId="165" fontId="64" fillId="4" borderId="54" xfId="1" applyFont="1" applyFill="1" applyBorder="1" applyAlignment="1">
      <alignment horizontal="center" vertical="center"/>
    </xf>
    <xf numFmtId="165" fontId="64" fillId="4" borderId="42" xfId="1" applyFont="1" applyFill="1" applyBorder="1" applyAlignment="1">
      <alignment horizontal="center" vertical="center"/>
    </xf>
    <xf numFmtId="165" fontId="64" fillId="4" borderId="40" xfId="1" applyFont="1" applyFill="1" applyBorder="1" applyAlignment="1">
      <alignment horizontal="center" vertical="center"/>
    </xf>
    <xf numFmtId="165" fontId="64" fillId="4" borderId="47" xfId="1" applyFont="1" applyFill="1" applyBorder="1" applyAlignment="1">
      <alignment horizontal="center" vertical="center"/>
    </xf>
    <xf numFmtId="165" fontId="64" fillId="4" borderId="55" xfId="1" applyFont="1" applyFill="1" applyBorder="1" applyAlignment="1">
      <alignment horizontal="center" vertical="center"/>
    </xf>
    <xf numFmtId="165" fontId="64" fillId="33" borderId="46" xfId="1" applyFont="1" applyFill="1" applyBorder="1" applyAlignment="1">
      <alignment horizontal="center" vertical="center"/>
    </xf>
    <xf numFmtId="165" fontId="64" fillId="33" borderId="54" xfId="1" applyFont="1" applyFill="1" applyBorder="1" applyAlignment="1">
      <alignment horizontal="center" vertical="center"/>
    </xf>
    <xf numFmtId="165" fontId="65" fillId="36" borderId="37" xfId="0" applyFont="1" applyFill="1" applyBorder="1" applyAlignment="1">
      <alignment horizontal="center" vertical="center"/>
    </xf>
    <xf numFmtId="165" fontId="64" fillId="36" borderId="30" xfId="1" applyFont="1" applyFill="1" applyBorder="1" applyAlignment="1">
      <alignment horizontal="center" vertical="center"/>
    </xf>
    <xf numFmtId="165" fontId="64" fillId="36" borderId="39" xfId="1" applyFont="1" applyFill="1" applyBorder="1" applyAlignment="1">
      <alignment horizontal="center" vertical="center"/>
    </xf>
    <xf numFmtId="165" fontId="64" fillId="22" borderId="30" xfId="1" applyFont="1" applyFill="1" applyBorder="1" applyAlignment="1">
      <alignment horizontal="center" vertical="center"/>
    </xf>
    <xf numFmtId="165" fontId="64" fillId="22" borderId="39" xfId="1" applyFont="1" applyFill="1" applyBorder="1" applyAlignment="1">
      <alignment horizontal="center" vertical="center"/>
    </xf>
    <xf numFmtId="165" fontId="64" fillId="15" borderId="42" xfId="1" applyFont="1" applyFill="1" applyBorder="1" applyAlignment="1">
      <alignment horizontal="center" vertical="center"/>
    </xf>
    <xf numFmtId="165" fontId="64" fillId="15" borderId="40" xfId="1" applyFont="1" applyFill="1" applyBorder="1" applyAlignment="1">
      <alignment horizontal="center" vertical="center"/>
    </xf>
    <xf numFmtId="165" fontId="64" fillId="15" borderId="47" xfId="1" applyFont="1" applyFill="1" applyBorder="1" applyAlignment="1">
      <alignment horizontal="center" vertical="center"/>
    </xf>
    <xf numFmtId="165" fontId="64" fillId="15" borderId="55" xfId="1" applyFont="1" applyFill="1" applyBorder="1" applyAlignment="1">
      <alignment horizontal="center" vertical="center"/>
    </xf>
    <xf numFmtId="165" fontId="64" fillId="22" borderId="37" xfId="1" applyFont="1" applyFill="1" applyBorder="1" applyAlignment="1">
      <alignment horizontal="center" vertical="center"/>
    </xf>
    <xf numFmtId="165" fontId="64" fillId="21" borderId="37" xfId="1" applyFont="1" applyFill="1" applyBorder="1" applyAlignment="1">
      <alignment horizontal="center" vertical="center"/>
    </xf>
    <xf numFmtId="165" fontId="64" fillId="21" borderId="30" xfId="1" applyFont="1" applyFill="1" applyBorder="1" applyAlignment="1">
      <alignment horizontal="center" vertical="center"/>
    </xf>
    <xf numFmtId="165" fontId="64" fillId="21" borderId="39" xfId="1" applyFont="1" applyFill="1" applyBorder="1" applyAlignment="1">
      <alignment horizontal="center" vertical="center"/>
    </xf>
    <xf numFmtId="165" fontId="64" fillId="10" borderId="46" xfId="1" applyFont="1" applyFill="1" applyBorder="1" applyAlignment="1">
      <alignment horizontal="center" vertical="center"/>
    </xf>
    <xf numFmtId="165" fontId="64" fillId="10" borderId="54" xfId="1" applyFont="1" applyFill="1" applyBorder="1" applyAlignment="1">
      <alignment horizontal="center" vertical="center"/>
    </xf>
    <xf numFmtId="165" fontId="64" fillId="15" borderId="46" xfId="1" applyFont="1" applyFill="1" applyBorder="1" applyAlignment="1">
      <alignment horizontal="center" vertical="center"/>
    </xf>
    <xf numFmtId="165" fontId="64" fillId="15" borderId="54" xfId="1" applyFont="1" applyFill="1" applyBorder="1" applyAlignment="1">
      <alignment horizontal="center" vertical="center"/>
    </xf>
    <xf numFmtId="165" fontId="64" fillId="31" borderId="42" xfId="1" applyFont="1" applyFill="1" applyBorder="1" applyAlignment="1">
      <alignment horizontal="center" vertical="center"/>
    </xf>
    <xf numFmtId="165" fontId="64" fillId="31" borderId="66" xfId="1" applyFont="1" applyFill="1" applyBorder="1" applyAlignment="1">
      <alignment horizontal="center" vertical="center"/>
    </xf>
    <xf numFmtId="165" fontId="64" fillId="31" borderId="47" xfId="1" applyFont="1" applyFill="1" applyBorder="1" applyAlignment="1">
      <alignment horizontal="center" vertical="center"/>
    </xf>
    <xf numFmtId="165" fontId="64" fillId="31" borderId="65" xfId="1" applyFont="1" applyFill="1" applyBorder="1" applyAlignment="1">
      <alignment horizontal="center" vertical="center"/>
    </xf>
    <xf numFmtId="165" fontId="64" fillId="30" borderId="42" xfId="1" applyFont="1" applyFill="1" applyBorder="1" applyAlignment="1">
      <alignment horizontal="center" vertical="center"/>
    </xf>
    <xf numFmtId="165" fontId="64" fillId="30" borderId="40" xfId="1" applyFont="1" applyFill="1" applyBorder="1" applyAlignment="1">
      <alignment horizontal="center" vertical="center"/>
    </xf>
    <xf numFmtId="165" fontId="64" fillId="30" borderId="47" xfId="1" applyFont="1" applyFill="1" applyBorder="1" applyAlignment="1">
      <alignment horizontal="center" vertical="center"/>
    </xf>
    <xf numFmtId="165" fontId="64" fillId="30" borderId="55" xfId="1" applyFont="1" applyFill="1" applyBorder="1" applyAlignment="1">
      <alignment horizontal="center" vertical="center"/>
    </xf>
    <xf numFmtId="165" fontId="64" fillId="31" borderId="46" xfId="1" applyFont="1" applyFill="1" applyBorder="1" applyAlignment="1">
      <alignment horizontal="center" vertical="center"/>
    </xf>
    <xf numFmtId="165" fontId="64" fillId="31" borderId="64" xfId="1" applyFont="1" applyFill="1" applyBorder="1" applyAlignment="1">
      <alignment horizontal="center" vertical="center"/>
    </xf>
    <xf numFmtId="165" fontId="64" fillId="9" borderId="42" xfId="1" applyFont="1" applyFill="1" applyBorder="1" applyAlignment="1">
      <alignment horizontal="center" vertical="center"/>
    </xf>
    <xf numFmtId="165" fontId="64" fillId="9" borderId="40" xfId="1" applyFont="1" applyFill="1" applyBorder="1" applyAlignment="1">
      <alignment horizontal="center" vertical="center"/>
    </xf>
    <xf numFmtId="165" fontId="64" fillId="9" borderId="47" xfId="1" applyFont="1" applyFill="1" applyBorder="1" applyAlignment="1">
      <alignment horizontal="center" vertical="center"/>
    </xf>
    <xf numFmtId="165" fontId="64" fillId="9" borderId="55" xfId="1" applyFont="1" applyFill="1" applyBorder="1" applyAlignment="1">
      <alignment horizontal="center" vertical="center"/>
    </xf>
    <xf numFmtId="165" fontId="64" fillId="30" borderId="46" xfId="1" applyFont="1" applyFill="1" applyBorder="1" applyAlignment="1">
      <alignment horizontal="center" vertical="center"/>
    </xf>
    <xf numFmtId="165" fontId="64" fillId="30" borderId="54" xfId="1" applyFont="1" applyFill="1" applyBorder="1" applyAlignment="1">
      <alignment horizontal="center" vertical="center"/>
    </xf>
    <xf numFmtId="165" fontId="64" fillId="9" borderId="46" xfId="1" applyFont="1" applyFill="1" applyBorder="1" applyAlignment="1">
      <alignment horizontal="center" vertical="center"/>
    </xf>
    <xf numFmtId="165" fontId="64" fillId="9" borderId="54" xfId="1" applyFont="1" applyFill="1" applyBorder="1" applyAlignment="1">
      <alignment horizontal="center" vertical="center"/>
    </xf>
    <xf numFmtId="165" fontId="64" fillId="29" borderId="42" xfId="1" applyFont="1" applyFill="1" applyBorder="1" applyAlignment="1">
      <alignment horizontal="center" vertical="center"/>
    </xf>
    <xf numFmtId="165" fontId="64" fillId="29" borderId="40" xfId="1" applyFont="1" applyFill="1" applyBorder="1" applyAlignment="1">
      <alignment horizontal="center" vertical="center"/>
    </xf>
    <xf numFmtId="165" fontId="64" fillId="29" borderId="47" xfId="1" applyFont="1" applyFill="1" applyBorder="1" applyAlignment="1">
      <alignment horizontal="center" vertical="center"/>
    </xf>
    <xf numFmtId="165" fontId="64" fillId="29" borderId="55" xfId="1" applyFont="1" applyFill="1" applyBorder="1" applyAlignment="1">
      <alignment horizontal="center" vertical="center"/>
    </xf>
    <xf numFmtId="165" fontId="64" fillId="29" borderId="49" xfId="1" applyFont="1" applyFill="1" applyBorder="1" applyAlignment="1">
      <alignment horizontal="center" vertical="center"/>
    </xf>
    <xf numFmtId="165" fontId="64" fillId="29" borderId="44" xfId="1" applyFont="1" applyFill="1" applyBorder="1" applyAlignment="1">
      <alignment horizontal="center" vertical="center"/>
    </xf>
    <xf numFmtId="165" fontId="64" fillId="27" borderId="47" xfId="1" applyFont="1" applyFill="1" applyBorder="1" applyAlignment="1">
      <alignment horizontal="center" vertical="center"/>
    </xf>
    <xf numFmtId="165" fontId="64" fillId="27" borderId="55" xfId="1" applyFont="1" applyFill="1" applyBorder="1" applyAlignment="1">
      <alignment horizontal="center" vertical="center"/>
    </xf>
    <xf numFmtId="165" fontId="65" fillId="27" borderId="49" xfId="0" applyFont="1" applyFill="1" applyBorder="1" applyAlignment="1">
      <alignment horizontal="center" vertical="center"/>
    </xf>
    <xf numFmtId="165" fontId="65" fillId="27" borderId="44" xfId="0" applyFont="1" applyFill="1" applyBorder="1" applyAlignment="1">
      <alignment horizontal="center" vertical="center"/>
    </xf>
    <xf numFmtId="165" fontId="65" fillId="27" borderId="42" xfId="0" applyFont="1" applyFill="1" applyBorder="1" applyAlignment="1">
      <alignment horizontal="center" vertical="center"/>
    </xf>
    <xf numFmtId="165" fontId="65" fillId="27" borderId="40" xfId="0" applyFont="1" applyFill="1" applyBorder="1" applyAlignment="1">
      <alignment horizontal="center" vertical="center"/>
    </xf>
    <xf numFmtId="165" fontId="65" fillId="27" borderId="47" xfId="0" applyFont="1" applyFill="1" applyBorder="1" applyAlignment="1">
      <alignment horizontal="center" vertical="center"/>
    </xf>
    <xf numFmtId="165" fontId="65" fillId="27" borderId="55" xfId="0" applyFont="1" applyFill="1" applyBorder="1" applyAlignment="1">
      <alignment horizontal="center" vertical="center"/>
    </xf>
    <xf numFmtId="165" fontId="64" fillId="29" borderId="46" xfId="1" applyFont="1" applyFill="1" applyBorder="1" applyAlignment="1">
      <alignment horizontal="center" vertical="center"/>
    </xf>
    <xf numFmtId="165" fontId="64" fillId="29" borderId="54" xfId="1" applyFont="1" applyFill="1" applyBorder="1" applyAlignment="1">
      <alignment horizontal="center" vertical="center"/>
    </xf>
    <xf numFmtId="165" fontId="65" fillId="28" borderId="42" xfId="0" applyFont="1" applyFill="1" applyBorder="1" applyAlignment="1">
      <alignment horizontal="center" vertical="center"/>
    </xf>
    <xf numFmtId="165" fontId="65" fillId="28" borderId="40" xfId="0" applyFont="1" applyFill="1" applyBorder="1" applyAlignment="1">
      <alignment horizontal="center" vertical="center"/>
    </xf>
    <xf numFmtId="165" fontId="65" fillId="28" borderId="47" xfId="0" applyFont="1" applyFill="1" applyBorder="1" applyAlignment="1">
      <alignment horizontal="center" vertical="center"/>
    </xf>
    <xf numFmtId="165" fontId="65" fillId="28" borderId="55" xfId="0" applyFont="1" applyFill="1" applyBorder="1" applyAlignment="1">
      <alignment horizontal="center" vertical="center"/>
    </xf>
    <xf numFmtId="165" fontId="64" fillId="27" borderId="46" xfId="1" applyFont="1" applyFill="1" applyBorder="1" applyAlignment="1">
      <alignment horizontal="center" vertical="center"/>
    </xf>
    <xf numFmtId="165" fontId="64" fillId="27" borderId="54" xfId="1" applyFont="1" applyFill="1" applyBorder="1" applyAlignment="1">
      <alignment horizontal="center" vertical="center"/>
    </xf>
    <xf numFmtId="165" fontId="64" fillId="27" borderId="42" xfId="1" applyFont="1" applyFill="1" applyBorder="1" applyAlignment="1">
      <alignment horizontal="center" vertical="center"/>
    </xf>
    <xf numFmtId="165" fontId="64" fillId="27" borderId="40" xfId="1" applyFont="1" applyFill="1" applyBorder="1" applyAlignment="1">
      <alignment horizontal="center" vertical="center"/>
    </xf>
    <xf numFmtId="165" fontId="64" fillId="28" borderId="46" xfId="1" applyFont="1" applyFill="1" applyBorder="1" applyAlignment="1">
      <alignment horizontal="center" vertical="center"/>
    </xf>
    <xf numFmtId="165" fontId="64" fillId="28" borderId="54" xfId="1" applyFont="1" applyFill="1" applyBorder="1" applyAlignment="1">
      <alignment horizontal="center" vertical="center"/>
    </xf>
    <xf numFmtId="165" fontId="64" fillId="28" borderId="42" xfId="1" applyFont="1" applyFill="1" applyBorder="1" applyAlignment="1">
      <alignment horizontal="center" vertical="center"/>
    </xf>
    <xf numFmtId="165" fontId="64" fillId="28" borderId="40" xfId="1" applyFont="1" applyFill="1" applyBorder="1" applyAlignment="1">
      <alignment horizontal="center" vertical="center"/>
    </xf>
    <xf numFmtId="165" fontId="64" fillId="28" borderId="47" xfId="1" applyFont="1" applyFill="1" applyBorder="1" applyAlignment="1">
      <alignment horizontal="center" vertical="center"/>
    </xf>
    <xf numFmtId="165" fontId="64" fillId="28" borderId="55" xfId="1" applyFont="1" applyFill="1" applyBorder="1" applyAlignment="1">
      <alignment horizontal="center" vertical="center"/>
    </xf>
    <xf numFmtId="165" fontId="65" fillId="28" borderId="49" xfId="0" applyFont="1" applyFill="1" applyBorder="1" applyAlignment="1">
      <alignment horizontal="center" vertical="center"/>
    </xf>
    <xf numFmtId="165" fontId="65" fillId="28" borderId="44" xfId="0" applyFont="1" applyFill="1" applyBorder="1" applyAlignment="1">
      <alignment horizontal="center" vertical="center"/>
    </xf>
    <xf numFmtId="1" fontId="0" fillId="12" borderId="67" xfId="0" applyNumberFormat="1" applyFill="1" applyBorder="1" applyAlignment="1">
      <alignment horizontal="center"/>
    </xf>
    <xf numFmtId="1" fontId="0" fillId="12" borderId="58" xfId="0" applyNumberFormat="1" applyFill="1" applyBorder="1" applyAlignment="1">
      <alignment horizontal="center"/>
    </xf>
    <xf numFmtId="1" fontId="0" fillId="12" borderId="68" xfId="0" applyNumberFormat="1" applyFill="1" applyBorder="1" applyAlignment="1">
      <alignment horizontal="center"/>
    </xf>
    <xf numFmtId="1" fontId="0" fillId="12" borderId="51" xfId="0" applyNumberFormat="1" applyFill="1" applyBorder="1" applyAlignment="1">
      <alignment horizontal="center"/>
    </xf>
    <xf numFmtId="165" fontId="48" fillId="12" borderId="0" xfId="0" applyFont="1" applyFill="1" applyBorder="1" applyAlignment="1" applyProtection="1">
      <alignment horizontal="center" vertical="center" wrapText="1"/>
      <protection hidden="1"/>
    </xf>
    <xf numFmtId="165" fontId="48" fillId="12" borderId="9" xfId="0" applyFont="1" applyFill="1" applyBorder="1" applyAlignment="1">
      <alignment horizontal="center" vertical="center"/>
    </xf>
    <xf numFmtId="165" fontId="48" fillId="12" borderId="10" xfId="0" applyFont="1" applyFill="1" applyBorder="1" applyAlignment="1">
      <alignment horizontal="center" vertical="center"/>
    </xf>
    <xf numFmtId="1" fontId="0" fillId="12" borderId="63" xfId="0" applyNumberFormat="1" applyFill="1" applyBorder="1" applyAlignment="1">
      <alignment horizontal="center"/>
    </xf>
    <xf numFmtId="1" fontId="0" fillId="12" borderId="21" xfId="0" applyNumberFormat="1" applyFill="1" applyBorder="1" applyAlignment="1">
      <alignment horizontal="center"/>
    </xf>
    <xf numFmtId="1" fontId="0" fillId="12" borderId="1" xfId="0" applyNumberFormat="1" applyFill="1" applyBorder="1" applyAlignment="1">
      <alignment horizontal="center" vertical="center"/>
    </xf>
    <xf numFmtId="165" fontId="0" fillId="12" borderId="8" xfId="0" applyFill="1" applyBorder="1" applyAlignment="1">
      <alignment horizontal="center"/>
    </xf>
    <xf numFmtId="165" fontId="0" fillId="12" borderId="9" xfId="0" applyFill="1" applyBorder="1" applyAlignment="1">
      <alignment horizontal="center"/>
    </xf>
    <xf numFmtId="165" fontId="0" fillId="12" borderId="10" xfId="0" applyFill="1" applyBorder="1" applyAlignment="1">
      <alignment horizontal="center"/>
    </xf>
    <xf numFmtId="1" fontId="0" fillId="12" borderId="8" xfId="0" applyNumberFormat="1" applyFill="1" applyBorder="1" applyAlignment="1">
      <alignment horizontal="center"/>
    </xf>
    <xf numFmtId="1" fontId="0" fillId="12" borderId="9" xfId="0" applyNumberFormat="1" applyFill="1" applyBorder="1" applyAlignment="1">
      <alignment horizontal="center"/>
    </xf>
    <xf numFmtId="1" fontId="0" fillId="12" borderId="10" xfId="0" applyNumberFormat="1" applyFill="1" applyBorder="1" applyAlignment="1">
      <alignment horizontal="center"/>
    </xf>
    <xf numFmtId="1" fontId="0" fillId="12" borderId="69" xfId="0" applyNumberFormat="1" applyFill="1" applyBorder="1" applyAlignment="1">
      <alignment horizontal="center"/>
    </xf>
    <xf numFmtId="1" fontId="0" fillId="12" borderId="67" xfId="0" applyNumberFormat="1" applyFill="1" applyBorder="1" applyAlignment="1">
      <alignment horizontal="center" vertical="center"/>
    </xf>
    <xf numFmtId="1" fontId="0" fillId="12" borderId="58" xfId="0" applyNumberFormat="1" applyFill="1" applyBorder="1" applyAlignment="1">
      <alignment horizontal="center" vertical="center"/>
    </xf>
    <xf numFmtId="1" fontId="0" fillId="12" borderId="59" xfId="0" applyNumberFormat="1" applyFill="1" applyBorder="1" applyAlignment="1">
      <alignment horizontal="center"/>
    </xf>
    <xf numFmtId="1" fontId="50" fillId="12" borderId="8" xfId="0" applyNumberFormat="1" applyFont="1" applyFill="1" applyBorder="1" applyAlignment="1">
      <alignment horizontal="center"/>
    </xf>
    <xf numFmtId="1" fontId="50" fillId="12" borderId="9" xfId="0" applyNumberFormat="1" applyFont="1" applyFill="1" applyBorder="1" applyAlignment="1">
      <alignment horizontal="center"/>
    </xf>
    <xf numFmtId="1" fontId="50" fillId="12" borderId="10" xfId="0" applyNumberFormat="1" applyFont="1" applyFill="1" applyBorder="1" applyAlignment="1">
      <alignment horizontal="center"/>
    </xf>
    <xf numFmtId="165" fontId="46" fillId="12" borderId="0" xfId="0" applyFont="1" applyFill="1" applyAlignment="1" applyProtection="1">
      <alignment horizontal="center"/>
      <protection hidden="1"/>
    </xf>
    <xf numFmtId="165" fontId="47" fillId="12" borderId="0" xfId="0" applyFont="1" applyFill="1" applyAlignment="1" applyProtection="1">
      <alignment horizontal="center"/>
      <protection hidden="1"/>
    </xf>
    <xf numFmtId="165" fontId="0" fillId="12" borderId="5" xfId="0" applyFill="1" applyBorder="1" applyAlignment="1">
      <alignment horizontal="center"/>
    </xf>
    <xf numFmtId="165" fontId="0" fillId="12" borderId="6" xfId="0" applyFill="1" applyBorder="1" applyAlignment="1">
      <alignment horizontal="center"/>
    </xf>
    <xf numFmtId="165" fontId="0" fillId="12" borderId="7" xfId="0" applyFill="1" applyBorder="1" applyAlignment="1">
      <alignment horizontal="center"/>
    </xf>
    <xf numFmtId="1" fontId="0" fillId="12" borderId="5" xfId="0" applyNumberFormat="1" applyFill="1" applyBorder="1" applyAlignment="1">
      <alignment horizontal="center"/>
    </xf>
    <xf numFmtId="1" fontId="0" fillId="12" borderId="6" xfId="0" applyNumberFormat="1" applyFill="1" applyBorder="1" applyAlignment="1">
      <alignment horizontal="center"/>
    </xf>
    <xf numFmtId="1" fontId="0" fillId="12" borderId="7" xfId="0" applyNumberFormat="1" applyFill="1" applyBorder="1" applyAlignment="1">
      <alignment horizontal="center"/>
    </xf>
    <xf numFmtId="165" fontId="63" fillId="12" borderId="2" xfId="0" applyFont="1" applyFill="1" applyBorder="1" applyAlignment="1" applyProtection="1">
      <alignment horizontal="center" vertical="center"/>
      <protection hidden="1"/>
    </xf>
    <xf numFmtId="165" fontId="63" fillId="12" borderId="4" xfId="0" applyFont="1" applyFill="1" applyBorder="1" applyAlignment="1" applyProtection="1">
      <alignment horizontal="center" vertical="center"/>
      <protection hidden="1"/>
    </xf>
    <xf numFmtId="165" fontId="63" fillId="12" borderId="5" xfId="0" applyFont="1" applyFill="1" applyBorder="1" applyAlignment="1" applyProtection="1">
      <alignment horizontal="center" vertical="center"/>
      <protection hidden="1"/>
    </xf>
    <xf numFmtId="165" fontId="63" fillId="12" borderId="7" xfId="0" applyFont="1" applyFill="1" applyBorder="1" applyAlignment="1" applyProtection="1">
      <alignment horizontal="center" vertical="center"/>
      <protection hidden="1"/>
    </xf>
    <xf numFmtId="165" fontId="60" fillId="12" borderId="8" xfId="0" applyFont="1" applyFill="1" applyBorder="1" applyAlignment="1" applyProtection="1">
      <alignment horizontal="center" vertical="center"/>
      <protection hidden="1"/>
    </xf>
    <xf numFmtId="165" fontId="60" fillId="12" borderId="9" xfId="0" applyFont="1" applyFill="1" applyBorder="1" applyAlignment="1" applyProtection="1">
      <alignment horizontal="center" vertical="center"/>
      <protection hidden="1"/>
    </xf>
    <xf numFmtId="165" fontId="60" fillId="12" borderId="10" xfId="0" applyFont="1" applyFill="1" applyBorder="1" applyAlignment="1" applyProtection="1">
      <alignment horizontal="center" vertical="center"/>
      <protection hidden="1"/>
    </xf>
    <xf numFmtId="165" fontId="64" fillId="20" borderId="37" xfId="1" applyFont="1" applyFill="1" applyBorder="1" applyAlignment="1" applyProtection="1">
      <alignment horizontal="center" vertical="center"/>
      <protection hidden="1"/>
    </xf>
    <xf numFmtId="165" fontId="64" fillId="20" borderId="39" xfId="1" applyFont="1" applyFill="1" applyBorder="1" applyAlignment="1" applyProtection="1">
      <alignment horizontal="center" vertical="center"/>
      <protection hidden="1"/>
    </xf>
    <xf numFmtId="2" fontId="48" fillId="12" borderId="32" xfId="0" applyNumberFormat="1" applyFont="1" applyFill="1" applyBorder="1" applyAlignment="1" applyProtection="1">
      <alignment horizontal="center"/>
      <protection hidden="1"/>
    </xf>
    <xf numFmtId="2" fontId="48" fillId="12" borderId="33" xfId="0" applyNumberFormat="1" applyFont="1" applyFill="1" applyBorder="1" applyAlignment="1" applyProtection="1">
      <alignment horizontal="center"/>
      <protection hidden="1"/>
    </xf>
    <xf numFmtId="2" fontId="48" fillId="12" borderId="50" xfId="0" applyNumberFormat="1" applyFont="1" applyFill="1" applyBorder="1" applyAlignment="1" applyProtection="1">
      <alignment horizontal="center"/>
      <protection hidden="1"/>
    </xf>
    <xf numFmtId="1" fontId="48" fillId="12" borderId="11" xfId="0" applyNumberFormat="1" applyFont="1" applyFill="1" applyBorder="1" applyAlignment="1" applyProtection="1">
      <alignment horizontal="center" vertical="center"/>
      <protection hidden="1"/>
    </xf>
    <xf numFmtId="1" fontId="48" fillId="12" borderId="29" xfId="0" applyNumberFormat="1" applyFont="1" applyFill="1" applyBorder="1" applyAlignment="1" applyProtection="1">
      <alignment horizontal="center" vertical="center"/>
      <protection hidden="1"/>
    </xf>
    <xf numFmtId="1" fontId="48" fillId="12" borderId="63" xfId="0" applyNumberFormat="1" applyFont="1" applyFill="1" applyBorder="1" applyAlignment="1" applyProtection="1">
      <alignment horizontal="center" vertical="center"/>
      <protection hidden="1"/>
    </xf>
    <xf numFmtId="1" fontId="48" fillId="12" borderId="31" xfId="0" applyNumberFormat="1" applyFont="1" applyFill="1" applyBorder="1" applyAlignment="1" applyProtection="1">
      <alignment horizontal="center" vertical="center"/>
      <protection hidden="1"/>
    </xf>
    <xf numFmtId="1" fontId="48" fillId="12" borderId="68" xfId="0" applyNumberFormat="1" applyFont="1" applyFill="1" applyBorder="1" applyAlignment="1" applyProtection="1">
      <alignment horizontal="center" vertical="center"/>
      <protection hidden="1"/>
    </xf>
    <xf numFmtId="1" fontId="48" fillId="12" borderId="74" xfId="0" applyNumberFormat="1" applyFont="1" applyFill="1" applyBorder="1" applyAlignment="1" applyProtection="1">
      <alignment horizontal="center" vertical="center"/>
      <protection hidden="1"/>
    </xf>
    <xf numFmtId="1" fontId="48" fillId="12" borderId="67" xfId="0" applyNumberFormat="1" applyFont="1" applyFill="1" applyBorder="1" applyAlignment="1" applyProtection="1">
      <alignment horizontal="center" vertical="center"/>
      <protection hidden="1"/>
    </xf>
    <xf numFmtId="1" fontId="48" fillId="12" borderId="58" xfId="0" applyNumberFormat="1" applyFont="1" applyFill="1" applyBorder="1" applyAlignment="1" applyProtection="1">
      <alignment horizontal="center" vertical="center"/>
      <protection hidden="1"/>
    </xf>
    <xf numFmtId="1" fontId="48" fillId="12" borderId="54" xfId="0" applyNumberFormat="1" applyFont="1" applyFill="1" applyBorder="1" applyAlignment="1" applyProtection="1">
      <alignment horizontal="center" vertical="center"/>
      <protection hidden="1"/>
    </xf>
    <xf numFmtId="1" fontId="48" fillId="12" borderId="13" xfId="0" applyNumberFormat="1" applyFont="1" applyFill="1" applyBorder="1" applyAlignment="1" applyProtection="1">
      <alignment horizontal="center" vertical="center"/>
      <protection hidden="1"/>
    </xf>
    <xf numFmtId="1" fontId="48" fillId="12" borderId="18" xfId="0" applyNumberFormat="1" applyFont="1" applyFill="1" applyBorder="1" applyAlignment="1" applyProtection="1">
      <alignment horizontal="center" vertical="center"/>
      <protection hidden="1"/>
    </xf>
    <xf numFmtId="1" fontId="48" fillId="12" borderId="14" xfId="0" applyNumberFormat="1" applyFont="1" applyFill="1" applyBorder="1" applyAlignment="1" applyProtection="1">
      <alignment horizontal="center" vertical="center"/>
      <protection hidden="1"/>
    </xf>
    <xf numFmtId="165" fontId="48" fillId="12" borderId="8" xfId="0" applyFont="1" applyFill="1" applyBorder="1" applyAlignment="1" applyProtection="1">
      <alignment horizontal="center"/>
      <protection hidden="1"/>
    </xf>
    <xf numFmtId="165" fontId="48" fillId="12" borderId="9" xfId="0" applyFont="1" applyFill="1" applyBorder="1" applyAlignment="1" applyProtection="1">
      <alignment horizontal="center"/>
      <protection hidden="1"/>
    </xf>
    <xf numFmtId="165" fontId="48" fillId="12" borderId="10" xfId="0" applyFont="1" applyFill="1" applyBorder="1" applyAlignment="1" applyProtection="1">
      <alignment horizontal="center"/>
      <protection hidden="1"/>
    </xf>
    <xf numFmtId="1" fontId="68" fillId="12" borderId="8" xfId="0" applyNumberFormat="1" applyFont="1" applyFill="1" applyBorder="1" applyAlignment="1" applyProtection="1">
      <alignment horizontal="center" vertical="center"/>
      <protection hidden="1"/>
    </xf>
    <xf numFmtId="1" fontId="68" fillId="12" borderId="9" xfId="0" applyNumberFormat="1" applyFont="1" applyFill="1" applyBorder="1" applyAlignment="1" applyProtection="1">
      <alignment horizontal="center" vertical="center"/>
      <protection hidden="1"/>
    </xf>
    <xf numFmtId="1" fontId="68" fillId="12" borderId="10" xfId="0" applyNumberFormat="1" applyFont="1" applyFill="1" applyBorder="1" applyAlignment="1" applyProtection="1">
      <alignment horizontal="center" vertical="center"/>
      <protection hidden="1"/>
    </xf>
    <xf numFmtId="1" fontId="48" fillId="12" borderId="69" xfId="0" applyNumberFormat="1" applyFont="1" applyFill="1" applyBorder="1" applyAlignment="1" applyProtection="1">
      <alignment horizontal="center" vertical="center"/>
      <protection hidden="1"/>
    </xf>
    <xf numFmtId="165" fontId="48" fillId="12" borderId="47" xfId="0" applyFont="1" applyFill="1" applyBorder="1" applyAlignment="1" applyProtection="1">
      <alignment horizontal="center" vertical="center"/>
      <protection hidden="1"/>
    </xf>
    <xf numFmtId="165" fontId="48" fillId="12" borderId="55" xfId="0" applyFont="1" applyFill="1" applyBorder="1" applyAlignment="1" applyProtection="1">
      <alignment horizontal="center" vertical="center"/>
      <protection hidden="1"/>
    </xf>
    <xf numFmtId="165" fontId="65" fillId="12" borderId="42" xfId="0" applyFont="1" applyFill="1" applyBorder="1" applyAlignment="1" applyProtection="1">
      <alignment horizontal="center" vertical="center"/>
      <protection hidden="1"/>
    </xf>
    <xf numFmtId="165" fontId="65" fillId="12" borderId="40" xfId="0" applyFont="1" applyFill="1" applyBorder="1" applyAlignment="1" applyProtection="1">
      <alignment horizontal="center" vertical="center"/>
      <protection hidden="1"/>
    </xf>
    <xf numFmtId="165" fontId="65" fillId="12" borderId="47" xfId="0" applyFont="1" applyFill="1" applyBorder="1" applyAlignment="1" applyProtection="1">
      <alignment horizontal="center" vertical="center"/>
      <protection hidden="1"/>
    </xf>
    <xf numFmtId="165" fontId="65" fillId="12" borderId="55" xfId="0" applyFont="1" applyFill="1" applyBorder="1" applyAlignment="1" applyProtection="1">
      <alignment horizontal="center" vertical="center"/>
      <protection hidden="1"/>
    </xf>
    <xf numFmtId="165" fontId="65" fillId="12" borderId="46" xfId="0" applyFont="1" applyFill="1" applyBorder="1" applyAlignment="1" applyProtection="1">
      <alignment horizontal="center" vertical="center"/>
      <protection hidden="1"/>
    </xf>
    <xf numFmtId="165" fontId="65" fillId="12" borderId="54" xfId="0" applyFont="1" applyFill="1" applyBorder="1" applyAlignment="1" applyProtection="1">
      <alignment horizontal="center" vertical="center"/>
      <protection hidden="1"/>
    </xf>
    <xf numFmtId="165" fontId="64" fillId="40" borderId="47" xfId="1" applyFont="1" applyFill="1" applyBorder="1" applyAlignment="1" applyProtection="1">
      <alignment horizontal="center" vertical="center"/>
      <protection hidden="1"/>
    </xf>
    <xf numFmtId="165" fontId="64" fillId="40" borderId="55" xfId="1" applyFont="1" applyFill="1" applyBorder="1" applyAlignment="1" applyProtection="1">
      <alignment horizontal="center" vertical="center"/>
      <protection hidden="1"/>
    </xf>
    <xf numFmtId="165" fontId="48" fillId="12" borderId="49" xfId="0" applyFont="1" applyFill="1" applyBorder="1" applyAlignment="1" applyProtection="1">
      <alignment horizontal="center" vertical="center"/>
      <protection hidden="1"/>
    </xf>
    <xf numFmtId="165" fontId="48" fillId="12" borderId="44" xfId="0" applyFont="1" applyFill="1" applyBorder="1" applyAlignment="1" applyProtection="1">
      <alignment horizontal="center" vertical="center"/>
      <protection hidden="1"/>
    </xf>
    <xf numFmtId="165" fontId="48" fillId="12" borderId="46" xfId="0" applyFont="1" applyFill="1" applyBorder="1" applyAlignment="1" applyProtection="1">
      <alignment horizontal="center" vertical="center"/>
      <protection hidden="1"/>
    </xf>
    <xf numFmtId="165" fontId="48" fillId="12" borderId="54" xfId="0" applyFont="1" applyFill="1" applyBorder="1" applyAlignment="1" applyProtection="1">
      <alignment horizontal="center" vertical="center"/>
      <protection hidden="1"/>
    </xf>
    <xf numFmtId="165" fontId="48" fillId="12" borderId="42" xfId="0" applyFont="1" applyFill="1" applyBorder="1" applyAlignment="1" applyProtection="1">
      <alignment horizontal="center" vertical="center"/>
      <protection hidden="1"/>
    </xf>
    <xf numFmtId="165" fontId="48" fillId="12" borderId="40" xfId="0" applyFont="1" applyFill="1" applyBorder="1" applyAlignment="1" applyProtection="1">
      <alignment horizontal="center" vertical="center"/>
      <protection hidden="1"/>
    </xf>
    <xf numFmtId="165" fontId="64" fillId="5" borderId="46" xfId="1" applyFont="1" applyFill="1" applyBorder="1" applyAlignment="1" applyProtection="1">
      <alignment horizontal="center" vertical="center"/>
      <protection hidden="1"/>
    </xf>
    <xf numFmtId="165" fontId="64" fillId="5" borderId="54" xfId="1" applyFont="1" applyFill="1" applyBorder="1" applyAlignment="1" applyProtection="1">
      <alignment horizontal="center" vertical="center"/>
      <protection hidden="1"/>
    </xf>
    <xf numFmtId="165" fontId="64" fillId="21" borderId="30" xfId="1" applyFont="1" applyFill="1" applyBorder="1" applyAlignment="1" applyProtection="1">
      <alignment horizontal="center" vertical="center"/>
      <protection hidden="1"/>
    </xf>
    <xf numFmtId="165" fontId="64" fillId="21" borderId="39" xfId="1" applyFont="1" applyFill="1" applyBorder="1" applyAlignment="1" applyProtection="1">
      <alignment horizontal="center" vertical="center"/>
      <protection hidden="1"/>
    </xf>
    <xf numFmtId="165" fontId="64" fillId="27" borderId="42" xfId="1" applyFont="1" applyFill="1" applyBorder="1" applyAlignment="1" applyProtection="1">
      <alignment horizontal="center" vertical="center"/>
      <protection hidden="1"/>
    </xf>
    <xf numFmtId="165" fontId="64" fillId="27" borderId="40" xfId="1" applyFont="1" applyFill="1" applyBorder="1" applyAlignment="1" applyProtection="1">
      <alignment horizontal="center" vertical="center"/>
      <protection hidden="1"/>
    </xf>
    <xf numFmtId="165" fontId="64" fillId="22" borderId="30" xfId="1" applyFont="1" applyFill="1" applyBorder="1" applyAlignment="1" applyProtection="1">
      <alignment horizontal="center" vertical="center"/>
      <protection hidden="1"/>
    </xf>
    <xf numFmtId="165" fontId="64" fillId="22" borderId="39" xfId="1" applyFont="1" applyFill="1" applyBorder="1" applyAlignment="1" applyProtection="1">
      <alignment horizontal="center" vertical="center"/>
      <protection hidden="1"/>
    </xf>
    <xf numFmtId="165" fontId="64" fillId="15" borderId="47" xfId="1" applyFont="1" applyFill="1" applyBorder="1" applyAlignment="1" applyProtection="1">
      <alignment horizontal="center" vertical="center"/>
      <protection hidden="1"/>
    </xf>
    <xf numFmtId="165" fontId="64" fillId="15" borderId="55" xfId="1" applyFont="1" applyFill="1" applyBorder="1" applyAlignment="1" applyProtection="1">
      <alignment horizontal="center" vertical="center"/>
      <protection hidden="1"/>
    </xf>
    <xf numFmtId="165" fontId="64" fillId="30" borderId="48" xfId="1" applyFont="1" applyFill="1" applyBorder="1" applyAlignment="1" applyProtection="1">
      <alignment horizontal="center" vertical="center"/>
      <protection hidden="1"/>
    </xf>
    <xf numFmtId="165" fontId="64" fillId="30" borderId="45" xfId="1" applyFont="1" applyFill="1" applyBorder="1" applyAlignment="1" applyProtection="1">
      <alignment horizontal="center" vertical="center"/>
      <protection hidden="1"/>
    </xf>
    <xf numFmtId="165" fontId="64" fillId="21" borderId="37" xfId="1" applyFont="1" applyFill="1" applyBorder="1" applyAlignment="1" applyProtection="1">
      <alignment horizontal="center" vertical="center"/>
      <protection hidden="1"/>
    </xf>
    <xf numFmtId="165" fontId="64" fillId="29" borderId="42" xfId="1" applyFont="1" applyFill="1" applyBorder="1" applyAlignment="1" applyProtection="1">
      <alignment horizontal="center" vertical="center"/>
      <protection hidden="1"/>
    </xf>
    <xf numFmtId="165" fontId="64" fillId="29" borderId="40" xfId="1" applyFont="1" applyFill="1" applyBorder="1" applyAlignment="1" applyProtection="1">
      <alignment horizontal="center" vertical="center"/>
      <protection hidden="1"/>
    </xf>
    <xf numFmtId="165" fontId="64" fillId="29" borderId="47" xfId="1" applyFont="1" applyFill="1" applyBorder="1" applyAlignment="1" applyProtection="1">
      <alignment horizontal="center" vertical="center"/>
      <protection hidden="1"/>
    </xf>
    <xf numFmtId="165" fontId="64" fillId="29" borderId="55" xfId="1" applyFont="1" applyFill="1" applyBorder="1" applyAlignment="1" applyProtection="1">
      <alignment horizontal="center" vertical="center"/>
      <protection hidden="1"/>
    </xf>
    <xf numFmtId="165" fontId="64" fillId="9" borderId="46" xfId="1" applyFont="1" applyFill="1" applyBorder="1" applyAlignment="1" applyProtection="1">
      <alignment horizontal="center" vertical="center"/>
      <protection hidden="1"/>
    </xf>
    <xf numFmtId="165" fontId="64" fillId="9" borderId="54" xfId="1" applyFont="1" applyFill="1" applyBorder="1" applyAlignment="1" applyProtection="1">
      <alignment horizontal="center" vertical="center"/>
      <protection hidden="1"/>
    </xf>
    <xf numFmtId="165" fontId="64" fillId="9" borderId="42" xfId="1" applyFont="1" applyFill="1" applyBorder="1" applyAlignment="1" applyProtection="1">
      <alignment horizontal="center" vertical="center"/>
      <protection hidden="1"/>
    </xf>
    <xf numFmtId="165" fontId="64" fillId="9" borderId="40" xfId="1" applyFont="1" applyFill="1" applyBorder="1" applyAlignment="1" applyProtection="1">
      <alignment horizontal="center" vertical="center"/>
      <protection hidden="1"/>
    </xf>
    <xf numFmtId="165" fontId="64" fillId="31" borderId="12" xfId="1" applyFont="1" applyFill="1" applyBorder="1" applyAlignment="1" applyProtection="1">
      <alignment horizontal="center" vertical="center"/>
      <protection hidden="1"/>
    </xf>
    <xf numFmtId="165" fontId="64" fillId="31" borderId="67" xfId="1" applyFont="1" applyFill="1" applyBorder="1" applyAlignment="1" applyProtection="1">
      <alignment horizontal="center" vertical="center"/>
      <protection hidden="1"/>
    </xf>
    <xf numFmtId="165" fontId="64" fillId="31" borderId="15" xfId="1" applyFont="1" applyFill="1" applyBorder="1" applyAlignment="1" applyProtection="1">
      <alignment horizontal="center" vertical="center"/>
      <protection hidden="1"/>
    </xf>
    <xf numFmtId="165" fontId="64" fillId="31" borderId="72" xfId="1" applyFont="1" applyFill="1" applyBorder="1" applyAlignment="1" applyProtection="1">
      <alignment horizontal="center" vertical="center"/>
      <protection hidden="1"/>
    </xf>
    <xf numFmtId="165" fontId="64" fillId="15" borderId="42" xfId="1" applyFont="1" applyFill="1" applyBorder="1" applyAlignment="1" applyProtection="1">
      <alignment horizontal="center" vertical="center"/>
      <protection hidden="1"/>
    </xf>
    <xf numFmtId="165" fontId="64" fillId="15" borderId="40" xfId="1" applyFont="1" applyFill="1" applyBorder="1" applyAlignment="1" applyProtection="1">
      <alignment horizontal="center" vertical="center"/>
      <protection hidden="1"/>
    </xf>
    <xf numFmtId="165" fontId="64" fillId="31" borderId="17" xfId="1" applyFont="1" applyFill="1" applyBorder="1" applyAlignment="1" applyProtection="1">
      <alignment horizontal="center" vertical="center"/>
      <protection hidden="1"/>
    </xf>
    <xf numFmtId="165" fontId="64" fillId="31" borderId="73" xfId="1" applyFont="1" applyFill="1" applyBorder="1" applyAlignment="1" applyProtection="1">
      <alignment horizontal="center" vertical="center"/>
      <protection hidden="1"/>
    </xf>
    <xf numFmtId="165" fontId="64" fillId="15" borderId="46" xfId="1" applyFont="1" applyFill="1" applyBorder="1" applyAlignment="1" applyProtection="1">
      <alignment horizontal="center" vertical="center"/>
      <protection hidden="1"/>
    </xf>
    <xf numFmtId="165" fontId="64" fillId="15" borderId="54" xfId="1" applyFont="1" applyFill="1" applyBorder="1" applyAlignment="1" applyProtection="1">
      <alignment horizontal="center" vertical="center"/>
      <protection hidden="1"/>
    </xf>
    <xf numFmtId="165" fontId="64" fillId="9" borderId="47" xfId="1" applyFont="1" applyFill="1" applyBorder="1" applyAlignment="1" applyProtection="1">
      <alignment horizontal="center" vertical="center"/>
      <protection hidden="1"/>
    </xf>
    <xf numFmtId="165" fontId="64" fillId="9" borderId="55" xfId="1" applyFont="1" applyFill="1" applyBorder="1" applyAlignment="1" applyProtection="1">
      <alignment horizontal="center" vertical="center"/>
      <protection hidden="1"/>
    </xf>
    <xf numFmtId="165" fontId="64" fillId="30" borderId="46" xfId="1" applyFont="1" applyFill="1" applyBorder="1" applyAlignment="1" applyProtection="1">
      <alignment horizontal="center" vertical="center"/>
      <protection hidden="1"/>
    </xf>
    <xf numFmtId="165" fontId="64" fillId="30" borderId="54" xfId="1" applyFont="1" applyFill="1" applyBorder="1" applyAlignment="1" applyProtection="1">
      <alignment horizontal="center" vertical="center"/>
      <protection hidden="1"/>
    </xf>
    <xf numFmtId="165" fontId="64" fillId="27" borderId="47" xfId="1" applyFont="1" applyFill="1" applyBorder="1" applyAlignment="1" applyProtection="1">
      <alignment horizontal="center" vertical="center"/>
      <protection hidden="1"/>
    </xf>
    <xf numFmtId="165" fontId="64" fillId="27" borderId="55" xfId="1" applyFont="1" applyFill="1" applyBorder="1" applyAlignment="1" applyProtection="1">
      <alignment horizontal="center" vertical="center"/>
      <protection hidden="1"/>
    </xf>
    <xf numFmtId="165" fontId="64" fillId="30" borderId="42" xfId="1" applyFont="1" applyFill="1" applyBorder="1" applyAlignment="1" applyProtection="1">
      <alignment horizontal="center" vertical="center"/>
      <protection hidden="1"/>
    </xf>
    <xf numFmtId="165" fontId="64" fillId="30" borderId="40" xfId="1" applyFont="1" applyFill="1" applyBorder="1" applyAlignment="1" applyProtection="1">
      <alignment horizontal="center" vertical="center"/>
      <protection hidden="1"/>
    </xf>
    <xf numFmtId="165" fontId="61" fillId="12" borderId="2" xfId="0" applyFont="1" applyFill="1" applyBorder="1" applyAlignment="1" applyProtection="1">
      <alignment horizontal="center" vertical="center"/>
      <protection hidden="1"/>
    </xf>
    <xf numFmtId="165" fontId="61" fillId="12" borderId="4" xfId="0" applyFont="1" applyFill="1" applyBorder="1" applyAlignment="1" applyProtection="1">
      <alignment horizontal="center" vertical="center"/>
      <protection hidden="1"/>
    </xf>
    <xf numFmtId="165" fontId="61" fillId="12" borderId="5" xfId="0" applyFont="1" applyFill="1" applyBorder="1" applyAlignment="1" applyProtection="1">
      <alignment horizontal="center" vertical="center"/>
      <protection hidden="1"/>
    </xf>
    <xf numFmtId="165" fontId="61" fillId="12" borderId="7" xfId="0" applyFont="1" applyFill="1" applyBorder="1" applyAlignment="1" applyProtection="1">
      <alignment horizontal="center" vertical="center"/>
      <protection hidden="1"/>
    </xf>
    <xf numFmtId="165" fontId="64" fillId="27" borderId="46" xfId="1" applyFont="1" applyFill="1" applyBorder="1" applyAlignment="1" applyProtection="1">
      <alignment horizontal="center" vertical="center"/>
      <protection hidden="1"/>
    </xf>
    <xf numFmtId="165" fontId="64" fillId="27" borderId="54" xfId="1" applyFont="1" applyFill="1" applyBorder="1" applyAlignment="1" applyProtection="1">
      <alignment horizontal="center" vertical="center"/>
      <protection hidden="1"/>
    </xf>
    <xf numFmtId="165" fontId="62" fillId="12" borderId="28" xfId="0" applyFont="1" applyFill="1" applyBorder="1" applyAlignment="1" applyProtection="1">
      <alignment horizontal="center" vertical="center" textRotation="90"/>
      <protection hidden="1"/>
    </xf>
    <xf numFmtId="165" fontId="64" fillId="29" borderId="46" xfId="1" applyFont="1" applyFill="1" applyBorder="1" applyAlignment="1" applyProtection="1">
      <alignment horizontal="center" vertical="center"/>
      <protection hidden="1"/>
    </xf>
    <xf numFmtId="165" fontId="64" fillId="29" borderId="54" xfId="1" applyFont="1" applyFill="1" applyBorder="1" applyAlignment="1" applyProtection="1">
      <alignment horizontal="center" vertical="center"/>
      <protection hidden="1"/>
    </xf>
    <xf numFmtId="165" fontId="48" fillId="12" borderId="2" xfId="0" applyFont="1" applyFill="1" applyBorder="1" applyAlignment="1" applyProtection="1">
      <alignment horizontal="center" vertical="center"/>
      <protection hidden="1"/>
    </xf>
    <xf numFmtId="165" fontId="48" fillId="12" borderId="4" xfId="0" applyFont="1" applyFill="1" applyBorder="1" applyAlignment="1" applyProtection="1">
      <alignment horizontal="center" vertical="center"/>
      <protection hidden="1"/>
    </xf>
    <xf numFmtId="165" fontId="48" fillId="12" borderId="5" xfId="0" applyFont="1" applyFill="1" applyBorder="1" applyAlignment="1" applyProtection="1">
      <alignment horizontal="center" vertical="center"/>
      <protection hidden="1"/>
    </xf>
    <xf numFmtId="165" fontId="48" fillId="12" borderId="7" xfId="0" applyFont="1" applyFill="1" applyBorder="1" applyAlignment="1" applyProtection="1">
      <alignment horizontal="center" vertical="center"/>
      <protection hidden="1"/>
    </xf>
    <xf numFmtId="165" fontId="64" fillId="22" borderId="46" xfId="1" applyFont="1" applyFill="1" applyBorder="1" applyAlignment="1" applyProtection="1">
      <alignment horizontal="center" vertical="center"/>
      <protection hidden="1"/>
    </xf>
    <xf numFmtId="165" fontId="64" fillId="22" borderId="54" xfId="1" applyFont="1" applyFill="1" applyBorder="1" applyAlignment="1" applyProtection="1">
      <alignment horizontal="center" vertical="center"/>
      <protection hidden="1"/>
    </xf>
    <xf numFmtId="165" fontId="64" fillId="22" borderId="47" xfId="1" applyFont="1" applyFill="1" applyBorder="1" applyAlignment="1" applyProtection="1">
      <alignment horizontal="center" vertical="center"/>
      <protection hidden="1"/>
    </xf>
    <xf numFmtId="165" fontId="64" fillId="22" borderId="55" xfId="1" applyFont="1" applyFill="1" applyBorder="1" applyAlignment="1" applyProtection="1">
      <alignment horizontal="center" vertical="center"/>
      <protection hidden="1"/>
    </xf>
    <xf numFmtId="165" fontId="60" fillId="12" borderId="12" xfId="0" applyFont="1" applyFill="1" applyBorder="1" applyAlignment="1">
      <alignment horizontal="center" vertical="center" textRotation="45"/>
    </xf>
    <xf numFmtId="165" fontId="60" fillId="12" borderId="17" xfId="0" applyFont="1" applyFill="1" applyBorder="1" applyAlignment="1">
      <alignment horizontal="center" vertical="center" textRotation="45"/>
    </xf>
    <xf numFmtId="1" fontId="60" fillId="12" borderId="13" xfId="0" applyNumberFormat="1" applyFont="1" applyFill="1" applyBorder="1" applyAlignment="1">
      <alignment horizontal="center" vertical="center" textRotation="45"/>
    </xf>
    <xf numFmtId="1" fontId="60" fillId="12" borderId="18" xfId="0" applyNumberFormat="1" applyFont="1" applyFill="1" applyBorder="1" applyAlignment="1">
      <alignment horizontal="center" vertical="center" textRotation="45"/>
    </xf>
    <xf numFmtId="165" fontId="60" fillId="12" borderId="14" xfId="0" applyFont="1" applyFill="1" applyBorder="1" applyAlignment="1">
      <alignment horizontal="center" vertical="center" textRotation="45"/>
    </xf>
    <xf numFmtId="165" fontId="60" fillId="12" borderId="19" xfId="0" applyFont="1" applyFill="1" applyBorder="1" applyAlignment="1">
      <alignment horizontal="center" vertical="center" textRotation="45"/>
    </xf>
    <xf numFmtId="165" fontId="64" fillId="22" borderId="37" xfId="1" applyFont="1" applyFill="1" applyBorder="1" applyAlignment="1" applyProtection="1">
      <alignment horizontal="center" vertical="center"/>
      <protection hidden="1"/>
    </xf>
    <xf numFmtId="165" fontId="67" fillId="12" borderId="27" xfId="0" applyFont="1" applyFill="1" applyBorder="1" applyAlignment="1" applyProtection="1">
      <alignment horizontal="center" vertical="center"/>
      <protection hidden="1"/>
    </xf>
    <xf numFmtId="165" fontId="67" fillId="12" borderId="0" xfId="0" applyFont="1" applyFill="1" applyBorder="1" applyAlignment="1" applyProtection="1">
      <alignment horizontal="center" vertical="center"/>
      <protection hidden="1"/>
    </xf>
    <xf numFmtId="1" fontId="48" fillId="12" borderId="79" xfId="0" applyNumberFormat="1" applyFont="1" applyFill="1" applyBorder="1" applyAlignment="1" applyProtection="1">
      <alignment horizontal="center" vertical="center"/>
      <protection hidden="1"/>
    </xf>
    <xf numFmtId="1" fontId="48" fillId="12" borderId="80" xfId="0" applyNumberFormat="1" applyFont="1" applyFill="1" applyBorder="1" applyAlignment="1" applyProtection="1">
      <alignment horizontal="center" vertical="center"/>
      <protection hidden="1"/>
    </xf>
    <xf numFmtId="165" fontId="46" fillId="12" borderId="0" xfId="0" applyFont="1" applyFill="1" applyAlignment="1" applyProtection="1">
      <alignment horizontal="center" wrapText="1"/>
      <protection hidden="1"/>
    </xf>
    <xf numFmtId="165" fontId="47" fillId="12" borderId="0" xfId="0" applyFont="1" applyFill="1" applyAlignment="1" applyProtection="1">
      <alignment horizontal="center" wrapText="1"/>
      <protection hidden="1"/>
    </xf>
    <xf numFmtId="165" fontId="0" fillId="12" borderId="46" xfId="0" applyFill="1" applyBorder="1" applyAlignment="1" applyProtection="1">
      <alignment horizontal="center" textRotation="90"/>
      <protection hidden="1"/>
    </xf>
    <xf numFmtId="165" fontId="0" fillId="12" borderId="42" xfId="0" applyFill="1" applyBorder="1" applyAlignment="1" applyProtection="1">
      <alignment horizontal="center" textRotation="90"/>
      <protection hidden="1"/>
    </xf>
    <xf numFmtId="165" fontId="0" fillId="12" borderId="47" xfId="0" applyFill="1" applyBorder="1" applyAlignment="1" applyProtection="1">
      <alignment horizontal="center" textRotation="90"/>
      <protection hidden="1"/>
    </xf>
    <xf numFmtId="165" fontId="0" fillId="12" borderId="12" xfId="0" applyFill="1" applyBorder="1" applyAlignment="1" applyProtection="1">
      <alignment horizontal="center"/>
      <protection hidden="1"/>
    </xf>
    <xf numFmtId="165" fontId="0" fillId="12" borderId="13" xfId="0" applyFill="1" applyBorder="1" applyAlignment="1" applyProtection="1">
      <alignment horizontal="center"/>
      <protection hidden="1"/>
    </xf>
    <xf numFmtId="165" fontId="0" fillId="12" borderId="14" xfId="0" applyFill="1" applyBorder="1" applyAlignment="1" applyProtection="1">
      <alignment horizontal="center"/>
      <protection hidden="1"/>
    </xf>
    <xf numFmtId="165" fontId="0" fillId="12" borderId="15" xfId="0" applyFill="1" applyBorder="1" applyAlignment="1" applyProtection="1">
      <alignment horizontal="center"/>
      <protection hidden="1"/>
    </xf>
    <xf numFmtId="165" fontId="0" fillId="12" borderId="1" xfId="0" applyFill="1" applyBorder="1" applyAlignment="1" applyProtection="1">
      <alignment horizontal="center"/>
      <protection hidden="1"/>
    </xf>
    <xf numFmtId="165" fontId="0" fillId="12" borderId="16" xfId="0" applyFill="1" applyBorder="1" applyAlignment="1" applyProtection="1">
      <alignment horizontal="center"/>
      <protection hidden="1"/>
    </xf>
    <xf numFmtId="165" fontId="67" fillId="12" borderId="8" xfId="0" applyFont="1" applyFill="1" applyBorder="1" applyAlignment="1" applyProtection="1">
      <alignment horizontal="center" vertical="center"/>
      <protection hidden="1"/>
    </xf>
    <xf numFmtId="165" fontId="67" fillId="12" borderId="9" xfId="0" applyFont="1" applyFill="1" applyBorder="1" applyAlignment="1" applyProtection="1">
      <alignment horizontal="center" vertical="center"/>
      <protection hidden="1"/>
    </xf>
    <xf numFmtId="165" fontId="67" fillId="12" borderId="10" xfId="0" applyFont="1" applyFill="1" applyBorder="1" applyAlignment="1" applyProtection="1">
      <alignment horizontal="center" vertical="center"/>
      <protection hidden="1"/>
    </xf>
    <xf numFmtId="165" fontId="48" fillId="12" borderId="5" xfId="0" applyFont="1" applyFill="1" applyBorder="1" applyAlignment="1" applyProtection="1">
      <alignment horizontal="center"/>
      <protection hidden="1"/>
    </xf>
    <xf numFmtId="165" fontId="48" fillId="12" borderId="6" xfId="0" applyFont="1" applyFill="1" applyBorder="1" applyAlignment="1" applyProtection="1">
      <alignment horizontal="center"/>
      <protection hidden="1"/>
    </xf>
    <xf numFmtId="165" fontId="48" fillId="12" borderId="7" xfId="0" applyFont="1" applyFill="1" applyBorder="1" applyAlignment="1" applyProtection="1">
      <alignment horizontal="center"/>
      <protection hidden="1"/>
    </xf>
    <xf numFmtId="165" fontId="67" fillId="12" borderId="81" xfId="0" applyFont="1" applyFill="1" applyBorder="1" applyAlignment="1" applyProtection="1">
      <alignment horizontal="center" vertical="center"/>
      <protection hidden="1"/>
    </xf>
    <xf numFmtId="165" fontId="67" fillId="12" borderId="82" xfId="0" applyFont="1" applyFill="1" applyBorder="1" applyAlignment="1" applyProtection="1">
      <alignment horizontal="center" vertical="center"/>
      <protection hidden="1"/>
    </xf>
    <xf numFmtId="165" fontId="67" fillId="12" borderId="83" xfId="0" applyFont="1" applyFill="1" applyBorder="1" applyAlignment="1" applyProtection="1">
      <alignment horizontal="center" vertical="center"/>
      <protection hidden="1"/>
    </xf>
    <xf numFmtId="165" fontId="48" fillId="12" borderId="85" xfId="0" applyFont="1" applyFill="1" applyBorder="1" applyAlignment="1" applyProtection="1">
      <alignment horizontal="center"/>
      <protection hidden="1"/>
    </xf>
    <xf numFmtId="165" fontId="48" fillId="12" borderId="86" xfId="0" applyFont="1" applyFill="1" applyBorder="1" applyAlignment="1" applyProtection="1">
      <alignment horizontal="center"/>
      <protection hidden="1"/>
    </xf>
    <xf numFmtId="165" fontId="48" fillId="12" borderId="87" xfId="0" applyFont="1" applyFill="1" applyBorder="1" applyAlignment="1" applyProtection="1">
      <alignment horizontal="center"/>
      <protection hidden="1"/>
    </xf>
    <xf numFmtId="1" fontId="48" fillId="12" borderId="89" xfId="0" applyNumberFormat="1" applyFont="1" applyFill="1" applyBorder="1" applyAlignment="1" applyProtection="1">
      <alignment horizontal="center" vertical="center"/>
      <protection hidden="1"/>
    </xf>
    <xf numFmtId="1" fontId="48" fillId="12" borderId="96" xfId="0" applyNumberFormat="1" applyFont="1" applyFill="1" applyBorder="1" applyAlignment="1" applyProtection="1">
      <alignment horizontal="center" vertical="center"/>
      <protection hidden="1"/>
    </xf>
    <xf numFmtId="1" fontId="48" fillId="12" borderId="76" xfId="0" applyNumberFormat="1" applyFont="1" applyFill="1" applyBorder="1" applyAlignment="1" applyProtection="1">
      <alignment horizontal="center" vertical="center"/>
      <protection hidden="1"/>
    </xf>
    <xf numFmtId="1" fontId="48" fillId="12" borderId="78" xfId="0" applyNumberFormat="1" applyFont="1" applyFill="1" applyBorder="1" applyAlignment="1" applyProtection="1">
      <alignment horizontal="center" vertical="center"/>
      <protection hidden="1"/>
    </xf>
    <xf numFmtId="1" fontId="48" fillId="12" borderId="90" xfId="0" applyNumberFormat="1" applyFont="1" applyFill="1" applyBorder="1" applyAlignment="1" applyProtection="1">
      <alignment horizontal="center" vertical="center"/>
      <protection hidden="1"/>
    </xf>
    <xf numFmtId="2" fontId="48" fillId="12" borderId="91" xfId="0" applyNumberFormat="1" applyFont="1" applyFill="1" applyBorder="1" applyAlignment="1" applyProtection="1">
      <alignment horizontal="center"/>
      <protection hidden="1"/>
    </xf>
    <xf numFmtId="2" fontId="48" fillId="12" borderId="92" xfId="0" applyNumberFormat="1" applyFont="1" applyFill="1" applyBorder="1" applyAlignment="1" applyProtection="1">
      <alignment horizontal="center"/>
      <protection hidden="1"/>
    </xf>
    <xf numFmtId="2" fontId="48" fillId="12" borderId="93" xfId="0" applyNumberFormat="1" applyFont="1" applyFill="1" applyBorder="1" applyAlignment="1" applyProtection="1">
      <alignment horizontal="center"/>
      <protection hidden="1"/>
    </xf>
    <xf numFmtId="1" fontId="68" fillId="12" borderId="81" xfId="0" applyNumberFormat="1" applyFont="1" applyFill="1" applyBorder="1" applyAlignment="1" applyProtection="1">
      <alignment horizontal="center" vertical="center"/>
      <protection hidden="1"/>
    </xf>
    <xf numFmtId="1" fontId="68" fillId="12" borderId="82" xfId="0" applyNumberFormat="1" applyFont="1" applyFill="1" applyBorder="1" applyAlignment="1" applyProtection="1">
      <alignment horizontal="center" vertical="center"/>
      <protection hidden="1"/>
    </xf>
    <xf numFmtId="1" fontId="68" fillId="12" borderId="83" xfId="0" applyNumberFormat="1" applyFont="1" applyFill="1" applyBorder="1" applyAlignment="1" applyProtection="1">
      <alignment horizontal="center" vertical="center"/>
      <protection hidden="1"/>
    </xf>
    <xf numFmtId="1" fontId="48" fillId="12" borderId="110" xfId="0" applyNumberFormat="1" applyFont="1" applyFill="1" applyBorder="1" applyAlignment="1" applyProtection="1">
      <alignment horizontal="center" vertical="center"/>
      <protection hidden="1"/>
    </xf>
    <xf numFmtId="1" fontId="48" fillId="12" borderId="117" xfId="0" applyNumberFormat="1" applyFont="1" applyFill="1" applyBorder="1" applyAlignment="1" applyProtection="1">
      <alignment horizontal="center" vertical="center"/>
      <protection hidden="1"/>
    </xf>
    <xf numFmtId="165" fontId="48" fillId="12" borderId="91" xfId="0" applyFont="1" applyFill="1" applyBorder="1" applyAlignment="1" applyProtection="1">
      <alignment horizontal="center"/>
      <protection hidden="1"/>
    </xf>
    <xf numFmtId="165" fontId="48" fillId="12" borderId="92" xfId="0" applyFont="1" applyFill="1" applyBorder="1" applyAlignment="1" applyProtection="1">
      <alignment horizontal="center"/>
      <protection hidden="1"/>
    </xf>
    <xf numFmtId="165" fontId="48" fillId="12" borderId="93" xfId="0" applyFont="1" applyFill="1" applyBorder="1" applyAlignment="1" applyProtection="1">
      <alignment horizontal="center"/>
      <protection hidden="1"/>
    </xf>
    <xf numFmtId="165" fontId="48" fillId="12" borderId="81" xfId="0" applyFont="1" applyFill="1" applyBorder="1" applyAlignment="1" applyProtection="1">
      <alignment horizontal="center"/>
      <protection hidden="1"/>
    </xf>
    <xf numFmtId="165" fontId="48" fillId="12" borderId="82" xfId="0" applyFont="1" applyFill="1" applyBorder="1" applyAlignment="1" applyProtection="1">
      <alignment horizontal="center"/>
      <protection hidden="1"/>
    </xf>
    <xf numFmtId="165" fontId="48" fillId="12" borderId="83" xfId="0" applyFont="1" applyFill="1" applyBorder="1" applyAlignment="1" applyProtection="1">
      <alignment horizontal="center"/>
      <protection hidden="1"/>
    </xf>
    <xf numFmtId="1" fontId="48" fillId="12" borderId="113" xfId="0" applyNumberFormat="1" applyFont="1" applyFill="1" applyBorder="1" applyAlignment="1" applyProtection="1">
      <alignment horizontal="center" vertical="center"/>
      <protection hidden="1"/>
    </xf>
    <xf numFmtId="1" fontId="48" fillId="12" borderId="114" xfId="0" applyNumberFormat="1" applyFont="1" applyFill="1" applyBorder="1" applyAlignment="1" applyProtection="1">
      <alignment horizontal="center" vertical="center"/>
      <protection hidden="1"/>
    </xf>
    <xf numFmtId="1" fontId="48" fillId="12" borderId="115" xfId="0" applyNumberFormat="1" applyFont="1" applyFill="1" applyBorder="1" applyAlignment="1" applyProtection="1">
      <alignment horizontal="center" vertical="center"/>
      <protection hidden="1"/>
    </xf>
    <xf numFmtId="1" fontId="87" fillId="12" borderId="126" xfId="0" applyNumberFormat="1" applyFont="1" applyFill="1" applyBorder="1" applyAlignment="1" applyProtection="1">
      <alignment horizontal="center" vertical="center"/>
      <protection locked="0" hidden="1"/>
    </xf>
    <xf numFmtId="1" fontId="87" fillId="12" borderId="9" xfId="0" applyNumberFormat="1" applyFont="1" applyFill="1" applyBorder="1" applyAlignment="1" applyProtection="1">
      <alignment horizontal="center" vertical="center"/>
      <protection locked="0" hidden="1"/>
    </xf>
    <xf numFmtId="1" fontId="87" fillId="12" borderId="127" xfId="0" applyNumberFormat="1" applyFont="1" applyFill="1" applyBorder="1" applyAlignment="1" applyProtection="1">
      <alignment horizontal="center" vertical="center"/>
      <protection locked="0" hidden="1"/>
    </xf>
    <xf numFmtId="165" fontId="87" fillId="12" borderId="8" xfId="0" applyFont="1" applyFill="1" applyBorder="1" applyAlignment="1" applyProtection="1">
      <alignment horizontal="center" vertical="center"/>
      <protection hidden="1"/>
    </xf>
    <xf numFmtId="165" fontId="87" fillId="12" borderId="9" xfId="0" applyFont="1" applyFill="1" applyBorder="1" applyAlignment="1" applyProtection="1">
      <alignment horizontal="center" vertical="center"/>
      <protection hidden="1"/>
    </xf>
    <xf numFmtId="165" fontId="87" fillId="12" borderId="10" xfId="0" applyFont="1" applyFill="1" applyBorder="1" applyAlignment="1" applyProtection="1">
      <alignment horizontal="center" vertical="center"/>
      <protection hidden="1"/>
    </xf>
    <xf numFmtId="165" fontId="62" fillId="12" borderId="0" xfId="0" applyFont="1" applyFill="1" applyAlignment="1" applyProtection="1">
      <alignment horizontal="center" vertical="center" textRotation="90"/>
      <protection hidden="1"/>
    </xf>
    <xf numFmtId="165" fontId="64" fillId="27" borderId="118" xfId="1" applyFont="1" applyFill="1" applyBorder="1" applyAlignment="1" applyProtection="1">
      <alignment horizontal="center" vertical="center"/>
      <protection hidden="1"/>
    </xf>
    <xf numFmtId="165" fontId="64" fillId="27" borderId="134" xfId="1" applyFont="1" applyFill="1" applyBorder="1" applyAlignment="1" applyProtection="1">
      <alignment horizontal="center" vertical="center"/>
      <protection hidden="1"/>
    </xf>
    <xf numFmtId="1" fontId="64" fillId="27" borderId="110" xfId="1" applyNumberFormat="1" applyFont="1" applyFill="1" applyBorder="1" applyAlignment="1" applyProtection="1">
      <alignment horizontal="center" vertical="center"/>
      <protection hidden="1"/>
    </xf>
    <xf numFmtId="1" fontId="64" fillId="27" borderId="98" xfId="1" applyNumberFormat="1" applyFont="1" applyFill="1" applyBorder="1" applyAlignment="1" applyProtection="1">
      <alignment horizontal="center" vertical="center"/>
      <protection hidden="1"/>
    </xf>
    <xf numFmtId="165" fontId="64" fillId="27" borderId="120" xfId="1" applyFont="1" applyFill="1" applyBorder="1" applyAlignment="1" applyProtection="1">
      <alignment horizontal="center" vertical="center"/>
      <protection hidden="1"/>
    </xf>
    <xf numFmtId="165" fontId="64" fillId="27" borderId="138" xfId="1" applyFont="1" applyFill="1" applyBorder="1" applyAlignment="1" applyProtection="1">
      <alignment horizontal="center" vertical="center"/>
      <protection hidden="1"/>
    </xf>
    <xf numFmtId="165" fontId="48" fillId="12" borderId="0" xfId="0" applyFont="1" applyFill="1" applyAlignment="1" applyProtection="1">
      <alignment horizontal="center" vertical="center" wrapText="1"/>
      <protection hidden="1"/>
    </xf>
    <xf numFmtId="165" fontId="10" fillId="12" borderId="8" xfId="0" applyFont="1" applyFill="1" applyBorder="1" applyAlignment="1" applyProtection="1">
      <alignment horizontal="center" vertical="center"/>
      <protection hidden="1"/>
    </xf>
    <xf numFmtId="165" fontId="10" fillId="12" borderId="9" xfId="0" applyFont="1" applyFill="1" applyBorder="1" applyAlignment="1" applyProtection="1">
      <alignment horizontal="center" vertical="center"/>
      <protection hidden="1"/>
    </xf>
    <xf numFmtId="165" fontId="10" fillId="12" borderId="10" xfId="0" applyFont="1" applyFill="1" applyBorder="1" applyAlignment="1" applyProtection="1">
      <alignment horizontal="center" vertical="center"/>
      <protection hidden="1"/>
    </xf>
    <xf numFmtId="165" fontId="61" fillId="12" borderId="27" xfId="0" applyFont="1" applyFill="1" applyBorder="1" applyAlignment="1" applyProtection="1">
      <alignment horizontal="center" vertical="center"/>
      <protection hidden="1"/>
    </xf>
    <xf numFmtId="165" fontId="61" fillId="12" borderId="28" xfId="0" applyFont="1" applyFill="1" applyBorder="1" applyAlignment="1" applyProtection="1">
      <alignment horizontal="center" vertical="center"/>
      <protection hidden="1"/>
    </xf>
    <xf numFmtId="165" fontId="84" fillId="12" borderId="11" xfId="0" applyFont="1" applyFill="1" applyBorder="1" applyAlignment="1" applyProtection="1">
      <alignment horizontal="center" vertical="center" wrapText="1"/>
      <protection hidden="1"/>
    </xf>
    <xf numFmtId="165" fontId="84" fillId="12" borderId="26" xfId="0" applyFont="1" applyFill="1" applyBorder="1" applyAlignment="1" applyProtection="1">
      <alignment horizontal="center" vertical="center" wrapText="1"/>
      <protection hidden="1"/>
    </xf>
    <xf numFmtId="165" fontId="84" fillId="12" borderId="29" xfId="0" applyFont="1" applyFill="1" applyBorder="1" applyAlignment="1" applyProtection="1">
      <alignment horizontal="center" vertical="center" wrapText="1"/>
      <protection hidden="1"/>
    </xf>
    <xf numFmtId="165" fontId="48" fillId="12" borderId="128" xfId="0" applyFont="1" applyFill="1" applyBorder="1" applyAlignment="1">
      <alignment horizontal="center" vertical="center" textRotation="45"/>
    </xf>
    <xf numFmtId="1" fontId="48" fillId="12" borderId="129" xfId="0" applyNumberFormat="1" applyFont="1" applyFill="1" applyBorder="1" applyAlignment="1">
      <alignment horizontal="center" vertical="center" textRotation="45"/>
    </xf>
    <xf numFmtId="165" fontId="48" fillId="12" borderId="35" xfId="0" applyFont="1" applyFill="1" applyBorder="1" applyAlignment="1">
      <alignment horizontal="center" vertical="center" textRotation="45"/>
    </xf>
    <xf numFmtId="165" fontId="64" fillId="27" borderId="125" xfId="1" applyFont="1" applyFill="1" applyBorder="1" applyAlignment="1" applyProtection="1">
      <alignment horizontal="center" vertical="center"/>
      <protection hidden="1"/>
    </xf>
    <xf numFmtId="165" fontId="64" fillId="27" borderId="142" xfId="1" applyFont="1" applyFill="1" applyBorder="1" applyAlignment="1" applyProtection="1">
      <alignment horizontal="center" vertical="center"/>
      <protection hidden="1"/>
    </xf>
    <xf numFmtId="165" fontId="64" fillId="29" borderId="118" xfId="1" applyFont="1" applyFill="1" applyBorder="1" applyAlignment="1" applyProtection="1">
      <alignment horizontal="center" vertical="center"/>
      <protection hidden="1"/>
    </xf>
    <xf numFmtId="165" fontId="64" fillId="29" borderId="134" xfId="1" applyFont="1" applyFill="1" applyBorder="1" applyAlignment="1" applyProtection="1">
      <alignment horizontal="center" vertical="center"/>
      <protection hidden="1"/>
    </xf>
    <xf numFmtId="1" fontId="64" fillId="29" borderId="110" xfId="1" applyNumberFormat="1" applyFont="1" applyFill="1" applyBorder="1" applyAlignment="1" applyProtection="1">
      <alignment horizontal="center" vertical="center"/>
      <protection hidden="1"/>
    </xf>
    <xf numFmtId="1" fontId="64" fillId="29" borderId="98" xfId="1" applyNumberFormat="1" applyFont="1" applyFill="1" applyBorder="1" applyAlignment="1" applyProtection="1">
      <alignment horizontal="center" vertical="center"/>
      <protection hidden="1"/>
    </xf>
    <xf numFmtId="165" fontId="64" fillId="29" borderId="120" xfId="1" applyFont="1" applyFill="1" applyBorder="1" applyAlignment="1" applyProtection="1">
      <alignment horizontal="center" vertical="center"/>
      <protection hidden="1"/>
    </xf>
    <xf numFmtId="165" fontId="64" fillId="29" borderId="138" xfId="1" applyFont="1" applyFill="1" applyBorder="1" applyAlignment="1" applyProtection="1">
      <alignment horizontal="center" vertical="center"/>
      <protection hidden="1"/>
    </xf>
    <xf numFmtId="165" fontId="64" fillId="29" borderId="125" xfId="1" applyFont="1" applyFill="1" applyBorder="1" applyAlignment="1" applyProtection="1">
      <alignment horizontal="center" vertical="center"/>
      <protection hidden="1"/>
    </xf>
    <xf numFmtId="165" fontId="64" fillId="29" borderId="142" xfId="1" applyFont="1" applyFill="1" applyBorder="1" applyAlignment="1" applyProtection="1">
      <alignment horizontal="center" vertical="center"/>
      <protection hidden="1"/>
    </xf>
    <xf numFmtId="165" fontId="64" fillId="9" borderId="118" xfId="1" applyFont="1" applyFill="1" applyBorder="1" applyAlignment="1" applyProtection="1">
      <alignment horizontal="center" vertical="center"/>
      <protection hidden="1"/>
    </xf>
    <xf numFmtId="165" fontId="64" fillId="9" borderId="134" xfId="1" applyFont="1" applyFill="1" applyBorder="1" applyAlignment="1" applyProtection="1">
      <alignment horizontal="center" vertical="center"/>
      <protection hidden="1"/>
    </xf>
    <xf numFmtId="1" fontId="64" fillId="9" borderId="110" xfId="1" applyNumberFormat="1" applyFont="1" applyFill="1" applyBorder="1" applyAlignment="1" applyProtection="1">
      <alignment horizontal="center" vertical="center"/>
      <protection hidden="1"/>
    </xf>
    <xf numFmtId="1" fontId="64" fillId="9" borderId="113" xfId="1" applyNumberFormat="1" applyFont="1" applyFill="1" applyBorder="1" applyAlignment="1" applyProtection="1">
      <alignment horizontal="center" vertical="center"/>
      <protection hidden="1"/>
    </xf>
    <xf numFmtId="1" fontId="64" fillId="9" borderId="117" xfId="1" applyNumberFormat="1" applyFont="1" applyFill="1" applyBorder="1" applyAlignment="1" applyProtection="1">
      <alignment horizontal="center" vertical="center"/>
      <protection hidden="1"/>
    </xf>
    <xf numFmtId="165" fontId="64" fillId="9" borderId="120" xfId="1" applyFont="1" applyFill="1" applyBorder="1" applyAlignment="1" applyProtection="1">
      <alignment horizontal="center" vertical="center"/>
      <protection hidden="1"/>
    </xf>
    <xf numFmtId="165" fontId="64" fillId="9" borderId="138" xfId="1" applyFont="1" applyFill="1" applyBorder="1" applyAlignment="1" applyProtection="1">
      <alignment horizontal="center" vertical="center"/>
      <protection hidden="1"/>
    </xf>
    <xf numFmtId="165" fontId="64" fillId="9" borderId="125" xfId="1" applyFont="1" applyFill="1" applyBorder="1" applyAlignment="1" applyProtection="1">
      <alignment horizontal="center" vertical="center"/>
      <protection hidden="1"/>
    </xf>
    <xf numFmtId="165" fontId="64" fillId="9" borderId="142" xfId="1" applyFont="1" applyFill="1" applyBorder="1" applyAlignment="1" applyProtection="1">
      <alignment horizontal="center" vertical="center"/>
      <protection hidden="1"/>
    </xf>
    <xf numFmtId="165" fontId="64" fillId="30" borderId="118" xfId="1" applyFont="1" applyFill="1" applyBorder="1" applyAlignment="1" applyProtection="1">
      <alignment horizontal="center" vertical="center"/>
      <protection hidden="1"/>
    </xf>
    <xf numFmtId="165" fontId="64" fillId="30" borderId="134" xfId="1" applyFont="1" applyFill="1" applyBorder="1" applyAlignment="1" applyProtection="1">
      <alignment horizontal="center" vertical="center"/>
      <protection hidden="1"/>
    </xf>
    <xf numFmtId="1" fontId="64" fillId="30" borderId="110" xfId="1" applyNumberFormat="1" applyFont="1" applyFill="1" applyBorder="1" applyAlignment="1" applyProtection="1">
      <alignment horizontal="center" vertical="center"/>
      <protection hidden="1"/>
    </xf>
    <xf numFmtId="1" fontId="64" fillId="30" borderId="113" xfId="1" applyNumberFormat="1" applyFont="1" applyFill="1" applyBorder="1" applyAlignment="1" applyProtection="1">
      <alignment horizontal="center" vertical="center"/>
      <protection hidden="1"/>
    </xf>
    <xf numFmtId="1" fontId="64" fillId="30" borderId="117" xfId="1" applyNumberFormat="1" applyFont="1" applyFill="1" applyBorder="1" applyAlignment="1" applyProtection="1">
      <alignment horizontal="center" vertical="center"/>
      <protection hidden="1"/>
    </xf>
    <xf numFmtId="165" fontId="64" fillId="30" borderId="120" xfId="1" applyFont="1" applyFill="1" applyBorder="1" applyAlignment="1" applyProtection="1">
      <alignment horizontal="center" vertical="center"/>
      <protection hidden="1"/>
    </xf>
    <xf numFmtId="165" fontId="64" fillId="30" borderId="138" xfId="1" applyFont="1" applyFill="1" applyBorder="1" applyAlignment="1" applyProtection="1">
      <alignment horizontal="center" vertical="center"/>
      <protection hidden="1"/>
    </xf>
    <xf numFmtId="165" fontId="64" fillId="30" borderId="125" xfId="1" applyFont="1" applyFill="1" applyBorder="1" applyAlignment="1" applyProtection="1">
      <alignment horizontal="center" vertical="center"/>
      <protection hidden="1"/>
    </xf>
    <xf numFmtId="165" fontId="64" fillId="30" borderId="142" xfId="1" applyFont="1" applyFill="1" applyBorder="1" applyAlignment="1" applyProtection="1">
      <alignment horizontal="center" vertical="center"/>
      <protection hidden="1"/>
    </xf>
    <xf numFmtId="1" fontId="88" fillId="31" borderId="11" xfId="1" applyNumberFormat="1" applyFont="1" applyFill="1" applyBorder="1" applyAlignment="1" applyProtection="1">
      <alignment horizontal="center" vertical="center"/>
      <protection locked="0" hidden="1"/>
    </xf>
    <xf numFmtId="1" fontId="88" fillId="31" borderId="26" xfId="1" applyNumberFormat="1" applyFont="1" applyFill="1" applyBorder="1" applyAlignment="1" applyProtection="1">
      <alignment horizontal="center" vertical="center"/>
      <protection locked="0" hidden="1"/>
    </xf>
    <xf numFmtId="1" fontId="88" fillId="31" borderId="29" xfId="1" applyNumberFormat="1" applyFont="1" applyFill="1" applyBorder="1" applyAlignment="1" applyProtection="1">
      <alignment horizontal="center" vertical="center"/>
      <protection locked="0" hidden="1"/>
    </xf>
    <xf numFmtId="1" fontId="88" fillId="15" borderId="11" xfId="1" applyNumberFormat="1" applyFont="1" applyFill="1" applyBorder="1" applyAlignment="1" applyProtection="1">
      <alignment horizontal="center" vertical="center"/>
      <protection locked="0" hidden="1"/>
    </xf>
    <xf numFmtId="1" fontId="88" fillId="15" borderId="26" xfId="1" applyNumberFormat="1" applyFont="1" applyFill="1" applyBorder="1" applyAlignment="1" applyProtection="1">
      <alignment horizontal="center" vertical="center"/>
      <protection locked="0" hidden="1"/>
    </xf>
    <xf numFmtId="1" fontId="88" fillId="15" borderId="29" xfId="1" applyNumberFormat="1" applyFont="1" applyFill="1" applyBorder="1" applyAlignment="1" applyProtection="1">
      <alignment horizontal="center" vertical="center"/>
      <protection locked="0" hidden="1"/>
    </xf>
    <xf numFmtId="1" fontId="88" fillId="21" borderId="11" xfId="1" applyNumberFormat="1" applyFont="1" applyFill="1" applyBorder="1" applyAlignment="1" applyProtection="1">
      <alignment horizontal="center" vertical="center"/>
      <protection locked="0" hidden="1"/>
    </xf>
    <xf numFmtId="1" fontId="88" fillId="21" borderId="26" xfId="1" applyNumberFormat="1" applyFont="1" applyFill="1" applyBorder="1" applyAlignment="1" applyProtection="1">
      <alignment horizontal="center" vertical="center"/>
      <protection locked="0" hidden="1"/>
    </xf>
    <xf numFmtId="1" fontId="88" fillId="21" borderId="29" xfId="1" applyNumberFormat="1" applyFont="1" applyFill="1" applyBorder="1" applyAlignment="1" applyProtection="1">
      <alignment horizontal="center" vertical="center"/>
      <protection locked="0" hidden="1"/>
    </xf>
    <xf numFmtId="165" fontId="24" fillId="12" borderId="0" xfId="0" applyFont="1" applyFill="1"/>
    <xf numFmtId="165" fontId="63" fillId="12" borderId="154" xfId="0" applyFont="1" applyFill="1" applyBorder="1" applyAlignment="1" applyProtection="1">
      <alignment horizontal="center" vertical="center"/>
      <protection hidden="1"/>
    </xf>
    <xf numFmtId="165" fontId="63" fillId="12" borderId="155" xfId="0" applyFont="1" applyFill="1" applyBorder="1" applyAlignment="1" applyProtection="1">
      <alignment horizontal="center" vertical="center"/>
      <protection hidden="1"/>
    </xf>
    <xf numFmtId="165" fontId="63" fillId="12" borderId="111" xfId="0" applyFont="1" applyFill="1" applyBorder="1" applyAlignment="1" applyProtection="1">
      <alignment horizontal="center" vertical="center"/>
      <protection hidden="1"/>
    </xf>
    <xf numFmtId="165" fontId="63" fillId="12" borderId="112" xfId="0" applyFont="1" applyFill="1" applyBorder="1" applyAlignment="1" applyProtection="1">
      <alignment horizontal="center" vertical="center"/>
      <protection hidden="1"/>
    </xf>
    <xf numFmtId="1" fontId="60" fillId="12" borderId="119" xfId="0" applyNumberFormat="1" applyFont="1" applyFill="1" applyBorder="1" applyAlignment="1">
      <alignment horizontal="center" vertical="center" textRotation="45"/>
    </xf>
    <xf numFmtId="1" fontId="60" fillId="12" borderId="124" xfId="0" applyNumberFormat="1" applyFont="1" applyFill="1" applyBorder="1" applyAlignment="1">
      <alignment horizontal="center" vertical="center" textRotation="45"/>
    </xf>
    <xf numFmtId="1" fontId="60" fillId="12" borderId="76" xfId="0" applyNumberFormat="1" applyFont="1" applyFill="1" applyBorder="1" applyAlignment="1">
      <alignment horizontal="center" vertical="center" textRotation="45"/>
    </xf>
    <xf numFmtId="1" fontId="60" fillId="12" borderId="78" xfId="0" applyNumberFormat="1" applyFont="1" applyFill="1" applyBorder="1" applyAlignment="1">
      <alignment horizontal="center" vertical="center" textRotation="45"/>
    </xf>
    <xf numFmtId="1" fontId="60" fillId="12" borderId="90" xfId="0" applyNumberFormat="1" applyFont="1" applyFill="1" applyBorder="1" applyAlignment="1">
      <alignment horizontal="center" vertical="center" textRotation="45"/>
    </xf>
    <xf numFmtId="1" fontId="60" fillId="12" borderId="97" xfId="0" applyNumberFormat="1" applyFont="1" applyFill="1" applyBorder="1" applyAlignment="1">
      <alignment horizontal="center" vertical="center" textRotation="45"/>
    </xf>
    <xf numFmtId="1" fontId="88" fillId="22" borderId="11" xfId="1" applyNumberFormat="1" applyFont="1" applyFill="1" applyBorder="1" applyAlignment="1" applyProtection="1">
      <alignment horizontal="center" vertical="center"/>
      <protection locked="0" hidden="1"/>
    </xf>
    <xf numFmtId="1" fontId="88" fillId="22" borderId="26" xfId="1" applyNumberFormat="1" applyFont="1" applyFill="1" applyBorder="1" applyAlignment="1" applyProtection="1">
      <alignment horizontal="center" vertical="center"/>
      <protection locked="0" hidden="1"/>
    </xf>
    <xf numFmtId="1" fontId="88" fillId="22" borderId="29" xfId="1" applyNumberFormat="1" applyFont="1" applyFill="1" applyBorder="1" applyAlignment="1" applyProtection="1">
      <alignment horizontal="center" vertical="center"/>
      <protection locked="0" hidden="1"/>
    </xf>
    <xf numFmtId="165" fontId="60" fillId="12" borderId="81" xfId="0" applyFont="1" applyFill="1" applyBorder="1" applyAlignment="1" applyProtection="1">
      <alignment horizontal="center" vertical="center"/>
      <protection hidden="1"/>
    </xf>
    <xf numFmtId="165" fontId="60" fillId="12" borderId="82" xfId="0" applyFont="1" applyFill="1" applyBorder="1" applyAlignment="1" applyProtection="1">
      <alignment horizontal="center" vertical="center"/>
      <protection hidden="1"/>
    </xf>
    <xf numFmtId="165" fontId="60" fillId="12" borderId="83" xfId="0" applyFont="1" applyFill="1" applyBorder="1" applyAlignment="1" applyProtection="1">
      <alignment horizontal="center" vertical="center"/>
      <protection hidden="1"/>
    </xf>
    <xf numFmtId="165" fontId="64" fillId="31" borderId="119" xfId="1" applyFont="1" applyFill="1" applyBorder="1" applyAlignment="1" applyProtection="1">
      <alignment horizontal="center" vertical="center"/>
      <protection hidden="1"/>
    </xf>
    <xf numFmtId="165" fontId="64" fillId="31" borderId="90" xfId="1" applyFont="1" applyFill="1" applyBorder="1" applyAlignment="1" applyProtection="1">
      <alignment horizontal="center" vertical="center"/>
      <protection hidden="1"/>
    </xf>
    <xf numFmtId="1" fontId="64" fillId="31" borderId="110" xfId="1" applyNumberFormat="1" applyFont="1" applyFill="1" applyBorder="1" applyAlignment="1" applyProtection="1">
      <alignment horizontal="center" vertical="center"/>
      <protection hidden="1"/>
    </xf>
    <xf numFmtId="1" fontId="64" fillId="31" borderId="113" xfId="1" applyNumberFormat="1" applyFont="1" applyFill="1" applyBorder="1" applyAlignment="1" applyProtection="1">
      <alignment horizontal="center" vertical="center"/>
      <protection hidden="1"/>
    </xf>
    <xf numFmtId="1" fontId="64" fillId="31" borderId="117" xfId="1" applyNumberFormat="1" applyFont="1" applyFill="1" applyBorder="1" applyAlignment="1" applyProtection="1">
      <alignment horizontal="center" vertical="center"/>
      <protection hidden="1"/>
    </xf>
    <xf numFmtId="165" fontId="64" fillId="31" borderId="107" xfId="1" applyFont="1" applyFill="1" applyBorder="1" applyAlignment="1" applyProtection="1">
      <alignment horizontal="center" vertical="center"/>
      <protection hidden="1"/>
    </xf>
    <xf numFmtId="165" fontId="64" fillId="31" borderId="106" xfId="1" applyFont="1" applyFill="1" applyBorder="1" applyAlignment="1" applyProtection="1">
      <alignment horizontal="center" vertical="center"/>
      <protection hidden="1"/>
    </xf>
    <xf numFmtId="165" fontId="64" fillId="31" borderId="124" xfId="1" applyFont="1" applyFill="1" applyBorder="1" applyAlignment="1" applyProtection="1">
      <alignment horizontal="center" vertical="center"/>
      <protection hidden="1"/>
    </xf>
    <xf numFmtId="165" fontId="64" fillId="31" borderId="97" xfId="1" applyFont="1" applyFill="1" applyBorder="1" applyAlignment="1" applyProtection="1">
      <alignment horizontal="center" vertical="center"/>
      <protection hidden="1"/>
    </xf>
    <xf numFmtId="165" fontId="64" fillId="15" borderId="120" xfId="1" applyFont="1" applyFill="1" applyBorder="1" applyAlignment="1" applyProtection="1">
      <alignment horizontal="center" vertical="center"/>
      <protection hidden="1"/>
    </xf>
    <xf numFmtId="165" fontId="64" fillId="15" borderId="138" xfId="1" applyFont="1" applyFill="1" applyBorder="1" applyAlignment="1" applyProtection="1">
      <alignment horizontal="center" vertical="center"/>
      <protection hidden="1"/>
    </xf>
    <xf numFmtId="1" fontId="64" fillId="15" borderId="110" xfId="1" applyNumberFormat="1" applyFont="1" applyFill="1" applyBorder="1" applyAlignment="1" applyProtection="1">
      <alignment horizontal="center" vertical="center"/>
      <protection hidden="1"/>
    </xf>
    <xf numFmtId="1" fontId="64" fillId="15" borderId="113" xfId="1" applyNumberFormat="1" applyFont="1" applyFill="1" applyBorder="1" applyAlignment="1" applyProtection="1">
      <alignment horizontal="center" vertical="center"/>
      <protection hidden="1"/>
    </xf>
    <xf numFmtId="1" fontId="64" fillId="15" borderId="117" xfId="1" applyNumberFormat="1" applyFont="1" applyFill="1" applyBorder="1" applyAlignment="1" applyProtection="1">
      <alignment horizontal="center" vertical="center"/>
      <protection hidden="1"/>
    </xf>
    <xf numFmtId="165" fontId="64" fillId="15" borderId="125" xfId="1" applyFont="1" applyFill="1" applyBorder="1" applyAlignment="1" applyProtection="1">
      <alignment horizontal="center" vertical="center"/>
      <protection hidden="1"/>
    </xf>
    <xf numFmtId="165" fontId="64" fillId="15" borderId="142" xfId="1" applyFont="1" applyFill="1" applyBorder="1" applyAlignment="1" applyProtection="1">
      <alignment horizontal="center" vertical="center"/>
      <protection hidden="1"/>
    </xf>
    <xf numFmtId="165" fontId="64" fillId="22" borderId="118" xfId="1" applyFont="1" applyFill="1" applyBorder="1" applyAlignment="1" applyProtection="1">
      <alignment horizontal="center" vertical="center"/>
      <protection hidden="1"/>
    </xf>
    <xf numFmtId="165" fontId="64" fillId="22" borderId="134" xfId="1" applyFont="1" applyFill="1" applyBorder="1" applyAlignment="1" applyProtection="1">
      <alignment horizontal="center" vertical="center"/>
      <protection hidden="1"/>
    </xf>
    <xf numFmtId="1" fontId="64" fillId="22" borderId="110" xfId="1" applyNumberFormat="1" applyFont="1" applyFill="1" applyBorder="1" applyAlignment="1" applyProtection="1">
      <alignment horizontal="center" vertical="center"/>
      <protection hidden="1"/>
    </xf>
    <xf numFmtId="1" fontId="64" fillId="22" borderId="113" xfId="1" applyNumberFormat="1" applyFont="1" applyFill="1" applyBorder="1" applyAlignment="1" applyProtection="1">
      <alignment horizontal="center" vertical="center"/>
      <protection hidden="1"/>
    </xf>
    <xf numFmtId="1" fontId="64" fillId="22" borderId="117" xfId="1" applyNumberFormat="1" applyFont="1" applyFill="1" applyBorder="1" applyAlignment="1" applyProtection="1">
      <alignment horizontal="center" vertical="center"/>
      <protection hidden="1"/>
    </xf>
    <xf numFmtId="165" fontId="64" fillId="22" borderId="120" xfId="1" applyFont="1" applyFill="1" applyBorder="1" applyAlignment="1" applyProtection="1">
      <alignment horizontal="center" vertical="center"/>
      <protection hidden="1"/>
    </xf>
    <xf numFmtId="165" fontId="64" fillId="22" borderId="138" xfId="1" applyFont="1" applyFill="1" applyBorder="1" applyAlignment="1" applyProtection="1">
      <alignment horizontal="center" vertical="center"/>
      <protection hidden="1"/>
    </xf>
    <xf numFmtId="165" fontId="64" fillId="22" borderId="125" xfId="1" applyFont="1" applyFill="1" applyBorder="1" applyAlignment="1" applyProtection="1">
      <alignment horizontal="center" vertical="center"/>
      <protection hidden="1"/>
    </xf>
    <xf numFmtId="165" fontId="64" fillId="22" borderId="142" xfId="1" applyFont="1" applyFill="1" applyBorder="1" applyAlignment="1" applyProtection="1">
      <alignment horizontal="center" vertical="center"/>
      <protection hidden="1"/>
    </xf>
    <xf numFmtId="165" fontId="48" fillId="12" borderId="81" xfId="0" applyFont="1" applyFill="1" applyBorder="1" applyAlignment="1" applyProtection="1">
      <alignment horizontal="center" vertical="center"/>
      <protection hidden="1"/>
    </xf>
    <xf numFmtId="165" fontId="48" fillId="12" borderId="82" xfId="0" applyFont="1" applyFill="1" applyBorder="1" applyAlignment="1" applyProtection="1">
      <alignment horizontal="center" vertical="center"/>
      <protection hidden="1"/>
    </xf>
    <xf numFmtId="165" fontId="48" fillId="12" borderId="83" xfId="0" applyFont="1" applyFill="1" applyBorder="1" applyAlignment="1" applyProtection="1">
      <alignment horizontal="center" vertical="center"/>
      <protection hidden="1"/>
    </xf>
    <xf numFmtId="165" fontId="60" fillId="10" borderId="120" xfId="0" applyFont="1" applyFill="1" applyBorder="1" applyAlignment="1" applyProtection="1">
      <alignment horizontal="center" vertical="center"/>
      <protection hidden="1"/>
    </xf>
    <xf numFmtId="165" fontId="60" fillId="10" borderId="138" xfId="0" applyFont="1" applyFill="1" applyBorder="1" applyAlignment="1" applyProtection="1">
      <alignment horizontal="center" vertical="center"/>
      <protection hidden="1"/>
    </xf>
    <xf numFmtId="165" fontId="60" fillId="10" borderId="125" xfId="0" applyFont="1" applyFill="1" applyBorder="1" applyAlignment="1" applyProtection="1">
      <alignment horizontal="center" vertical="center"/>
      <protection hidden="1"/>
    </xf>
    <xf numFmtId="165" fontId="60" fillId="10" borderId="142" xfId="0" applyFont="1" applyFill="1" applyBorder="1" applyAlignment="1" applyProtection="1">
      <alignment horizontal="center" vertical="center"/>
      <protection hidden="1"/>
    </xf>
    <xf numFmtId="165" fontId="48" fillId="12" borderId="154" xfId="0" applyFont="1" applyFill="1" applyBorder="1" applyAlignment="1" applyProtection="1">
      <alignment horizontal="center" vertical="center"/>
      <protection hidden="1"/>
    </xf>
    <xf numFmtId="165" fontId="48" fillId="12" borderId="155" xfId="0" applyFont="1" applyFill="1" applyBorder="1" applyAlignment="1" applyProtection="1">
      <alignment horizontal="center" vertical="center"/>
      <protection hidden="1"/>
    </xf>
    <xf numFmtId="165" fontId="48" fillId="12" borderId="111" xfId="0" applyFont="1" applyFill="1" applyBorder="1" applyAlignment="1" applyProtection="1">
      <alignment horizontal="center" vertical="center"/>
      <protection hidden="1"/>
    </xf>
    <xf numFmtId="165" fontId="48" fillId="12" borderId="112" xfId="0" applyFont="1" applyFill="1" applyBorder="1" applyAlignment="1" applyProtection="1">
      <alignment horizontal="center" vertical="center"/>
      <protection hidden="1"/>
    </xf>
    <xf numFmtId="165" fontId="64" fillId="5" borderId="118" xfId="1" applyFont="1" applyFill="1" applyBorder="1" applyAlignment="1" applyProtection="1">
      <alignment horizontal="center" vertical="center"/>
      <protection hidden="1"/>
    </xf>
    <xf numFmtId="165" fontId="64" fillId="5" borderId="134" xfId="1" applyFont="1" applyFill="1" applyBorder="1" applyAlignment="1" applyProtection="1">
      <alignment horizontal="center" vertical="center"/>
      <protection hidden="1"/>
    </xf>
    <xf numFmtId="1" fontId="64" fillId="5" borderId="110" xfId="1" applyNumberFormat="1" applyFont="1" applyFill="1" applyBorder="1" applyAlignment="1" applyProtection="1">
      <alignment horizontal="center" vertical="center"/>
      <protection hidden="1"/>
    </xf>
    <xf numFmtId="1" fontId="64" fillId="5" borderId="113" xfId="1" applyNumberFormat="1" applyFont="1" applyFill="1" applyBorder="1" applyAlignment="1" applyProtection="1">
      <alignment horizontal="center" vertical="center"/>
      <protection hidden="1"/>
    </xf>
    <xf numFmtId="1" fontId="64" fillId="5" borderId="117" xfId="1" applyNumberFormat="1" applyFont="1" applyFill="1" applyBorder="1" applyAlignment="1" applyProtection="1">
      <alignment horizontal="center" vertical="center"/>
      <protection hidden="1"/>
    </xf>
    <xf numFmtId="165" fontId="65" fillId="12" borderId="120" xfId="0" applyFont="1" applyFill="1" applyBorder="1" applyAlignment="1" applyProtection="1">
      <alignment horizontal="center" vertical="center"/>
      <protection hidden="1"/>
    </xf>
    <xf numFmtId="165" fontId="65" fillId="12" borderId="138" xfId="0" applyFont="1" applyFill="1" applyBorder="1" applyAlignment="1" applyProtection="1">
      <alignment horizontal="center" vertical="center"/>
      <protection hidden="1"/>
    </xf>
    <xf numFmtId="165" fontId="65" fillId="12" borderId="125" xfId="0" applyFont="1" applyFill="1" applyBorder="1" applyAlignment="1" applyProtection="1">
      <alignment horizontal="center" vertical="center"/>
      <protection hidden="1"/>
    </xf>
    <xf numFmtId="165" fontId="65" fillId="12" borderId="142" xfId="0" applyFont="1" applyFill="1" applyBorder="1" applyAlignment="1" applyProtection="1">
      <alignment horizontal="center" vertical="center"/>
      <protection hidden="1"/>
    </xf>
    <xf numFmtId="165" fontId="65" fillId="12" borderId="118" xfId="0" applyFont="1" applyFill="1" applyBorder="1" applyAlignment="1" applyProtection="1">
      <alignment horizontal="center" vertical="center"/>
      <protection hidden="1"/>
    </xf>
    <xf numFmtId="165" fontId="65" fillId="12" borderId="134" xfId="0" applyFont="1" applyFill="1" applyBorder="1" applyAlignment="1" applyProtection="1">
      <alignment horizontal="center" vertical="center"/>
      <protection hidden="1"/>
    </xf>
    <xf numFmtId="165" fontId="64" fillId="40" borderId="125" xfId="1" applyFont="1" applyFill="1" applyBorder="1" applyAlignment="1" applyProtection="1">
      <alignment horizontal="center" vertical="center"/>
      <protection hidden="1"/>
    </xf>
    <xf numFmtId="165" fontId="64" fillId="40" borderId="142" xfId="1" applyFont="1" applyFill="1" applyBorder="1" applyAlignment="1" applyProtection="1">
      <alignment horizontal="center" vertical="center"/>
      <protection hidden="1"/>
    </xf>
    <xf numFmtId="165" fontId="10" fillId="5" borderId="8" xfId="0" applyFont="1" applyFill="1" applyBorder="1" applyAlignment="1">
      <alignment horizontal="center" vertical="center"/>
    </xf>
    <xf numFmtId="165" fontId="10" fillId="5" borderId="9" xfId="0" applyFont="1" applyFill="1" applyBorder="1" applyAlignment="1">
      <alignment horizontal="center" vertical="center"/>
    </xf>
    <xf numFmtId="165" fontId="10" fillId="5" borderId="10" xfId="0" applyFont="1" applyFill="1" applyBorder="1" applyAlignment="1">
      <alignment horizontal="center" vertical="center"/>
    </xf>
    <xf numFmtId="165" fontId="31" fillId="5" borderId="8" xfId="0" applyFont="1" applyFill="1" applyBorder="1" applyAlignment="1">
      <alignment horizontal="center" vertical="center"/>
    </xf>
    <xf numFmtId="165" fontId="31" fillId="5" borderId="9" xfId="0" applyFont="1" applyFill="1" applyBorder="1" applyAlignment="1">
      <alignment horizontal="center" vertical="center"/>
    </xf>
    <xf numFmtId="165" fontId="31" fillId="5" borderId="10" xfId="0" applyFont="1" applyFill="1" applyBorder="1" applyAlignment="1">
      <alignment horizontal="center" vertical="center"/>
    </xf>
    <xf numFmtId="165" fontId="9" fillId="11" borderId="8" xfId="0" applyFont="1" applyFill="1" applyBorder="1" applyAlignment="1">
      <alignment horizontal="center"/>
    </xf>
    <xf numFmtId="165" fontId="9" fillId="11" borderId="9" xfId="0" applyFont="1" applyFill="1" applyBorder="1" applyAlignment="1">
      <alignment horizontal="center"/>
    </xf>
    <xf numFmtId="165" fontId="9" fillId="11" borderId="10" xfId="0" applyFont="1" applyFill="1" applyBorder="1" applyAlignment="1">
      <alignment horizontal="center"/>
    </xf>
    <xf numFmtId="164" fontId="9" fillId="24" borderId="11" xfId="4" applyNumberFormat="1" applyFont="1" applyFill="1" applyBorder="1" applyAlignment="1">
      <alignment horizontal="center" vertical="center" wrapText="1"/>
    </xf>
    <xf numFmtId="164" fontId="9" fillId="24" borderId="29" xfId="4" applyNumberFormat="1" applyFont="1" applyFill="1" applyBorder="1" applyAlignment="1">
      <alignment horizontal="center" vertical="center" wrapText="1"/>
    </xf>
    <xf numFmtId="164" fontId="9" fillId="24" borderId="11" xfId="4" applyNumberFormat="1" applyFont="1" applyFill="1" applyBorder="1" applyAlignment="1">
      <alignment horizontal="center" vertical="center" wrapText="1" shrinkToFit="1"/>
    </xf>
    <xf numFmtId="164" fontId="9" fillId="24" borderId="26" xfId="4" applyNumberFormat="1" applyFont="1" applyFill="1" applyBorder="1" applyAlignment="1">
      <alignment horizontal="center" vertical="center" wrapText="1" shrinkToFit="1"/>
    </xf>
    <xf numFmtId="164" fontId="9" fillId="21" borderId="11" xfId="4" applyNumberFormat="1" applyFont="1" applyFill="1" applyBorder="1" applyAlignment="1">
      <alignment horizontal="center" vertical="center" wrapText="1" shrinkToFit="1"/>
    </xf>
    <xf numFmtId="164" fontId="9" fillId="21" borderId="26" xfId="4" applyNumberFormat="1" applyFont="1" applyFill="1" applyBorder="1" applyAlignment="1">
      <alignment horizontal="center" vertical="center" wrapText="1" shrinkToFit="1"/>
    </xf>
    <xf numFmtId="164" fontId="46" fillId="24" borderId="8" xfId="4" applyNumberFormat="1" applyFont="1" applyFill="1" applyBorder="1" applyAlignment="1">
      <alignment horizontal="center" vertical="center" wrapText="1"/>
    </xf>
    <xf numFmtId="164" fontId="46" fillId="24" borderId="9" xfId="4" applyNumberFormat="1" applyFont="1" applyFill="1" applyBorder="1" applyAlignment="1">
      <alignment horizontal="center" vertical="center" wrapText="1"/>
    </xf>
    <xf numFmtId="164" fontId="46" fillId="24" borderId="10" xfId="4" applyNumberFormat="1" applyFont="1" applyFill="1" applyBorder="1" applyAlignment="1">
      <alignment horizontal="center" vertical="center" wrapText="1"/>
    </xf>
    <xf numFmtId="165" fontId="10" fillId="15" borderId="8" xfId="0" applyFont="1" applyFill="1" applyBorder="1" applyAlignment="1">
      <alignment horizontal="center" vertical="center" wrapText="1" shrinkToFit="1"/>
    </xf>
    <xf numFmtId="165" fontId="10" fillId="15" borderId="9" xfId="0" applyFont="1" applyFill="1" applyBorder="1" applyAlignment="1">
      <alignment horizontal="center" vertical="center" wrapText="1" shrinkToFit="1"/>
    </xf>
    <xf numFmtId="165" fontId="10" fillId="15" borderId="10" xfId="0" applyFont="1" applyFill="1" applyBorder="1" applyAlignment="1">
      <alignment horizontal="center" vertical="center" wrapText="1" shrinkToFit="1"/>
    </xf>
    <xf numFmtId="165" fontId="9" fillId="24" borderId="2" xfId="0" applyFont="1" applyFill="1" applyBorder="1" applyAlignment="1">
      <alignment horizontal="center" vertical="center" wrapText="1" shrinkToFit="1"/>
    </xf>
    <xf numFmtId="165" fontId="9" fillId="24" borderId="3" xfId="0" applyFont="1" applyFill="1" applyBorder="1" applyAlignment="1">
      <alignment horizontal="center" vertical="center" wrapText="1" shrinkToFit="1"/>
    </xf>
    <xf numFmtId="165" fontId="9" fillId="24" borderId="4" xfId="0" applyFont="1" applyFill="1" applyBorder="1" applyAlignment="1">
      <alignment horizontal="center" vertical="center" wrapText="1" shrinkToFit="1"/>
    </xf>
    <xf numFmtId="165" fontId="9" fillId="24" borderId="27" xfId="0" applyFont="1" applyFill="1" applyBorder="1" applyAlignment="1">
      <alignment horizontal="center" vertical="center" wrapText="1" shrinkToFit="1"/>
    </xf>
    <xf numFmtId="165" fontId="9" fillId="24" borderId="0" xfId="0" applyFont="1" applyFill="1" applyBorder="1" applyAlignment="1">
      <alignment horizontal="center" vertical="center" wrapText="1" shrinkToFit="1"/>
    </xf>
    <xf numFmtId="165" fontId="9" fillId="24" borderId="28" xfId="0" applyFont="1" applyFill="1" applyBorder="1" applyAlignment="1">
      <alignment horizontal="center" vertical="center" wrapText="1" shrinkToFit="1"/>
    </xf>
    <xf numFmtId="165" fontId="9" fillId="24" borderId="5" xfId="0" applyFont="1" applyFill="1" applyBorder="1" applyAlignment="1">
      <alignment horizontal="center" vertical="center" wrapText="1" shrinkToFit="1"/>
    </xf>
    <xf numFmtId="165" fontId="9" fillId="24" borderId="6" xfId="0" applyFont="1" applyFill="1" applyBorder="1" applyAlignment="1">
      <alignment horizontal="center" vertical="center" wrapText="1" shrinkToFit="1"/>
    </xf>
    <xf numFmtId="165" fontId="9" fillId="24" borderId="7" xfId="0" applyFont="1" applyFill="1" applyBorder="1" applyAlignment="1">
      <alignment horizontal="center" vertical="center" wrapText="1" shrinkToFit="1"/>
    </xf>
    <xf numFmtId="3" fontId="9" fillId="24" borderId="2" xfId="0" applyNumberFormat="1" applyFont="1" applyFill="1" applyBorder="1" applyAlignment="1">
      <alignment horizontal="center" vertical="center"/>
    </xf>
    <xf numFmtId="3" fontId="9" fillId="24" borderId="3" xfId="0" applyNumberFormat="1" applyFont="1" applyFill="1" applyBorder="1" applyAlignment="1">
      <alignment horizontal="center" vertical="center"/>
    </xf>
    <xf numFmtId="3" fontId="9" fillId="24" borderId="4" xfId="0" applyNumberFormat="1" applyFont="1" applyFill="1" applyBorder="1" applyAlignment="1">
      <alignment horizontal="center" vertical="center"/>
    </xf>
    <xf numFmtId="3" fontId="9" fillId="24" borderId="5" xfId="0" applyNumberFormat="1" applyFont="1" applyFill="1" applyBorder="1" applyAlignment="1">
      <alignment horizontal="center" vertical="center"/>
    </xf>
    <xf numFmtId="3" fontId="9" fillId="24" borderId="6" xfId="0" applyNumberFormat="1" applyFont="1" applyFill="1" applyBorder="1" applyAlignment="1">
      <alignment horizontal="center" vertical="center"/>
    </xf>
    <xf numFmtId="3" fontId="9" fillId="24" borderId="7" xfId="0" applyNumberFormat="1" applyFont="1" applyFill="1" applyBorder="1" applyAlignment="1">
      <alignment horizontal="center" vertical="center"/>
    </xf>
    <xf numFmtId="3" fontId="9" fillId="24" borderId="11" xfId="0" applyNumberFormat="1" applyFont="1" applyFill="1" applyBorder="1" applyAlignment="1">
      <alignment horizontal="center" vertical="center" wrapText="1"/>
    </xf>
    <xf numFmtId="3" fontId="9" fillId="24" borderId="26" xfId="0" applyNumberFormat="1" applyFont="1" applyFill="1" applyBorder="1" applyAlignment="1">
      <alignment horizontal="center" vertical="center" wrapText="1"/>
    </xf>
    <xf numFmtId="3" fontId="9" fillId="24" borderId="29" xfId="0" applyNumberFormat="1" applyFont="1" applyFill="1" applyBorder="1" applyAlignment="1">
      <alignment horizontal="center" vertical="center" wrapText="1"/>
    </xf>
    <xf numFmtId="164" fontId="9" fillId="24" borderId="26" xfId="4" applyNumberFormat="1" applyFont="1" applyFill="1" applyBorder="1" applyAlignment="1">
      <alignment horizontal="center" vertical="center" wrapText="1"/>
    </xf>
    <xf numFmtId="164" fontId="9" fillId="21" borderId="11" xfId="4" applyNumberFormat="1" applyFont="1" applyFill="1" applyBorder="1" applyAlignment="1">
      <alignment horizontal="center" vertical="center" wrapText="1"/>
    </xf>
    <xf numFmtId="164" fontId="9" fillId="21" borderId="26" xfId="4" applyNumberFormat="1" applyFont="1" applyFill="1" applyBorder="1" applyAlignment="1">
      <alignment horizontal="center" vertical="center" wrapText="1"/>
    </xf>
    <xf numFmtId="165" fontId="9" fillId="5" borderId="8" xfId="0" applyFont="1" applyFill="1" applyBorder="1" applyAlignment="1">
      <alignment horizontal="center" vertical="center"/>
    </xf>
    <xf numFmtId="165" fontId="9" fillId="5" borderId="9" xfId="0" applyFont="1" applyFill="1" applyBorder="1" applyAlignment="1">
      <alignment horizontal="center" vertical="center"/>
    </xf>
    <xf numFmtId="165" fontId="9" fillId="5" borderId="10" xfId="0" applyFont="1" applyFill="1" applyBorder="1" applyAlignment="1">
      <alignment horizontal="center" vertical="center"/>
    </xf>
    <xf numFmtId="164" fontId="17" fillId="21" borderId="11" xfId="4" applyNumberFormat="1" applyFont="1" applyFill="1" applyBorder="1" applyAlignment="1">
      <alignment horizontal="center" vertical="center" wrapText="1"/>
    </xf>
    <xf numFmtId="164" fontId="17" fillId="21" borderId="26" xfId="4" applyNumberFormat="1" applyFont="1" applyFill="1" applyBorder="1" applyAlignment="1">
      <alignment horizontal="center" vertical="center" wrapText="1"/>
    </xf>
    <xf numFmtId="165" fontId="10" fillId="11" borderId="8" xfId="0" applyFont="1" applyFill="1" applyBorder="1" applyAlignment="1">
      <alignment horizontal="center"/>
    </xf>
    <xf numFmtId="165" fontId="10" fillId="11" borderId="9" xfId="0" applyFont="1" applyFill="1" applyBorder="1" applyAlignment="1">
      <alignment horizontal="center"/>
    </xf>
    <xf numFmtId="165" fontId="10" fillId="11" borderId="10" xfId="0" applyFont="1" applyFill="1" applyBorder="1" applyAlignment="1">
      <alignment horizontal="center"/>
    </xf>
    <xf numFmtId="165" fontId="10" fillId="5" borderId="6" xfId="0" applyFont="1" applyFill="1" applyBorder="1" applyAlignment="1">
      <alignment horizontal="center" vertical="center"/>
    </xf>
    <xf numFmtId="165" fontId="10" fillId="5" borderId="7" xfId="0" applyFont="1" applyFill="1" applyBorder="1" applyAlignment="1">
      <alignment horizontal="center" vertical="center"/>
    </xf>
    <xf numFmtId="164" fontId="9" fillId="2" borderId="11" xfId="4" applyNumberFormat="1" applyFont="1" applyFill="1" applyBorder="1" applyAlignment="1">
      <alignment horizontal="center" vertical="center" wrapText="1" shrinkToFit="1"/>
    </xf>
    <xf numFmtId="164" fontId="9" fillId="2" borderId="26" xfId="4" applyNumberFormat="1" applyFont="1" applyFill="1" applyBorder="1" applyAlignment="1">
      <alignment horizontal="center" vertical="center" wrapText="1" shrinkToFit="1"/>
    </xf>
    <xf numFmtId="165" fontId="9" fillId="11" borderId="3" xfId="0" applyFont="1" applyFill="1" applyBorder="1" applyAlignment="1">
      <alignment horizontal="center"/>
    </xf>
    <xf numFmtId="165" fontId="9" fillId="11" borderId="4" xfId="0" applyFont="1" applyFill="1" applyBorder="1" applyAlignment="1">
      <alignment horizontal="center"/>
    </xf>
    <xf numFmtId="164" fontId="46" fillId="2" borderId="8" xfId="4" applyNumberFormat="1" applyFont="1" applyFill="1" applyBorder="1" applyAlignment="1">
      <alignment horizontal="center" vertical="center" wrapText="1"/>
    </xf>
    <xf numFmtId="164" fontId="46" fillId="2" borderId="9" xfId="4" applyNumberFormat="1" applyFont="1" applyFill="1" applyBorder="1" applyAlignment="1">
      <alignment horizontal="center" vertical="center" wrapText="1"/>
    </xf>
    <xf numFmtId="164" fontId="46" fillId="2" borderId="10" xfId="4" applyNumberFormat="1" applyFont="1" applyFill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3" fontId="9" fillId="2" borderId="5" xfId="0" applyNumberFormat="1" applyFont="1" applyFill="1" applyBorder="1" applyAlignment="1">
      <alignment horizontal="center" vertical="center"/>
    </xf>
    <xf numFmtId="3" fontId="9" fillId="2" borderId="6" xfId="0" applyNumberFormat="1" applyFont="1" applyFill="1" applyBorder="1" applyAlignment="1">
      <alignment horizontal="center" vertical="center"/>
    </xf>
    <xf numFmtId="3" fontId="9" fillId="2" borderId="7" xfId="0" applyNumberFormat="1" applyFont="1" applyFill="1" applyBorder="1" applyAlignment="1">
      <alignment horizontal="center" vertical="center"/>
    </xf>
    <xf numFmtId="165" fontId="9" fillId="2" borderId="2" xfId="0" applyFont="1" applyFill="1" applyBorder="1" applyAlignment="1">
      <alignment horizontal="center" vertical="center" wrapText="1" shrinkToFit="1"/>
    </xf>
    <xf numFmtId="165" fontId="9" fillId="2" borderId="3" xfId="0" applyFont="1" applyFill="1" applyBorder="1" applyAlignment="1">
      <alignment horizontal="center" vertical="center" wrapText="1" shrinkToFit="1"/>
    </xf>
    <xf numFmtId="165" fontId="9" fillId="2" borderId="4" xfId="0" applyFont="1" applyFill="1" applyBorder="1" applyAlignment="1">
      <alignment horizontal="center" vertical="center" wrapText="1" shrinkToFit="1"/>
    </xf>
    <xf numFmtId="165" fontId="9" fillId="2" borderId="27" xfId="0" applyFont="1" applyFill="1" applyBorder="1" applyAlignment="1">
      <alignment horizontal="center" vertical="center" wrapText="1" shrinkToFit="1"/>
    </xf>
    <xf numFmtId="165" fontId="9" fillId="2" borderId="0" xfId="0" applyFont="1" applyFill="1" applyBorder="1" applyAlignment="1">
      <alignment horizontal="center" vertical="center" wrapText="1" shrinkToFit="1"/>
    </xf>
    <xf numFmtId="165" fontId="9" fillId="2" borderId="28" xfId="0" applyFont="1" applyFill="1" applyBorder="1" applyAlignment="1">
      <alignment horizontal="center" vertical="center" wrapText="1" shrinkToFit="1"/>
    </xf>
    <xf numFmtId="165" fontId="9" fillId="2" borderId="5" xfId="0" applyFont="1" applyFill="1" applyBorder="1" applyAlignment="1">
      <alignment horizontal="center" vertical="center" wrapText="1" shrinkToFit="1"/>
    </xf>
    <xf numFmtId="165" fontId="9" fillId="2" borderId="6" xfId="0" applyFont="1" applyFill="1" applyBorder="1" applyAlignment="1">
      <alignment horizontal="center" vertical="center" wrapText="1" shrinkToFit="1"/>
    </xf>
    <xf numFmtId="165" fontId="9" fillId="2" borderId="7" xfId="0" applyFont="1" applyFill="1" applyBorder="1" applyAlignment="1">
      <alignment horizontal="center" vertical="center" wrapText="1" shrinkToFit="1"/>
    </xf>
    <xf numFmtId="3" fontId="9" fillId="2" borderId="11" xfId="0" applyNumberFormat="1" applyFont="1" applyFill="1" applyBorder="1" applyAlignment="1">
      <alignment horizontal="center" vertical="center" wrapText="1"/>
    </xf>
    <xf numFmtId="3" fontId="9" fillId="2" borderId="26" xfId="0" applyNumberFormat="1" applyFont="1" applyFill="1" applyBorder="1" applyAlignment="1">
      <alignment horizontal="center" vertical="center" wrapText="1"/>
    </xf>
    <xf numFmtId="3" fontId="9" fillId="2" borderId="29" xfId="0" applyNumberFormat="1" applyFont="1" applyFill="1" applyBorder="1" applyAlignment="1">
      <alignment horizontal="center" vertical="center" wrapText="1"/>
    </xf>
    <xf numFmtId="164" fontId="9" fillId="2" borderId="11" xfId="4" applyNumberFormat="1" applyFont="1" applyFill="1" applyBorder="1" applyAlignment="1">
      <alignment horizontal="center" vertical="center" wrapText="1"/>
    </xf>
    <xf numFmtId="164" fontId="9" fillId="2" borderId="26" xfId="4" applyNumberFormat="1" applyFont="1" applyFill="1" applyBorder="1" applyAlignment="1">
      <alignment horizontal="center" vertical="center" wrapText="1"/>
    </xf>
    <xf numFmtId="165" fontId="9" fillId="5" borderId="6" xfId="0" applyFont="1" applyFill="1" applyBorder="1" applyAlignment="1">
      <alignment horizontal="center" vertical="center"/>
    </xf>
    <xf numFmtId="165" fontId="9" fillId="5" borderId="7" xfId="0" applyFont="1" applyFill="1" applyBorder="1" applyAlignment="1">
      <alignment horizontal="center" vertical="center"/>
    </xf>
    <xf numFmtId="165" fontId="9" fillId="5" borderId="5" xfId="0" applyFont="1" applyFill="1" applyBorder="1" applyAlignment="1">
      <alignment horizontal="center" vertical="center"/>
    </xf>
    <xf numFmtId="165" fontId="9" fillId="11" borderId="8" xfId="0" applyFont="1" applyFill="1" applyBorder="1" applyAlignment="1">
      <alignment horizontal="center" wrapText="1"/>
    </xf>
    <xf numFmtId="165" fontId="9" fillId="11" borderId="9" xfId="0" applyFont="1" applyFill="1" applyBorder="1" applyAlignment="1">
      <alignment horizontal="center" wrapText="1"/>
    </xf>
    <xf numFmtId="165" fontId="9" fillId="11" borderId="10" xfId="0" applyFont="1" applyFill="1" applyBorder="1" applyAlignment="1">
      <alignment horizontal="center" wrapText="1"/>
    </xf>
    <xf numFmtId="165" fontId="9" fillId="44" borderId="2" xfId="0" applyFont="1" applyFill="1" applyBorder="1" applyAlignment="1">
      <alignment horizontal="center" vertical="center" wrapText="1" shrinkToFit="1"/>
    </xf>
    <xf numFmtId="165" fontId="9" fillId="44" borderId="3" xfId="0" applyFont="1" applyFill="1" applyBorder="1" applyAlignment="1">
      <alignment horizontal="center" vertical="center" wrapText="1" shrinkToFit="1"/>
    </xf>
    <xf numFmtId="165" fontId="9" fillId="44" borderId="4" xfId="0" applyFont="1" applyFill="1" applyBorder="1" applyAlignment="1">
      <alignment horizontal="center" vertical="center" wrapText="1" shrinkToFit="1"/>
    </xf>
    <xf numFmtId="165" fontId="9" fillId="44" borderId="27" xfId="0" applyFont="1" applyFill="1" applyBorder="1" applyAlignment="1">
      <alignment horizontal="center" vertical="center" wrapText="1" shrinkToFit="1"/>
    </xf>
    <xf numFmtId="165" fontId="9" fillId="44" borderId="0" xfId="0" applyFont="1" applyFill="1" applyAlignment="1">
      <alignment horizontal="center" vertical="center" wrapText="1" shrinkToFit="1"/>
    </xf>
    <xf numFmtId="165" fontId="9" fillId="44" borderId="28" xfId="0" applyFont="1" applyFill="1" applyBorder="1" applyAlignment="1">
      <alignment horizontal="center" vertical="center" wrapText="1" shrinkToFit="1"/>
    </xf>
    <xf numFmtId="165" fontId="9" fillId="44" borderId="5" xfId="0" applyFont="1" applyFill="1" applyBorder="1" applyAlignment="1">
      <alignment horizontal="center" vertical="center" wrapText="1" shrinkToFit="1"/>
    </xf>
    <xf numFmtId="165" fontId="9" fillId="44" borderId="6" xfId="0" applyFont="1" applyFill="1" applyBorder="1" applyAlignment="1">
      <alignment horizontal="center" vertical="center" wrapText="1" shrinkToFit="1"/>
    </xf>
    <xf numFmtId="165" fontId="9" fillId="44" borderId="7" xfId="0" applyFont="1" applyFill="1" applyBorder="1" applyAlignment="1">
      <alignment horizontal="center" vertical="center" wrapText="1" shrinkToFit="1"/>
    </xf>
    <xf numFmtId="3" fontId="9" fillId="44" borderId="2" xfId="0" applyNumberFormat="1" applyFont="1" applyFill="1" applyBorder="1" applyAlignment="1">
      <alignment horizontal="center" vertical="center"/>
    </xf>
    <xf numFmtId="3" fontId="9" fillId="44" borderId="3" xfId="0" applyNumberFormat="1" applyFont="1" applyFill="1" applyBorder="1" applyAlignment="1">
      <alignment horizontal="center" vertical="center"/>
    </xf>
    <xf numFmtId="3" fontId="9" fillId="44" borderId="4" xfId="0" applyNumberFormat="1" applyFont="1" applyFill="1" applyBorder="1" applyAlignment="1">
      <alignment horizontal="center" vertical="center"/>
    </xf>
    <xf numFmtId="3" fontId="9" fillId="44" borderId="5" xfId="0" applyNumberFormat="1" applyFont="1" applyFill="1" applyBorder="1" applyAlignment="1">
      <alignment horizontal="center" vertical="center"/>
    </xf>
    <xf numFmtId="3" fontId="9" fillId="44" borderId="6" xfId="0" applyNumberFormat="1" applyFont="1" applyFill="1" applyBorder="1" applyAlignment="1">
      <alignment horizontal="center" vertical="center"/>
    </xf>
    <xf numFmtId="3" fontId="9" fillId="44" borderId="7" xfId="0" applyNumberFormat="1" applyFont="1" applyFill="1" applyBorder="1" applyAlignment="1">
      <alignment horizontal="center" vertical="center"/>
    </xf>
    <xf numFmtId="3" fontId="9" fillId="44" borderId="11" xfId="0" applyNumberFormat="1" applyFont="1" applyFill="1" applyBorder="1" applyAlignment="1">
      <alignment horizontal="center" vertical="center" wrapText="1"/>
    </xf>
    <xf numFmtId="3" fontId="9" fillId="44" borderId="26" xfId="0" applyNumberFormat="1" applyFont="1" applyFill="1" applyBorder="1" applyAlignment="1">
      <alignment horizontal="center" vertical="center" wrapText="1"/>
    </xf>
    <xf numFmtId="3" fontId="9" fillId="44" borderId="29" xfId="0" applyNumberFormat="1" applyFont="1" applyFill="1" applyBorder="1" applyAlignment="1">
      <alignment horizontal="center" vertical="center" wrapText="1"/>
    </xf>
    <xf numFmtId="164" fontId="9" fillId="44" borderId="11" xfId="4" applyNumberFormat="1" applyFont="1" applyFill="1" applyBorder="1" applyAlignment="1">
      <alignment horizontal="center" vertical="center" wrapText="1"/>
    </xf>
    <xf numFmtId="164" fontId="9" fillId="44" borderId="26" xfId="4" applyNumberFormat="1" applyFont="1" applyFill="1" applyBorder="1" applyAlignment="1">
      <alignment horizontal="center" vertical="center" wrapText="1"/>
    </xf>
    <xf numFmtId="164" fontId="9" fillId="44" borderId="11" xfId="4" applyNumberFormat="1" applyFont="1" applyFill="1" applyBorder="1" applyAlignment="1">
      <alignment horizontal="center" vertical="center" wrapText="1" shrinkToFit="1"/>
    </xf>
    <xf numFmtId="164" fontId="9" fillId="44" borderId="26" xfId="4" applyNumberFormat="1" applyFont="1" applyFill="1" applyBorder="1" applyAlignment="1">
      <alignment horizontal="center" vertical="center" wrapText="1" shrinkToFit="1"/>
    </xf>
    <xf numFmtId="164" fontId="46" fillId="44" borderId="8" xfId="4" applyNumberFormat="1" applyFont="1" applyFill="1" applyBorder="1" applyAlignment="1">
      <alignment horizontal="center" vertical="center" wrapText="1"/>
    </xf>
    <xf numFmtId="164" fontId="46" fillId="44" borderId="9" xfId="4" applyNumberFormat="1" applyFont="1" applyFill="1" applyBorder="1" applyAlignment="1">
      <alignment horizontal="center" vertical="center" wrapText="1"/>
    </xf>
    <xf numFmtId="164" fontId="46" fillId="44" borderId="10" xfId="4" applyNumberFormat="1" applyFont="1" applyFill="1" applyBorder="1" applyAlignment="1">
      <alignment horizontal="center" vertical="center" wrapText="1"/>
    </xf>
    <xf numFmtId="165" fontId="9" fillId="11" borderId="3" xfId="0" applyFont="1" applyFill="1" applyBorder="1" applyAlignment="1">
      <alignment horizontal="center" wrapText="1"/>
    </xf>
    <xf numFmtId="165" fontId="9" fillId="11" borderId="4" xfId="0" applyFont="1" applyFill="1" applyBorder="1" applyAlignment="1">
      <alignment horizontal="center" wrapText="1"/>
    </xf>
    <xf numFmtId="165" fontId="10" fillId="5" borderId="2" xfId="0" applyFont="1" applyFill="1" applyBorder="1" applyAlignment="1">
      <alignment horizontal="center" vertical="center"/>
    </xf>
    <xf numFmtId="165" fontId="10" fillId="5" borderId="3" xfId="0" applyFont="1" applyFill="1" applyBorder="1" applyAlignment="1">
      <alignment horizontal="center" vertical="center"/>
    </xf>
    <xf numFmtId="165" fontId="10" fillId="5" borderId="4" xfId="0" applyFont="1" applyFill="1" applyBorder="1" applyAlignment="1">
      <alignment horizontal="center" vertical="center"/>
    </xf>
    <xf numFmtId="165" fontId="10" fillId="5" borderId="5" xfId="0" applyFont="1" applyFill="1" applyBorder="1" applyAlignment="1">
      <alignment horizontal="center" vertical="center"/>
    </xf>
    <xf numFmtId="164" fontId="46" fillId="19" borderId="8" xfId="4" applyNumberFormat="1" applyFont="1" applyFill="1" applyBorder="1" applyAlignment="1">
      <alignment horizontal="center" vertical="center" wrapText="1"/>
    </xf>
    <xf numFmtId="164" fontId="46" fillId="19" borderId="9" xfId="4" applyNumberFormat="1" applyFont="1" applyFill="1" applyBorder="1" applyAlignment="1">
      <alignment horizontal="center" vertical="center" wrapText="1"/>
    </xf>
    <xf numFmtId="164" fontId="9" fillId="19" borderId="11" xfId="4" applyNumberFormat="1" applyFont="1" applyFill="1" applyBorder="1" applyAlignment="1">
      <alignment horizontal="center" vertical="center" wrapText="1" shrinkToFit="1"/>
    </xf>
    <xf numFmtId="164" fontId="9" fillId="19" borderId="29" xfId="4" applyNumberFormat="1" applyFont="1" applyFill="1" applyBorder="1" applyAlignment="1">
      <alignment horizontal="center" vertical="center" wrapText="1" shrinkToFit="1"/>
    </xf>
    <xf numFmtId="165" fontId="10" fillId="15" borderId="2" xfId="0" applyFont="1" applyFill="1" applyBorder="1" applyAlignment="1">
      <alignment horizontal="center" vertical="center" wrapText="1" shrinkToFit="1"/>
    </xf>
    <xf numFmtId="165" fontId="10" fillId="15" borderId="3" xfId="0" applyFont="1" applyFill="1" applyBorder="1" applyAlignment="1">
      <alignment horizontal="center" vertical="center" wrapText="1" shrinkToFit="1"/>
    </xf>
    <xf numFmtId="165" fontId="10" fillId="15" borderId="4" xfId="0" applyFont="1" applyFill="1" applyBorder="1" applyAlignment="1">
      <alignment horizontal="center" vertical="center" wrapText="1" shrinkToFit="1"/>
    </xf>
    <xf numFmtId="165" fontId="9" fillId="19" borderId="2" xfId="0" applyFont="1" applyFill="1" applyBorder="1" applyAlignment="1">
      <alignment horizontal="center" vertical="center" wrapText="1" shrinkToFit="1"/>
    </xf>
    <xf numFmtId="165" fontId="9" fillId="19" borderId="3" xfId="0" applyFont="1" applyFill="1" applyBorder="1" applyAlignment="1">
      <alignment horizontal="center" vertical="center" wrapText="1" shrinkToFit="1"/>
    </xf>
    <xf numFmtId="165" fontId="9" fillId="19" borderId="4" xfId="0" applyFont="1" applyFill="1" applyBorder="1" applyAlignment="1">
      <alignment horizontal="center" vertical="center" wrapText="1" shrinkToFit="1"/>
    </xf>
    <xf numFmtId="165" fontId="9" fillId="19" borderId="27" xfId="0" applyFont="1" applyFill="1" applyBorder="1" applyAlignment="1">
      <alignment horizontal="center" vertical="center" wrapText="1" shrinkToFit="1"/>
    </xf>
    <xf numFmtId="165" fontId="9" fillId="19" borderId="0" xfId="0" applyFont="1" applyFill="1" applyAlignment="1">
      <alignment horizontal="center" vertical="center" wrapText="1" shrinkToFit="1"/>
    </xf>
    <xf numFmtId="165" fontId="9" fillId="19" borderId="28" xfId="0" applyFont="1" applyFill="1" applyBorder="1" applyAlignment="1">
      <alignment horizontal="center" vertical="center" wrapText="1" shrinkToFit="1"/>
    </xf>
    <xf numFmtId="165" fontId="9" fillId="19" borderId="5" xfId="0" applyFont="1" applyFill="1" applyBorder="1" applyAlignment="1">
      <alignment horizontal="center" vertical="center" wrapText="1" shrinkToFit="1"/>
    </xf>
    <xf numFmtId="165" fontId="9" fillId="19" borderId="6" xfId="0" applyFont="1" applyFill="1" applyBorder="1" applyAlignment="1">
      <alignment horizontal="center" vertical="center" wrapText="1" shrinkToFit="1"/>
    </xf>
    <xf numFmtId="165" fontId="9" fillId="19" borderId="7" xfId="0" applyFont="1" applyFill="1" applyBorder="1" applyAlignment="1">
      <alignment horizontal="center" vertical="center" wrapText="1" shrinkToFit="1"/>
    </xf>
    <xf numFmtId="3" fontId="9" fillId="19" borderId="2" xfId="0" applyNumberFormat="1" applyFont="1" applyFill="1" applyBorder="1" applyAlignment="1">
      <alignment horizontal="center" vertical="center"/>
    </xf>
    <xf numFmtId="3" fontId="9" fillId="19" borderId="3" xfId="0" applyNumberFormat="1" applyFont="1" applyFill="1" applyBorder="1" applyAlignment="1">
      <alignment horizontal="center" vertical="center"/>
    </xf>
    <xf numFmtId="3" fontId="9" fillId="19" borderId="4" xfId="0" applyNumberFormat="1" applyFont="1" applyFill="1" applyBorder="1" applyAlignment="1">
      <alignment horizontal="center" vertical="center"/>
    </xf>
    <xf numFmtId="3" fontId="9" fillId="19" borderId="5" xfId="0" applyNumberFormat="1" applyFont="1" applyFill="1" applyBorder="1" applyAlignment="1">
      <alignment horizontal="center" vertical="center"/>
    </xf>
    <xf numFmtId="3" fontId="9" fillId="19" borderId="6" xfId="0" applyNumberFormat="1" applyFont="1" applyFill="1" applyBorder="1" applyAlignment="1">
      <alignment horizontal="center" vertical="center"/>
    </xf>
    <xf numFmtId="3" fontId="9" fillId="19" borderId="7" xfId="0" applyNumberFormat="1" applyFont="1" applyFill="1" applyBorder="1" applyAlignment="1">
      <alignment horizontal="center" vertical="center"/>
    </xf>
    <xf numFmtId="3" fontId="9" fillId="19" borderId="11" xfId="0" applyNumberFormat="1" applyFont="1" applyFill="1" applyBorder="1" applyAlignment="1">
      <alignment horizontal="center" vertical="center" wrapText="1"/>
    </xf>
    <xf numFmtId="3" fontId="9" fillId="19" borderId="26" xfId="0" applyNumberFormat="1" applyFont="1" applyFill="1" applyBorder="1" applyAlignment="1">
      <alignment horizontal="center" vertical="center" wrapText="1"/>
    </xf>
    <xf numFmtId="3" fontId="9" fillId="19" borderId="29" xfId="0" applyNumberFormat="1" applyFont="1" applyFill="1" applyBorder="1" applyAlignment="1">
      <alignment horizontal="center" vertical="center" wrapText="1"/>
    </xf>
    <xf numFmtId="164" fontId="9" fillId="19" borderId="11" xfId="4" applyNumberFormat="1" applyFont="1" applyFill="1" applyBorder="1" applyAlignment="1">
      <alignment horizontal="center" vertical="center" wrapText="1"/>
    </xf>
    <xf numFmtId="164" fontId="9" fillId="19" borderId="29" xfId="4" applyNumberFormat="1" applyFont="1" applyFill="1" applyBorder="1" applyAlignment="1">
      <alignment horizontal="center" vertical="center" wrapText="1"/>
    </xf>
    <xf numFmtId="164" fontId="17" fillId="19" borderId="11" xfId="4" applyNumberFormat="1" applyFont="1" applyFill="1" applyBorder="1" applyAlignment="1">
      <alignment horizontal="center" vertical="center" wrapText="1"/>
    </xf>
    <xf numFmtId="164" fontId="17" fillId="19" borderId="29" xfId="4" applyNumberFormat="1" applyFont="1" applyFill="1" applyBorder="1" applyAlignment="1">
      <alignment horizontal="center" vertical="center" wrapText="1"/>
    </xf>
    <xf numFmtId="164" fontId="9" fillId="64" borderId="11" xfId="4" applyNumberFormat="1" applyFont="1" applyFill="1" applyBorder="1" applyAlignment="1">
      <alignment horizontal="center" vertical="center" wrapText="1" shrinkToFit="1"/>
    </xf>
    <xf numFmtId="164" fontId="9" fillId="64" borderId="26" xfId="4" applyNumberFormat="1" applyFont="1" applyFill="1" applyBorder="1" applyAlignment="1">
      <alignment horizontal="center" vertical="center" wrapText="1" shrinkToFit="1"/>
    </xf>
    <xf numFmtId="164" fontId="46" fillId="64" borderId="8" xfId="4" applyNumberFormat="1" applyFont="1" applyFill="1" applyBorder="1" applyAlignment="1">
      <alignment horizontal="center" vertical="center" wrapText="1"/>
    </xf>
    <xf numFmtId="164" fontId="46" fillId="64" borderId="9" xfId="4" applyNumberFormat="1" applyFont="1" applyFill="1" applyBorder="1" applyAlignment="1">
      <alignment horizontal="center" vertical="center" wrapText="1"/>
    </xf>
    <xf numFmtId="164" fontId="46" fillId="64" borderId="10" xfId="4" applyNumberFormat="1" applyFont="1" applyFill="1" applyBorder="1" applyAlignment="1">
      <alignment horizontal="center" vertical="center" wrapText="1"/>
    </xf>
    <xf numFmtId="165" fontId="9" fillId="64" borderId="2" xfId="0" applyFont="1" applyFill="1" applyBorder="1" applyAlignment="1">
      <alignment horizontal="center" vertical="center" wrapText="1" shrinkToFit="1"/>
    </xf>
    <xf numFmtId="165" fontId="9" fillId="64" borderId="3" xfId="0" applyFont="1" applyFill="1" applyBorder="1" applyAlignment="1">
      <alignment horizontal="center" vertical="center" wrapText="1" shrinkToFit="1"/>
    </xf>
    <xf numFmtId="165" fontId="9" fillId="64" borderId="4" xfId="0" applyFont="1" applyFill="1" applyBorder="1" applyAlignment="1">
      <alignment horizontal="center" vertical="center" wrapText="1" shrinkToFit="1"/>
    </xf>
    <xf numFmtId="165" fontId="9" fillId="64" borderId="27" xfId="0" applyFont="1" applyFill="1" applyBorder="1" applyAlignment="1">
      <alignment horizontal="center" vertical="center" wrapText="1" shrinkToFit="1"/>
    </xf>
    <xf numFmtId="165" fontId="9" fillId="64" borderId="0" xfId="0" applyFont="1" applyFill="1" applyAlignment="1">
      <alignment horizontal="center" vertical="center" wrapText="1" shrinkToFit="1"/>
    </xf>
    <xf numFmtId="165" fontId="9" fillId="64" borderId="28" xfId="0" applyFont="1" applyFill="1" applyBorder="1" applyAlignment="1">
      <alignment horizontal="center" vertical="center" wrapText="1" shrinkToFit="1"/>
    </xf>
    <xf numFmtId="165" fontId="9" fillId="64" borderId="5" xfId="0" applyFont="1" applyFill="1" applyBorder="1" applyAlignment="1">
      <alignment horizontal="center" vertical="center" wrapText="1" shrinkToFit="1"/>
    </xf>
    <xf numFmtId="165" fontId="9" fillId="64" borderId="6" xfId="0" applyFont="1" applyFill="1" applyBorder="1" applyAlignment="1">
      <alignment horizontal="center" vertical="center" wrapText="1" shrinkToFit="1"/>
    </xf>
    <xf numFmtId="165" fontId="9" fillId="64" borderId="7" xfId="0" applyFont="1" applyFill="1" applyBorder="1" applyAlignment="1">
      <alignment horizontal="center" vertical="center" wrapText="1" shrinkToFit="1"/>
    </xf>
    <xf numFmtId="3" fontId="9" fillId="64" borderId="2" xfId="0" applyNumberFormat="1" applyFont="1" applyFill="1" applyBorder="1" applyAlignment="1">
      <alignment horizontal="center" vertical="center"/>
    </xf>
    <xf numFmtId="3" fontId="9" fillId="64" borderId="3" xfId="0" applyNumberFormat="1" applyFont="1" applyFill="1" applyBorder="1" applyAlignment="1">
      <alignment horizontal="center" vertical="center"/>
    </xf>
    <xf numFmtId="3" fontId="9" fillId="64" borderId="4" xfId="0" applyNumberFormat="1" applyFont="1" applyFill="1" applyBorder="1" applyAlignment="1">
      <alignment horizontal="center" vertical="center"/>
    </xf>
    <xf numFmtId="3" fontId="9" fillId="64" borderId="5" xfId="0" applyNumberFormat="1" applyFont="1" applyFill="1" applyBorder="1" applyAlignment="1">
      <alignment horizontal="center" vertical="center"/>
    </xf>
    <xf numFmtId="3" fontId="9" fillId="64" borderId="6" xfId="0" applyNumberFormat="1" applyFont="1" applyFill="1" applyBorder="1" applyAlignment="1">
      <alignment horizontal="center" vertical="center"/>
    </xf>
    <xf numFmtId="3" fontId="9" fillId="64" borderId="7" xfId="0" applyNumberFormat="1" applyFont="1" applyFill="1" applyBorder="1" applyAlignment="1">
      <alignment horizontal="center" vertical="center"/>
    </xf>
    <xf numFmtId="3" fontId="9" fillId="64" borderId="11" xfId="0" applyNumberFormat="1" applyFont="1" applyFill="1" applyBorder="1" applyAlignment="1">
      <alignment horizontal="center" vertical="center" wrapText="1"/>
    </xf>
    <xf numFmtId="3" fontId="9" fillId="64" borderId="26" xfId="0" applyNumberFormat="1" applyFont="1" applyFill="1" applyBorder="1" applyAlignment="1">
      <alignment horizontal="center" vertical="center" wrapText="1"/>
    </xf>
    <xf numFmtId="3" fontId="9" fillId="64" borderId="29" xfId="0" applyNumberFormat="1" applyFont="1" applyFill="1" applyBorder="1" applyAlignment="1">
      <alignment horizontal="center" vertical="center" wrapText="1"/>
    </xf>
    <xf numFmtId="164" fontId="9" fillId="64" borderId="11" xfId="4" applyNumberFormat="1" applyFont="1" applyFill="1" applyBorder="1" applyAlignment="1">
      <alignment horizontal="center" vertical="center" wrapText="1"/>
    </xf>
    <xf numFmtId="164" fontId="9" fillId="64" borderId="26" xfId="4" applyNumberFormat="1" applyFont="1" applyFill="1" applyBorder="1" applyAlignment="1">
      <alignment horizontal="center" vertical="center" wrapText="1"/>
    </xf>
    <xf numFmtId="165" fontId="9" fillId="20" borderId="2" xfId="0" applyFont="1" applyFill="1" applyBorder="1" applyAlignment="1">
      <alignment horizontal="center" vertical="center" wrapText="1" shrinkToFit="1"/>
    </xf>
    <xf numFmtId="165" fontId="9" fillId="20" borderId="3" xfId="0" applyFont="1" applyFill="1" applyBorder="1" applyAlignment="1">
      <alignment horizontal="center" vertical="center" wrapText="1" shrinkToFit="1"/>
    </xf>
    <xf numFmtId="165" fontId="9" fillId="20" borderId="4" xfId="0" applyFont="1" applyFill="1" applyBorder="1" applyAlignment="1">
      <alignment horizontal="center" vertical="center" wrapText="1" shrinkToFit="1"/>
    </xf>
    <xf numFmtId="165" fontId="9" fillId="20" borderId="27" xfId="0" applyFont="1" applyFill="1" applyBorder="1" applyAlignment="1">
      <alignment horizontal="center" vertical="center" wrapText="1" shrinkToFit="1"/>
    </xf>
    <xf numFmtId="165" fontId="9" fillId="20" borderId="0" xfId="0" applyFont="1" applyFill="1" applyAlignment="1">
      <alignment horizontal="center" vertical="center" wrapText="1" shrinkToFit="1"/>
    </xf>
    <xf numFmtId="165" fontId="9" fillId="20" borderId="28" xfId="0" applyFont="1" applyFill="1" applyBorder="1" applyAlignment="1">
      <alignment horizontal="center" vertical="center" wrapText="1" shrinkToFit="1"/>
    </xf>
    <xf numFmtId="165" fontId="9" fillId="20" borderId="5" xfId="0" applyFont="1" applyFill="1" applyBorder="1" applyAlignment="1">
      <alignment horizontal="center" vertical="center" wrapText="1" shrinkToFit="1"/>
    </xf>
    <xf numFmtId="165" fontId="9" fillId="20" borderId="6" xfId="0" applyFont="1" applyFill="1" applyBorder="1" applyAlignment="1">
      <alignment horizontal="center" vertical="center" wrapText="1" shrinkToFit="1"/>
    </xf>
    <xf numFmtId="165" fontId="9" fillId="20" borderId="7" xfId="0" applyFont="1" applyFill="1" applyBorder="1" applyAlignment="1">
      <alignment horizontal="center" vertical="center" wrapText="1" shrinkToFit="1"/>
    </xf>
    <xf numFmtId="3" fontId="9" fillId="20" borderId="2" xfId="0" applyNumberFormat="1" applyFont="1" applyFill="1" applyBorder="1" applyAlignment="1">
      <alignment horizontal="center" vertical="center"/>
    </xf>
    <xf numFmtId="3" fontId="9" fillId="20" borderId="3" xfId="0" applyNumberFormat="1" applyFont="1" applyFill="1" applyBorder="1" applyAlignment="1">
      <alignment horizontal="center" vertical="center"/>
    </xf>
    <xf numFmtId="3" fontId="9" fillId="20" borderId="4" xfId="0" applyNumberFormat="1" applyFont="1" applyFill="1" applyBorder="1" applyAlignment="1">
      <alignment horizontal="center" vertical="center"/>
    </xf>
    <xf numFmtId="3" fontId="9" fillId="20" borderId="5" xfId="0" applyNumberFormat="1" applyFont="1" applyFill="1" applyBorder="1" applyAlignment="1">
      <alignment horizontal="center" vertical="center"/>
    </xf>
    <xf numFmtId="3" fontId="9" fillId="20" borderId="6" xfId="0" applyNumberFormat="1" applyFont="1" applyFill="1" applyBorder="1" applyAlignment="1">
      <alignment horizontal="center" vertical="center"/>
    </xf>
    <xf numFmtId="3" fontId="9" fillId="20" borderId="7" xfId="0" applyNumberFormat="1" applyFont="1" applyFill="1" applyBorder="1" applyAlignment="1">
      <alignment horizontal="center" vertical="center"/>
    </xf>
    <xf numFmtId="3" fontId="9" fillId="20" borderId="11" xfId="0" applyNumberFormat="1" applyFont="1" applyFill="1" applyBorder="1" applyAlignment="1">
      <alignment horizontal="center" vertical="center" wrapText="1"/>
    </xf>
    <xf numFmtId="3" fontId="9" fillId="20" borderId="26" xfId="0" applyNumberFormat="1" applyFont="1" applyFill="1" applyBorder="1" applyAlignment="1">
      <alignment horizontal="center" vertical="center" wrapText="1"/>
    </xf>
    <xf numFmtId="3" fontId="9" fillId="20" borderId="29" xfId="0" applyNumberFormat="1" applyFont="1" applyFill="1" applyBorder="1" applyAlignment="1">
      <alignment horizontal="center" vertical="center" wrapText="1"/>
    </xf>
    <xf numFmtId="164" fontId="9" fillId="20" borderId="11" xfId="4" applyNumberFormat="1" applyFont="1" applyFill="1" applyBorder="1" applyAlignment="1">
      <alignment horizontal="center" vertical="center" wrapText="1"/>
    </xf>
    <xf numFmtId="164" fontId="9" fillId="20" borderId="26" xfId="4" applyNumberFormat="1" applyFont="1" applyFill="1" applyBorder="1" applyAlignment="1">
      <alignment horizontal="center" vertical="center" wrapText="1"/>
    </xf>
    <xf numFmtId="164" fontId="9" fillId="20" borderId="29" xfId="4" applyNumberFormat="1" applyFont="1" applyFill="1" applyBorder="1" applyAlignment="1">
      <alignment horizontal="center" vertical="center" wrapText="1"/>
    </xf>
    <xf numFmtId="164" fontId="46" fillId="20" borderId="8" xfId="4" applyNumberFormat="1" applyFont="1" applyFill="1" applyBorder="1" applyAlignment="1">
      <alignment horizontal="center" vertical="center" wrapText="1"/>
    </xf>
    <xf numFmtId="164" fontId="46" fillId="20" borderId="9" xfId="4" applyNumberFormat="1" applyFont="1" applyFill="1" applyBorder="1" applyAlignment="1">
      <alignment horizontal="center" vertical="center" wrapText="1"/>
    </xf>
    <xf numFmtId="164" fontId="46" fillId="20" borderId="10" xfId="4" applyNumberFormat="1" applyFont="1" applyFill="1" applyBorder="1" applyAlignment="1">
      <alignment horizontal="center" vertical="center" wrapText="1"/>
    </xf>
    <xf numFmtId="164" fontId="9" fillId="43" borderId="11" xfId="4" applyNumberFormat="1" applyFont="1" applyFill="1" applyBorder="1" applyAlignment="1">
      <alignment horizontal="center" vertical="center" wrapText="1" shrinkToFit="1"/>
    </xf>
    <xf numFmtId="164" fontId="9" fillId="43" borderId="26" xfId="4" applyNumberFormat="1" applyFont="1" applyFill="1" applyBorder="1" applyAlignment="1">
      <alignment horizontal="center" vertical="center" wrapText="1" shrinkToFit="1"/>
    </xf>
    <xf numFmtId="164" fontId="46" fillId="43" borderId="8" xfId="4" applyNumberFormat="1" applyFont="1" applyFill="1" applyBorder="1" applyAlignment="1">
      <alignment horizontal="center" vertical="center" wrapText="1"/>
    </xf>
    <xf numFmtId="164" fontId="46" fillId="43" borderId="9" xfId="4" applyNumberFormat="1" applyFont="1" applyFill="1" applyBorder="1" applyAlignment="1">
      <alignment horizontal="center" vertical="center" wrapText="1"/>
    </xf>
    <xf numFmtId="164" fontId="46" fillId="43" borderId="10" xfId="4" applyNumberFormat="1" applyFont="1" applyFill="1" applyBorder="1" applyAlignment="1">
      <alignment horizontal="center" vertical="center" wrapText="1"/>
    </xf>
    <xf numFmtId="165" fontId="9" fillId="43" borderId="2" xfId="0" applyFont="1" applyFill="1" applyBorder="1" applyAlignment="1">
      <alignment horizontal="center" vertical="center" wrapText="1" shrinkToFit="1"/>
    </xf>
    <xf numFmtId="165" fontId="9" fillId="43" borderId="3" xfId="0" applyFont="1" applyFill="1" applyBorder="1" applyAlignment="1">
      <alignment horizontal="center" vertical="center" wrapText="1" shrinkToFit="1"/>
    </xf>
    <xf numFmtId="165" fontId="9" fillId="43" borderId="4" xfId="0" applyFont="1" applyFill="1" applyBorder="1" applyAlignment="1">
      <alignment horizontal="center" vertical="center" wrapText="1" shrinkToFit="1"/>
    </xf>
    <xf numFmtId="165" fontId="9" fillId="43" borderId="27" xfId="0" applyFont="1" applyFill="1" applyBorder="1" applyAlignment="1">
      <alignment horizontal="center" vertical="center" wrapText="1" shrinkToFit="1"/>
    </xf>
    <xf numFmtId="165" fontId="9" fillId="43" borderId="0" xfId="0" applyFont="1" applyFill="1" applyBorder="1" applyAlignment="1">
      <alignment horizontal="center" vertical="center" wrapText="1" shrinkToFit="1"/>
    </xf>
    <xf numFmtId="165" fontId="9" fillId="43" borderId="28" xfId="0" applyFont="1" applyFill="1" applyBorder="1" applyAlignment="1">
      <alignment horizontal="center" vertical="center" wrapText="1" shrinkToFit="1"/>
    </xf>
    <xf numFmtId="165" fontId="9" fillId="43" borderId="5" xfId="0" applyFont="1" applyFill="1" applyBorder="1" applyAlignment="1">
      <alignment horizontal="center" vertical="center" wrapText="1" shrinkToFit="1"/>
    </xf>
    <xf numFmtId="165" fontId="9" fillId="43" borderId="6" xfId="0" applyFont="1" applyFill="1" applyBorder="1" applyAlignment="1">
      <alignment horizontal="center" vertical="center" wrapText="1" shrinkToFit="1"/>
    </xf>
    <xf numFmtId="165" fontId="9" fillId="43" borderId="7" xfId="0" applyFont="1" applyFill="1" applyBorder="1" applyAlignment="1">
      <alignment horizontal="center" vertical="center" wrapText="1" shrinkToFit="1"/>
    </xf>
    <xf numFmtId="3" fontId="9" fillId="43" borderId="2" xfId="0" applyNumberFormat="1" applyFont="1" applyFill="1" applyBorder="1" applyAlignment="1">
      <alignment horizontal="center" vertical="center"/>
    </xf>
    <xf numFmtId="3" fontId="9" fillId="43" borderId="3" xfId="0" applyNumberFormat="1" applyFont="1" applyFill="1" applyBorder="1" applyAlignment="1">
      <alignment horizontal="center" vertical="center"/>
    </xf>
    <xf numFmtId="3" fontId="9" fillId="43" borderId="4" xfId="0" applyNumberFormat="1" applyFont="1" applyFill="1" applyBorder="1" applyAlignment="1">
      <alignment horizontal="center" vertical="center"/>
    </xf>
    <xf numFmtId="3" fontId="9" fillId="43" borderId="5" xfId="0" applyNumberFormat="1" applyFont="1" applyFill="1" applyBorder="1" applyAlignment="1">
      <alignment horizontal="center" vertical="center"/>
    </xf>
    <xf numFmtId="3" fontId="9" fillId="43" borderId="6" xfId="0" applyNumberFormat="1" applyFont="1" applyFill="1" applyBorder="1" applyAlignment="1">
      <alignment horizontal="center" vertical="center"/>
    </xf>
    <xf numFmtId="3" fontId="9" fillId="43" borderId="7" xfId="0" applyNumberFormat="1" applyFont="1" applyFill="1" applyBorder="1" applyAlignment="1">
      <alignment horizontal="center" vertical="center"/>
    </xf>
    <xf numFmtId="3" fontId="9" fillId="43" borderId="11" xfId="0" applyNumberFormat="1" applyFont="1" applyFill="1" applyBorder="1" applyAlignment="1">
      <alignment horizontal="center" vertical="center" wrapText="1"/>
    </xf>
    <xf numFmtId="3" fontId="9" fillId="43" borderId="26" xfId="0" applyNumberFormat="1" applyFont="1" applyFill="1" applyBorder="1" applyAlignment="1">
      <alignment horizontal="center" vertical="center" wrapText="1"/>
    </xf>
    <xf numFmtId="3" fontId="9" fillId="43" borderId="29" xfId="0" applyNumberFormat="1" applyFont="1" applyFill="1" applyBorder="1" applyAlignment="1">
      <alignment horizontal="center" vertical="center" wrapText="1"/>
    </xf>
    <xf numFmtId="164" fontId="9" fillId="43" borderId="11" xfId="4" applyNumberFormat="1" applyFont="1" applyFill="1" applyBorder="1" applyAlignment="1">
      <alignment horizontal="center" vertical="center" wrapText="1"/>
    </xf>
    <xf numFmtId="164" fontId="9" fillId="43" borderId="26" xfId="4" applyNumberFormat="1" applyFont="1" applyFill="1" applyBorder="1" applyAlignment="1">
      <alignment horizontal="center" vertical="center" wrapText="1"/>
    </xf>
    <xf numFmtId="164" fontId="9" fillId="43" borderId="29" xfId="4" applyNumberFormat="1" applyFont="1" applyFill="1" applyBorder="1" applyAlignment="1">
      <alignment horizontal="center" vertical="center" wrapText="1"/>
    </xf>
    <xf numFmtId="165" fontId="27" fillId="12" borderId="0" xfId="0" applyFont="1" applyFill="1" applyAlignment="1">
      <alignment horizontal="left"/>
    </xf>
    <xf numFmtId="165" fontId="1" fillId="22" borderId="8" xfId="0" applyFont="1" applyFill="1" applyBorder="1" applyAlignment="1">
      <alignment horizontal="center"/>
    </xf>
    <xf numFmtId="165" fontId="1" fillId="22" borderId="9" xfId="0" applyFont="1" applyFill="1" applyBorder="1" applyAlignment="1">
      <alignment horizontal="center"/>
    </xf>
    <xf numFmtId="165" fontId="1" fillId="22" borderId="10" xfId="0" applyFont="1" applyFill="1" applyBorder="1" applyAlignment="1">
      <alignment horizontal="center"/>
    </xf>
    <xf numFmtId="165" fontId="9" fillId="9" borderId="8" xfId="0" applyFont="1" applyFill="1" applyBorder="1" applyAlignment="1">
      <alignment horizontal="center" vertical="center" wrapText="1"/>
    </xf>
    <xf numFmtId="165" fontId="9" fillId="9" borderId="10" xfId="0" applyFont="1" applyFill="1" applyBorder="1" applyAlignment="1">
      <alignment horizontal="center" vertical="center" wrapText="1"/>
    </xf>
    <xf numFmtId="165" fontId="9" fillId="9" borderId="2" xfId="0" applyFont="1" applyFill="1" applyBorder="1" applyAlignment="1">
      <alignment horizontal="center"/>
    </xf>
    <xf numFmtId="165" fontId="9" fillId="9" borderId="4" xfId="0" applyFont="1" applyFill="1" applyBorder="1" applyAlignment="1">
      <alignment horizontal="center"/>
    </xf>
    <xf numFmtId="165" fontId="9" fillId="6" borderId="11" xfId="0" applyFont="1" applyFill="1" applyBorder="1" applyAlignment="1">
      <alignment horizontal="center" vertical="center"/>
    </xf>
    <xf numFmtId="165" fontId="9" fillId="6" borderId="26" xfId="0" applyFont="1" applyFill="1" applyBorder="1" applyAlignment="1">
      <alignment horizontal="center" vertical="center"/>
    </xf>
    <xf numFmtId="165" fontId="9" fillId="6" borderId="29" xfId="0" applyFont="1" applyFill="1" applyBorder="1" applyAlignment="1">
      <alignment horizontal="center" vertical="center"/>
    </xf>
    <xf numFmtId="0" fontId="9" fillId="6" borderId="11" xfId="0" applyNumberFormat="1" applyFont="1" applyFill="1" applyBorder="1" applyAlignment="1">
      <alignment horizontal="center" vertical="center"/>
    </xf>
    <xf numFmtId="0" fontId="9" fillId="6" borderId="26" xfId="0" applyNumberFormat="1" applyFont="1" applyFill="1" applyBorder="1" applyAlignment="1">
      <alignment horizontal="center" vertical="center"/>
    </xf>
    <xf numFmtId="0" fontId="9" fillId="6" borderId="29" xfId="0" applyNumberFormat="1" applyFont="1" applyFill="1" applyBorder="1" applyAlignment="1">
      <alignment horizontal="center" vertical="center"/>
    </xf>
    <xf numFmtId="0" fontId="9" fillId="6" borderId="8" xfId="0" applyNumberFormat="1" applyFont="1" applyFill="1" applyBorder="1" applyAlignment="1">
      <alignment horizontal="center" vertical="center"/>
    </xf>
    <xf numFmtId="0" fontId="9" fillId="6" borderId="9" xfId="0" applyNumberFormat="1" applyFont="1" applyFill="1" applyBorder="1" applyAlignment="1">
      <alignment horizontal="center" vertical="center"/>
    </xf>
    <xf numFmtId="0" fontId="9" fillId="6" borderId="10" xfId="0" applyNumberFormat="1" applyFont="1" applyFill="1" applyBorder="1" applyAlignment="1">
      <alignment horizontal="center" vertical="center"/>
    </xf>
    <xf numFmtId="1" fontId="46" fillId="6" borderId="8" xfId="1" applyNumberFormat="1" applyFont="1" applyFill="1" applyBorder="1" applyAlignment="1">
      <alignment horizontal="center" vertical="center"/>
    </xf>
    <xf numFmtId="1" fontId="46" fillId="6" borderId="9" xfId="1" applyNumberFormat="1" applyFont="1" applyFill="1" applyBorder="1" applyAlignment="1">
      <alignment horizontal="center" vertical="center"/>
    </xf>
    <xf numFmtId="1" fontId="46" fillId="6" borderId="10" xfId="1" applyNumberFormat="1" applyFont="1" applyFill="1" applyBorder="1" applyAlignment="1">
      <alignment horizontal="center" vertical="center"/>
    </xf>
    <xf numFmtId="1" fontId="46" fillId="38" borderId="8" xfId="1" applyNumberFormat="1" applyFont="1" applyFill="1" applyBorder="1" applyAlignment="1">
      <alignment horizontal="center" vertical="center"/>
    </xf>
    <xf numFmtId="1" fontId="46" fillId="38" borderId="9" xfId="1" applyNumberFormat="1" applyFont="1" applyFill="1" applyBorder="1" applyAlignment="1">
      <alignment horizontal="center" vertical="center"/>
    </xf>
    <xf numFmtId="1" fontId="46" fillId="38" borderId="10" xfId="1" applyNumberFormat="1" applyFont="1" applyFill="1" applyBorder="1" applyAlignment="1">
      <alignment horizontal="center" vertical="center"/>
    </xf>
    <xf numFmtId="165" fontId="9" fillId="38" borderId="11" xfId="0" applyFont="1" applyFill="1" applyBorder="1" applyAlignment="1">
      <alignment horizontal="center" vertical="center"/>
    </xf>
    <xf numFmtId="165" fontId="9" fillId="38" borderId="26" xfId="0" applyFont="1" applyFill="1" applyBorder="1" applyAlignment="1">
      <alignment horizontal="center" vertical="center"/>
    </xf>
    <xf numFmtId="165" fontId="9" fillId="38" borderId="29" xfId="0" applyFont="1" applyFill="1" applyBorder="1" applyAlignment="1">
      <alignment horizontal="center" vertical="center"/>
    </xf>
    <xf numFmtId="0" fontId="9" fillId="38" borderId="11" xfId="0" applyNumberFormat="1" applyFont="1" applyFill="1" applyBorder="1" applyAlignment="1">
      <alignment horizontal="center" vertical="center"/>
    </xf>
    <xf numFmtId="0" fontId="9" fillId="38" borderId="26" xfId="0" applyNumberFormat="1" applyFont="1" applyFill="1" applyBorder="1" applyAlignment="1">
      <alignment horizontal="center" vertical="center"/>
    </xf>
    <xf numFmtId="0" fontId="9" fillId="38" borderId="29" xfId="0" applyNumberFormat="1" applyFont="1" applyFill="1" applyBorder="1" applyAlignment="1">
      <alignment horizontal="center" vertical="center"/>
    </xf>
    <xf numFmtId="0" fontId="9" fillId="38" borderId="8" xfId="0" applyNumberFormat="1" applyFont="1" applyFill="1" applyBorder="1" applyAlignment="1">
      <alignment horizontal="center" vertical="center"/>
    </xf>
    <xf numFmtId="0" fontId="9" fillId="38" borderId="9" xfId="0" applyNumberFormat="1" applyFont="1" applyFill="1" applyBorder="1" applyAlignment="1">
      <alignment horizontal="center" vertical="center"/>
    </xf>
    <xf numFmtId="0" fontId="9" fillId="38" borderId="10" xfId="0" applyNumberFormat="1" applyFont="1" applyFill="1" applyBorder="1" applyAlignment="1">
      <alignment horizontal="center" vertical="center"/>
    </xf>
    <xf numFmtId="1" fontId="11" fillId="2" borderId="3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/>
    </xf>
    <xf numFmtId="1" fontId="11" fillId="2" borderId="6" xfId="0" applyNumberFormat="1" applyFont="1" applyFill="1" applyBorder="1" applyAlignment="1">
      <alignment horizontal="center" vertical="center"/>
    </xf>
    <xf numFmtId="167" fontId="9" fillId="12" borderId="11" xfId="0" applyNumberFormat="1" applyFont="1" applyFill="1" applyBorder="1" applyAlignment="1">
      <alignment horizontal="center" vertical="center"/>
    </xf>
    <xf numFmtId="167" fontId="9" fillId="12" borderId="26" xfId="0" applyNumberFormat="1" applyFont="1" applyFill="1" applyBorder="1" applyAlignment="1">
      <alignment horizontal="center" vertical="center"/>
    </xf>
    <xf numFmtId="167" fontId="9" fillId="12" borderId="29" xfId="0" applyNumberFormat="1" applyFont="1" applyFill="1" applyBorder="1" applyAlignment="1">
      <alignment horizontal="center" vertical="center"/>
    </xf>
    <xf numFmtId="2" fontId="9" fillId="2" borderId="2" xfId="4" applyNumberFormat="1" applyFont="1" applyFill="1" applyBorder="1" applyAlignment="1">
      <alignment horizontal="center" vertical="center" wrapText="1" shrinkToFit="1"/>
    </xf>
    <xf numFmtId="2" fontId="9" fillId="2" borderId="3" xfId="4" applyNumberFormat="1" applyFont="1" applyFill="1" applyBorder="1" applyAlignment="1">
      <alignment horizontal="center" vertical="center" wrapText="1" shrinkToFit="1"/>
    </xf>
    <xf numFmtId="2" fontId="9" fillId="2" borderId="4" xfId="4" applyNumberFormat="1" applyFont="1" applyFill="1" applyBorder="1" applyAlignment="1">
      <alignment horizontal="center" vertical="center" wrapText="1" shrinkToFit="1"/>
    </xf>
    <xf numFmtId="2" fontId="9" fillId="2" borderId="27" xfId="4" applyNumberFormat="1" applyFont="1" applyFill="1" applyBorder="1" applyAlignment="1">
      <alignment horizontal="center" vertical="center" wrapText="1" shrinkToFit="1"/>
    </xf>
    <xf numFmtId="2" fontId="9" fillId="2" borderId="0" xfId="4" applyNumberFormat="1" applyFont="1" applyFill="1" applyBorder="1" applyAlignment="1">
      <alignment horizontal="center" vertical="center" wrapText="1" shrinkToFit="1"/>
    </xf>
    <xf numFmtId="2" fontId="9" fillId="2" borderId="28" xfId="4" applyNumberFormat="1" applyFont="1" applyFill="1" applyBorder="1" applyAlignment="1">
      <alignment horizontal="center" vertical="center" wrapText="1" shrinkToFit="1"/>
    </xf>
    <xf numFmtId="2" fontId="9" fillId="2" borderId="5" xfId="4" applyNumberFormat="1" applyFont="1" applyFill="1" applyBorder="1" applyAlignment="1">
      <alignment horizontal="center" vertical="center" wrapText="1" shrinkToFit="1"/>
    </xf>
    <xf numFmtId="2" fontId="9" fillId="2" borderId="6" xfId="4" applyNumberFormat="1" applyFont="1" applyFill="1" applyBorder="1" applyAlignment="1">
      <alignment horizontal="center" vertical="center" wrapText="1" shrinkToFit="1"/>
    </xf>
    <xf numFmtId="2" fontId="9" fillId="2" borderId="7" xfId="4" applyNumberFormat="1" applyFont="1" applyFill="1" applyBorder="1" applyAlignment="1">
      <alignment horizontal="center" vertical="center" wrapText="1" shrinkToFit="1"/>
    </xf>
    <xf numFmtId="165" fontId="9" fillId="12" borderId="8" xfId="0" applyFont="1" applyFill="1" applyBorder="1" applyAlignment="1">
      <alignment horizontal="center" vertical="center"/>
    </xf>
    <xf numFmtId="165" fontId="9" fillId="12" borderId="9" xfId="0" applyFont="1" applyFill="1" applyBorder="1" applyAlignment="1">
      <alignment horizontal="center" vertical="center"/>
    </xf>
    <xf numFmtId="165" fontId="9" fillId="12" borderId="10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1" fontId="9" fillId="2" borderId="4" xfId="0" applyNumberFormat="1" applyFont="1" applyFill="1" applyBorder="1" applyAlignment="1">
      <alignment horizontal="center" vertical="center"/>
    </xf>
    <xf numFmtId="1" fontId="9" fillId="2" borderId="8" xfId="0" applyNumberFormat="1" applyFont="1" applyFill="1" applyBorder="1" applyAlignment="1">
      <alignment horizontal="center" vertical="center"/>
    </xf>
    <xf numFmtId="1" fontId="9" fillId="2" borderId="10" xfId="0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1" fontId="9" fillId="2" borderId="6" xfId="0" applyNumberFormat="1" applyFont="1" applyFill="1" applyBorder="1" applyAlignment="1">
      <alignment horizontal="center" vertical="center"/>
    </xf>
    <xf numFmtId="1" fontId="9" fillId="2" borderId="11" xfId="0" applyNumberFormat="1" applyFont="1" applyFill="1" applyBorder="1" applyAlignment="1">
      <alignment horizontal="center" vertical="center"/>
    </xf>
    <xf numFmtId="1" fontId="9" fillId="2" borderId="29" xfId="0" applyNumberFormat="1" applyFont="1" applyFill="1" applyBorder="1" applyAlignment="1">
      <alignment horizontal="center" vertical="center"/>
    </xf>
    <xf numFmtId="1" fontId="9" fillId="46" borderId="4" xfId="0" applyNumberFormat="1" applyFont="1" applyFill="1" applyBorder="1" applyAlignment="1">
      <alignment horizontal="center" vertical="center"/>
    </xf>
    <xf numFmtId="1" fontId="9" fillId="46" borderId="7" xfId="0" applyNumberFormat="1" applyFont="1" applyFill="1" applyBorder="1" applyAlignment="1">
      <alignment horizontal="center" vertical="center"/>
    </xf>
    <xf numFmtId="1" fontId="9" fillId="46" borderId="11" xfId="0" applyNumberFormat="1" applyFont="1" applyFill="1" applyBorder="1" applyAlignment="1">
      <alignment horizontal="center" vertical="center"/>
    </xf>
    <xf numFmtId="1" fontId="9" fillId="46" borderId="29" xfId="0" applyNumberFormat="1" applyFont="1" applyFill="1" applyBorder="1" applyAlignment="1">
      <alignment horizontal="center" vertical="center"/>
    </xf>
    <xf numFmtId="1" fontId="11" fillId="46" borderId="3" xfId="0" applyNumberFormat="1" applyFont="1" applyFill="1" applyBorder="1" applyAlignment="1">
      <alignment horizontal="center" vertical="center"/>
    </xf>
    <xf numFmtId="1" fontId="11" fillId="46" borderId="4" xfId="0" applyNumberFormat="1" applyFont="1" applyFill="1" applyBorder="1" applyAlignment="1">
      <alignment horizontal="center" vertical="center"/>
    </xf>
    <xf numFmtId="1" fontId="11" fillId="46" borderId="0" xfId="0" applyNumberFormat="1" applyFont="1" applyFill="1" applyAlignment="1">
      <alignment horizontal="center" vertical="center"/>
    </xf>
    <xf numFmtId="1" fontId="11" fillId="46" borderId="28" xfId="0" applyNumberFormat="1" applyFont="1" applyFill="1" applyBorder="1" applyAlignment="1">
      <alignment horizontal="center" vertical="center"/>
    </xf>
    <xf numFmtId="1" fontId="11" fillId="46" borderId="6" xfId="0" applyNumberFormat="1" applyFont="1" applyFill="1" applyBorder="1" applyAlignment="1">
      <alignment horizontal="center" vertical="center"/>
    </xf>
    <xf numFmtId="1" fontId="11" fillId="46" borderId="7" xfId="0" applyNumberFormat="1" applyFont="1" applyFill="1" applyBorder="1" applyAlignment="1">
      <alignment horizontal="center" vertical="center"/>
    </xf>
    <xf numFmtId="1" fontId="11" fillId="22" borderId="3" xfId="0" applyNumberFormat="1" applyFont="1" applyFill="1" applyBorder="1" applyAlignment="1">
      <alignment horizontal="center" vertical="center" wrapText="1"/>
    </xf>
    <xf numFmtId="1" fontId="11" fillId="22" borderId="4" xfId="0" applyNumberFormat="1" applyFont="1" applyFill="1" applyBorder="1" applyAlignment="1">
      <alignment horizontal="center" vertical="center" wrapText="1"/>
    </xf>
    <xf numFmtId="1" fontId="11" fillId="22" borderId="0" xfId="0" applyNumberFormat="1" applyFont="1" applyFill="1" applyBorder="1" applyAlignment="1">
      <alignment horizontal="center" vertical="center" wrapText="1"/>
    </xf>
    <xf numFmtId="1" fontId="11" fillId="22" borderId="28" xfId="0" applyNumberFormat="1" applyFont="1" applyFill="1" applyBorder="1" applyAlignment="1">
      <alignment horizontal="center" vertical="center" wrapText="1"/>
    </xf>
    <xf numFmtId="1" fontId="11" fillId="22" borderId="6" xfId="0" applyNumberFormat="1" applyFont="1" applyFill="1" applyBorder="1" applyAlignment="1">
      <alignment horizontal="center" vertical="center" wrapText="1"/>
    </xf>
    <xf numFmtId="1" fontId="11" fillId="22" borderId="7" xfId="0" applyNumberFormat="1" applyFont="1" applyFill="1" applyBorder="1" applyAlignment="1">
      <alignment horizontal="center" vertical="center" wrapText="1"/>
    </xf>
    <xf numFmtId="1" fontId="9" fillId="22" borderId="8" xfId="0" applyNumberFormat="1" applyFont="1" applyFill="1" applyBorder="1" applyAlignment="1">
      <alignment horizontal="center" vertical="center"/>
    </xf>
    <xf numFmtId="1" fontId="9" fillId="22" borderId="10" xfId="0" applyNumberFormat="1" applyFont="1" applyFill="1" applyBorder="1" applyAlignment="1">
      <alignment horizontal="center" vertical="center"/>
    </xf>
    <xf numFmtId="1" fontId="9" fillId="22" borderId="4" xfId="0" applyNumberFormat="1" applyFont="1" applyFill="1" applyBorder="1" applyAlignment="1">
      <alignment horizontal="center" vertical="center"/>
    </xf>
    <xf numFmtId="1" fontId="9" fillId="22" borderId="7" xfId="0" applyNumberFormat="1" applyFont="1" applyFill="1" applyBorder="1" applyAlignment="1">
      <alignment horizontal="center" vertical="center"/>
    </xf>
    <xf numFmtId="1" fontId="9" fillId="22" borderId="11" xfId="0" applyNumberFormat="1" applyFont="1" applyFill="1" applyBorder="1" applyAlignment="1">
      <alignment horizontal="center" vertical="center"/>
    </xf>
    <xf numFmtId="1" fontId="9" fillId="22" borderId="29" xfId="0" applyNumberFormat="1" applyFont="1" applyFill="1" applyBorder="1" applyAlignment="1">
      <alignment horizontal="center" vertical="center"/>
    </xf>
    <xf numFmtId="1" fontId="89" fillId="12" borderId="2" xfId="0" applyNumberFormat="1" applyFont="1" applyFill="1" applyBorder="1" applyAlignment="1">
      <alignment vertical="center"/>
    </xf>
    <xf numFmtId="1" fontId="89" fillId="12" borderId="3" xfId="0" applyNumberFormat="1" applyFont="1" applyFill="1" applyBorder="1" applyAlignment="1">
      <alignment vertical="center"/>
    </xf>
    <xf numFmtId="1" fontId="89" fillId="12" borderId="4" xfId="0" applyNumberFormat="1" applyFont="1" applyFill="1" applyBorder="1" applyAlignment="1">
      <alignment vertical="center"/>
    </xf>
    <xf numFmtId="1" fontId="89" fillId="12" borderId="5" xfId="0" applyNumberFormat="1" applyFont="1" applyFill="1" applyBorder="1" applyAlignment="1">
      <alignment vertical="center"/>
    </xf>
    <xf numFmtId="1" fontId="89" fillId="12" borderId="6" xfId="0" applyNumberFormat="1" applyFont="1" applyFill="1" applyBorder="1" applyAlignment="1">
      <alignment vertical="center"/>
    </xf>
    <xf numFmtId="1" fontId="89" fillId="12" borderId="7" xfId="0" applyNumberFormat="1" applyFont="1" applyFill="1" applyBorder="1" applyAlignment="1">
      <alignment vertical="center"/>
    </xf>
    <xf numFmtId="1" fontId="9" fillId="46" borderId="8" xfId="0" applyNumberFormat="1" applyFont="1" applyFill="1" applyBorder="1" applyAlignment="1">
      <alignment horizontal="center" vertical="center"/>
    </xf>
    <xf numFmtId="1" fontId="9" fillId="46" borderId="10" xfId="0" applyNumberFormat="1" applyFont="1" applyFill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/>
    </xf>
    <xf numFmtId="1" fontId="8" fillId="0" borderId="26" xfId="0" applyNumberFormat="1" applyFont="1" applyBorder="1" applyAlignment="1">
      <alignment horizontal="center"/>
    </xf>
    <xf numFmtId="1" fontId="8" fillId="0" borderId="29" xfId="0" applyNumberFormat="1" applyFont="1" applyBorder="1" applyAlignment="1">
      <alignment horizontal="center"/>
    </xf>
    <xf numFmtId="165" fontId="8" fillId="0" borderId="32" xfId="0" applyFont="1" applyBorder="1" applyAlignment="1">
      <alignment horizontal="center" wrapText="1"/>
    </xf>
    <xf numFmtId="165" fontId="8" fillId="0" borderId="22" xfId="0" applyFont="1" applyBorder="1" applyAlignment="1">
      <alignment horizontal="center" wrapText="1"/>
    </xf>
    <xf numFmtId="165" fontId="44" fillId="0" borderId="3" xfId="0" applyFont="1" applyBorder="1" applyAlignment="1">
      <alignment horizontal="center" vertical="center"/>
    </xf>
    <xf numFmtId="165" fontId="8" fillId="0" borderId="8" xfId="0" applyFont="1" applyBorder="1" applyAlignment="1">
      <alignment horizontal="center" wrapText="1"/>
    </xf>
    <xf numFmtId="165" fontId="8" fillId="0" borderId="9" xfId="0" applyFont="1" applyBorder="1" applyAlignment="1">
      <alignment horizontal="center" wrapText="1"/>
    </xf>
    <xf numFmtId="165" fontId="9" fillId="25" borderId="2" xfId="0" applyFont="1" applyFill="1" applyBorder="1" applyAlignment="1">
      <alignment horizontal="center" vertical="center" wrapText="1"/>
    </xf>
    <xf numFmtId="165" fontId="9" fillId="25" borderId="3" xfId="0" applyFont="1" applyFill="1" applyBorder="1" applyAlignment="1">
      <alignment horizontal="center" vertical="center" wrapText="1"/>
    </xf>
    <xf numFmtId="165" fontId="9" fillId="25" borderId="27" xfId="0" applyFont="1" applyFill="1" applyBorder="1" applyAlignment="1">
      <alignment horizontal="center" vertical="center" wrapText="1"/>
    </xf>
    <xf numFmtId="165" fontId="9" fillId="25" borderId="0" xfId="0" applyFont="1" applyFill="1" applyAlignment="1">
      <alignment horizontal="center" vertical="center" wrapText="1"/>
    </xf>
    <xf numFmtId="165" fontId="0" fillId="0" borderId="11" xfId="0" applyBorder="1" applyAlignment="1">
      <alignment horizontal="center"/>
    </xf>
    <xf numFmtId="165" fontId="0" fillId="0" borderId="26" xfId="0" applyBorder="1" applyAlignment="1">
      <alignment horizontal="center"/>
    </xf>
    <xf numFmtId="165" fontId="0" fillId="0" borderId="29" xfId="0" applyBorder="1" applyAlignment="1">
      <alignment horizontal="center"/>
    </xf>
    <xf numFmtId="165" fontId="44" fillId="0" borderId="3" xfId="0" applyFont="1" applyBorder="1" applyAlignment="1">
      <alignment horizontal="left" vertical="center"/>
    </xf>
    <xf numFmtId="3" fontId="9" fillId="2" borderId="8" xfId="0" applyNumberFormat="1" applyFont="1" applyFill="1" applyBorder="1" applyAlignment="1">
      <alignment horizontal="center" vertical="center"/>
    </xf>
    <xf numFmtId="3" fontId="9" fillId="2" borderId="10" xfId="0" applyNumberFormat="1" applyFont="1" applyFill="1" applyBorder="1" applyAlignment="1">
      <alignment horizontal="center" vertical="center"/>
    </xf>
    <xf numFmtId="165" fontId="9" fillId="2" borderId="8" xfId="0" applyFont="1" applyFill="1" applyBorder="1" applyAlignment="1">
      <alignment horizontal="center" vertical="center"/>
    </xf>
    <xf numFmtId="165" fontId="9" fillId="2" borderId="10" xfId="0" applyFont="1" applyFill="1" applyBorder="1" applyAlignment="1">
      <alignment horizontal="center" vertical="center"/>
    </xf>
    <xf numFmtId="1" fontId="9" fillId="2" borderId="8" xfId="0" applyNumberFormat="1" applyFont="1" applyFill="1" applyBorder="1" applyAlignment="1">
      <alignment horizontal="center" vertical="center" wrapText="1"/>
    </xf>
    <xf numFmtId="1" fontId="9" fillId="2" borderId="9" xfId="0" applyNumberFormat="1" applyFont="1" applyFill="1" applyBorder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vertical="center" wrapText="1"/>
    </xf>
    <xf numFmtId="165" fontId="9" fillId="0" borderId="0" xfId="0" applyFont="1" applyFill="1" applyBorder="1" applyAlignment="1">
      <alignment horizontal="center" vertical="center"/>
    </xf>
    <xf numFmtId="165" fontId="9" fillId="25" borderId="4" xfId="0" applyFont="1" applyFill="1" applyBorder="1" applyAlignment="1">
      <alignment horizontal="center" vertical="center" wrapText="1"/>
    </xf>
    <xf numFmtId="165" fontId="9" fillId="25" borderId="28" xfId="0" applyFont="1" applyFill="1" applyBorder="1" applyAlignment="1">
      <alignment horizontal="center" vertical="center" wrapText="1"/>
    </xf>
    <xf numFmtId="165" fontId="9" fillId="25" borderId="5" xfId="0" applyFont="1" applyFill="1" applyBorder="1" applyAlignment="1">
      <alignment horizontal="center" vertical="center" wrapText="1"/>
    </xf>
    <xf numFmtId="165" fontId="9" fillId="25" borderId="7" xfId="0" applyFont="1" applyFill="1" applyBorder="1" applyAlignment="1">
      <alignment horizontal="center" vertical="center" wrapText="1"/>
    </xf>
    <xf numFmtId="1" fontId="0" fillId="0" borderId="39" xfId="0" applyNumberFormat="1" applyBorder="1" applyAlignment="1">
      <alignment horizontal="left" vertical="center" wrapText="1"/>
    </xf>
    <xf numFmtId="165" fontId="15" fillId="3" borderId="8" xfId="2" applyFont="1" applyFill="1" applyBorder="1" applyAlignment="1">
      <alignment horizontal="center" vertical="center"/>
    </xf>
    <xf numFmtId="165" fontId="15" fillId="3" borderId="9" xfId="2" applyFont="1" applyFill="1" applyBorder="1" applyAlignment="1">
      <alignment horizontal="center" vertical="center"/>
    </xf>
    <xf numFmtId="165" fontId="15" fillId="3" borderId="23" xfId="2" applyFont="1" applyFill="1" applyBorder="1" applyAlignment="1">
      <alignment horizontal="center" vertical="center"/>
    </xf>
    <xf numFmtId="2" fontId="11" fillId="0" borderId="8" xfId="0" applyNumberFormat="1" applyFont="1" applyFill="1" applyBorder="1" applyAlignment="1">
      <alignment horizontal="center" vertical="center"/>
    </xf>
    <xf numFmtId="2" fontId="11" fillId="0" borderId="9" xfId="0" applyNumberFormat="1" applyFont="1" applyFill="1" applyBorder="1" applyAlignment="1">
      <alignment horizontal="center" vertical="center"/>
    </xf>
    <xf numFmtId="2" fontId="11" fillId="0" borderId="10" xfId="0" applyNumberFormat="1" applyFont="1" applyFill="1" applyBorder="1" applyAlignment="1">
      <alignment horizontal="center" vertical="center"/>
    </xf>
    <xf numFmtId="1" fontId="0" fillId="0" borderId="30" xfId="0" applyNumberFormat="1" applyBorder="1" applyAlignment="1">
      <alignment horizontal="center"/>
    </xf>
    <xf numFmtId="165" fontId="77" fillId="23" borderId="2" xfId="0" applyFont="1" applyFill="1" applyBorder="1" applyAlignment="1">
      <alignment horizontal="center" vertical="center" wrapText="1"/>
    </xf>
    <xf numFmtId="165" fontId="77" fillId="23" borderId="3" xfId="0" applyFont="1" applyFill="1" applyBorder="1" applyAlignment="1">
      <alignment horizontal="center" vertical="center" wrapText="1"/>
    </xf>
    <xf numFmtId="165" fontId="77" fillId="23" borderId="4" xfId="0" applyFont="1" applyFill="1" applyBorder="1" applyAlignment="1">
      <alignment horizontal="center" vertical="center" wrapText="1"/>
    </xf>
    <xf numFmtId="165" fontId="77" fillId="23" borderId="27" xfId="0" applyFont="1" applyFill="1" applyBorder="1" applyAlignment="1">
      <alignment horizontal="center" vertical="center" wrapText="1"/>
    </xf>
    <xf numFmtId="165" fontId="77" fillId="23" borderId="0" xfId="0" applyFont="1" applyFill="1" applyBorder="1" applyAlignment="1">
      <alignment horizontal="center" vertical="center" wrapText="1"/>
    </xf>
    <xf numFmtId="165" fontId="77" fillId="23" borderId="28" xfId="0" applyFont="1" applyFill="1" applyBorder="1" applyAlignment="1">
      <alignment horizontal="center" vertical="center" wrapText="1"/>
    </xf>
    <xf numFmtId="165" fontId="77" fillId="23" borderId="5" xfId="0" applyFont="1" applyFill="1" applyBorder="1" applyAlignment="1">
      <alignment horizontal="center" vertical="center" wrapText="1"/>
    </xf>
    <xf numFmtId="165" fontId="77" fillId="23" borderId="6" xfId="0" applyFont="1" applyFill="1" applyBorder="1" applyAlignment="1">
      <alignment horizontal="center" vertical="center" wrapText="1"/>
    </xf>
    <xf numFmtId="165" fontId="77" fillId="23" borderId="7" xfId="0" applyFont="1" applyFill="1" applyBorder="1" applyAlignment="1">
      <alignment horizontal="center" vertical="center" wrapText="1"/>
    </xf>
    <xf numFmtId="164" fontId="46" fillId="10" borderId="37" xfId="0" applyNumberFormat="1" applyFont="1" applyFill="1" applyBorder="1" applyAlignment="1">
      <alignment horizontal="center" vertical="center"/>
    </xf>
    <xf numFmtId="164" fontId="46" fillId="10" borderId="30" xfId="0" applyNumberFormat="1" applyFont="1" applyFill="1" applyBorder="1" applyAlignment="1">
      <alignment horizontal="center" vertical="center"/>
    </xf>
    <xf numFmtId="164" fontId="46" fillId="10" borderId="39" xfId="0" applyNumberFormat="1" applyFont="1" applyFill="1" applyBorder="1" applyAlignment="1">
      <alignment horizontal="center" vertical="center"/>
    </xf>
    <xf numFmtId="165" fontId="9" fillId="0" borderId="37" xfId="0" applyFont="1" applyBorder="1" applyAlignment="1">
      <alignment horizontal="left" vertical="center" wrapText="1"/>
    </xf>
    <xf numFmtId="165" fontId="9" fillId="0" borderId="30" xfId="0" applyFont="1" applyBorder="1" applyAlignment="1">
      <alignment horizontal="left" vertical="center" wrapText="1"/>
    </xf>
    <xf numFmtId="165" fontId="9" fillId="0" borderId="39" xfId="0" applyFont="1" applyBorder="1" applyAlignment="1">
      <alignment horizontal="left" vertical="center" wrapText="1"/>
    </xf>
    <xf numFmtId="165" fontId="8" fillId="0" borderId="37" xfId="0" applyFont="1" applyBorder="1" applyAlignment="1">
      <alignment horizontal="center" vertical="center"/>
    </xf>
    <xf numFmtId="165" fontId="8" fillId="0" borderId="30" xfId="0" applyFont="1" applyBorder="1" applyAlignment="1">
      <alignment horizontal="center" vertical="center"/>
    </xf>
    <xf numFmtId="165" fontId="8" fillId="0" borderId="39" xfId="0" applyFont="1" applyBorder="1" applyAlignment="1">
      <alignment horizontal="center" vertical="center"/>
    </xf>
    <xf numFmtId="165" fontId="0" fillId="0" borderId="37" xfId="0" applyBorder="1" applyAlignment="1">
      <alignment horizontal="center"/>
    </xf>
    <xf numFmtId="165" fontId="0" fillId="0" borderId="30" xfId="0" applyBorder="1" applyAlignment="1">
      <alignment horizontal="center"/>
    </xf>
    <xf numFmtId="165" fontId="0" fillId="0" borderId="39" xfId="0" applyBorder="1" applyAlignment="1">
      <alignment horizontal="center"/>
    </xf>
    <xf numFmtId="167" fontId="46" fillId="10" borderId="11" xfId="0" applyNumberFormat="1" applyFont="1" applyFill="1" applyBorder="1" applyAlignment="1">
      <alignment horizontal="center" vertical="center"/>
    </xf>
    <xf numFmtId="167" fontId="46" fillId="10" borderId="26" xfId="0" applyNumberFormat="1" applyFont="1" applyFill="1" applyBorder="1" applyAlignment="1">
      <alignment horizontal="center" vertical="center"/>
    </xf>
    <xf numFmtId="167" fontId="46" fillId="10" borderId="29" xfId="0" applyNumberFormat="1" applyFont="1" applyFill="1" applyBorder="1" applyAlignment="1">
      <alignment horizontal="center" vertical="center"/>
    </xf>
    <xf numFmtId="165" fontId="8" fillId="0" borderId="37" xfId="0" applyFont="1" applyBorder="1" applyAlignment="1">
      <alignment horizontal="left" vertical="center" wrapText="1"/>
    </xf>
    <xf numFmtId="165" fontId="8" fillId="0" borderId="30" xfId="0" applyFont="1" applyBorder="1" applyAlignment="1">
      <alignment horizontal="left" vertical="center" wrapText="1"/>
    </xf>
    <xf numFmtId="165" fontId="8" fillId="0" borderId="39" xfId="0" applyFont="1" applyBorder="1" applyAlignment="1">
      <alignment horizontal="left" vertical="center" wrapText="1"/>
    </xf>
    <xf numFmtId="165" fontId="9" fillId="12" borderId="37" xfId="0" applyFont="1" applyFill="1" applyBorder="1" applyAlignment="1">
      <alignment horizontal="left" vertical="center"/>
    </xf>
    <xf numFmtId="165" fontId="9" fillId="12" borderId="30" xfId="0" applyFont="1" applyFill="1" applyBorder="1" applyAlignment="1">
      <alignment horizontal="left" vertical="center"/>
    </xf>
    <xf numFmtId="165" fontId="9" fillId="12" borderId="39" xfId="0" applyFont="1" applyFill="1" applyBorder="1" applyAlignment="1">
      <alignment horizontal="left" vertical="center"/>
    </xf>
    <xf numFmtId="165" fontId="0" fillId="12" borderId="37" xfId="0" applyFill="1" applyBorder="1" applyAlignment="1">
      <alignment horizontal="center"/>
    </xf>
    <xf numFmtId="165" fontId="0" fillId="12" borderId="30" xfId="0" applyFill="1" applyBorder="1" applyAlignment="1">
      <alignment horizontal="center"/>
    </xf>
    <xf numFmtId="165" fontId="0" fillId="12" borderId="39" xfId="0" applyFill="1" applyBorder="1" applyAlignment="1">
      <alignment horizontal="center"/>
    </xf>
    <xf numFmtId="165" fontId="0" fillId="0" borderId="11" xfId="0" applyBorder="1" applyAlignment="1">
      <alignment horizontal="center" vertical="center"/>
    </xf>
    <xf numFmtId="165" fontId="0" fillId="0" borderId="26" xfId="0" applyBorder="1" applyAlignment="1">
      <alignment horizontal="center" vertical="center"/>
    </xf>
    <xf numFmtId="165" fontId="0" fillId="0" borderId="41" xfId="0" applyBorder="1" applyAlignment="1">
      <alignment horizontal="center" vertical="center"/>
    </xf>
    <xf numFmtId="165" fontId="0" fillId="0" borderId="43" xfId="0" applyBorder="1" applyAlignment="1">
      <alignment horizontal="center" vertical="center"/>
    </xf>
    <xf numFmtId="165" fontId="0" fillId="0" borderId="29" xfId="0" applyBorder="1" applyAlignment="1">
      <alignment horizontal="center" vertical="center"/>
    </xf>
    <xf numFmtId="165" fontId="8" fillId="0" borderId="43" xfId="0" applyFont="1" applyBorder="1" applyAlignment="1">
      <alignment horizontal="center" vertical="center"/>
    </xf>
    <xf numFmtId="165" fontId="8" fillId="0" borderId="26" xfId="0" applyFont="1" applyBorder="1" applyAlignment="1">
      <alignment horizontal="center" vertical="center"/>
    </xf>
    <xf numFmtId="165" fontId="8" fillId="0" borderId="29" xfId="0" applyFont="1" applyBorder="1" applyAlignment="1">
      <alignment horizontal="center" vertical="center"/>
    </xf>
    <xf numFmtId="165" fontId="0" fillId="0" borderId="43" xfId="0" applyBorder="1" applyAlignment="1">
      <alignment horizontal="center"/>
    </xf>
    <xf numFmtId="167" fontId="46" fillId="10" borderId="43" xfId="4" applyNumberFormat="1" applyFont="1" applyFill="1" applyBorder="1" applyAlignment="1">
      <alignment horizontal="center" vertical="center"/>
    </xf>
    <xf numFmtId="167" fontId="46" fillId="10" borderId="26" xfId="4" applyNumberFormat="1" applyFont="1" applyFill="1" applyBorder="1" applyAlignment="1">
      <alignment horizontal="center" vertical="center"/>
    </xf>
    <xf numFmtId="167" fontId="46" fillId="10" borderId="29" xfId="4" applyNumberFormat="1" applyFont="1" applyFill="1" applyBorder="1" applyAlignment="1">
      <alignment horizontal="center" vertical="center"/>
    </xf>
    <xf numFmtId="165" fontId="9" fillId="0" borderId="41" xfId="0" applyFont="1" applyBorder="1" applyAlignment="1">
      <alignment horizontal="left" vertical="center" wrapText="1"/>
    </xf>
    <xf numFmtId="165" fontId="9" fillId="0" borderId="43" xfId="0" applyFont="1" applyBorder="1" applyAlignment="1">
      <alignment horizontal="left" vertical="center" wrapText="1"/>
    </xf>
    <xf numFmtId="165" fontId="8" fillId="0" borderId="41" xfId="0" applyFont="1" applyBorder="1" applyAlignment="1">
      <alignment horizontal="center" vertical="center"/>
    </xf>
    <xf numFmtId="165" fontId="0" fillId="0" borderId="41" xfId="0" applyBorder="1" applyAlignment="1">
      <alignment horizontal="center"/>
    </xf>
    <xf numFmtId="167" fontId="46" fillId="10" borderId="30" xfId="4" applyNumberFormat="1" applyFont="1" applyFill="1" applyBorder="1" applyAlignment="1">
      <alignment horizontal="center" vertical="center"/>
    </xf>
    <xf numFmtId="167" fontId="46" fillId="10" borderId="39" xfId="4" applyNumberFormat="1" applyFont="1" applyFill="1" applyBorder="1" applyAlignment="1">
      <alignment horizontal="center" vertical="center"/>
    </xf>
    <xf numFmtId="167" fontId="46" fillId="10" borderId="37" xfId="4" applyNumberFormat="1" applyFont="1" applyFill="1" applyBorder="1" applyAlignment="1">
      <alignment horizontal="center" vertical="center"/>
    </xf>
    <xf numFmtId="164" fontId="46" fillId="26" borderId="43" xfId="0" applyNumberFormat="1" applyFont="1" applyFill="1" applyBorder="1" applyAlignment="1" applyProtection="1">
      <alignment horizontal="center" vertical="center"/>
      <protection hidden="1"/>
    </xf>
    <xf numFmtId="164" fontId="46" fillId="26" borderId="26" xfId="0" applyNumberFormat="1" applyFont="1" applyFill="1" applyBorder="1" applyAlignment="1" applyProtection="1">
      <alignment horizontal="center" vertical="center"/>
      <protection hidden="1"/>
    </xf>
    <xf numFmtId="164" fontId="46" fillId="26" borderId="29" xfId="0" applyNumberFormat="1" applyFont="1" applyFill="1" applyBorder="1" applyAlignment="1" applyProtection="1">
      <alignment horizontal="center" vertical="center"/>
      <protection hidden="1"/>
    </xf>
    <xf numFmtId="165" fontId="8" fillId="0" borderId="11" xfId="0" applyFont="1" applyBorder="1" applyAlignment="1">
      <alignment horizontal="center" vertical="center"/>
    </xf>
    <xf numFmtId="167" fontId="46" fillId="10" borderId="11" xfId="4" applyNumberFormat="1" applyFont="1" applyFill="1" applyBorder="1" applyAlignment="1">
      <alignment horizontal="center" vertical="center"/>
    </xf>
    <xf numFmtId="167" fontId="46" fillId="10" borderId="41" xfId="4" applyNumberFormat="1" applyFont="1" applyFill="1" applyBorder="1" applyAlignment="1">
      <alignment horizontal="center" vertical="center"/>
    </xf>
    <xf numFmtId="165" fontId="9" fillId="0" borderId="30" xfId="0" applyFont="1" applyBorder="1" applyAlignment="1">
      <alignment horizontal="left" vertical="center"/>
    </xf>
    <xf numFmtId="165" fontId="9" fillId="0" borderId="39" xfId="0" applyFont="1" applyBorder="1" applyAlignment="1">
      <alignment horizontal="left" vertical="center"/>
    </xf>
    <xf numFmtId="164" fontId="46" fillId="26" borderId="41" xfId="0" applyNumberFormat="1" applyFont="1" applyFill="1" applyBorder="1" applyAlignment="1" applyProtection="1">
      <alignment horizontal="center" vertical="center"/>
      <protection hidden="1"/>
    </xf>
    <xf numFmtId="165" fontId="0" fillId="0" borderId="30" xfId="0" applyBorder="1" applyAlignment="1">
      <alignment horizontal="center" vertical="center"/>
    </xf>
    <xf numFmtId="165" fontId="0" fillId="0" borderId="39" xfId="0" applyBorder="1" applyAlignment="1">
      <alignment horizontal="center" vertical="center"/>
    </xf>
    <xf numFmtId="165" fontId="9" fillId="0" borderId="37" xfId="0" applyFont="1" applyBorder="1" applyAlignment="1">
      <alignment horizontal="left" vertical="center"/>
    </xf>
    <xf numFmtId="164" fontId="46" fillId="26" borderId="11" xfId="0" applyNumberFormat="1" applyFont="1" applyFill="1" applyBorder="1" applyAlignment="1" applyProtection="1">
      <alignment horizontal="center" vertical="center"/>
      <protection hidden="1"/>
    </xf>
    <xf numFmtId="165" fontId="0" fillId="0" borderId="37" xfId="0" applyBorder="1" applyAlignment="1">
      <alignment horizontal="center" vertical="center"/>
    </xf>
    <xf numFmtId="165" fontId="71" fillId="4" borderId="20" xfId="3" applyFont="1" applyFill="1" applyBorder="1" applyAlignment="1">
      <alignment horizontal="center" vertical="center"/>
    </xf>
    <xf numFmtId="165" fontId="43" fillId="0" borderId="20" xfId="0" applyFont="1" applyBorder="1" applyAlignment="1">
      <alignment horizontal="center" vertical="center"/>
    </xf>
    <xf numFmtId="0" fontId="72" fillId="4" borderId="37" xfId="2" applyNumberFormat="1" applyFont="1" applyFill="1" applyBorder="1" applyAlignment="1">
      <alignment horizontal="center" vertical="center" wrapText="1" shrinkToFit="1"/>
    </xf>
    <xf numFmtId="0" fontId="72" fillId="4" borderId="39" xfId="2" applyNumberFormat="1" applyFont="1" applyFill="1" applyBorder="1" applyAlignment="1">
      <alignment horizontal="center" vertical="center" wrapText="1" shrinkToFit="1"/>
    </xf>
    <xf numFmtId="165" fontId="71" fillId="4" borderId="11" xfId="2" applyFont="1" applyFill="1" applyBorder="1" applyAlignment="1">
      <alignment horizontal="center" vertical="center"/>
    </xf>
    <xf numFmtId="165" fontId="71" fillId="4" borderId="29" xfId="2" applyFont="1" applyFill="1" applyBorder="1" applyAlignment="1">
      <alignment horizontal="center" vertical="center"/>
    </xf>
    <xf numFmtId="165" fontId="80" fillId="12" borderId="11" xfId="0" applyFont="1" applyFill="1" applyBorder="1" applyAlignment="1">
      <alignment horizontal="center" vertical="center"/>
    </xf>
    <xf numFmtId="165" fontId="80" fillId="12" borderId="26" xfId="0" applyFont="1" applyFill="1" applyBorder="1" applyAlignment="1">
      <alignment horizontal="center" vertical="center"/>
    </xf>
    <xf numFmtId="165" fontId="80" fillId="12" borderId="29" xfId="0" applyFont="1" applyFill="1" applyBorder="1" applyAlignment="1">
      <alignment horizontal="center" vertical="center"/>
    </xf>
    <xf numFmtId="165" fontId="80" fillId="0" borderId="11" xfId="0" applyFont="1" applyBorder="1" applyAlignment="1">
      <alignment horizontal="center" vertical="center"/>
    </xf>
    <xf numFmtId="165" fontId="80" fillId="0" borderId="26" xfId="0" applyFont="1" applyBorder="1" applyAlignment="1">
      <alignment horizontal="center" vertical="center"/>
    </xf>
    <xf numFmtId="165" fontId="80" fillId="0" borderId="29" xfId="0" applyFont="1" applyBorder="1" applyAlignment="1">
      <alignment horizontal="center" vertical="center"/>
    </xf>
    <xf numFmtId="165" fontId="80" fillId="0" borderId="11" xfId="0" applyFont="1" applyBorder="1" applyAlignment="1">
      <alignment horizontal="center" vertical="center" wrapText="1"/>
    </xf>
    <xf numFmtId="165" fontId="80" fillId="0" borderId="26" xfId="0" applyFont="1" applyBorder="1" applyAlignment="1">
      <alignment horizontal="center" vertical="center" wrapText="1"/>
    </xf>
    <xf numFmtId="165" fontId="80" fillId="0" borderId="29" xfId="0" applyFont="1" applyBorder="1" applyAlignment="1">
      <alignment horizontal="center" vertical="center" wrapText="1"/>
    </xf>
    <xf numFmtId="165" fontId="71" fillId="3" borderId="8" xfId="2" applyFont="1" applyFill="1" applyBorder="1" applyAlignment="1">
      <alignment horizontal="center" vertical="center"/>
    </xf>
    <xf numFmtId="165" fontId="71" fillId="3" borderId="9" xfId="2" applyFont="1" applyFill="1" applyBorder="1" applyAlignment="1">
      <alignment horizontal="center" vertical="center"/>
    </xf>
    <xf numFmtId="165" fontId="71" fillId="3" borderId="10" xfId="2" applyFont="1" applyFill="1" applyBorder="1" applyAlignment="1">
      <alignment horizontal="center" vertical="center"/>
    </xf>
    <xf numFmtId="167" fontId="72" fillId="3" borderId="11" xfId="2" applyNumberFormat="1" applyFont="1" applyFill="1" applyBorder="1" applyAlignment="1">
      <alignment horizontal="center" vertical="center" wrapText="1" shrinkToFit="1"/>
    </xf>
    <xf numFmtId="167" fontId="72" fillId="3" borderId="29" xfId="2" applyNumberFormat="1" applyFont="1" applyFill="1" applyBorder="1" applyAlignment="1">
      <alignment horizontal="center" vertical="center" wrapText="1" shrinkToFit="1"/>
    </xf>
    <xf numFmtId="165" fontId="0" fillId="0" borderId="70" xfId="0" applyBorder="1" applyAlignment="1">
      <alignment horizontal="center" vertical="center" wrapText="1"/>
    </xf>
    <xf numFmtId="165" fontId="0" fillId="0" borderId="59" xfId="0" applyBorder="1" applyAlignment="1">
      <alignment horizontal="center" vertical="center" wrapText="1"/>
    </xf>
    <xf numFmtId="165" fontId="0" fillId="0" borderId="60" xfId="0" applyBorder="1" applyAlignment="1">
      <alignment horizontal="center" vertical="center" wrapText="1"/>
    </xf>
    <xf numFmtId="165" fontId="30" fillId="25" borderId="2" xfId="0" applyFont="1" applyFill="1" applyBorder="1" applyAlignment="1">
      <alignment horizontal="center" vertical="center"/>
    </xf>
    <xf numFmtId="165" fontId="30" fillId="25" borderId="3" xfId="0" applyFont="1" applyFill="1" applyBorder="1" applyAlignment="1">
      <alignment horizontal="center" vertical="center"/>
    </xf>
    <xf numFmtId="165" fontId="30" fillId="25" borderId="4" xfId="0" applyFont="1" applyFill="1" applyBorder="1" applyAlignment="1">
      <alignment horizontal="center" vertical="center"/>
    </xf>
    <xf numFmtId="165" fontId="30" fillId="25" borderId="27" xfId="0" applyFont="1" applyFill="1" applyBorder="1" applyAlignment="1">
      <alignment horizontal="center" vertical="center"/>
    </xf>
    <xf numFmtId="165" fontId="30" fillId="25" borderId="0" xfId="0" applyFont="1" applyFill="1" applyBorder="1" applyAlignment="1">
      <alignment horizontal="center" vertical="center"/>
    </xf>
    <xf numFmtId="165" fontId="30" fillId="25" borderId="28" xfId="0" applyFont="1" applyFill="1" applyBorder="1" applyAlignment="1">
      <alignment horizontal="center" vertical="center"/>
    </xf>
    <xf numFmtId="165" fontId="69" fillId="41" borderId="13" xfId="9" applyNumberFormat="1" applyBorder="1" applyAlignment="1">
      <alignment horizontal="center" vertical="center"/>
    </xf>
    <xf numFmtId="165" fontId="69" fillId="41" borderId="14" xfId="9" applyNumberFormat="1" applyBorder="1" applyAlignment="1">
      <alignment horizontal="center" vertical="center"/>
    </xf>
    <xf numFmtId="165" fontId="69" fillId="41" borderId="1" xfId="9" applyNumberFormat="1" applyBorder="1" applyAlignment="1">
      <alignment horizontal="center" vertical="center"/>
    </xf>
    <xf numFmtId="165" fontId="69" fillId="41" borderId="16" xfId="9" applyNumberFormat="1" applyBorder="1" applyAlignment="1">
      <alignment horizontal="center" vertical="center"/>
    </xf>
    <xf numFmtId="165" fontId="0" fillId="0" borderId="12" xfId="0" applyBorder="1" applyAlignment="1">
      <alignment horizontal="center" vertical="center"/>
    </xf>
    <xf numFmtId="165" fontId="0" fillId="0" borderId="13" xfId="0" applyBorder="1" applyAlignment="1">
      <alignment horizontal="center" vertical="center"/>
    </xf>
    <xf numFmtId="165" fontId="0" fillId="0" borderId="67" xfId="0" applyBorder="1" applyAlignment="1">
      <alignment horizontal="center" vertical="center"/>
    </xf>
    <xf numFmtId="165" fontId="0" fillId="0" borderId="15" xfId="0" applyBorder="1" applyAlignment="1">
      <alignment horizontal="center" vertical="center"/>
    </xf>
    <xf numFmtId="165" fontId="0" fillId="0" borderId="1" xfId="0" applyBorder="1" applyAlignment="1">
      <alignment horizontal="center" vertical="center"/>
    </xf>
    <xf numFmtId="165" fontId="0" fillId="0" borderId="72" xfId="0" applyBorder="1" applyAlignment="1">
      <alignment horizontal="center" vertical="center"/>
    </xf>
    <xf numFmtId="165" fontId="0" fillId="0" borderId="17" xfId="0" applyBorder="1" applyAlignment="1">
      <alignment horizontal="center" vertical="center"/>
    </xf>
    <xf numFmtId="165" fontId="0" fillId="0" borderId="18" xfId="0" applyBorder="1" applyAlignment="1">
      <alignment horizontal="center" vertical="center"/>
    </xf>
    <xf numFmtId="165" fontId="0" fillId="0" borderId="73" xfId="0" applyBorder="1" applyAlignment="1">
      <alignment horizontal="center" vertical="center"/>
    </xf>
    <xf numFmtId="167" fontId="46" fillId="10" borderId="41" xfId="0" applyNumberFormat="1" applyFont="1" applyFill="1" applyBorder="1" applyAlignment="1">
      <alignment horizontal="center" vertical="center"/>
    </xf>
    <xf numFmtId="167" fontId="46" fillId="10" borderId="43" xfId="0" applyNumberFormat="1" applyFont="1" applyFill="1" applyBorder="1" applyAlignment="1">
      <alignment horizontal="center" vertical="center"/>
    </xf>
  </cellXfs>
  <cellStyles count="14">
    <cellStyle name="60% — акцент6" xfId="3" builtinId="52"/>
    <cellStyle name="Акцент5" xfId="2" builtinId="45"/>
    <cellStyle name="Гиперссылка" xfId="1" builtinId="8"/>
    <cellStyle name="Денежный" xfId="4" builtinId="4"/>
    <cellStyle name="Денежный [0] 2" xfId="12" xr:uid="{00000000-0005-0000-0000-000004000000}"/>
    <cellStyle name="Денежный 2" xfId="7" xr:uid="{00000000-0005-0000-0000-000005000000}"/>
    <cellStyle name="Денежный 2 2" xfId="13" xr:uid="{00000000-0005-0000-0000-000006000000}"/>
    <cellStyle name="Денежный 3" xfId="11" xr:uid="{00000000-0005-0000-0000-000007000000}"/>
    <cellStyle name="Обычный" xfId="0" builtinId="0"/>
    <cellStyle name="Обычный 2" xfId="5" xr:uid="{00000000-0005-0000-0000-000009000000}"/>
    <cellStyle name="Обычный 3" xfId="6" xr:uid="{00000000-0005-0000-0000-00000A000000}"/>
    <cellStyle name="Обычный 4" xfId="8" xr:uid="{00000000-0005-0000-0000-00000B000000}"/>
    <cellStyle name="Плохой" xfId="10" builtinId="27"/>
    <cellStyle name="Хороший" xfId="9" builtinId="26"/>
  </cellStyles>
  <dxfs count="10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theme="6" tint="-0.24994659260841701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6666"/>
      <color rgb="FFFF5050"/>
      <color rgb="FF00FF99"/>
      <color rgb="FFFF9900"/>
      <color rgb="FFFF7C80"/>
      <color rgb="FF0066FF"/>
      <color rgb="FF00FFFF"/>
      <color rgb="FF009999"/>
      <color rgb="FF00FF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ilma-rus.ru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" Type="http://schemas.openxmlformats.org/officeDocument/2006/relationships/image" Target="../media/image4.png"/><Relationship Id="rId7" Type="http://schemas.openxmlformats.org/officeDocument/2006/relationships/image" Target="../media/image8.jp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jpeg"/><Relationship Id="rId1" Type="http://schemas.openxmlformats.org/officeDocument/2006/relationships/image" Target="../media/image2.wmf"/><Relationship Id="rId6" Type="http://schemas.openxmlformats.org/officeDocument/2006/relationships/image" Target="../media/image7.jpe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19" Type="http://schemas.openxmlformats.org/officeDocument/2006/relationships/image" Target="../media/image20.jpe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.wmf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5.png"/><Relationship Id="rId18" Type="http://schemas.openxmlformats.org/officeDocument/2006/relationships/image" Target="../media/image40.png"/><Relationship Id="rId26" Type="http://schemas.openxmlformats.org/officeDocument/2006/relationships/image" Target="../media/image48.png"/><Relationship Id="rId21" Type="http://schemas.openxmlformats.org/officeDocument/2006/relationships/image" Target="../media/image43.png"/><Relationship Id="rId34" Type="http://schemas.openxmlformats.org/officeDocument/2006/relationships/image" Target="../media/image56.png"/><Relationship Id="rId7" Type="http://schemas.openxmlformats.org/officeDocument/2006/relationships/image" Target="../media/image29.png"/><Relationship Id="rId12" Type="http://schemas.openxmlformats.org/officeDocument/2006/relationships/image" Target="../media/image34.png"/><Relationship Id="rId17" Type="http://schemas.openxmlformats.org/officeDocument/2006/relationships/image" Target="../media/image39.png"/><Relationship Id="rId25" Type="http://schemas.openxmlformats.org/officeDocument/2006/relationships/image" Target="../media/image47.png"/><Relationship Id="rId33" Type="http://schemas.openxmlformats.org/officeDocument/2006/relationships/image" Target="../media/image55.png"/><Relationship Id="rId38" Type="http://schemas.openxmlformats.org/officeDocument/2006/relationships/image" Target="../media/image60.png"/><Relationship Id="rId2" Type="http://schemas.openxmlformats.org/officeDocument/2006/relationships/image" Target="../media/image24.png"/><Relationship Id="rId16" Type="http://schemas.openxmlformats.org/officeDocument/2006/relationships/image" Target="../media/image38.png"/><Relationship Id="rId20" Type="http://schemas.openxmlformats.org/officeDocument/2006/relationships/image" Target="../media/image42.png"/><Relationship Id="rId29" Type="http://schemas.openxmlformats.org/officeDocument/2006/relationships/image" Target="../media/image51.png"/><Relationship Id="rId1" Type="http://schemas.openxmlformats.org/officeDocument/2006/relationships/image" Target="../media/image23.png"/><Relationship Id="rId6" Type="http://schemas.openxmlformats.org/officeDocument/2006/relationships/image" Target="../media/image28.png"/><Relationship Id="rId11" Type="http://schemas.openxmlformats.org/officeDocument/2006/relationships/image" Target="../media/image33.png"/><Relationship Id="rId24" Type="http://schemas.openxmlformats.org/officeDocument/2006/relationships/image" Target="../media/image46.png"/><Relationship Id="rId32" Type="http://schemas.openxmlformats.org/officeDocument/2006/relationships/image" Target="../media/image54.png"/><Relationship Id="rId37" Type="http://schemas.openxmlformats.org/officeDocument/2006/relationships/image" Target="../media/image59.png"/><Relationship Id="rId5" Type="http://schemas.openxmlformats.org/officeDocument/2006/relationships/image" Target="../media/image27.png"/><Relationship Id="rId15" Type="http://schemas.openxmlformats.org/officeDocument/2006/relationships/image" Target="../media/image37.png"/><Relationship Id="rId23" Type="http://schemas.openxmlformats.org/officeDocument/2006/relationships/image" Target="../media/image45.png"/><Relationship Id="rId28" Type="http://schemas.openxmlformats.org/officeDocument/2006/relationships/image" Target="../media/image50.png"/><Relationship Id="rId36" Type="http://schemas.openxmlformats.org/officeDocument/2006/relationships/image" Target="../media/image58.png"/><Relationship Id="rId10" Type="http://schemas.openxmlformats.org/officeDocument/2006/relationships/image" Target="../media/image32.png"/><Relationship Id="rId19" Type="http://schemas.openxmlformats.org/officeDocument/2006/relationships/image" Target="../media/image41.png"/><Relationship Id="rId31" Type="http://schemas.openxmlformats.org/officeDocument/2006/relationships/image" Target="../media/image53.png"/><Relationship Id="rId4" Type="http://schemas.openxmlformats.org/officeDocument/2006/relationships/image" Target="../media/image26.png"/><Relationship Id="rId9" Type="http://schemas.openxmlformats.org/officeDocument/2006/relationships/image" Target="../media/image31.png"/><Relationship Id="rId14" Type="http://schemas.openxmlformats.org/officeDocument/2006/relationships/image" Target="../media/image36.png"/><Relationship Id="rId22" Type="http://schemas.openxmlformats.org/officeDocument/2006/relationships/image" Target="../media/image44.png"/><Relationship Id="rId27" Type="http://schemas.openxmlformats.org/officeDocument/2006/relationships/image" Target="../media/image49.png"/><Relationship Id="rId30" Type="http://schemas.openxmlformats.org/officeDocument/2006/relationships/image" Target="../media/image52.png"/><Relationship Id="rId35" Type="http://schemas.openxmlformats.org/officeDocument/2006/relationships/image" Target="../media/image57.png"/><Relationship Id="rId8" Type="http://schemas.openxmlformats.org/officeDocument/2006/relationships/image" Target="../media/image30.png"/><Relationship Id="rId3" Type="http://schemas.openxmlformats.org/officeDocument/2006/relationships/image" Target="../media/image2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2.png"/><Relationship Id="rId13" Type="http://schemas.openxmlformats.org/officeDocument/2006/relationships/image" Target="../media/image77.png"/><Relationship Id="rId18" Type="http://schemas.openxmlformats.org/officeDocument/2006/relationships/image" Target="../media/image82.png"/><Relationship Id="rId26" Type="http://schemas.openxmlformats.org/officeDocument/2006/relationships/image" Target="../media/image90.png"/><Relationship Id="rId3" Type="http://schemas.openxmlformats.org/officeDocument/2006/relationships/image" Target="../media/image67.png"/><Relationship Id="rId21" Type="http://schemas.openxmlformats.org/officeDocument/2006/relationships/image" Target="../media/image85.png"/><Relationship Id="rId7" Type="http://schemas.openxmlformats.org/officeDocument/2006/relationships/image" Target="../media/image71.png"/><Relationship Id="rId12" Type="http://schemas.openxmlformats.org/officeDocument/2006/relationships/image" Target="../media/image76.png"/><Relationship Id="rId17" Type="http://schemas.openxmlformats.org/officeDocument/2006/relationships/image" Target="../media/image81.png"/><Relationship Id="rId25" Type="http://schemas.openxmlformats.org/officeDocument/2006/relationships/image" Target="../media/image89.png"/><Relationship Id="rId2" Type="http://schemas.openxmlformats.org/officeDocument/2006/relationships/image" Target="../media/image66.png"/><Relationship Id="rId16" Type="http://schemas.openxmlformats.org/officeDocument/2006/relationships/image" Target="../media/image80.png"/><Relationship Id="rId20" Type="http://schemas.openxmlformats.org/officeDocument/2006/relationships/image" Target="../media/image84.png"/><Relationship Id="rId29" Type="http://schemas.openxmlformats.org/officeDocument/2006/relationships/image" Target="../media/image93.png"/><Relationship Id="rId1" Type="http://schemas.openxmlformats.org/officeDocument/2006/relationships/image" Target="../media/image65.png"/><Relationship Id="rId6" Type="http://schemas.openxmlformats.org/officeDocument/2006/relationships/image" Target="../media/image70.png"/><Relationship Id="rId11" Type="http://schemas.openxmlformats.org/officeDocument/2006/relationships/image" Target="../media/image75.png"/><Relationship Id="rId24" Type="http://schemas.openxmlformats.org/officeDocument/2006/relationships/image" Target="../media/image88.png"/><Relationship Id="rId5" Type="http://schemas.openxmlformats.org/officeDocument/2006/relationships/image" Target="../media/image69.png"/><Relationship Id="rId15" Type="http://schemas.openxmlformats.org/officeDocument/2006/relationships/image" Target="../media/image79.png"/><Relationship Id="rId23" Type="http://schemas.openxmlformats.org/officeDocument/2006/relationships/image" Target="../media/image87.png"/><Relationship Id="rId28" Type="http://schemas.openxmlformats.org/officeDocument/2006/relationships/image" Target="../media/image92.png"/><Relationship Id="rId10" Type="http://schemas.openxmlformats.org/officeDocument/2006/relationships/image" Target="../media/image74.png"/><Relationship Id="rId19" Type="http://schemas.openxmlformats.org/officeDocument/2006/relationships/image" Target="../media/image83.png"/><Relationship Id="rId4" Type="http://schemas.openxmlformats.org/officeDocument/2006/relationships/image" Target="../media/image68.png"/><Relationship Id="rId9" Type="http://schemas.openxmlformats.org/officeDocument/2006/relationships/image" Target="../media/image73.png"/><Relationship Id="rId14" Type="http://schemas.openxmlformats.org/officeDocument/2006/relationships/image" Target="../media/image78.png"/><Relationship Id="rId22" Type="http://schemas.openxmlformats.org/officeDocument/2006/relationships/image" Target="../media/image86.png"/><Relationship Id="rId27" Type="http://schemas.openxmlformats.org/officeDocument/2006/relationships/image" Target="../media/image91.png"/><Relationship Id="rId30" Type="http://schemas.openxmlformats.org/officeDocument/2006/relationships/image" Target="../media/image9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7.png"/><Relationship Id="rId2" Type="http://schemas.openxmlformats.org/officeDocument/2006/relationships/image" Target="../media/image96.png"/><Relationship Id="rId1" Type="http://schemas.openxmlformats.org/officeDocument/2006/relationships/image" Target="../media/image95.png"/><Relationship Id="rId6" Type="http://schemas.openxmlformats.org/officeDocument/2006/relationships/image" Target="../media/image100.png"/><Relationship Id="rId5" Type="http://schemas.openxmlformats.org/officeDocument/2006/relationships/image" Target="../media/image99.png"/><Relationship Id="rId4" Type="http://schemas.openxmlformats.org/officeDocument/2006/relationships/image" Target="../media/image98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2.png"/><Relationship Id="rId13" Type="http://schemas.openxmlformats.org/officeDocument/2006/relationships/image" Target="../media/image107.png"/><Relationship Id="rId18" Type="http://schemas.openxmlformats.org/officeDocument/2006/relationships/image" Target="../media/image112.png"/><Relationship Id="rId3" Type="http://schemas.openxmlformats.org/officeDocument/2006/relationships/image" Target="../media/image97.png"/><Relationship Id="rId7" Type="http://schemas.openxmlformats.org/officeDocument/2006/relationships/image" Target="../media/image101.png"/><Relationship Id="rId12" Type="http://schemas.openxmlformats.org/officeDocument/2006/relationships/image" Target="../media/image106.png"/><Relationship Id="rId17" Type="http://schemas.openxmlformats.org/officeDocument/2006/relationships/image" Target="../media/image111.png"/><Relationship Id="rId2" Type="http://schemas.openxmlformats.org/officeDocument/2006/relationships/image" Target="../media/image96.png"/><Relationship Id="rId16" Type="http://schemas.openxmlformats.org/officeDocument/2006/relationships/image" Target="../media/image110.png"/><Relationship Id="rId20" Type="http://schemas.openxmlformats.org/officeDocument/2006/relationships/image" Target="../media/image114.png"/><Relationship Id="rId1" Type="http://schemas.openxmlformats.org/officeDocument/2006/relationships/image" Target="../media/image95.png"/><Relationship Id="rId6" Type="http://schemas.openxmlformats.org/officeDocument/2006/relationships/image" Target="../media/image100.png"/><Relationship Id="rId11" Type="http://schemas.openxmlformats.org/officeDocument/2006/relationships/image" Target="../media/image105.png"/><Relationship Id="rId5" Type="http://schemas.openxmlformats.org/officeDocument/2006/relationships/image" Target="../media/image99.png"/><Relationship Id="rId15" Type="http://schemas.openxmlformats.org/officeDocument/2006/relationships/image" Target="../media/image109.png"/><Relationship Id="rId10" Type="http://schemas.openxmlformats.org/officeDocument/2006/relationships/image" Target="../media/image104.png"/><Relationship Id="rId19" Type="http://schemas.openxmlformats.org/officeDocument/2006/relationships/image" Target="../media/image113.png"/><Relationship Id="rId4" Type="http://schemas.openxmlformats.org/officeDocument/2006/relationships/image" Target="../media/image98.png"/><Relationship Id="rId9" Type="http://schemas.openxmlformats.org/officeDocument/2006/relationships/image" Target="../media/image103.png"/><Relationship Id="rId14" Type="http://schemas.openxmlformats.org/officeDocument/2006/relationships/image" Target="../media/image10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7.png"/><Relationship Id="rId2" Type="http://schemas.openxmlformats.org/officeDocument/2006/relationships/image" Target="../media/image116.jpeg"/><Relationship Id="rId1" Type="http://schemas.openxmlformats.org/officeDocument/2006/relationships/image" Target="../media/image115.jpeg"/><Relationship Id="rId6" Type="http://schemas.openxmlformats.org/officeDocument/2006/relationships/image" Target="../media/image120.jpeg"/><Relationship Id="rId5" Type="http://schemas.openxmlformats.org/officeDocument/2006/relationships/image" Target="../media/image119.jpeg"/><Relationship Id="rId4" Type="http://schemas.openxmlformats.org/officeDocument/2006/relationships/image" Target="../media/image118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8.png"/><Relationship Id="rId13" Type="http://schemas.openxmlformats.org/officeDocument/2006/relationships/image" Target="../media/image133.png"/><Relationship Id="rId3" Type="http://schemas.openxmlformats.org/officeDocument/2006/relationships/image" Target="../media/image123.emf"/><Relationship Id="rId7" Type="http://schemas.openxmlformats.org/officeDocument/2006/relationships/image" Target="../media/image127.jpeg"/><Relationship Id="rId12" Type="http://schemas.openxmlformats.org/officeDocument/2006/relationships/image" Target="../media/image132.png"/><Relationship Id="rId2" Type="http://schemas.openxmlformats.org/officeDocument/2006/relationships/image" Target="../media/image122.emf"/><Relationship Id="rId1" Type="http://schemas.openxmlformats.org/officeDocument/2006/relationships/image" Target="../media/image121.png"/><Relationship Id="rId6" Type="http://schemas.openxmlformats.org/officeDocument/2006/relationships/image" Target="../media/image126.jpeg"/><Relationship Id="rId11" Type="http://schemas.openxmlformats.org/officeDocument/2006/relationships/image" Target="../media/image131.jpeg"/><Relationship Id="rId5" Type="http://schemas.openxmlformats.org/officeDocument/2006/relationships/image" Target="../media/image125.emf"/><Relationship Id="rId15" Type="http://schemas.openxmlformats.org/officeDocument/2006/relationships/image" Target="../media/image135.jpeg"/><Relationship Id="rId10" Type="http://schemas.openxmlformats.org/officeDocument/2006/relationships/image" Target="../media/image130.jpeg"/><Relationship Id="rId4" Type="http://schemas.openxmlformats.org/officeDocument/2006/relationships/image" Target="../media/image124.emf"/><Relationship Id="rId9" Type="http://schemas.openxmlformats.org/officeDocument/2006/relationships/image" Target="../media/image129.png"/><Relationship Id="rId14" Type="http://schemas.openxmlformats.org/officeDocument/2006/relationships/image" Target="../media/image134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3.png"/><Relationship Id="rId13" Type="http://schemas.openxmlformats.org/officeDocument/2006/relationships/image" Target="../media/image148.png"/><Relationship Id="rId18" Type="http://schemas.openxmlformats.org/officeDocument/2006/relationships/image" Target="../media/image153.png"/><Relationship Id="rId3" Type="http://schemas.openxmlformats.org/officeDocument/2006/relationships/image" Target="../media/image138.png"/><Relationship Id="rId21" Type="http://schemas.openxmlformats.org/officeDocument/2006/relationships/image" Target="../media/image156.png"/><Relationship Id="rId7" Type="http://schemas.openxmlformats.org/officeDocument/2006/relationships/image" Target="../media/image142.png"/><Relationship Id="rId12" Type="http://schemas.openxmlformats.org/officeDocument/2006/relationships/image" Target="../media/image147.png"/><Relationship Id="rId17" Type="http://schemas.openxmlformats.org/officeDocument/2006/relationships/image" Target="../media/image152.jpeg"/><Relationship Id="rId2" Type="http://schemas.openxmlformats.org/officeDocument/2006/relationships/image" Target="../media/image137.jpeg"/><Relationship Id="rId16" Type="http://schemas.openxmlformats.org/officeDocument/2006/relationships/image" Target="../media/image151.jpeg"/><Relationship Id="rId20" Type="http://schemas.openxmlformats.org/officeDocument/2006/relationships/image" Target="../media/image155.png"/><Relationship Id="rId1" Type="http://schemas.openxmlformats.org/officeDocument/2006/relationships/image" Target="../media/image136.png"/><Relationship Id="rId6" Type="http://schemas.openxmlformats.org/officeDocument/2006/relationships/image" Target="../media/image141.jpeg"/><Relationship Id="rId11" Type="http://schemas.openxmlformats.org/officeDocument/2006/relationships/image" Target="../media/image146.png"/><Relationship Id="rId5" Type="http://schemas.openxmlformats.org/officeDocument/2006/relationships/image" Target="../media/image140.jpeg"/><Relationship Id="rId15" Type="http://schemas.openxmlformats.org/officeDocument/2006/relationships/image" Target="../media/image150.png"/><Relationship Id="rId10" Type="http://schemas.openxmlformats.org/officeDocument/2006/relationships/image" Target="../media/image145.png"/><Relationship Id="rId19" Type="http://schemas.openxmlformats.org/officeDocument/2006/relationships/image" Target="../media/image154.jpeg"/><Relationship Id="rId4" Type="http://schemas.openxmlformats.org/officeDocument/2006/relationships/image" Target="../media/image139.png"/><Relationship Id="rId9" Type="http://schemas.openxmlformats.org/officeDocument/2006/relationships/image" Target="../media/image144.png"/><Relationship Id="rId14" Type="http://schemas.openxmlformats.org/officeDocument/2006/relationships/image" Target="../media/image149.png"/><Relationship Id="rId22" Type="http://schemas.openxmlformats.org/officeDocument/2006/relationships/image" Target="../media/image1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581026</xdr:colOff>
      <xdr:row>0</xdr:row>
      <xdr:rowOff>9525</xdr:rowOff>
    </xdr:from>
    <xdr:to>
      <xdr:col>8</xdr:col>
      <xdr:colOff>429745</xdr:colOff>
      <xdr:row>10</xdr:row>
      <xdr:rowOff>186708</xdr:rowOff>
    </xdr:to>
    <xdr:pic>
      <xdr:nvPicPr>
        <xdr:cNvPr id="6" name="Рисунок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6" y="9525"/>
          <a:ext cx="8239124" cy="2082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2291557</xdr:colOff>
      <xdr:row>2</xdr:row>
      <xdr:rowOff>168327</xdr:rowOff>
    </xdr:from>
    <xdr:to>
      <xdr:col>9</xdr:col>
      <xdr:colOff>85725</xdr:colOff>
      <xdr:row>9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91557" y="558852"/>
          <a:ext cx="5461793" cy="1165173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2</xdr:col>
      <xdr:colOff>114300</xdr:colOff>
      <xdr:row>14</xdr:row>
      <xdr:rowOff>0</xdr:rowOff>
    </xdr:to>
    <xdr:sp macro="" textlink="">
      <xdr:nvSpPr>
        <xdr:cNvPr id="16" name="Стрелка углом вверх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0" y="2420471"/>
          <a:ext cx="6042212" cy="515470"/>
        </a:xfrm>
        <a:prstGeom prst="bentUpArrow">
          <a:avLst>
            <a:gd name="adj1" fmla="val 11141"/>
            <a:gd name="adj2" fmla="val 22182"/>
            <a:gd name="adj3" fmla="val 32408"/>
          </a:avLst>
        </a:prstGeom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133350</xdr:colOff>
      <xdr:row>19</xdr:row>
      <xdr:rowOff>0</xdr:rowOff>
    </xdr:to>
    <xdr:sp macro="" textlink="">
      <xdr:nvSpPr>
        <xdr:cNvPr id="17" name="Стрелка углом вверх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0" y="2420471"/>
          <a:ext cx="6554321" cy="2140323"/>
        </a:xfrm>
        <a:prstGeom prst="bentUpArrow">
          <a:avLst>
            <a:gd name="adj1" fmla="val 3398"/>
            <a:gd name="adj2" fmla="val 6197"/>
            <a:gd name="adj3" fmla="val 8805"/>
          </a:avLst>
        </a:prstGeom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6</xdr:col>
      <xdr:colOff>114300</xdr:colOff>
      <xdr:row>23</xdr:row>
      <xdr:rowOff>0</xdr:rowOff>
    </xdr:to>
    <xdr:sp macro="" textlink="">
      <xdr:nvSpPr>
        <xdr:cNvPr id="18" name="Стрелка углом вверх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0" y="2419350"/>
          <a:ext cx="7038975" cy="3752850"/>
        </a:xfrm>
        <a:prstGeom prst="bentUpArrow">
          <a:avLst>
            <a:gd name="adj1" fmla="val 1904"/>
            <a:gd name="adj2" fmla="val 3883"/>
            <a:gd name="adj3" fmla="val 4765"/>
          </a:avLst>
        </a:prstGeom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8</xdr:col>
      <xdr:colOff>133350</xdr:colOff>
      <xdr:row>26</xdr:row>
      <xdr:rowOff>0</xdr:rowOff>
    </xdr:to>
    <xdr:sp macro="" textlink="">
      <xdr:nvSpPr>
        <xdr:cNvPr id="19" name="Стрелка углом вверх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0" y="2419350"/>
          <a:ext cx="7553325" cy="4724400"/>
        </a:xfrm>
        <a:prstGeom prst="bentUpArrow">
          <a:avLst>
            <a:gd name="adj1" fmla="val 1234"/>
            <a:gd name="adj2" fmla="val 3311"/>
            <a:gd name="adj3" fmla="val 3687"/>
          </a:avLst>
        </a:prstGeom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10</xdr:col>
      <xdr:colOff>133350</xdr:colOff>
      <xdr:row>29</xdr:row>
      <xdr:rowOff>0</xdr:rowOff>
    </xdr:to>
    <xdr:sp macro="" textlink="">
      <xdr:nvSpPr>
        <xdr:cNvPr id="20" name="Стрелка углом вверх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0" y="2419350"/>
          <a:ext cx="8048625" cy="5695950"/>
        </a:xfrm>
        <a:prstGeom prst="bentUpArrow">
          <a:avLst>
            <a:gd name="adj1" fmla="val 1035"/>
            <a:gd name="adj2" fmla="val 2443"/>
            <a:gd name="adj3" fmla="val 3207"/>
          </a:avLst>
        </a:prstGeom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12</xdr:col>
      <xdr:colOff>104775</xdr:colOff>
      <xdr:row>32</xdr:row>
      <xdr:rowOff>0</xdr:rowOff>
    </xdr:to>
    <xdr:sp macro="" textlink="">
      <xdr:nvSpPr>
        <xdr:cNvPr id="21" name="Стрелка углом вверх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0" y="2419350"/>
          <a:ext cx="8515350" cy="6667500"/>
        </a:xfrm>
        <a:prstGeom prst="bentUpArrow">
          <a:avLst>
            <a:gd name="adj1" fmla="val 988"/>
            <a:gd name="adj2" fmla="val 1969"/>
            <a:gd name="adj3" fmla="val 2826"/>
          </a:avLst>
        </a:prstGeom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133350</xdr:colOff>
      <xdr:row>38</xdr:row>
      <xdr:rowOff>0</xdr:rowOff>
    </xdr:to>
    <xdr:sp macro="" textlink="">
      <xdr:nvSpPr>
        <xdr:cNvPr id="22" name="Стрелка углом вверх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0" y="742950"/>
          <a:ext cx="9039225" cy="6391275"/>
        </a:xfrm>
        <a:prstGeom prst="bentUpArrow">
          <a:avLst>
            <a:gd name="adj1" fmla="val 703"/>
            <a:gd name="adj2" fmla="val 1659"/>
            <a:gd name="adj3" fmla="val 2230"/>
          </a:avLst>
        </a:prstGeom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16</xdr:col>
      <xdr:colOff>114300</xdr:colOff>
      <xdr:row>42</xdr:row>
      <xdr:rowOff>0</xdr:rowOff>
    </xdr:to>
    <xdr:sp macro="" textlink="">
      <xdr:nvSpPr>
        <xdr:cNvPr id="23" name="Стрелка углом вверх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0" y="742950"/>
          <a:ext cx="9515475" cy="7781925"/>
        </a:xfrm>
        <a:prstGeom prst="bentUpArrow">
          <a:avLst>
            <a:gd name="adj1" fmla="val 634"/>
            <a:gd name="adj2" fmla="val 1350"/>
            <a:gd name="adj3" fmla="val 1736"/>
          </a:avLst>
        </a:prstGeom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18</xdr:col>
      <xdr:colOff>104775</xdr:colOff>
      <xdr:row>53</xdr:row>
      <xdr:rowOff>0</xdr:rowOff>
    </xdr:to>
    <xdr:sp macro="" textlink="">
      <xdr:nvSpPr>
        <xdr:cNvPr id="24" name="Стрелка углом вверх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0" y="2419350"/>
          <a:ext cx="10001250" cy="13792200"/>
        </a:xfrm>
        <a:prstGeom prst="bentUpArrow">
          <a:avLst>
            <a:gd name="adj1" fmla="val 539"/>
            <a:gd name="adj2" fmla="val 1386"/>
            <a:gd name="adj3" fmla="val 1626"/>
          </a:avLst>
        </a:prstGeom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0</xdr:col>
      <xdr:colOff>22412</xdr:colOff>
      <xdr:row>12</xdr:row>
      <xdr:rowOff>15437</xdr:rowOff>
    </xdr:from>
    <xdr:to>
      <xdr:col>19</xdr:col>
      <xdr:colOff>402021</xdr:colOff>
      <xdr:row>59</xdr:row>
      <xdr:rowOff>44824</xdr:rowOff>
    </xdr:to>
    <xdr:sp macro="" textlink="">
      <xdr:nvSpPr>
        <xdr:cNvPr id="12" name="Стрелка углом вверх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2412" y="2435908"/>
          <a:ext cx="10498521" cy="15291798"/>
        </a:xfrm>
        <a:prstGeom prst="bentUpArrow">
          <a:avLst>
            <a:gd name="adj1" fmla="val 539"/>
            <a:gd name="adj2" fmla="val 1386"/>
            <a:gd name="adj3" fmla="val 1626"/>
          </a:avLst>
        </a:prstGeom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0</xdr:col>
      <xdr:colOff>21981</xdr:colOff>
      <xdr:row>11</xdr:row>
      <xdr:rowOff>242651</xdr:rowOff>
    </xdr:from>
    <xdr:to>
      <xdr:col>20</xdr:col>
      <xdr:colOff>447806</xdr:colOff>
      <xdr:row>65</xdr:row>
      <xdr:rowOff>52151</xdr:rowOff>
    </xdr:to>
    <xdr:sp macro="" textlink="">
      <xdr:nvSpPr>
        <xdr:cNvPr id="13" name="Стрелка углом вверх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1981" y="2411420"/>
          <a:ext cx="11203729" cy="16624789"/>
        </a:xfrm>
        <a:prstGeom prst="bentUpArrow">
          <a:avLst>
            <a:gd name="adj1" fmla="val 539"/>
            <a:gd name="adj2" fmla="val 1386"/>
            <a:gd name="adj3" fmla="val 1626"/>
          </a:avLst>
        </a:prstGeom>
        <a:ln w="190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47625</xdr:rowOff>
    </xdr:from>
    <xdr:to>
      <xdr:col>9</xdr:col>
      <xdr:colOff>318293</xdr:colOff>
      <xdr:row>7</xdr:row>
      <xdr:rowOff>69798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900" y="238125"/>
          <a:ext cx="5461793" cy="1165173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oneCellAnchor>
    <xdr:from>
      <xdr:col>10</xdr:col>
      <xdr:colOff>123825</xdr:colOff>
      <xdr:row>0</xdr:row>
      <xdr:rowOff>114300</xdr:rowOff>
    </xdr:from>
    <xdr:ext cx="5806225" cy="1568952"/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6219825" y="114300"/>
          <a:ext cx="5806225" cy="15689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1800" b="0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Телефоны: г. </a:t>
          </a:r>
          <a:r>
            <a:rPr lang="ru-RU" sz="1800" b="1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Москва</a:t>
          </a:r>
          <a:r>
            <a:rPr lang="en-US" sz="1800" b="0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		</a:t>
          </a:r>
          <a:r>
            <a:rPr lang="ru-RU" sz="1600" b="1" i="0" u="sng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+7(495)641-32-22</a:t>
          </a:r>
          <a:endParaRPr lang="ru-RU" sz="1600" b="1" u="sng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</a:endParaRPr>
        </a:p>
        <a:p>
          <a:pPr algn="l"/>
          <a:r>
            <a:rPr lang="ru-RU" sz="1800" b="0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                    г. </a:t>
          </a:r>
          <a:r>
            <a:rPr lang="ru-RU" sz="1800" b="1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Новосибирск</a:t>
          </a:r>
          <a:r>
            <a:rPr lang="en-US" sz="1800" b="0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		</a:t>
          </a:r>
          <a:r>
            <a:rPr lang="ru-RU" sz="1600" b="1" i="0" u="sng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+7(383)373-34-58</a:t>
          </a:r>
          <a:endParaRPr lang="ru-RU" sz="1600" b="1" u="sng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</a:endParaRPr>
        </a:p>
        <a:p>
          <a:pPr algn="l"/>
          <a:r>
            <a:rPr lang="ru-RU" sz="1800" b="0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                    г.</a:t>
          </a:r>
          <a:r>
            <a:rPr lang="ru-RU" sz="1800" b="0" cap="none" spc="0" baseline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r>
            <a:rPr lang="ru-RU" sz="1800" b="1" cap="none" spc="0" baseline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Санкт-Петербург</a:t>
          </a:r>
          <a:r>
            <a:rPr lang="en-US" sz="1800" b="0" cap="none" spc="0" baseline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	</a:t>
          </a:r>
          <a:r>
            <a:rPr lang="ru-RU" sz="1600" b="1" i="0" u="sng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+7(812)458-88-58</a:t>
          </a:r>
          <a:endParaRPr lang="ru-RU" sz="1600" b="1" u="sng" cap="none" spc="0" baseline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Сайт: </a:t>
          </a:r>
          <a:r>
            <a:rPr kumimoji="0" lang="en-US" sz="1800" b="1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wilma-rus.ru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800" b="1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           vitron.ru</a:t>
          </a:r>
          <a:endParaRPr kumimoji="0" lang="ru-RU" sz="1800" b="1" i="0" u="none" strike="noStrike" kern="0" cap="none" spc="0" normalizeH="0" baseline="0" noProof="0">
            <a:ln w="0"/>
            <a:solidFill>
              <a:srgbClr val="4472C4">
                <a:lumMod val="75000"/>
              </a:srgbClr>
            </a:solidFill>
            <a:effectLst>
              <a:outerShdw blurRad="38100" dist="19050" dir="2700000" algn="tl" rotWithShape="0">
                <a:prstClr val="black">
                  <a:alpha val="40000"/>
                </a:prstClr>
              </a:outerShdw>
            </a:effectLst>
            <a:uLnTx/>
            <a:uFillTx/>
            <a:latin typeface="Calibri Ligh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800" b="0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e-mail</a:t>
          </a:r>
          <a:r>
            <a:rPr kumimoji="0" lang="ru-RU" sz="1800" b="0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:</a:t>
          </a:r>
          <a:r>
            <a:rPr kumimoji="0" lang="en-US" sz="1800" b="0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 </a:t>
          </a:r>
          <a:r>
            <a:rPr kumimoji="0" lang="en-US" sz="1800" b="1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info@wilma.ru</a:t>
          </a:r>
          <a:endParaRPr kumimoji="0" lang="ru-RU" sz="1800" b="1" i="0" u="none" strike="noStrike" kern="0" cap="none" spc="0" normalizeH="0" baseline="0" noProof="0">
            <a:ln w="0"/>
            <a:solidFill>
              <a:srgbClr val="4472C4">
                <a:lumMod val="75000"/>
              </a:srgbClr>
            </a:solidFill>
            <a:effectLst>
              <a:outerShdw blurRad="38100" dist="19050" dir="2700000" algn="tl" rotWithShape="0">
                <a:prstClr val="black">
                  <a:alpha val="40000"/>
                </a:prstClr>
              </a:outerShdw>
            </a:effectLst>
            <a:uLnTx/>
            <a:uFillTx/>
            <a:latin typeface="Calibri Ligh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22412</xdr:colOff>
      <xdr:row>9</xdr:row>
      <xdr:rowOff>56589</xdr:rowOff>
    </xdr:from>
    <xdr:ext cx="10149625" cy="511677"/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22412" y="1782295"/>
          <a:ext cx="10149625" cy="51167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Конвекторы</a:t>
          </a:r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встраиваемые в пол без вентилятора ВК </a:t>
          </a:r>
        </a:p>
        <a:p>
          <a:pPr algn="l"/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(естественная конвекция)</a:t>
          </a:r>
          <a:endParaRPr lang="ru-RU" sz="24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10</xdr:col>
      <xdr:colOff>25213</xdr:colOff>
      <xdr:row>11</xdr:row>
      <xdr:rowOff>93008</xdr:rowOff>
    </xdr:from>
    <xdr:ext cx="9040346" cy="7504579"/>
    <xdr:sp macro="" textlink="">
      <xdr:nvSpPr>
        <xdr:cNvPr id="25" name="Прямоугольник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6076389" y="2199714"/>
          <a:ext cx="9040346" cy="7504579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Встраиваемый в пол конвектор с естественной конвекцией </a:t>
          </a:r>
          <a:r>
            <a:rPr lang="de-DE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VITRON </a:t>
          </a:r>
          <a:r>
            <a:rPr lang="de-DE" sz="1600" b="0" i="0" u="none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-</a:t>
          </a:r>
          <a:r>
            <a:rPr lang="ru-RU" sz="1600" b="0" i="0" u="none" strike="noStrike" baseline="0">
              <a:latin typeface="+mj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отопительный прибор, в котором установлен медно-алюминиевый теплообменник, тепло от которого передаётся в отапливаемое помещение путём естественной конвекции. Позволяет преградить поток холодного воздуха от застеклённых фасадов или окон. Данный тип конвектора служит для отопления только сухих помещений. Применяется в качестве основного отопительного прибора в помещениях с небольшими потребностями в отоплении или вспомогательного отопительного прибора с системами тёплого пола, вентиляции, радиаторного водяного отопления. Может быть установлен как в однотрубную, так и в двухтрубную систему отопления.</a:t>
          </a:r>
          <a:endParaRPr lang="ru-RU" sz="1400" b="0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600">
            <a:latin typeface="+mn-lt"/>
          </a:endParaRPr>
        </a:p>
        <a:p>
          <a:r>
            <a:rPr lang="ru-RU" sz="1600">
              <a:latin typeface="+mn-lt"/>
            </a:rPr>
            <a:t>Конструктивные особенности: </a:t>
          </a:r>
        </a:p>
        <a:p>
          <a:pPr algn="l"/>
          <a:r>
            <a:rPr lang="ru-RU" sz="1100" b="0" i="0" baseline="0">
              <a:effectLst/>
              <a:latin typeface="+mn-lt"/>
              <a:ea typeface="+mn-ea"/>
              <a:cs typeface="+mn-cs"/>
            </a:rPr>
            <a:t>•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материал корпуса - оцинкованная сталь толщиной 1 мм,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покрытая износостойким порошковым покрытием (цвет покрытия: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чёрный матовый);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материал и покрытие решётки - анодированный алюминий, алюминий с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покрытием, дерево (дуб);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регулировка по высоте от 0 до 40 мм за счёт специальных установочных ножек;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подключение теплообменника -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G1/2’’ (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внутренняя резьба);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применение материалов с повышенными теплопередающими свойствами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(С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u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медь,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Al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алюминий) и стойких к коррозии;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съёмный медно-алюминиевый теплообменник, покрытый износостойким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 (цвет покрытия: чёрный матовый);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специальные юстировочные винты позволяют легко выровнять конвектор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в горизонтальной плоскости.. </a:t>
          </a: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0" i="0" baseline="0">
              <a:effectLst/>
              <a:latin typeface="+mn-lt"/>
              <a:ea typeface="+mn-ea"/>
              <a:cs typeface="+mn-cs"/>
            </a:rPr>
            <a:t>Стандартный комплект поставки: </a:t>
          </a:r>
          <a:endParaRPr lang="ru-RU" sz="1600" b="0" i="0" u="none" strike="noStrike" baseline="0">
            <a:latin typeface="+mn-lt"/>
            <a:ea typeface="+mn-ea"/>
            <a:cs typeface="+mn-cs"/>
          </a:endParaRP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корпус из оцинкованной стали покрытый порошковым покрытием;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комплект установочных ножек;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поперечная или продольная решётка;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декоративная рамка из алюминиевого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L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и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Z-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образного профиля или окантовка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из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J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и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F-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профиля, выполненная в цвет решётки;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медно-алюминиевый теплообменник (диаметр медной трубы 15 мм);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воздухоотводчик ручной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G1/8’’;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технический паспорт, инструкция по монтажу и эксплуатации;</a:t>
          </a: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baseline="0">
              <a:effectLst/>
              <a:latin typeface="+mn-lt"/>
              <a:ea typeface="+mn-ea"/>
              <a:cs typeface="+mn-cs"/>
            </a:rPr>
            <a:t>монтажная доска для защиты от механических повреждений.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endParaRPr lang="ru-RU" sz="1800" b="0" i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0</xdr:col>
      <xdr:colOff>209550</xdr:colOff>
      <xdr:row>52</xdr:row>
      <xdr:rowOff>76200</xdr:rowOff>
    </xdr:from>
    <xdr:ext cx="11553825" cy="511677"/>
    <xdr:sp macro="" textlink="">
      <xdr:nvSpPr>
        <xdr:cNvPr id="92" name="Прямоугольник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/>
      </xdr:nvSpPr>
      <xdr:spPr>
        <a:xfrm>
          <a:off x="209550" y="9421906"/>
          <a:ext cx="11553825" cy="51167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Конвекторы</a:t>
          </a:r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встраиваемые в пол с вентилятором</a:t>
          </a:r>
          <a:r>
            <a:rPr lang="en-US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24В  ВКВ </a:t>
          </a:r>
        </a:p>
        <a:p>
          <a:pPr algn="l"/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(принудительная конвекция)</a:t>
          </a:r>
          <a:endParaRPr lang="ru-RU" sz="24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10</xdr:col>
      <xdr:colOff>0</xdr:colOff>
      <xdr:row>55</xdr:row>
      <xdr:rowOff>0</xdr:rowOff>
    </xdr:from>
    <xdr:ext cx="8743950" cy="7715250"/>
    <xdr:sp macro="" textlink="">
      <xdr:nvSpPr>
        <xdr:cNvPr id="93" name="Прямоугольник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/>
      </xdr:nvSpPr>
      <xdr:spPr>
        <a:xfrm>
          <a:off x="6051176" y="18108706"/>
          <a:ext cx="8743950" cy="7715250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Встраиваемый в пол конвектор с принудительной конвекцией </a:t>
          </a:r>
          <a:r>
            <a:rPr lang="de-DE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VITRON </a:t>
          </a:r>
          <a:r>
            <a:rPr lang="de-DE" sz="1600" b="0" i="0" u="none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отопительный прибор, в котором установлен медно-алюминиевый теплообменник и тангенциальный вентилятор постоянного тока, тепло от которого передаётся в отапливаемое помещение путём естественной (при выключенном вентиляторе), и принудительной (при включённом вентиляторе) конвекции. Позволяет преградить поток холодного воздуха от застекленных фасадов или окон. Данный тип конвектора служит для отопления только сухих помещений. Применяется в качестве основного отопительного прибора в помещениях с любыми потребностями в интенсивности отопления. Возможно комбинированное использование с системами тёплого пола, вентиляции, радиаторного водяного отопления. Может быть установлен как в однотрубную, так и в двухтрубную систему отопления.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600" b="0" i="0" baseline="0"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0" i="0" baseline="0">
              <a:effectLst/>
              <a:latin typeface="+mn-lt"/>
              <a:ea typeface="+mn-ea"/>
              <a:cs typeface="+mn-cs"/>
            </a:rPr>
            <a:t>Конструктивные особенности: </a:t>
          </a:r>
          <a:endParaRPr lang="ru-RU" sz="1600" b="0" i="0" u="none" strike="noStrike" baseline="0">
            <a:latin typeface="+mn-lt"/>
            <a:ea typeface="+mn-ea"/>
            <a:cs typeface="+mn-cs"/>
          </a:endParaRP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материал корпуса - оцинкованная сталь толщиной 1 мм, покрытая износостойким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 (цвет покрытия: чёрный матовый);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материал и покрытие решётки - анодированный алюминий, алюминий с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покрытием, дерево (дуб);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регулировка по высоте от 0 до 40 мм за счёт специальных установочных ножек;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подключение теплообменника -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G1/2’’ (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внутренняя резьба);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применение материалов с повышенными теплопередающими свойствами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(С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u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медь,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Al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алюминий) и стойких к коррозии;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съёмный медно-алюминиевый теплообменник, покрытый износостойким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 (цвет покрытия: чёрный матовый);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специальные юстировочные винты позволяют легко выровнять конвектор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в горизонтальной плоскости;</a:t>
          </a:r>
          <a:endParaRPr lang="ru-RU" sz="1400" b="0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600" b="0" i="0" u="none" strike="noStrike" baseline="0">
            <a:latin typeface="+mn-lt"/>
            <a:ea typeface="+mn-ea"/>
            <a:cs typeface="+mn-cs"/>
          </a:endParaRPr>
        </a:p>
        <a:p>
          <a:r>
            <a:rPr lang="ru-RU" sz="1600" b="0" i="0" u="none" strike="noStrike" baseline="0">
              <a:latin typeface="+mn-lt"/>
              <a:ea typeface="+mn-ea"/>
              <a:cs typeface="+mn-cs"/>
            </a:rPr>
            <a:t>Стандартный комплект поставки: 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корпус из оцинкованной стали покрытый порошковым покрытием;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тангенциальный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DC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вентилятор, напряжением питания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24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 с уменьшенным уровнем шума;</a:t>
          </a:r>
          <a:endParaRPr lang="en-US" sz="1400" b="0" i="0" u="none" strike="noStrike" baseline="0">
            <a:latin typeface="+mj-lt"/>
            <a:ea typeface="+mn-ea"/>
            <a:cs typeface="+mn-cs"/>
          </a:endParaRP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en-US" sz="14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блок управления вентилятором; 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комплект установочных ножек;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поперечная или продольная решётка;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декоративная рамка из алюминиевого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L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и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Z-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образного профиля или окантовка из</a:t>
          </a:r>
        </a:p>
        <a:p>
          <a:r>
            <a:rPr lang="en-US" sz="1400" b="0" i="0" u="none" strike="noStrike" baseline="0">
              <a:latin typeface="+mj-lt"/>
              <a:ea typeface="+mn-ea"/>
              <a:cs typeface="+mn-cs"/>
            </a:rPr>
            <a:t>J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и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F-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профиля, выполненная в цвет решётки;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медно-алюминиевый теплообменник (диаметр медной трубы 15 мм);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воздухоотводчик ручной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G1/8’’;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технический паспорт, инструкция по монтажу и эксплуатации;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0" i="0" baseline="0">
              <a:effectLst/>
              <a:latin typeface="+mn-lt"/>
              <a:ea typeface="+mn-ea"/>
              <a:cs typeface="+mn-cs"/>
            </a:rPr>
            <a:t>• монтажная доска для защиты от механических повреждений.</a:t>
          </a:r>
          <a:endParaRPr lang="ru-RU" sz="1400">
            <a:effectLst/>
          </a:endParaRPr>
        </a:p>
      </xdr:txBody>
    </xdr:sp>
    <xdr:clientData/>
  </xdr:oneCellAnchor>
  <xdr:oneCellAnchor>
    <xdr:from>
      <xdr:col>0</xdr:col>
      <xdr:colOff>358588</xdr:colOff>
      <xdr:row>180</xdr:row>
      <xdr:rowOff>22411</xdr:rowOff>
    </xdr:from>
    <xdr:ext cx="11553825" cy="739589"/>
    <xdr:sp macro="" textlink="">
      <xdr:nvSpPr>
        <xdr:cNvPr id="133" name="Прямоугольник 132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/>
      </xdr:nvSpPr>
      <xdr:spPr>
        <a:xfrm>
          <a:off x="358588" y="66706936"/>
          <a:ext cx="11553825" cy="73958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Конвекторы</a:t>
          </a:r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встраиваемые в пол с вентилятором</a:t>
          </a:r>
          <a:r>
            <a:rPr lang="en-US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24В  и электрическим тэном. ВКВ+ВКЭ</a:t>
          </a:r>
        </a:p>
        <a:p>
          <a:pPr algn="l"/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(принудительная конвекция)</a:t>
          </a:r>
          <a:endParaRPr lang="ru-RU" sz="24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10</xdr:col>
      <xdr:colOff>201706</xdr:colOff>
      <xdr:row>183</xdr:row>
      <xdr:rowOff>89647</xdr:rowOff>
    </xdr:from>
    <xdr:ext cx="8743950" cy="9188824"/>
    <xdr:sp macro="" textlink="">
      <xdr:nvSpPr>
        <xdr:cNvPr id="144" name="Прямоугольник 143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/>
      </xdr:nvSpPr>
      <xdr:spPr>
        <a:xfrm>
          <a:off x="6252882" y="67347353"/>
          <a:ext cx="8743950" cy="9188824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Встраиваемый в пол конвектор с принудительной конвекцией и электрическим тэном</a:t>
          </a:r>
          <a:r>
            <a:rPr lang="de-DE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VITRON </a:t>
          </a:r>
          <a:r>
            <a:rPr lang="de-DE" sz="1600" b="0" i="0" u="none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отопительный прибор, в котором установлен медно-алюминиевый теплообменник , тангенциальный вентилятор постоянного тока и электрический тэн, тепло от которых передаётся в отапливаемое помещение путём естественной (при выключенном вентиляторе), и принудительной (при включённом вентиляторе) конвекции. Позволяет преградить поток холодного воздуха от застекленных фасадов или окон. Данный тип конвектора служит для отопления только сухих помещений. Применяется в качестве основного отопительного прибора в помещениях с любыми потребностями в интенсивности отопления. </a:t>
          </a:r>
          <a:r>
            <a:rPr lang="ru-RU" sz="1400">
              <a:effectLst/>
              <a:latin typeface="+mj-lt"/>
              <a:ea typeface="+mn-ea"/>
              <a:cs typeface="+mn-cs"/>
            </a:rPr>
            <a:t>Основным преимуществом данного конвектора является то, что отопление помещения может начаться не зависимо от отопительного сезона, за счет электрического тэна.</a:t>
          </a:r>
          <a:r>
            <a:rPr lang="ru-RU" sz="1400" baseline="0">
              <a:effectLst/>
              <a:latin typeface="+mj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Возможно комбинированное использование с системами тёплого пола, вентиляции, радиаторного водяного отопления. Может быть установлен как в однотрубную, так и в двухтрубную систему отопления и подключен к сети 220В. </a:t>
          </a:r>
        </a:p>
        <a:p>
          <a:pPr algn="l"/>
          <a:endParaRPr lang="ru-RU" sz="1600" b="0" i="0" baseline="0"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0" i="0" baseline="0">
              <a:effectLst/>
              <a:latin typeface="+mn-lt"/>
              <a:ea typeface="+mn-ea"/>
              <a:cs typeface="+mn-cs"/>
            </a:rPr>
            <a:t>Конструктивные особенности: </a:t>
          </a:r>
          <a:endParaRPr lang="ru-RU" sz="1600" b="0" i="0" u="none" strike="noStrike" baseline="0">
            <a:latin typeface="+mn-lt"/>
            <a:ea typeface="+mn-ea"/>
            <a:cs typeface="+mn-cs"/>
          </a:endParaRP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материал корпуса - оцинкованная сталь толщиной 1 мм, покрытая износостойким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 (цвет покрытия: чёрный матовый);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материал и покрытие решётки - анодированный алюминий, алюминий с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регулировка по высоте от 0 до 40 мм за счёт специальных установочных ножек;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подключение теплообменника -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G1/2’’ (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внутренняя резьба);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применение материалов с повышенными теплопередающими свойствами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(С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u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медь,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Al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алюминий) и стойких к коррозии;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съёмный медно-алюминиевый теплообменник, покрытый износостойким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 (цвет покрытия: чёрный матовый);</a:t>
          </a: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 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электронагревательный прибор ( ТЭН ) в виде металлической</a:t>
          </a:r>
          <a:endParaRPr lang="ru-RU" sz="1400">
            <a:effectLst/>
            <a:latin typeface="+mj-lt"/>
          </a:endParaRPr>
        </a:p>
        <a:p>
          <a:r>
            <a:rPr lang="ru-RU" sz="1400" b="0" i="0" baseline="0">
              <a:effectLst/>
              <a:latin typeface="+mj-lt"/>
              <a:ea typeface="+mn-ea"/>
              <a:cs typeface="+mn-cs"/>
            </a:rPr>
            <a:t>трубки, заполненной теплопроводящим электрическим изолятором;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специальные юстировочные винты позволяют легко выровнять конвектор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в горизонтальной плоскости;</a:t>
          </a:r>
          <a:endParaRPr lang="ru-RU" sz="1400" b="0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600" b="0" i="0" u="none" strike="noStrike" baseline="0">
            <a:latin typeface="+mn-lt"/>
            <a:ea typeface="+mn-ea"/>
            <a:cs typeface="+mn-cs"/>
          </a:endParaRPr>
        </a:p>
        <a:p>
          <a:r>
            <a:rPr lang="ru-RU" sz="1600" b="0" i="0" u="none" strike="noStrike" baseline="0">
              <a:latin typeface="+mn-lt"/>
              <a:ea typeface="+mn-ea"/>
              <a:cs typeface="+mn-cs"/>
            </a:rPr>
            <a:t>Стандартный комплект поставки: 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корпус из оцинкованной стали покрытый порошковым покрытием;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тангенциальный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DC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вентилятор, напряжением питания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24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 с уменьшенным уровнем шума;</a:t>
          </a:r>
          <a:endParaRPr lang="en-US" sz="1400" b="0" i="0" u="none" strike="noStrike" baseline="0">
            <a:latin typeface="+mj-lt"/>
            <a:ea typeface="+mn-ea"/>
            <a:cs typeface="+mn-cs"/>
          </a:endParaRP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en-US" sz="14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блок управления вентилятором; 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комплект установочных ножек;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поперечная или продольная решётка;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декоративная рамка из алюминиевого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L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и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Z-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образного профиля или окантовка из</a:t>
          </a:r>
        </a:p>
        <a:p>
          <a:r>
            <a:rPr lang="en-US" sz="1400" b="0" i="0" u="none" strike="noStrike" baseline="0">
              <a:latin typeface="+mj-lt"/>
              <a:ea typeface="+mn-ea"/>
              <a:cs typeface="+mn-cs"/>
            </a:rPr>
            <a:t>J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и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F-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профиля, выполненная в цвет решётки;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медно-алюминиевый теплообменник (диаметр медной трубы 15 мм);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воздухоотводчик ручной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G1/8’’;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технический паспорт, инструкция по монтажу и эксплуатации;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0" i="0" baseline="0">
              <a:effectLst/>
              <a:latin typeface="+mn-lt"/>
              <a:ea typeface="+mn-ea"/>
              <a:cs typeface="+mn-cs"/>
            </a:rPr>
            <a:t>• монтажная доска для защиты от механических повреждений.</a:t>
          </a:r>
          <a:endParaRPr lang="ru-RU" sz="1400">
            <a:effectLst/>
          </a:endParaRPr>
        </a:p>
      </xdr:txBody>
    </xdr:sp>
    <xdr:clientData/>
  </xdr:oneCellAnchor>
  <xdr:oneCellAnchor>
    <xdr:from>
      <xdr:col>0</xdr:col>
      <xdr:colOff>1</xdr:colOff>
      <xdr:row>97</xdr:row>
      <xdr:rowOff>123825</xdr:rowOff>
    </xdr:from>
    <xdr:ext cx="7642412" cy="511677"/>
    <xdr:sp macro="" textlink="">
      <xdr:nvSpPr>
        <xdr:cNvPr id="113" name="Прямоугольник 112">
          <a:extLst>
            <a:ext uri="{FF2B5EF4-FFF2-40B4-BE49-F238E27FC236}">
              <a16:creationId xmlns:a16="http://schemas.microsoft.com/office/drawing/2014/main" id="{4E1BA9DC-BA25-405D-89AF-6ABAEF7E147C}"/>
            </a:ext>
          </a:extLst>
        </xdr:cNvPr>
        <xdr:cNvSpPr/>
      </xdr:nvSpPr>
      <xdr:spPr>
        <a:xfrm>
          <a:off x="1" y="18611850"/>
          <a:ext cx="7642412" cy="51167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Конвекторы</a:t>
          </a:r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встраиваемые в пол без вентилятора ВК.МАХ </a:t>
          </a:r>
        </a:p>
        <a:p>
          <a:pPr algn="l"/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(естественная конвекция)</a:t>
          </a:r>
          <a:endParaRPr lang="ru-RU" sz="24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10</xdr:col>
      <xdr:colOff>47625</xdr:colOff>
      <xdr:row>99</xdr:row>
      <xdr:rowOff>171450</xdr:rowOff>
    </xdr:from>
    <xdr:ext cx="9040346" cy="7504579"/>
    <xdr:sp macro="" textlink="">
      <xdr:nvSpPr>
        <xdr:cNvPr id="114" name="Прямоугольник 113">
          <a:extLst>
            <a:ext uri="{FF2B5EF4-FFF2-40B4-BE49-F238E27FC236}">
              <a16:creationId xmlns:a16="http://schemas.microsoft.com/office/drawing/2014/main" id="{73D451DF-2C26-43B1-BC4E-6D96DDFB7747}"/>
            </a:ext>
          </a:extLst>
        </xdr:cNvPr>
        <xdr:cNvSpPr/>
      </xdr:nvSpPr>
      <xdr:spPr>
        <a:xfrm>
          <a:off x="6143625" y="19040475"/>
          <a:ext cx="9040346" cy="7504579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Встраиваемый в пол конвектор с естественной конвекцией </a:t>
          </a:r>
          <a:r>
            <a:rPr lang="de-DE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VITRON </a:t>
          </a:r>
          <a:r>
            <a:rPr lang="de-DE" sz="1600" b="0" i="0" u="none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-</a:t>
          </a:r>
          <a:r>
            <a:rPr lang="ru-RU" sz="1600" b="0" i="0" u="none" strike="noStrike" baseline="0">
              <a:latin typeface="+mj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отопительный прибор, в котором установлен медно-алюминиевый теплообменник, тепло от которого передаётся в отапливаемое помещение путём естественной конвекции. Позволяет преградить поток холодного воздуха от застеклённых фасадов или окон. Данный тип конвектора служит для отопления только сухих помещений. Применяется в качестве основного отопительного прибора в помещениях с небольшими потребностями в отоплении или вспомогательного отопительного прибора с системами тёплого пола, вентиляции, радиаторного водяного отопления. Может быть установлен как в однотрубную, так и в двухтрубную систему отопления.</a:t>
          </a:r>
          <a:endParaRPr lang="ru-RU" sz="1400" b="0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600">
            <a:latin typeface="+mn-lt"/>
          </a:endParaRPr>
        </a:p>
        <a:p>
          <a:r>
            <a:rPr lang="ru-RU" sz="1600">
              <a:latin typeface="+mn-lt"/>
            </a:rPr>
            <a:t>Конструктивные особенности: </a:t>
          </a:r>
        </a:p>
        <a:p>
          <a:pPr algn="l"/>
          <a:r>
            <a:rPr lang="ru-RU" sz="1100" b="0" i="0" baseline="0">
              <a:effectLst/>
              <a:latin typeface="+mn-lt"/>
              <a:ea typeface="+mn-ea"/>
              <a:cs typeface="+mn-cs"/>
            </a:rPr>
            <a:t>•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материал корпуса - оцинкованная сталь толщиной 1 мм,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покрытая износостойким порошковым покрытием (цвет покрытия: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чёрный матовый);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материал и покрытие решётки - анодированный алюминий, алюминий с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покрытием, дерево (дуб);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регулировка по высоте от 0 до 40 мм за счёт специальных установочных ножек;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подключение теплообменника -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G1/2’’ (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внутренняя резьба);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применение материалов с повышенными теплопередающими свойствами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(С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u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медь,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Al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алюминий) и стойких к коррозии;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съёмный медно-алюминиевый теплообменник, покрытый износостойким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 (цвет покрытия: чёрный матовый);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специальные юстировочные винты позволяют легко выровнять конвектор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в горизонтальной плоскости.. </a:t>
          </a: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0" i="0" baseline="0">
              <a:effectLst/>
              <a:latin typeface="+mn-lt"/>
              <a:ea typeface="+mn-ea"/>
              <a:cs typeface="+mn-cs"/>
            </a:rPr>
            <a:t>Стандартный комплект поставки: </a:t>
          </a:r>
          <a:endParaRPr lang="ru-RU" sz="1600" b="0" i="0" u="none" strike="noStrike" baseline="0">
            <a:latin typeface="+mn-lt"/>
            <a:ea typeface="+mn-ea"/>
            <a:cs typeface="+mn-cs"/>
          </a:endParaRP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корпус из оцинкованной стали покрытый порошковым покрытием;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комплект установочных ножек;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поперечная или продольная решётка;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декоративная рамка из алюминиевого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L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и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Z-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образного профиля или окантовка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из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J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и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F-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профиля, выполненная в цвет решётки;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медно-алюминиевый теплообменник (диаметр медной трубы 22 мм);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воздухоотводчик ручной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G1/8’’;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технический паспорт, инструкция по монтажу и эксплуатации;</a:t>
          </a: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baseline="0">
              <a:effectLst/>
              <a:latin typeface="+mn-lt"/>
              <a:ea typeface="+mn-ea"/>
              <a:cs typeface="+mn-cs"/>
            </a:rPr>
            <a:t>монтажная доска для защиты от механических повреждений.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endParaRPr lang="ru-RU" sz="1800" b="0" i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0</xdr:col>
      <xdr:colOff>253814</xdr:colOff>
      <xdr:row>231</xdr:row>
      <xdr:rowOff>0</xdr:rowOff>
    </xdr:from>
    <xdr:ext cx="1539128" cy="349752"/>
    <xdr:sp macro="" textlink="">
      <xdr:nvSpPr>
        <xdr:cNvPr id="281" name="Прямоугольник 280">
          <a:extLst>
            <a:ext uri="{FF2B5EF4-FFF2-40B4-BE49-F238E27FC236}">
              <a16:creationId xmlns:a16="http://schemas.microsoft.com/office/drawing/2014/main" id="{C328E93E-DDAC-4588-B325-98D596A824AD}"/>
            </a:ext>
          </a:extLst>
        </xdr:cNvPr>
        <xdr:cNvSpPr/>
      </xdr:nvSpPr>
      <xdr:spPr>
        <a:xfrm>
          <a:off x="253814" y="68399025"/>
          <a:ext cx="1539128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Решётки</a:t>
          </a:r>
        </a:p>
      </xdr:txBody>
    </xdr:sp>
    <xdr:clientData/>
  </xdr:oneCellAnchor>
  <xdr:oneCellAnchor>
    <xdr:from>
      <xdr:col>0</xdr:col>
      <xdr:colOff>247649</xdr:colOff>
      <xdr:row>233</xdr:row>
      <xdr:rowOff>0</xdr:rowOff>
    </xdr:from>
    <xdr:ext cx="11915775" cy="1400175"/>
    <xdr:sp macro="" textlink="">
      <xdr:nvSpPr>
        <xdr:cNvPr id="282" name="Прямоугольник 281">
          <a:extLst>
            <a:ext uri="{FF2B5EF4-FFF2-40B4-BE49-F238E27FC236}">
              <a16:creationId xmlns:a16="http://schemas.microsoft.com/office/drawing/2014/main" id="{D99350AA-6FA0-48FD-B028-AE4F651990E3}"/>
            </a:ext>
          </a:extLst>
        </xdr:cNvPr>
        <xdr:cNvSpPr/>
      </xdr:nvSpPr>
      <xdr:spPr>
        <a:xfrm>
          <a:off x="247649" y="68780025"/>
          <a:ext cx="11915775" cy="140017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400" b="1" i="0" u="none" strike="noStrike" baseline="0">
              <a:latin typeface="+mn-lt"/>
              <a:ea typeface="+mn-ea"/>
              <a:cs typeface="+mn-cs"/>
            </a:rPr>
            <a:t>Описание  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Алюминиевый профиль решётки с двутавровым поперечным сечением обладает высокой нагрузочной способностью.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Для соединения профиля используется стальная пружина которая позволяет с достаточно большим усилием стягивать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профиль между собой, предотвращая тем самым «разбалтывание» в процессе эксплуатации. Достоинством соединения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профиля пружиной является то, что решётку можно сворачивать в малогабаритный рулон. Покрытие профиля обладает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высокой износостойкостью и сохраняет решётку от потёртостей и царапин во время эксплуатации.</a:t>
          </a:r>
          <a:endParaRPr lang="ru-RU" sz="14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219075</xdr:colOff>
      <xdr:row>240</xdr:row>
      <xdr:rowOff>0</xdr:rowOff>
    </xdr:from>
    <xdr:ext cx="11915775" cy="295275"/>
    <xdr:sp macro="" textlink="">
      <xdr:nvSpPr>
        <xdr:cNvPr id="283" name="Прямоугольник 282">
          <a:extLst>
            <a:ext uri="{FF2B5EF4-FFF2-40B4-BE49-F238E27FC236}">
              <a16:creationId xmlns:a16="http://schemas.microsoft.com/office/drawing/2014/main" id="{83370A60-70FE-4E33-9975-7FFB6CB119A0}"/>
            </a:ext>
          </a:extLst>
        </xdr:cNvPr>
        <xdr:cNvSpPr/>
      </xdr:nvSpPr>
      <xdr:spPr>
        <a:xfrm>
          <a:off x="219075" y="70113525"/>
          <a:ext cx="11915775" cy="29527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400" b="1" i="0" u="none" strike="noStrike" baseline="0">
              <a:latin typeface="+mn-lt"/>
              <a:ea typeface="+mn-ea"/>
              <a:cs typeface="+mn-cs"/>
            </a:rPr>
            <a:t>Размеры и профиль решётки</a:t>
          </a:r>
          <a:endParaRPr lang="ru-RU" sz="14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266700</xdr:colOff>
      <xdr:row>265</xdr:row>
      <xdr:rowOff>104775</xdr:rowOff>
    </xdr:from>
    <xdr:ext cx="11915775" cy="1400175"/>
    <xdr:sp macro="" textlink="">
      <xdr:nvSpPr>
        <xdr:cNvPr id="284" name="Прямоугольник 283">
          <a:extLst>
            <a:ext uri="{FF2B5EF4-FFF2-40B4-BE49-F238E27FC236}">
              <a16:creationId xmlns:a16="http://schemas.microsoft.com/office/drawing/2014/main" id="{DF84CEFF-8E53-440F-8EB5-453700CFD836}"/>
            </a:ext>
          </a:extLst>
        </xdr:cNvPr>
        <xdr:cNvSpPr/>
      </xdr:nvSpPr>
      <xdr:spPr>
        <a:xfrm>
          <a:off x="266700" y="74980800"/>
          <a:ext cx="11915775" cy="140017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Декоративная решётка на пружине имеет проверенную временем конструкцию, которая сочетает элегантный внешний вид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с безопасностью и долговечностью. На протяжении многих лет данная конструкция решётки является классической (т.е.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профиль решётки стягивается между собой пружиной). Двутавровый профиль решётки выдерживает большие нагрузки,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что позволяет использовать её в общественных зданиях (рестораны, торговые центры, автосалоны). Деревянные решётки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данного типа создают уютный и привлекательный дизайн вашего интерьера. Основные особенности решётки: проверенная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временем конструкция, классический вид, наличие деревянного профиля и стойкость к нагрузкам.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295275</xdr:colOff>
      <xdr:row>272</xdr:row>
      <xdr:rowOff>142875</xdr:rowOff>
    </xdr:from>
    <xdr:ext cx="11915775" cy="295275"/>
    <xdr:sp macro="" textlink="">
      <xdr:nvSpPr>
        <xdr:cNvPr id="285" name="Прямоугольник 284">
          <a:extLst>
            <a:ext uri="{FF2B5EF4-FFF2-40B4-BE49-F238E27FC236}">
              <a16:creationId xmlns:a16="http://schemas.microsoft.com/office/drawing/2014/main" id="{4AC85181-2888-43A8-9DBE-0CF6B3C095FF}"/>
            </a:ext>
          </a:extLst>
        </xdr:cNvPr>
        <xdr:cNvSpPr/>
      </xdr:nvSpPr>
      <xdr:spPr>
        <a:xfrm>
          <a:off x="295275" y="76352400"/>
          <a:ext cx="11915775" cy="29527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400" b="1" i="0" u="none" strike="noStrike" baseline="0">
              <a:latin typeface="+mn-lt"/>
              <a:ea typeface="+mn-ea"/>
              <a:cs typeface="+mn-cs"/>
            </a:rPr>
            <a:t>Стандартные цвета решётки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twoCellAnchor>
    <xdr:from>
      <xdr:col>0</xdr:col>
      <xdr:colOff>316166</xdr:colOff>
      <xdr:row>241</xdr:row>
      <xdr:rowOff>146538</xdr:rowOff>
    </xdr:from>
    <xdr:to>
      <xdr:col>24</xdr:col>
      <xdr:colOff>131884</xdr:colOff>
      <xdr:row>241</xdr:row>
      <xdr:rowOff>152400</xdr:rowOff>
    </xdr:to>
    <xdr:cxnSp macro="">
      <xdr:nvCxnSpPr>
        <xdr:cNvPr id="286" name="Прямая соединительная линия 285">
          <a:extLst>
            <a:ext uri="{FF2B5EF4-FFF2-40B4-BE49-F238E27FC236}">
              <a16:creationId xmlns:a16="http://schemas.microsoft.com/office/drawing/2014/main" id="{855145BF-341E-4E0F-8ADC-8F91BBCB6FD2}"/>
            </a:ext>
          </a:extLst>
        </xdr:cNvPr>
        <xdr:cNvCxnSpPr/>
      </xdr:nvCxnSpPr>
      <xdr:spPr>
        <a:xfrm flipV="1">
          <a:off x="316166" y="46064365"/>
          <a:ext cx="14410949" cy="5862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299197</xdr:colOff>
      <xdr:row>244</xdr:row>
      <xdr:rowOff>87923</xdr:rowOff>
    </xdr:from>
    <xdr:to>
      <xdr:col>24</xdr:col>
      <xdr:colOff>131884</xdr:colOff>
      <xdr:row>244</xdr:row>
      <xdr:rowOff>87923</xdr:rowOff>
    </xdr:to>
    <xdr:cxnSp macro="">
      <xdr:nvCxnSpPr>
        <xdr:cNvPr id="287" name="Прямая соединительная линия 286">
          <a:extLst>
            <a:ext uri="{FF2B5EF4-FFF2-40B4-BE49-F238E27FC236}">
              <a16:creationId xmlns:a16="http://schemas.microsoft.com/office/drawing/2014/main" id="{A7950402-2739-4B85-A442-7B8B6C88579A}"/>
            </a:ext>
          </a:extLst>
        </xdr:cNvPr>
        <xdr:cNvCxnSpPr/>
      </xdr:nvCxnSpPr>
      <xdr:spPr>
        <a:xfrm>
          <a:off x="299197" y="46577250"/>
          <a:ext cx="14427918" cy="0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310402</xdr:colOff>
      <xdr:row>254</xdr:row>
      <xdr:rowOff>109903</xdr:rowOff>
    </xdr:from>
    <xdr:to>
      <xdr:col>24</xdr:col>
      <xdr:colOff>115171</xdr:colOff>
      <xdr:row>254</xdr:row>
      <xdr:rowOff>113503</xdr:rowOff>
    </xdr:to>
    <xdr:cxnSp macro="">
      <xdr:nvCxnSpPr>
        <xdr:cNvPr id="288" name="Прямая соединительная линия 287">
          <a:extLst>
            <a:ext uri="{FF2B5EF4-FFF2-40B4-BE49-F238E27FC236}">
              <a16:creationId xmlns:a16="http://schemas.microsoft.com/office/drawing/2014/main" id="{C6F0355E-E0B1-4D0D-8822-62CAE27E2CE1}"/>
            </a:ext>
          </a:extLst>
        </xdr:cNvPr>
        <xdr:cNvCxnSpPr/>
      </xdr:nvCxnSpPr>
      <xdr:spPr>
        <a:xfrm flipV="1">
          <a:off x="310402" y="48504230"/>
          <a:ext cx="14400000" cy="3600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328331</xdr:colOff>
      <xdr:row>256</xdr:row>
      <xdr:rowOff>131885</xdr:rowOff>
    </xdr:from>
    <xdr:to>
      <xdr:col>24</xdr:col>
      <xdr:colOff>95250</xdr:colOff>
      <xdr:row>256</xdr:row>
      <xdr:rowOff>134820</xdr:rowOff>
    </xdr:to>
    <xdr:cxnSp macro="">
      <xdr:nvCxnSpPr>
        <xdr:cNvPr id="289" name="Прямая соединительная линия 288">
          <a:extLst>
            <a:ext uri="{FF2B5EF4-FFF2-40B4-BE49-F238E27FC236}">
              <a16:creationId xmlns:a16="http://schemas.microsoft.com/office/drawing/2014/main" id="{FC265370-D98A-4D2E-8DD9-2522FE024B37}"/>
            </a:ext>
          </a:extLst>
        </xdr:cNvPr>
        <xdr:cNvCxnSpPr/>
      </xdr:nvCxnSpPr>
      <xdr:spPr>
        <a:xfrm flipV="1">
          <a:off x="328331" y="48907212"/>
          <a:ext cx="14362150" cy="2935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278225</xdr:colOff>
      <xdr:row>258</xdr:row>
      <xdr:rowOff>184547</xdr:rowOff>
    </xdr:from>
    <xdr:to>
      <xdr:col>24</xdr:col>
      <xdr:colOff>82994</xdr:colOff>
      <xdr:row>258</xdr:row>
      <xdr:rowOff>184547</xdr:rowOff>
    </xdr:to>
    <xdr:cxnSp macro="">
      <xdr:nvCxnSpPr>
        <xdr:cNvPr id="290" name="Прямая соединительная линия 289">
          <a:extLst>
            <a:ext uri="{FF2B5EF4-FFF2-40B4-BE49-F238E27FC236}">
              <a16:creationId xmlns:a16="http://schemas.microsoft.com/office/drawing/2014/main" id="{04E0C095-FCCA-4D47-8E2C-C50D4639742A}"/>
            </a:ext>
          </a:extLst>
        </xdr:cNvPr>
        <xdr:cNvCxnSpPr/>
      </xdr:nvCxnSpPr>
      <xdr:spPr>
        <a:xfrm flipV="1">
          <a:off x="278225" y="49340874"/>
          <a:ext cx="14400000" cy="0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278384</xdr:colOff>
      <xdr:row>261</xdr:row>
      <xdr:rowOff>83344</xdr:rowOff>
    </xdr:from>
    <xdr:to>
      <xdr:col>24</xdr:col>
      <xdr:colOff>83153</xdr:colOff>
      <xdr:row>261</xdr:row>
      <xdr:rowOff>83344</xdr:rowOff>
    </xdr:to>
    <xdr:cxnSp macro="">
      <xdr:nvCxnSpPr>
        <xdr:cNvPr id="291" name="Прямая соединительная линия 290">
          <a:extLst>
            <a:ext uri="{FF2B5EF4-FFF2-40B4-BE49-F238E27FC236}">
              <a16:creationId xmlns:a16="http://schemas.microsoft.com/office/drawing/2014/main" id="{12A177AC-A350-4A24-931C-C0BC86E55C8F}"/>
            </a:ext>
          </a:extLst>
        </xdr:cNvPr>
        <xdr:cNvCxnSpPr/>
      </xdr:nvCxnSpPr>
      <xdr:spPr>
        <a:xfrm flipV="1">
          <a:off x="278384" y="49811171"/>
          <a:ext cx="14400000" cy="0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312323</xdr:colOff>
      <xdr:row>265</xdr:row>
      <xdr:rowOff>11206</xdr:rowOff>
    </xdr:from>
    <xdr:to>
      <xdr:col>24</xdr:col>
      <xdr:colOff>117092</xdr:colOff>
      <xdr:row>265</xdr:row>
      <xdr:rowOff>11206</xdr:rowOff>
    </xdr:to>
    <xdr:cxnSp macro="">
      <xdr:nvCxnSpPr>
        <xdr:cNvPr id="292" name="Прямая соединительная линия 291">
          <a:extLst>
            <a:ext uri="{FF2B5EF4-FFF2-40B4-BE49-F238E27FC236}">
              <a16:creationId xmlns:a16="http://schemas.microsoft.com/office/drawing/2014/main" id="{11ADF7CF-C92A-4C40-93EF-FC45634C804F}"/>
            </a:ext>
          </a:extLst>
        </xdr:cNvPr>
        <xdr:cNvCxnSpPr/>
      </xdr:nvCxnSpPr>
      <xdr:spPr>
        <a:xfrm flipV="1">
          <a:off x="312323" y="50501033"/>
          <a:ext cx="14400000" cy="0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246530</xdr:colOff>
      <xdr:row>242</xdr:row>
      <xdr:rowOff>22411</xdr:rowOff>
    </xdr:from>
    <xdr:ext cx="2129117" cy="369795"/>
    <xdr:sp macro="" textlink="">
      <xdr:nvSpPr>
        <xdr:cNvPr id="293" name="Прямоугольник 292">
          <a:extLst>
            <a:ext uri="{FF2B5EF4-FFF2-40B4-BE49-F238E27FC236}">
              <a16:creationId xmlns:a16="http://schemas.microsoft.com/office/drawing/2014/main" id="{368548D6-2016-4D7C-B9A1-994FE2A4FFD6}"/>
            </a:ext>
          </a:extLst>
        </xdr:cNvPr>
        <xdr:cNvSpPr/>
      </xdr:nvSpPr>
      <xdr:spPr>
        <a:xfrm>
          <a:off x="246530" y="70516936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Материал профиля</a:t>
          </a:r>
        </a:p>
      </xdr:txBody>
    </xdr:sp>
    <xdr:clientData/>
  </xdr:oneCellAnchor>
  <xdr:oneCellAnchor>
    <xdr:from>
      <xdr:col>4</xdr:col>
      <xdr:colOff>462087</xdr:colOff>
      <xdr:row>242</xdr:row>
      <xdr:rowOff>27771</xdr:rowOff>
    </xdr:from>
    <xdr:ext cx="2129117" cy="369795"/>
    <xdr:sp macro="" textlink="">
      <xdr:nvSpPr>
        <xdr:cNvPr id="294" name="Прямоугольник 293">
          <a:extLst>
            <a:ext uri="{FF2B5EF4-FFF2-40B4-BE49-F238E27FC236}">
              <a16:creationId xmlns:a16="http://schemas.microsoft.com/office/drawing/2014/main" id="{1307F9FE-1146-44D7-8B3C-05481809ED52}"/>
            </a:ext>
          </a:extLst>
        </xdr:cNvPr>
        <xdr:cNvSpPr/>
      </xdr:nvSpPr>
      <xdr:spPr>
        <a:xfrm>
          <a:off x="2900487" y="70522296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Алюминий</a:t>
          </a: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8</xdr:col>
      <xdr:colOff>530679</xdr:colOff>
      <xdr:row>242</xdr:row>
      <xdr:rowOff>40821</xdr:rowOff>
    </xdr:from>
    <xdr:ext cx="2129117" cy="369795"/>
    <xdr:sp macro="" textlink="">
      <xdr:nvSpPr>
        <xdr:cNvPr id="295" name="Прямоугольник 294">
          <a:extLst>
            <a:ext uri="{FF2B5EF4-FFF2-40B4-BE49-F238E27FC236}">
              <a16:creationId xmlns:a16="http://schemas.microsoft.com/office/drawing/2014/main" id="{A2E72276-78D3-4B97-BB64-F64EBE63E430}"/>
            </a:ext>
          </a:extLst>
        </xdr:cNvPr>
        <xdr:cNvSpPr/>
      </xdr:nvSpPr>
      <xdr:spPr>
        <a:xfrm>
          <a:off x="5407479" y="70535346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Дуб</a:t>
          </a:r>
        </a:p>
      </xdr:txBody>
    </xdr:sp>
    <xdr:clientData/>
  </xdr:oneCellAnchor>
  <xdr:oneCellAnchor>
    <xdr:from>
      <xdr:col>12</xdr:col>
      <xdr:colOff>484253</xdr:colOff>
      <xdr:row>242</xdr:row>
      <xdr:rowOff>16008</xdr:rowOff>
    </xdr:from>
    <xdr:ext cx="2129117" cy="369795"/>
    <xdr:sp macro="" textlink="">
      <xdr:nvSpPr>
        <xdr:cNvPr id="297" name="Прямоугольник 296">
          <a:extLst>
            <a:ext uri="{FF2B5EF4-FFF2-40B4-BE49-F238E27FC236}">
              <a16:creationId xmlns:a16="http://schemas.microsoft.com/office/drawing/2014/main" id="{E04585CD-8D3B-4F3A-882C-F17440E621EC}"/>
            </a:ext>
          </a:extLst>
        </xdr:cNvPr>
        <xdr:cNvSpPr/>
      </xdr:nvSpPr>
      <xdr:spPr>
        <a:xfrm>
          <a:off x="7745665" y="62511214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Нерж</a:t>
          </a:r>
        </a:p>
      </xdr:txBody>
    </xdr:sp>
    <xdr:clientData/>
  </xdr:oneCellAnchor>
  <xdr:oneCellAnchor>
    <xdr:from>
      <xdr:col>16</xdr:col>
      <xdr:colOff>333454</xdr:colOff>
      <xdr:row>242</xdr:row>
      <xdr:rowOff>9283</xdr:rowOff>
    </xdr:from>
    <xdr:ext cx="2129117" cy="369795"/>
    <xdr:sp macro="" textlink="">
      <xdr:nvSpPr>
        <xdr:cNvPr id="298" name="Прямоугольник 297">
          <a:extLst>
            <a:ext uri="{FF2B5EF4-FFF2-40B4-BE49-F238E27FC236}">
              <a16:creationId xmlns:a16="http://schemas.microsoft.com/office/drawing/2014/main" id="{3AE9CB38-19AD-44ED-845F-7B52E705231B}"/>
            </a:ext>
          </a:extLst>
        </xdr:cNvPr>
        <xdr:cNvSpPr/>
      </xdr:nvSpPr>
      <xdr:spPr>
        <a:xfrm>
          <a:off x="10015336" y="62504489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Алюминий</a:t>
          </a:r>
        </a:p>
      </xdr:txBody>
    </xdr:sp>
    <xdr:clientData/>
  </xdr:oneCellAnchor>
  <xdr:oneCellAnchor>
    <xdr:from>
      <xdr:col>0</xdr:col>
      <xdr:colOff>272143</xdr:colOff>
      <xdr:row>248</xdr:row>
      <xdr:rowOff>81643</xdr:rowOff>
    </xdr:from>
    <xdr:ext cx="2129117" cy="369795"/>
    <xdr:sp macro="" textlink="">
      <xdr:nvSpPr>
        <xdr:cNvPr id="299" name="Прямоугольник 298">
          <a:extLst>
            <a:ext uri="{FF2B5EF4-FFF2-40B4-BE49-F238E27FC236}">
              <a16:creationId xmlns:a16="http://schemas.microsoft.com/office/drawing/2014/main" id="{1645F776-18F9-4002-8F93-5D81A9D19723}"/>
            </a:ext>
          </a:extLst>
        </xdr:cNvPr>
        <xdr:cNvSpPr/>
      </xdr:nvSpPr>
      <xdr:spPr>
        <a:xfrm>
          <a:off x="272143" y="71719168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Поперечное сечение профиля</a:t>
          </a:r>
        </a:p>
      </xdr:txBody>
    </xdr:sp>
    <xdr:clientData/>
  </xdr:oneCellAnchor>
  <xdr:oneCellAnchor>
    <xdr:from>
      <xdr:col>0</xdr:col>
      <xdr:colOff>261258</xdr:colOff>
      <xdr:row>255</xdr:row>
      <xdr:rowOff>2721</xdr:rowOff>
    </xdr:from>
    <xdr:ext cx="2129117" cy="369795"/>
    <xdr:sp macro="" textlink="">
      <xdr:nvSpPr>
        <xdr:cNvPr id="300" name="Прямоугольник 299">
          <a:extLst>
            <a:ext uri="{FF2B5EF4-FFF2-40B4-BE49-F238E27FC236}">
              <a16:creationId xmlns:a16="http://schemas.microsoft.com/office/drawing/2014/main" id="{9C6DA4DD-5A85-4C76-8515-741CB216EFE3}"/>
            </a:ext>
          </a:extLst>
        </xdr:cNvPr>
        <xdr:cNvSpPr/>
      </xdr:nvSpPr>
      <xdr:spPr>
        <a:xfrm>
          <a:off x="261258" y="72973746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Высота решетки, мм</a:t>
          </a:r>
        </a:p>
      </xdr:txBody>
    </xdr:sp>
    <xdr:clientData/>
  </xdr:oneCellAnchor>
  <xdr:oneCellAnchor>
    <xdr:from>
      <xdr:col>0</xdr:col>
      <xdr:colOff>244928</xdr:colOff>
      <xdr:row>257</xdr:row>
      <xdr:rowOff>81643</xdr:rowOff>
    </xdr:from>
    <xdr:ext cx="2422072" cy="369795"/>
    <xdr:sp macro="" textlink="">
      <xdr:nvSpPr>
        <xdr:cNvPr id="301" name="Прямоугольник 300">
          <a:extLst>
            <a:ext uri="{FF2B5EF4-FFF2-40B4-BE49-F238E27FC236}">
              <a16:creationId xmlns:a16="http://schemas.microsoft.com/office/drawing/2014/main" id="{E5401806-6EFF-476D-BBBF-A2866460246B}"/>
            </a:ext>
          </a:extLst>
        </xdr:cNvPr>
        <xdr:cNvSpPr/>
      </xdr:nvSpPr>
      <xdr:spPr>
        <a:xfrm>
          <a:off x="244928" y="73433668"/>
          <a:ext cx="2422072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Ширина решетки, мм</a:t>
          </a: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272143</xdr:colOff>
      <xdr:row>259</xdr:row>
      <xdr:rowOff>108857</xdr:rowOff>
    </xdr:from>
    <xdr:ext cx="2129117" cy="369795"/>
    <xdr:sp macro="" textlink="">
      <xdr:nvSpPr>
        <xdr:cNvPr id="302" name="Прямоугольник 301">
          <a:extLst>
            <a:ext uri="{FF2B5EF4-FFF2-40B4-BE49-F238E27FC236}">
              <a16:creationId xmlns:a16="http://schemas.microsoft.com/office/drawing/2014/main" id="{31178678-2C55-4EFB-8BA5-1B3D79221FE0}"/>
            </a:ext>
          </a:extLst>
        </xdr:cNvPr>
        <xdr:cNvSpPr/>
      </xdr:nvSpPr>
      <xdr:spPr>
        <a:xfrm>
          <a:off x="272143" y="73841882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Длина решетки, мм</a:t>
          </a: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258536</xdr:colOff>
      <xdr:row>261</xdr:row>
      <xdr:rowOff>163286</xdr:rowOff>
    </xdr:from>
    <xdr:ext cx="2129117" cy="369795"/>
    <xdr:sp macro="" textlink="">
      <xdr:nvSpPr>
        <xdr:cNvPr id="303" name="Прямоугольник 302">
          <a:extLst>
            <a:ext uri="{FF2B5EF4-FFF2-40B4-BE49-F238E27FC236}">
              <a16:creationId xmlns:a16="http://schemas.microsoft.com/office/drawing/2014/main" id="{B8548E93-6BF7-4DF8-ABC8-8283549F5ACA}"/>
            </a:ext>
          </a:extLst>
        </xdr:cNvPr>
        <xdr:cNvSpPr/>
      </xdr:nvSpPr>
      <xdr:spPr>
        <a:xfrm>
          <a:off x="258536" y="74277311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Расстояние между профилем, мм</a:t>
          </a:r>
        </a:p>
      </xdr:txBody>
    </xdr:sp>
    <xdr:clientData/>
  </xdr:oneCellAnchor>
  <xdr:twoCellAnchor editAs="oneCell">
    <xdr:from>
      <xdr:col>17</xdr:col>
      <xdr:colOff>36259</xdr:colOff>
      <xdr:row>276</xdr:row>
      <xdr:rowOff>64579</xdr:rowOff>
    </xdr:from>
    <xdr:to>
      <xdr:col>23</xdr:col>
      <xdr:colOff>44115</xdr:colOff>
      <xdr:row>290</xdr:row>
      <xdr:rowOff>104411</xdr:rowOff>
    </xdr:to>
    <xdr:pic>
      <xdr:nvPicPr>
        <xdr:cNvPr id="304" name="Рисунок 303">
          <a:extLst>
            <a:ext uri="{FF2B5EF4-FFF2-40B4-BE49-F238E27FC236}">
              <a16:creationId xmlns:a16="http://schemas.microsoft.com/office/drawing/2014/main" id="{AA69C2B7-281A-4440-AD09-319390F23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99459" y="77036104"/>
          <a:ext cx="3665456" cy="2706832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8</xdr:col>
      <xdr:colOff>108857</xdr:colOff>
      <xdr:row>296</xdr:row>
      <xdr:rowOff>52104</xdr:rowOff>
    </xdr:from>
    <xdr:to>
      <xdr:col>14</xdr:col>
      <xdr:colOff>587306</xdr:colOff>
      <xdr:row>312</xdr:row>
      <xdr:rowOff>52104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id="{79D3E968-8729-4085-8C6C-2E8F8CC67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85657" y="80833629"/>
          <a:ext cx="4136049" cy="304800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0</xdr:col>
      <xdr:colOff>312964</xdr:colOff>
      <xdr:row>296</xdr:row>
      <xdr:rowOff>52105</xdr:rowOff>
    </xdr:from>
    <xdr:to>
      <xdr:col>7</xdr:col>
      <xdr:colOff>126642</xdr:colOff>
      <xdr:row>312</xdr:row>
      <xdr:rowOff>56434</xdr:rowOff>
    </xdr:to>
    <xdr:pic>
      <xdr:nvPicPr>
        <xdr:cNvPr id="306" name="Рисунок 305">
          <a:extLst>
            <a:ext uri="{FF2B5EF4-FFF2-40B4-BE49-F238E27FC236}">
              <a16:creationId xmlns:a16="http://schemas.microsoft.com/office/drawing/2014/main" id="{1FEAD509-A5DD-4C29-A030-8A0FD0DF0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964" y="80833630"/>
          <a:ext cx="4080878" cy="3052329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15</xdr:col>
      <xdr:colOff>415954</xdr:colOff>
      <xdr:row>296</xdr:row>
      <xdr:rowOff>52105</xdr:rowOff>
    </xdr:from>
    <xdr:to>
      <xdr:col>22</xdr:col>
      <xdr:colOff>244929</xdr:colOff>
      <xdr:row>314</xdr:row>
      <xdr:rowOff>30456</xdr:rowOff>
    </xdr:to>
    <xdr:pic>
      <xdr:nvPicPr>
        <xdr:cNvPr id="307" name="Рисунок 306">
          <a:extLst>
            <a:ext uri="{FF2B5EF4-FFF2-40B4-BE49-F238E27FC236}">
              <a16:creationId xmlns:a16="http://schemas.microsoft.com/office/drawing/2014/main" id="{7A3C1F9A-56A0-49D9-8B6F-4963D34A17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559954" y="80833630"/>
          <a:ext cx="4096175" cy="3407351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oneCellAnchor>
    <xdr:from>
      <xdr:col>12</xdr:col>
      <xdr:colOff>141888</xdr:colOff>
      <xdr:row>274</xdr:row>
      <xdr:rowOff>112712</xdr:rowOff>
    </xdr:from>
    <xdr:ext cx="1703243" cy="349752"/>
    <xdr:sp macro="" textlink="">
      <xdr:nvSpPr>
        <xdr:cNvPr id="308" name="Прямоугольник 307">
          <a:extLst>
            <a:ext uri="{FF2B5EF4-FFF2-40B4-BE49-F238E27FC236}">
              <a16:creationId xmlns:a16="http://schemas.microsoft.com/office/drawing/2014/main" id="{06A97EEA-E1BF-4E3D-AA0E-EEAC35D5C23C}"/>
            </a:ext>
          </a:extLst>
        </xdr:cNvPr>
        <xdr:cNvSpPr/>
      </xdr:nvSpPr>
      <xdr:spPr>
        <a:xfrm>
          <a:off x="7457088" y="76703237"/>
          <a:ext cx="1703243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Бронза</a:t>
          </a:r>
        </a:p>
      </xdr:txBody>
    </xdr:sp>
    <xdr:clientData/>
  </xdr:oneCellAnchor>
  <xdr:oneCellAnchor>
    <xdr:from>
      <xdr:col>20</xdr:col>
      <xdr:colOff>152814</xdr:colOff>
      <xdr:row>274</xdr:row>
      <xdr:rowOff>94689</xdr:rowOff>
    </xdr:from>
    <xdr:ext cx="1703243" cy="349752"/>
    <xdr:sp macro="" textlink="">
      <xdr:nvSpPr>
        <xdr:cNvPr id="309" name="Прямоугольник 308">
          <a:extLst>
            <a:ext uri="{FF2B5EF4-FFF2-40B4-BE49-F238E27FC236}">
              <a16:creationId xmlns:a16="http://schemas.microsoft.com/office/drawing/2014/main" id="{946469E0-74FB-4275-A606-057FA5BD9DF8}"/>
            </a:ext>
          </a:extLst>
        </xdr:cNvPr>
        <xdr:cNvSpPr/>
      </xdr:nvSpPr>
      <xdr:spPr>
        <a:xfrm>
          <a:off x="12344814" y="76685214"/>
          <a:ext cx="1703243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Золото</a:t>
          </a:r>
        </a:p>
      </xdr:txBody>
    </xdr:sp>
    <xdr:clientData/>
  </xdr:oneCellAnchor>
  <xdr:oneCellAnchor>
    <xdr:from>
      <xdr:col>11</xdr:col>
      <xdr:colOff>402746</xdr:colOff>
      <xdr:row>293</xdr:row>
      <xdr:rowOff>144915</xdr:rowOff>
    </xdr:from>
    <xdr:ext cx="1703243" cy="349752"/>
    <xdr:sp macro="" textlink="">
      <xdr:nvSpPr>
        <xdr:cNvPr id="310" name="Прямоугольник 309">
          <a:extLst>
            <a:ext uri="{FF2B5EF4-FFF2-40B4-BE49-F238E27FC236}">
              <a16:creationId xmlns:a16="http://schemas.microsoft.com/office/drawing/2014/main" id="{6C850635-9ADF-4ED1-8A45-4AF93D60C551}"/>
            </a:ext>
          </a:extLst>
        </xdr:cNvPr>
        <xdr:cNvSpPr/>
      </xdr:nvSpPr>
      <xdr:spPr>
        <a:xfrm>
          <a:off x="7108346" y="80354940"/>
          <a:ext cx="1703243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Черный</a:t>
          </a:r>
        </a:p>
      </xdr:txBody>
    </xdr:sp>
    <xdr:clientData/>
  </xdr:oneCellAnchor>
  <xdr:oneCellAnchor>
    <xdr:from>
      <xdr:col>4</xdr:col>
      <xdr:colOff>311750</xdr:colOff>
      <xdr:row>293</xdr:row>
      <xdr:rowOff>131761</xdr:rowOff>
    </xdr:from>
    <xdr:ext cx="1703243" cy="349752"/>
    <xdr:sp macro="" textlink="">
      <xdr:nvSpPr>
        <xdr:cNvPr id="311" name="Прямоугольник 310">
          <a:extLst>
            <a:ext uri="{FF2B5EF4-FFF2-40B4-BE49-F238E27FC236}">
              <a16:creationId xmlns:a16="http://schemas.microsoft.com/office/drawing/2014/main" id="{63815044-4261-4FF7-BE29-EE0E7327A104}"/>
            </a:ext>
          </a:extLst>
        </xdr:cNvPr>
        <xdr:cNvSpPr/>
      </xdr:nvSpPr>
      <xdr:spPr>
        <a:xfrm>
          <a:off x="2750150" y="80341786"/>
          <a:ext cx="1703243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Декор</a:t>
          </a:r>
        </a:p>
      </xdr:txBody>
    </xdr:sp>
    <xdr:clientData/>
  </xdr:oneCellAnchor>
  <xdr:oneCellAnchor>
    <xdr:from>
      <xdr:col>19</xdr:col>
      <xdr:colOff>433078</xdr:colOff>
      <xdr:row>293</xdr:row>
      <xdr:rowOff>92926</xdr:rowOff>
    </xdr:from>
    <xdr:ext cx="1703243" cy="349752"/>
    <xdr:sp macro="" textlink="">
      <xdr:nvSpPr>
        <xdr:cNvPr id="312" name="Прямоугольник 311">
          <a:extLst>
            <a:ext uri="{FF2B5EF4-FFF2-40B4-BE49-F238E27FC236}">
              <a16:creationId xmlns:a16="http://schemas.microsoft.com/office/drawing/2014/main" id="{F0954A10-4801-4DC7-AFEF-3CB0A325EAA6}"/>
            </a:ext>
          </a:extLst>
        </xdr:cNvPr>
        <xdr:cNvSpPr/>
      </xdr:nvSpPr>
      <xdr:spPr>
        <a:xfrm>
          <a:off x="12015478" y="80302951"/>
          <a:ext cx="1703243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Дуб</a:t>
          </a:r>
        </a:p>
      </xdr:txBody>
    </xdr:sp>
    <xdr:clientData/>
  </xdr:oneCellAnchor>
  <xdr:twoCellAnchor editAs="oneCell">
    <xdr:from>
      <xdr:col>2</xdr:col>
      <xdr:colOff>108856</xdr:colOff>
      <xdr:row>317</xdr:row>
      <xdr:rowOff>52104</xdr:rowOff>
    </xdr:from>
    <xdr:to>
      <xdr:col>7</xdr:col>
      <xdr:colOff>108856</xdr:colOff>
      <xdr:row>331</xdr:row>
      <xdr:rowOff>130345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id="{9E6FCA82-AE25-4E67-AA98-2BB42BE07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56" y="84834129"/>
          <a:ext cx="3048000" cy="2745241"/>
        </a:xfrm>
        <a:prstGeom prst="rect">
          <a:avLst/>
        </a:prstGeom>
      </xdr:spPr>
    </xdr:pic>
    <xdr:clientData/>
  </xdr:twoCellAnchor>
  <xdr:twoCellAnchor editAs="oneCell">
    <xdr:from>
      <xdr:col>8</xdr:col>
      <xdr:colOff>27214</xdr:colOff>
      <xdr:row>317</xdr:row>
      <xdr:rowOff>38498</xdr:rowOff>
    </xdr:from>
    <xdr:to>
      <xdr:col>13</xdr:col>
      <xdr:colOff>35560</xdr:colOff>
      <xdr:row>331</xdr:row>
      <xdr:rowOff>124223</xdr:rowOff>
    </xdr:to>
    <xdr:pic>
      <xdr:nvPicPr>
        <xdr:cNvPr id="314" name="Рисунок 313">
          <a:extLst>
            <a:ext uri="{FF2B5EF4-FFF2-40B4-BE49-F238E27FC236}">
              <a16:creationId xmlns:a16="http://schemas.microsoft.com/office/drawing/2014/main" id="{5E450852-F5F4-4A49-8D60-4914793A4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4014" y="84820523"/>
          <a:ext cx="3056346" cy="2752725"/>
        </a:xfrm>
        <a:prstGeom prst="rect">
          <a:avLst/>
        </a:prstGeom>
      </xdr:spPr>
    </xdr:pic>
    <xdr:clientData/>
  </xdr:twoCellAnchor>
  <xdr:twoCellAnchor editAs="oneCell">
    <xdr:from>
      <xdr:col>14</xdr:col>
      <xdr:colOff>68034</xdr:colOff>
      <xdr:row>317</xdr:row>
      <xdr:rowOff>52104</xdr:rowOff>
    </xdr:from>
    <xdr:to>
      <xdr:col>19</xdr:col>
      <xdr:colOff>68034</xdr:colOff>
      <xdr:row>331</xdr:row>
      <xdr:rowOff>130345</xdr:rowOff>
    </xdr:to>
    <xdr:pic>
      <xdr:nvPicPr>
        <xdr:cNvPr id="315" name="Рисунок 314">
          <a:extLst>
            <a:ext uri="{FF2B5EF4-FFF2-40B4-BE49-F238E27FC236}">
              <a16:creationId xmlns:a16="http://schemas.microsoft.com/office/drawing/2014/main" id="{A6D16A1F-2DCD-4EC3-B945-49DF963A6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434" y="84834129"/>
          <a:ext cx="3048000" cy="2745241"/>
        </a:xfrm>
        <a:prstGeom prst="rect">
          <a:avLst/>
        </a:prstGeom>
      </xdr:spPr>
    </xdr:pic>
    <xdr:clientData/>
  </xdr:twoCellAnchor>
  <xdr:oneCellAnchor>
    <xdr:from>
      <xdr:col>2</xdr:col>
      <xdr:colOff>283400</xdr:colOff>
      <xdr:row>315</xdr:row>
      <xdr:rowOff>52105</xdr:rowOff>
    </xdr:from>
    <xdr:ext cx="1703243" cy="349752"/>
    <xdr:sp macro="" textlink="">
      <xdr:nvSpPr>
        <xdr:cNvPr id="316" name="Прямоугольник 315">
          <a:extLst>
            <a:ext uri="{FF2B5EF4-FFF2-40B4-BE49-F238E27FC236}">
              <a16:creationId xmlns:a16="http://schemas.microsoft.com/office/drawing/2014/main" id="{41C11EE2-A4B3-4E3B-B1EB-ACDD11CEEAB5}"/>
            </a:ext>
          </a:extLst>
        </xdr:cNvPr>
        <xdr:cNvSpPr/>
      </xdr:nvSpPr>
      <xdr:spPr>
        <a:xfrm>
          <a:off x="1502600" y="84453130"/>
          <a:ext cx="1703243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Декор №603</a:t>
          </a:r>
        </a:p>
      </xdr:txBody>
    </xdr:sp>
    <xdr:clientData/>
  </xdr:oneCellAnchor>
  <xdr:oneCellAnchor>
    <xdr:from>
      <xdr:col>8</xdr:col>
      <xdr:colOff>297008</xdr:colOff>
      <xdr:row>315</xdr:row>
      <xdr:rowOff>52105</xdr:rowOff>
    </xdr:from>
    <xdr:ext cx="1703243" cy="349752"/>
    <xdr:sp macro="" textlink="">
      <xdr:nvSpPr>
        <xdr:cNvPr id="317" name="Прямоугольник 316">
          <a:extLst>
            <a:ext uri="{FF2B5EF4-FFF2-40B4-BE49-F238E27FC236}">
              <a16:creationId xmlns:a16="http://schemas.microsoft.com/office/drawing/2014/main" id="{350C31B7-55EE-4980-93C2-653A25FFBF88}"/>
            </a:ext>
          </a:extLst>
        </xdr:cNvPr>
        <xdr:cNvSpPr/>
      </xdr:nvSpPr>
      <xdr:spPr>
        <a:xfrm>
          <a:off x="5173808" y="84453130"/>
          <a:ext cx="1703243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Декор №611</a:t>
          </a:r>
        </a:p>
      </xdr:txBody>
    </xdr:sp>
    <xdr:clientData/>
  </xdr:oneCellAnchor>
  <xdr:oneCellAnchor>
    <xdr:from>
      <xdr:col>14</xdr:col>
      <xdr:colOff>297006</xdr:colOff>
      <xdr:row>315</xdr:row>
      <xdr:rowOff>38498</xdr:rowOff>
    </xdr:from>
    <xdr:ext cx="1703243" cy="349752"/>
    <xdr:sp macro="" textlink="">
      <xdr:nvSpPr>
        <xdr:cNvPr id="318" name="Прямоугольник 317">
          <a:extLst>
            <a:ext uri="{FF2B5EF4-FFF2-40B4-BE49-F238E27FC236}">
              <a16:creationId xmlns:a16="http://schemas.microsoft.com/office/drawing/2014/main" id="{E2439716-E421-4B45-82FA-314720E28A2B}"/>
            </a:ext>
          </a:extLst>
        </xdr:cNvPr>
        <xdr:cNvSpPr/>
      </xdr:nvSpPr>
      <xdr:spPr>
        <a:xfrm>
          <a:off x="8831406" y="84439523"/>
          <a:ext cx="1703243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Декор №613</a:t>
          </a:r>
        </a:p>
      </xdr:txBody>
    </xdr:sp>
    <xdr:clientData/>
  </xdr:oneCellAnchor>
  <xdr:twoCellAnchor editAs="oneCell">
    <xdr:from>
      <xdr:col>0</xdr:col>
      <xdr:colOff>350585</xdr:colOff>
      <xdr:row>276</xdr:row>
      <xdr:rowOff>75836</xdr:rowOff>
    </xdr:from>
    <xdr:to>
      <xdr:col>6</xdr:col>
      <xdr:colOff>360110</xdr:colOff>
      <xdr:row>290</xdr:row>
      <xdr:rowOff>120659</xdr:rowOff>
    </xdr:to>
    <xdr:pic>
      <xdr:nvPicPr>
        <xdr:cNvPr id="319" name="Рисунок 318">
          <a:extLst>
            <a:ext uri="{FF2B5EF4-FFF2-40B4-BE49-F238E27FC236}">
              <a16:creationId xmlns:a16="http://schemas.microsoft.com/office/drawing/2014/main" id="{3155E986-E05C-484F-8B9C-FF71EFCE2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585" y="77047361"/>
          <a:ext cx="3667125" cy="2711823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8</xdr:col>
      <xdr:colOff>605596</xdr:colOff>
      <xdr:row>276</xdr:row>
      <xdr:rowOff>174177</xdr:rowOff>
    </xdr:from>
    <xdr:to>
      <xdr:col>15</xdr:col>
      <xdr:colOff>21849</xdr:colOff>
      <xdr:row>291</xdr:row>
      <xdr:rowOff>36873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id="{7D0A100F-B0A5-4945-AE93-6C35004DD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2396" y="77145702"/>
          <a:ext cx="3683453" cy="272019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oneCellAnchor>
    <xdr:from>
      <xdr:col>3</xdr:col>
      <xdr:colOff>601410</xdr:colOff>
      <xdr:row>274</xdr:row>
      <xdr:rowOff>68035</xdr:rowOff>
    </xdr:from>
    <xdr:ext cx="1703243" cy="349752"/>
    <xdr:sp macro="" textlink="">
      <xdr:nvSpPr>
        <xdr:cNvPr id="321" name="Прямоугольник 320">
          <a:extLst>
            <a:ext uri="{FF2B5EF4-FFF2-40B4-BE49-F238E27FC236}">
              <a16:creationId xmlns:a16="http://schemas.microsoft.com/office/drawing/2014/main" id="{A9B9D294-16E0-44BB-A807-3AA1A493C0C4}"/>
            </a:ext>
          </a:extLst>
        </xdr:cNvPr>
        <xdr:cNvSpPr/>
      </xdr:nvSpPr>
      <xdr:spPr>
        <a:xfrm>
          <a:off x="2430210" y="76658560"/>
          <a:ext cx="1703243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Серебро</a:t>
          </a:r>
        </a:p>
      </xdr:txBody>
    </xdr:sp>
    <xdr:clientData/>
  </xdr:oneCellAnchor>
  <xdr:oneCellAnchor>
    <xdr:from>
      <xdr:col>2</xdr:col>
      <xdr:colOff>108857</xdr:colOff>
      <xdr:row>333</xdr:row>
      <xdr:rowOff>13607</xdr:rowOff>
    </xdr:from>
    <xdr:ext cx="7465046" cy="3531102"/>
    <xdr:sp macro="" textlink="">
      <xdr:nvSpPr>
        <xdr:cNvPr id="322" name="Прямоугольник 321">
          <a:extLst>
            <a:ext uri="{FF2B5EF4-FFF2-40B4-BE49-F238E27FC236}">
              <a16:creationId xmlns:a16="http://schemas.microsoft.com/office/drawing/2014/main" id="{E501A4AB-A7B4-44FF-BDA8-60E70383F92A}"/>
            </a:ext>
          </a:extLst>
        </xdr:cNvPr>
        <xdr:cNvSpPr/>
      </xdr:nvSpPr>
      <xdr:spPr>
        <a:xfrm>
          <a:off x="1328057" y="87843632"/>
          <a:ext cx="7465046" cy="353110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анодированный алюминий- цвет: «серебро»</a:t>
          </a:r>
        </a:p>
        <a:p>
          <a:pPr algn="l"/>
          <a:r>
            <a:rPr lang="ru-RU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анодированный алюминий- цвет: «золото»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2400" b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анодированный алюминий- цвет: «бронза»</a:t>
          </a:r>
          <a:endParaRPr lang="ru-RU" sz="2400">
            <a:effectLst/>
            <a:latin typeface="+mj-lt"/>
          </a:endParaRPr>
        </a:p>
        <a:p>
          <a:pPr algn="l"/>
          <a:r>
            <a:rPr lang="ru-RU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анодированный алюминий- цвет: «черный»</a:t>
          </a:r>
        </a:p>
        <a:p>
          <a:pPr algn="l"/>
          <a:r>
            <a:rPr lang="ru-RU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алюминий с покрытием декор (№603, №611</a:t>
          </a:r>
          <a:r>
            <a:rPr lang="ru-RU" sz="2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, №613)</a:t>
          </a:r>
          <a:endParaRPr lang="ru-RU" sz="2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  <a:p>
          <a:pPr algn="l"/>
          <a:r>
            <a:rPr lang="ru-RU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натуральное дерево- дуб (ширина профиля 10 мм)</a:t>
          </a:r>
        </a:p>
      </xdr:txBody>
    </xdr:sp>
    <xdr:clientData/>
  </xdr:oneCellAnchor>
  <xdr:twoCellAnchor editAs="oneCell">
    <xdr:from>
      <xdr:col>5</xdr:col>
      <xdr:colOff>40821</xdr:colOff>
      <xdr:row>244</xdr:row>
      <xdr:rowOff>149680</xdr:rowOff>
    </xdr:from>
    <xdr:to>
      <xdr:col>7</xdr:col>
      <xdr:colOff>344771</xdr:colOff>
      <xdr:row>253</xdr:row>
      <xdr:rowOff>176894</xdr:rowOff>
    </xdr:to>
    <xdr:pic>
      <xdr:nvPicPr>
        <xdr:cNvPr id="323" name="Рисунок 322">
          <a:extLst>
            <a:ext uri="{FF2B5EF4-FFF2-40B4-BE49-F238E27FC236}">
              <a16:creationId xmlns:a16="http://schemas.microsoft.com/office/drawing/2014/main" id="{9FB34880-15FD-4674-81CA-AEC46597A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88821" y="71025205"/>
          <a:ext cx="1523150" cy="1741714"/>
        </a:xfrm>
        <a:prstGeom prst="rect">
          <a:avLst/>
        </a:prstGeom>
      </xdr:spPr>
    </xdr:pic>
    <xdr:clientData/>
  </xdr:twoCellAnchor>
  <xdr:twoCellAnchor editAs="oneCell">
    <xdr:from>
      <xdr:col>9</xdr:col>
      <xdr:colOff>81642</xdr:colOff>
      <xdr:row>245</xdr:row>
      <xdr:rowOff>13609</xdr:rowOff>
    </xdr:from>
    <xdr:to>
      <xdr:col>11</xdr:col>
      <xdr:colOff>418103</xdr:colOff>
      <xdr:row>254</xdr:row>
      <xdr:rowOff>27215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id="{2397232E-C1CA-4A3F-9C3E-3DF2B5D46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568042" y="71079634"/>
          <a:ext cx="1555661" cy="1728106"/>
        </a:xfrm>
        <a:prstGeom prst="rect">
          <a:avLst/>
        </a:prstGeom>
      </xdr:spPr>
    </xdr:pic>
    <xdr:clientData/>
  </xdr:twoCellAnchor>
  <xdr:twoCellAnchor editAs="oneCell">
    <xdr:from>
      <xdr:col>17</xdr:col>
      <xdr:colOff>119582</xdr:colOff>
      <xdr:row>245</xdr:row>
      <xdr:rowOff>133030</xdr:rowOff>
    </xdr:from>
    <xdr:to>
      <xdr:col>19</xdr:col>
      <xdr:colOff>201225</xdr:colOff>
      <xdr:row>252</xdr:row>
      <xdr:rowOff>181245</xdr:rowOff>
    </xdr:to>
    <xdr:pic>
      <xdr:nvPicPr>
        <xdr:cNvPr id="326" name="Рисунок 325">
          <a:extLst>
            <a:ext uri="{FF2B5EF4-FFF2-40B4-BE49-F238E27FC236}">
              <a16:creationId xmlns:a16="http://schemas.microsoft.com/office/drawing/2014/main" id="{F3E8CA35-3205-434C-B901-BF730B86B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406582" y="63199736"/>
          <a:ext cx="1291878" cy="1381715"/>
        </a:xfrm>
        <a:prstGeom prst="rect">
          <a:avLst/>
        </a:prstGeom>
      </xdr:spPr>
    </xdr:pic>
    <xdr:clientData/>
  </xdr:twoCellAnchor>
  <xdr:oneCellAnchor>
    <xdr:from>
      <xdr:col>4</xdr:col>
      <xdr:colOff>421822</xdr:colOff>
      <xdr:row>254</xdr:row>
      <xdr:rowOff>176892</xdr:rowOff>
    </xdr:from>
    <xdr:ext cx="2129117" cy="369795"/>
    <xdr:sp macro="" textlink="">
      <xdr:nvSpPr>
        <xdr:cNvPr id="327" name="Прямоугольник 326">
          <a:extLst>
            <a:ext uri="{FF2B5EF4-FFF2-40B4-BE49-F238E27FC236}">
              <a16:creationId xmlns:a16="http://schemas.microsoft.com/office/drawing/2014/main" id="{7D520D9C-9253-49A6-A6D5-C2B384667DEB}"/>
            </a:ext>
          </a:extLst>
        </xdr:cNvPr>
        <xdr:cNvSpPr/>
      </xdr:nvSpPr>
      <xdr:spPr>
        <a:xfrm>
          <a:off x="2860222" y="72957417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18</a:t>
          </a: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8</xdr:col>
      <xdr:colOff>408214</xdr:colOff>
      <xdr:row>255</xdr:row>
      <xdr:rowOff>0</xdr:rowOff>
    </xdr:from>
    <xdr:ext cx="2129117" cy="369795"/>
    <xdr:sp macro="" textlink="">
      <xdr:nvSpPr>
        <xdr:cNvPr id="328" name="Прямоугольник 327">
          <a:extLst>
            <a:ext uri="{FF2B5EF4-FFF2-40B4-BE49-F238E27FC236}">
              <a16:creationId xmlns:a16="http://schemas.microsoft.com/office/drawing/2014/main" id="{10570E06-05D0-4A76-894E-262C0656F15D}"/>
            </a:ext>
          </a:extLst>
        </xdr:cNvPr>
        <xdr:cNvSpPr/>
      </xdr:nvSpPr>
      <xdr:spPr>
        <a:xfrm>
          <a:off x="5285014" y="72971025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18</a:t>
          </a: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394447</xdr:colOff>
      <xdr:row>254</xdr:row>
      <xdr:rowOff>171129</xdr:rowOff>
    </xdr:from>
    <xdr:ext cx="2129117" cy="369795"/>
    <xdr:sp macro="" textlink="">
      <xdr:nvSpPr>
        <xdr:cNvPr id="330" name="Прямоугольник 329">
          <a:extLst>
            <a:ext uri="{FF2B5EF4-FFF2-40B4-BE49-F238E27FC236}">
              <a16:creationId xmlns:a16="http://schemas.microsoft.com/office/drawing/2014/main" id="{3AC27F84-19F9-4684-B98F-E0C80778B562}"/>
            </a:ext>
          </a:extLst>
        </xdr:cNvPr>
        <xdr:cNvSpPr/>
      </xdr:nvSpPr>
      <xdr:spPr>
        <a:xfrm>
          <a:off x="7655859" y="64952335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18</a:t>
          </a: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16</xdr:col>
      <xdr:colOff>405333</xdr:colOff>
      <xdr:row>254</xdr:row>
      <xdr:rowOff>146637</xdr:rowOff>
    </xdr:from>
    <xdr:ext cx="2129117" cy="369795"/>
    <xdr:sp macro="" textlink="">
      <xdr:nvSpPr>
        <xdr:cNvPr id="331" name="Прямоугольник 330">
          <a:extLst>
            <a:ext uri="{FF2B5EF4-FFF2-40B4-BE49-F238E27FC236}">
              <a16:creationId xmlns:a16="http://schemas.microsoft.com/office/drawing/2014/main" id="{2918B7C7-8CD4-4E84-9900-43AC0D21AFC4}"/>
            </a:ext>
          </a:extLst>
        </xdr:cNvPr>
        <xdr:cNvSpPr/>
      </xdr:nvSpPr>
      <xdr:spPr>
        <a:xfrm>
          <a:off x="10087215" y="64927843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10</a:t>
          </a: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twoCellAnchor>
    <xdr:from>
      <xdr:col>4</xdr:col>
      <xdr:colOff>312964</xdr:colOff>
      <xdr:row>241</xdr:row>
      <xdr:rowOff>174492</xdr:rowOff>
    </xdr:from>
    <xdr:to>
      <xdr:col>4</xdr:col>
      <xdr:colOff>312964</xdr:colOff>
      <xdr:row>265</xdr:row>
      <xdr:rowOff>30492</xdr:rowOff>
    </xdr:to>
    <xdr:cxnSp macro="">
      <xdr:nvCxnSpPr>
        <xdr:cNvPr id="332" name="Прямая соединительная линия 331">
          <a:extLst>
            <a:ext uri="{FF2B5EF4-FFF2-40B4-BE49-F238E27FC236}">
              <a16:creationId xmlns:a16="http://schemas.microsoft.com/office/drawing/2014/main" id="{FD12FA32-D157-4CAC-8DF8-232C4DFD591C}"/>
            </a:ext>
          </a:extLst>
        </xdr:cNvPr>
        <xdr:cNvCxnSpPr/>
      </xdr:nvCxnSpPr>
      <xdr:spPr>
        <a:xfrm>
          <a:off x="2751364" y="70478517"/>
          <a:ext cx="0" cy="4428000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316166</xdr:colOff>
      <xdr:row>241</xdr:row>
      <xdr:rowOff>159284</xdr:rowOff>
    </xdr:from>
    <xdr:to>
      <xdr:col>0</xdr:col>
      <xdr:colOff>316166</xdr:colOff>
      <xdr:row>265</xdr:row>
      <xdr:rowOff>15284</xdr:rowOff>
    </xdr:to>
    <xdr:cxnSp macro="">
      <xdr:nvCxnSpPr>
        <xdr:cNvPr id="333" name="Прямая соединительная линия 332">
          <a:extLst>
            <a:ext uri="{FF2B5EF4-FFF2-40B4-BE49-F238E27FC236}">
              <a16:creationId xmlns:a16="http://schemas.microsoft.com/office/drawing/2014/main" id="{51197776-C1C1-4EE6-BC0C-26DF5CD63A8D}"/>
            </a:ext>
          </a:extLst>
        </xdr:cNvPr>
        <xdr:cNvCxnSpPr/>
      </xdr:nvCxnSpPr>
      <xdr:spPr>
        <a:xfrm>
          <a:off x="316166" y="70463309"/>
          <a:ext cx="0" cy="4428000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299357</xdr:colOff>
      <xdr:row>241</xdr:row>
      <xdr:rowOff>176892</xdr:rowOff>
    </xdr:from>
    <xdr:to>
      <xdr:col>8</xdr:col>
      <xdr:colOff>299357</xdr:colOff>
      <xdr:row>265</xdr:row>
      <xdr:rowOff>32892</xdr:rowOff>
    </xdr:to>
    <xdr:cxnSp macro="">
      <xdr:nvCxnSpPr>
        <xdr:cNvPr id="334" name="Прямая соединительная линия 333">
          <a:extLst>
            <a:ext uri="{FF2B5EF4-FFF2-40B4-BE49-F238E27FC236}">
              <a16:creationId xmlns:a16="http://schemas.microsoft.com/office/drawing/2014/main" id="{CC596ED3-419F-4AF1-ACCB-832C77C3CF61}"/>
            </a:ext>
          </a:extLst>
        </xdr:cNvPr>
        <xdr:cNvCxnSpPr/>
      </xdr:nvCxnSpPr>
      <xdr:spPr>
        <a:xfrm>
          <a:off x="5176157" y="70480917"/>
          <a:ext cx="0" cy="4428000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309562</xdr:colOff>
      <xdr:row>242</xdr:row>
      <xdr:rowOff>2721</xdr:rowOff>
    </xdr:from>
    <xdr:to>
      <xdr:col>12</xdr:col>
      <xdr:colOff>309562</xdr:colOff>
      <xdr:row>264</xdr:row>
      <xdr:rowOff>160735</xdr:rowOff>
    </xdr:to>
    <xdr:cxnSp macro="">
      <xdr:nvCxnSpPr>
        <xdr:cNvPr id="335" name="Прямая соединительная линия 334">
          <a:extLst>
            <a:ext uri="{FF2B5EF4-FFF2-40B4-BE49-F238E27FC236}">
              <a16:creationId xmlns:a16="http://schemas.microsoft.com/office/drawing/2014/main" id="{07FA8210-3AAB-4A78-9FF4-25DA89F9BC80}"/>
            </a:ext>
          </a:extLst>
        </xdr:cNvPr>
        <xdr:cNvCxnSpPr/>
      </xdr:nvCxnSpPr>
      <xdr:spPr>
        <a:xfrm flipH="1">
          <a:off x="7624762" y="70497246"/>
          <a:ext cx="0" cy="4349014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332013</xdr:colOff>
      <xdr:row>241</xdr:row>
      <xdr:rowOff>182335</xdr:rowOff>
    </xdr:from>
    <xdr:to>
      <xdr:col>16</xdr:col>
      <xdr:colOff>332013</xdr:colOff>
      <xdr:row>264</xdr:row>
      <xdr:rowOff>172641</xdr:rowOff>
    </xdr:to>
    <xdr:cxnSp macro="">
      <xdr:nvCxnSpPr>
        <xdr:cNvPr id="336" name="Прямая соединительная линия 335">
          <a:extLst>
            <a:ext uri="{FF2B5EF4-FFF2-40B4-BE49-F238E27FC236}">
              <a16:creationId xmlns:a16="http://schemas.microsoft.com/office/drawing/2014/main" id="{FF4D4E2F-71F7-4A40-8CF6-6121B7DBD519}"/>
            </a:ext>
          </a:extLst>
        </xdr:cNvPr>
        <xdr:cNvCxnSpPr/>
      </xdr:nvCxnSpPr>
      <xdr:spPr>
        <a:xfrm>
          <a:off x="10085613" y="70486360"/>
          <a:ext cx="0" cy="4371806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348342</xdr:colOff>
      <xdr:row>241</xdr:row>
      <xdr:rowOff>144235</xdr:rowOff>
    </xdr:from>
    <xdr:to>
      <xdr:col>20</xdr:col>
      <xdr:colOff>348342</xdr:colOff>
      <xdr:row>265</xdr:row>
      <xdr:rowOff>235</xdr:rowOff>
    </xdr:to>
    <xdr:cxnSp macro="">
      <xdr:nvCxnSpPr>
        <xdr:cNvPr id="337" name="Прямая соединительная линия 336">
          <a:extLst>
            <a:ext uri="{FF2B5EF4-FFF2-40B4-BE49-F238E27FC236}">
              <a16:creationId xmlns:a16="http://schemas.microsoft.com/office/drawing/2014/main" id="{DE71AC74-A14E-46A5-A6AE-804726EB59BA}"/>
            </a:ext>
          </a:extLst>
        </xdr:cNvPr>
        <xdr:cNvCxnSpPr/>
      </xdr:nvCxnSpPr>
      <xdr:spPr>
        <a:xfrm>
          <a:off x="12511034" y="46062062"/>
          <a:ext cx="0" cy="4428000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153684</xdr:colOff>
      <xdr:row>244</xdr:row>
      <xdr:rowOff>176893</xdr:rowOff>
    </xdr:from>
    <xdr:to>
      <xdr:col>15</xdr:col>
      <xdr:colOff>108646</xdr:colOff>
      <xdr:row>253</xdr:row>
      <xdr:rowOff>122465</xdr:rowOff>
    </xdr:to>
    <xdr:pic>
      <xdr:nvPicPr>
        <xdr:cNvPr id="339" name="Рисунок 338">
          <a:extLst>
            <a:ext uri="{FF2B5EF4-FFF2-40B4-BE49-F238E27FC236}">
              <a16:creationId xmlns:a16="http://schemas.microsoft.com/office/drawing/2014/main" id="{89CC7F89-44BA-4189-9B7D-DECC271C5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020213" y="63053099"/>
          <a:ext cx="1165198" cy="1660072"/>
        </a:xfrm>
        <a:prstGeom prst="rect">
          <a:avLst/>
        </a:prstGeom>
      </xdr:spPr>
    </xdr:pic>
    <xdr:clientData/>
  </xdr:twoCellAnchor>
  <xdr:oneCellAnchor>
    <xdr:from>
      <xdr:col>4</xdr:col>
      <xdr:colOff>421821</xdr:colOff>
      <xdr:row>257</xdr:row>
      <xdr:rowOff>32658</xdr:rowOff>
    </xdr:from>
    <xdr:ext cx="2129117" cy="369795"/>
    <xdr:sp macro="" textlink="">
      <xdr:nvSpPr>
        <xdr:cNvPr id="340" name="Прямоугольник 339">
          <a:extLst>
            <a:ext uri="{FF2B5EF4-FFF2-40B4-BE49-F238E27FC236}">
              <a16:creationId xmlns:a16="http://schemas.microsoft.com/office/drawing/2014/main" id="{4F57367F-EFA0-4DA3-B12B-BF22691F8D1B}"/>
            </a:ext>
          </a:extLst>
        </xdr:cNvPr>
        <xdr:cNvSpPr/>
      </xdr:nvSpPr>
      <xdr:spPr>
        <a:xfrm>
          <a:off x="2860221" y="73384683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max 400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8</xdr:col>
      <xdr:colOff>397329</xdr:colOff>
      <xdr:row>257</xdr:row>
      <xdr:rowOff>16328</xdr:rowOff>
    </xdr:from>
    <xdr:ext cx="2129117" cy="369795"/>
    <xdr:sp macro="" textlink="">
      <xdr:nvSpPr>
        <xdr:cNvPr id="341" name="Прямоугольник 340">
          <a:extLst>
            <a:ext uri="{FF2B5EF4-FFF2-40B4-BE49-F238E27FC236}">
              <a16:creationId xmlns:a16="http://schemas.microsoft.com/office/drawing/2014/main" id="{25A750C6-476F-44EC-BB4F-6B5E20BB0F33}"/>
            </a:ext>
          </a:extLst>
        </xdr:cNvPr>
        <xdr:cNvSpPr/>
      </xdr:nvSpPr>
      <xdr:spPr>
        <a:xfrm>
          <a:off x="5274129" y="73368353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max 400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408693</xdr:colOff>
      <xdr:row>257</xdr:row>
      <xdr:rowOff>2401</xdr:rowOff>
    </xdr:from>
    <xdr:ext cx="2129117" cy="369795"/>
    <xdr:sp macro="" textlink="">
      <xdr:nvSpPr>
        <xdr:cNvPr id="343" name="Прямоугольник 342">
          <a:extLst>
            <a:ext uri="{FF2B5EF4-FFF2-40B4-BE49-F238E27FC236}">
              <a16:creationId xmlns:a16="http://schemas.microsoft.com/office/drawing/2014/main" id="{33B4F145-1BDC-4DE6-B167-028637AEDAE7}"/>
            </a:ext>
          </a:extLst>
        </xdr:cNvPr>
        <xdr:cNvSpPr/>
      </xdr:nvSpPr>
      <xdr:spPr>
        <a:xfrm>
          <a:off x="7670105" y="65355107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max 400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16</xdr:col>
      <xdr:colOff>323691</xdr:colOff>
      <xdr:row>256</xdr:row>
      <xdr:rowOff>167448</xdr:rowOff>
    </xdr:from>
    <xdr:ext cx="2129117" cy="369795"/>
    <xdr:sp macro="" textlink="">
      <xdr:nvSpPr>
        <xdr:cNvPr id="344" name="Прямоугольник 343">
          <a:extLst>
            <a:ext uri="{FF2B5EF4-FFF2-40B4-BE49-F238E27FC236}">
              <a16:creationId xmlns:a16="http://schemas.microsoft.com/office/drawing/2014/main" id="{D5FFD692-5D69-4281-99E0-3BCC6DB18752}"/>
            </a:ext>
          </a:extLst>
        </xdr:cNvPr>
        <xdr:cNvSpPr/>
      </xdr:nvSpPr>
      <xdr:spPr>
        <a:xfrm>
          <a:off x="10005573" y="65329654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max 300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4</xdr:col>
      <xdr:colOff>421821</xdr:colOff>
      <xdr:row>259</xdr:row>
      <xdr:rowOff>68036</xdr:rowOff>
    </xdr:from>
    <xdr:ext cx="2129117" cy="369795"/>
    <xdr:sp macro="" textlink="">
      <xdr:nvSpPr>
        <xdr:cNvPr id="345" name="Прямоугольник 344">
          <a:extLst>
            <a:ext uri="{FF2B5EF4-FFF2-40B4-BE49-F238E27FC236}">
              <a16:creationId xmlns:a16="http://schemas.microsoft.com/office/drawing/2014/main" id="{F0D26FD8-C4AA-4524-B297-9C471D101FDB}"/>
            </a:ext>
          </a:extLst>
        </xdr:cNvPr>
        <xdr:cNvSpPr/>
      </xdr:nvSpPr>
      <xdr:spPr>
        <a:xfrm>
          <a:off x="2860221" y="73801061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max 6000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8</xdr:col>
      <xdr:colOff>421822</xdr:colOff>
      <xdr:row>259</xdr:row>
      <xdr:rowOff>68036</xdr:rowOff>
    </xdr:from>
    <xdr:ext cx="2129117" cy="369795"/>
    <xdr:sp macro="" textlink="">
      <xdr:nvSpPr>
        <xdr:cNvPr id="346" name="Прямоугольник 345">
          <a:extLst>
            <a:ext uri="{FF2B5EF4-FFF2-40B4-BE49-F238E27FC236}">
              <a16:creationId xmlns:a16="http://schemas.microsoft.com/office/drawing/2014/main" id="{C76B5E40-3FE2-4B70-A19C-E52E40B7413A}"/>
            </a:ext>
          </a:extLst>
        </xdr:cNvPr>
        <xdr:cNvSpPr/>
      </xdr:nvSpPr>
      <xdr:spPr>
        <a:xfrm>
          <a:off x="5298622" y="73801061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max 6000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412216</xdr:colOff>
      <xdr:row>259</xdr:row>
      <xdr:rowOff>20810</xdr:rowOff>
    </xdr:from>
    <xdr:ext cx="2129117" cy="369795"/>
    <xdr:sp macro="" textlink="">
      <xdr:nvSpPr>
        <xdr:cNvPr id="348" name="Прямоугольник 347">
          <a:extLst>
            <a:ext uri="{FF2B5EF4-FFF2-40B4-BE49-F238E27FC236}">
              <a16:creationId xmlns:a16="http://schemas.microsoft.com/office/drawing/2014/main" id="{582ED095-30B5-4A48-ABBD-82E0C55FD053}"/>
            </a:ext>
          </a:extLst>
        </xdr:cNvPr>
        <xdr:cNvSpPr/>
      </xdr:nvSpPr>
      <xdr:spPr>
        <a:xfrm>
          <a:off x="7673628" y="65754516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max 6000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16</xdr:col>
      <xdr:colOff>251172</xdr:colOff>
      <xdr:row>258</xdr:row>
      <xdr:rowOff>181376</xdr:rowOff>
    </xdr:from>
    <xdr:ext cx="2129117" cy="369795"/>
    <xdr:sp macro="" textlink="">
      <xdr:nvSpPr>
        <xdr:cNvPr id="349" name="Прямоугольник 348">
          <a:extLst>
            <a:ext uri="{FF2B5EF4-FFF2-40B4-BE49-F238E27FC236}">
              <a16:creationId xmlns:a16="http://schemas.microsoft.com/office/drawing/2014/main" id="{97D3E455-8C77-42E0-A8FB-ED823BAFACC7}"/>
            </a:ext>
          </a:extLst>
        </xdr:cNvPr>
        <xdr:cNvSpPr/>
      </xdr:nvSpPr>
      <xdr:spPr>
        <a:xfrm>
          <a:off x="9933054" y="65724582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max 6000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4</xdr:col>
      <xdr:colOff>413016</xdr:colOff>
      <xdr:row>262</xdr:row>
      <xdr:rowOff>50425</xdr:rowOff>
    </xdr:from>
    <xdr:ext cx="2129117" cy="369795"/>
    <xdr:sp macro="" textlink="">
      <xdr:nvSpPr>
        <xdr:cNvPr id="350" name="Прямоугольник 349">
          <a:extLst>
            <a:ext uri="{FF2B5EF4-FFF2-40B4-BE49-F238E27FC236}">
              <a16:creationId xmlns:a16="http://schemas.microsoft.com/office/drawing/2014/main" id="{50203364-EFB8-466F-B41C-C3CBF34A704D}"/>
            </a:ext>
          </a:extLst>
        </xdr:cNvPr>
        <xdr:cNvSpPr/>
      </xdr:nvSpPr>
      <xdr:spPr>
        <a:xfrm>
          <a:off x="2851416" y="74354950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10, 13 ,18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8</xdr:col>
      <xdr:colOff>493859</xdr:colOff>
      <xdr:row>262</xdr:row>
      <xdr:rowOff>59231</xdr:rowOff>
    </xdr:from>
    <xdr:ext cx="2129117" cy="369795"/>
    <xdr:sp macro="" textlink="">
      <xdr:nvSpPr>
        <xdr:cNvPr id="351" name="Прямоугольник 350">
          <a:extLst>
            <a:ext uri="{FF2B5EF4-FFF2-40B4-BE49-F238E27FC236}">
              <a16:creationId xmlns:a16="http://schemas.microsoft.com/office/drawing/2014/main" id="{CFF2CF93-60E1-4010-A2D5-FABCC953F127}"/>
            </a:ext>
          </a:extLst>
        </xdr:cNvPr>
        <xdr:cNvSpPr/>
      </xdr:nvSpPr>
      <xdr:spPr>
        <a:xfrm>
          <a:off x="5370659" y="74363756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10, 13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373796</xdr:colOff>
      <xdr:row>262</xdr:row>
      <xdr:rowOff>39221</xdr:rowOff>
    </xdr:from>
    <xdr:ext cx="2129117" cy="369795"/>
    <xdr:sp macro="" textlink="">
      <xdr:nvSpPr>
        <xdr:cNvPr id="353" name="Прямоугольник 352">
          <a:extLst>
            <a:ext uri="{FF2B5EF4-FFF2-40B4-BE49-F238E27FC236}">
              <a16:creationId xmlns:a16="http://schemas.microsoft.com/office/drawing/2014/main" id="{30032048-56F4-4C33-8A09-7382B0F5476D}"/>
            </a:ext>
          </a:extLst>
        </xdr:cNvPr>
        <xdr:cNvSpPr/>
      </xdr:nvSpPr>
      <xdr:spPr>
        <a:xfrm>
          <a:off x="7635208" y="66344427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10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16</xdr:col>
      <xdr:colOff>379719</xdr:colOff>
      <xdr:row>262</xdr:row>
      <xdr:rowOff>53788</xdr:rowOff>
    </xdr:from>
    <xdr:ext cx="2129117" cy="369795"/>
    <xdr:sp macro="" textlink="">
      <xdr:nvSpPr>
        <xdr:cNvPr id="354" name="Прямоугольник 353">
          <a:extLst>
            <a:ext uri="{FF2B5EF4-FFF2-40B4-BE49-F238E27FC236}">
              <a16:creationId xmlns:a16="http://schemas.microsoft.com/office/drawing/2014/main" id="{B64DD99F-8F85-4FB2-AD03-54884A2EBAF2}"/>
            </a:ext>
          </a:extLst>
        </xdr:cNvPr>
        <xdr:cNvSpPr/>
      </xdr:nvSpPr>
      <xdr:spPr>
        <a:xfrm>
          <a:off x="10061601" y="66358994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10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20</xdr:col>
      <xdr:colOff>408213</xdr:colOff>
      <xdr:row>254</xdr:row>
      <xdr:rowOff>163285</xdr:rowOff>
    </xdr:from>
    <xdr:ext cx="2129117" cy="369795"/>
    <xdr:sp macro="" textlink="">
      <xdr:nvSpPr>
        <xdr:cNvPr id="378" name="Прямоугольник 377">
          <a:extLst>
            <a:ext uri="{FF2B5EF4-FFF2-40B4-BE49-F238E27FC236}">
              <a16:creationId xmlns:a16="http://schemas.microsoft.com/office/drawing/2014/main" id="{5E286E37-52F3-48F3-81C3-ED4464FAA155}"/>
            </a:ext>
          </a:extLst>
        </xdr:cNvPr>
        <xdr:cNvSpPr/>
      </xdr:nvSpPr>
      <xdr:spPr>
        <a:xfrm>
          <a:off x="12654642" y="48563892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18</a:t>
          </a: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20</xdr:col>
      <xdr:colOff>408212</xdr:colOff>
      <xdr:row>257</xdr:row>
      <xdr:rowOff>19051</xdr:rowOff>
    </xdr:from>
    <xdr:ext cx="2129117" cy="369795"/>
    <xdr:sp macro="" textlink="">
      <xdr:nvSpPr>
        <xdr:cNvPr id="382" name="Прямоугольник 381">
          <a:extLst>
            <a:ext uri="{FF2B5EF4-FFF2-40B4-BE49-F238E27FC236}">
              <a16:creationId xmlns:a16="http://schemas.microsoft.com/office/drawing/2014/main" id="{40176AAB-679C-4AA7-A8C0-8B1DD6A0A2A6}"/>
            </a:ext>
          </a:extLst>
        </xdr:cNvPr>
        <xdr:cNvSpPr/>
      </xdr:nvSpPr>
      <xdr:spPr>
        <a:xfrm>
          <a:off x="12654641" y="48991158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max 400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20</xdr:col>
      <xdr:colOff>408212</xdr:colOff>
      <xdr:row>259</xdr:row>
      <xdr:rowOff>54429</xdr:rowOff>
    </xdr:from>
    <xdr:ext cx="2129117" cy="369795"/>
    <xdr:sp macro="" textlink="">
      <xdr:nvSpPr>
        <xdr:cNvPr id="383" name="Прямоугольник 382">
          <a:extLst>
            <a:ext uri="{FF2B5EF4-FFF2-40B4-BE49-F238E27FC236}">
              <a16:creationId xmlns:a16="http://schemas.microsoft.com/office/drawing/2014/main" id="{9E95DAC9-9DC3-4AD8-8B34-81E57D4AA025}"/>
            </a:ext>
          </a:extLst>
        </xdr:cNvPr>
        <xdr:cNvSpPr/>
      </xdr:nvSpPr>
      <xdr:spPr>
        <a:xfrm>
          <a:off x="12654641" y="49407536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max 6000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20</xdr:col>
      <xdr:colOff>399407</xdr:colOff>
      <xdr:row>262</xdr:row>
      <xdr:rowOff>36818</xdr:rowOff>
    </xdr:from>
    <xdr:ext cx="2129117" cy="369795"/>
    <xdr:sp macro="" textlink="">
      <xdr:nvSpPr>
        <xdr:cNvPr id="384" name="Прямоугольник 383">
          <a:extLst>
            <a:ext uri="{FF2B5EF4-FFF2-40B4-BE49-F238E27FC236}">
              <a16:creationId xmlns:a16="http://schemas.microsoft.com/office/drawing/2014/main" id="{DEC0A390-33BB-4320-9024-8196A09051DE}"/>
            </a:ext>
          </a:extLst>
        </xdr:cNvPr>
        <xdr:cNvSpPr/>
      </xdr:nvSpPr>
      <xdr:spPr>
        <a:xfrm>
          <a:off x="12645836" y="49961425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en-US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10</a:t>
          </a:r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twoCellAnchor editAs="oneCell">
    <xdr:from>
      <xdr:col>21</xdr:col>
      <xdr:colOff>94065</xdr:colOff>
      <xdr:row>245</xdr:row>
      <xdr:rowOff>19525</xdr:rowOff>
    </xdr:from>
    <xdr:to>
      <xdr:col>23</xdr:col>
      <xdr:colOff>342544</xdr:colOff>
      <xdr:row>253</xdr:row>
      <xdr:rowOff>69007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id="{8DD9C380-0D77-4BBE-A9B8-1BB8D1A44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952815" y="46705632"/>
          <a:ext cx="1473122" cy="1573482"/>
        </a:xfrm>
        <a:prstGeom prst="rect">
          <a:avLst/>
        </a:prstGeom>
      </xdr:spPr>
    </xdr:pic>
    <xdr:clientData/>
  </xdr:twoCellAnchor>
  <xdr:oneCellAnchor>
    <xdr:from>
      <xdr:col>10</xdr:col>
      <xdr:colOff>83245</xdr:colOff>
      <xdr:row>141</xdr:row>
      <xdr:rowOff>134470</xdr:rowOff>
    </xdr:from>
    <xdr:ext cx="8743950" cy="7715250"/>
    <xdr:sp macro="" textlink="">
      <xdr:nvSpPr>
        <xdr:cNvPr id="135" name="Прямоугольник 134">
          <a:extLst>
            <a:ext uri="{FF2B5EF4-FFF2-40B4-BE49-F238E27FC236}">
              <a16:creationId xmlns:a16="http://schemas.microsoft.com/office/drawing/2014/main" id="{82447A5A-9DD4-4579-B258-354320B5A25D}"/>
            </a:ext>
          </a:extLst>
        </xdr:cNvPr>
        <xdr:cNvSpPr/>
      </xdr:nvSpPr>
      <xdr:spPr>
        <a:xfrm>
          <a:off x="6134421" y="43389176"/>
          <a:ext cx="8743950" cy="7715250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Встраиваемый в пол конвектор тепло-холод с принудительной конвекцией </a:t>
          </a:r>
          <a:r>
            <a:rPr lang="de-DE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VITRON </a:t>
          </a:r>
          <a:r>
            <a:rPr lang="de-DE" sz="1600" b="0" i="0" u="none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 прибор , который предназначен как для отопления, так и для охлаждения воздуха в помещении. Для подключения необходим источник хладагента (+7...+16 °С). Для сбора конденсата предусмотрено формованное дно с дренажным патрубком.. Позволяет преградить поток холодного воздуха от застекленных фасадов или окон. Данный тип конвектора служит для отопления  и охлаждения сухих и влажных помещений. Применяется в качестве основного отопительного прибора в помещениях с любыми потребностями в интенсивности отопления. Возможно комбинированное использование с системами тёплого пола, вентиляции, радиаторного водяного отопления. Может быть установлен как в однотрубную, так и в двухтрубную систему отопления.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600" b="0" i="0" baseline="0"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ru-RU" sz="1400" b="0" i="0" baseline="0">
              <a:effectLst/>
              <a:latin typeface="+mn-lt"/>
              <a:ea typeface="+mn-ea"/>
              <a:cs typeface="+mn-cs"/>
            </a:rPr>
            <a:t>Конструктивные особенности: </a:t>
          </a:r>
          <a:endParaRPr lang="ru-RU" sz="1400" b="0">
            <a:effectLst/>
            <a:latin typeface="+mn-lt"/>
          </a:endParaRPr>
        </a:p>
        <a:p>
          <a:r>
            <a:rPr lang="ru-RU" sz="1400" b="0" i="0" baseline="0">
              <a:effectLst/>
              <a:latin typeface="+mj-lt"/>
              <a:ea typeface="+mn-ea"/>
              <a:cs typeface="+mn-cs"/>
            </a:rPr>
            <a:t>• материал корпуса - нержавеющая сталь толщиной 0,8мм;</a:t>
          </a:r>
          <a:endParaRPr lang="ru-RU" sz="1400">
            <a:effectLst/>
            <a:latin typeface="+mj-lt"/>
          </a:endParaRPr>
        </a:p>
        <a:p>
          <a:r>
            <a:rPr lang="ru-RU" sz="1400" b="0" i="0" baseline="0">
              <a:effectLst/>
              <a:latin typeface="+mj-lt"/>
              <a:ea typeface="+mn-ea"/>
              <a:cs typeface="+mn-cs"/>
            </a:rPr>
            <a:t>• материал и покрытие решётки - анодированный алюминий, алюминий с</a:t>
          </a:r>
          <a:endParaRPr lang="ru-RU" sz="1400">
            <a:effectLst/>
            <a:latin typeface="+mj-lt"/>
          </a:endParaRPr>
        </a:p>
        <a:p>
          <a:r>
            <a:rPr lang="ru-RU" sz="1400" b="0" i="0" baseline="0">
              <a:effectLst/>
              <a:latin typeface="+mj-lt"/>
              <a:ea typeface="+mn-ea"/>
              <a:cs typeface="+mn-cs"/>
            </a:rPr>
            <a:t>порошковым покрытием, дерево (дуб);</a:t>
          </a:r>
          <a:endParaRPr lang="ru-RU" sz="1400">
            <a:effectLst/>
            <a:latin typeface="+mj-lt"/>
          </a:endParaRPr>
        </a:p>
        <a:p>
          <a:r>
            <a:rPr lang="ru-RU" sz="1400" b="0" i="0" baseline="0">
              <a:effectLst/>
              <a:latin typeface="+mj-lt"/>
              <a:ea typeface="+mn-ea"/>
              <a:cs typeface="+mn-cs"/>
            </a:rPr>
            <a:t>• регулировка по высоте от 0 до 40 мм за счёт специальных установочных ножек;</a:t>
          </a:r>
          <a:endParaRPr lang="ru-RU" sz="1400">
            <a:effectLst/>
            <a:latin typeface="+mj-lt"/>
          </a:endParaRPr>
        </a:p>
        <a:p>
          <a:r>
            <a:rPr lang="ru-RU" sz="1400" b="0" i="0" baseline="0">
              <a:effectLst/>
              <a:latin typeface="+mj-lt"/>
              <a:ea typeface="+mn-ea"/>
              <a:cs typeface="+mn-cs"/>
            </a:rPr>
            <a:t>• подключение теплообменника - </a:t>
          </a:r>
          <a:r>
            <a:rPr lang="en-US" sz="1400" b="0" i="0" baseline="0">
              <a:effectLst/>
              <a:latin typeface="+mj-lt"/>
              <a:ea typeface="+mn-ea"/>
              <a:cs typeface="+mn-cs"/>
            </a:rPr>
            <a:t>G1/2’’ (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внутренняя резьба);</a:t>
          </a:r>
          <a:endParaRPr lang="ru-RU" sz="1400">
            <a:effectLst/>
            <a:latin typeface="+mj-lt"/>
          </a:endParaRPr>
        </a:p>
        <a:p>
          <a:r>
            <a:rPr lang="ru-RU" sz="1400" b="0" i="0" baseline="0">
              <a:effectLst/>
              <a:latin typeface="+mj-lt"/>
              <a:ea typeface="+mn-ea"/>
              <a:cs typeface="+mn-cs"/>
            </a:rPr>
            <a:t>• применение материалов с повышенными теплопередающими свойствами</a:t>
          </a:r>
          <a:endParaRPr lang="ru-RU" sz="1400">
            <a:effectLst/>
            <a:latin typeface="+mj-lt"/>
          </a:endParaRPr>
        </a:p>
        <a:p>
          <a:r>
            <a:rPr lang="ru-RU" sz="1400" b="0" i="0" baseline="0">
              <a:effectLst/>
              <a:latin typeface="+mj-lt"/>
              <a:ea typeface="+mn-ea"/>
              <a:cs typeface="+mn-cs"/>
            </a:rPr>
            <a:t>(С</a:t>
          </a:r>
          <a:r>
            <a:rPr lang="en-US" sz="1400" b="0" i="0" baseline="0">
              <a:effectLst/>
              <a:latin typeface="+mj-lt"/>
              <a:ea typeface="+mn-ea"/>
              <a:cs typeface="+mn-cs"/>
            </a:rPr>
            <a:t>u - 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медь, </a:t>
          </a:r>
          <a:r>
            <a:rPr lang="en-US" sz="1400" b="0" i="0" baseline="0">
              <a:effectLst/>
              <a:latin typeface="+mj-lt"/>
              <a:ea typeface="+mn-ea"/>
              <a:cs typeface="+mn-cs"/>
            </a:rPr>
            <a:t>Al - 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алюминий) и стойких к коррозии;</a:t>
          </a:r>
          <a:endParaRPr lang="ru-RU" sz="1400">
            <a:effectLst/>
            <a:latin typeface="+mj-lt"/>
          </a:endParaRPr>
        </a:p>
        <a:p>
          <a:r>
            <a:rPr lang="ru-RU" sz="1400" b="0" i="0" baseline="0">
              <a:effectLst/>
              <a:latin typeface="+mj-lt"/>
              <a:ea typeface="+mn-ea"/>
              <a:cs typeface="+mn-cs"/>
            </a:rPr>
            <a:t>• съёмный медно-алюминиевый теплообменник, покрытый износостойким</a:t>
          </a:r>
          <a:endParaRPr lang="ru-RU" sz="1400">
            <a:effectLst/>
            <a:latin typeface="+mj-lt"/>
          </a:endParaRPr>
        </a:p>
        <a:p>
          <a:r>
            <a:rPr lang="ru-RU" sz="1400" b="0" i="0" baseline="0">
              <a:effectLst/>
              <a:latin typeface="+mj-lt"/>
              <a:ea typeface="+mn-ea"/>
              <a:cs typeface="+mn-cs"/>
            </a:rPr>
            <a:t>порошковым покрытием (цвет покрытия: хром);</a:t>
          </a:r>
          <a:endParaRPr lang="ru-RU" sz="1400">
            <a:effectLst/>
            <a:latin typeface="+mj-lt"/>
          </a:endParaRPr>
        </a:p>
        <a:p>
          <a:r>
            <a:rPr lang="ru-RU" sz="1400" b="0" i="0" baseline="0">
              <a:effectLst/>
              <a:latin typeface="+mj-lt"/>
              <a:ea typeface="+mn-ea"/>
              <a:cs typeface="+mn-cs"/>
            </a:rPr>
            <a:t>• специальные юстировочные винты позволяют легко выровнять конвектор</a:t>
          </a:r>
          <a:endParaRPr lang="ru-RU" sz="1400">
            <a:effectLst/>
            <a:latin typeface="+mj-lt"/>
          </a:endParaRPr>
        </a:p>
        <a:p>
          <a:r>
            <a:rPr lang="ru-RU" sz="1400" b="0" i="0" baseline="0">
              <a:effectLst/>
              <a:latin typeface="+mj-lt"/>
              <a:ea typeface="+mn-ea"/>
              <a:cs typeface="+mn-cs"/>
            </a:rPr>
            <a:t>в горизонтальной плоскости;</a:t>
          </a:r>
          <a:endParaRPr lang="ru-RU" sz="1400">
            <a:effectLst/>
            <a:latin typeface="+mj-lt"/>
          </a:endParaRPr>
        </a:p>
        <a:p>
          <a:endParaRPr lang="ru-RU" sz="1600" b="0" i="0" u="none" strike="noStrike" baseline="0">
            <a:latin typeface="+mn-lt"/>
            <a:ea typeface="+mn-ea"/>
            <a:cs typeface="+mn-cs"/>
          </a:endParaRPr>
        </a:p>
        <a:p>
          <a:r>
            <a:rPr lang="ru-RU" sz="1600" b="0" i="0" u="none" strike="noStrike" baseline="0">
              <a:latin typeface="+mn-lt"/>
              <a:ea typeface="+mn-ea"/>
              <a:cs typeface="+mn-cs"/>
            </a:rPr>
            <a:t>Стандартный комплект поставки: 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корпус из нержавеющей стали;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тангенциальный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DC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вентилятор, напряжением питания 24В с уменьшенным уровнем шума;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комплект установочных ножек;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поперечная или продольная решётка;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декоративная рамка из алюминиевого </a:t>
          </a:r>
          <a:r>
            <a:rPr lang="en-US" sz="1400" b="0" i="0" baseline="0">
              <a:effectLst/>
              <a:latin typeface="+mj-lt"/>
              <a:ea typeface="+mn-ea"/>
              <a:cs typeface="+mn-cs"/>
            </a:rPr>
            <a:t>L 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и </a:t>
          </a:r>
          <a:r>
            <a:rPr lang="en-US" sz="1400" b="0" i="0" baseline="0">
              <a:effectLst/>
              <a:latin typeface="+mj-lt"/>
              <a:ea typeface="+mn-ea"/>
              <a:cs typeface="+mn-cs"/>
            </a:rPr>
            <a:t>Z-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образного профиля или окантовка из</a:t>
          </a:r>
        </a:p>
        <a:p>
          <a:r>
            <a:rPr lang="en-US" sz="1400" b="0" i="0" baseline="0">
              <a:effectLst/>
              <a:latin typeface="+mj-lt"/>
              <a:ea typeface="+mn-ea"/>
              <a:cs typeface="+mn-cs"/>
            </a:rPr>
            <a:t>J 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и </a:t>
          </a:r>
          <a:r>
            <a:rPr lang="en-US" sz="1400" b="0" i="0" baseline="0">
              <a:effectLst/>
              <a:latin typeface="+mj-lt"/>
              <a:ea typeface="+mn-ea"/>
              <a:cs typeface="+mn-cs"/>
            </a:rPr>
            <a:t>F-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профиля, выполненная в цвет решётки;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медно-алюминиевый теплообменник (диаметр медной трубы 9,52 мм);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воздухоотводчик ручной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G1/8’’;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технический паспорт, инструкция по монтажу и эксплуатации;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монтажная доска для защиты от механических повреждений.</a:t>
          </a:r>
        </a:p>
        <a:p>
          <a:endParaRPr lang="ru-RU" sz="1400" b="0" i="0" u="none" strike="noStrike" baseline="0">
            <a:latin typeface="+mj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56030</xdr:colOff>
      <xdr:row>139</xdr:row>
      <xdr:rowOff>0</xdr:rowOff>
    </xdr:from>
    <xdr:ext cx="11553825" cy="511677"/>
    <xdr:sp macro="" textlink="">
      <xdr:nvSpPr>
        <xdr:cNvPr id="136" name="Прямоугольник 135">
          <a:extLst>
            <a:ext uri="{FF2B5EF4-FFF2-40B4-BE49-F238E27FC236}">
              <a16:creationId xmlns:a16="http://schemas.microsoft.com/office/drawing/2014/main" id="{32BC1EB8-66B7-42C0-ABCC-11C82C10E624}"/>
            </a:ext>
          </a:extLst>
        </xdr:cNvPr>
        <xdr:cNvSpPr/>
      </xdr:nvSpPr>
      <xdr:spPr>
        <a:xfrm>
          <a:off x="56030" y="42840088"/>
          <a:ext cx="11553825" cy="51167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Конвекторы</a:t>
          </a:r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встраиваемые в пол тепло-холод с вентилятором</a:t>
          </a:r>
          <a:r>
            <a:rPr lang="en-US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24В (принудительная конвекция)</a:t>
          </a:r>
          <a:endParaRPr lang="ru-RU" sz="24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twoCellAnchor editAs="oneCell">
    <xdr:from>
      <xdr:col>0</xdr:col>
      <xdr:colOff>0</xdr:colOff>
      <xdr:row>14</xdr:row>
      <xdr:rowOff>40821</xdr:rowOff>
    </xdr:from>
    <xdr:to>
      <xdr:col>9</xdr:col>
      <xdr:colOff>609107</xdr:colOff>
      <xdr:row>52</xdr:row>
      <xdr:rowOff>59742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B2437BCC-E04D-4E1E-B958-BBE2058D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1428"/>
          <a:ext cx="6120000" cy="7257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122464</xdr:rowOff>
    </xdr:from>
    <xdr:to>
      <xdr:col>9</xdr:col>
      <xdr:colOff>609107</xdr:colOff>
      <xdr:row>95</xdr:row>
      <xdr:rowOff>75400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B22C9510-2A2E-4F51-8B83-576DCABC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66071"/>
          <a:ext cx="6120000" cy="6620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9</xdr:col>
      <xdr:colOff>609107</xdr:colOff>
      <xdr:row>222</xdr:row>
      <xdr:rowOff>83815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3D08525D-FBC4-4119-A2C6-4DD11F9F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46607"/>
          <a:ext cx="6120000" cy="6941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40820</xdr:rowOff>
    </xdr:from>
    <xdr:to>
      <xdr:col>10</xdr:col>
      <xdr:colOff>92706</xdr:colOff>
      <xdr:row>171</xdr:row>
      <xdr:rowOff>190499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D50DC75E-F6FC-41DD-BA73-53F29560DB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0" r="3625"/>
        <a:stretch/>
      </xdr:blipFill>
      <xdr:spPr bwMode="auto">
        <a:xfrm>
          <a:off x="0" y="27295927"/>
          <a:ext cx="6215920" cy="548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136071</xdr:rowOff>
    </xdr:from>
    <xdr:to>
      <xdr:col>10</xdr:col>
      <xdr:colOff>19440</xdr:colOff>
      <xdr:row>136</xdr:row>
      <xdr:rowOff>108858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D33E3E33-7441-4011-BA53-E93B449329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26" r="8607"/>
        <a:stretch/>
      </xdr:blipFill>
      <xdr:spPr bwMode="auto">
        <a:xfrm>
          <a:off x="0" y="19580678"/>
          <a:ext cx="6142654" cy="6449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95250</xdr:colOff>
      <xdr:row>241</xdr:row>
      <xdr:rowOff>153865</xdr:rowOff>
    </xdr:from>
    <xdr:to>
      <xdr:col>24</xdr:col>
      <xdr:colOff>95250</xdr:colOff>
      <xdr:row>265</xdr:row>
      <xdr:rowOff>9865</xdr:rowOff>
    </xdr:to>
    <xdr:cxnSp macro="">
      <xdr:nvCxnSpPr>
        <xdr:cNvPr id="134" name="Прямая соединительная линия 133">
          <a:extLst>
            <a:ext uri="{FF2B5EF4-FFF2-40B4-BE49-F238E27FC236}">
              <a16:creationId xmlns:a16="http://schemas.microsoft.com/office/drawing/2014/main" id="{55506F3F-88C1-4091-B667-D85DF0E92013}"/>
            </a:ext>
          </a:extLst>
        </xdr:cNvPr>
        <xdr:cNvCxnSpPr/>
      </xdr:nvCxnSpPr>
      <xdr:spPr>
        <a:xfrm>
          <a:off x="14690481" y="46071692"/>
          <a:ext cx="0" cy="4428000"/>
        </a:xfrm>
        <a:prstGeom prst="line">
          <a:avLst/>
        </a:prstGeom>
        <a:ln w="571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20</xdr:col>
      <xdr:colOff>388844</xdr:colOff>
      <xdr:row>241</xdr:row>
      <xdr:rowOff>173691</xdr:rowOff>
    </xdr:from>
    <xdr:ext cx="2129117" cy="369795"/>
    <xdr:sp macro="" textlink="">
      <xdr:nvSpPr>
        <xdr:cNvPr id="137" name="Прямоугольник 136">
          <a:extLst>
            <a:ext uri="{FF2B5EF4-FFF2-40B4-BE49-F238E27FC236}">
              <a16:creationId xmlns:a16="http://schemas.microsoft.com/office/drawing/2014/main" id="{58D23A89-2B3A-4A44-BA45-154A88C17DC7}"/>
            </a:ext>
          </a:extLst>
        </xdr:cNvPr>
        <xdr:cNvSpPr/>
      </xdr:nvSpPr>
      <xdr:spPr>
        <a:xfrm>
          <a:off x="12491197" y="46095397"/>
          <a:ext cx="2129117" cy="36979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ctr"/>
          <a:r>
            <a:rPr lang="ru-RU" sz="18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ea typeface="+mn-ea"/>
              <a:cs typeface="+mn-cs"/>
            </a:rPr>
            <a:t>Алюминий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288925</xdr:colOff>
      <xdr:row>2</xdr:row>
      <xdr:rowOff>129228</xdr:rowOff>
    </xdr:from>
    <xdr:to>
      <xdr:col>11</xdr:col>
      <xdr:colOff>285750</xdr:colOff>
      <xdr:row>8</xdr:row>
      <xdr:rowOff>139495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8125" y="605478"/>
          <a:ext cx="5483225" cy="1162792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oneCellAnchor>
    <xdr:from>
      <xdr:col>14</xdr:col>
      <xdr:colOff>156425</xdr:colOff>
      <xdr:row>1</xdr:row>
      <xdr:rowOff>78873</xdr:rowOff>
    </xdr:from>
    <xdr:ext cx="5806225" cy="1568952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8690825" y="364623"/>
          <a:ext cx="5806225" cy="15689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1800" b="0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Телефоны: г. </a:t>
          </a:r>
          <a:r>
            <a:rPr lang="ru-RU" sz="1800" b="1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Москва</a:t>
          </a:r>
          <a:r>
            <a:rPr lang="en-US" sz="1800" b="0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		</a:t>
          </a:r>
          <a:r>
            <a:rPr lang="ru-RU" sz="1600" b="1" i="0" u="sng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+7(495)641-32-22</a:t>
          </a:r>
          <a:endParaRPr lang="ru-RU" sz="1600" b="1" u="sng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</a:endParaRPr>
        </a:p>
        <a:p>
          <a:pPr algn="l"/>
          <a:r>
            <a:rPr lang="ru-RU" sz="1800" b="0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                    г. </a:t>
          </a:r>
          <a:r>
            <a:rPr lang="ru-RU" sz="1800" b="1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Новосибирск</a:t>
          </a:r>
          <a:r>
            <a:rPr lang="en-US" sz="1800" b="0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		</a:t>
          </a:r>
          <a:r>
            <a:rPr lang="ru-RU" sz="1600" b="1" i="0" u="sng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+7(383)373-34-58</a:t>
          </a:r>
          <a:endParaRPr lang="ru-RU" sz="1600" b="1" u="sng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</a:endParaRPr>
        </a:p>
        <a:p>
          <a:pPr algn="l"/>
          <a:r>
            <a:rPr lang="ru-RU" sz="1800" b="0" cap="none" spc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                    г.</a:t>
          </a:r>
          <a:r>
            <a:rPr lang="ru-RU" sz="1800" b="0" cap="none" spc="0" baseline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r>
            <a:rPr lang="ru-RU" sz="1800" b="1" cap="none" spc="0" baseline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Санкт-Петербург</a:t>
          </a:r>
          <a:r>
            <a:rPr lang="en-US" sz="1800" b="0" cap="none" spc="0" baseline="0">
              <a:ln w="0"/>
              <a:solidFill>
                <a:schemeClr val="accent5">
                  <a:lumMod val="7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	</a:t>
          </a:r>
          <a:r>
            <a:rPr lang="ru-RU" sz="1600" b="1" i="0" u="sng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+7(812)458-88-58</a:t>
          </a:r>
          <a:endParaRPr lang="ru-RU" sz="1600" b="1" u="sng" cap="none" spc="0" baseline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Сайт: </a:t>
          </a:r>
          <a:r>
            <a:rPr kumimoji="0" lang="en-US" sz="1800" b="1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wilma-rus.ru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800" b="1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           vitron.ru</a:t>
          </a:r>
          <a:endParaRPr kumimoji="0" lang="ru-RU" sz="1800" b="1" i="0" u="none" strike="noStrike" kern="0" cap="none" spc="0" normalizeH="0" baseline="0" noProof="0">
            <a:ln w="0"/>
            <a:solidFill>
              <a:srgbClr val="4472C4">
                <a:lumMod val="75000"/>
              </a:srgbClr>
            </a:solidFill>
            <a:effectLst>
              <a:outerShdw blurRad="38100" dist="19050" dir="2700000" algn="tl" rotWithShape="0">
                <a:prstClr val="black">
                  <a:alpha val="40000"/>
                </a:prstClr>
              </a:outerShdw>
            </a:effectLst>
            <a:uLnTx/>
            <a:uFillTx/>
            <a:latin typeface="Calibri Ligh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800" b="0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e-mail</a:t>
          </a:r>
          <a:r>
            <a:rPr kumimoji="0" lang="ru-RU" sz="1800" b="0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:</a:t>
          </a:r>
          <a:r>
            <a:rPr kumimoji="0" lang="en-US" sz="1800" b="0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 </a:t>
          </a:r>
          <a:r>
            <a:rPr kumimoji="0" lang="en-US" sz="1800" b="1" i="0" u="none" strike="noStrike" kern="0" cap="none" spc="0" normalizeH="0" baseline="0" noProof="0">
              <a:ln w="0"/>
              <a:solidFill>
                <a:srgbClr val="4472C4">
                  <a:lumMod val="75000"/>
                </a:srgbClr>
              </a:solidFill>
              <a:effectLst>
                <a:outerShdw blurRad="38100" dist="19050" dir="2700000" algn="tl" rotWithShape="0">
                  <a:prstClr val="black">
                    <a:alpha val="40000"/>
                  </a:prstClr>
                </a:outerShdw>
              </a:effectLst>
              <a:uLnTx/>
              <a:uFillTx/>
              <a:latin typeface="Calibri Light"/>
              <a:ea typeface="+mn-ea"/>
              <a:cs typeface="+mn-cs"/>
            </a:rPr>
            <a:t>info@wilma.ru</a:t>
          </a:r>
          <a:endParaRPr kumimoji="0" lang="ru-RU" sz="1800" b="1" i="0" u="none" strike="noStrike" kern="0" cap="none" spc="0" normalizeH="0" baseline="0" noProof="0">
            <a:ln w="0"/>
            <a:solidFill>
              <a:srgbClr val="4472C4">
                <a:lumMod val="75000"/>
              </a:srgbClr>
            </a:solidFill>
            <a:effectLst>
              <a:outerShdw blurRad="38100" dist="19050" dir="2700000" algn="tl" rotWithShape="0">
                <a:prstClr val="black">
                  <a:alpha val="40000"/>
                </a:prstClr>
              </a:outerShdw>
            </a:effectLst>
            <a:uLnTx/>
            <a:uFillTx/>
            <a:latin typeface="Calibri Ligh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9</xdr:row>
      <xdr:rowOff>88398</xdr:rowOff>
    </xdr:from>
    <xdr:ext cx="10149625" cy="511677"/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0" y="1907673"/>
          <a:ext cx="10149625" cy="51167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Электрические конвекторы</a:t>
          </a:r>
          <a:r>
            <a:rPr lang="ru-RU" sz="2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встраиваемые в пол </a:t>
          </a:r>
          <a:endParaRPr lang="ru-RU" sz="24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9</xdr:col>
      <xdr:colOff>146902</xdr:colOff>
      <xdr:row>11</xdr:row>
      <xdr:rowOff>114301</xdr:rowOff>
    </xdr:from>
    <xdr:ext cx="8758974" cy="6076949"/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5633302" y="2314576"/>
          <a:ext cx="8758974" cy="6076949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r>
            <a:rPr lang="ru-RU" sz="1400">
              <a:effectLst/>
              <a:latin typeface="+mn-lt"/>
              <a:ea typeface="+mn-ea"/>
              <a:cs typeface="+mn-cs"/>
            </a:rPr>
            <a:t>Встраиваемые в конструкцию пола электрические конвекторы </a:t>
          </a:r>
          <a:r>
            <a:rPr lang="en-US" sz="1400">
              <a:effectLst/>
              <a:latin typeface="+mn-lt"/>
              <a:ea typeface="+mn-ea"/>
              <a:cs typeface="+mn-cs"/>
            </a:rPr>
            <a:t>Vitron </a:t>
          </a:r>
          <a:r>
            <a:rPr lang="ru-RU" sz="1400">
              <a:effectLst/>
              <a:latin typeface="+mn-lt"/>
              <a:ea typeface="+mn-ea"/>
              <a:cs typeface="+mn-cs"/>
            </a:rPr>
            <a:t>– это отопительные приборы, где в качестве нагревательного элемента используются терморезисторы. Они предназначены для использования как вспомогательные отопительные приборы с системами водяного отопления, системами теплого пола, так и в качестве основного источника тепла, в местах где нет возможности использовать системы водяного отопления.</a:t>
          </a:r>
        </a:p>
        <a:p>
          <a:r>
            <a:rPr lang="ru-RU" sz="1400">
              <a:effectLst/>
              <a:latin typeface="+mn-lt"/>
              <a:ea typeface="+mn-ea"/>
              <a:cs typeface="+mn-cs"/>
            </a:rPr>
            <a:t>Основное преимущество электрических конвекторов отсутствие необходимости в прокладке трубопровода. Так же преимущество в более высокой теплоотдаче в сравнении с аналогичными моделями с водяным теплообменником.</a:t>
          </a:r>
        </a:p>
        <a:p>
          <a:r>
            <a:rPr lang="ru-RU" sz="1600">
              <a:latin typeface="+mn-lt"/>
            </a:rPr>
            <a:t>Конструктивные особенности: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400" b="0" i="0" u="none" strike="noStrike" baseline="0">
              <a:latin typeface="+mj-lt"/>
              <a:ea typeface="+mn-ea"/>
              <a:cs typeface="+mn-cs"/>
            </a:rPr>
            <a:t>материал корпуса- оцинкованная сталь покрытая износостойким порошковым покрытием (цвет покрытия: чёрный матовый);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400" b="0" i="0" u="none" strike="noStrike" baseline="0">
              <a:latin typeface="+mj-lt"/>
              <a:ea typeface="+mn-ea"/>
              <a:cs typeface="+mn-cs"/>
            </a:rPr>
            <a:t>материал решётки- анодированный алюминий, дерево;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400" b="0" i="0" u="none" strike="noStrike" baseline="0">
              <a:latin typeface="+mj-lt"/>
              <a:ea typeface="+mn-ea"/>
              <a:cs typeface="+mn-cs"/>
            </a:rPr>
            <a:t>регулировка по высоте от 0 до 40 мм за счёт специальных регулировочных ножек;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400" b="0" i="0" u="none" strike="noStrike" baseline="0">
              <a:latin typeface="+mj-lt"/>
              <a:ea typeface="+mn-ea"/>
              <a:cs typeface="+mn-cs"/>
            </a:rPr>
            <a:t>применение терморезисторов с положительным температурным коэффициентом;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400" b="0" i="0" u="none" strike="noStrike" baseline="0">
              <a:latin typeface="+mj-lt"/>
              <a:ea typeface="+mn-ea"/>
              <a:cs typeface="+mn-cs"/>
            </a:rPr>
            <a:t>специальные юстировочные шпильки позволяют легко выровнять конвектор в горизонтальной плоскости. </a:t>
          </a:r>
          <a:endParaRPr lang="ru-RU" sz="1100" b="0" i="0" u="none" strike="noStrike" baseline="0"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0" i="0" baseline="0">
              <a:effectLst/>
              <a:latin typeface="+mn-lt"/>
              <a:ea typeface="+mn-ea"/>
              <a:cs typeface="+mn-cs"/>
            </a:rPr>
            <a:t>Стандартный комплект поставки: </a:t>
          </a:r>
          <a:endParaRPr lang="ru-RU" sz="1600" b="0" i="0" u="none" strike="noStrike" baseline="0">
            <a:latin typeface="+mn-lt"/>
            <a:ea typeface="+mn-ea"/>
            <a:cs typeface="+mn-cs"/>
          </a:endParaRPr>
        </a:p>
        <a:p>
          <a:pPr marL="285750" marR="0" lvl="0" indent="-2857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Light"/>
              <a:ea typeface="+mn-ea"/>
              <a:cs typeface="+mn-cs"/>
            </a:rPr>
            <a:t>корпус из оцинкованной стали покрытый порошковым покрытием </a:t>
          </a: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Light"/>
              <a:ea typeface="+mn-ea"/>
              <a:cs typeface="+mn-cs"/>
            </a:rPr>
            <a:t>RAL 9005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Light"/>
              <a:ea typeface="+mn-ea"/>
              <a:cs typeface="+mn-cs"/>
            </a:rPr>
            <a:t>; </a:t>
          </a:r>
        </a:p>
        <a:p>
          <a:pPr marL="285750" marR="0" lvl="0" indent="-2857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Light"/>
              <a:ea typeface="+mn-ea"/>
              <a:cs typeface="+mn-cs"/>
            </a:rPr>
            <a:t>комплект крепёжно-регулировочных ножек; </a:t>
          </a:r>
        </a:p>
        <a:p>
          <a:pPr marL="285750" marR="0" lvl="0" indent="-2857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Light"/>
              <a:ea typeface="+mn-ea"/>
              <a:cs typeface="+mn-cs"/>
            </a:rPr>
            <a:t>поперечная рулонная решетка из анодированного алюминия или дерева;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Light"/>
              <a:ea typeface="+mn-ea"/>
              <a:cs typeface="+mn-cs"/>
            </a:rPr>
            <a:t>декоративная рамка из алюминия углового профиля или </a:t>
          </a:r>
          <a:r>
            <a:rPr kumimoji="0" lang="de-DE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Light"/>
              <a:ea typeface="+mn-ea"/>
              <a:cs typeface="+mn-cs"/>
            </a:rPr>
            <a:t>J-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Light"/>
              <a:ea typeface="+mn-ea"/>
              <a:cs typeface="+mn-cs"/>
            </a:rPr>
            <a:t>образного(под заказ), выполненная в цвет решётки; </a:t>
          </a:r>
        </a:p>
        <a:p>
          <a:pPr marL="285750" marR="0" lvl="0" indent="-2857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Light"/>
              <a:ea typeface="+mn-ea"/>
              <a:cs typeface="+mn-cs"/>
            </a:rPr>
            <a:t>терморезисторы; </a:t>
          </a:r>
        </a:p>
        <a:p>
          <a:pPr marL="285750" marR="0" lvl="0" indent="-2857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Light"/>
              <a:ea typeface="+mn-ea"/>
              <a:cs typeface="+mn-cs"/>
            </a:rPr>
            <a:t>технический паспорт, инструкция по монтажу и эксплуатации; </a:t>
          </a:r>
        </a:p>
        <a:p>
          <a:pPr algn="l"/>
          <a:endParaRPr lang="ru-RU" sz="1400" b="0" i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19</xdr:col>
      <xdr:colOff>131763</xdr:colOff>
      <xdr:row>75</xdr:row>
      <xdr:rowOff>0</xdr:rowOff>
    </xdr:from>
    <xdr:ext cx="1703243" cy="349752"/>
    <xdr:sp macro="" textlink="">
      <xdr:nvSpPr>
        <xdr:cNvPr id="45" name="Прямоугольник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>
          <a:off x="11714163" y="22721234"/>
          <a:ext cx="1703243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endParaRPr lang="ru-RU" sz="2000" b="0" i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0</xdr:col>
      <xdr:colOff>381359</xdr:colOff>
      <xdr:row>75</xdr:row>
      <xdr:rowOff>0</xdr:rowOff>
    </xdr:from>
    <xdr:ext cx="13524853" cy="975775"/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/>
      </xdr:nvSpPr>
      <xdr:spPr>
        <a:xfrm>
          <a:off x="381359" y="34945596"/>
          <a:ext cx="13524853" cy="9757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1800" b="0" i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					</a:t>
          </a:r>
        </a:p>
      </xdr:txBody>
    </xdr:sp>
    <xdr:clientData/>
  </xdr:oneCellAnchor>
  <xdr:twoCellAnchor editAs="oneCell">
    <xdr:from>
      <xdr:col>0</xdr:col>
      <xdr:colOff>0</xdr:colOff>
      <xdr:row>12</xdr:row>
      <xdr:rowOff>119062</xdr:rowOff>
    </xdr:from>
    <xdr:to>
      <xdr:col>9</xdr:col>
      <xdr:colOff>123032</xdr:colOff>
      <xdr:row>29</xdr:row>
      <xdr:rowOff>23813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12218"/>
          <a:ext cx="5588001" cy="3143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28730</xdr:colOff>
      <xdr:row>333</xdr:row>
      <xdr:rowOff>31847</xdr:rowOff>
    </xdr:from>
    <xdr:to>
      <xdr:col>9</xdr:col>
      <xdr:colOff>438150</xdr:colOff>
      <xdr:row>354</xdr:row>
      <xdr:rowOff>172808</xdr:rowOff>
    </xdr:to>
    <xdr:pic>
      <xdr:nvPicPr>
        <xdr:cNvPr id="2" name="Рисунок 6">
          <a:extLst>
            <a:ext uri="{FF2B5EF4-FFF2-40B4-BE49-F238E27FC236}">
              <a16:creationId xmlns:a16="http://schemas.microsoft.com/office/drawing/2014/main" id="{FB541DF4-7C22-44F2-9B80-5DB2340BACA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752630" y="64077947"/>
          <a:ext cx="6086320" cy="434148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</xdr:col>
      <xdr:colOff>245884</xdr:colOff>
      <xdr:row>433</xdr:row>
      <xdr:rowOff>145579</xdr:rowOff>
    </xdr:from>
    <xdr:to>
      <xdr:col>7</xdr:col>
      <xdr:colOff>494717</xdr:colOff>
      <xdr:row>450</xdr:row>
      <xdr:rowOff>73114</xdr:rowOff>
    </xdr:to>
    <xdr:pic>
      <xdr:nvPicPr>
        <xdr:cNvPr id="3" name="Рисунок 19">
          <a:extLst>
            <a:ext uri="{FF2B5EF4-FFF2-40B4-BE49-F238E27FC236}">
              <a16:creationId xmlns:a16="http://schemas.microsoft.com/office/drawing/2014/main" id="{C76BD6DA-B339-4442-894D-A1FB4E3ABD3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1817509" y="84194179"/>
          <a:ext cx="3639733" cy="3327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30780</xdr:colOff>
      <xdr:row>225</xdr:row>
      <xdr:rowOff>25863</xdr:rowOff>
    </xdr:from>
    <xdr:to>
      <xdr:col>4</xdr:col>
      <xdr:colOff>817145</xdr:colOff>
      <xdr:row>229</xdr:row>
      <xdr:rowOff>113658</xdr:rowOff>
    </xdr:to>
    <xdr:pic>
      <xdr:nvPicPr>
        <xdr:cNvPr id="4" name="Рисунок 31">
          <a:extLst>
            <a:ext uri="{FF2B5EF4-FFF2-40B4-BE49-F238E27FC236}">
              <a16:creationId xmlns:a16="http://schemas.microsoft.com/office/drawing/2014/main" id="{AF4424A3-70BE-429B-B108-A6D183F1CB83}"/>
            </a:ext>
          </a:extLst>
        </xdr:cNvPr>
        <xdr:cNvPicPr/>
      </xdr:nvPicPr>
      <xdr:blipFill>
        <a:blip xmlns:r="http://schemas.openxmlformats.org/officeDocument/2006/relationships" r:embed="rId3"/>
        <a:srcRect t="26746" b="26664"/>
        <a:stretch/>
      </xdr:blipFill>
      <xdr:spPr bwMode="auto">
        <a:xfrm>
          <a:off x="754680" y="42469263"/>
          <a:ext cx="2481815" cy="88789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31971</xdr:colOff>
      <xdr:row>225</xdr:row>
      <xdr:rowOff>25523</xdr:rowOff>
    </xdr:from>
    <xdr:to>
      <xdr:col>7</xdr:col>
      <xdr:colOff>812132</xdr:colOff>
      <xdr:row>229</xdr:row>
      <xdr:rowOff>113658</xdr:rowOff>
    </xdr:to>
    <xdr:pic>
      <xdr:nvPicPr>
        <xdr:cNvPr id="5" name="Рисунок 32">
          <a:extLst>
            <a:ext uri="{FF2B5EF4-FFF2-40B4-BE49-F238E27FC236}">
              <a16:creationId xmlns:a16="http://schemas.microsoft.com/office/drawing/2014/main" id="{C01220BA-EAB8-463D-8AAA-FFDF6A7BBE12}"/>
            </a:ext>
          </a:extLst>
        </xdr:cNvPr>
        <xdr:cNvPicPr/>
      </xdr:nvPicPr>
      <xdr:blipFill>
        <a:blip xmlns:r="http://schemas.openxmlformats.org/officeDocument/2006/relationships" r:embed="rId4"/>
        <a:srcRect t="25830" b="26210"/>
        <a:stretch/>
      </xdr:blipFill>
      <xdr:spPr bwMode="auto">
        <a:xfrm>
          <a:off x="3299046" y="42468923"/>
          <a:ext cx="2475611" cy="88823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33131</xdr:colOff>
      <xdr:row>225</xdr:row>
      <xdr:rowOff>26018</xdr:rowOff>
    </xdr:from>
    <xdr:to>
      <xdr:col>10</xdr:col>
      <xdr:colOff>1398170</xdr:colOff>
      <xdr:row>229</xdr:row>
      <xdr:rowOff>113658</xdr:rowOff>
    </xdr:to>
    <xdr:pic>
      <xdr:nvPicPr>
        <xdr:cNvPr id="6" name="Рисунок 33">
          <a:extLst>
            <a:ext uri="{FF2B5EF4-FFF2-40B4-BE49-F238E27FC236}">
              <a16:creationId xmlns:a16="http://schemas.microsoft.com/office/drawing/2014/main" id="{DD63707F-C2E2-47F4-85A1-D2974B714EF4}"/>
            </a:ext>
          </a:extLst>
        </xdr:cNvPr>
        <xdr:cNvPicPr/>
      </xdr:nvPicPr>
      <xdr:blipFill>
        <a:blip xmlns:r="http://schemas.openxmlformats.org/officeDocument/2006/relationships" r:embed="rId5"/>
        <a:srcRect t="25255" b="26073"/>
        <a:stretch/>
      </xdr:blipFill>
      <xdr:spPr bwMode="auto">
        <a:xfrm>
          <a:off x="5843381" y="42469418"/>
          <a:ext cx="2479464" cy="88774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28378</xdr:colOff>
      <xdr:row>225</xdr:row>
      <xdr:rowOff>33120</xdr:rowOff>
    </xdr:from>
    <xdr:to>
      <xdr:col>13</xdr:col>
      <xdr:colOff>897857</xdr:colOff>
      <xdr:row>229</xdr:row>
      <xdr:rowOff>113658</xdr:rowOff>
    </xdr:to>
    <xdr:pic>
      <xdr:nvPicPr>
        <xdr:cNvPr id="7" name="Рисунок 34">
          <a:extLst>
            <a:ext uri="{FF2B5EF4-FFF2-40B4-BE49-F238E27FC236}">
              <a16:creationId xmlns:a16="http://schemas.microsoft.com/office/drawing/2014/main" id="{04196138-BD15-4F2A-9556-DC92C1590524}"/>
            </a:ext>
          </a:extLst>
        </xdr:cNvPr>
        <xdr:cNvPicPr/>
      </xdr:nvPicPr>
      <xdr:blipFill>
        <a:blip xmlns:r="http://schemas.openxmlformats.org/officeDocument/2006/relationships" r:embed="rId6"/>
        <a:srcRect t="26178" b="26073"/>
        <a:stretch/>
      </xdr:blipFill>
      <xdr:spPr bwMode="auto">
        <a:xfrm>
          <a:off x="8381803" y="42476520"/>
          <a:ext cx="2479204" cy="88063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38158</xdr:colOff>
      <xdr:row>231</xdr:row>
      <xdr:rowOff>39412</xdr:rowOff>
    </xdr:from>
    <xdr:to>
      <xdr:col>4</xdr:col>
      <xdr:colOff>807982</xdr:colOff>
      <xdr:row>235</xdr:row>
      <xdr:rowOff>113659</xdr:rowOff>
    </xdr:to>
    <xdr:pic>
      <xdr:nvPicPr>
        <xdr:cNvPr id="8" name="Рисунок 35">
          <a:extLst>
            <a:ext uri="{FF2B5EF4-FFF2-40B4-BE49-F238E27FC236}">
              <a16:creationId xmlns:a16="http://schemas.microsoft.com/office/drawing/2014/main" id="{F17F20A6-6465-43A4-AF2F-D26ED89F6838}"/>
            </a:ext>
          </a:extLst>
        </xdr:cNvPr>
        <xdr:cNvPicPr/>
      </xdr:nvPicPr>
      <xdr:blipFill>
        <a:blip xmlns:r="http://schemas.openxmlformats.org/officeDocument/2006/relationships" r:embed="rId7"/>
        <a:srcRect t="25919" b="26290"/>
        <a:stretch/>
      </xdr:blipFill>
      <xdr:spPr bwMode="auto">
        <a:xfrm>
          <a:off x="762058" y="43682962"/>
          <a:ext cx="2465274" cy="87434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38971</xdr:colOff>
      <xdr:row>231</xdr:row>
      <xdr:rowOff>36635</xdr:rowOff>
    </xdr:from>
    <xdr:to>
      <xdr:col>7</xdr:col>
      <xdr:colOff>818029</xdr:colOff>
      <xdr:row>235</xdr:row>
      <xdr:rowOff>113659</xdr:rowOff>
    </xdr:to>
    <xdr:pic>
      <xdr:nvPicPr>
        <xdr:cNvPr id="9" name="Рисунок 36">
          <a:extLst>
            <a:ext uri="{FF2B5EF4-FFF2-40B4-BE49-F238E27FC236}">
              <a16:creationId xmlns:a16="http://schemas.microsoft.com/office/drawing/2014/main" id="{CBC311AB-1EBE-4C3E-B033-50C19631BFE5}"/>
            </a:ext>
          </a:extLst>
        </xdr:cNvPr>
        <xdr:cNvPicPr/>
      </xdr:nvPicPr>
      <xdr:blipFill>
        <a:blip xmlns:r="http://schemas.openxmlformats.org/officeDocument/2006/relationships" r:embed="rId8"/>
        <a:srcRect t="25920" b="25839"/>
        <a:stretch/>
      </xdr:blipFill>
      <xdr:spPr bwMode="auto">
        <a:xfrm>
          <a:off x="3306046" y="43680185"/>
          <a:ext cx="2474508" cy="8771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36635</xdr:colOff>
      <xdr:row>231</xdr:row>
      <xdr:rowOff>29309</xdr:rowOff>
    </xdr:from>
    <xdr:to>
      <xdr:col>10</xdr:col>
      <xdr:colOff>1399052</xdr:colOff>
      <xdr:row>235</xdr:row>
      <xdr:rowOff>113660</xdr:rowOff>
    </xdr:to>
    <xdr:pic>
      <xdr:nvPicPr>
        <xdr:cNvPr id="10" name="Рисунок 37">
          <a:extLst>
            <a:ext uri="{FF2B5EF4-FFF2-40B4-BE49-F238E27FC236}">
              <a16:creationId xmlns:a16="http://schemas.microsoft.com/office/drawing/2014/main" id="{0ABE3653-E0D1-4E56-AA45-F1CC0A607CB5}"/>
            </a:ext>
          </a:extLst>
        </xdr:cNvPr>
        <xdr:cNvPicPr/>
      </xdr:nvPicPr>
      <xdr:blipFill>
        <a:blip xmlns:r="http://schemas.openxmlformats.org/officeDocument/2006/relationships" r:embed="rId9"/>
        <a:srcRect t="25239" b="25983"/>
        <a:stretch/>
      </xdr:blipFill>
      <xdr:spPr bwMode="auto">
        <a:xfrm>
          <a:off x="5846885" y="43672859"/>
          <a:ext cx="2476842" cy="88445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34687</xdr:colOff>
      <xdr:row>231</xdr:row>
      <xdr:rowOff>26747</xdr:rowOff>
    </xdr:from>
    <xdr:to>
      <xdr:col>13</xdr:col>
      <xdr:colOff>899014</xdr:colOff>
      <xdr:row>235</xdr:row>
      <xdr:rowOff>124866</xdr:rowOff>
    </xdr:to>
    <xdr:pic>
      <xdr:nvPicPr>
        <xdr:cNvPr id="11" name="Рисунок 38">
          <a:extLst>
            <a:ext uri="{FF2B5EF4-FFF2-40B4-BE49-F238E27FC236}">
              <a16:creationId xmlns:a16="http://schemas.microsoft.com/office/drawing/2014/main" id="{6104DCFC-9DB9-4796-B1E6-75CDD1B85B69}"/>
            </a:ext>
          </a:extLst>
        </xdr:cNvPr>
        <xdr:cNvPicPr/>
      </xdr:nvPicPr>
      <xdr:blipFill>
        <a:blip xmlns:r="http://schemas.openxmlformats.org/officeDocument/2006/relationships" r:embed="rId10"/>
        <a:srcRect t="25627" b="25595"/>
        <a:stretch/>
      </xdr:blipFill>
      <xdr:spPr bwMode="auto">
        <a:xfrm>
          <a:off x="8388112" y="43670297"/>
          <a:ext cx="2474052" cy="8982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29660</xdr:colOff>
      <xdr:row>237</xdr:row>
      <xdr:rowOff>33175</xdr:rowOff>
    </xdr:from>
    <xdr:to>
      <xdr:col>4</xdr:col>
      <xdr:colOff>814553</xdr:colOff>
      <xdr:row>241</xdr:row>
      <xdr:rowOff>102452</xdr:rowOff>
    </xdr:to>
    <xdr:pic>
      <xdr:nvPicPr>
        <xdr:cNvPr id="12" name="Рисунок 39">
          <a:extLst>
            <a:ext uri="{FF2B5EF4-FFF2-40B4-BE49-F238E27FC236}">
              <a16:creationId xmlns:a16="http://schemas.microsoft.com/office/drawing/2014/main" id="{3A0519BF-1C56-4022-9F8A-29DBC1909C91}"/>
            </a:ext>
          </a:extLst>
        </xdr:cNvPr>
        <xdr:cNvPicPr/>
      </xdr:nvPicPr>
      <xdr:blipFill>
        <a:blip xmlns:r="http://schemas.openxmlformats.org/officeDocument/2006/relationships" r:embed="rId11"/>
        <a:srcRect t="25951" b="25733"/>
        <a:stretch/>
      </xdr:blipFill>
      <xdr:spPr bwMode="auto">
        <a:xfrm>
          <a:off x="753560" y="44876875"/>
          <a:ext cx="2480343" cy="86937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29984</xdr:colOff>
      <xdr:row>237</xdr:row>
      <xdr:rowOff>35108</xdr:rowOff>
    </xdr:from>
    <xdr:to>
      <xdr:col>7</xdr:col>
      <xdr:colOff>821120</xdr:colOff>
      <xdr:row>241</xdr:row>
      <xdr:rowOff>113659</xdr:rowOff>
    </xdr:to>
    <xdr:pic>
      <xdr:nvPicPr>
        <xdr:cNvPr id="13" name="Рисунок 40">
          <a:extLst>
            <a:ext uri="{FF2B5EF4-FFF2-40B4-BE49-F238E27FC236}">
              <a16:creationId xmlns:a16="http://schemas.microsoft.com/office/drawing/2014/main" id="{5E4F9139-B8B7-4321-9142-D0D680AE8EEC}"/>
            </a:ext>
          </a:extLst>
        </xdr:cNvPr>
        <xdr:cNvPicPr/>
      </xdr:nvPicPr>
      <xdr:blipFill>
        <a:blip xmlns:r="http://schemas.openxmlformats.org/officeDocument/2006/relationships" r:embed="rId12"/>
        <a:srcRect t="26024" b="25206"/>
        <a:stretch/>
      </xdr:blipFill>
      <xdr:spPr bwMode="auto">
        <a:xfrm>
          <a:off x="3297059" y="44878808"/>
          <a:ext cx="2486586" cy="87865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31143</xdr:colOff>
      <xdr:row>237</xdr:row>
      <xdr:rowOff>30250</xdr:rowOff>
    </xdr:from>
    <xdr:to>
      <xdr:col>10</xdr:col>
      <xdr:colOff>1395576</xdr:colOff>
      <xdr:row>241</xdr:row>
      <xdr:rowOff>113659</xdr:rowOff>
    </xdr:to>
    <xdr:pic>
      <xdr:nvPicPr>
        <xdr:cNvPr id="14" name="Рисунок 41">
          <a:extLst>
            <a:ext uri="{FF2B5EF4-FFF2-40B4-BE49-F238E27FC236}">
              <a16:creationId xmlns:a16="http://schemas.microsoft.com/office/drawing/2014/main" id="{EF15F87C-783A-4B95-A8BF-9BCCDA26E409}"/>
            </a:ext>
          </a:extLst>
        </xdr:cNvPr>
        <xdr:cNvPicPr/>
      </xdr:nvPicPr>
      <xdr:blipFill>
        <a:blip xmlns:r="http://schemas.openxmlformats.org/officeDocument/2006/relationships" r:embed="rId13"/>
        <a:srcRect t="26552" b="26057"/>
        <a:stretch/>
      </xdr:blipFill>
      <xdr:spPr bwMode="auto">
        <a:xfrm>
          <a:off x="5841393" y="44873950"/>
          <a:ext cx="2478858" cy="88350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35009</xdr:colOff>
      <xdr:row>237</xdr:row>
      <xdr:rowOff>30470</xdr:rowOff>
    </xdr:from>
    <xdr:to>
      <xdr:col>13</xdr:col>
      <xdr:colOff>900277</xdr:colOff>
      <xdr:row>241</xdr:row>
      <xdr:rowOff>102452</xdr:rowOff>
    </xdr:to>
    <xdr:pic>
      <xdr:nvPicPr>
        <xdr:cNvPr id="15" name="Рисунок 42">
          <a:extLst>
            <a:ext uri="{FF2B5EF4-FFF2-40B4-BE49-F238E27FC236}">
              <a16:creationId xmlns:a16="http://schemas.microsoft.com/office/drawing/2014/main" id="{49AB3E79-546E-42B8-AF12-BC084F7ACE3D}"/>
            </a:ext>
          </a:extLst>
        </xdr:cNvPr>
        <xdr:cNvPicPr/>
      </xdr:nvPicPr>
      <xdr:blipFill>
        <a:blip xmlns:r="http://schemas.openxmlformats.org/officeDocument/2006/relationships" r:embed="rId14"/>
        <a:srcRect t="26090" b="26057"/>
        <a:stretch/>
      </xdr:blipFill>
      <xdr:spPr bwMode="auto">
        <a:xfrm>
          <a:off x="8388434" y="44874170"/>
          <a:ext cx="2474993" cy="87208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35781</xdr:colOff>
      <xdr:row>243</xdr:row>
      <xdr:rowOff>27380</xdr:rowOff>
    </xdr:from>
    <xdr:to>
      <xdr:col>4</xdr:col>
      <xdr:colOff>814552</xdr:colOff>
      <xdr:row>247</xdr:row>
      <xdr:rowOff>113659</xdr:rowOff>
    </xdr:to>
    <xdr:pic>
      <xdr:nvPicPr>
        <xdr:cNvPr id="16" name="Рисунок 43">
          <a:extLst>
            <a:ext uri="{FF2B5EF4-FFF2-40B4-BE49-F238E27FC236}">
              <a16:creationId xmlns:a16="http://schemas.microsoft.com/office/drawing/2014/main" id="{77E7D384-E7A8-43BD-A958-541E879971FB}"/>
            </a:ext>
          </a:extLst>
        </xdr:cNvPr>
        <xdr:cNvPicPr/>
      </xdr:nvPicPr>
      <xdr:blipFill>
        <a:blip xmlns:r="http://schemas.openxmlformats.org/officeDocument/2006/relationships" r:embed="rId15"/>
        <a:srcRect t="25627" b="26055"/>
        <a:stretch/>
      </xdr:blipFill>
      <xdr:spPr bwMode="auto">
        <a:xfrm>
          <a:off x="759681" y="46071230"/>
          <a:ext cx="2474221" cy="88637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31329</xdr:colOff>
      <xdr:row>243</xdr:row>
      <xdr:rowOff>34887</xdr:rowOff>
    </xdr:from>
    <xdr:to>
      <xdr:col>7</xdr:col>
      <xdr:colOff>814550</xdr:colOff>
      <xdr:row>247</xdr:row>
      <xdr:rowOff>113660</xdr:rowOff>
    </xdr:to>
    <xdr:pic>
      <xdr:nvPicPr>
        <xdr:cNvPr id="17" name="Рисунок 44">
          <a:extLst>
            <a:ext uri="{FF2B5EF4-FFF2-40B4-BE49-F238E27FC236}">
              <a16:creationId xmlns:a16="http://schemas.microsoft.com/office/drawing/2014/main" id="{FD01C485-DE36-49ED-B62E-40EC8F1A17EA}"/>
            </a:ext>
          </a:extLst>
        </xdr:cNvPr>
        <xdr:cNvPicPr/>
      </xdr:nvPicPr>
      <xdr:blipFill>
        <a:blip xmlns:r="http://schemas.openxmlformats.org/officeDocument/2006/relationships" r:embed="rId16"/>
        <a:srcRect t="26412" b="26194"/>
        <a:stretch/>
      </xdr:blipFill>
      <xdr:spPr bwMode="auto">
        <a:xfrm>
          <a:off x="3298404" y="46078737"/>
          <a:ext cx="2478671" cy="87887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34682</xdr:colOff>
      <xdr:row>243</xdr:row>
      <xdr:rowOff>35108</xdr:rowOff>
    </xdr:from>
    <xdr:to>
      <xdr:col>10</xdr:col>
      <xdr:colOff>1395575</xdr:colOff>
      <xdr:row>247</xdr:row>
      <xdr:rowOff>113658</xdr:rowOff>
    </xdr:to>
    <xdr:pic>
      <xdr:nvPicPr>
        <xdr:cNvPr id="18" name="Рисунок 45">
          <a:extLst>
            <a:ext uri="{FF2B5EF4-FFF2-40B4-BE49-F238E27FC236}">
              <a16:creationId xmlns:a16="http://schemas.microsoft.com/office/drawing/2014/main" id="{B20A6A66-A21F-4D2B-879E-94B2D334DCD8}"/>
            </a:ext>
          </a:extLst>
        </xdr:cNvPr>
        <xdr:cNvPicPr/>
      </xdr:nvPicPr>
      <xdr:blipFill>
        <a:blip xmlns:r="http://schemas.openxmlformats.org/officeDocument/2006/relationships" r:embed="rId17"/>
        <a:srcRect t="25490" b="26194"/>
        <a:stretch/>
      </xdr:blipFill>
      <xdr:spPr bwMode="auto">
        <a:xfrm>
          <a:off x="5844932" y="46078958"/>
          <a:ext cx="2475318" cy="87865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35881</xdr:colOff>
      <xdr:row>243</xdr:row>
      <xdr:rowOff>30249</xdr:rowOff>
    </xdr:from>
    <xdr:to>
      <xdr:col>13</xdr:col>
      <xdr:colOff>900277</xdr:colOff>
      <xdr:row>247</xdr:row>
      <xdr:rowOff>113659</xdr:rowOff>
    </xdr:to>
    <xdr:pic>
      <xdr:nvPicPr>
        <xdr:cNvPr id="19" name="Рисунок 46">
          <a:extLst>
            <a:ext uri="{FF2B5EF4-FFF2-40B4-BE49-F238E27FC236}">
              <a16:creationId xmlns:a16="http://schemas.microsoft.com/office/drawing/2014/main" id="{06EE051E-272C-4EB0-A7E2-DBA63F4DF416}"/>
            </a:ext>
          </a:extLst>
        </xdr:cNvPr>
        <xdr:cNvPicPr/>
      </xdr:nvPicPr>
      <xdr:blipFill>
        <a:blip xmlns:r="http://schemas.openxmlformats.org/officeDocument/2006/relationships" r:embed="rId18"/>
        <a:srcRect t="25952" b="26656"/>
        <a:stretch/>
      </xdr:blipFill>
      <xdr:spPr bwMode="auto">
        <a:xfrm>
          <a:off x="8389306" y="46074099"/>
          <a:ext cx="2474121" cy="88351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91169</xdr:colOff>
      <xdr:row>12</xdr:row>
      <xdr:rowOff>190498</xdr:rowOff>
    </xdr:from>
    <xdr:to>
      <xdr:col>9</xdr:col>
      <xdr:colOff>312005</xdr:colOff>
      <xdr:row>25</xdr:row>
      <xdr:rowOff>157033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EED72867-D17D-47F4-A6C5-A8C9AD14E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/>
      </xdr:blipFill>
      <xdr:spPr bwMode="auto">
        <a:xfrm>
          <a:off x="815069" y="2628898"/>
          <a:ext cx="5897736" cy="2566860"/>
        </a:xfrm>
        <a:prstGeom prst="rect">
          <a:avLst/>
        </a:prstGeom>
      </xdr:spPr>
    </xdr:pic>
    <xdr:clientData/>
  </xdr:twoCellAnchor>
  <xdr:twoCellAnchor editAs="oneCell">
    <xdr:from>
      <xdr:col>4</xdr:col>
      <xdr:colOff>704849</xdr:colOff>
      <xdr:row>79</xdr:row>
      <xdr:rowOff>176237</xdr:rowOff>
    </xdr:from>
    <xdr:to>
      <xdr:col>7</xdr:col>
      <xdr:colOff>498646</xdr:colOff>
      <xdr:row>87</xdr:row>
      <xdr:rowOff>138790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E24A9A9D-1B72-49FC-9E5C-E997085F7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/>
      </xdr:blipFill>
      <xdr:spPr bwMode="auto">
        <a:xfrm>
          <a:off x="3124199" y="13015937"/>
          <a:ext cx="2336972" cy="1562753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96</xdr:row>
      <xdr:rowOff>95250</xdr:rowOff>
    </xdr:from>
    <xdr:to>
      <xdr:col>4</xdr:col>
      <xdr:colOff>805868</xdr:colOff>
      <xdr:row>106</xdr:row>
      <xdr:rowOff>192954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4E463E14-F3F4-4D0B-A441-A972F3B4F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/>
      </xdr:blipFill>
      <xdr:spPr bwMode="auto">
        <a:xfrm>
          <a:off x="685800" y="16335375"/>
          <a:ext cx="2539418" cy="2097954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96</xdr:row>
      <xdr:rowOff>95250</xdr:rowOff>
    </xdr:from>
    <xdr:to>
      <xdr:col>8</xdr:col>
      <xdr:colOff>256911</xdr:colOff>
      <xdr:row>106</xdr:row>
      <xdr:rowOff>192954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ADAE598F-7FEA-4E33-B04C-EA321F584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/>
      </xdr:blipFill>
      <xdr:spPr bwMode="auto">
        <a:xfrm>
          <a:off x="3295650" y="16335375"/>
          <a:ext cx="2771511" cy="2097954"/>
        </a:xfrm>
        <a:prstGeom prst="rect">
          <a:avLst/>
        </a:prstGeom>
      </xdr:spPr>
    </xdr:pic>
    <xdr:clientData/>
  </xdr:twoCellAnchor>
  <xdr:twoCellAnchor editAs="oneCell">
    <xdr:from>
      <xdr:col>3</xdr:col>
      <xdr:colOff>55790</xdr:colOff>
      <xdr:row>44</xdr:row>
      <xdr:rowOff>149474</xdr:rowOff>
    </xdr:from>
    <xdr:to>
      <xdr:col>8</xdr:col>
      <xdr:colOff>93711</xdr:colOff>
      <xdr:row>55</xdr:row>
      <xdr:rowOff>38098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80050F4F-3180-48B5-A017-81D257126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/>
      </xdr:blipFill>
      <xdr:spPr bwMode="auto">
        <a:xfrm>
          <a:off x="1627415" y="8188574"/>
          <a:ext cx="4276546" cy="208889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110</xdr:row>
      <xdr:rowOff>190420</xdr:rowOff>
    </xdr:from>
    <xdr:to>
      <xdr:col>8</xdr:col>
      <xdr:colOff>431666</xdr:colOff>
      <xdr:row>121</xdr:row>
      <xdr:rowOff>84064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FAF0790D-8560-4017-B8EF-EF82ED351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/>
      </xdr:blipFill>
      <xdr:spPr bwMode="auto">
        <a:xfrm>
          <a:off x="771525" y="19230895"/>
          <a:ext cx="5470391" cy="209391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162</xdr:row>
      <xdr:rowOff>0</xdr:rowOff>
    </xdr:from>
    <xdr:to>
      <xdr:col>8</xdr:col>
      <xdr:colOff>571500</xdr:colOff>
      <xdr:row>179</xdr:row>
      <xdr:rowOff>84299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F1E99891-1778-4035-8C48-9DED8490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/>
      </xdr:blipFill>
      <xdr:spPr bwMode="auto">
        <a:xfrm>
          <a:off x="742950" y="29441775"/>
          <a:ext cx="5638800" cy="3484724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262</xdr:row>
      <xdr:rowOff>168010</xdr:rowOff>
    </xdr:from>
    <xdr:to>
      <xdr:col>5</xdr:col>
      <xdr:colOff>639076</xdr:colOff>
      <xdr:row>273</xdr:row>
      <xdr:rowOff>166659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6A043E81-5F5B-410A-8A3A-D90E3BD3A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/>
      </xdr:blipFill>
      <xdr:spPr bwMode="auto">
        <a:xfrm>
          <a:off x="1304925" y="50012335"/>
          <a:ext cx="2601226" cy="2198924"/>
        </a:xfrm>
        <a:prstGeom prst="rect">
          <a:avLst/>
        </a:prstGeom>
      </xdr:spPr>
    </xdr:pic>
    <xdr:clientData/>
  </xdr:twoCellAnchor>
  <xdr:twoCellAnchor editAs="oneCell">
    <xdr:from>
      <xdr:col>2</xdr:col>
      <xdr:colOff>345622</xdr:colOff>
      <xdr:row>276</xdr:row>
      <xdr:rowOff>149679</xdr:rowOff>
    </xdr:from>
    <xdr:to>
      <xdr:col>6</xdr:col>
      <xdr:colOff>30271</xdr:colOff>
      <xdr:row>286</xdr:row>
      <xdr:rowOff>187015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63AC3BE6-B88F-4B6E-99F8-5DF91EC5B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/>
      </xdr:blipFill>
      <xdr:spPr bwMode="auto">
        <a:xfrm>
          <a:off x="1069522" y="52794354"/>
          <a:ext cx="3075549" cy="2037587"/>
        </a:xfrm>
        <a:prstGeom prst="rect">
          <a:avLst/>
        </a:prstGeom>
      </xdr:spPr>
    </xdr:pic>
    <xdr:clientData/>
  </xdr:twoCellAnchor>
  <xdr:twoCellAnchor editAs="oneCell">
    <xdr:from>
      <xdr:col>2</xdr:col>
      <xdr:colOff>324729</xdr:colOff>
      <xdr:row>289</xdr:row>
      <xdr:rowOff>50825</xdr:rowOff>
    </xdr:from>
    <xdr:to>
      <xdr:col>5</xdr:col>
      <xdr:colOff>728700</xdr:colOff>
      <xdr:row>299</xdr:row>
      <xdr:rowOff>185778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8853EEE4-9A19-4EB8-A5CD-D491A2641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/>
      </xdr:blipFill>
      <xdr:spPr bwMode="auto">
        <a:xfrm>
          <a:off x="1048629" y="55295825"/>
          <a:ext cx="2947146" cy="2135202"/>
        </a:xfrm>
        <a:prstGeom prst="rect">
          <a:avLst/>
        </a:prstGeom>
      </xdr:spPr>
    </xdr:pic>
    <xdr:clientData/>
  </xdr:twoCellAnchor>
  <xdr:twoCellAnchor editAs="oneCell">
    <xdr:from>
      <xdr:col>2</xdr:col>
      <xdr:colOff>362511</xdr:colOff>
      <xdr:row>302</xdr:row>
      <xdr:rowOff>149599</xdr:rowOff>
    </xdr:from>
    <xdr:to>
      <xdr:col>5</xdr:col>
      <xdr:colOff>753246</xdr:colOff>
      <xdr:row>312</xdr:row>
      <xdr:rowOff>192491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17D66C97-8CE6-4C63-8290-DD8DB67CA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/>
      </xdr:blipFill>
      <xdr:spPr bwMode="auto">
        <a:xfrm>
          <a:off x="1086411" y="57994924"/>
          <a:ext cx="2933910" cy="2043143"/>
        </a:xfrm>
        <a:prstGeom prst="rect">
          <a:avLst/>
        </a:prstGeom>
      </xdr:spPr>
    </xdr:pic>
    <xdr:clientData/>
  </xdr:twoCellAnchor>
  <xdr:twoCellAnchor editAs="oneCell">
    <xdr:from>
      <xdr:col>2</xdr:col>
      <xdr:colOff>422461</xdr:colOff>
      <xdr:row>315</xdr:row>
      <xdr:rowOff>109817</xdr:rowOff>
    </xdr:from>
    <xdr:to>
      <xdr:col>6</xdr:col>
      <xdr:colOff>67635</xdr:colOff>
      <xdr:row>325</xdr:row>
      <xdr:rowOff>180432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582E25E-3A02-4643-97AC-387D55CF4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/>
      </xdr:blipFill>
      <xdr:spPr bwMode="auto">
        <a:xfrm>
          <a:off x="1146361" y="60555467"/>
          <a:ext cx="3036074" cy="2070864"/>
        </a:xfrm>
        <a:prstGeom prst="rect">
          <a:avLst/>
        </a:prstGeom>
      </xdr:spPr>
    </xdr:pic>
    <xdr:clientData/>
  </xdr:twoCellAnchor>
  <xdr:twoCellAnchor editAs="oneCell">
    <xdr:from>
      <xdr:col>1</xdr:col>
      <xdr:colOff>81644</xdr:colOff>
      <xdr:row>396</xdr:row>
      <xdr:rowOff>204107</xdr:rowOff>
    </xdr:from>
    <xdr:to>
      <xdr:col>10</xdr:col>
      <xdr:colOff>1316120</xdr:colOff>
      <xdr:row>425</xdr:row>
      <xdr:rowOff>22412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7C9F634-0439-44C1-9584-9C89E687E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/>
      </xdr:blipFill>
      <xdr:spPr bwMode="auto">
        <a:xfrm>
          <a:off x="691244" y="76851782"/>
          <a:ext cx="7549551" cy="561903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133351</xdr:colOff>
      <xdr:row>128</xdr:row>
      <xdr:rowOff>180975</xdr:rowOff>
    </xdr:from>
    <xdr:to>
      <xdr:col>8</xdr:col>
      <xdr:colOff>581025</xdr:colOff>
      <xdr:row>142</xdr:row>
      <xdr:rowOff>71434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83D80BB0-7295-48E4-9A28-01EC08787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/>
      </xdr:blipFill>
      <xdr:spPr bwMode="auto">
        <a:xfrm>
          <a:off x="857251" y="22821900"/>
          <a:ext cx="5534024" cy="2690808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143</xdr:row>
      <xdr:rowOff>57149</xdr:rowOff>
    </xdr:from>
    <xdr:to>
      <xdr:col>9</xdr:col>
      <xdr:colOff>490687</xdr:colOff>
      <xdr:row>154</xdr:row>
      <xdr:rowOff>142379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E09ADD4D-AD1B-4DF1-A614-4A999FE4D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/>
      </xdr:blipFill>
      <xdr:spPr bwMode="auto">
        <a:xfrm>
          <a:off x="809625" y="25698449"/>
          <a:ext cx="6081862" cy="2285505"/>
        </a:xfrm>
        <a:prstGeom prst="rect">
          <a:avLst/>
        </a:prstGeom>
      </xdr:spPr>
    </xdr:pic>
    <xdr:clientData/>
  </xdr:twoCellAnchor>
  <xdr:twoCellAnchor editAs="oneCell">
    <xdr:from>
      <xdr:col>3</xdr:col>
      <xdr:colOff>33617</xdr:colOff>
      <xdr:row>54</xdr:row>
      <xdr:rowOff>123263</xdr:rowOff>
    </xdr:from>
    <xdr:to>
      <xdr:col>8</xdr:col>
      <xdr:colOff>179293</xdr:colOff>
      <xdr:row>65</xdr:row>
      <xdr:rowOff>89158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21D1A3D3-90A2-49C1-908C-EA3F9E48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242" y="9962588"/>
          <a:ext cx="4384301" cy="2166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11208</xdr:colOff>
      <xdr:row>376</xdr:row>
      <xdr:rowOff>33614</xdr:rowOff>
    </xdr:from>
    <xdr:to>
      <xdr:col>5</xdr:col>
      <xdr:colOff>559710</xdr:colOff>
      <xdr:row>385</xdr:row>
      <xdr:rowOff>18261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2190F80F-209B-4685-9541-70AE70AA97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534"/>
        <a:stretch/>
      </xdr:blipFill>
      <xdr:spPr bwMode="auto">
        <a:xfrm>
          <a:off x="735108" y="72680789"/>
          <a:ext cx="3091677" cy="1784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549087</xdr:colOff>
      <xdr:row>375</xdr:row>
      <xdr:rowOff>168088</xdr:rowOff>
    </xdr:from>
    <xdr:to>
      <xdr:col>9</xdr:col>
      <xdr:colOff>418794</xdr:colOff>
      <xdr:row>384</xdr:row>
      <xdr:rowOff>152736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8CCFB3C-851B-4880-9E38-8238EB15B3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181"/>
        <a:stretch/>
      </xdr:blipFill>
      <xdr:spPr bwMode="auto">
        <a:xfrm>
          <a:off x="3816162" y="72615238"/>
          <a:ext cx="3003432" cy="1784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448235</xdr:colOff>
      <xdr:row>72</xdr:row>
      <xdr:rowOff>56029</xdr:rowOff>
    </xdr:from>
    <xdr:to>
      <xdr:col>7</xdr:col>
      <xdr:colOff>639497</xdr:colOff>
      <xdr:row>80</xdr:row>
      <xdr:rowOff>62382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662CC9DA-D0DA-4B49-BE0B-F806658061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/>
        <a:srcRect l="44306" t="6453" r="3089" b="50450"/>
        <a:stretch/>
      </xdr:blipFill>
      <xdr:spPr>
        <a:xfrm>
          <a:off x="2868706" y="14612470"/>
          <a:ext cx="2746203" cy="16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33619</xdr:colOff>
      <xdr:row>192</xdr:row>
      <xdr:rowOff>145677</xdr:rowOff>
    </xdr:from>
    <xdr:to>
      <xdr:col>10</xdr:col>
      <xdr:colOff>571501</xdr:colOff>
      <xdr:row>210</xdr:row>
      <xdr:rowOff>131431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649DADB9-93A4-4624-9BC6-B45E7845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737" y="38906824"/>
          <a:ext cx="6880411" cy="3616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92528</xdr:colOff>
      <xdr:row>4</xdr:row>
      <xdr:rowOff>68036</xdr:rowOff>
    </xdr:from>
    <xdr:to>
      <xdr:col>15</xdr:col>
      <xdr:colOff>128030</xdr:colOff>
      <xdr:row>67</xdr:row>
      <xdr:rowOff>126779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0707" y="666750"/>
          <a:ext cx="2076574" cy="2308142"/>
        </a:xfrm>
        <a:prstGeom prst="rect">
          <a:avLst/>
        </a:prstGeom>
      </xdr:spPr>
    </xdr:pic>
    <xdr:clientData/>
  </xdr:twoCellAnchor>
  <xdr:oneCellAnchor>
    <xdr:from>
      <xdr:col>16</xdr:col>
      <xdr:colOff>66675</xdr:colOff>
      <xdr:row>4</xdr:row>
      <xdr:rowOff>76200</xdr:rowOff>
    </xdr:from>
    <xdr:ext cx="8852188" cy="2365664"/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954857" y="682336"/>
          <a:ext cx="8852188" cy="2365664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000" b="0" i="0" u="sng" strike="noStrike" baseline="0">
              <a:solidFill>
                <a:srgbClr val="C00000"/>
              </a:solidFill>
              <a:latin typeface="+mn-lt"/>
              <a:ea typeface="+mn-ea"/>
              <a:cs typeface="+mn-cs"/>
            </a:rPr>
            <a:t>Встраиваемый в пол конвектор с естественной конвекцией </a:t>
          </a:r>
          <a:r>
            <a:rPr lang="de-DE" sz="1000" b="0" i="0" u="sng" strike="noStrike" baseline="0">
              <a:solidFill>
                <a:srgbClr val="C00000"/>
              </a:solidFill>
              <a:latin typeface="+mn-lt"/>
              <a:ea typeface="+mn-ea"/>
              <a:cs typeface="+mn-cs"/>
            </a:rPr>
            <a:t>VITRON </a:t>
          </a:r>
          <a:r>
            <a:rPr lang="de-DE" sz="1000" b="0" i="0" u="none" strike="noStrike" baseline="0">
              <a:solidFill>
                <a:srgbClr val="C00000"/>
              </a:solidFill>
              <a:latin typeface="+mn-lt"/>
              <a:ea typeface="+mn-ea"/>
              <a:cs typeface="+mn-cs"/>
            </a:rPr>
            <a:t>-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 отопительный прибор, в котором установлен медно-алюминиевый теплообменник, тепло от которого передаётся в отапливаемое помещение путём естественной конвекции. Позволяет преградить поток холодного воздуха от застеклённых фасадов или окон. Данный тип конвектора служит для отопления только сухих помещений. Применяется в качестве основного отопительного прибора в помещениях с небольшими потребностями в отоплении или вспомогательного отопительного прибора с системами тёплого пола, вентиляции, радиаторного водяного отопления. Может быть установлен как в однотрубную, так и в двухтрубную систему отопления.</a:t>
          </a:r>
          <a:endParaRPr lang="ru-RU" sz="1000" b="0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  <a:p>
          <a:r>
            <a:rPr lang="ru-RU" sz="1000">
              <a:latin typeface="+mn-lt"/>
            </a:rPr>
            <a:t>Конструктивные особенности: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материал корпуса- оцинкованная сталь покрытая износостойким порошковым покрытием (цвет покрытия: чёрный матовый);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материал решётки- анодированный алюминий, дерево;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регулировка по высоте от 0 до 40 мм за счёт специальных регулировочных ножек;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подключение теплообменника- </a:t>
          </a:r>
          <a:r>
            <a:rPr lang="de-DE" sz="1000" b="1" i="0" u="none" strike="noStrike" baseline="0">
              <a:latin typeface="+mn-lt"/>
              <a:ea typeface="+mn-ea"/>
              <a:cs typeface="+mn-cs"/>
            </a:rPr>
            <a:t>G1/2’’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 (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внутренняя резьба);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применение материалов с повышенными теплопередающими свойствами (С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u- 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медь, 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Al- 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алюминий) и стойких к коррозии;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съёмный медно-алюминиевый теплообменник с износостойким порошковым покрытием (цвет покрытия: чёрный матовый);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специальные юстировочные шпильки позволяют легко выровнять конвектор в горизонтальной плоскости. 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288952</xdr:colOff>
      <xdr:row>3</xdr:row>
      <xdr:rowOff>30658</xdr:rowOff>
    </xdr:from>
    <xdr:ext cx="7157187" cy="990600"/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937277" y="630733"/>
          <a:ext cx="7157187" cy="990600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000" b="0" i="0" u="sng" strike="noStrike" baseline="0">
              <a:solidFill>
                <a:srgbClr val="C00000"/>
              </a:solidFill>
              <a:latin typeface="+mn-lt"/>
              <a:ea typeface="+mn-ea"/>
              <a:cs typeface="+mn-cs"/>
            </a:rPr>
            <a:t>Встраиваемый в пол конвектор с принудительной конвекцией </a:t>
          </a:r>
          <a:r>
            <a:rPr lang="de-DE" sz="1000" b="0" i="0" u="sng" strike="noStrike" baseline="0">
              <a:solidFill>
                <a:srgbClr val="C00000"/>
              </a:solidFill>
              <a:latin typeface="+mn-lt"/>
              <a:ea typeface="+mn-ea"/>
              <a:cs typeface="+mn-cs"/>
            </a:rPr>
            <a:t>VITRON </a:t>
          </a:r>
          <a:r>
            <a:rPr lang="de-DE" sz="1000" b="0" i="0" u="none" strike="noStrike" baseline="0">
              <a:solidFill>
                <a:srgbClr val="C00000"/>
              </a:solidFill>
              <a:latin typeface="+mn-lt"/>
              <a:ea typeface="+mn-ea"/>
              <a:cs typeface="+mn-cs"/>
            </a:rPr>
            <a:t>- 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отопительный прибор, в котором установлен медно-алюминиевый теплообменник и тангенциальный вентилятор, тепло от которого передаётся в отапливаемое помещение путём естественной (при выключенном вентиляторе), и принудительной (при включённом вентиляторе) конвекции. Позволяет преградить поток холодного воздуха от застекленных фасадов или окон. Данный тип конвектора служит для отопления только сухих помещений. Применяется в качестве основного отопительного прибора в помещениях с любыми потребностями в интенсивности отопления. Возможно комбинированное использование с системами тёплого пола, вентиляции, радиаторного водяного отопления. Может быть установлен как в однотрубную, так и в двухтрубную систему отопления.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000" b="0" i="0" baseline="0">
              <a:effectLst/>
              <a:latin typeface="+mn-lt"/>
              <a:ea typeface="+mn-ea"/>
              <a:cs typeface="+mn-cs"/>
            </a:rPr>
            <a:t>Конструктивные особенности: </a:t>
          </a:r>
          <a:endParaRPr lang="ru-RU" sz="1000" b="0" i="0" u="none" strike="noStrike" baseline="0"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материал корпуса- оцинкованная сталь покрытая износостойким порошковым покрытием (цвет покрытия: чёрный матовый);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материал решётки- анодированный алюминий, дерево;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регулировка по высоте от 0 до 40 мм за счёт специальных регулировочных ножек;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подключение теплообменника- </a:t>
          </a:r>
          <a:r>
            <a:rPr lang="de-DE" sz="1000" b="1" i="0" u="none" strike="noStrike" baseline="0">
              <a:latin typeface="+mn-lt"/>
              <a:ea typeface="+mn-ea"/>
              <a:cs typeface="+mn-cs"/>
            </a:rPr>
            <a:t>G1/2’’ 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(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внутренняя резьба);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применение материалов с повышеными теплопередающими свойствами (С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u- 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медь, 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Al- 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алюминий) и стойких к коррозии;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съёмный медно-алюминиевый теплообменник с износостойким порошковым покытием (цвет покрытия: чёрный матовый);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специальные юстировочные шпильки позволяют легко выровнять конвектор в горизонтальной плоскости;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тангенциальный 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AC 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вентилятор с уменьшенным уровнем шума. </a:t>
          </a:r>
        </a:p>
        <a:p>
          <a:pPr algn="l"/>
          <a:endParaRPr lang="ru-RU" sz="1000" b="0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twoCellAnchor editAs="oneCell">
    <xdr:from>
      <xdr:col>9</xdr:col>
      <xdr:colOff>208910</xdr:colOff>
      <xdr:row>3</xdr:row>
      <xdr:rowOff>212910</xdr:rowOff>
    </xdr:from>
    <xdr:to>
      <xdr:col>17</xdr:col>
      <xdr:colOff>225256</xdr:colOff>
      <xdr:row>13</xdr:row>
      <xdr:rowOff>89646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7713"/>
        <a:stretch/>
      </xdr:blipFill>
      <xdr:spPr>
        <a:xfrm>
          <a:off x="3290528" y="818028"/>
          <a:ext cx="2777395" cy="19386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414617</xdr:colOff>
      <xdr:row>0</xdr:row>
      <xdr:rowOff>179294</xdr:rowOff>
    </xdr:from>
    <xdr:to>
      <xdr:col>52</xdr:col>
      <xdr:colOff>345510</xdr:colOff>
      <xdr:row>16</xdr:row>
      <xdr:rowOff>56503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45FC33C-F8C8-4A8F-9B85-9158B863A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4792" y="179294"/>
          <a:ext cx="5081116" cy="2925209"/>
        </a:xfrm>
        <a:prstGeom prst="rect">
          <a:avLst/>
        </a:prstGeom>
      </xdr:spPr>
    </xdr:pic>
    <xdr:clientData/>
  </xdr:twoCellAnchor>
  <xdr:twoCellAnchor>
    <xdr:from>
      <xdr:col>3</xdr:col>
      <xdr:colOff>246529</xdr:colOff>
      <xdr:row>3</xdr:row>
      <xdr:rowOff>179295</xdr:rowOff>
    </xdr:from>
    <xdr:to>
      <xdr:col>18</xdr:col>
      <xdr:colOff>112059</xdr:colOff>
      <xdr:row>20</xdr:row>
      <xdr:rowOff>190500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839A59E-B3CF-4C65-9D90-A9286CDA432B}"/>
            </a:ext>
          </a:extLst>
        </xdr:cNvPr>
        <xdr:cNvSpPr txBox="1"/>
      </xdr:nvSpPr>
      <xdr:spPr>
        <a:xfrm>
          <a:off x="3427879" y="600075"/>
          <a:ext cx="3894605" cy="3686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Инструкция по использованию калькулятора: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Указать температуру на входе и выходе;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Указать температуру в помещении;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Указать требуемую мощность и погрешность ее поиска (В таблице подходящая модель будет выделена зеленым цветом);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Указать расход воздуха через патрубок вентиляции;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Красным выделен конвектор не отвечающим звуковым характеристикам. Следует увеличить количество патрубков или уменьшить расход воздуха;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Количество патрубков указано по стандарту. Увеличение патрубков для снижения шумовых характеристик конвектора, только после согласования с менеджером;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 Диаметр патрубка указан максимальный для каждой высоты. Уменьшение диаметра после согласования с менеджером.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8. </a:t>
          </a:r>
          <a:r>
            <a:rPr lang="ru-R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Согласно СП скорость воздуха в системе вентиляции рекомендуется не болеше 2 м/с.</a:t>
          </a:r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При скорости больше 2 м/с, возможно резкое возрастание шума.</a:t>
          </a: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aseline="0"/>
            <a:t> </a:t>
          </a:r>
        </a:p>
        <a:p>
          <a:endParaRPr lang="ru-RU" sz="1100" baseline="0"/>
        </a:p>
        <a:p>
          <a:endParaRPr lang="ru-RU" sz="1100"/>
        </a:p>
      </xdr:txBody>
    </xdr:sp>
    <xdr:clientData/>
  </xdr:twoCellAnchor>
  <xdr:oneCellAnchor>
    <xdr:from>
      <xdr:col>18</xdr:col>
      <xdr:colOff>313765</xdr:colOff>
      <xdr:row>3</xdr:row>
      <xdr:rowOff>156882</xdr:rowOff>
    </xdr:from>
    <xdr:ext cx="8852188" cy="2365664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D680ED11-9BC1-4D19-B0EB-ACB078875BEA}"/>
            </a:ext>
          </a:extLst>
        </xdr:cNvPr>
        <xdr:cNvSpPr/>
      </xdr:nvSpPr>
      <xdr:spPr>
        <a:xfrm>
          <a:off x="7524190" y="600075"/>
          <a:ext cx="8852188" cy="2365664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000" b="0" i="0" u="sng" strike="noStrike" baseline="0">
              <a:solidFill>
                <a:srgbClr val="C00000"/>
              </a:solidFill>
              <a:latin typeface="+mn-lt"/>
              <a:ea typeface="+mn-ea"/>
              <a:cs typeface="+mn-cs"/>
            </a:rPr>
            <a:t>Встраиваемый в пол конвектор с приточной вентиляцией </a:t>
          </a:r>
          <a:r>
            <a:rPr lang="en-US" sz="1000" b="0" i="0" u="sng" strike="noStrike" baseline="0">
              <a:solidFill>
                <a:srgbClr val="C00000"/>
              </a:solidFill>
              <a:latin typeface="+mn-lt"/>
              <a:ea typeface="+mn-ea"/>
              <a:cs typeface="+mn-cs"/>
            </a:rPr>
            <a:t>VITRON </a:t>
          </a:r>
          <a:r>
            <a:rPr lang="de-DE" sz="1000" b="0" i="0" u="none" strike="noStrike" baseline="0">
              <a:solidFill>
                <a:srgbClr val="C00000"/>
              </a:solidFill>
              <a:latin typeface="+mn-lt"/>
              <a:ea typeface="+mn-ea"/>
              <a:cs typeface="+mn-cs"/>
            </a:rPr>
            <a:t>-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 отопительный прибор, в котором установлен медно-алюминиевый теплообменник, тепло от которого передаётся в отапливаемое помещение путём естественной конвекции. Позволяет преградить поток холодного воздуха от застеклённых фасадов или окон. Данный тип конвектора служит для отопления только сухих помещений. Применяется в качестве основного отопительного прибора в помещениях с небольшими потребностями в отоплении или вспомогательного отопительного прибора с системами тёплого пола, вентиляции, радиаторного водяного отопления. Может быть установлен как в однотрубную, так и в двухтрубную систему отопления.</a:t>
          </a:r>
          <a:endParaRPr lang="ru-RU" sz="1000" b="0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  <a:p>
          <a:r>
            <a:rPr lang="ru-RU" sz="1000">
              <a:latin typeface="+mn-lt"/>
            </a:rPr>
            <a:t>Конструктивные особенности: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материал корпуса- оцинкованная сталь покрытая износостойким порошковым покрытием (цвет покрытия: чёрный матовый);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материал решётки- анодированный алюминий, дерево;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регулировка по высоте от 0 до 40 мм за счёт специальных регулировочных ножек;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подключение теплообменника- </a:t>
          </a:r>
          <a:r>
            <a:rPr lang="de-DE" sz="1000" b="1" i="0" u="none" strike="noStrike" baseline="0">
              <a:latin typeface="+mn-lt"/>
              <a:ea typeface="+mn-ea"/>
              <a:cs typeface="+mn-cs"/>
            </a:rPr>
            <a:t>G1/2’’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 (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внутренняя резьба);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применение материалов с повышенными теплопередающими свойствами (С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u- 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медь, 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Al- 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алюминий) и стойких к коррозии;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съёмный медно-алюминиевый теплообменник с износостойким порошковым покрытием (цвет покрытия: чёрный матовый);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кондуктор для распределения приточного воздуха (в цвет конвектора);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специальные юстировочные шпильки позволяют легко выровнять конвектор в горизонтальной плоскости. </a:t>
          </a:r>
        </a:p>
      </xdr:txBody>
    </xdr:sp>
    <xdr:clientData/>
  </xdr:oneCellAnchor>
  <xdr:twoCellAnchor editAs="oneCell">
    <xdr:from>
      <xdr:col>40</xdr:col>
      <xdr:colOff>414617</xdr:colOff>
      <xdr:row>0</xdr:row>
      <xdr:rowOff>179294</xdr:rowOff>
    </xdr:from>
    <xdr:to>
      <xdr:col>52</xdr:col>
      <xdr:colOff>352233</xdr:colOff>
      <xdr:row>16</xdr:row>
      <xdr:rowOff>37453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8FBBFD-BABD-423C-B186-F68579E13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4792" y="179294"/>
          <a:ext cx="5081116" cy="2925209"/>
        </a:xfrm>
        <a:prstGeom prst="rect">
          <a:avLst/>
        </a:prstGeom>
      </xdr:spPr>
    </xdr:pic>
    <xdr:clientData/>
  </xdr:twoCellAnchor>
  <xdr:twoCellAnchor>
    <xdr:from>
      <xdr:col>3</xdr:col>
      <xdr:colOff>246529</xdr:colOff>
      <xdr:row>3</xdr:row>
      <xdr:rowOff>179295</xdr:rowOff>
    </xdr:from>
    <xdr:to>
      <xdr:col>18</xdr:col>
      <xdr:colOff>112059</xdr:colOff>
      <xdr:row>20</xdr:row>
      <xdr:rowOff>190500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074C194-C5E9-4F7E-B9E1-2B4FBA09E43E}"/>
            </a:ext>
          </a:extLst>
        </xdr:cNvPr>
        <xdr:cNvSpPr txBox="1"/>
      </xdr:nvSpPr>
      <xdr:spPr>
        <a:xfrm>
          <a:off x="3427879" y="600075"/>
          <a:ext cx="3894605" cy="3686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Инструкция по использованию калькулятора: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Указать температуру на входе и выходе;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Указать температуру в помещении;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Указать требуемую мощность и погрешность ее поиска (В таблице подходящая модель будет выделена зеленым цветом);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Указать расход воздуха через патрубок вентиляции;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Красным выделен конвектор не отвечающим звуковым характеристикам. Следует увеличить количество патрубков или уменьшить расход воздуха;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Количество патрубков указано по стандарту. Увеличение патрубков для снижения шумовых характеристик конвектора, только после согласования с менеджером;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 Диаметр патрубка указан максимальный для каждой высоты. Уменьшение диаметра после согласования с менеджером.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8. </a:t>
          </a:r>
          <a:r>
            <a:rPr lang="ru-RU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Согласно СП скорость воздуха в системе вентиляции рекомендуется не болеше 2 м/с.</a:t>
          </a:r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При скорости больше 2 м/с, возможно резкое возрастание шума.</a:t>
          </a: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aseline="0"/>
            <a:t> </a:t>
          </a:r>
        </a:p>
        <a:p>
          <a:endParaRPr lang="ru-RU" sz="1100" baseline="0"/>
        </a:p>
        <a:p>
          <a:endParaRPr lang="ru-RU" sz="1100"/>
        </a:p>
      </xdr:txBody>
    </xdr:sp>
    <xdr:clientData/>
  </xdr:twoCellAnchor>
  <xdr:oneCellAnchor>
    <xdr:from>
      <xdr:col>18</xdr:col>
      <xdr:colOff>313765</xdr:colOff>
      <xdr:row>3</xdr:row>
      <xdr:rowOff>156882</xdr:rowOff>
    </xdr:from>
    <xdr:ext cx="8852188" cy="2365664"/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D4310AA2-AA40-451B-AFAE-5D841EB39C08}"/>
            </a:ext>
          </a:extLst>
        </xdr:cNvPr>
        <xdr:cNvSpPr/>
      </xdr:nvSpPr>
      <xdr:spPr>
        <a:xfrm>
          <a:off x="7524190" y="600075"/>
          <a:ext cx="8852188" cy="2365664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000" b="0" i="0" u="sng" strike="noStrike" baseline="0">
              <a:solidFill>
                <a:srgbClr val="C00000"/>
              </a:solidFill>
              <a:latin typeface="+mn-lt"/>
              <a:ea typeface="+mn-ea"/>
              <a:cs typeface="+mn-cs"/>
            </a:rPr>
            <a:t>Встраиваемый в пол конвектор с приточной вентиляцией </a:t>
          </a:r>
          <a:r>
            <a:rPr lang="en-US" sz="1000" b="0" i="0" u="sng" strike="noStrike" baseline="0">
              <a:solidFill>
                <a:srgbClr val="C00000"/>
              </a:solidFill>
              <a:latin typeface="+mn-lt"/>
              <a:ea typeface="+mn-ea"/>
              <a:cs typeface="+mn-cs"/>
            </a:rPr>
            <a:t>VITRON </a:t>
          </a:r>
          <a:r>
            <a:rPr lang="de-DE" sz="1000" b="0" i="0" u="none" strike="noStrike" baseline="0">
              <a:solidFill>
                <a:srgbClr val="C00000"/>
              </a:solidFill>
              <a:latin typeface="+mn-lt"/>
              <a:ea typeface="+mn-ea"/>
              <a:cs typeface="+mn-cs"/>
            </a:rPr>
            <a:t>-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 отопительный прибор, в котором установлен медно-алюминиевый теплообменник, тепло от которого передаётся в отапливаемое помещение путём естественной конвекции. Позволяет преградить поток холодного воздуха от застеклённых фасадов или окон. Данный тип конвектора служит для отопления только сухих помещений. Применяется в качестве основного отопительного прибора в помещениях с небольшими потребностями в отоплении или вспомогательного отопительного прибора с системами тёплого пола, вентиляции, радиаторного водяного отопления. Может быть установлен как в однотрубную, так и в двухтрубную систему отопления.</a:t>
          </a:r>
          <a:endParaRPr lang="ru-RU" sz="1000" b="0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  <a:p>
          <a:r>
            <a:rPr lang="ru-RU" sz="1000">
              <a:latin typeface="+mn-lt"/>
            </a:rPr>
            <a:t>Конструктивные особенности: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материал корпуса- оцинкованная сталь покрытая износостойким порошковым покрытием (цвет покрытия: чёрный матовый);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материал решётки- анодированный алюминий, дерево;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регулировка по высоте от 0 до 40 мм за счёт специальных регулировочных ножек;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подключение теплообменника- </a:t>
          </a:r>
          <a:r>
            <a:rPr lang="de-DE" sz="1000" b="1" i="0" u="none" strike="noStrike" baseline="0">
              <a:latin typeface="+mn-lt"/>
              <a:ea typeface="+mn-ea"/>
              <a:cs typeface="+mn-cs"/>
            </a:rPr>
            <a:t>G1/2’’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 (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внутренняя резьба);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применение материалов с повышенными теплопередающими свойствами (С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u- 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медь, </a:t>
          </a:r>
          <a:r>
            <a:rPr lang="de-DE" sz="1000" b="0" i="0" u="none" strike="noStrike" baseline="0">
              <a:latin typeface="+mn-lt"/>
              <a:ea typeface="+mn-ea"/>
              <a:cs typeface="+mn-cs"/>
            </a:rPr>
            <a:t>Al- </a:t>
          </a:r>
          <a:r>
            <a:rPr lang="ru-RU" sz="1000" b="0" i="0" u="none" strike="noStrike" baseline="0">
              <a:latin typeface="+mn-lt"/>
              <a:ea typeface="+mn-ea"/>
              <a:cs typeface="+mn-cs"/>
            </a:rPr>
            <a:t>алюминий) и стойких к коррозии;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съёмный медно-алюминиевый теплообменник с износостойким порошковым покрытием (цвет покрытия: чёрный матовый);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кондуктор для распределения приточного воздуха (в цвет конвектора); </a:t>
          </a:r>
        </a:p>
        <a:p>
          <a:pPr marL="285750" indent="-285750">
            <a:buFont typeface="Arial" panose="020B0604020202020204" pitchFamily="34" charset="0"/>
            <a:buChar char="•"/>
          </a:pPr>
          <a:r>
            <a:rPr lang="ru-RU" sz="1000" b="0" i="0" u="none" strike="noStrike" baseline="0">
              <a:latin typeface="+mn-lt"/>
              <a:ea typeface="+mn-ea"/>
              <a:cs typeface="+mn-cs"/>
            </a:rPr>
            <a:t>специальные юстировочные шпильки позволяют легко выровнять конвектор в горизонтальной плоскости. 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160</xdr:row>
      <xdr:rowOff>0</xdr:rowOff>
    </xdr:from>
    <xdr:ext cx="9040346" cy="7504579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E19D5ADC-1DE4-4C5A-9813-F63DE881BA99}"/>
            </a:ext>
          </a:extLst>
        </xdr:cNvPr>
        <xdr:cNvSpPr/>
      </xdr:nvSpPr>
      <xdr:spPr>
        <a:xfrm>
          <a:off x="0" y="35785425"/>
          <a:ext cx="9040346" cy="7504579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Встраиваемый в подоконник конвектор с естественной конвекцией </a:t>
          </a:r>
          <a:r>
            <a:rPr lang="de-DE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VITRON </a:t>
          </a:r>
          <a:r>
            <a:rPr lang="de-DE" sz="1600" b="0" i="0" u="none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-</a:t>
          </a:r>
          <a:r>
            <a:rPr lang="ru-RU" sz="1600" b="0" i="0" u="none" strike="noStrike" baseline="0">
              <a:latin typeface="+mj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э</a:t>
          </a:r>
          <a:r>
            <a:rPr lang="ru-RU" sz="1400">
              <a:latin typeface="+mj-lt"/>
            </a:rPr>
            <a:t>то отопительный прибор, в котором установлен медно-алюминиевый теплообменник , тепло от которого передаётся в отапливаемое помещение путём естественной конвекции. Данный прибор предназначен для установки в оконный проём с парапетом глубиной не менее 180 мм. Позволяет преградить поток холодного воздуха от застеклённых фасадов или окон. Возможно комбинированное использование с системами тёплого пола, вентиляции, радиаторного водяного отопления. Может быть установлен как в однотрубную, так и в двухтрубную систему отопления.</a:t>
          </a:r>
        </a:p>
        <a:p>
          <a:r>
            <a:rPr lang="ru-RU" sz="1400">
              <a:latin typeface="+mn-lt"/>
            </a:rPr>
            <a:t>Конструктивные особенности: </a:t>
          </a:r>
        </a:p>
        <a:p>
          <a:pPr algn="l"/>
          <a:r>
            <a:rPr lang="ru-RU" sz="1400" b="0" i="0" baseline="0">
              <a:effectLst/>
              <a:latin typeface="+mn-lt"/>
              <a:ea typeface="+mn-ea"/>
              <a:cs typeface="+mn-cs"/>
            </a:rPr>
            <a:t>•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материал корпуса - оцинкованная сталь толщиной 1 мм,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покрытая износостойким порошковым покрытием (цвет покрытия: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чёрный матовый);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материал и покрытие решётки - анодированный алюминий, алюминий с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покрытием, дерево (дуб);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подключение теплообменника -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G1/2’’ (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внутренняя резьба);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применение материалов с повышенными теплопередающими свойствами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(С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u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медь,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Al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алюминий) и стойких к коррозии;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съёмный медно-алюминиевый теплообменник, покрытый износостойким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 (цвет покрытия: чёрный матовый);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специальные юстировочные винты позволяют легко выровнять конвектор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в горизонтальной плоскости.. </a:t>
          </a: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0" i="0" baseline="0">
              <a:effectLst/>
              <a:latin typeface="+mn-lt"/>
              <a:ea typeface="+mn-ea"/>
              <a:cs typeface="+mn-cs"/>
            </a:rPr>
            <a:t>Стандартный комплект поставки: </a:t>
          </a:r>
          <a:endParaRPr lang="ru-RU" sz="1600" b="0" i="0" u="none" strike="noStrike" baseline="0">
            <a:latin typeface="+mn-lt"/>
            <a:ea typeface="+mn-ea"/>
            <a:cs typeface="+mn-cs"/>
          </a:endParaRP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корпус из оцинкованной стали покрытый порошковым покрытием;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комплект установочных ножек;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продольная или поперечная решётка;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медно-алюминиевый теплообменник (диаметр медной трубы 15 мм);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воздухоотводчик ручной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G1/8’’;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технический паспорт, инструкция по монтажу и эксплуатации;</a:t>
          </a: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baseline="0">
              <a:effectLst/>
              <a:latin typeface="+mn-lt"/>
              <a:ea typeface="+mn-ea"/>
              <a:cs typeface="+mn-cs"/>
            </a:rPr>
            <a:t>монтажная доска для защиты от механических повреждений.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endParaRPr lang="ru-RU" sz="1800" b="0" i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88848</xdr:colOff>
      <xdr:row>106</xdr:row>
      <xdr:rowOff>15207</xdr:rowOff>
    </xdr:from>
    <xdr:ext cx="9040346" cy="7504579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41717EDA-0F87-4291-A23B-AB0D5B635A3D}"/>
            </a:ext>
          </a:extLst>
        </xdr:cNvPr>
        <xdr:cNvSpPr/>
      </xdr:nvSpPr>
      <xdr:spPr>
        <a:xfrm>
          <a:off x="88848" y="24427782"/>
          <a:ext cx="9040346" cy="7504579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Встраиваемый в подоконник конвектор с принудительной конвекцией </a:t>
          </a:r>
          <a:r>
            <a:rPr lang="de-DE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VITRON </a:t>
          </a:r>
          <a:r>
            <a:rPr lang="de-DE" sz="1600" b="0" i="0" u="none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-</a:t>
          </a:r>
          <a:r>
            <a:rPr lang="ru-RU" sz="1600" b="0" i="0" u="none" strike="noStrike" baseline="0">
              <a:latin typeface="+mj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э</a:t>
          </a:r>
          <a:r>
            <a:rPr lang="ru-RU" sz="1400">
              <a:latin typeface="+mj-lt"/>
            </a:rPr>
            <a:t>то отопительный прибор, в котором установлен медно-алюминиевый теплообменник и тангенциальный вентилятор, тепло от которого передаётся в отапливаемое помещение путём естественной (при выключенном вентиляторе) и принудительной (при включённом вентиляторе) конвекции. Данный прибор предназначен для установки в оконный проём с парапетом глубиной не менее 180 мм. Позволяет преградить поток холодного воздуха от застеклённых фасадов или окон. Возможно комбинированное использование с системами тёплого пола, вентиляции, радиаторного водяного отопления. Может быть установлен как в однотрубную, так и в двухтрубную систему отопления.</a:t>
          </a:r>
        </a:p>
        <a:p>
          <a:r>
            <a:rPr lang="ru-RU" sz="1400">
              <a:latin typeface="+mn-lt"/>
            </a:rPr>
            <a:t>Конструктивные особенности: </a:t>
          </a:r>
        </a:p>
        <a:p>
          <a:pPr algn="l"/>
          <a:r>
            <a:rPr lang="ru-RU" sz="1400" b="0" i="0" baseline="0">
              <a:effectLst/>
              <a:latin typeface="+mn-lt"/>
              <a:ea typeface="+mn-ea"/>
              <a:cs typeface="+mn-cs"/>
            </a:rPr>
            <a:t>•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материал корпуса - оцинкованная сталь толщиной 1 мм,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покрытая износостойким порошковым покрытием (цвет покрытия: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чёрный матовый);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материал и покрытие решётки - анодированный алюминий, алюминий с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покрытием, дерево (дуб);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подключение теплообменника -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G1/2’’ (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внутренняя резьба);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применение материалов с повышенными теплопередающими свойствами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(С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u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медь,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Al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алюминий) и стойких к коррозии;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съёмный медно-алюминиевый теплообменник, покрытый износостойким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 (цвет покрытия: чёрный матовый);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специальные юстировочные винты позволяют легко выровнять конвектор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в горизонтальной плоскости.. </a:t>
          </a: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0" i="0" baseline="0">
              <a:effectLst/>
              <a:latin typeface="+mn-lt"/>
              <a:ea typeface="+mn-ea"/>
              <a:cs typeface="+mn-cs"/>
            </a:rPr>
            <a:t>Стандартный комплект поставки: </a:t>
          </a:r>
          <a:endParaRPr lang="ru-RU" sz="1600" b="0" i="0" u="none" strike="noStrike" baseline="0">
            <a:latin typeface="+mn-lt"/>
            <a:ea typeface="+mn-ea"/>
            <a:cs typeface="+mn-cs"/>
          </a:endParaRP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корпус из оцинкованной стали покрытый порошковым покрытием;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0" i="0" baseline="0">
              <a:effectLst/>
              <a:latin typeface="+mj-lt"/>
              <a:ea typeface="+mn-ea"/>
              <a:cs typeface="+mn-cs"/>
            </a:rPr>
            <a:t>• тангенциальный </a:t>
          </a:r>
          <a:r>
            <a:rPr lang="en-US" sz="1400" b="0" i="0" baseline="0">
              <a:effectLst/>
              <a:latin typeface="+mj-lt"/>
              <a:ea typeface="+mn-ea"/>
              <a:cs typeface="+mn-cs"/>
            </a:rPr>
            <a:t>DC 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вентилятор, напряжением питания </a:t>
          </a:r>
          <a:r>
            <a:rPr lang="en-US" sz="1400" b="0" i="0" baseline="0">
              <a:effectLst/>
              <a:latin typeface="+mj-lt"/>
              <a:ea typeface="+mn-ea"/>
              <a:cs typeface="+mn-cs"/>
            </a:rPr>
            <a:t>24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В с уменьшенным уровнем шума;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комплект установочных ножек;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продольная или поперечная решётка;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медно-алюминиевый теплообменник (диаметр медной трубы 15 мм);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воздухоотводчик ручной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G1/8’’;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технический паспорт, инструкция по монтажу и эксплуатации;</a:t>
          </a: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baseline="0">
              <a:effectLst/>
              <a:latin typeface="+mn-lt"/>
              <a:ea typeface="+mn-ea"/>
              <a:cs typeface="+mn-cs"/>
            </a:rPr>
            <a:t>монтажная доска для защиты от механических повреждений.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endParaRPr lang="ru-RU" sz="1800" b="0" i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9040346" cy="7504579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9492488B-636E-4166-9349-EEA7E2DE9B55}"/>
            </a:ext>
          </a:extLst>
        </xdr:cNvPr>
        <xdr:cNvSpPr/>
      </xdr:nvSpPr>
      <xdr:spPr>
        <a:xfrm>
          <a:off x="0" y="4648200"/>
          <a:ext cx="9040346" cy="7504579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Встраиваемый в подоконник конвектор с принудительной конвекцией </a:t>
          </a:r>
          <a:r>
            <a:rPr lang="de-DE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VITRON </a:t>
          </a:r>
          <a:r>
            <a:rPr lang="de-DE" sz="1600" b="0" i="0" u="none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-</a:t>
          </a:r>
          <a:r>
            <a:rPr lang="ru-RU" sz="1600" b="0" i="0" u="none" strike="noStrike" baseline="0">
              <a:latin typeface="+mj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э</a:t>
          </a:r>
          <a:r>
            <a:rPr lang="ru-RU" sz="1400">
              <a:latin typeface="+mj-lt"/>
            </a:rPr>
            <a:t>то отопительный прибор, в котором установлен медно-алюминиевый теплообменник и тангенциальный вентилятор, тепло от которого передаётся в отапливаемое помещение путём естественной (при выключенном вентиляторе) и принудительной (при включённом вентиляторе) конвекции. Данный прибор предназначен для установки в оконный проём с парапетом глубиной не менее 290 мм. Позволяет преградить поток холодного воздуха от застеклённых фасадов или окон. Возможно комбинированное использование с системами тёплого пола, вентиляции, радиаторного водяного отопления. Может быть установлен как в однотрубную, так и в двухтрубную систему отопления.</a:t>
          </a:r>
        </a:p>
        <a:p>
          <a:r>
            <a:rPr lang="ru-RU" sz="1400">
              <a:latin typeface="+mn-lt"/>
            </a:rPr>
            <a:t>Конструктивные особенности: </a:t>
          </a:r>
        </a:p>
        <a:p>
          <a:pPr algn="l"/>
          <a:r>
            <a:rPr lang="ru-RU" sz="1400" b="0" i="0" baseline="0">
              <a:effectLst/>
              <a:latin typeface="+mn-lt"/>
              <a:ea typeface="+mn-ea"/>
              <a:cs typeface="+mn-cs"/>
            </a:rPr>
            <a:t>•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материал корпуса - оцинкованная сталь толщиной 1 мм,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покрытая износостойким порошковым покрытием (цвет покрытия: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чёрный матовый);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материал и покрытие решётки - анодированный алюминий, алюминий с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покрытием, дерево (дуб);</a:t>
          </a:r>
        </a:p>
        <a:p>
          <a:pPr algn="l"/>
          <a:r>
            <a:rPr lang="ru-RU" sz="1400" b="0" i="0" baseline="0">
              <a:effectLst/>
              <a:latin typeface="+mj-lt"/>
              <a:ea typeface="+mn-ea"/>
              <a:cs typeface="+mn-cs"/>
            </a:rPr>
            <a:t>• материал подоконника - дерево (шлифованный дуб);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подключение теплообменника -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G1/2’’ (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внутренняя резьба);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применение материалов с повышенными теплопередающими свойствами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(С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u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медь,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Al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алюминий) и стойких к коррозии;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съёмный медно-алюминиевый теплообменник, покрытый износостойким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 (цвет покрытия: чёрный матовый);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специальные юстировочные винты позволяют легко выровнять конвектор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в горизонтальной плоскости.. </a:t>
          </a: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0" i="0" baseline="0">
              <a:effectLst/>
              <a:latin typeface="+mn-lt"/>
              <a:ea typeface="+mn-ea"/>
              <a:cs typeface="+mn-cs"/>
            </a:rPr>
            <a:t>Стандартный комплект поставки: </a:t>
          </a:r>
          <a:endParaRPr lang="ru-RU" sz="1600" b="0" i="0" u="none" strike="noStrike" baseline="0">
            <a:latin typeface="+mn-lt"/>
            <a:ea typeface="+mn-ea"/>
            <a:cs typeface="+mn-cs"/>
          </a:endParaRP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корпус из оцинкованной стали покрытый порошковым покрытием;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0" i="0" baseline="0">
              <a:effectLst/>
              <a:latin typeface="+mj-lt"/>
              <a:ea typeface="+mn-ea"/>
              <a:cs typeface="+mn-cs"/>
            </a:rPr>
            <a:t>• тангенциальный </a:t>
          </a:r>
          <a:r>
            <a:rPr lang="en-US" sz="1400" b="0" i="0" baseline="0">
              <a:effectLst/>
              <a:latin typeface="+mj-lt"/>
              <a:ea typeface="+mn-ea"/>
              <a:cs typeface="+mn-cs"/>
            </a:rPr>
            <a:t>DC 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вентилятор, напряжением питания </a:t>
          </a:r>
          <a:r>
            <a:rPr lang="en-US" sz="1400" b="0" i="0" baseline="0">
              <a:effectLst/>
              <a:latin typeface="+mj-lt"/>
              <a:ea typeface="+mn-ea"/>
              <a:cs typeface="+mn-cs"/>
            </a:rPr>
            <a:t>24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В с уменьшенным уровнем шума;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комплект установочных ножек;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продольная решётка;</a:t>
          </a: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дубовый шлифованный подоконник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медно-алюминиевый теплообменник (диаметр медной трубы 15 мм);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воздухоотводчик ручной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G1/8’’;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технический паспорт, инструкция по монтажу и эксплуатации;</a:t>
          </a: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baseline="0">
              <a:effectLst/>
              <a:latin typeface="+mn-lt"/>
              <a:ea typeface="+mn-ea"/>
              <a:cs typeface="+mn-cs"/>
            </a:rPr>
            <a:t>монтажная доска для защиты от механических повреждений.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</xdr:txBody>
    </xdr:sp>
    <xdr:clientData/>
  </xdr:oneCellAnchor>
  <xdr:twoCellAnchor editAs="oneCell">
    <xdr:from>
      <xdr:col>14</xdr:col>
      <xdr:colOff>973310</xdr:colOff>
      <xdr:row>13</xdr:row>
      <xdr:rowOff>64834</xdr:rowOff>
    </xdr:from>
    <xdr:to>
      <xdr:col>19</xdr:col>
      <xdr:colOff>261255</xdr:colOff>
      <xdr:row>35</xdr:row>
      <xdr:rowOff>175212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20D0CE5-E78E-4A7D-B7A0-1C4C78E22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9160" y="4913059"/>
          <a:ext cx="7784246" cy="4301378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12</xdr:row>
      <xdr:rowOff>0</xdr:rowOff>
    </xdr:from>
    <xdr:ext cx="9040346" cy="7504579"/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470F535C-89B7-44C8-A600-64F374BE910C}"/>
            </a:ext>
          </a:extLst>
        </xdr:cNvPr>
        <xdr:cNvSpPr/>
      </xdr:nvSpPr>
      <xdr:spPr>
        <a:xfrm>
          <a:off x="0" y="4648200"/>
          <a:ext cx="9040346" cy="7504579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ru-RU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Встраиваемый в подоконник конвектор с принудительной конвекцией </a:t>
          </a:r>
          <a:r>
            <a:rPr lang="de-DE" sz="1600" b="0" i="0" u="sng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VITRON </a:t>
          </a:r>
          <a:r>
            <a:rPr lang="de-DE" sz="1600" b="0" i="0" u="none" strike="noStrike" baseline="0">
              <a:solidFill>
                <a:srgbClr val="C00000"/>
              </a:solidFill>
              <a:latin typeface="+mj-lt"/>
              <a:ea typeface="+mn-ea"/>
              <a:cs typeface="+mn-cs"/>
            </a:rPr>
            <a:t>-</a:t>
          </a:r>
          <a:r>
            <a:rPr lang="ru-RU" sz="1600" b="0" i="0" u="none" strike="noStrike" baseline="0">
              <a:latin typeface="+mj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э</a:t>
          </a:r>
          <a:r>
            <a:rPr lang="ru-RU" sz="1400">
              <a:latin typeface="+mj-lt"/>
            </a:rPr>
            <a:t>то отопительный прибор, в котором установлен медно-алюминиевый теплообменник и тангенциальный вентилятор, тепло от которого передаётся в отапливаемое помещение путём естественной (при выключенном вентиляторе) и принудительной (при включённом вентиляторе) конвекции. Данный прибор предназначен для установки в оконный проём с парапетом глубиной не менее 290 мм. Позволяет преградить поток холодного воздуха от застеклённых фасадов или окон. Возможно комбинированное использование с системами тёплого пола, вентиляции, радиаторного водяного отопления. Может быть установлен как в однотрубную, так и в двухтрубную систему отопления.</a:t>
          </a:r>
        </a:p>
        <a:p>
          <a:r>
            <a:rPr lang="ru-RU" sz="1400">
              <a:latin typeface="+mn-lt"/>
            </a:rPr>
            <a:t>Конструктивные особенности: </a:t>
          </a:r>
        </a:p>
        <a:p>
          <a:pPr algn="l"/>
          <a:r>
            <a:rPr lang="ru-RU" sz="1400" b="0" i="0" baseline="0">
              <a:effectLst/>
              <a:latin typeface="+mn-lt"/>
              <a:ea typeface="+mn-ea"/>
              <a:cs typeface="+mn-cs"/>
            </a:rPr>
            <a:t>•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материал корпуса - оцинкованная сталь толщиной 1 мм,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покрытая износостойким порошковым покрытием (цвет покрытия: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чёрный матовый);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материал и покрытие решётки - анодированный алюминий, алюминий с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покрытием, дерево (дуб);</a:t>
          </a:r>
        </a:p>
        <a:p>
          <a:pPr algn="l"/>
          <a:r>
            <a:rPr lang="ru-RU" sz="1400" b="0" i="0" baseline="0">
              <a:effectLst/>
              <a:latin typeface="+mj-lt"/>
              <a:ea typeface="+mn-ea"/>
              <a:cs typeface="+mn-cs"/>
            </a:rPr>
            <a:t>• материал подоконника - дерево (шлифованный дуб);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подключение теплообменника -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G1/2’’ (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внутренняя резьба);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применение материалов с повышенными теплопередающими свойствами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(С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u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медь,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Al -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алюминий) и стойких к коррозии;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съёмный медно-алюминиевый теплообменник, покрытый износостойким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порошковым покрытием (цвет покрытия: чёрный матовый);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• специальные юстировочные винты позволяют легко выровнять конвектор</a:t>
          </a:r>
        </a:p>
        <a:p>
          <a:pPr algn="l"/>
          <a:r>
            <a:rPr lang="ru-RU" sz="1400" b="0" i="0" u="none" strike="noStrike" baseline="0">
              <a:latin typeface="+mj-lt"/>
              <a:ea typeface="+mn-ea"/>
              <a:cs typeface="+mn-cs"/>
            </a:rPr>
            <a:t>в горизонтальной плоскости.. </a:t>
          </a: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600" b="0" i="0" baseline="0">
            <a:effectLst/>
            <a:latin typeface="+mj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0" i="0" baseline="0">
              <a:effectLst/>
              <a:latin typeface="+mn-lt"/>
              <a:ea typeface="+mn-ea"/>
              <a:cs typeface="+mn-cs"/>
            </a:rPr>
            <a:t>Стандартный комплект поставки: </a:t>
          </a:r>
          <a:endParaRPr lang="ru-RU" sz="1600" b="0" i="0" u="none" strike="noStrike" baseline="0">
            <a:latin typeface="+mn-lt"/>
            <a:ea typeface="+mn-ea"/>
            <a:cs typeface="+mn-cs"/>
          </a:endParaRP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корпус из оцинкованной стали покрытый порошковым покрытием;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0" i="0" baseline="0">
              <a:effectLst/>
              <a:latin typeface="+mj-lt"/>
              <a:ea typeface="+mn-ea"/>
              <a:cs typeface="+mn-cs"/>
            </a:rPr>
            <a:t>• тангенциальный </a:t>
          </a:r>
          <a:r>
            <a:rPr lang="en-US" sz="1400" b="0" i="0" baseline="0">
              <a:effectLst/>
              <a:latin typeface="+mj-lt"/>
              <a:ea typeface="+mn-ea"/>
              <a:cs typeface="+mn-cs"/>
            </a:rPr>
            <a:t>DC 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вентилятор, напряжением питания </a:t>
          </a:r>
          <a:r>
            <a:rPr lang="en-US" sz="1400" b="0" i="0" baseline="0">
              <a:effectLst/>
              <a:latin typeface="+mj-lt"/>
              <a:ea typeface="+mn-ea"/>
              <a:cs typeface="+mn-cs"/>
            </a:rPr>
            <a:t>24</a:t>
          </a:r>
          <a:r>
            <a:rPr lang="ru-RU" sz="1400" b="0" i="0" baseline="0">
              <a:effectLst/>
              <a:latin typeface="+mj-lt"/>
              <a:ea typeface="+mn-ea"/>
              <a:cs typeface="+mn-cs"/>
            </a:rPr>
            <a:t>В с уменьшенным уровнем шума;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комплект установочных ножек;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продольная решётка;</a:t>
          </a: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 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дубовый шлифованный подоконник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медно-алюминиевый теплообменник (диаметр медной трубы 15 мм);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воздухоотводчик ручной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G1/8’’;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• технический паспорт, инструкция по монтажу и эксплуатации;</a:t>
          </a:r>
        </a:p>
        <a:p>
          <a:r>
            <a:rPr lang="ru-RU" sz="1400" b="0" i="0" baseline="0">
              <a:effectLst/>
              <a:latin typeface="+mn-lt"/>
              <a:ea typeface="+mn-ea"/>
              <a:cs typeface="+mn-cs"/>
            </a:rPr>
            <a:t>•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400" b="0" i="0" baseline="0">
              <a:effectLst/>
              <a:latin typeface="+mn-lt"/>
              <a:ea typeface="+mn-ea"/>
              <a:cs typeface="+mn-cs"/>
            </a:rPr>
            <a:t>монтажная доска для защиты от механических повреждений.</a:t>
          </a:r>
          <a:endParaRPr lang="ru-RU" sz="1400" b="0" i="0" u="none" strike="noStrike" baseline="0">
            <a:latin typeface="+mj-lt"/>
            <a:ea typeface="+mn-ea"/>
            <a:cs typeface="+mn-cs"/>
          </a:endParaRPr>
        </a:p>
      </xdr:txBody>
    </xdr:sp>
    <xdr:clientData/>
  </xdr:oneCellAnchor>
  <xdr:twoCellAnchor editAs="oneCell">
    <xdr:from>
      <xdr:col>14</xdr:col>
      <xdr:colOff>973310</xdr:colOff>
      <xdr:row>13</xdr:row>
      <xdr:rowOff>64834</xdr:rowOff>
    </xdr:from>
    <xdr:to>
      <xdr:col>19</xdr:col>
      <xdr:colOff>318406</xdr:colOff>
      <xdr:row>34</xdr:row>
      <xdr:rowOff>165687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CD7DAE7-7AD9-43A1-91F1-37D339870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9160" y="4913059"/>
          <a:ext cx="7784246" cy="430137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6080311" cy="34975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895BF86C-8E98-4C09-8005-E09FBDB7A034}"/>
            </a:ext>
          </a:extLst>
        </xdr:cNvPr>
        <xdr:cNvSpPr/>
      </xdr:nvSpPr>
      <xdr:spPr>
        <a:xfrm>
          <a:off x="0" y="200025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Крышка перфорированная</a:t>
          </a:r>
        </a:p>
      </xdr:txBody>
    </xdr:sp>
    <xdr:clientData/>
  </xdr:oneCellAnchor>
  <xdr:oneCellAnchor>
    <xdr:from>
      <xdr:col>0</xdr:col>
      <xdr:colOff>27214</xdr:colOff>
      <xdr:row>3</xdr:row>
      <xdr:rowOff>95250</xdr:rowOff>
    </xdr:from>
    <xdr:ext cx="11915775" cy="1400175"/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F8837DE7-A6BC-45C2-86DC-B3DE328F96B9}"/>
            </a:ext>
          </a:extLst>
        </xdr:cNvPr>
        <xdr:cNvSpPr/>
      </xdr:nvSpPr>
      <xdr:spPr>
        <a:xfrm>
          <a:off x="27214" y="676275"/>
          <a:ext cx="11915775" cy="1400175"/>
        </a:xfrm>
        <a:prstGeom prst="rect">
          <a:avLst/>
        </a:prstGeom>
        <a:noFill/>
      </xdr:spPr>
      <xdr:txBody>
        <a:bodyPr wrap="square" lIns="91440" tIns="45720" rIns="91440" bIns="45720" anchor="t">
          <a:noAutofit/>
        </a:bodyPr>
        <a:lstStyle/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Крышка перфорированная — это сменный элемент, который устанавливается поверх короба конвектора вместо штатной решетки. Ее основная функция — декоративная: она маскирует технический прибор, сливаясь с напольным покрытием или, наоборот, становясь изящным элементом дизайна. 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Покраска в любой цвет по каталогу </a:t>
          </a:r>
          <a:r>
            <a:rPr lang="en-US" sz="1400" b="0" i="0" u="none" strike="noStrike" baseline="0">
              <a:latin typeface="+mj-lt"/>
              <a:ea typeface="+mn-ea"/>
              <a:cs typeface="+mn-cs"/>
            </a:rPr>
            <a:t>RAL: </a:t>
          </a:r>
          <a:r>
            <a:rPr lang="ru-RU" sz="1400" b="0" i="0" u="none" strike="noStrike" baseline="0">
              <a:latin typeface="+mj-lt"/>
              <a:ea typeface="+mn-ea"/>
              <a:cs typeface="+mn-cs"/>
            </a:rPr>
            <a:t>Позволяет идеально подобрать цвет под мебель, стены, плинтуса или акцентные элементы. Толщина в 4 мм гарантирует прочность и несгибаемость.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Перфорация с узором: Вместо стандартных параллельных щелей делают узорчатую перфорацию (круги, волны, геометрические паттерны).</a:t>
          </a:r>
        </a:p>
        <a:p>
          <a:r>
            <a:rPr lang="ru-RU" sz="1400" b="0" i="0" u="none" strike="noStrike" baseline="0">
              <a:latin typeface="+mj-lt"/>
              <a:ea typeface="+mn-ea"/>
              <a:cs typeface="+mn-cs"/>
            </a:rPr>
            <a:t>Крышка перфорированная— это прекрасный способ сделать систему отопления невидимой и сохранить безупречный вид интерьера.</a:t>
          </a:r>
        </a:p>
        <a:p>
          <a:endParaRPr lang="ru-RU" sz="1400" b="0" i="0" u="none" strike="noStrike" baseline="0">
            <a:latin typeface="+mj-lt"/>
            <a:ea typeface="+mn-ea"/>
            <a:cs typeface="+mn-cs"/>
          </a:endParaRPr>
        </a:p>
        <a:p>
          <a:endParaRPr lang="ru-RU" sz="1800" b="1" i="0" u="none" strike="noStrike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</xdr:txBody>
    </xdr:sp>
    <xdr:clientData/>
  </xdr:oneCellAnchor>
  <xdr:twoCellAnchor editAs="oneCell">
    <xdr:from>
      <xdr:col>3</xdr:col>
      <xdr:colOff>0</xdr:colOff>
      <xdr:row>115</xdr:row>
      <xdr:rowOff>0</xdr:rowOff>
    </xdr:from>
    <xdr:to>
      <xdr:col>13</xdr:col>
      <xdr:colOff>415717</xdr:colOff>
      <xdr:row>130</xdr:row>
      <xdr:rowOff>22500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000B579-9C29-4A36-8536-A594EBB09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02" b="702"/>
        <a:stretch/>
      </xdr:blipFill>
      <xdr:spPr>
        <a:xfrm>
          <a:off x="5191125" y="18592800"/>
          <a:ext cx="6511717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122463</xdr:colOff>
      <xdr:row>115</xdr:row>
      <xdr:rowOff>0</xdr:rowOff>
    </xdr:from>
    <xdr:to>
      <xdr:col>2</xdr:col>
      <xdr:colOff>2124075</xdr:colOff>
      <xdr:row>129</xdr:row>
      <xdr:rowOff>141634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3225379-41FC-41AC-B14A-FCB6672DB8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3"/>
        <a:stretch/>
      </xdr:blipFill>
      <xdr:spPr>
        <a:xfrm>
          <a:off x="122463" y="18592800"/>
          <a:ext cx="4868637" cy="2808634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95251</xdr:colOff>
      <xdr:row>161</xdr:row>
      <xdr:rowOff>102053</xdr:rowOff>
    </xdr:from>
    <xdr:to>
      <xdr:col>2</xdr:col>
      <xdr:colOff>2293644</xdr:colOff>
      <xdr:row>176</xdr:row>
      <xdr:rowOff>124553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9074C19-F6D5-4F96-BCBC-7AB1A3392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1" y="27457853"/>
          <a:ext cx="5065418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19050</xdr:colOff>
      <xdr:row>161</xdr:row>
      <xdr:rowOff>92529</xdr:rowOff>
    </xdr:from>
    <xdr:to>
      <xdr:col>13</xdr:col>
      <xdr:colOff>399978</xdr:colOff>
      <xdr:row>176</xdr:row>
      <xdr:rowOff>115029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CE51865-8B90-4405-A2BC-7550B4122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10175" y="27448329"/>
          <a:ext cx="6476928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152399</xdr:colOff>
      <xdr:row>130</xdr:row>
      <xdr:rowOff>48985</xdr:rowOff>
    </xdr:from>
    <xdr:to>
      <xdr:col>2</xdr:col>
      <xdr:colOff>2162175</xdr:colOff>
      <xdr:row>145</xdr:row>
      <xdr:rowOff>71485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202B36E-BA7E-4585-833E-B51B823718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276" r="1458"/>
        <a:stretch/>
      </xdr:blipFill>
      <xdr:spPr>
        <a:xfrm>
          <a:off x="152399" y="21499285"/>
          <a:ext cx="4876801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2295525</xdr:colOff>
      <xdr:row>130</xdr:row>
      <xdr:rowOff>54429</xdr:rowOff>
    </xdr:from>
    <xdr:to>
      <xdr:col>13</xdr:col>
      <xdr:colOff>406853</xdr:colOff>
      <xdr:row>145</xdr:row>
      <xdr:rowOff>76929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1B892448-C7FA-4DB9-A996-7BA4EC4055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-1" r="1549"/>
        <a:stretch/>
      </xdr:blipFill>
      <xdr:spPr>
        <a:xfrm>
          <a:off x="5162550" y="21504729"/>
          <a:ext cx="6531428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15</xdr:col>
      <xdr:colOff>0</xdr:colOff>
      <xdr:row>121</xdr:row>
      <xdr:rowOff>0</xdr:rowOff>
    </xdr:from>
    <xdr:ext cx="6080311" cy="349752"/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9599DF9C-17C2-4EB9-80BC-558DE5BDBF16}"/>
            </a:ext>
          </a:extLst>
        </xdr:cNvPr>
        <xdr:cNvSpPr/>
      </xdr:nvSpPr>
      <xdr:spPr>
        <a:xfrm>
          <a:off x="12506325" y="1973580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 №6</a:t>
          </a:r>
          <a:r>
            <a:rPr lang="ru-RU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"Кресты"</a:t>
          </a:r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15</xdr:col>
      <xdr:colOff>0</xdr:colOff>
      <xdr:row>169</xdr:row>
      <xdr:rowOff>0</xdr:rowOff>
    </xdr:from>
    <xdr:ext cx="6080311" cy="349752"/>
    <xdr:sp macro="" textlink="">
      <xdr:nvSpPr>
        <xdr:cNvPr id="11" name="Прямоугольник 10">
          <a:extLst>
            <a:ext uri="{FF2B5EF4-FFF2-40B4-BE49-F238E27FC236}">
              <a16:creationId xmlns:a16="http://schemas.microsoft.com/office/drawing/2014/main" id="{05C901CD-0FD9-4693-8D66-268CD2747D0A}"/>
            </a:ext>
          </a:extLst>
        </xdr:cNvPr>
        <xdr:cNvSpPr/>
      </xdr:nvSpPr>
      <xdr:spPr>
        <a:xfrm>
          <a:off x="12506325" y="2887980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 №9</a:t>
          </a:r>
          <a:r>
            <a:rPr lang="ru-RU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"Горизонталь"</a:t>
          </a:r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15</xdr:col>
      <xdr:colOff>0</xdr:colOff>
      <xdr:row>135</xdr:row>
      <xdr:rowOff>0</xdr:rowOff>
    </xdr:from>
    <xdr:ext cx="6080311" cy="349752"/>
    <xdr:sp macro="" textlink="">
      <xdr:nvSpPr>
        <xdr:cNvPr id="12" name="Прямоугольник 11">
          <a:extLst>
            <a:ext uri="{FF2B5EF4-FFF2-40B4-BE49-F238E27FC236}">
              <a16:creationId xmlns:a16="http://schemas.microsoft.com/office/drawing/2014/main" id="{40CF6011-79B7-4F95-B29E-5E0AFECE86B4}"/>
            </a:ext>
          </a:extLst>
        </xdr:cNvPr>
        <xdr:cNvSpPr/>
      </xdr:nvSpPr>
      <xdr:spPr>
        <a:xfrm>
          <a:off x="12506325" y="2240280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 №7</a:t>
          </a:r>
          <a:r>
            <a:rPr lang="ru-RU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"Соты"</a:t>
          </a:r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twoCellAnchor editAs="oneCell">
    <xdr:from>
      <xdr:col>0</xdr:col>
      <xdr:colOff>151040</xdr:colOff>
      <xdr:row>145</xdr:row>
      <xdr:rowOff>186418</xdr:rowOff>
    </xdr:from>
    <xdr:to>
      <xdr:col>2</xdr:col>
      <xdr:colOff>2208027</xdr:colOff>
      <xdr:row>161</xdr:row>
      <xdr:rowOff>18418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18D84237-304C-4BAE-A2E9-CB5D99CEC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1040" y="24494218"/>
          <a:ext cx="4924012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2265589</xdr:colOff>
      <xdr:row>145</xdr:row>
      <xdr:rowOff>114300</xdr:rowOff>
    </xdr:from>
    <xdr:to>
      <xdr:col>13</xdr:col>
      <xdr:colOff>422261</xdr:colOff>
      <xdr:row>160</xdr:row>
      <xdr:rowOff>136800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B7517DC9-63B1-469C-BDB0-2EB8167B0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32614" y="24422100"/>
          <a:ext cx="6576772" cy="2880000"/>
        </a:xfrm>
        <a:prstGeom prst="rect">
          <a:avLst/>
        </a:prstGeom>
      </xdr:spPr>
    </xdr:pic>
    <xdr:clientData/>
  </xdr:twoCellAnchor>
  <xdr:oneCellAnchor>
    <xdr:from>
      <xdr:col>15</xdr:col>
      <xdr:colOff>0</xdr:colOff>
      <xdr:row>152</xdr:row>
      <xdr:rowOff>0</xdr:rowOff>
    </xdr:from>
    <xdr:ext cx="6080311" cy="349752"/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AC724507-426B-4F63-81DD-E3C9222F8596}"/>
            </a:ext>
          </a:extLst>
        </xdr:cNvPr>
        <xdr:cNvSpPr/>
      </xdr:nvSpPr>
      <xdr:spPr>
        <a:xfrm>
          <a:off x="12506325" y="2564130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 №8</a:t>
          </a:r>
          <a:r>
            <a:rPr lang="ru-RU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"Квадраты"</a:t>
          </a:r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0</xdr:col>
      <xdr:colOff>178493</xdr:colOff>
      <xdr:row>38</xdr:row>
      <xdr:rowOff>228118</xdr:rowOff>
    </xdr:from>
    <xdr:ext cx="4925786" cy="2880000"/>
    <xdr:pic>
      <xdr:nvPicPr>
        <xdr:cNvPr id="16" name="Рисунок 15">
          <a:extLst>
            <a:ext uri="{FF2B5EF4-FFF2-40B4-BE49-F238E27FC236}">
              <a16:creationId xmlns:a16="http://schemas.microsoft.com/office/drawing/2014/main" id="{C133A4EF-66F9-44E2-BE40-4516EC6ACF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387" r="1600"/>
        <a:stretch/>
      </xdr:blipFill>
      <xdr:spPr>
        <a:xfrm>
          <a:off x="178493" y="8072236"/>
          <a:ext cx="4925786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3</xdr:col>
      <xdr:colOff>19049</xdr:colOff>
      <xdr:row>38</xdr:row>
      <xdr:rowOff>252933</xdr:rowOff>
    </xdr:from>
    <xdr:ext cx="6600825" cy="2880000"/>
    <xdr:pic>
      <xdr:nvPicPr>
        <xdr:cNvPr id="17" name="Рисунок 16">
          <a:extLst>
            <a:ext uri="{FF2B5EF4-FFF2-40B4-BE49-F238E27FC236}">
              <a16:creationId xmlns:a16="http://schemas.microsoft.com/office/drawing/2014/main" id="{2A18096B-8AAB-4735-9F3A-9A17910122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347" r="764"/>
        <a:stretch/>
      </xdr:blipFill>
      <xdr:spPr>
        <a:xfrm>
          <a:off x="5196167" y="8097051"/>
          <a:ext cx="6600825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15</xdr:col>
      <xdr:colOff>0</xdr:colOff>
      <xdr:row>43</xdr:row>
      <xdr:rowOff>0</xdr:rowOff>
    </xdr:from>
    <xdr:ext cx="6080311" cy="349752"/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58E7DD56-E0F1-4C37-9542-A3E61E122691}"/>
            </a:ext>
          </a:extLst>
        </xdr:cNvPr>
        <xdr:cNvSpPr/>
      </xdr:nvSpPr>
      <xdr:spPr>
        <a:xfrm>
          <a:off x="12506325" y="487680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 №1</a:t>
          </a:r>
          <a:r>
            <a:rPr lang="ru-RU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"Вертикаль 1"</a:t>
          </a:r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0</xdr:col>
      <xdr:colOff>95250</xdr:colOff>
      <xdr:row>52</xdr:row>
      <xdr:rowOff>54427</xdr:rowOff>
    </xdr:from>
    <xdr:ext cx="4966607" cy="2880000"/>
    <xdr:pic>
      <xdr:nvPicPr>
        <xdr:cNvPr id="19" name="Рисунок 18">
          <a:extLst>
            <a:ext uri="{FF2B5EF4-FFF2-40B4-BE49-F238E27FC236}">
              <a16:creationId xmlns:a16="http://schemas.microsoft.com/office/drawing/2014/main" id="{996CDB29-C6AE-4895-8852-3E95D1D3D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r="1693"/>
        <a:stretch/>
      </xdr:blipFill>
      <xdr:spPr>
        <a:xfrm>
          <a:off x="95250" y="6645727"/>
          <a:ext cx="4966607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3</xdr:col>
      <xdr:colOff>0</xdr:colOff>
      <xdr:row>52</xdr:row>
      <xdr:rowOff>40820</xdr:rowOff>
    </xdr:from>
    <xdr:ext cx="6619702" cy="2880000"/>
    <xdr:pic>
      <xdr:nvPicPr>
        <xdr:cNvPr id="20" name="Рисунок 19">
          <a:extLst>
            <a:ext uri="{FF2B5EF4-FFF2-40B4-BE49-F238E27FC236}">
              <a16:creationId xmlns:a16="http://schemas.microsoft.com/office/drawing/2014/main" id="{C01BDC26-5D98-4174-9ECB-777E478DA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191125" y="6632120"/>
          <a:ext cx="6619702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15</xdr:col>
      <xdr:colOff>0</xdr:colOff>
      <xdr:row>59</xdr:row>
      <xdr:rowOff>0</xdr:rowOff>
    </xdr:from>
    <xdr:ext cx="6080311" cy="349752"/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06029C7E-F87D-4334-B65A-40A8BE194A53}"/>
            </a:ext>
          </a:extLst>
        </xdr:cNvPr>
        <xdr:cNvSpPr/>
      </xdr:nvSpPr>
      <xdr:spPr>
        <a:xfrm>
          <a:off x="12506325" y="792480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 №2</a:t>
          </a:r>
          <a:r>
            <a:rPr lang="ru-RU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"Вертикаль 2"</a:t>
          </a:r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0</xdr:col>
      <xdr:colOff>163286</xdr:colOff>
      <xdr:row>67</xdr:row>
      <xdr:rowOff>163285</xdr:rowOff>
    </xdr:from>
    <xdr:ext cx="4921518" cy="2880000"/>
    <xdr:pic>
      <xdr:nvPicPr>
        <xdr:cNvPr id="22" name="Рисунок 21">
          <a:extLst>
            <a:ext uri="{FF2B5EF4-FFF2-40B4-BE49-F238E27FC236}">
              <a16:creationId xmlns:a16="http://schemas.microsoft.com/office/drawing/2014/main" id="{E62E55D7-1BA0-4C7B-BD97-055CD1B7D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3286" y="9612085"/>
          <a:ext cx="4921518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3</xdr:col>
      <xdr:colOff>0</xdr:colOff>
      <xdr:row>67</xdr:row>
      <xdr:rowOff>136070</xdr:rowOff>
    </xdr:from>
    <xdr:ext cx="6613071" cy="2880000"/>
    <xdr:pic>
      <xdr:nvPicPr>
        <xdr:cNvPr id="23" name="Рисунок 22">
          <a:extLst>
            <a:ext uri="{FF2B5EF4-FFF2-40B4-BE49-F238E27FC236}">
              <a16:creationId xmlns:a16="http://schemas.microsoft.com/office/drawing/2014/main" id="{EFD7A6E8-4790-45B6-BEBF-9C41D150B3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1971" t="3216" r="2275" b="4446"/>
        <a:stretch/>
      </xdr:blipFill>
      <xdr:spPr>
        <a:xfrm>
          <a:off x="5191125" y="9584870"/>
          <a:ext cx="6613071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0</xdr:col>
      <xdr:colOff>123826</xdr:colOff>
      <xdr:row>83</xdr:row>
      <xdr:rowOff>62591</xdr:rowOff>
    </xdr:from>
    <xdr:ext cx="4953000" cy="2880000"/>
    <xdr:pic>
      <xdr:nvPicPr>
        <xdr:cNvPr id="24" name="Рисунок 23">
          <a:extLst>
            <a:ext uri="{FF2B5EF4-FFF2-40B4-BE49-F238E27FC236}">
              <a16:creationId xmlns:a16="http://schemas.microsoft.com/office/drawing/2014/main" id="{9CF6144D-F55D-40C3-923C-DDCA04FA88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1580" r="902"/>
        <a:stretch/>
      </xdr:blipFill>
      <xdr:spPr>
        <a:xfrm>
          <a:off x="123826" y="12559391"/>
          <a:ext cx="4953000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3</xdr:col>
      <xdr:colOff>27214</xdr:colOff>
      <xdr:row>83</xdr:row>
      <xdr:rowOff>68036</xdr:rowOff>
    </xdr:from>
    <xdr:ext cx="6755335" cy="2880000"/>
    <xdr:pic>
      <xdr:nvPicPr>
        <xdr:cNvPr id="25" name="Рисунок 24">
          <a:extLst>
            <a:ext uri="{FF2B5EF4-FFF2-40B4-BE49-F238E27FC236}">
              <a16:creationId xmlns:a16="http://schemas.microsoft.com/office/drawing/2014/main" id="{A8C94460-D364-4778-A661-C42C52B161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-1" r="-2721"/>
        <a:stretch/>
      </xdr:blipFill>
      <xdr:spPr>
        <a:xfrm>
          <a:off x="5218339" y="12564836"/>
          <a:ext cx="6755335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15</xdr:col>
      <xdr:colOff>0</xdr:colOff>
      <xdr:row>74</xdr:row>
      <xdr:rowOff>0</xdr:rowOff>
    </xdr:from>
    <xdr:ext cx="6080311" cy="349752"/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id="{666CB7B2-DBCE-4F14-90C9-B8021B8C3754}"/>
            </a:ext>
          </a:extLst>
        </xdr:cNvPr>
        <xdr:cNvSpPr/>
      </xdr:nvSpPr>
      <xdr:spPr>
        <a:xfrm>
          <a:off x="12506325" y="1078230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 №3</a:t>
          </a:r>
          <a:r>
            <a:rPr lang="ru-RU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"Вертикаль 3"</a:t>
          </a:r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15</xdr:col>
      <xdr:colOff>0</xdr:colOff>
      <xdr:row>89</xdr:row>
      <xdr:rowOff>0</xdr:rowOff>
    </xdr:from>
    <xdr:ext cx="6080311" cy="349752"/>
    <xdr:sp macro="" textlink="">
      <xdr:nvSpPr>
        <xdr:cNvPr id="27" name="Прямоугольник 26">
          <a:extLst>
            <a:ext uri="{FF2B5EF4-FFF2-40B4-BE49-F238E27FC236}">
              <a16:creationId xmlns:a16="http://schemas.microsoft.com/office/drawing/2014/main" id="{30C994DB-5AF7-4976-9217-BB7147E8838C}"/>
            </a:ext>
          </a:extLst>
        </xdr:cNvPr>
        <xdr:cNvSpPr/>
      </xdr:nvSpPr>
      <xdr:spPr>
        <a:xfrm>
          <a:off x="12506325" y="1363980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 №4</a:t>
          </a:r>
          <a:r>
            <a:rPr lang="ru-RU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"Решетка"</a:t>
          </a:r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15</xdr:col>
      <xdr:colOff>0</xdr:colOff>
      <xdr:row>106</xdr:row>
      <xdr:rowOff>0</xdr:rowOff>
    </xdr:from>
    <xdr:ext cx="6080311" cy="349752"/>
    <xdr:sp macro="" textlink="">
      <xdr:nvSpPr>
        <xdr:cNvPr id="30" name="Прямоугольник 29">
          <a:extLst>
            <a:ext uri="{FF2B5EF4-FFF2-40B4-BE49-F238E27FC236}">
              <a16:creationId xmlns:a16="http://schemas.microsoft.com/office/drawing/2014/main" id="{2766EA5B-AC82-4090-8045-C2024C9BCF79}"/>
            </a:ext>
          </a:extLst>
        </xdr:cNvPr>
        <xdr:cNvSpPr/>
      </xdr:nvSpPr>
      <xdr:spPr>
        <a:xfrm>
          <a:off x="12506325" y="1687830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 №5</a:t>
          </a:r>
          <a:r>
            <a:rPr lang="ru-RU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"Круги"</a:t>
          </a:r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0</xdr:col>
      <xdr:colOff>206829</xdr:colOff>
      <xdr:row>177</xdr:row>
      <xdr:rowOff>17689</xdr:rowOff>
    </xdr:from>
    <xdr:ext cx="4871357" cy="2880000"/>
    <xdr:pic>
      <xdr:nvPicPr>
        <xdr:cNvPr id="31" name="Рисунок 30">
          <a:extLst>
            <a:ext uri="{FF2B5EF4-FFF2-40B4-BE49-F238E27FC236}">
              <a16:creationId xmlns:a16="http://schemas.microsoft.com/office/drawing/2014/main" id="{C2F9C434-F7F9-4BB2-9EA6-52F4A19914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t="3541" r="4392"/>
        <a:stretch/>
      </xdr:blipFill>
      <xdr:spPr>
        <a:xfrm>
          <a:off x="206829" y="30421489"/>
          <a:ext cx="4871357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3</xdr:col>
      <xdr:colOff>0</xdr:colOff>
      <xdr:row>177</xdr:row>
      <xdr:rowOff>40822</xdr:rowOff>
    </xdr:from>
    <xdr:ext cx="6504215" cy="2880000"/>
    <xdr:pic>
      <xdr:nvPicPr>
        <xdr:cNvPr id="32" name="Рисунок 31">
          <a:extLst>
            <a:ext uri="{FF2B5EF4-FFF2-40B4-BE49-F238E27FC236}">
              <a16:creationId xmlns:a16="http://schemas.microsoft.com/office/drawing/2014/main" id="{2A18E3C8-6B2F-43F7-8069-352B65EB16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1012" t="3780" r="2182" b="2670"/>
        <a:stretch/>
      </xdr:blipFill>
      <xdr:spPr>
        <a:xfrm>
          <a:off x="5191125" y="30444622"/>
          <a:ext cx="6504215" cy="2880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14</xdr:col>
      <xdr:colOff>435427</xdr:colOff>
      <xdr:row>182</xdr:row>
      <xdr:rowOff>122465</xdr:rowOff>
    </xdr:from>
    <xdr:ext cx="6080311" cy="349752"/>
    <xdr:sp macro="" textlink="">
      <xdr:nvSpPr>
        <xdr:cNvPr id="33" name="Прямоугольник 32">
          <a:extLst>
            <a:ext uri="{FF2B5EF4-FFF2-40B4-BE49-F238E27FC236}">
              <a16:creationId xmlns:a16="http://schemas.microsoft.com/office/drawing/2014/main" id="{0B3F03D6-3552-4F69-8275-ED04162ED2BC}"/>
            </a:ext>
          </a:extLst>
        </xdr:cNvPr>
        <xdr:cNvSpPr/>
      </xdr:nvSpPr>
      <xdr:spPr>
        <a:xfrm>
          <a:off x="12332152" y="31478765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 №10</a:t>
          </a:r>
          <a:r>
            <a:rPr lang="ru-RU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"Треугольники"</a:t>
          </a:r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twoCellAnchor editAs="oneCell">
    <xdr:from>
      <xdr:col>0</xdr:col>
      <xdr:colOff>78441</xdr:colOff>
      <xdr:row>193</xdr:row>
      <xdr:rowOff>0</xdr:rowOff>
    </xdr:from>
    <xdr:to>
      <xdr:col>2</xdr:col>
      <xdr:colOff>2229829</xdr:colOff>
      <xdr:row>208</xdr:row>
      <xdr:rowOff>22500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C616F730-B97C-4128-8825-3FCC447DD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8441" y="33642300"/>
          <a:ext cx="5018413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2308413</xdr:colOff>
      <xdr:row>192</xdr:row>
      <xdr:rowOff>145677</xdr:rowOff>
    </xdr:from>
    <xdr:to>
      <xdr:col>13</xdr:col>
      <xdr:colOff>540384</xdr:colOff>
      <xdr:row>207</xdr:row>
      <xdr:rowOff>168177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2F5F4DFD-5336-4FC6-874A-C716C64BE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175438" y="33597477"/>
          <a:ext cx="6652071" cy="2880000"/>
        </a:xfrm>
        <a:prstGeom prst="rect">
          <a:avLst/>
        </a:prstGeom>
      </xdr:spPr>
    </xdr:pic>
    <xdr:clientData/>
  </xdr:twoCellAnchor>
  <xdr:oneCellAnchor>
    <xdr:from>
      <xdr:col>15</xdr:col>
      <xdr:colOff>0</xdr:colOff>
      <xdr:row>198</xdr:row>
      <xdr:rowOff>0</xdr:rowOff>
    </xdr:from>
    <xdr:ext cx="6080311" cy="349752"/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id="{FEF15A51-D369-4564-83E0-9370F08DA668}"/>
            </a:ext>
          </a:extLst>
        </xdr:cNvPr>
        <xdr:cNvSpPr/>
      </xdr:nvSpPr>
      <xdr:spPr>
        <a:xfrm>
          <a:off x="12506325" y="3459480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 "Без узора"</a:t>
          </a: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</xdr:col>
      <xdr:colOff>878061</xdr:colOff>
      <xdr:row>224</xdr:row>
      <xdr:rowOff>112059</xdr:rowOff>
    </xdr:from>
    <xdr:ext cx="7631206" cy="369794"/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id="{BFA5DB70-7633-4659-B06E-C56D36209E32}"/>
            </a:ext>
          </a:extLst>
        </xdr:cNvPr>
        <xdr:cNvSpPr/>
      </xdr:nvSpPr>
      <xdr:spPr>
        <a:xfrm>
          <a:off x="1490382" y="43886238"/>
          <a:ext cx="7631206" cy="36979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Исполнения узоров  крышек перфорированных</a:t>
          </a:r>
        </a:p>
      </xdr:txBody>
    </xdr:sp>
    <xdr:clientData/>
  </xdr:oneCellAnchor>
  <xdr:twoCellAnchor editAs="oneCell">
    <xdr:from>
      <xdr:col>0</xdr:col>
      <xdr:colOff>224119</xdr:colOff>
      <xdr:row>243</xdr:row>
      <xdr:rowOff>168088</xdr:rowOff>
    </xdr:from>
    <xdr:to>
      <xdr:col>3</xdr:col>
      <xdr:colOff>271616</xdr:colOff>
      <xdr:row>259</xdr:row>
      <xdr:rowOff>88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43F9C69F-5BFD-4B4E-9457-53B89ED0C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24119" y="40287388"/>
          <a:ext cx="5238622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228</xdr:row>
      <xdr:rowOff>22411</xdr:rowOff>
    </xdr:from>
    <xdr:to>
      <xdr:col>3</xdr:col>
      <xdr:colOff>308054</xdr:colOff>
      <xdr:row>243</xdr:row>
      <xdr:rowOff>44911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C586281B-F0BD-4ADB-80AF-E1EFEE215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90500" y="37284211"/>
          <a:ext cx="5308679" cy="2880000"/>
        </a:xfrm>
        <a:prstGeom prst="rect">
          <a:avLst/>
        </a:prstGeom>
      </xdr:spPr>
    </xdr:pic>
    <xdr:clientData/>
  </xdr:twoCellAnchor>
  <xdr:oneCellAnchor>
    <xdr:from>
      <xdr:col>4</xdr:col>
      <xdr:colOff>515470</xdr:colOff>
      <xdr:row>233</xdr:row>
      <xdr:rowOff>89647</xdr:rowOff>
    </xdr:from>
    <xdr:ext cx="6080311" cy="349752"/>
    <xdr:sp macro="" textlink="">
      <xdr:nvSpPr>
        <xdr:cNvPr id="40" name="Прямоугольник 39">
          <a:extLst>
            <a:ext uri="{FF2B5EF4-FFF2-40B4-BE49-F238E27FC236}">
              <a16:creationId xmlns:a16="http://schemas.microsoft.com/office/drawing/2014/main" id="{70E39BF1-7F7F-4480-880E-D7C6E9C5C1EF}"/>
            </a:ext>
          </a:extLst>
        </xdr:cNvPr>
        <xdr:cNvSpPr/>
      </xdr:nvSpPr>
      <xdr:spPr>
        <a:xfrm>
          <a:off x="6316195" y="38303947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Прямое исполнение</a:t>
          </a:r>
        </a:p>
      </xdr:txBody>
    </xdr:sp>
    <xdr:clientData/>
  </xdr:oneCellAnchor>
  <xdr:oneCellAnchor>
    <xdr:from>
      <xdr:col>4</xdr:col>
      <xdr:colOff>593912</xdr:colOff>
      <xdr:row>250</xdr:row>
      <xdr:rowOff>0</xdr:rowOff>
    </xdr:from>
    <xdr:ext cx="6080311" cy="349752"/>
    <xdr:sp macro="" textlink="">
      <xdr:nvSpPr>
        <xdr:cNvPr id="41" name="Прямоугольник 40">
          <a:extLst>
            <a:ext uri="{FF2B5EF4-FFF2-40B4-BE49-F238E27FC236}">
              <a16:creationId xmlns:a16="http://schemas.microsoft.com/office/drawing/2014/main" id="{EDD047E5-3D70-413F-BD09-CDD5C6244D01}"/>
            </a:ext>
          </a:extLst>
        </xdr:cNvPr>
        <xdr:cNvSpPr/>
      </xdr:nvSpPr>
      <xdr:spPr>
        <a:xfrm>
          <a:off x="6394637" y="4145280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Угловое исполнение короткое</a:t>
          </a:r>
        </a:p>
      </xdr:txBody>
    </xdr:sp>
    <xdr:clientData/>
  </xdr:oneCellAnchor>
  <xdr:twoCellAnchor editAs="oneCell">
    <xdr:from>
      <xdr:col>0</xdr:col>
      <xdr:colOff>212912</xdr:colOff>
      <xdr:row>259</xdr:row>
      <xdr:rowOff>123265</xdr:rowOff>
    </xdr:from>
    <xdr:to>
      <xdr:col>3</xdr:col>
      <xdr:colOff>253096</xdr:colOff>
      <xdr:row>274</xdr:row>
      <xdr:rowOff>145765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D77B5F-DEE6-4F94-901F-EDB4FC7B9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12912" y="43290565"/>
          <a:ext cx="5231309" cy="2880000"/>
        </a:xfrm>
        <a:prstGeom prst="rect">
          <a:avLst/>
        </a:prstGeom>
      </xdr:spPr>
    </xdr:pic>
    <xdr:clientData/>
  </xdr:twoCellAnchor>
  <xdr:oneCellAnchor>
    <xdr:from>
      <xdr:col>5</xdr:col>
      <xdr:colOff>11206</xdr:colOff>
      <xdr:row>264</xdr:row>
      <xdr:rowOff>179294</xdr:rowOff>
    </xdr:from>
    <xdr:ext cx="6080311" cy="349752"/>
    <xdr:sp macro="" textlink="">
      <xdr:nvSpPr>
        <xdr:cNvPr id="43" name="Прямоугольник 42">
          <a:extLst>
            <a:ext uri="{FF2B5EF4-FFF2-40B4-BE49-F238E27FC236}">
              <a16:creationId xmlns:a16="http://schemas.microsoft.com/office/drawing/2014/main" id="{294A953A-B075-4F86-BC30-F1D30E42C974}"/>
            </a:ext>
          </a:extLst>
        </xdr:cNvPr>
        <xdr:cNvSpPr/>
      </xdr:nvSpPr>
      <xdr:spPr>
        <a:xfrm>
          <a:off x="6421531" y="44299094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Угловое исполнение длинное </a:t>
          </a:r>
        </a:p>
      </xdr:txBody>
    </xdr:sp>
    <xdr:clientData/>
  </xdr:oneCellAnchor>
  <xdr:twoCellAnchor editAs="oneCell">
    <xdr:from>
      <xdr:col>0</xdr:col>
      <xdr:colOff>224118</xdr:colOff>
      <xdr:row>275</xdr:row>
      <xdr:rowOff>22412</xdr:rowOff>
    </xdr:from>
    <xdr:to>
      <xdr:col>3</xdr:col>
      <xdr:colOff>223551</xdr:colOff>
      <xdr:row>290</xdr:row>
      <xdr:rowOff>44912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C2970EE6-2233-4EDE-B0FB-49111173F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24118" y="46237712"/>
          <a:ext cx="5190558" cy="2880000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281</xdr:row>
      <xdr:rowOff>0</xdr:rowOff>
    </xdr:from>
    <xdr:ext cx="6080311" cy="349752"/>
    <xdr:sp macro="" textlink="">
      <xdr:nvSpPr>
        <xdr:cNvPr id="45" name="Прямоугольник 44">
          <a:extLst>
            <a:ext uri="{FF2B5EF4-FFF2-40B4-BE49-F238E27FC236}">
              <a16:creationId xmlns:a16="http://schemas.microsoft.com/office/drawing/2014/main" id="{1589DDE4-5733-4071-9E3A-3082830DCD91}"/>
            </a:ext>
          </a:extLst>
        </xdr:cNvPr>
        <xdr:cNvSpPr/>
      </xdr:nvSpPr>
      <xdr:spPr>
        <a:xfrm>
          <a:off x="6410325" y="4735830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Прямое исполнение под колонну</a:t>
          </a:r>
        </a:p>
      </xdr:txBody>
    </xdr:sp>
    <xdr:clientData/>
  </xdr:oneCellAnchor>
  <xdr:twoCellAnchor editAs="oneCell">
    <xdr:from>
      <xdr:col>0</xdr:col>
      <xdr:colOff>291353</xdr:colOff>
      <xdr:row>291</xdr:row>
      <xdr:rowOff>22412</xdr:rowOff>
    </xdr:from>
    <xdr:to>
      <xdr:col>3</xdr:col>
      <xdr:colOff>232865</xdr:colOff>
      <xdr:row>306</xdr:row>
      <xdr:rowOff>44912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27275986-976A-46AF-9202-951F2738C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91353" y="49285712"/>
          <a:ext cx="5132637" cy="2880000"/>
        </a:xfrm>
        <a:prstGeom prst="rect">
          <a:avLst/>
        </a:prstGeom>
      </xdr:spPr>
    </xdr:pic>
    <xdr:clientData/>
  </xdr:twoCellAnchor>
  <xdr:oneCellAnchor>
    <xdr:from>
      <xdr:col>4</xdr:col>
      <xdr:colOff>582706</xdr:colOff>
      <xdr:row>296</xdr:row>
      <xdr:rowOff>168088</xdr:rowOff>
    </xdr:from>
    <xdr:ext cx="6080311" cy="349752"/>
    <xdr:sp macro="" textlink="">
      <xdr:nvSpPr>
        <xdr:cNvPr id="47" name="Прямоугольник 46">
          <a:extLst>
            <a:ext uri="{FF2B5EF4-FFF2-40B4-BE49-F238E27FC236}">
              <a16:creationId xmlns:a16="http://schemas.microsoft.com/office/drawing/2014/main" id="{EB227791-BC6C-4941-A011-88D09E3214A7}"/>
            </a:ext>
          </a:extLst>
        </xdr:cNvPr>
        <xdr:cNvSpPr/>
      </xdr:nvSpPr>
      <xdr:spPr>
        <a:xfrm>
          <a:off x="6383431" y="50383888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Угловое исполнение под колонну</a:t>
          </a:r>
        </a:p>
      </xdr:txBody>
    </xdr:sp>
    <xdr:clientData/>
  </xdr:oneCellAnchor>
  <xdr:twoCellAnchor editAs="oneCell">
    <xdr:from>
      <xdr:col>7</xdr:col>
      <xdr:colOff>235325</xdr:colOff>
      <xdr:row>13</xdr:row>
      <xdr:rowOff>100856</xdr:rowOff>
    </xdr:from>
    <xdr:to>
      <xdr:col>15</xdr:col>
      <xdr:colOff>453938</xdr:colOff>
      <xdr:row>33</xdr:row>
      <xdr:rowOff>28017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8FD02460-519D-4C00-B009-2F228CE70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913" y="2644591"/>
          <a:ext cx="5059554" cy="4868955"/>
        </a:xfrm>
        <a:prstGeom prst="rect">
          <a:avLst/>
        </a:prstGeom>
      </xdr:spPr>
    </xdr:pic>
    <xdr:clientData/>
  </xdr:twoCellAnchor>
  <xdr:twoCellAnchor editAs="oneCell">
    <xdr:from>
      <xdr:col>0</xdr:col>
      <xdr:colOff>108136</xdr:colOff>
      <xdr:row>208</xdr:row>
      <xdr:rowOff>55469</xdr:rowOff>
    </xdr:from>
    <xdr:to>
      <xdr:col>2</xdr:col>
      <xdr:colOff>2298886</xdr:colOff>
      <xdr:row>223</xdr:row>
      <xdr:rowOff>112619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773CD1D8-DC97-492E-B734-BE06B767AF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t="2791" b="2262"/>
        <a:stretch/>
      </xdr:blipFill>
      <xdr:spPr>
        <a:xfrm>
          <a:off x="108136" y="41461204"/>
          <a:ext cx="5048250" cy="291465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213</xdr:row>
      <xdr:rowOff>19050</xdr:rowOff>
    </xdr:from>
    <xdr:to>
      <xdr:col>13</xdr:col>
      <xdr:colOff>450675</xdr:colOff>
      <xdr:row>219</xdr:row>
      <xdr:rowOff>106368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91FFC035-A849-44B8-BDA0-4F0257264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257800" y="40890825"/>
          <a:ext cx="6480000" cy="1230318"/>
        </a:xfrm>
        <a:prstGeom prst="rect">
          <a:avLst/>
        </a:prstGeom>
      </xdr:spPr>
    </xdr:pic>
    <xdr:clientData/>
  </xdr:twoCellAnchor>
  <xdr:oneCellAnchor>
    <xdr:from>
      <xdr:col>14</xdr:col>
      <xdr:colOff>552450</xdr:colOff>
      <xdr:row>214</xdr:row>
      <xdr:rowOff>142875</xdr:rowOff>
    </xdr:from>
    <xdr:ext cx="6080311" cy="349752"/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id="{BD594C35-11DD-4B93-AA88-9960C3044744}"/>
            </a:ext>
          </a:extLst>
        </xdr:cNvPr>
        <xdr:cNvSpPr/>
      </xdr:nvSpPr>
      <xdr:spPr>
        <a:xfrm>
          <a:off x="12449175" y="41205150"/>
          <a:ext cx="6080311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 "По эскизу клиента"</a:t>
          </a: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twoCellAnchor editAs="oneCell">
    <xdr:from>
      <xdr:col>0</xdr:col>
      <xdr:colOff>123825</xdr:colOff>
      <xdr:row>98</xdr:row>
      <xdr:rowOff>171450</xdr:rowOff>
    </xdr:from>
    <xdr:to>
      <xdr:col>2</xdr:col>
      <xdr:colOff>2200275</xdr:colOff>
      <xdr:row>114</xdr:row>
      <xdr:rowOff>3450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56460D87-A46A-476D-AD27-C480A2E31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3825" y="19926300"/>
          <a:ext cx="4943475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2190751</xdr:colOff>
      <xdr:row>98</xdr:row>
      <xdr:rowOff>180975</xdr:rowOff>
    </xdr:from>
    <xdr:to>
      <xdr:col>13</xdr:col>
      <xdr:colOff>487924</xdr:colOff>
      <xdr:row>114</xdr:row>
      <xdr:rowOff>12975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2DF09A30-37B7-45D7-A79E-3B52EAA01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057776" y="19935825"/>
          <a:ext cx="6717273" cy="2880000"/>
        </a:xfrm>
        <a:prstGeom prst="rect">
          <a:avLst/>
        </a:prstGeom>
      </xdr:spPr>
    </xdr:pic>
    <xdr:clientData/>
  </xdr:twoCellAnchor>
  <xdr:oneCellAnchor>
    <xdr:from>
      <xdr:col>1</xdr:col>
      <xdr:colOff>1669676</xdr:colOff>
      <xdr:row>36</xdr:row>
      <xdr:rowOff>134470</xdr:rowOff>
    </xdr:from>
    <xdr:ext cx="6824382" cy="349752"/>
    <xdr:sp macro="" textlink="">
      <xdr:nvSpPr>
        <xdr:cNvPr id="55" name="Прямоугольник 54">
          <a:extLst>
            <a:ext uri="{FF2B5EF4-FFF2-40B4-BE49-F238E27FC236}">
              <a16:creationId xmlns:a16="http://schemas.microsoft.com/office/drawing/2014/main" id="{F9BD7235-BED8-450E-9580-0A247F0AD3A9}"/>
            </a:ext>
          </a:extLst>
        </xdr:cNvPr>
        <xdr:cNvSpPr/>
      </xdr:nvSpPr>
      <xdr:spPr>
        <a:xfrm>
          <a:off x="2274794" y="8225117"/>
          <a:ext cx="6824382" cy="34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Узоры крышек перфорированных</a:t>
          </a:r>
        </a:p>
        <a:p>
          <a:pPr algn="l"/>
          <a:endParaRPr lang="ru-RU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457199</xdr:colOff>
      <xdr:row>7</xdr:row>
      <xdr:rowOff>304799</xdr:rowOff>
    </xdr:from>
    <xdr:to>
      <xdr:col>5</xdr:col>
      <xdr:colOff>2190750</xdr:colOff>
      <xdr:row>7</xdr:row>
      <xdr:rowOff>1202270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39449" y="1866899"/>
          <a:ext cx="1733551" cy="897471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7</xdr:row>
      <xdr:rowOff>1047751</xdr:rowOff>
    </xdr:from>
    <xdr:to>
      <xdr:col>4</xdr:col>
      <xdr:colOff>2665281</xdr:colOff>
      <xdr:row>7</xdr:row>
      <xdr:rowOff>1508628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7500" y="2609851"/>
          <a:ext cx="2570031" cy="460877"/>
        </a:xfrm>
        <a:prstGeom prst="rect">
          <a:avLst/>
        </a:prstGeom>
      </xdr:spPr>
    </xdr:pic>
    <xdr:clientData/>
  </xdr:twoCellAnchor>
  <xdr:twoCellAnchor editAs="oneCell">
    <xdr:from>
      <xdr:col>3</xdr:col>
      <xdr:colOff>866775</xdr:colOff>
      <xdr:row>7</xdr:row>
      <xdr:rowOff>28575</xdr:rowOff>
    </xdr:from>
    <xdr:to>
      <xdr:col>3</xdr:col>
      <xdr:colOff>1762125</xdr:colOff>
      <xdr:row>7</xdr:row>
      <xdr:rowOff>923925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19775" y="1590675"/>
          <a:ext cx="895350" cy="895350"/>
        </a:xfrm>
        <a:prstGeom prst="rect">
          <a:avLst/>
        </a:prstGeom>
      </xdr:spPr>
    </xdr:pic>
    <xdr:clientData/>
  </xdr:twoCellAnchor>
  <xdr:twoCellAnchor editAs="oneCell">
    <xdr:from>
      <xdr:col>2</xdr:col>
      <xdr:colOff>859216</xdr:colOff>
      <xdr:row>7</xdr:row>
      <xdr:rowOff>619126</xdr:rowOff>
    </xdr:from>
    <xdr:to>
      <xdr:col>2</xdr:col>
      <xdr:colOff>1772884</xdr:colOff>
      <xdr:row>7</xdr:row>
      <xdr:rowOff>1095375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7591" y="1971676"/>
          <a:ext cx="913668" cy="476249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7</xdr:row>
      <xdr:rowOff>1019176</xdr:rowOff>
    </xdr:from>
    <xdr:to>
      <xdr:col>3</xdr:col>
      <xdr:colOff>2197796</xdr:colOff>
      <xdr:row>7</xdr:row>
      <xdr:rowOff>1494116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00675" y="2581276"/>
          <a:ext cx="1750121" cy="474940"/>
        </a:xfrm>
        <a:prstGeom prst="rect">
          <a:avLst/>
        </a:prstGeom>
      </xdr:spPr>
    </xdr:pic>
    <xdr:clientData/>
  </xdr:twoCellAnchor>
  <xdr:twoCellAnchor editAs="oneCell">
    <xdr:from>
      <xdr:col>4</xdr:col>
      <xdr:colOff>685801</xdr:colOff>
      <xdr:row>7</xdr:row>
      <xdr:rowOff>85725</xdr:rowOff>
    </xdr:from>
    <xdr:to>
      <xdr:col>4</xdr:col>
      <xdr:colOff>2019301</xdr:colOff>
      <xdr:row>7</xdr:row>
      <xdr:rowOff>980878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1" y="1647825"/>
          <a:ext cx="1333500" cy="895153"/>
        </a:xfrm>
        <a:prstGeom prst="rect">
          <a:avLst/>
        </a:prstGeom>
      </xdr:spPr>
    </xdr:pic>
    <xdr:clientData/>
  </xdr:twoCellAnchor>
  <xdr:oneCellAnchor>
    <xdr:from>
      <xdr:col>2</xdr:col>
      <xdr:colOff>836804</xdr:colOff>
      <xdr:row>130</xdr:row>
      <xdr:rowOff>545727</xdr:rowOff>
    </xdr:from>
    <xdr:ext cx="913668" cy="476249"/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26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6775" y="31205021"/>
          <a:ext cx="913668" cy="476249"/>
        </a:xfrm>
        <a:prstGeom prst="rect">
          <a:avLst/>
        </a:prstGeom>
      </xdr:spPr>
    </xdr:pic>
    <xdr:clientData/>
  </xdr:oneCellAnchor>
  <xdr:oneCellAnchor>
    <xdr:from>
      <xdr:col>3</xdr:col>
      <xdr:colOff>481292</xdr:colOff>
      <xdr:row>130</xdr:row>
      <xdr:rowOff>601757</xdr:rowOff>
    </xdr:from>
    <xdr:ext cx="1750121" cy="474940"/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2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23086" y="31261051"/>
          <a:ext cx="1750121" cy="474940"/>
        </a:xfrm>
        <a:prstGeom prst="rect">
          <a:avLst/>
        </a:prstGeom>
      </xdr:spPr>
    </xdr:pic>
    <xdr:clientData/>
  </xdr:oneCellAnchor>
  <xdr:oneCellAnchor>
    <xdr:from>
      <xdr:col>5</xdr:col>
      <xdr:colOff>457199</xdr:colOff>
      <xdr:row>69</xdr:row>
      <xdr:rowOff>304799</xdr:rowOff>
    </xdr:from>
    <xdr:ext cx="1733551" cy="897471"/>
    <xdr:pic>
      <xdr:nvPicPr>
        <xdr:cNvPr id="27" name="Рисунок 26">
          <a:extLst>
            <a:ext uri="{FF2B5EF4-FFF2-40B4-BE49-F238E27FC236}">
              <a16:creationId xmlns:a16="http://schemas.microsoft.com/office/drawing/2014/main" id="{56C35776-1566-42A4-B305-37BDAB20B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39449" y="16421099"/>
          <a:ext cx="1733551" cy="897471"/>
        </a:xfrm>
        <a:prstGeom prst="rect">
          <a:avLst/>
        </a:prstGeom>
      </xdr:spPr>
    </xdr:pic>
    <xdr:clientData/>
  </xdr:oneCellAnchor>
  <xdr:oneCellAnchor>
    <xdr:from>
      <xdr:col>4</xdr:col>
      <xdr:colOff>95250</xdr:colOff>
      <xdr:row>69</xdr:row>
      <xdr:rowOff>1047751</xdr:rowOff>
    </xdr:from>
    <xdr:ext cx="2570031" cy="460877"/>
    <xdr:pic>
      <xdr:nvPicPr>
        <xdr:cNvPr id="28" name="Рисунок 27">
          <a:extLst>
            <a:ext uri="{FF2B5EF4-FFF2-40B4-BE49-F238E27FC236}">
              <a16:creationId xmlns:a16="http://schemas.microsoft.com/office/drawing/2014/main" id="{9751FD33-3AF6-485B-B0D1-769917F62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62875" y="17164051"/>
          <a:ext cx="2570031" cy="460877"/>
        </a:xfrm>
        <a:prstGeom prst="rect">
          <a:avLst/>
        </a:prstGeom>
      </xdr:spPr>
    </xdr:pic>
    <xdr:clientData/>
  </xdr:oneCellAnchor>
  <xdr:oneCellAnchor>
    <xdr:from>
      <xdr:col>3</xdr:col>
      <xdr:colOff>866775</xdr:colOff>
      <xdr:row>69</xdr:row>
      <xdr:rowOff>28575</xdr:rowOff>
    </xdr:from>
    <xdr:ext cx="895350" cy="895350"/>
    <xdr:pic>
      <xdr:nvPicPr>
        <xdr:cNvPr id="29" name="Рисунок 28">
          <a:extLst>
            <a:ext uri="{FF2B5EF4-FFF2-40B4-BE49-F238E27FC236}">
              <a16:creationId xmlns:a16="http://schemas.microsoft.com/office/drawing/2014/main" id="{DEED14AA-8975-4009-920F-9FE893F6F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19775" y="16144875"/>
          <a:ext cx="895350" cy="895350"/>
        </a:xfrm>
        <a:prstGeom prst="rect">
          <a:avLst/>
        </a:prstGeom>
      </xdr:spPr>
    </xdr:pic>
    <xdr:clientData/>
  </xdr:oneCellAnchor>
  <xdr:oneCellAnchor>
    <xdr:from>
      <xdr:col>2</xdr:col>
      <xdr:colOff>859216</xdr:colOff>
      <xdr:row>69</xdr:row>
      <xdr:rowOff>619126</xdr:rowOff>
    </xdr:from>
    <xdr:ext cx="913668" cy="476249"/>
    <xdr:pic>
      <xdr:nvPicPr>
        <xdr:cNvPr id="30" name="Рисунок 29">
          <a:extLst>
            <a:ext uri="{FF2B5EF4-FFF2-40B4-BE49-F238E27FC236}">
              <a16:creationId xmlns:a16="http://schemas.microsoft.com/office/drawing/2014/main" id="{60E4F50B-265C-4963-8989-286657E23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7591" y="16735426"/>
          <a:ext cx="913668" cy="476249"/>
        </a:xfrm>
        <a:prstGeom prst="rect">
          <a:avLst/>
        </a:prstGeom>
      </xdr:spPr>
    </xdr:pic>
    <xdr:clientData/>
  </xdr:oneCellAnchor>
  <xdr:oneCellAnchor>
    <xdr:from>
      <xdr:col>3</xdr:col>
      <xdr:colOff>447675</xdr:colOff>
      <xdr:row>69</xdr:row>
      <xdr:rowOff>1019176</xdr:rowOff>
    </xdr:from>
    <xdr:ext cx="1750121" cy="474940"/>
    <xdr:pic>
      <xdr:nvPicPr>
        <xdr:cNvPr id="31" name="Рисунок 30">
          <a:extLst>
            <a:ext uri="{FF2B5EF4-FFF2-40B4-BE49-F238E27FC236}">
              <a16:creationId xmlns:a16="http://schemas.microsoft.com/office/drawing/2014/main" id="{C59DFAFF-CD04-4679-8521-1851F0210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00675" y="17135476"/>
          <a:ext cx="1750121" cy="474940"/>
        </a:xfrm>
        <a:prstGeom prst="rect">
          <a:avLst/>
        </a:prstGeom>
      </xdr:spPr>
    </xdr:pic>
    <xdr:clientData/>
  </xdr:oneCellAnchor>
  <xdr:oneCellAnchor>
    <xdr:from>
      <xdr:col>4</xdr:col>
      <xdr:colOff>685801</xdr:colOff>
      <xdr:row>69</xdr:row>
      <xdr:rowOff>85725</xdr:rowOff>
    </xdr:from>
    <xdr:ext cx="1333500" cy="895153"/>
    <xdr:pic>
      <xdr:nvPicPr>
        <xdr:cNvPr id="32" name="Рисунок 31">
          <a:extLst>
            <a:ext uri="{FF2B5EF4-FFF2-40B4-BE49-F238E27FC236}">
              <a16:creationId xmlns:a16="http://schemas.microsoft.com/office/drawing/2014/main" id="{CBEBF79B-C494-48F3-954C-031303F8B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3426" y="16202025"/>
          <a:ext cx="1333500" cy="895153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485774</xdr:colOff>
      <xdr:row>3</xdr:row>
      <xdr:rowOff>647699</xdr:rowOff>
    </xdr:from>
    <xdr:to>
      <xdr:col>4</xdr:col>
      <xdr:colOff>2219325</xdr:colOff>
      <xdr:row>3</xdr:row>
      <xdr:rowOff>1545170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27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53399" y="1371599"/>
          <a:ext cx="1733551" cy="897471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3</xdr:row>
      <xdr:rowOff>504826</xdr:rowOff>
    </xdr:from>
    <xdr:to>
      <xdr:col>5</xdr:col>
      <xdr:colOff>2646231</xdr:colOff>
      <xdr:row>3</xdr:row>
      <xdr:rowOff>965703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27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58450" y="1228726"/>
          <a:ext cx="2570031" cy="460877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3</xdr:row>
      <xdr:rowOff>628650</xdr:rowOff>
    </xdr:from>
    <xdr:to>
      <xdr:col>2</xdr:col>
      <xdr:colOff>1781175</xdr:colOff>
      <xdr:row>3</xdr:row>
      <xdr:rowOff>1524000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2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4200" y="1352550"/>
          <a:ext cx="895350" cy="895350"/>
        </a:xfrm>
        <a:prstGeom prst="rect">
          <a:avLst/>
        </a:prstGeom>
      </xdr:spPr>
    </xdr:pic>
    <xdr:clientData/>
  </xdr:twoCellAnchor>
  <xdr:twoCellAnchor editAs="oneCell">
    <xdr:from>
      <xdr:col>2</xdr:col>
      <xdr:colOff>887791</xdr:colOff>
      <xdr:row>3</xdr:row>
      <xdr:rowOff>57151</xdr:rowOff>
    </xdr:from>
    <xdr:to>
      <xdr:col>2</xdr:col>
      <xdr:colOff>1801459</xdr:colOff>
      <xdr:row>3</xdr:row>
      <xdr:rowOff>533400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2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6166" y="781051"/>
          <a:ext cx="913668" cy="476249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3</xdr:row>
      <xdr:rowOff>76201</xdr:rowOff>
    </xdr:from>
    <xdr:to>
      <xdr:col>4</xdr:col>
      <xdr:colOff>2235896</xdr:colOff>
      <xdr:row>3</xdr:row>
      <xdr:rowOff>551141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27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53400" y="800101"/>
          <a:ext cx="1750121" cy="474940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723901</xdr:colOff>
      <xdr:row>3</xdr:row>
      <xdr:rowOff>323850</xdr:rowOff>
    </xdr:from>
    <xdr:to>
      <xdr:col>3</xdr:col>
      <xdr:colOff>2057401</xdr:colOff>
      <xdr:row>3</xdr:row>
      <xdr:rowOff>1219003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27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1" y="1047750"/>
          <a:ext cx="1333500" cy="895153"/>
        </a:xfrm>
        <a:prstGeom prst="rect">
          <a:avLst/>
        </a:prstGeom>
      </xdr:spPr>
    </xdr:pic>
    <xdr:clientData/>
  </xdr:twoCellAnchor>
  <xdr:twoCellAnchor editAs="oneCell">
    <xdr:from>
      <xdr:col>2</xdr:col>
      <xdr:colOff>847727</xdr:colOff>
      <xdr:row>5</xdr:row>
      <xdr:rowOff>57150</xdr:rowOff>
    </xdr:from>
    <xdr:to>
      <xdr:col>2</xdr:col>
      <xdr:colOff>1932173</xdr:colOff>
      <xdr:row>5</xdr:row>
      <xdr:rowOff>1527500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27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3086102" y="2800350"/>
          <a:ext cx="1084446" cy="1470350"/>
        </a:xfrm>
        <a:prstGeom prst="rect">
          <a:avLst/>
        </a:prstGeom>
      </xdr:spPr>
    </xdr:pic>
    <xdr:clientData/>
  </xdr:twoCellAnchor>
  <xdr:twoCellAnchor editAs="oneCell">
    <xdr:from>
      <xdr:col>3</xdr:col>
      <xdr:colOff>740551</xdr:colOff>
      <xdr:row>5</xdr:row>
      <xdr:rowOff>97636</xdr:rowOff>
    </xdr:from>
    <xdr:to>
      <xdr:col>3</xdr:col>
      <xdr:colOff>1900276</xdr:colOff>
      <xdr:row>5</xdr:row>
      <xdr:rowOff>1564557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27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5693551" y="2840836"/>
          <a:ext cx="1159725" cy="1466921"/>
        </a:xfrm>
        <a:prstGeom prst="rect">
          <a:avLst/>
        </a:prstGeom>
      </xdr:spPr>
    </xdr:pic>
    <xdr:clientData/>
  </xdr:twoCellAnchor>
  <xdr:twoCellAnchor editAs="oneCell">
    <xdr:from>
      <xdr:col>4</xdr:col>
      <xdr:colOff>719100</xdr:colOff>
      <xdr:row>5</xdr:row>
      <xdr:rowOff>61076</xdr:rowOff>
    </xdr:from>
    <xdr:to>
      <xdr:col>4</xdr:col>
      <xdr:colOff>1878825</xdr:colOff>
      <xdr:row>5</xdr:row>
      <xdr:rowOff>1449759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2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8386725" y="2804276"/>
          <a:ext cx="1159725" cy="1388683"/>
        </a:xfrm>
        <a:prstGeom prst="rect">
          <a:avLst/>
        </a:prstGeom>
      </xdr:spPr>
    </xdr:pic>
    <xdr:clientData/>
  </xdr:twoCellAnchor>
  <xdr:twoCellAnchor editAs="oneCell">
    <xdr:from>
      <xdr:col>5</xdr:col>
      <xdr:colOff>783375</xdr:colOff>
      <xdr:row>5</xdr:row>
      <xdr:rowOff>152265</xdr:rowOff>
    </xdr:from>
    <xdr:to>
      <xdr:col>5</xdr:col>
      <xdr:colOff>1943100</xdr:colOff>
      <xdr:row>5</xdr:row>
      <xdr:rowOff>1361150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27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1165625" y="2895465"/>
          <a:ext cx="1159725" cy="1208885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628650</xdr:colOff>
      <xdr:row>11</xdr:row>
      <xdr:rowOff>19050</xdr:rowOff>
    </xdr:from>
    <xdr:to>
      <xdr:col>2</xdr:col>
      <xdr:colOff>1939091</xdr:colOff>
      <xdr:row>11</xdr:row>
      <xdr:rowOff>1581150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27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flipH="1">
          <a:off x="2867025" y="5810250"/>
          <a:ext cx="1310441" cy="1562100"/>
        </a:xfrm>
        <a:prstGeom prst="rect">
          <a:avLst/>
        </a:prstGeom>
      </xdr:spPr>
    </xdr:pic>
    <xdr:clientData/>
  </xdr:twoCellAnchor>
  <xdr:twoCellAnchor editAs="oneCell">
    <xdr:from>
      <xdr:col>5</xdr:col>
      <xdr:colOff>396041</xdr:colOff>
      <xdr:row>11</xdr:row>
      <xdr:rowOff>19049</xdr:rowOff>
    </xdr:from>
    <xdr:to>
      <xdr:col>5</xdr:col>
      <xdr:colOff>2242539</xdr:colOff>
      <xdr:row>11</xdr:row>
      <xdr:rowOff>1553380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27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flipH="1">
          <a:off x="10778291" y="5810249"/>
          <a:ext cx="1846498" cy="1534331"/>
        </a:xfrm>
        <a:prstGeom prst="rect">
          <a:avLst/>
        </a:prstGeom>
      </xdr:spPr>
    </xdr:pic>
    <xdr:clientData/>
  </xdr:twoCellAnchor>
  <xdr:twoCellAnchor editAs="oneCell">
    <xdr:from>
      <xdr:col>3</xdr:col>
      <xdr:colOff>641488</xdr:colOff>
      <xdr:row>11</xdr:row>
      <xdr:rowOff>17944</xdr:rowOff>
    </xdr:from>
    <xdr:to>
      <xdr:col>3</xdr:col>
      <xdr:colOff>1967666</xdr:colOff>
      <xdr:row>11</xdr:row>
      <xdr:rowOff>1543049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27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flipH="1">
          <a:off x="5594488" y="5809144"/>
          <a:ext cx="1326178" cy="1525105"/>
        </a:xfrm>
        <a:prstGeom prst="rect">
          <a:avLst/>
        </a:prstGeom>
      </xdr:spPr>
    </xdr:pic>
    <xdr:clientData/>
  </xdr:twoCellAnchor>
  <xdr:twoCellAnchor editAs="oneCell">
    <xdr:from>
      <xdr:col>4</xdr:col>
      <xdr:colOff>615116</xdr:colOff>
      <xdr:row>11</xdr:row>
      <xdr:rowOff>67787</xdr:rowOff>
    </xdr:from>
    <xdr:to>
      <xdr:col>4</xdr:col>
      <xdr:colOff>1986716</xdr:colOff>
      <xdr:row>11</xdr:row>
      <xdr:rowOff>1533270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2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flipH="1">
          <a:off x="8282741" y="5858987"/>
          <a:ext cx="1371600" cy="1465483"/>
        </a:xfrm>
        <a:prstGeom prst="rect">
          <a:avLst/>
        </a:prstGeom>
      </xdr:spPr>
    </xdr:pic>
    <xdr:clientData/>
  </xdr:twoCellAnchor>
  <xdr:twoCellAnchor editAs="oneCell">
    <xdr:from>
      <xdr:col>2</xdr:col>
      <xdr:colOff>123265</xdr:colOff>
      <xdr:row>16</xdr:row>
      <xdr:rowOff>123264</xdr:rowOff>
    </xdr:from>
    <xdr:to>
      <xdr:col>2</xdr:col>
      <xdr:colOff>2613469</xdr:colOff>
      <xdr:row>23</xdr:row>
      <xdr:rowOff>104214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27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20320" t="24047" r="18645" b="18651"/>
        <a:stretch/>
      </xdr:blipFill>
      <xdr:spPr>
        <a:xfrm>
          <a:off x="2353236" y="15083117"/>
          <a:ext cx="2490204" cy="1314450"/>
        </a:xfrm>
        <a:prstGeom prst="rect">
          <a:avLst/>
        </a:prstGeom>
      </xdr:spPr>
    </xdr:pic>
    <xdr:clientData/>
  </xdr:twoCellAnchor>
  <xdr:twoCellAnchor editAs="oneCell">
    <xdr:from>
      <xdr:col>3</xdr:col>
      <xdr:colOff>148477</xdr:colOff>
      <xdr:row>17</xdr:row>
      <xdr:rowOff>821</xdr:rowOff>
    </xdr:from>
    <xdr:to>
      <xdr:col>3</xdr:col>
      <xdr:colOff>2322419</xdr:colOff>
      <xdr:row>23</xdr:row>
      <xdr:rowOff>31937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27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090271" y="15151174"/>
          <a:ext cx="2173942" cy="1174116"/>
        </a:xfrm>
        <a:prstGeom prst="rect">
          <a:avLst/>
        </a:prstGeom>
      </xdr:spPr>
    </xdr:pic>
    <xdr:clientData/>
  </xdr:twoCellAnchor>
  <xdr:twoCellAnchor editAs="oneCell">
    <xdr:from>
      <xdr:col>4</xdr:col>
      <xdr:colOff>170890</xdr:colOff>
      <xdr:row>16</xdr:row>
      <xdr:rowOff>126067</xdr:rowOff>
    </xdr:from>
    <xdr:to>
      <xdr:col>4</xdr:col>
      <xdr:colOff>2512919</xdr:colOff>
      <xdr:row>23</xdr:row>
      <xdr:rowOff>148800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27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824508" y="15085920"/>
          <a:ext cx="2342029" cy="135623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114301</xdr:rowOff>
    </xdr:to>
    <xdr:sp macro="" textlink="">
      <xdr:nvSpPr>
        <xdr:cNvPr id="19" name="AutoShape 1" descr="Сформированное изображение: Металлический уголок с прорезями">
          <a:extLst>
            <a:ext uri="{FF2B5EF4-FFF2-40B4-BE49-F238E27FC236}">
              <a16:creationId xmlns:a16="http://schemas.microsoft.com/office/drawing/2014/main" id="{0AB72070-FC80-43B8-9570-FC684FDEFF46}"/>
            </a:ext>
          </a:extLst>
        </xdr:cNvPr>
        <xdr:cNvSpPr>
          <a:spLocks noChangeAspect="1" noChangeArrowheads="1"/>
        </xdr:cNvSpPr>
      </xdr:nvSpPr>
      <xdr:spPr bwMode="auto">
        <a:xfrm>
          <a:off x="4953000" y="179260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2168770</xdr:colOff>
      <xdr:row>28</xdr:row>
      <xdr:rowOff>161192</xdr:rowOff>
    </xdr:from>
    <xdr:to>
      <xdr:col>2</xdr:col>
      <xdr:colOff>2473570</xdr:colOff>
      <xdr:row>30</xdr:row>
      <xdr:rowOff>84993</xdr:rowOff>
    </xdr:to>
    <xdr:sp macro="" textlink="">
      <xdr:nvSpPr>
        <xdr:cNvPr id="20" name="AutoShape 2" descr="Сформированное изображение: Металлический уголок с прорезями">
          <a:extLst>
            <a:ext uri="{FF2B5EF4-FFF2-40B4-BE49-F238E27FC236}">
              <a16:creationId xmlns:a16="http://schemas.microsoft.com/office/drawing/2014/main" id="{9ECAFF21-0A21-41F8-8E53-5D02970BA51B}"/>
            </a:ext>
          </a:extLst>
        </xdr:cNvPr>
        <xdr:cNvSpPr>
          <a:spLocks noChangeAspect="1" noChangeArrowheads="1"/>
        </xdr:cNvSpPr>
      </xdr:nvSpPr>
      <xdr:spPr bwMode="auto">
        <a:xfrm>
          <a:off x="4407145" y="17887217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816429</xdr:colOff>
      <xdr:row>28</xdr:row>
      <xdr:rowOff>119743</xdr:rowOff>
    </xdr:from>
    <xdr:to>
      <xdr:col>3</xdr:col>
      <xdr:colOff>1864179</xdr:colOff>
      <xdr:row>35</xdr:row>
      <xdr:rowOff>123888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877A4014-4934-4177-B8BD-FA5A5E55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9429" y="17845768"/>
          <a:ext cx="1047750" cy="1337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647795</xdr:colOff>
      <xdr:row>28</xdr:row>
      <xdr:rowOff>80597</xdr:rowOff>
    </xdr:from>
    <xdr:to>
      <xdr:col>2</xdr:col>
      <xdr:colOff>1753331</xdr:colOff>
      <xdr:row>35</xdr:row>
      <xdr:rowOff>93786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4A323649-ECCA-48AC-AE40-393B6F54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170" y="17806622"/>
          <a:ext cx="1105536" cy="1346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304800</xdr:colOff>
      <xdr:row>35</xdr:row>
      <xdr:rowOff>323850</xdr:rowOff>
    </xdr:to>
    <xdr:sp macro="" textlink="">
      <xdr:nvSpPr>
        <xdr:cNvPr id="23" name="AutoShape 1" descr="Сформированное изображение: Монтировочный уголок на белом фоне">
          <a:extLst>
            <a:ext uri="{FF2B5EF4-FFF2-40B4-BE49-F238E27FC236}">
              <a16:creationId xmlns:a16="http://schemas.microsoft.com/office/drawing/2014/main" id="{0F0124CB-1435-44EB-87BB-9332AE616758}"/>
            </a:ext>
          </a:extLst>
        </xdr:cNvPr>
        <xdr:cNvSpPr>
          <a:spLocks noChangeAspect="1" noChangeArrowheads="1"/>
        </xdr:cNvSpPr>
      </xdr:nvSpPr>
      <xdr:spPr bwMode="auto">
        <a:xfrm>
          <a:off x="10382250" y="1912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304800</xdr:colOff>
      <xdr:row>38</xdr:row>
      <xdr:rowOff>104775</xdr:rowOff>
    </xdr:to>
    <xdr:sp macro="" textlink="">
      <xdr:nvSpPr>
        <xdr:cNvPr id="38" name="AutoShape 2" descr="Сформированное изображение: Монтировочный уголок на белом фоне">
          <a:extLst>
            <a:ext uri="{FF2B5EF4-FFF2-40B4-BE49-F238E27FC236}">
              <a16:creationId xmlns:a16="http://schemas.microsoft.com/office/drawing/2014/main" id="{BCF09838-625B-49AD-9CBB-5BF7D20FF649}"/>
            </a:ext>
          </a:extLst>
        </xdr:cNvPr>
        <xdr:cNvSpPr>
          <a:spLocks noChangeAspect="1" noChangeArrowheads="1"/>
        </xdr:cNvSpPr>
      </xdr:nvSpPr>
      <xdr:spPr bwMode="auto">
        <a:xfrm>
          <a:off x="10382250" y="197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304800</xdr:colOff>
      <xdr:row>37</xdr:row>
      <xdr:rowOff>104775</xdr:rowOff>
    </xdr:to>
    <xdr:sp macro="" textlink="">
      <xdr:nvSpPr>
        <xdr:cNvPr id="39" name="AutoShape 4" descr="Сформированное изображение: Монтировочный уголок на белом фоне">
          <a:extLst>
            <a:ext uri="{FF2B5EF4-FFF2-40B4-BE49-F238E27FC236}">
              <a16:creationId xmlns:a16="http://schemas.microsoft.com/office/drawing/2014/main" id="{B49EDCA9-E011-4949-B70C-6A249DDF042A}"/>
            </a:ext>
          </a:extLst>
        </xdr:cNvPr>
        <xdr:cNvSpPr>
          <a:spLocks noChangeAspect="1" noChangeArrowheads="1"/>
        </xdr:cNvSpPr>
      </xdr:nvSpPr>
      <xdr:spPr bwMode="auto">
        <a:xfrm>
          <a:off x="7667625" y="19335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304800</xdr:colOff>
      <xdr:row>35</xdr:row>
      <xdr:rowOff>323850</xdr:rowOff>
    </xdr:to>
    <xdr:sp macro="" textlink="">
      <xdr:nvSpPr>
        <xdr:cNvPr id="40" name="AutoShape 5" descr="Сформированное изображение: Монтировочный уголок на белом фоне">
          <a:extLst>
            <a:ext uri="{FF2B5EF4-FFF2-40B4-BE49-F238E27FC236}">
              <a16:creationId xmlns:a16="http://schemas.microsoft.com/office/drawing/2014/main" id="{C2EA5E61-2D93-4473-9745-2F7117336B7B}"/>
            </a:ext>
          </a:extLst>
        </xdr:cNvPr>
        <xdr:cNvSpPr>
          <a:spLocks noChangeAspect="1" noChangeArrowheads="1"/>
        </xdr:cNvSpPr>
      </xdr:nvSpPr>
      <xdr:spPr bwMode="auto">
        <a:xfrm>
          <a:off x="10382250" y="1912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677527</xdr:colOff>
      <xdr:row>28</xdr:row>
      <xdr:rowOff>29307</xdr:rowOff>
    </xdr:from>
    <xdr:to>
      <xdr:col>4</xdr:col>
      <xdr:colOff>1970943</xdr:colOff>
      <xdr:row>35</xdr:row>
      <xdr:rowOff>293987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227CF8F0-2672-4300-8270-95EC2BA9A7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88" b="9998"/>
        <a:stretch/>
      </xdr:blipFill>
      <xdr:spPr bwMode="auto">
        <a:xfrm>
          <a:off x="8345152" y="17755332"/>
          <a:ext cx="1293416" cy="157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1143001</xdr:colOff>
      <xdr:row>4</xdr:row>
      <xdr:rowOff>190500</xdr:rowOff>
    </xdr:from>
    <xdr:to>
      <xdr:col>6</xdr:col>
      <xdr:colOff>2828925</xdr:colOff>
      <xdr:row>4</xdr:row>
      <xdr:rowOff>1876424</xdr:rowOff>
    </xdr:to>
    <xdr:pic>
      <xdr:nvPicPr>
        <xdr:cNvPr id="24" name="Рисунок 23" descr="https://www.scat-technology.ru/images/fans/tangencial/es-ee03061r24v-1.jpg">
          <a:extLst>
            <a:ext uri="{FF2B5EF4-FFF2-40B4-BE49-F238E27FC236}">
              <a16:creationId xmlns:a16="http://schemas.microsoft.com/office/drawing/2014/main" id="{00000000-0008-0000-28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06376" y="21126450"/>
          <a:ext cx="1685924" cy="1685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954181</xdr:colOff>
      <xdr:row>3</xdr:row>
      <xdr:rowOff>17369</xdr:rowOff>
    </xdr:from>
    <xdr:to>
      <xdr:col>6</xdr:col>
      <xdr:colOff>2859181</xdr:colOff>
      <xdr:row>3</xdr:row>
      <xdr:rowOff>1922369</xdr:rowOff>
    </xdr:to>
    <xdr:pic>
      <xdr:nvPicPr>
        <xdr:cNvPr id="25" name="Рисунок 24" descr="https://www.scat-technology.ru/images/fans/tangencial/es-ee03092r24v.jpg">
          <a:extLst>
            <a:ext uri="{FF2B5EF4-FFF2-40B4-BE49-F238E27FC236}">
              <a16:creationId xmlns:a16="http://schemas.microsoft.com/office/drawing/2014/main" id="{00000000-0008-0000-28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1563" y="18955310"/>
          <a:ext cx="190500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1196230</xdr:colOff>
      <xdr:row>6</xdr:row>
      <xdr:rowOff>123265</xdr:rowOff>
    </xdr:from>
    <xdr:to>
      <xdr:col>6</xdr:col>
      <xdr:colOff>2958200</xdr:colOff>
      <xdr:row>6</xdr:row>
      <xdr:rowOff>1885235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73612" y="23050500"/>
          <a:ext cx="1761970" cy="176197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12</xdr:row>
      <xdr:rowOff>47625</xdr:rowOff>
    </xdr:from>
    <xdr:to>
      <xdr:col>3</xdr:col>
      <xdr:colOff>613479</xdr:colOff>
      <xdr:row>12</xdr:row>
      <xdr:rowOff>1925731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71850" y="11087100"/>
          <a:ext cx="2518479" cy="1866900"/>
        </a:xfrm>
        <a:prstGeom prst="rect">
          <a:avLst/>
        </a:prstGeom>
      </xdr:spPr>
    </xdr:pic>
    <xdr:clientData/>
  </xdr:twoCellAnchor>
  <xdr:twoCellAnchor editAs="oneCell">
    <xdr:from>
      <xdr:col>6</xdr:col>
      <xdr:colOff>1154206</xdr:colOff>
      <xdr:row>5</xdr:row>
      <xdr:rowOff>381000</xdr:rowOff>
    </xdr:from>
    <xdr:to>
      <xdr:col>6</xdr:col>
      <xdr:colOff>3104030</xdr:colOff>
      <xdr:row>5</xdr:row>
      <xdr:rowOff>1683965</xdr:rowOff>
    </xdr:to>
    <xdr:pic>
      <xdr:nvPicPr>
        <xdr:cNvPr id="6" name="Рисунок 5" descr="Вентилятор ES-03035R24-V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55" b="17727"/>
        <a:stretch/>
      </xdr:blipFill>
      <xdr:spPr bwMode="auto">
        <a:xfrm>
          <a:off x="13021235" y="5244353"/>
          <a:ext cx="1949824" cy="1302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795618</xdr:colOff>
      <xdr:row>7</xdr:row>
      <xdr:rowOff>425824</xdr:rowOff>
    </xdr:from>
    <xdr:to>
      <xdr:col>6</xdr:col>
      <xdr:colOff>3361930</xdr:colOff>
      <xdr:row>7</xdr:row>
      <xdr:rowOff>1680882</xdr:rowOff>
    </xdr:to>
    <xdr:pic>
      <xdr:nvPicPr>
        <xdr:cNvPr id="7" name="Рисунок 6" descr="https://www.sktech.ru/images/fans/tangencial/es-03029r23.jpg"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19" b="23302"/>
        <a:stretch/>
      </xdr:blipFill>
      <xdr:spPr bwMode="auto">
        <a:xfrm>
          <a:off x="12654243" y="9093574"/>
          <a:ext cx="2566312" cy="1255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90</xdr:row>
      <xdr:rowOff>123825</xdr:rowOff>
    </xdr:from>
    <xdr:to>
      <xdr:col>2</xdr:col>
      <xdr:colOff>709149</xdr:colOff>
      <xdr:row>90</xdr:row>
      <xdr:rowOff>1304925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38925" y="66798825"/>
          <a:ext cx="632949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90</xdr:row>
      <xdr:rowOff>123825</xdr:rowOff>
    </xdr:from>
    <xdr:to>
      <xdr:col>2</xdr:col>
      <xdr:colOff>1413999</xdr:colOff>
      <xdr:row>90</xdr:row>
      <xdr:rowOff>1304925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775" y="66798825"/>
          <a:ext cx="632949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1447800</xdr:colOff>
      <xdr:row>90</xdr:row>
      <xdr:rowOff>133350</xdr:rowOff>
    </xdr:from>
    <xdr:to>
      <xdr:col>2</xdr:col>
      <xdr:colOff>2080749</xdr:colOff>
      <xdr:row>90</xdr:row>
      <xdr:rowOff>1314450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10525" y="66808350"/>
          <a:ext cx="632949" cy="1181100"/>
        </a:xfrm>
        <a:prstGeom prst="rect">
          <a:avLst/>
        </a:prstGeom>
      </xdr:spPr>
    </xdr:pic>
    <xdr:clientData/>
  </xdr:twoCellAnchor>
  <xdr:oneCellAnchor>
    <xdr:from>
      <xdr:col>1</xdr:col>
      <xdr:colOff>322169</xdr:colOff>
      <xdr:row>90</xdr:row>
      <xdr:rowOff>387163</xdr:rowOff>
    </xdr:from>
    <xdr:ext cx="3886200" cy="676275"/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00000000-0008-0000-2B00-00000F000000}"/>
            </a:ext>
          </a:extLst>
        </xdr:cNvPr>
        <xdr:cNvSpPr/>
      </xdr:nvSpPr>
      <xdr:spPr>
        <a:xfrm>
          <a:off x="2722469" y="67062163"/>
          <a:ext cx="3886200" cy="6762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~230 В ±10%, 50 Гц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Максимальный ток нагрузки: 16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18×90×65 мм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baseline="0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>
            <a:effectLst/>
            <a:latin typeface="+mj-lt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</xdr:col>
      <xdr:colOff>289754</xdr:colOff>
      <xdr:row>13</xdr:row>
      <xdr:rowOff>43222</xdr:rowOff>
    </xdr:from>
    <xdr:ext cx="3776384" cy="2431676"/>
    <xdr:sp macro="" textlink="">
      <xdr:nvSpPr>
        <xdr:cNvPr id="16" name="Прямоугольник 15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SpPr/>
      </xdr:nvSpPr>
      <xdr:spPr>
        <a:xfrm>
          <a:off x="2690054" y="6091597"/>
          <a:ext cx="3776384" cy="243167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черного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3 скорости вентилятора + АВТО режим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Недельное программирование температуры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~230 В ±10%, 50 Гц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0,5 В·А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Нагрузка 3-5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</a:t>
          </a:r>
          <a:r>
            <a:rPr lang="ru-RU" sz="1200">
              <a:effectLst/>
              <a:latin typeface="+mn-lt"/>
              <a:ea typeface="+mn-ea"/>
              <a:cs typeface="+mn-cs"/>
            </a:rPr>
            <a:t>30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0...+45°С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86×86×13,3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трубной системы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baseline="0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>
            <a:effectLst/>
            <a:latin typeface="+mj-lt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</xdr:col>
      <xdr:colOff>311444</xdr:colOff>
      <xdr:row>18</xdr:row>
      <xdr:rowOff>82282</xdr:rowOff>
    </xdr:from>
    <xdr:ext cx="3776384" cy="2431676"/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SpPr/>
      </xdr:nvSpPr>
      <xdr:spPr>
        <a:xfrm>
          <a:off x="2711744" y="8559532"/>
          <a:ext cx="3776384" cy="243167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белого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3 скорости вентилятора + АВТО режим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Недельное программирование температуры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~230 В ±10%, 50 Гц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0,5 В·А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Нагрузка 3-5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</a:t>
          </a:r>
          <a:r>
            <a:rPr lang="ru-RU" sz="1200">
              <a:effectLst/>
              <a:latin typeface="+mn-lt"/>
              <a:ea typeface="+mn-ea"/>
              <a:cs typeface="+mn-cs"/>
            </a:rPr>
            <a:t>30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0...+45°С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86×86×13,3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трубной системы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baseline="0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>
            <a:effectLst/>
            <a:latin typeface="+mj-lt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</xdr:col>
      <xdr:colOff>300959</xdr:colOff>
      <xdr:row>23</xdr:row>
      <xdr:rowOff>99252</xdr:rowOff>
    </xdr:from>
    <xdr:ext cx="3776384" cy="2431676"/>
    <xdr:sp macro="" textlink="">
      <xdr:nvSpPr>
        <xdr:cNvPr id="19" name="Прямоугольник 18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SpPr/>
      </xdr:nvSpPr>
      <xdr:spPr>
        <a:xfrm>
          <a:off x="2701259" y="11043477"/>
          <a:ext cx="3776384" cy="243167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черного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3 скорости вентилятора + АВТО режим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Недельное программирование температуры</a:t>
          </a:r>
        </a:p>
        <a:p>
          <a:r>
            <a:rPr lang="en-US" sz="1200">
              <a:effectLst/>
              <a:latin typeface="+mn-lt"/>
              <a:ea typeface="+mn-ea"/>
              <a:cs typeface="+mn-cs"/>
            </a:rPr>
            <a:t>WIFI </a:t>
          </a:r>
          <a:r>
            <a:rPr lang="ru-RU" sz="1200">
              <a:effectLst/>
              <a:latin typeface="+mn-lt"/>
              <a:ea typeface="+mn-ea"/>
              <a:cs typeface="+mn-cs"/>
            </a:rPr>
            <a:t>для </a:t>
          </a:r>
          <a:r>
            <a:rPr lang="en-US" sz="1200">
              <a:effectLst/>
              <a:latin typeface="+mn-lt"/>
              <a:ea typeface="+mn-ea"/>
              <a:cs typeface="+mn-cs"/>
            </a:rPr>
            <a:t>Android </a:t>
          </a:r>
          <a:r>
            <a:rPr lang="ru-RU" sz="1200">
              <a:effectLst/>
              <a:latin typeface="+mn-lt"/>
              <a:ea typeface="+mn-ea"/>
              <a:cs typeface="+mn-cs"/>
            </a:rPr>
            <a:t>и </a:t>
          </a:r>
          <a:r>
            <a:rPr lang="en-US" sz="1200">
              <a:effectLst/>
              <a:latin typeface="+mn-lt"/>
              <a:ea typeface="+mn-ea"/>
              <a:cs typeface="+mn-cs"/>
            </a:rPr>
            <a:t>IOS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~230 В ±10%, 50 Гц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0,5 В·А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Нагрузка 3-5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</a:t>
          </a:r>
          <a:r>
            <a:rPr lang="ru-RU" sz="1200">
              <a:effectLst/>
              <a:latin typeface="+mn-lt"/>
              <a:ea typeface="+mn-ea"/>
              <a:cs typeface="+mn-cs"/>
            </a:rPr>
            <a:t>30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0...+45°С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86×86×13,3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трубной системы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baseline="0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>
            <a:effectLst/>
            <a:latin typeface="+mj-lt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</xdr:col>
      <xdr:colOff>317848</xdr:colOff>
      <xdr:row>3</xdr:row>
      <xdr:rowOff>91567</xdr:rowOff>
    </xdr:from>
    <xdr:ext cx="3776384" cy="2182587"/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00000000-0008-0000-2B00-000014000000}"/>
            </a:ext>
          </a:extLst>
        </xdr:cNvPr>
        <xdr:cNvSpPr/>
      </xdr:nvSpPr>
      <xdr:spPr>
        <a:xfrm>
          <a:off x="2718148" y="1377442"/>
          <a:ext cx="3776384" cy="218258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черного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1 скорости вентилятора 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Недельное программирование температуры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~230 В ±10%, 50 Гц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0,5 В·А</a:t>
          </a:r>
        </a:p>
        <a:p>
          <a:r>
            <a:rPr lang="ru-RU" sz="1200" b="0">
              <a:effectLst/>
              <a:latin typeface="+mn-lt"/>
              <a:ea typeface="+mn-ea"/>
              <a:cs typeface="+mn-cs"/>
            </a:rPr>
            <a:t>Нагрузка 16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</a:t>
          </a:r>
          <a:r>
            <a:rPr lang="ru-RU" sz="1200">
              <a:effectLst/>
              <a:latin typeface="+mn-lt"/>
              <a:ea typeface="+mn-ea"/>
              <a:cs typeface="+mn-cs"/>
            </a:rPr>
            <a:t>30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0...+45°С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86×86×13,3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трубной системы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baseline="0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>
            <a:effectLst/>
            <a:latin typeface="+mj-lt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2</xdr:col>
      <xdr:colOff>376517</xdr:colOff>
      <xdr:row>3</xdr:row>
      <xdr:rowOff>408635</xdr:rowOff>
    </xdr:from>
    <xdr:ext cx="1543050" cy="1505778"/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2B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9242" y="1694510"/>
          <a:ext cx="1543050" cy="150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192741</xdr:colOff>
      <xdr:row>34</xdr:row>
      <xdr:rowOff>339412</xdr:rowOff>
    </xdr:from>
    <xdr:to>
      <xdr:col>2</xdr:col>
      <xdr:colOff>2035395</xdr:colOff>
      <xdr:row>36</xdr:row>
      <xdr:rowOff>138075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2B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5466" y="27799987"/>
          <a:ext cx="1842654" cy="1875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176149</xdr:colOff>
      <xdr:row>38</xdr:row>
      <xdr:rowOff>1535679</xdr:rowOff>
    </xdr:from>
    <xdr:to>
      <xdr:col>2</xdr:col>
      <xdr:colOff>2020035</xdr:colOff>
      <xdr:row>40</xdr:row>
      <xdr:rowOff>710719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2B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8874" y="32501454"/>
          <a:ext cx="1843886" cy="1594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279186</xdr:colOff>
      <xdr:row>8</xdr:row>
      <xdr:rowOff>115259</xdr:rowOff>
    </xdr:from>
    <xdr:ext cx="3776384" cy="2231571"/>
    <xdr:sp macro="" textlink="">
      <xdr:nvSpPr>
        <xdr:cNvPr id="28" name="Прямоугольник 27">
          <a:extLst>
            <a:ext uri="{FF2B5EF4-FFF2-40B4-BE49-F238E27FC236}">
              <a16:creationId xmlns:a16="http://schemas.microsoft.com/office/drawing/2014/main" id="{00000000-0008-0000-2B00-00001C000000}"/>
            </a:ext>
          </a:extLst>
        </xdr:cNvPr>
        <xdr:cNvSpPr/>
      </xdr:nvSpPr>
      <xdr:spPr>
        <a:xfrm>
          <a:off x="2679486" y="3782384"/>
          <a:ext cx="3776384" cy="223157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белого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1 скорости вентилятора 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Недельное программирование температуры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~230 В ±10%, 50 Гц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0,5 В·А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Нагрузка 16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</a:t>
          </a:r>
          <a:r>
            <a:rPr lang="ru-RU" sz="1200">
              <a:effectLst/>
              <a:latin typeface="+mn-lt"/>
              <a:ea typeface="+mn-ea"/>
              <a:cs typeface="+mn-cs"/>
            </a:rPr>
            <a:t>30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0...+45°С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86×86×13,3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трубной системы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baseline="0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>
            <a:effectLst/>
            <a:latin typeface="+mj-lt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twoCellAnchor editAs="oneCell">
    <xdr:from>
      <xdr:col>2</xdr:col>
      <xdr:colOff>260617</xdr:colOff>
      <xdr:row>8</xdr:row>
      <xdr:rowOff>282308</xdr:rowOff>
    </xdr:from>
    <xdr:to>
      <xdr:col>2</xdr:col>
      <xdr:colOff>1980560</xdr:colOff>
      <xdr:row>12</xdr:row>
      <xdr:rowOff>101621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2B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3342" y="3949433"/>
          <a:ext cx="1719943" cy="1724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347382</xdr:colOff>
      <xdr:row>78</xdr:row>
      <xdr:rowOff>257735</xdr:rowOff>
    </xdr:from>
    <xdr:ext cx="3204882" cy="1568824"/>
    <xdr:sp macro="" textlink="">
      <xdr:nvSpPr>
        <xdr:cNvPr id="30" name="Прямоугольник 29">
          <a:extLst>
            <a:ext uri="{FF2B5EF4-FFF2-40B4-BE49-F238E27FC236}">
              <a16:creationId xmlns:a16="http://schemas.microsoft.com/office/drawing/2014/main" id="{00000000-0008-0000-2B00-00001E000000}"/>
            </a:ext>
          </a:extLst>
        </xdr:cNvPr>
        <xdr:cNvSpPr/>
      </xdr:nvSpPr>
      <xdr:spPr>
        <a:xfrm>
          <a:off x="2747682" y="53873960"/>
          <a:ext cx="3204882" cy="15688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 b="0" i="0">
              <a:effectLst/>
              <a:latin typeface="+mj-lt"/>
              <a:ea typeface="+mn-ea"/>
              <a:cs typeface="+mn-cs"/>
            </a:rPr>
            <a:t>Управление одним или группой АС-вентиляторов 220В с помощью настенного термостата. Регулятор имеет 3 скорости. Первая и вторая регулируемая (30 ... 100%), третья равна 100%. Дополнительно можно подключить понижающий трансформатор для низковольтных вентиляторов.</a:t>
          </a:r>
          <a:endParaRPr lang="ru-RU" sz="1200" b="0">
            <a:effectLst/>
            <a:latin typeface="+mj-lt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</xdr:col>
      <xdr:colOff>369794</xdr:colOff>
      <xdr:row>82</xdr:row>
      <xdr:rowOff>302558</xdr:rowOff>
    </xdr:from>
    <xdr:ext cx="3038475" cy="1299884"/>
    <xdr:sp macro="" textlink="">
      <xdr:nvSpPr>
        <xdr:cNvPr id="31" name="Прямоугольник 30">
          <a:extLst>
            <a:ext uri="{FF2B5EF4-FFF2-40B4-BE49-F238E27FC236}">
              <a16:creationId xmlns:a16="http://schemas.microsoft.com/office/drawing/2014/main" id="{00000000-0008-0000-2B00-00001F000000}"/>
            </a:ext>
          </a:extLst>
        </xdr:cNvPr>
        <xdr:cNvSpPr/>
      </xdr:nvSpPr>
      <xdr:spPr>
        <a:xfrm>
          <a:off x="2770094" y="55899983"/>
          <a:ext cx="3038475" cy="129988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 b="0" i="0">
              <a:effectLst/>
              <a:latin typeface="+mj-lt"/>
              <a:ea typeface="+mn-ea"/>
              <a:cs typeface="+mn-cs"/>
            </a:rPr>
            <a:t>Твердотельные реле </a:t>
          </a:r>
          <a:r>
            <a:rPr lang="en-US" sz="1200" b="0" i="0">
              <a:effectLst/>
              <a:latin typeface="+mj-lt"/>
              <a:ea typeface="+mn-ea"/>
              <a:cs typeface="+mn-cs"/>
            </a:rPr>
            <a:t>MaxWell MS-1 </a:t>
          </a:r>
          <a:r>
            <a:rPr lang="ru-RU" sz="1200" b="0" i="0">
              <a:effectLst/>
              <a:latin typeface="+mj-lt"/>
              <a:ea typeface="+mn-ea"/>
              <a:cs typeface="+mn-cs"/>
            </a:rPr>
            <a:t>применяют для бесконтактной коммутации однофазной нагрузки переменного тока (ТЭН-ы, трансформаторы, лампы накаливания, электродвигатели, электромагниты).</a:t>
          </a: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twoCellAnchor editAs="oneCell">
    <xdr:from>
      <xdr:col>2</xdr:col>
      <xdr:colOff>201706</xdr:colOff>
      <xdr:row>82</xdr:row>
      <xdr:rowOff>44824</xdr:rowOff>
    </xdr:from>
    <xdr:to>
      <xdr:col>2</xdr:col>
      <xdr:colOff>2073088</xdr:colOff>
      <xdr:row>85</xdr:row>
      <xdr:rowOff>489379</xdr:rowOff>
    </xdr:to>
    <xdr:pic>
      <xdr:nvPicPr>
        <xdr:cNvPr id="32" name="Рисунок 31" descr="https://cdn.goodao.net/clin-ele/Solid-State-Relay-HHG1-0-032F-06-HHG1-0-032F-20-SSR-DD.jpg">
          <a:extLst>
            <a:ext uri="{FF2B5EF4-FFF2-40B4-BE49-F238E27FC236}">
              <a16:creationId xmlns:a16="http://schemas.microsoft.com/office/drawing/2014/main" id="{00000000-0008-0000-2B00-00002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75" t="9705" r="10735" b="7489"/>
        <a:stretch/>
      </xdr:blipFill>
      <xdr:spPr bwMode="auto">
        <a:xfrm>
          <a:off x="6764431" y="55642249"/>
          <a:ext cx="1871382" cy="1930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397007</xdr:colOff>
      <xdr:row>86</xdr:row>
      <xdr:rowOff>298557</xdr:rowOff>
    </xdr:from>
    <xdr:ext cx="3038475" cy="1187823"/>
    <xdr:sp macro="" textlink="">
      <xdr:nvSpPr>
        <xdr:cNvPr id="33" name="Прямоугольник 32">
          <a:extLst>
            <a:ext uri="{FF2B5EF4-FFF2-40B4-BE49-F238E27FC236}">
              <a16:creationId xmlns:a16="http://schemas.microsoft.com/office/drawing/2014/main" id="{00000000-0008-0000-2B00-000021000000}"/>
            </a:ext>
          </a:extLst>
        </xdr:cNvPr>
        <xdr:cNvSpPr/>
      </xdr:nvSpPr>
      <xdr:spPr>
        <a:xfrm>
          <a:off x="2797307" y="57877182"/>
          <a:ext cx="3038475" cy="118782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ru-RU" sz="1200" b="0" i="0">
              <a:effectLst/>
              <a:latin typeface="+mj-lt"/>
              <a:ea typeface="+mn-ea"/>
              <a:cs typeface="+mn-cs"/>
            </a:rPr>
            <a:t>Импульсный блок питания. Входное напряжение: 110-260</a:t>
          </a:r>
          <a:r>
            <a:rPr lang="en-US" sz="1200" b="0" i="0">
              <a:effectLst/>
              <a:latin typeface="+mj-lt"/>
              <a:ea typeface="+mn-ea"/>
              <a:cs typeface="+mn-cs"/>
            </a:rPr>
            <a:t>V. </a:t>
          </a:r>
          <a:r>
            <a:rPr lang="ru-RU" sz="1200" b="0" i="0">
              <a:effectLst/>
              <a:latin typeface="+mj-lt"/>
              <a:ea typeface="+mn-ea"/>
              <a:cs typeface="+mn-cs"/>
            </a:rPr>
            <a:t>Выходное напряжение: 24</a:t>
          </a:r>
          <a:r>
            <a:rPr lang="en-US" sz="1200" b="0" i="0">
              <a:effectLst/>
              <a:latin typeface="+mj-lt"/>
              <a:ea typeface="+mn-ea"/>
              <a:cs typeface="+mn-cs"/>
            </a:rPr>
            <a:t>V. </a:t>
          </a:r>
          <a:r>
            <a:rPr lang="ru-RU" sz="1200" b="0" i="0">
              <a:effectLst/>
              <a:latin typeface="+mj-lt"/>
              <a:ea typeface="+mn-ea"/>
              <a:cs typeface="+mn-cs"/>
            </a:rPr>
            <a:t>Мощность: 60Вт. Степень защиты: </a:t>
          </a:r>
          <a:r>
            <a:rPr lang="en-US" sz="1200" b="0" i="0">
              <a:effectLst/>
              <a:latin typeface="+mj-lt"/>
              <a:ea typeface="+mn-ea"/>
              <a:cs typeface="+mn-cs"/>
            </a:rPr>
            <a:t>IP20. </a:t>
          </a:r>
          <a:r>
            <a:rPr lang="ru-RU" sz="1200" b="0" i="0">
              <a:effectLst/>
              <a:latin typeface="+mj-lt"/>
              <a:ea typeface="+mn-ea"/>
              <a:cs typeface="+mn-cs"/>
            </a:rPr>
            <a:t>Размеры: 110</a:t>
          </a:r>
          <a:r>
            <a:rPr lang="en-US" sz="1200" b="0" i="0">
              <a:effectLst/>
              <a:latin typeface="+mj-lt"/>
              <a:ea typeface="+mn-ea"/>
              <a:cs typeface="+mn-cs"/>
            </a:rPr>
            <a:t>x78x38</a:t>
          </a:r>
          <a:r>
            <a:rPr lang="ru-RU" sz="1200" b="0" i="0">
              <a:effectLst/>
              <a:latin typeface="+mj-lt"/>
              <a:ea typeface="+mn-ea"/>
              <a:cs typeface="+mn-cs"/>
            </a:rPr>
            <a:t>мм. Гарантия: 2 года.</a:t>
          </a: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twoCellAnchor editAs="oneCell">
    <xdr:from>
      <xdr:col>2</xdr:col>
      <xdr:colOff>100852</xdr:colOff>
      <xdr:row>86</xdr:row>
      <xdr:rowOff>224118</xdr:rowOff>
    </xdr:from>
    <xdr:to>
      <xdr:col>2</xdr:col>
      <xdr:colOff>2153515</xdr:colOff>
      <xdr:row>89</xdr:row>
      <xdr:rowOff>123263</xdr:rowOff>
    </xdr:to>
    <xdr:pic>
      <xdr:nvPicPr>
        <xdr:cNvPr id="34" name="Рисунок 33" descr="https://ledpremium.ru/upload/iblock/16e/a_626100.jpg">
          <a:extLst>
            <a:ext uri="{FF2B5EF4-FFF2-40B4-BE49-F238E27FC236}">
              <a16:creationId xmlns:a16="http://schemas.microsoft.com/office/drawing/2014/main" id="{00000000-0008-0000-2B00-00002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20" t="14002" r="13447" b="13652"/>
        <a:stretch/>
      </xdr:blipFill>
      <xdr:spPr bwMode="auto">
        <a:xfrm>
          <a:off x="6663577" y="57802743"/>
          <a:ext cx="2052663" cy="1385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14</xdr:row>
      <xdr:rowOff>235323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2B00-000023000000}"/>
            </a:ext>
          </a:extLst>
        </xdr:cNvPr>
        <xdr:cNvSpPr txBox="1"/>
      </xdr:nvSpPr>
      <xdr:spPr>
        <a:xfrm>
          <a:off x="10572750" y="6759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15</xdr:row>
      <xdr:rowOff>134470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2B00-000024000000}"/>
            </a:ext>
          </a:extLst>
        </xdr:cNvPr>
        <xdr:cNvSpPr txBox="1"/>
      </xdr:nvSpPr>
      <xdr:spPr>
        <a:xfrm>
          <a:off x="10572750" y="7135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323371</xdr:colOff>
      <xdr:row>28</xdr:row>
      <xdr:rowOff>99252</xdr:rowOff>
    </xdr:from>
    <xdr:ext cx="3776384" cy="2431676"/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id="{00000000-0008-0000-2B00-000025000000}"/>
            </a:ext>
          </a:extLst>
        </xdr:cNvPr>
        <xdr:cNvSpPr/>
      </xdr:nvSpPr>
      <xdr:spPr>
        <a:xfrm>
          <a:off x="2723671" y="13710477"/>
          <a:ext cx="3776384" cy="243167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белого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3 скорости вентилятора + АВТО режим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Недельное программирование температуры</a:t>
          </a:r>
        </a:p>
        <a:p>
          <a:r>
            <a:rPr lang="en-US" sz="1200">
              <a:effectLst/>
              <a:latin typeface="+mn-lt"/>
              <a:ea typeface="+mn-ea"/>
              <a:cs typeface="+mn-cs"/>
            </a:rPr>
            <a:t>WIFI </a:t>
          </a:r>
          <a:r>
            <a:rPr lang="ru-RU" sz="1200">
              <a:effectLst/>
              <a:latin typeface="+mn-lt"/>
              <a:ea typeface="+mn-ea"/>
              <a:cs typeface="+mn-cs"/>
            </a:rPr>
            <a:t>для </a:t>
          </a:r>
          <a:r>
            <a:rPr lang="en-US" sz="1200">
              <a:effectLst/>
              <a:latin typeface="+mn-lt"/>
              <a:ea typeface="+mn-ea"/>
              <a:cs typeface="+mn-cs"/>
            </a:rPr>
            <a:t>Android </a:t>
          </a:r>
          <a:r>
            <a:rPr lang="ru-RU" sz="1200">
              <a:effectLst/>
              <a:latin typeface="+mn-lt"/>
              <a:ea typeface="+mn-ea"/>
              <a:cs typeface="+mn-cs"/>
            </a:rPr>
            <a:t>и </a:t>
          </a:r>
          <a:r>
            <a:rPr lang="en-US" sz="1200">
              <a:effectLst/>
              <a:latin typeface="+mn-lt"/>
              <a:ea typeface="+mn-ea"/>
              <a:cs typeface="+mn-cs"/>
            </a:rPr>
            <a:t>IOS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~230 В ±10%, 50 Гц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0,5 В·А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Нагрузка 3-5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</a:t>
          </a:r>
          <a:r>
            <a:rPr lang="ru-RU" sz="1200">
              <a:effectLst/>
              <a:latin typeface="+mn-lt"/>
              <a:ea typeface="+mn-ea"/>
              <a:cs typeface="+mn-cs"/>
            </a:rPr>
            <a:t>30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0...+45°С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86×86×13,3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трубной системы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baseline="0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>
            <a:effectLst/>
            <a:latin typeface="+mj-lt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2</xdr:col>
      <xdr:colOff>306401</xdr:colOff>
      <xdr:row>13</xdr:row>
      <xdr:rowOff>449036</xdr:rowOff>
    </xdr:from>
    <xdr:ext cx="1543050" cy="1505778"/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2B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9126" y="6497411"/>
          <a:ext cx="1543050" cy="150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225137</xdr:colOff>
      <xdr:row>18</xdr:row>
      <xdr:rowOff>398167</xdr:rowOff>
    </xdr:from>
    <xdr:to>
      <xdr:col>2</xdr:col>
      <xdr:colOff>1945080</xdr:colOff>
      <xdr:row>22</xdr:row>
      <xdr:rowOff>252116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2B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7862" y="8875417"/>
          <a:ext cx="1719943" cy="1758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271764</xdr:colOff>
      <xdr:row>24</xdr:row>
      <xdr:rowOff>180604</xdr:rowOff>
    </xdr:from>
    <xdr:ext cx="1543050" cy="1505778"/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2B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4489" y="11658229"/>
          <a:ext cx="1543050" cy="150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190500</xdr:colOff>
      <xdr:row>28</xdr:row>
      <xdr:rowOff>511971</xdr:rowOff>
    </xdr:from>
    <xdr:to>
      <xdr:col>2</xdr:col>
      <xdr:colOff>1910443</xdr:colOff>
      <xdr:row>32</xdr:row>
      <xdr:rowOff>148206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2B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14123196"/>
          <a:ext cx="1719943" cy="1769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136071</xdr:colOff>
      <xdr:row>91</xdr:row>
      <xdr:rowOff>95251</xdr:rowOff>
    </xdr:from>
    <xdr:to>
      <xdr:col>2</xdr:col>
      <xdr:colOff>2024730</xdr:colOff>
      <xdr:row>97</xdr:row>
      <xdr:rowOff>70542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2B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698796" y="68360926"/>
          <a:ext cx="1888659" cy="1461190"/>
        </a:xfrm>
        <a:prstGeom prst="rect">
          <a:avLst/>
        </a:prstGeom>
      </xdr:spPr>
    </xdr:pic>
    <xdr:clientData/>
  </xdr:twoCellAnchor>
  <xdr:oneCellAnchor>
    <xdr:from>
      <xdr:col>1</xdr:col>
      <xdr:colOff>455543</xdr:colOff>
      <xdr:row>92</xdr:row>
      <xdr:rowOff>107674</xdr:rowOff>
    </xdr:from>
    <xdr:ext cx="3886200" cy="1341783"/>
    <xdr:sp macro="" textlink="">
      <xdr:nvSpPr>
        <xdr:cNvPr id="43" name="Прямоугольник 42">
          <a:extLst>
            <a:ext uri="{FF2B5EF4-FFF2-40B4-BE49-F238E27FC236}">
              <a16:creationId xmlns:a16="http://schemas.microsoft.com/office/drawing/2014/main" id="{00000000-0008-0000-2B00-00002B000000}"/>
            </a:ext>
          </a:extLst>
        </xdr:cNvPr>
        <xdr:cNvSpPr/>
      </xdr:nvSpPr>
      <xdr:spPr>
        <a:xfrm>
          <a:off x="2855843" y="68620999"/>
          <a:ext cx="3886200" cy="134178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Номинальная мощность: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92 Вт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Номинальный ток: 3,83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постоянного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200">
              <a:effectLst/>
              <a:latin typeface="+mn-lt"/>
              <a:ea typeface="+mn-ea"/>
              <a:cs typeface="+mn-cs"/>
            </a:rPr>
            <a:t>тока: 24 В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effectLst/>
              <a:latin typeface="+mn-lt"/>
              <a:ea typeface="+mn-ea"/>
              <a:cs typeface="+mn-cs"/>
            </a:rPr>
            <a:t>Габариты (Ш×В×Г) : 70×90×54 мм</a:t>
          </a:r>
          <a:endParaRPr lang="ru-RU" sz="1200">
            <a:effectLst/>
          </a:endParaRPr>
        </a:p>
        <a:p>
          <a:endParaRPr lang="ru-RU" sz="1200"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baseline="0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>
            <a:effectLst/>
            <a:latin typeface="+mj-lt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</xdr:col>
      <xdr:colOff>326571</xdr:colOff>
      <xdr:row>33</xdr:row>
      <xdr:rowOff>204108</xdr:rowOff>
    </xdr:from>
    <xdr:ext cx="3913413" cy="4391630"/>
    <xdr:sp macro="" textlink="">
      <xdr:nvSpPr>
        <xdr:cNvPr id="44" name="Прямоугольник 43">
          <a:extLst>
            <a:ext uri="{FF2B5EF4-FFF2-40B4-BE49-F238E27FC236}">
              <a16:creationId xmlns:a16="http://schemas.microsoft.com/office/drawing/2014/main" id="{00000000-0008-0000-2B00-00002C000000}"/>
            </a:ext>
          </a:extLst>
        </xdr:cNvPr>
        <xdr:cNvSpPr/>
      </xdr:nvSpPr>
      <xdr:spPr>
        <a:xfrm>
          <a:off x="2726871" y="26626458"/>
          <a:ext cx="3913413" cy="439163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черного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Управление вентилятором  0-10 постоянного тока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7 дней, будний / выходной, круглосуточный график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Четыре или шесть настроек в день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Автоматическая синхронизация времени и даты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Автоматически переходит на летнее время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Защита от замерзания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Режим отпуска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Цветной сенсорный </a:t>
          </a:r>
          <a:r>
            <a:rPr lang="en-US" sz="1200">
              <a:effectLst/>
              <a:latin typeface="+mn-lt"/>
              <a:ea typeface="+mn-ea"/>
              <a:cs typeface="+mn-cs"/>
            </a:rPr>
            <a:t>TFT</a:t>
          </a:r>
          <a:r>
            <a:rPr lang="ru-RU" sz="1200">
              <a:effectLst/>
              <a:latin typeface="+mn-lt"/>
              <a:ea typeface="+mn-ea"/>
              <a:cs typeface="+mn-cs"/>
            </a:rPr>
            <a:t>-экран с диагональю 3,5 дюйма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Блокировка сенсорного экрана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Датчик внешней освещенности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Датчик влажности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Геозона</a:t>
          </a:r>
        </a:p>
        <a:p>
          <a:r>
            <a:rPr lang="en-US" sz="1200">
              <a:effectLst/>
              <a:latin typeface="+mn-lt"/>
              <a:ea typeface="+mn-ea"/>
              <a:cs typeface="+mn-cs"/>
            </a:rPr>
            <a:t>Modbus RS485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</a:t>
          </a:r>
          <a:r>
            <a:rPr lang="en-US" sz="1200">
              <a:effectLst/>
              <a:latin typeface="+mn-lt"/>
              <a:ea typeface="+mn-ea"/>
              <a:cs typeface="+mn-cs"/>
            </a:rPr>
            <a:t>~230</a:t>
          </a:r>
          <a:r>
            <a:rPr lang="ru-RU" sz="1200">
              <a:effectLst/>
              <a:latin typeface="+mn-lt"/>
              <a:ea typeface="+mn-ea"/>
              <a:cs typeface="+mn-cs"/>
            </a:rPr>
            <a:t> В</a:t>
          </a:r>
          <a:r>
            <a:rPr lang="en-US" sz="1200">
              <a:effectLst/>
              <a:latin typeface="+mn-lt"/>
              <a:ea typeface="+mn-ea"/>
              <a:cs typeface="+mn-cs"/>
            </a:rPr>
            <a:t> ±10%</a:t>
          </a:r>
          <a:r>
            <a:rPr lang="ru-RU" sz="1200">
              <a:effectLst/>
              <a:latin typeface="+mn-lt"/>
              <a:ea typeface="+mn-ea"/>
              <a:cs typeface="+mn-cs"/>
            </a:rPr>
            <a:t>, 50 Гц</a:t>
          </a:r>
        </a:p>
        <a:p>
          <a:r>
            <a:rPr lang="en-US" sz="1200">
              <a:effectLst/>
              <a:latin typeface="+mn-lt"/>
              <a:ea typeface="+mn-ea"/>
              <a:cs typeface="+mn-cs"/>
            </a:rPr>
            <a:t>WIFI - IEEE 802.11 b/g/n - 2.4ghz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</a:t>
          </a:r>
          <a:r>
            <a:rPr lang="en-US" sz="1200">
              <a:effectLst/>
              <a:latin typeface="+mn-lt"/>
              <a:ea typeface="+mn-ea"/>
              <a:cs typeface="+mn-cs"/>
            </a:rPr>
            <a:t>0,5</a:t>
          </a:r>
          <a:r>
            <a:rPr lang="ru-RU" sz="1200">
              <a:effectLst/>
              <a:latin typeface="+mn-lt"/>
              <a:ea typeface="+mn-ea"/>
              <a:cs typeface="+mn-cs"/>
            </a:rPr>
            <a:t> В·А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Релейная нагрузка 3-5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IP21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</a:t>
          </a:r>
          <a:r>
            <a:rPr lang="en-US" sz="1200">
              <a:effectLst/>
              <a:latin typeface="+mn-lt"/>
              <a:ea typeface="+mn-ea"/>
              <a:cs typeface="+mn-cs"/>
            </a:rPr>
            <a:t>45</a:t>
          </a:r>
          <a:r>
            <a:rPr lang="ru-RU" sz="1200">
              <a:effectLst/>
              <a:latin typeface="+mn-lt"/>
              <a:ea typeface="+mn-ea"/>
              <a:cs typeface="+mn-cs"/>
            </a:rPr>
            <a:t>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</a:t>
          </a:r>
          <a:r>
            <a:rPr lang="en-US" sz="1200">
              <a:effectLst/>
              <a:latin typeface="+mn-lt"/>
              <a:ea typeface="+mn-ea"/>
              <a:cs typeface="+mn-cs"/>
            </a:rPr>
            <a:t>9</a:t>
          </a:r>
          <a:r>
            <a:rPr lang="ru-RU" sz="1200">
              <a:effectLst/>
              <a:latin typeface="+mn-lt"/>
              <a:ea typeface="+mn-ea"/>
              <a:cs typeface="+mn-cs"/>
            </a:rPr>
            <a:t>6×86×</a:t>
          </a:r>
          <a:r>
            <a:rPr lang="en-US" sz="1200">
              <a:effectLst/>
              <a:latin typeface="+mn-lt"/>
              <a:ea typeface="+mn-ea"/>
              <a:cs typeface="+mn-cs"/>
            </a:rPr>
            <a:t>13,8</a:t>
          </a:r>
          <a:r>
            <a:rPr lang="ru-RU" sz="1200">
              <a:effectLst/>
              <a:latin typeface="+mn-lt"/>
              <a:ea typeface="+mn-ea"/>
              <a:cs typeface="+mn-cs"/>
            </a:rPr>
            <a:t>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и 4-х трубных систем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Calibri Light" panose="020F0302020204030204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 Light" panose="020F030202020403020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Calibri Light" panose="020F0302020204030204"/>
            </a:rPr>
            <a:t> </a:t>
          </a:r>
          <a:endParaRPr kumimoji="0" lang="en-US" sz="1200" b="0" i="0" u="none" strike="noStrike" kern="0" cap="none" spc="0" normalizeH="0" baseline="0" noProof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Calibri Light" panose="020F0302020204030204"/>
          </a:endParaRPr>
        </a:p>
      </xdr:txBody>
    </xdr:sp>
    <xdr:clientData/>
  </xdr:oneCellAnchor>
  <xdr:oneCellAnchor>
    <xdr:from>
      <xdr:col>1</xdr:col>
      <xdr:colOff>272143</xdr:colOff>
      <xdr:row>38</xdr:row>
      <xdr:rowOff>0</xdr:rowOff>
    </xdr:from>
    <xdr:ext cx="3913413" cy="4391630"/>
    <xdr:sp macro="" textlink="">
      <xdr:nvSpPr>
        <xdr:cNvPr id="45" name="Прямоугольник 44">
          <a:extLst>
            <a:ext uri="{FF2B5EF4-FFF2-40B4-BE49-F238E27FC236}">
              <a16:creationId xmlns:a16="http://schemas.microsoft.com/office/drawing/2014/main" id="{00000000-0008-0000-2B00-00002D000000}"/>
            </a:ext>
          </a:extLst>
        </xdr:cNvPr>
        <xdr:cNvSpPr/>
      </xdr:nvSpPr>
      <xdr:spPr>
        <a:xfrm>
          <a:off x="2672443" y="31613475"/>
          <a:ext cx="3913413" cy="439163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белого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Управление вентилятором  0-10 В </a:t>
          </a:r>
          <a:r>
            <a:rPr lang="ru-RU" sz="1100">
              <a:effectLst/>
              <a:latin typeface="+mn-lt"/>
              <a:ea typeface="+mn-ea"/>
              <a:cs typeface="+mn-cs"/>
            </a:rPr>
            <a:t>постоянного</a:t>
          </a:r>
          <a:r>
            <a:rPr lang="ru-RU" sz="1200">
              <a:effectLst/>
              <a:latin typeface="+mn-lt"/>
              <a:ea typeface="+mn-ea"/>
              <a:cs typeface="+mn-cs"/>
            </a:rPr>
            <a:t> тока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7 дней, будний / выходной, круглосуточный график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Четыре или шесть настроек в день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Автоматическая синхронизация времени и даты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Автоматически переходит на летнее время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Защита от замерзания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Режим отпуска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Цветной сенсорный </a:t>
          </a:r>
          <a:r>
            <a:rPr lang="en-US" sz="1200">
              <a:effectLst/>
              <a:latin typeface="+mn-lt"/>
              <a:ea typeface="+mn-ea"/>
              <a:cs typeface="+mn-cs"/>
            </a:rPr>
            <a:t>TFT</a:t>
          </a:r>
          <a:r>
            <a:rPr lang="ru-RU" sz="1200">
              <a:effectLst/>
              <a:latin typeface="+mn-lt"/>
              <a:ea typeface="+mn-ea"/>
              <a:cs typeface="+mn-cs"/>
            </a:rPr>
            <a:t>-экран с диагональю 3,5 дюйма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Блокировка сенсорного экрана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Датчик внешней освещенности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Датчик влажности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Геозона</a:t>
          </a:r>
        </a:p>
        <a:p>
          <a:r>
            <a:rPr lang="en-US" sz="1200">
              <a:effectLst/>
              <a:latin typeface="+mn-lt"/>
              <a:ea typeface="+mn-ea"/>
              <a:cs typeface="+mn-cs"/>
            </a:rPr>
            <a:t>Modbus RS485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</a:t>
          </a:r>
          <a:r>
            <a:rPr lang="en-US" sz="1200">
              <a:effectLst/>
              <a:latin typeface="+mn-lt"/>
              <a:ea typeface="+mn-ea"/>
              <a:cs typeface="+mn-cs"/>
            </a:rPr>
            <a:t>~230</a:t>
          </a:r>
          <a:r>
            <a:rPr lang="ru-RU" sz="1200">
              <a:effectLst/>
              <a:latin typeface="+mn-lt"/>
              <a:ea typeface="+mn-ea"/>
              <a:cs typeface="+mn-cs"/>
            </a:rPr>
            <a:t> В</a:t>
          </a:r>
          <a:r>
            <a:rPr lang="en-US" sz="1200">
              <a:effectLst/>
              <a:latin typeface="+mn-lt"/>
              <a:ea typeface="+mn-ea"/>
              <a:cs typeface="+mn-cs"/>
            </a:rPr>
            <a:t> ±10%</a:t>
          </a:r>
          <a:r>
            <a:rPr lang="ru-RU" sz="1200">
              <a:effectLst/>
              <a:latin typeface="+mn-lt"/>
              <a:ea typeface="+mn-ea"/>
              <a:cs typeface="+mn-cs"/>
            </a:rPr>
            <a:t>, 50 Гц</a:t>
          </a:r>
        </a:p>
        <a:p>
          <a:r>
            <a:rPr lang="en-US" sz="1200">
              <a:effectLst/>
              <a:latin typeface="+mn-lt"/>
              <a:ea typeface="+mn-ea"/>
              <a:cs typeface="+mn-cs"/>
            </a:rPr>
            <a:t>WIFI - IEEE 802.11 b/g/n - 2.4ghz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</a:t>
          </a:r>
          <a:r>
            <a:rPr lang="en-US" sz="1200">
              <a:effectLst/>
              <a:latin typeface="+mn-lt"/>
              <a:ea typeface="+mn-ea"/>
              <a:cs typeface="+mn-cs"/>
            </a:rPr>
            <a:t>0,5</a:t>
          </a:r>
          <a:r>
            <a:rPr lang="ru-RU" sz="1200">
              <a:effectLst/>
              <a:latin typeface="+mn-lt"/>
              <a:ea typeface="+mn-ea"/>
              <a:cs typeface="+mn-cs"/>
            </a:rPr>
            <a:t> В·А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Релейная нагрузка 3-5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IP21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</a:t>
          </a:r>
          <a:r>
            <a:rPr lang="en-US" sz="1200">
              <a:effectLst/>
              <a:latin typeface="+mn-lt"/>
              <a:ea typeface="+mn-ea"/>
              <a:cs typeface="+mn-cs"/>
            </a:rPr>
            <a:t>45</a:t>
          </a:r>
          <a:r>
            <a:rPr lang="ru-RU" sz="1200">
              <a:effectLst/>
              <a:latin typeface="+mn-lt"/>
              <a:ea typeface="+mn-ea"/>
              <a:cs typeface="+mn-cs"/>
            </a:rPr>
            <a:t>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</a:t>
          </a:r>
          <a:r>
            <a:rPr lang="en-US" sz="1200">
              <a:effectLst/>
              <a:latin typeface="+mn-lt"/>
              <a:ea typeface="+mn-ea"/>
              <a:cs typeface="+mn-cs"/>
            </a:rPr>
            <a:t>9</a:t>
          </a:r>
          <a:r>
            <a:rPr lang="ru-RU" sz="1200">
              <a:effectLst/>
              <a:latin typeface="+mn-lt"/>
              <a:ea typeface="+mn-ea"/>
              <a:cs typeface="+mn-cs"/>
            </a:rPr>
            <a:t>6×86×</a:t>
          </a:r>
          <a:r>
            <a:rPr lang="en-US" sz="1200">
              <a:effectLst/>
              <a:latin typeface="+mn-lt"/>
              <a:ea typeface="+mn-ea"/>
              <a:cs typeface="+mn-cs"/>
            </a:rPr>
            <a:t>13,8</a:t>
          </a:r>
          <a:r>
            <a:rPr lang="ru-RU" sz="1200">
              <a:effectLst/>
              <a:latin typeface="+mn-lt"/>
              <a:ea typeface="+mn-ea"/>
              <a:cs typeface="+mn-cs"/>
            </a:rPr>
            <a:t>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и 4-х трубных систем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Calibri Light" panose="020F0302020204030204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 Light" panose="020F030202020403020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Calibri Light" panose="020F0302020204030204"/>
            </a:rPr>
            <a:t> </a:t>
          </a:r>
          <a:endParaRPr kumimoji="0" lang="en-US" sz="1200" b="0" i="0" u="none" strike="noStrike" kern="0" cap="none" spc="0" normalizeH="0" baseline="0" noProof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Calibri Light" panose="020F0302020204030204"/>
          </a:endParaRPr>
        </a:p>
      </xdr:txBody>
    </xdr:sp>
    <xdr:clientData/>
  </xdr:oneCellAnchor>
  <xdr:twoCellAnchor editAs="oneCell">
    <xdr:from>
      <xdr:col>2</xdr:col>
      <xdr:colOff>54429</xdr:colOff>
      <xdr:row>78</xdr:row>
      <xdr:rowOff>95250</xdr:rowOff>
    </xdr:from>
    <xdr:to>
      <xdr:col>2</xdr:col>
      <xdr:colOff>2196110</xdr:colOff>
      <xdr:row>81</xdr:row>
      <xdr:rowOff>251113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2B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18855" t="17064" r="13131" b="10138"/>
        <a:stretch/>
      </xdr:blipFill>
      <xdr:spPr>
        <a:xfrm>
          <a:off x="6617154" y="53711475"/>
          <a:ext cx="2141681" cy="1641763"/>
        </a:xfrm>
        <a:prstGeom prst="rect">
          <a:avLst/>
        </a:prstGeom>
      </xdr:spPr>
    </xdr:pic>
    <xdr:clientData/>
  </xdr:twoCellAnchor>
  <xdr:twoCellAnchor editAs="oneCell">
    <xdr:from>
      <xdr:col>2</xdr:col>
      <xdr:colOff>145676</xdr:colOff>
      <xdr:row>49</xdr:row>
      <xdr:rowOff>129986</xdr:rowOff>
    </xdr:from>
    <xdr:to>
      <xdr:col>2</xdr:col>
      <xdr:colOff>2057782</xdr:colOff>
      <xdr:row>51</xdr:row>
      <xdr:rowOff>509895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2B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401" y="40687436"/>
          <a:ext cx="1912106" cy="178961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44</xdr:row>
      <xdr:rowOff>134471</xdr:rowOff>
    </xdr:from>
    <xdr:to>
      <xdr:col>2</xdr:col>
      <xdr:colOff>1981776</xdr:colOff>
      <xdr:row>46</xdr:row>
      <xdr:rowOff>410471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2B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3225" y="36939071"/>
          <a:ext cx="1791276" cy="1800000"/>
        </a:xfrm>
        <a:prstGeom prst="rect">
          <a:avLst/>
        </a:prstGeom>
      </xdr:spPr>
    </xdr:pic>
    <xdr:clientData/>
  </xdr:twoCellAnchor>
  <xdr:oneCellAnchor>
    <xdr:from>
      <xdr:col>1</xdr:col>
      <xdr:colOff>246529</xdr:colOff>
      <xdr:row>47</xdr:row>
      <xdr:rowOff>750795</xdr:rowOff>
    </xdr:from>
    <xdr:ext cx="3913413" cy="3630706"/>
    <xdr:sp macro="" textlink="">
      <xdr:nvSpPr>
        <xdr:cNvPr id="49" name="Прямоугольник 48">
          <a:extLst>
            <a:ext uri="{FF2B5EF4-FFF2-40B4-BE49-F238E27FC236}">
              <a16:creationId xmlns:a16="http://schemas.microsoft.com/office/drawing/2014/main" id="{00000000-0008-0000-2B00-000031000000}"/>
            </a:ext>
          </a:extLst>
        </xdr:cNvPr>
        <xdr:cNvSpPr/>
      </xdr:nvSpPr>
      <xdr:spPr>
        <a:xfrm>
          <a:off x="2646829" y="39841395"/>
          <a:ext cx="3913413" cy="363070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белого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Управление вентилятором  0-10 В </a:t>
          </a:r>
          <a:r>
            <a:rPr lang="ru-RU" sz="1100">
              <a:effectLst/>
              <a:latin typeface="+mn-lt"/>
              <a:ea typeface="+mn-ea"/>
              <a:cs typeface="+mn-cs"/>
            </a:rPr>
            <a:t>постоянного</a:t>
          </a:r>
          <a:r>
            <a:rPr lang="ru-RU" sz="1200">
              <a:effectLst/>
              <a:latin typeface="+mn-lt"/>
              <a:ea typeface="+mn-ea"/>
              <a:cs typeface="+mn-cs"/>
            </a:rPr>
            <a:t> тока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7 дней, будний / выходной, круглосуточный график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4 временных периода с разделением на будни и выходные дни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Цветной емкостный сенсорный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200">
              <a:effectLst/>
              <a:latin typeface="+mn-lt"/>
              <a:ea typeface="+mn-ea"/>
              <a:cs typeface="+mn-cs"/>
            </a:rPr>
            <a:t>экран 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Блокировка сенсорного экрана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Датчик </a:t>
          </a:r>
          <a:r>
            <a:rPr lang="en-US" sz="1200">
              <a:effectLst/>
              <a:latin typeface="+mn-lt"/>
              <a:ea typeface="+mn-ea"/>
              <a:cs typeface="+mn-cs"/>
            </a:rPr>
            <a:t>NTC3950,</a:t>
          </a:r>
          <a:r>
            <a:rPr lang="en-US" sz="1200" baseline="0">
              <a:effectLst/>
              <a:latin typeface="+mn-lt"/>
              <a:ea typeface="+mn-ea"/>
              <a:cs typeface="+mn-cs"/>
            </a:rPr>
            <a:t> 10K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</a:t>
          </a:r>
          <a:r>
            <a:rPr lang="en-US" sz="1200">
              <a:effectLst/>
              <a:latin typeface="+mn-lt"/>
              <a:ea typeface="+mn-ea"/>
              <a:cs typeface="+mn-cs"/>
            </a:rPr>
            <a:t>~230</a:t>
          </a:r>
          <a:r>
            <a:rPr lang="ru-RU" sz="1200">
              <a:effectLst/>
              <a:latin typeface="+mn-lt"/>
              <a:ea typeface="+mn-ea"/>
              <a:cs typeface="+mn-cs"/>
            </a:rPr>
            <a:t> В</a:t>
          </a:r>
          <a:r>
            <a:rPr lang="en-US" sz="1200">
              <a:effectLst/>
              <a:latin typeface="+mn-lt"/>
              <a:ea typeface="+mn-ea"/>
              <a:cs typeface="+mn-cs"/>
            </a:rPr>
            <a:t> ±10%</a:t>
          </a:r>
          <a:r>
            <a:rPr lang="ru-RU" sz="1200">
              <a:effectLst/>
              <a:latin typeface="+mn-lt"/>
              <a:ea typeface="+mn-ea"/>
              <a:cs typeface="+mn-cs"/>
            </a:rPr>
            <a:t>, 50 Гц</a:t>
          </a:r>
        </a:p>
        <a:p>
          <a:r>
            <a:rPr lang="en-US" sz="1200">
              <a:effectLst/>
              <a:latin typeface="+mn-lt"/>
              <a:ea typeface="+mn-ea"/>
              <a:cs typeface="+mn-cs"/>
            </a:rPr>
            <a:t>WIFI - IEEE 802.11 b/g/n - 2.4ghz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</a:t>
          </a:r>
          <a:r>
            <a:rPr lang="en-US" sz="1200">
              <a:effectLst/>
              <a:latin typeface="+mn-lt"/>
              <a:ea typeface="+mn-ea"/>
              <a:cs typeface="+mn-cs"/>
            </a:rPr>
            <a:t>&lt;1</a:t>
          </a:r>
          <a:r>
            <a:rPr lang="en-US" sz="120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Вт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Релейная нагрузка 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IP2</a:t>
          </a:r>
          <a:r>
            <a:rPr lang="ru-RU" sz="1200">
              <a:effectLst/>
              <a:latin typeface="+mn-lt"/>
              <a:ea typeface="+mn-ea"/>
              <a:cs typeface="+mn-cs"/>
            </a:rPr>
            <a:t>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</a:t>
          </a:r>
          <a:r>
            <a:rPr lang="en-US" sz="1200">
              <a:effectLst/>
              <a:latin typeface="+mn-lt"/>
              <a:ea typeface="+mn-ea"/>
              <a:cs typeface="+mn-cs"/>
            </a:rPr>
            <a:t>45</a:t>
          </a:r>
          <a:r>
            <a:rPr lang="ru-RU" sz="1200">
              <a:effectLst/>
              <a:latin typeface="+mn-lt"/>
              <a:ea typeface="+mn-ea"/>
              <a:cs typeface="+mn-cs"/>
            </a:rPr>
            <a:t>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влажности: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5-95% (без конденсата)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86×86×45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 трубных систем.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Calibri Light" panose="020F0302020204030204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 Light" panose="020F030202020403020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Calibri Light" panose="020F0302020204030204"/>
            </a:rPr>
            <a:t> </a:t>
          </a:r>
          <a:endParaRPr kumimoji="0" lang="en-US" sz="1200" b="0" i="0" u="none" strike="noStrike" kern="0" cap="none" spc="0" normalizeH="0" baseline="0" noProof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Calibri Light" panose="020F0302020204030204"/>
          </a:endParaRPr>
        </a:p>
      </xdr:txBody>
    </xdr:sp>
    <xdr:clientData/>
  </xdr:oneCellAnchor>
  <xdr:oneCellAnchor>
    <xdr:from>
      <xdr:col>1</xdr:col>
      <xdr:colOff>268941</xdr:colOff>
      <xdr:row>43</xdr:row>
      <xdr:rowOff>134471</xdr:rowOff>
    </xdr:from>
    <xdr:ext cx="3913413" cy="3630706"/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id="{00000000-0008-0000-2B00-000032000000}"/>
            </a:ext>
          </a:extLst>
        </xdr:cNvPr>
        <xdr:cNvSpPr/>
      </xdr:nvSpPr>
      <xdr:spPr>
        <a:xfrm>
          <a:off x="2669241" y="36177071"/>
          <a:ext cx="3913413" cy="363070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черного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Управление вентилятором  0-10 В </a:t>
          </a:r>
          <a:r>
            <a:rPr lang="ru-RU" sz="1100">
              <a:effectLst/>
              <a:latin typeface="+mn-lt"/>
              <a:ea typeface="+mn-ea"/>
              <a:cs typeface="+mn-cs"/>
            </a:rPr>
            <a:t>постоянного</a:t>
          </a:r>
          <a:r>
            <a:rPr lang="ru-RU" sz="1200">
              <a:effectLst/>
              <a:latin typeface="+mn-lt"/>
              <a:ea typeface="+mn-ea"/>
              <a:cs typeface="+mn-cs"/>
            </a:rPr>
            <a:t> тока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7 дней, будний / выходной, круглосуточный график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4 временных периода с разделением на будни и выходные дни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Цветной емкостный сенсорный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200">
              <a:effectLst/>
              <a:latin typeface="+mn-lt"/>
              <a:ea typeface="+mn-ea"/>
              <a:cs typeface="+mn-cs"/>
            </a:rPr>
            <a:t>экран 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Блокировка сенсорного экрана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Датчик </a:t>
          </a:r>
          <a:r>
            <a:rPr lang="en-US" sz="1200">
              <a:effectLst/>
              <a:latin typeface="+mn-lt"/>
              <a:ea typeface="+mn-ea"/>
              <a:cs typeface="+mn-cs"/>
            </a:rPr>
            <a:t>NTC3950,</a:t>
          </a:r>
          <a:r>
            <a:rPr lang="en-US" sz="1200" baseline="0">
              <a:effectLst/>
              <a:latin typeface="+mn-lt"/>
              <a:ea typeface="+mn-ea"/>
              <a:cs typeface="+mn-cs"/>
            </a:rPr>
            <a:t> 10K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</a:t>
          </a:r>
          <a:r>
            <a:rPr lang="en-US" sz="1200">
              <a:effectLst/>
              <a:latin typeface="+mn-lt"/>
              <a:ea typeface="+mn-ea"/>
              <a:cs typeface="+mn-cs"/>
            </a:rPr>
            <a:t>~230</a:t>
          </a:r>
          <a:r>
            <a:rPr lang="ru-RU" sz="1200">
              <a:effectLst/>
              <a:latin typeface="+mn-lt"/>
              <a:ea typeface="+mn-ea"/>
              <a:cs typeface="+mn-cs"/>
            </a:rPr>
            <a:t> В</a:t>
          </a:r>
          <a:r>
            <a:rPr lang="en-US" sz="1200">
              <a:effectLst/>
              <a:latin typeface="+mn-lt"/>
              <a:ea typeface="+mn-ea"/>
              <a:cs typeface="+mn-cs"/>
            </a:rPr>
            <a:t> ±10%</a:t>
          </a:r>
          <a:r>
            <a:rPr lang="ru-RU" sz="1200">
              <a:effectLst/>
              <a:latin typeface="+mn-lt"/>
              <a:ea typeface="+mn-ea"/>
              <a:cs typeface="+mn-cs"/>
            </a:rPr>
            <a:t>, 50 Гц</a:t>
          </a:r>
        </a:p>
        <a:p>
          <a:r>
            <a:rPr lang="en-US" sz="1200">
              <a:effectLst/>
              <a:latin typeface="+mn-lt"/>
              <a:ea typeface="+mn-ea"/>
              <a:cs typeface="+mn-cs"/>
            </a:rPr>
            <a:t>WIFI - IEEE 802.11 b/g/n - 2.4ghz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</a:t>
          </a:r>
          <a:r>
            <a:rPr lang="en-US" sz="1200">
              <a:effectLst/>
              <a:latin typeface="+mn-lt"/>
              <a:ea typeface="+mn-ea"/>
              <a:cs typeface="+mn-cs"/>
            </a:rPr>
            <a:t>&lt;1</a:t>
          </a:r>
          <a:r>
            <a:rPr lang="en-US" sz="120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Вт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Релейная нагрузка 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IP2</a:t>
          </a:r>
          <a:r>
            <a:rPr lang="ru-RU" sz="1200">
              <a:effectLst/>
              <a:latin typeface="+mn-lt"/>
              <a:ea typeface="+mn-ea"/>
              <a:cs typeface="+mn-cs"/>
            </a:rPr>
            <a:t>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</a:t>
          </a:r>
          <a:r>
            <a:rPr lang="en-US" sz="1200">
              <a:effectLst/>
              <a:latin typeface="+mn-lt"/>
              <a:ea typeface="+mn-ea"/>
              <a:cs typeface="+mn-cs"/>
            </a:rPr>
            <a:t>45</a:t>
          </a:r>
          <a:r>
            <a:rPr lang="ru-RU" sz="1200">
              <a:effectLst/>
              <a:latin typeface="+mn-lt"/>
              <a:ea typeface="+mn-ea"/>
              <a:cs typeface="+mn-cs"/>
            </a:rPr>
            <a:t>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влажности: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5-95% (без конденсата)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86×86×45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 трубных систем.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Calibri Light" panose="020F0302020204030204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 Light" panose="020F030202020403020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Calibri Light" panose="020F0302020204030204"/>
            </a:rPr>
            <a:t> </a:t>
          </a:r>
          <a:endParaRPr kumimoji="0" lang="en-US" sz="1200" b="0" i="0" u="none" strike="noStrike" kern="0" cap="none" spc="0" normalizeH="0" baseline="0" noProof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Calibri Light" panose="020F0302020204030204"/>
          </a:endParaRPr>
        </a:p>
      </xdr:txBody>
    </xdr:sp>
    <xdr:clientData/>
  </xdr:oneCellAnchor>
  <xdr:oneCellAnchor>
    <xdr:from>
      <xdr:col>1</xdr:col>
      <xdr:colOff>272436</xdr:colOff>
      <xdr:row>63</xdr:row>
      <xdr:rowOff>597404</xdr:rowOff>
    </xdr:from>
    <xdr:ext cx="3776384" cy="2431676"/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id="{00000000-0008-0000-2B00-000033000000}"/>
            </a:ext>
          </a:extLst>
        </xdr:cNvPr>
        <xdr:cNvSpPr/>
      </xdr:nvSpPr>
      <xdr:spPr>
        <a:xfrm>
          <a:off x="2679663" y="41658813"/>
          <a:ext cx="3776384" cy="243167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Накладной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монтаж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черного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3 скорости вентилятора + АВТО режим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Недельное программирование температуры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~230 В ±10%, 50 Гц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0,5 В·А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Нагрузка 3-5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</a:t>
          </a:r>
          <a:r>
            <a:rPr lang="ru-RU" sz="1200">
              <a:effectLst/>
              <a:latin typeface="+mn-lt"/>
              <a:ea typeface="+mn-ea"/>
              <a:cs typeface="+mn-cs"/>
            </a:rPr>
            <a:t>30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0...+45°С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96×86×32,5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трубной системы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baseline="0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>
            <a:effectLst/>
            <a:latin typeface="+mj-lt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</xdr:col>
      <xdr:colOff>242171</xdr:colOff>
      <xdr:row>68</xdr:row>
      <xdr:rowOff>671100</xdr:rowOff>
    </xdr:from>
    <xdr:ext cx="3776384" cy="2431676"/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id="{00000000-0008-0000-2B00-000034000000}"/>
            </a:ext>
          </a:extLst>
        </xdr:cNvPr>
        <xdr:cNvSpPr/>
      </xdr:nvSpPr>
      <xdr:spPr>
        <a:xfrm>
          <a:off x="2649398" y="45542509"/>
          <a:ext cx="3776384" cy="243167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effectLst/>
              <a:latin typeface="+mn-lt"/>
              <a:ea typeface="+mn-ea"/>
              <a:cs typeface="+mn-cs"/>
            </a:rPr>
            <a:t>Накладной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монтаж</a:t>
          </a:r>
          <a:endParaRPr lang="ru-RU" sz="14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белого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3 скорости вентилятора + АВТО режим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Недельное программирование температуры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~230 В ±10%, 50 Гц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0,5 В·А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Нагрузка 3-5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</a:t>
          </a:r>
          <a:r>
            <a:rPr lang="ru-RU" sz="1200">
              <a:effectLst/>
              <a:latin typeface="+mn-lt"/>
              <a:ea typeface="+mn-ea"/>
              <a:cs typeface="+mn-cs"/>
            </a:rPr>
            <a:t>30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0...+45°С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</a:t>
          </a:r>
          <a:r>
            <a:rPr lang="ru-RU" sz="1100">
              <a:effectLst/>
              <a:latin typeface="+mn-lt"/>
              <a:ea typeface="+mn-ea"/>
              <a:cs typeface="+mn-cs"/>
            </a:rPr>
            <a:t>: </a:t>
          </a:r>
          <a:r>
            <a:rPr lang="ru-RU" sz="1200">
              <a:effectLst/>
              <a:latin typeface="+mn-lt"/>
              <a:ea typeface="+mn-ea"/>
              <a:cs typeface="+mn-cs"/>
            </a:rPr>
            <a:t>96×86×32,5 </a:t>
          </a:r>
          <a:r>
            <a:rPr lang="ru-RU" sz="1100">
              <a:effectLst/>
              <a:latin typeface="+mn-lt"/>
              <a:ea typeface="+mn-ea"/>
              <a:cs typeface="+mn-cs"/>
            </a:rPr>
            <a:t> </a:t>
          </a:r>
          <a:r>
            <a:rPr lang="ru-RU" sz="1200">
              <a:effectLst/>
              <a:latin typeface="+mn-lt"/>
              <a:ea typeface="+mn-ea"/>
              <a:cs typeface="+mn-cs"/>
            </a:rPr>
            <a:t>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трубной системы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baseline="0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>
            <a:effectLst/>
            <a:latin typeface="+mj-lt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8</xdr:col>
      <xdr:colOff>0</xdr:colOff>
      <xdr:row>64</xdr:row>
      <xdr:rowOff>235323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2B00-000037000000}"/>
            </a:ext>
          </a:extLst>
        </xdr:cNvPr>
        <xdr:cNvSpPr txBox="1"/>
      </xdr:nvSpPr>
      <xdr:spPr>
        <a:xfrm>
          <a:off x="13449300" y="44088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78441</xdr:colOff>
      <xdr:row>65</xdr:row>
      <xdr:rowOff>134470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2B00-000038000000}"/>
            </a:ext>
          </a:extLst>
        </xdr:cNvPr>
        <xdr:cNvSpPr txBox="1"/>
      </xdr:nvSpPr>
      <xdr:spPr>
        <a:xfrm>
          <a:off x="13527741" y="44463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2</xdr:col>
      <xdr:colOff>80405</xdr:colOff>
      <xdr:row>69</xdr:row>
      <xdr:rowOff>282039</xdr:rowOff>
    </xdr:from>
    <xdr:to>
      <xdr:col>2</xdr:col>
      <xdr:colOff>1985406</xdr:colOff>
      <xdr:row>71</xdr:row>
      <xdr:rowOff>455469</xdr:rowOff>
    </xdr:to>
    <xdr:pic>
      <xdr:nvPicPr>
        <xdr:cNvPr id="57" name="图片 12">
          <a:extLst>
            <a:ext uri="{FF2B5EF4-FFF2-40B4-BE49-F238E27FC236}">
              <a16:creationId xmlns:a16="http://schemas.microsoft.com/office/drawing/2014/main" id="{00000000-0008-0000-2B00-000039000000}"/>
            </a:ext>
          </a:extLst>
        </xdr:cNvPr>
        <xdr:cNvPicPr/>
      </xdr:nvPicPr>
      <xdr:blipFill>
        <a:blip xmlns:r="http://schemas.openxmlformats.org/officeDocument/2006/relationships" r:embed="rId12"/>
        <a:srcRect l="-8" t="-9" r="-8" b="-9"/>
        <a:stretch>
          <a:fillRect/>
        </a:stretch>
      </xdr:blipFill>
      <xdr:spPr bwMode="auto">
        <a:xfrm>
          <a:off x="6643996" y="45915448"/>
          <a:ext cx="1905001" cy="1697430"/>
        </a:xfrm>
        <a:prstGeom prst="rect">
          <a:avLst/>
        </a:prstGeom>
      </xdr:spPr>
    </xdr:pic>
    <xdr:clientData/>
  </xdr:twoCellAnchor>
  <xdr:twoCellAnchor editAs="oneCell">
    <xdr:from>
      <xdr:col>2</xdr:col>
      <xdr:colOff>121228</xdr:colOff>
      <xdr:row>64</xdr:row>
      <xdr:rowOff>245300</xdr:rowOff>
    </xdr:from>
    <xdr:to>
      <xdr:col>2</xdr:col>
      <xdr:colOff>2067049</xdr:colOff>
      <xdr:row>66</xdr:row>
      <xdr:rowOff>439140</xdr:rowOff>
    </xdr:to>
    <xdr:pic>
      <xdr:nvPicPr>
        <xdr:cNvPr id="58" name="图片 10">
          <a:extLst>
            <a:ext uri="{FF2B5EF4-FFF2-40B4-BE49-F238E27FC236}">
              <a16:creationId xmlns:a16="http://schemas.microsoft.com/office/drawing/2014/main" id="{00000000-0008-0000-2B00-00003A000000}"/>
            </a:ext>
          </a:extLst>
        </xdr:cNvPr>
        <xdr:cNvPicPr/>
      </xdr:nvPicPr>
      <xdr:blipFill>
        <a:blip xmlns:r="http://schemas.openxmlformats.org/officeDocument/2006/relationships" r:embed="rId13"/>
        <a:srcRect l="-8" t="-9" r="-8" b="-9"/>
        <a:stretch>
          <a:fillRect/>
        </a:stretch>
      </xdr:blipFill>
      <xdr:spPr bwMode="auto">
        <a:xfrm>
          <a:off x="6684819" y="42068709"/>
          <a:ext cx="1945821" cy="1717840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64</xdr:row>
      <xdr:rowOff>235323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2B00-00003D000000}"/>
            </a:ext>
          </a:extLst>
        </xdr:cNvPr>
        <xdr:cNvSpPr txBox="1"/>
      </xdr:nvSpPr>
      <xdr:spPr>
        <a:xfrm>
          <a:off x="13449300" y="44088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78441</xdr:colOff>
      <xdr:row>65</xdr:row>
      <xdr:rowOff>134470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2B00-00003E000000}"/>
            </a:ext>
          </a:extLst>
        </xdr:cNvPr>
        <xdr:cNvSpPr txBox="1"/>
      </xdr:nvSpPr>
      <xdr:spPr>
        <a:xfrm>
          <a:off x="13527741" y="44463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224118</xdr:colOff>
      <xdr:row>53</xdr:row>
      <xdr:rowOff>145677</xdr:rowOff>
    </xdr:from>
    <xdr:ext cx="3913413" cy="3630706"/>
    <xdr:sp macro="" textlink="">
      <xdr:nvSpPr>
        <xdr:cNvPr id="71" name="Прямоугольник 70">
          <a:extLst>
            <a:ext uri="{FF2B5EF4-FFF2-40B4-BE49-F238E27FC236}">
              <a16:creationId xmlns:a16="http://schemas.microsoft.com/office/drawing/2014/main" id="{00000000-0008-0000-2B00-000047000000}"/>
            </a:ext>
          </a:extLst>
        </xdr:cNvPr>
        <xdr:cNvSpPr/>
      </xdr:nvSpPr>
      <xdr:spPr>
        <a:xfrm>
          <a:off x="2624418" y="43522527"/>
          <a:ext cx="3913413" cy="363070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черного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Управление вентилятором  0-10 В </a:t>
          </a:r>
          <a:r>
            <a:rPr lang="ru-RU" sz="1100">
              <a:effectLst/>
              <a:latin typeface="+mn-lt"/>
              <a:ea typeface="+mn-ea"/>
              <a:cs typeface="+mn-cs"/>
            </a:rPr>
            <a:t>постоянного</a:t>
          </a:r>
          <a:r>
            <a:rPr lang="ru-RU" sz="1200">
              <a:effectLst/>
              <a:latin typeface="+mn-lt"/>
              <a:ea typeface="+mn-ea"/>
              <a:cs typeface="+mn-cs"/>
            </a:rPr>
            <a:t> тока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7 дней, будний / выходной, круглосуточный график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4 временных периода с разделением на будни и выходные дни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Цветной емкостный сенсорный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200">
              <a:effectLst/>
              <a:latin typeface="+mn-lt"/>
              <a:ea typeface="+mn-ea"/>
              <a:cs typeface="+mn-cs"/>
            </a:rPr>
            <a:t>экран 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Блокировка сенсорного экрана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Датчик </a:t>
          </a:r>
          <a:r>
            <a:rPr lang="en-US" sz="1200">
              <a:effectLst/>
              <a:latin typeface="+mn-lt"/>
              <a:ea typeface="+mn-ea"/>
              <a:cs typeface="+mn-cs"/>
            </a:rPr>
            <a:t>NTC3950,</a:t>
          </a:r>
          <a:r>
            <a:rPr lang="en-US" sz="1200" baseline="0">
              <a:effectLst/>
              <a:latin typeface="+mn-lt"/>
              <a:ea typeface="+mn-ea"/>
              <a:cs typeface="+mn-cs"/>
            </a:rPr>
            <a:t> 10K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</a:t>
          </a:r>
          <a:r>
            <a:rPr lang="en-US" sz="1200">
              <a:effectLst/>
              <a:latin typeface="+mn-lt"/>
              <a:ea typeface="+mn-ea"/>
              <a:cs typeface="+mn-cs"/>
            </a:rPr>
            <a:t>~230</a:t>
          </a:r>
          <a:r>
            <a:rPr lang="ru-RU" sz="1200">
              <a:effectLst/>
              <a:latin typeface="+mn-lt"/>
              <a:ea typeface="+mn-ea"/>
              <a:cs typeface="+mn-cs"/>
            </a:rPr>
            <a:t> В</a:t>
          </a:r>
          <a:r>
            <a:rPr lang="en-US" sz="1200">
              <a:effectLst/>
              <a:latin typeface="+mn-lt"/>
              <a:ea typeface="+mn-ea"/>
              <a:cs typeface="+mn-cs"/>
            </a:rPr>
            <a:t> ±10%</a:t>
          </a:r>
          <a:r>
            <a:rPr lang="ru-RU" sz="1200">
              <a:effectLst/>
              <a:latin typeface="+mn-lt"/>
              <a:ea typeface="+mn-ea"/>
              <a:cs typeface="+mn-cs"/>
            </a:rPr>
            <a:t>, 50 Гц</a:t>
          </a:r>
        </a:p>
        <a:p>
          <a:r>
            <a:rPr lang="en-US" sz="1200">
              <a:effectLst/>
              <a:latin typeface="+mn-lt"/>
              <a:ea typeface="+mn-ea"/>
              <a:cs typeface="+mn-cs"/>
            </a:rPr>
            <a:t>WIFI - IEEE 802.11 b/g/n - 2.4ghz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en-US" sz="1200"/>
            <a:t>RS485 (Modbus)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</a:t>
          </a:r>
          <a:r>
            <a:rPr lang="en-US" sz="1200">
              <a:effectLst/>
              <a:latin typeface="+mn-lt"/>
              <a:ea typeface="+mn-ea"/>
              <a:cs typeface="+mn-cs"/>
            </a:rPr>
            <a:t>&lt;1</a:t>
          </a:r>
          <a:r>
            <a:rPr lang="en-US" sz="120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Вт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Релейная нагрузка 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IP2</a:t>
          </a:r>
          <a:r>
            <a:rPr lang="ru-RU" sz="1200">
              <a:effectLst/>
              <a:latin typeface="+mn-lt"/>
              <a:ea typeface="+mn-ea"/>
              <a:cs typeface="+mn-cs"/>
            </a:rPr>
            <a:t>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</a:t>
          </a:r>
          <a:r>
            <a:rPr lang="en-US" sz="1200">
              <a:effectLst/>
              <a:latin typeface="+mn-lt"/>
              <a:ea typeface="+mn-ea"/>
              <a:cs typeface="+mn-cs"/>
            </a:rPr>
            <a:t>45</a:t>
          </a:r>
          <a:r>
            <a:rPr lang="ru-RU" sz="1200">
              <a:effectLst/>
              <a:latin typeface="+mn-lt"/>
              <a:ea typeface="+mn-ea"/>
              <a:cs typeface="+mn-cs"/>
            </a:rPr>
            <a:t>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влажности: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5-95% (без конденсата)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86×86×45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4-х  трубных систем.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Calibri Light" panose="020F0302020204030204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 Light" panose="020F030202020403020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Calibri Light" panose="020F0302020204030204"/>
            </a:rPr>
            <a:t> </a:t>
          </a:r>
          <a:endParaRPr kumimoji="0" lang="en-US" sz="1200" b="0" i="0" u="none" strike="noStrike" kern="0" cap="none" spc="0" normalizeH="0" baseline="0" noProof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Calibri Light" panose="020F0302020204030204"/>
          </a:endParaRPr>
        </a:p>
      </xdr:txBody>
    </xdr:sp>
    <xdr:clientData/>
  </xdr:oneCellAnchor>
  <xdr:oneCellAnchor>
    <xdr:from>
      <xdr:col>1</xdr:col>
      <xdr:colOff>257735</xdr:colOff>
      <xdr:row>58</xdr:row>
      <xdr:rowOff>112059</xdr:rowOff>
    </xdr:from>
    <xdr:ext cx="3913413" cy="3630706"/>
    <xdr:sp macro="" textlink="">
      <xdr:nvSpPr>
        <xdr:cNvPr id="72" name="Прямоугольник 71">
          <a:extLst>
            <a:ext uri="{FF2B5EF4-FFF2-40B4-BE49-F238E27FC236}">
              <a16:creationId xmlns:a16="http://schemas.microsoft.com/office/drawing/2014/main" id="{00000000-0008-0000-2B00-000048000000}"/>
            </a:ext>
          </a:extLst>
        </xdr:cNvPr>
        <xdr:cNvSpPr/>
      </xdr:nvSpPr>
      <xdr:spPr>
        <a:xfrm>
          <a:off x="2658035" y="47298909"/>
          <a:ext cx="3913413" cy="363070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белого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Управление вентилятором  0-10 В </a:t>
          </a:r>
          <a:r>
            <a:rPr lang="ru-RU" sz="1100">
              <a:effectLst/>
              <a:latin typeface="+mn-lt"/>
              <a:ea typeface="+mn-ea"/>
              <a:cs typeface="+mn-cs"/>
            </a:rPr>
            <a:t>постоянного</a:t>
          </a:r>
          <a:r>
            <a:rPr lang="ru-RU" sz="1200">
              <a:effectLst/>
              <a:latin typeface="+mn-lt"/>
              <a:ea typeface="+mn-ea"/>
              <a:cs typeface="+mn-cs"/>
            </a:rPr>
            <a:t> тока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7 дней, будний / выходной, круглосуточный график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4 временных периода с разделением на будни и выходные дни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Цветной емкостный сенсорный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200">
              <a:effectLst/>
              <a:latin typeface="+mn-lt"/>
              <a:ea typeface="+mn-ea"/>
              <a:cs typeface="+mn-cs"/>
            </a:rPr>
            <a:t>экран 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Блокировка сенсорного экрана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Датчик </a:t>
          </a:r>
          <a:r>
            <a:rPr lang="en-US" sz="1200">
              <a:effectLst/>
              <a:latin typeface="+mn-lt"/>
              <a:ea typeface="+mn-ea"/>
              <a:cs typeface="+mn-cs"/>
            </a:rPr>
            <a:t>NTC3950,</a:t>
          </a:r>
          <a:r>
            <a:rPr lang="en-US" sz="1200" baseline="0">
              <a:effectLst/>
              <a:latin typeface="+mn-lt"/>
              <a:ea typeface="+mn-ea"/>
              <a:cs typeface="+mn-cs"/>
            </a:rPr>
            <a:t> 10K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</a:t>
          </a:r>
          <a:r>
            <a:rPr lang="en-US" sz="1200">
              <a:effectLst/>
              <a:latin typeface="+mn-lt"/>
              <a:ea typeface="+mn-ea"/>
              <a:cs typeface="+mn-cs"/>
            </a:rPr>
            <a:t>~230</a:t>
          </a:r>
          <a:r>
            <a:rPr lang="ru-RU" sz="1200">
              <a:effectLst/>
              <a:latin typeface="+mn-lt"/>
              <a:ea typeface="+mn-ea"/>
              <a:cs typeface="+mn-cs"/>
            </a:rPr>
            <a:t> В</a:t>
          </a:r>
          <a:r>
            <a:rPr lang="en-US" sz="1200">
              <a:effectLst/>
              <a:latin typeface="+mn-lt"/>
              <a:ea typeface="+mn-ea"/>
              <a:cs typeface="+mn-cs"/>
            </a:rPr>
            <a:t> ±10%</a:t>
          </a:r>
          <a:r>
            <a:rPr lang="ru-RU" sz="1200">
              <a:effectLst/>
              <a:latin typeface="+mn-lt"/>
              <a:ea typeface="+mn-ea"/>
              <a:cs typeface="+mn-cs"/>
            </a:rPr>
            <a:t>, 50 Гц</a:t>
          </a:r>
        </a:p>
        <a:p>
          <a:r>
            <a:rPr lang="en-US" sz="1200">
              <a:effectLst/>
              <a:latin typeface="+mn-lt"/>
              <a:ea typeface="+mn-ea"/>
              <a:cs typeface="+mn-cs"/>
            </a:rPr>
            <a:t>WIFI - IEEE 802.11 b/g/n - 2.4ghz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en-US" sz="1200"/>
            <a:t>RS485 (Modbus)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</a:t>
          </a:r>
          <a:r>
            <a:rPr lang="en-US" sz="1200">
              <a:effectLst/>
              <a:latin typeface="+mn-lt"/>
              <a:ea typeface="+mn-ea"/>
              <a:cs typeface="+mn-cs"/>
            </a:rPr>
            <a:t>&lt;1</a:t>
          </a:r>
          <a:r>
            <a:rPr lang="en-US" sz="120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Вт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Релейная нагрузка 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IP2</a:t>
          </a:r>
          <a:r>
            <a:rPr lang="ru-RU" sz="1200">
              <a:effectLst/>
              <a:latin typeface="+mn-lt"/>
              <a:ea typeface="+mn-ea"/>
              <a:cs typeface="+mn-cs"/>
            </a:rPr>
            <a:t>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</a:t>
          </a:r>
          <a:r>
            <a:rPr lang="en-US" sz="1200">
              <a:effectLst/>
              <a:latin typeface="+mn-lt"/>
              <a:ea typeface="+mn-ea"/>
              <a:cs typeface="+mn-cs"/>
            </a:rPr>
            <a:t>45</a:t>
          </a:r>
          <a:r>
            <a:rPr lang="ru-RU" sz="1200">
              <a:effectLst/>
              <a:latin typeface="+mn-lt"/>
              <a:ea typeface="+mn-ea"/>
              <a:cs typeface="+mn-cs"/>
            </a:rPr>
            <a:t>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влажности: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5-95% (без конденсата)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86×86×45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4-х  трубных систем.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Calibri Light" panose="020F0302020204030204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 Light" panose="020F030202020403020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Calibri Light" panose="020F0302020204030204"/>
            </a:rPr>
            <a:t> </a:t>
          </a:r>
          <a:endParaRPr kumimoji="0" lang="en-US" sz="1200" b="0" i="0" u="none" strike="noStrike" kern="0" cap="none" spc="0" normalizeH="0" baseline="0" noProof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Calibri Light" panose="020F0302020204030204"/>
          </a:endParaRPr>
        </a:p>
      </xdr:txBody>
    </xdr:sp>
    <xdr:clientData/>
  </xdr:oneCellAnchor>
  <xdr:twoCellAnchor editAs="oneCell">
    <xdr:from>
      <xdr:col>2</xdr:col>
      <xdr:colOff>138546</xdr:colOff>
      <xdr:row>59</xdr:row>
      <xdr:rowOff>186015</xdr:rowOff>
    </xdr:from>
    <xdr:to>
      <xdr:col>2</xdr:col>
      <xdr:colOff>2050652</xdr:colOff>
      <xdr:row>61</xdr:row>
      <xdr:rowOff>462015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2B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2137" y="48417151"/>
          <a:ext cx="1912106" cy="18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183370</xdr:colOff>
      <xdr:row>54</xdr:row>
      <xdr:rowOff>242454</xdr:rowOff>
    </xdr:from>
    <xdr:to>
      <xdr:col>2</xdr:col>
      <xdr:colOff>1974646</xdr:colOff>
      <xdr:row>56</xdr:row>
      <xdr:rowOff>518454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2B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6961" y="44663590"/>
          <a:ext cx="1791276" cy="1800000"/>
        </a:xfrm>
        <a:prstGeom prst="rect">
          <a:avLst/>
        </a:prstGeom>
      </xdr:spPr>
    </xdr:pic>
    <xdr:clientData/>
  </xdr:twoCellAnchor>
  <xdr:oneCellAnchor>
    <xdr:from>
      <xdr:col>1</xdr:col>
      <xdr:colOff>451436</xdr:colOff>
      <xdr:row>99</xdr:row>
      <xdr:rowOff>107975</xdr:rowOff>
    </xdr:from>
    <xdr:ext cx="3038475" cy="1587475"/>
    <xdr:sp macro="" textlink="">
      <xdr:nvSpPr>
        <xdr:cNvPr id="67" name="Прямоугольник 66">
          <a:extLst>
            <a:ext uri="{FF2B5EF4-FFF2-40B4-BE49-F238E27FC236}">
              <a16:creationId xmlns:a16="http://schemas.microsoft.com/office/drawing/2014/main" id="{00000000-0008-0000-2B00-000043000000}"/>
            </a:ext>
          </a:extLst>
        </xdr:cNvPr>
        <xdr:cNvSpPr/>
      </xdr:nvSpPr>
      <xdr:spPr>
        <a:xfrm>
          <a:off x="2851736" y="80098925"/>
          <a:ext cx="3038475" cy="15874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100" b="0" i="0">
              <a:effectLst/>
              <a:latin typeface="+mn-lt"/>
              <a:ea typeface="+mn-ea"/>
              <a:cs typeface="+mn-cs"/>
            </a:rPr>
            <a:t>Коробка открытого монтажа 1-местная</a:t>
          </a:r>
        </a:p>
        <a:p>
          <a:r>
            <a:rPr lang="ru-RU" sz="1100" b="0">
              <a:effectLst/>
              <a:latin typeface="+mn-lt"/>
              <a:ea typeface="+mn-ea"/>
              <a:cs typeface="+mn-cs"/>
            </a:rPr>
            <a:t>Степень защиты</a:t>
          </a:r>
          <a:r>
            <a:rPr lang="en-US" sz="1200">
              <a:effectLst/>
            </a:rPr>
            <a:t>I</a:t>
          </a:r>
          <a:r>
            <a:rPr lang="ru-RU" sz="1200">
              <a:effectLst/>
            </a:rPr>
            <a:t> </a:t>
          </a:r>
          <a:r>
            <a:rPr lang="en-US" sz="1200">
              <a:effectLst/>
            </a:rPr>
            <a:t>P20</a:t>
          </a:r>
          <a:endParaRPr lang="ru-RU" sz="1200">
            <a:effectLst/>
          </a:endParaRPr>
        </a:p>
        <a:p>
          <a:r>
            <a:rPr lang="ru-RU" sz="1100" b="0">
              <a:effectLst/>
              <a:latin typeface="+mn-lt"/>
              <a:ea typeface="+mn-ea"/>
              <a:cs typeface="+mn-cs"/>
            </a:rPr>
            <a:t>Материал </a:t>
          </a:r>
          <a:r>
            <a:rPr lang="ru-RU" sz="1200">
              <a:effectLst/>
            </a:rPr>
            <a:t>Пластик</a:t>
          </a:r>
        </a:p>
        <a:p>
          <a:r>
            <a:rPr lang="ru-RU" sz="1100" b="0">
              <a:effectLst/>
              <a:latin typeface="+mn-lt"/>
              <a:ea typeface="+mn-ea"/>
              <a:cs typeface="+mn-cs"/>
            </a:rPr>
            <a:t>Цвет </a:t>
          </a:r>
          <a:r>
            <a:rPr lang="ru-RU">
              <a:effectLst/>
            </a:rPr>
            <a:t>Белый</a:t>
          </a:r>
        </a:p>
        <a:p>
          <a:r>
            <a:rPr lang="ru-RU" sz="1100" b="0" i="0">
              <a:effectLst/>
              <a:latin typeface="+mn-lt"/>
              <a:ea typeface="+mn-ea"/>
              <a:cs typeface="+mn-cs"/>
            </a:rPr>
            <a:t>Количество выходов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100" b="0" i="0">
              <a:effectLst/>
              <a:latin typeface="+mn-lt"/>
              <a:ea typeface="+mn-ea"/>
              <a:cs typeface="+mn-cs"/>
            </a:rPr>
            <a:t>5шт.</a:t>
          </a:r>
        </a:p>
        <a:p>
          <a:r>
            <a:rPr lang="ru-RU" sz="1100" b="0" i="0">
              <a:effectLst/>
              <a:latin typeface="+mn-lt"/>
              <a:ea typeface="+mn-ea"/>
              <a:cs typeface="+mn-cs"/>
            </a:rPr>
            <a:t>Длина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100" b="0" i="0">
              <a:effectLst/>
              <a:latin typeface="+mn-lt"/>
              <a:ea typeface="+mn-ea"/>
              <a:cs typeface="+mn-cs"/>
            </a:rPr>
            <a:t>80мм</a:t>
          </a:r>
        </a:p>
        <a:p>
          <a:r>
            <a:rPr lang="ru-RU" sz="1100" b="0" i="0">
              <a:effectLst/>
              <a:latin typeface="+mn-lt"/>
              <a:ea typeface="+mn-ea"/>
              <a:cs typeface="+mn-cs"/>
            </a:rPr>
            <a:t>Ширина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100" b="0" i="0">
              <a:effectLst/>
              <a:latin typeface="+mn-lt"/>
              <a:ea typeface="+mn-ea"/>
              <a:cs typeface="+mn-cs"/>
            </a:rPr>
            <a:t>80мм</a:t>
          </a:r>
        </a:p>
        <a:p>
          <a:r>
            <a:rPr lang="ru-RU" sz="1100" b="0" i="0">
              <a:effectLst/>
              <a:latin typeface="+mn-lt"/>
              <a:ea typeface="+mn-ea"/>
              <a:cs typeface="+mn-cs"/>
            </a:rPr>
            <a:t>Глубина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ru-RU" sz="1100" b="0" i="0">
              <a:effectLst/>
              <a:latin typeface="+mn-lt"/>
              <a:ea typeface="+mn-ea"/>
              <a:cs typeface="+mn-cs"/>
            </a:rPr>
            <a:t>37мм</a:t>
          </a:r>
        </a:p>
        <a:p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oneCellAnchor>
    <xdr:from>
      <xdr:col>1</xdr:col>
      <xdr:colOff>397006</xdr:colOff>
      <xdr:row>97</xdr:row>
      <xdr:rowOff>475450</xdr:rowOff>
    </xdr:from>
    <xdr:ext cx="3753172" cy="1905800"/>
    <xdr:sp macro="" textlink="">
      <xdr:nvSpPr>
        <xdr:cNvPr id="68" name="Прямоугольник 67">
          <a:extLst>
            <a:ext uri="{FF2B5EF4-FFF2-40B4-BE49-F238E27FC236}">
              <a16:creationId xmlns:a16="http://schemas.microsoft.com/office/drawing/2014/main" id="{00000000-0008-0000-2B00-000044000000}"/>
            </a:ext>
          </a:extLst>
        </xdr:cNvPr>
        <xdr:cNvSpPr/>
      </xdr:nvSpPr>
      <xdr:spPr>
        <a:xfrm>
          <a:off x="2797306" y="77618425"/>
          <a:ext cx="3753172" cy="19058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100" b="0" i="0">
              <a:effectLst/>
              <a:latin typeface="+mn-lt"/>
              <a:ea typeface="+mn-ea"/>
              <a:cs typeface="+mn-cs"/>
            </a:rPr>
            <a:t>Используется для установки в стены из гипсокартона.</a:t>
          </a:r>
          <a:br>
            <a:rPr lang="ru-RU"/>
          </a:br>
          <a:r>
            <a:rPr lang="ru-RU" sz="1100" b="0" i="0">
              <a:effectLst/>
              <a:latin typeface="+mn-lt"/>
              <a:ea typeface="+mn-ea"/>
              <a:cs typeface="+mn-cs"/>
            </a:rPr>
            <a:t>Подходит для комнатных термостатов, задняя часть которых представляет собой квадрат со стороной от 63 мм и до 69 мм (не включительно).</a:t>
          </a:r>
        </a:p>
        <a:p>
          <a:r>
            <a:rPr lang="ru-RU" sz="1100" b="0" i="0">
              <a:effectLst/>
              <a:latin typeface="+mn-lt"/>
              <a:ea typeface="+mn-ea"/>
              <a:cs typeface="+mn-cs"/>
            </a:rPr>
            <a:t>Размер полой части (для размещения задней части термостата): 69</a:t>
          </a:r>
          <a:r>
            <a:rPr lang="en-US" sz="1100" b="0" i="0">
              <a:effectLst/>
              <a:latin typeface="+mn-lt"/>
              <a:ea typeface="+mn-ea"/>
              <a:cs typeface="+mn-cs"/>
            </a:rPr>
            <a:t>x69 </a:t>
          </a:r>
          <a:r>
            <a:rPr lang="ru-RU" sz="1100" b="0" i="0">
              <a:effectLst/>
              <a:latin typeface="+mn-lt"/>
              <a:ea typeface="+mn-ea"/>
              <a:cs typeface="+mn-cs"/>
            </a:rPr>
            <a:t>мм, глубина 47 мм</a:t>
          </a:r>
        </a:p>
        <a:p>
          <a:r>
            <a:rPr lang="ru-RU" sz="1100" b="0" i="0">
              <a:effectLst/>
              <a:latin typeface="+mn-lt"/>
              <a:ea typeface="+mn-ea"/>
              <a:cs typeface="+mn-cs"/>
            </a:rPr>
            <a:t>Перфорированный (выламывается) вывод под кабели питания: есть, круглый</a:t>
          </a:r>
        </a:p>
        <a:p>
          <a:r>
            <a:rPr lang="ru-RU" sz="1100" b="0" i="0">
              <a:effectLst/>
              <a:latin typeface="+mn-lt"/>
              <a:ea typeface="+mn-ea"/>
              <a:cs typeface="+mn-cs"/>
            </a:rPr>
            <a:t>Ориентация монтажа: горизонтальная, вертикальная</a:t>
          </a:r>
        </a:p>
        <a:p>
          <a:r>
            <a:rPr lang="ru-RU" sz="1100" b="0" i="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100" b="0" i="0">
              <a:effectLst/>
              <a:latin typeface="+mn-lt"/>
              <a:ea typeface="+mn-ea"/>
              <a:cs typeface="+mn-cs"/>
            </a:rPr>
            <a:t>IP20</a:t>
          </a:r>
        </a:p>
        <a:p>
          <a:r>
            <a:rPr lang="ru-RU" sz="1100" b="0" i="0">
              <a:effectLst/>
              <a:latin typeface="+mn-lt"/>
              <a:ea typeface="+mn-ea"/>
              <a:cs typeface="+mn-cs"/>
            </a:rPr>
            <a:t>Материал: пластик</a:t>
          </a:r>
        </a:p>
        <a:p>
          <a:r>
            <a:rPr lang="ru-RU" sz="1100" b="0" i="0">
              <a:effectLst/>
              <a:latin typeface="+mn-lt"/>
              <a:ea typeface="+mn-ea"/>
              <a:cs typeface="+mn-cs"/>
            </a:rPr>
            <a:t>Цвет: белый</a:t>
          </a:r>
        </a:p>
        <a:p>
          <a:r>
            <a:rPr lang="ru-RU" sz="1100" b="0" i="0">
              <a:effectLst/>
              <a:latin typeface="+mn-lt"/>
              <a:ea typeface="+mn-ea"/>
              <a:cs typeface="+mn-cs"/>
            </a:rPr>
            <a:t>Лапки для захвата гипсокартонной стены: 2 штуки</a:t>
          </a:r>
        </a:p>
      </xdr:txBody>
    </xdr:sp>
    <xdr:clientData/>
  </xdr:oneCellAnchor>
  <xdr:twoCellAnchor editAs="oneCell">
    <xdr:from>
      <xdr:col>2</xdr:col>
      <xdr:colOff>190500</xdr:colOff>
      <xdr:row>98</xdr:row>
      <xdr:rowOff>277091</xdr:rowOff>
    </xdr:from>
    <xdr:to>
      <xdr:col>2</xdr:col>
      <xdr:colOff>2051136</xdr:colOff>
      <xdr:row>98</xdr:row>
      <xdr:rowOff>2095500</xdr:rowOff>
    </xdr:to>
    <xdr:pic>
      <xdr:nvPicPr>
        <xdr:cNvPr id="73" name="Рисунок 72" descr="Коробка установочная квадратная (GDL1) 83x83x50 мм для термостатов Siemens, Schneider Electric, Xiaomi Aqara ">
          <a:extLst>
            <a:ext uri="{FF2B5EF4-FFF2-40B4-BE49-F238E27FC236}">
              <a16:creationId xmlns:a16="http://schemas.microsoft.com/office/drawing/2014/main" id="{00000000-0008-0000-2B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091" y="81066409"/>
          <a:ext cx="1860636" cy="1818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103909</xdr:colOff>
      <xdr:row>99</xdr:row>
      <xdr:rowOff>121227</xdr:rowOff>
    </xdr:from>
    <xdr:to>
      <xdr:col>2</xdr:col>
      <xdr:colOff>2164773</xdr:colOff>
      <xdr:row>99</xdr:row>
      <xdr:rowOff>1956955</xdr:rowOff>
    </xdr:to>
    <xdr:pic>
      <xdr:nvPicPr>
        <xdr:cNvPr id="74" name="Рисунок 73" descr="https://simon-russia.com/uploads/market/product/origin/1596317225ik467j7649681.jpg">
          <a:extLst>
            <a:ext uri="{FF2B5EF4-FFF2-40B4-BE49-F238E27FC236}">
              <a16:creationId xmlns:a16="http://schemas.microsoft.com/office/drawing/2014/main" id="{00000000-0008-0000-2B00-00004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36" b="6775"/>
        <a:stretch/>
      </xdr:blipFill>
      <xdr:spPr bwMode="auto">
        <a:xfrm>
          <a:off x="6667500" y="83283136"/>
          <a:ext cx="2060864" cy="1835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132871</xdr:colOff>
      <xdr:row>73</xdr:row>
      <xdr:rowOff>566843</xdr:rowOff>
    </xdr:from>
    <xdr:ext cx="3776384" cy="2431676"/>
    <xdr:sp macro="" textlink="">
      <xdr:nvSpPr>
        <xdr:cNvPr id="53" name="Прямоугольник 52">
          <a:extLst>
            <a:ext uri="{FF2B5EF4-FFF2-40B4-BE49-F238E27FC236}">
              <a16:creationId xmlns:a16="http://schemas.microsoft.com/office/drawing/2014/main" id="{045D8296-C709-4904-9E09-087B502F2539}"/>
            </a:ext>
          </a:extLst>
        </xdr:cNvPr>
        <xdr:cNvSpPr/>
      </xdr:nvSpPr>
      <xdr:spPr>
        <a:xfrm>
          <a:off x="2540098" y="49248252"/>
          <a:ext cx="3776384" cy="243167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effectLst/>
              <a:latin typeface="+mn-lt"/>
              <a:ea typeface="+mn-ea"/>
              <a:cs typeface="+mn-cs"/>
            </a:rPr>
            <a:t>Накладной</a:t>
          </a:r>
          <a:r>
            <a:rPr lang="ru-RU" sz="1200" baseline="0">
              <a:effectLst/>
              <a:latin typeface="+mn-lt"/>
              <a:ea typeface="+mn-ea"/>
              <a:cs typeface="+mn-cs"/>
            </a:rPr>
            <a:t> монтаж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Стеклянная сенсорная панель белого цвета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3 скорости вентилятора + АВТО режим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Недельное программирование температуры</a:t>
          </a:r>
        </a:p>
        <a:p>
          <a:r>
            <a:rPr lang="en-US" sz="1200">
              <a:effectLst/>
              <a:latin typeface="+mn-lt"/>
              <a:ea typeface="+mn-ea"/>
              <a:cs typeface="+mn-cs"/>
            </a:rPr>
            <a:t>WIFI </a:t>
          </a:r>
          <a:r>
            <a:rPr lang="ru-RU" sz="1200">
              <a:effectLst/>
              <a:latin typeface="+mn-lt"/>
              <a:ea typeface="+mn-ea"/>
              <a:cs typeface="+mn-cs"/>
            </a:rPr>
            <a:t>для </a:t>
          </a:r>
          <a:r>
            <a:rPr lang="en-US" sz="1200">
              <a:effectLst/>
              <a:latin typeface="+mn-lt"/>
              <a:ea typeface="+mn-ea"/>
              <a:cs typeface="+mn-cs"/>
            </a:rPr>
            <a:t>Android </a:t>
          </a:r>
          <a:r>
            <a:rPr lang="ru-RU" sz="1200">
              <a:effectLst/>
              <a:latin typeface="+mn-lt"/>
              <a:ea typeface="+mn-ea"/>
              <a:cs typeface="+mn-cs"/>
            </a:rPr>
            <a:t>и </a:t>
          </a:r>
          <a:r>
            <a:rPr lang="en-US" sz="1200">
              <a:effectLst/>
              <a:latin typeface="+mn-lt"/>
              <a:ea typeface="+mn-ea"/>
              <a:cs typeface="+mn-cs"/>
            </a:rPr>
            <a:t>IOS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~230 В ±10%, 50 Гц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0,5 В·А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Нагрузка 3-5 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</a:t>
          </a:r>
          <a:r>
            <a:rPr lang="ru-RU" sz="1200">
              <a:effectLst/>
              <a:latin typeface="+mn-lt"/>
              <a:ea typeface="+mn-ea"/>
              <a:cs typeface="+mn-cs"/>
            </a:rPr>
            <a:t>30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Температура эксплуатации: 0...+45°С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Габариты (Ш×В×Г) : 96×86×32,5 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Монтажная высота: 1500 мм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Для 2-х трубной системы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baseline="0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>
            <a:effectLst/>
            <a:latin typeface="+mj-lt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</a:t>
          </a:r>
          <a:endParaRPr lang="en-US" sz="1200" b="0" i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twoCellAnchor editAs="oneCell">
    <xdr:from>
      <xdr:col>2</xdr:col>
      <xdr:colOff>77932</xdr:colOff>
      <xdr:row>74</xdr:row>
      <xdr:rowOff>32162</xdr:rowOff>
    </xdr:from>
    <xdr:to>
      <xdr:col>2</xdr:col>
      <xdr:colOff>2119003</xdr:colOff>
      <xdr:row>76</xdr:row>
      <xdr:rowOff>598219</xdr:rowOff>
    </xdr:to>
    <xdr:pic>
      <xdr:nvPicPr>
        <xdr:cNvPr id="54" name="图片 12">
          <a:extLst>
            <a:ext uri="{FF2B5EF4-FFF2-40B4-BE49-F238E27FC236}">
              <a16:creationId xmlns:a16="http://schemas.microsoft.com/office/drawing/2014/main" id="{01FEEB35-3877-407B-A44E-BC6C7EFB6292}"/>
            </a:ext>
          </a:extLst>
        </xdr:cNvPr>
        <xdr:cNvPicPr/>
      </xdr:nvPicPr>
      <xdr:blipFill>
        <a:blip xmlns:r="http://schemas.openxmlformats.org/officeDocument/2006/relationships" r:embed="rId12"/>
        <a:srcRect l="-8" t="-9" r="-8" b="-9"/>
        <a:stretch>
          <a:fillRect/>
        </a:stretch>
      </xdr:blipFill>
      <xdr:spPr bwMode="auto">
        <a:xfrm>
          <a:off x="6641523" y="49475571"/>
          <a:ext cx="2041071" cy="20900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16</xdr:row>
      <xdr:rowOff>85726</xdr:rowOff>
    </xdr:from>
    <xdr:to>
      <xdr:col>2</xdr:col>
      <xdr:colOff>1880462</xdr:colOff>
      <xdr:row>16</xdr:row>
      <xdr:rowOff>1009649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05775" y="24841201"/>
          <a:ext cx="1337537" cy="923923"/>
        </a:xfrm>
        <a:prstGeom prst="rect">
          <a:avLst/>
        </a:prstGeom>
      </xdr:spPr>
    </xdr:pic>
    <xdr:clientData/>
  </xdr:twoCellAnchor>
  <xdr:oneCellAnchor>
    <xdr:from>
      <xdr:col>2</xdr:col>
      <xdr:colOff>713014</xdr:colOff>
      <xdr:row>3</xdr:row>
      <xdr:rowOff>366372</xdr:rowOff>
    </xdr:from>
    <xdr:ext cx="1304925" cy="978694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75864" y="2042772"/>
          <a:ext cx="1304925" cy="978694"/>
        </a:xfrm>
        <a:prstGeom prst="rect">
          <a:avLst/>
        </a:prstGeom>
      </xdr:spPr>
    </xdr:pic>
    <xdr:clientData/>
  </xdr:oneCellAnchor>
  <xdr:oneCellAnchor>
    <xdr:from>
      <xdr:col>2</xdr:col>
      <xdr:colOff>171451</xdr:colOff>
      <xdr:row>6</xdr:row>
      <xdr:rowOff>1104901</xdr:rowOff>
    </xdr:from>
    <xdr:ext cx="868710" cy="600074"/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34301" y="6534151"/>
          <a:ext cx="868710" cy="600074"/>
        </a:xfrm>
        <a:prstGeom prst="rect">
          <a:avLst/>
        </a:prstGeom>
      </xdr:spPr>
    </xdr:pic>
    <xdr:clientData/>
  </xdr:oneCellAnchor>
  <xdr:oneCellAnchor>
    <xdr:from>
      <xdr:col>2</xdr:col>
      <xdr:colOff>1162050</xdr:colOff>
      <xdr:row>6</xdr:row>
      <xdr:rowOff>502443</xdr:rowOff>
    </xdr:from>
    <xdr:ext cx="1304925" cy="978694"/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24900" y="5931693"/>
          <a:ext cx="1304925" cy="978694"/>
        </a:xfrm>
        <a:prstGeom prst="rect">
          <a:avLst/>
        </a:prstGeom>
      </xdr:spPr>
    </xdr:pic>
    <xdr:clientData/>
  </xdr:oneCellAnchor>
  <xdr:oneCellAnchor>
    <xdr:from>
      <xdr:col>1</xdr:col>
      <xdr:colOff>67235</xdr:colOff>
      <xdr:row>6</xdr:row>
      <xdr:rowOff>86845</xdr:rowOff>
    </xdr:from>
    <xdr:ext cx="5021836" cy="1600200"/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SpPr/>
      </xdr:nvSpPr>
      <xdr:spPr>
        <a:xfrm>
          <a:off x="1867460" y="5516095"/>
          <a:ext cx="5021836" cy="16002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ru-RU" sz="1200" b="1">
              <a:effectLst/>
              <a:latin typeface="+mn-lt"/>
              <a:ea typeface="+mn-ea"/>
              <a:cs typeface="+mn-cs"/>
            </a:rPr>
            <a:t>Комплект подключения внутрипольного конвектора №3</a:t>
          </a:r>
        </a:p>
        <a:p>
          <a:pPr algn="l"/>
          <a:endParaRPr lang="ru-RU" sz="1200" b="1">
            <a:effectLst/>
            <a:latin typeface="+mn-lt"/>
            <a:ea typeface="+mn-ea"/>
            <a:cs typeface="+mn-cs"/>
          </a:endParaRPr>
        </a:p>
        <a:p>
          <a:pPr algn="l"/>
          <a:r>
            <a:rPr lang="ru-RU" sz="1200">
              <a:effectLst/>
              <a:latin typeface="+mn-lt"/>
              <a:ea typeface="+mn-ea"/>
              <a:cs typeface="+mn-cs"/>
            </a:rPr>
            <a:t>Вентиль термостатический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 1 шт.</a:t>
          </a:r>
        </a:p>
        <a:p>
          <a:pPr algn="l"/>
          <a:r>
            <a:rPr lang="ru-RU" sz="1200">
              <a:effectLst/>
              <a:latin typeface="+mn-lt"/>
              <a:ea typeface="+mn-ea"/>
              <a:cs typeface="+mn-cs"/>
            </a:rPr>
            <a:t>Вентиль обратный (прямой)                                                 1 шт.</a:t>
          </a:r>
        </a:p>
        <a:p>
          <a:pPr algn="l"/>
          <a:r>
            <a:rPr lang="ru-RU" sz="1200">
              <a:effectLst/>
              <a:latin typeface="+mn-lt"/>
              <a:ea typeface="+mn-ea"/>
              <a:cs typeface="+mn-cs"/>
            </a:rPr>
            <a:t>Гибкие шланги из нержавеющей стали длиной 100мм ВН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                                                                      2 шт.</a:t>
          </a:r>
        </a:p>
      </xdr:txBody>
    </xdr:sp>
    <xdr:clientData/>
  </xdr:oneCellAnchor>
  <xdr:oneCellAnchor>
    <xdr:from>
      <xdr:col>2</xdr:col>
      <xdr:colOff>1152525</xdr:colOff>
      <xdr:row>4</xdr:row>
      <xdr:rowOff>409575</xdr:rowOff>
    </xdr:from>
    <xdr:ext cx="1304925" cy="978694"/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15375" y="3962400"/>
          <a:ext cx="1304925" cy="978694"/>
        </a:xfrm>
        <a:prstGeom prst="rect">
          <a:avLst/>
        </a:prstGeom>
      </xdr:spPr>
    </xdr:pic>
    <xdr:clientData/>
  </xdr:oneCellAnchor>
  <xdr:oneCellAnchor>
    <xdr:from>
      <xdr:col>1</xdr:col>
      <xdr:colOff>100853</xdr:colOff>
      <xdr:row>4</xdr:row>
      <xdr:rowOff>112059</xdr:rowOff>
    </xdr:from>
    <xdr:ext cx="4000500" cy="1600200"/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/>
      </xdr:nvSpPr>
      <xdr:spPr>
        <a:xfrm>
          <a:off x="1901078" y="3664884"/>
          <a:ext cx="4000500" cy="16002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r>
            <a:rPr lang="ru-RU" sz="1200" b="1">
              <a:effectLst/>
              <a:latin typeface="+mn-lt"/>
              <a:ea typeface="+mn-ea"/>
              <a:cs typeface="+mn-cs"/>
            </a:rPr>
            <a:t>Комплект подключения внутрипольного конвектора №2</a:t>
          </a:r>
        </a:p>
        <a:p>
          <a:endParaRPr lang="ru-RU" sz="1200" b="1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Вентили шаровые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2 шт.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Гибкие шланги из нержавеющей стали длиной 100мм ВН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                                                                      2 шт.</a:t>
          </a: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                                                                               </a:t>
          </a:r>
        </a:p>
      </xdr:txBody>
    </xdr:sp>
    <xdr:clientData/>
  </xdr:oneCellAnchor>
  <xdr:twoCellAnchor editAs="oneCell">
    <xdr:from>
      <xdr:col>2</xdr:col>
      <xdr:colOff>666750</xdr:colOff>
      <xdr:row>15</xdr:row>
      <xdr:rowOff>85725</xdr:rowOff>
    </xdr:from>
    <xdr:to>
      <xdr:col>2</xdr:col>
      <xdr:colOff>1872754</xdr:colOff>
      <xdr:row>15</xdr:row>
      <xdr:rowOff>921381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229600" y="23755350"/>
          <a:ext cx="1206004" cy="83565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</xdr:row>
      <xdr:rowOff>85725</xdr:rowOff>
    </xdr:from>
    <xdr:to>
      <xdr:col>2</xdr:col>
      <xdr:colOff>961929</xdr:colOff>
      <xdr:row>4</xdr:row>
      <xdr:rowOff>819058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2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3638550"/>
          <a:ext cx="771429" cy="73333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</xdr:row>
      <xdr:rowOff>923925</xdr:rowOff>
    </xdr:from>
    <xdr:to>
      <xdr:col>2</xdr:col>
      <xdr:colOff>961929</xdr:colOff>
      <xdr:row>4</xdr:row>
      <xdr:rowOff>1657258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2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4476750"/>
          <a:ext cx="771429" cy="733333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8</xdr:row>
      <xdr:rowOff>0</xdr:rowOff>
    </xdr:from>
    <xdr:ext cx="5442857" cy="2707023"/>
    <xdr:sp macro="" textlink="">
      <xdr:nvSpPr>
        <xdr:cNvPr id="19" name="Прямоугольник 18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SpPr/>
      </xdr:nvSpPr>
      <xdr:spPr>
        <a:xfrm>
          <a:off x="1800225" y="7305675"/>
          <a:ext cx="5442857" cy="2707023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r>
            <a:rPr lang="ru-RU" sz="1200" b="1">
              <a:effectLst/>
              <a:latin typeface="+mn-lt"/>
              <a:ea typeface="+mn-ea"/>
              <a:cs typeface="+mn-cs"/>
            </a:rPr>
            <a:t>Комплект подключения внутрипольного конвектора №3</a:t>
          </a:r>
          <a:r>
            <a:rPr lang="en-US" sz="1200" b="1">
              <a:effectLst/>
              <a:latin typeface="+mn-lt"/>
              <a:ea typeface="+mn-ea"/>
              <a:cs typeface="+mn-cs"/>
            </a:rPr>
            <a:t>C</a:t>
          </a:r>
          <a:endParaRPr lang="ru-RU" sz="1200" b="1">
            <a:effectLst/>
            <a:latin typeface="+mn-lt"/>
            <a:ea typeface="+mn-ea"/>
            <a:cs typeface="+mn-cs"/>
          </a:endParaRPr>
        </a:p>
        <a:p>
          <a:endParaRPr lang="ru-RU" sz="1200" b="1">
            <a:effectLst/>
            <a:latin typeface="+mn-lt"/>
            <a:ea typeface="+mn-ea"/>
            <a:cs typeface="+mn-cs"/>
          </a:endParaRPr>
        </a:p>
        <a:p>
          <a:pPr algn="l"/>
          <a:r>
            <a:rPr lang="ru-RU" sz="1200">
              <a:effectLst/>
              <a:latin typeface="+mn-lt"/>
              <a:ea typeface="+mn-ea"/>
              <a:cs typeface="+mn-cs"/>
            </a:rPr>
            <a:t>Вентиль термостатический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1 шт.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Вентиль обратный (прямой)                                               1 шт.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effectLst/>
              <a:latin typeface="+mn-lt"/>
              <a:ea typeface="+mn-ea"/>
              <a:cs typeface="+mn-cs"/>
            </a:rPr>
            <a:t>Сервопривод электротермический М30*1,5, 230 В, </a:t>
          </a:r>
          <a:r>
            <a:rPr lang="en-US" sz="1200">
              <a:effectLst/>
              <a:latin typeface="+mn-lt"/>
              <a:ea typeface="+mn-ea"/>
              <a:cs typeface="+mn-cs"/>
            </a:rPr>
            <a:t>NC</a:t>
          </a:r>
          <a:r>
            <a:rPr lang="ru-RU" sz="1200">
              <a:effectLst/>
              <a:latin typeface="+mn-lt"/>
              <a:ea typeface="+mn-ea"/>
              <a:cs typeface="+mn-cs"/>
            </a:rPr>
            <a:t> 1 шт.</a:t>
          </a:r>
          <a:endParaRPr lang="ru-RU" sz="12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effectLst/>
              <a:latin typeface="+mn-lt"/>
              <a:ea typeface="+mn-ea"/>
              <a:cs typeface="+mn-cs"/>
            </a:rPr>
            <a:t>Гибкие шланги из нержавеющей стали длиной 100мм ВН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2 шт.</a:t>
          </a:r>
          <a:endParaRPr lang="ru-RU" sz="1200">
            <a:effectLst/>
          </a:endParaRP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 </a:t>
          </a:r>
        </a:p>
        <a:p>
          <a:endParaRPr lang="ru-RU" sz="1400">
            <a:effectLst/>
          </a:endParaRPr>
        </a:p>
      </xdr:txBody>
    </xdr:sp>
    <xdr:clientData/>
  </xdr:oneCellAnchor>
  <xdr:oneCellAnchor>
    <xdr:from>
      <xdr:col>2</xdr:col>
      <xdr:colOff>220915</xdr:colOff>
      <xdr:row>8</xdr:row>
      <xdr:rowOff>1972335</xdr:rowOff>
    </xdr:from>
    <xdr:ext cx="661147" cy="456697"/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83765" y="9278010"/>
          <a:ext cx="661147" cy="456697"/>
        </a:xfrm>
        <a:prstGeom prst="rect">
          <a:avLst/>
        </a:prstGeom>
      </xdr:spPr>
    </xdr:pic>
    <xdr:clientData/>
  </xdr:oneCellAnchor>
  <xdr:oneCellAnchor>
    <xdr:from>
      <xdr:col>2</xdr:col>
      <xdr:colOff>112059</xdr:colOff>
      <xdr:row>8</xdr:row>
      <xdr:rowOff>112059</xdr:rowOff>
    </xdr:from>
    <xdr:ext cx="821764" cy="616323"/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2A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74909" y="7417734"/>
          <a:ext cx="821764" cy="616323"/>
        </a:xfrm>
        <a:prstGeom prst="rect">
          <a:avLst/>
        </a:prstGeom>
      </xdr:spPr>
    </xdr:pic>
    <xdr:clientData/>
  </xdr:oneCellAnchor>
  <xdr:twoCellAnchor editAs="oneCell">
    <xdr:from>
      <xdr:col>2</xdr:col>
      <xdr:colOff>570139</xdr:colOff>
      <xdr:row>16</xdr:row>
      <xdr:rowOff>44904</xdr:rowOff>
    </xdr:from>
    <xdr:to>
      <xdr:col>2</xdr:col>
      <xdr:colOff>1907676</xdr:colOff>
      <xdr:row>16</xdr:row>
      <xdr:rowOff>968827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2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32989" y="24800379"/>
          <a:ext cx="1337537" cy="92392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15</xdr:row>
      <xdr:rowOff>85725</xdr:rowOff>
    </xdr:from>
    <xdr:to>
      <xdr:col>2</xdr:col>
      <xdr:colOff>1872754</xdr:colOff>
      <xdr:row>15</xdr:row>
      <xdr:rowOff>921381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2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229600" y="23755350"/>
          <a:ext cx="1206004" cy="835656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108857</xdr:colOff>
      <xdr:row>6</xdr:row>
      <xdr:rowOff>108858</xdr:rowOff>
    </xdr:from>
    <xdr:to>
      <xdr:col>2</xdr:col>
      <xdr:colOff>1041364</xdr:colOff>
      <xdr:row>6</xdr:row>
      <xdr:rowOff>1044858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2A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669961" y="5539854"/>
          <a:ext cx="936000" cy="932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40822</xdr:colOff>
      <xdr:row>8</xdr:row>
      <xdr:rowOff>870858</xdr:rowOff>
    </xdr:from>
    <xdr:to>
      <xdr:col>2</xdr:col>
      <xdr:colOff>973329</xdr:colOff>
      <xdr:row>8</xdr:row>
      <xdr:rowOff>1806858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2A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601926" y="8178279"/>
          <a:ext cx="936000" cy="932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449036</xdr:colOff>
      <xdr:row>17</xdr:row>
      <xdr:rowOff>190500</xdr:rowOff>
    </xdr:from>
    <xdr:to>
      <xdr:col>2</xdr:col>
      <xdr:colOff>2041072</xdr:colOff>
      <xdr:row>17</xdr:row>
      <xdr:rowOff>1788500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2A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8008904" y="26034807"/>
          <a:ext cx="1598000" cy="1592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408214</xdr:colOff>
      <xdr:row>18</xdr:row>
      <xdr:rowOff>27214</xdr:rowOff>
    </xdr:from>
    <xdr:to>
      <xdr:col>2</xdr:col>
      <xdr:colOff>2245178</xdr:colOff>
      <xdr:row>18</xdr:row>
      <xdr:rowOff>1864178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2A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971064" y="27773539"/>
          <a:ext cx="1836964" cy="1836964"/>
        </a:xfrm>
        <a:prstGeom prst="rect">
          <a:avLst/>
        </a:prstGeom>
      </xdr:spPr>
    </xdr:pic>
    <xdr:clientData/>
  </xdr:twoCellAnchor>
  <xdr:oneCellAnchor>
    <xdr:from>
      <xdr:col>0</xdr:col>
      <xdr:colOff>1796142</xdr:colOff>
      <xdr:row>10</xdr:row>
      <xdr:rowOff>176893</xdr:rowOff>
    </xdr:from>
    <xdr:ext cx="5075465" cy="2190750"/>
    <xdr:sp macro="" textlink="">
      <xdr:nvSpPr>
        <xdr:cNvPr id="32" name="Прямоугольник 31">
          <a:extLst>
            <a:ext uri="{FF2B5EF4-FFF2-40B4-BE49-F238E27FC236}">
              <a16:creationId xmlns:a16="http://schemas.microsoft.com/office/drawing/2014/main" id="{00000000-0008-0000-2A00-000020000000}"/>
            </a:ext>
          </a:extLst>
        </xdr:cNvPr>
        <xdr:cNvSpPr/>
      </xdr:nvSpPr>
      <xdr:spPr>
        <a:xfrm>
          <a:off x="1796142" y="12397468"/>
          <a:ext cx="5075465" cy="219075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r>
            <a:rPr lang="ru-RU" sz="1200" b="1">
              <a:effectLst/>
              <a:latin typeface="+mn-lt"/>
              <a:ea typeface="+mn-ea"/>
              <a:cs typeface="+mn-cs"/>
            </a:rPr>
            <a:t>Комплект подключения внутрипольного конвектора №4</a:t>
          </a:r>
        </a:p>
        <a:p>
          <a:endParaRPr lang="ru-RU" sz="1200" b="1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Вентили шаровые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1 шт.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effectLst/>
              <a:latin typeface="+mn-lt"/>
              <a:ea typeface="+mn-ea"/>
              <a:cs typeface="+mn-cs"/>
            </a:rPr>
            <a:t>Гибкие шланги из нержавеющей стали длиной 100мм ВН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2 шт.</a:t>
          </a:r>
          <a:endParaRPr lang="ru-RU" sz="1200">
            <a:effectLst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Запорно-регулирующий клапан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1шт</a:t>
          </a:r>
        </a:p>
      </xdr:txBody>
    </xdr:sp>
    <xdr:clientData/>
  </xdr:oneCellAnchor>
  <xdr:oneCellAnchor>
    <xdr:from>
      <xdr:col>2</xdr:col>
      <xdr:colOff>1193345</xdr:colOff>
      <xdr:row>10</xdr:row>
      <xdr:rowOff>786492</xdr:rowOff>
    </xdr:from>
    <xdr:ext cx="1304925" cy="978694"/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2A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56195" y="13007067"/>
          <a:ext cx="1304925" cy="978694"/>
        </a:xfrm>
        <a:prstGeom prst="rect">
          <a:avLst/>
        </a:prstGeom>
      </xdr:spPr>
    </xdr:pic>
    <xdr:clientData/>
  </xdr:oneCellAnchor>
  <xdr:twoCellAnchor editAs="oneCell">
    <xdr:from>
      <xdr:col>2</xdr:col>
      <xdr:colOff>136072</xdr:colOff>
      <xdr:row>10</xdr:row>
      <xdr:rowOff>149678</xdr:rowOff>
    </xdr:from>
    <xdr:to>
      <xdr:col>2</xdr:col>
      <xdr:colOff>1143000</xdr:colOff>
      <xdr:row>10</xdr:row>
      <xdr:rowOff>1106880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2A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8922" y="12370253"/>
          <a:ext cx="1006928" cy="957202"/>
        </a:xfrm>
        <a:prstGeom prst="rect">
          <a:avLst/>
        </a:prstGeom>
      </xdr:spPr>
    </xdr:pic>
    <xdr:clientData/>
  </xdr:twoCellAnchor>
  <xdr:oneCellAnchor>
    <xdr:from>
      <xdr:col>2</xdr:col>
      <xdr:colOff>81644</xdr:colOff>
      <xdr:row>10</xdr:row>
      <xdr:rowOff>1741714</xdr:rowOff>
    </xdr:from>
    <xdr:ext cx="1103126" cy="762000"/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2A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44494" y="13962289"/>
          <a:ext cx="1103126" cy="762000"/>
        </a:xfrm>
        <a:prstGeom prst="rect">
          <a:avLst/>
        </a:prstGeom>
      </xdr:spPr>
    </xdr:pic>
    <xdr:clientData/>
  </xdr:oneCellAnchor>
  <xdr:twoCellAnchor editAs="oneCell">
    <xdr:from>
      <xdr:col>2</xdr:col>
      <xdr:colOff>224117</xdr:colOff>
      <xdr:row>12</xdr:row>
      <xdr:rowOff>280945</xdr:rowOff>
    </xdr:from>
    <xdr:to>
      <xdr:col>2</xdr:col>
      <xdr:colOff>1298062</xdr:colOff>
      <xdr:row>12</xdr:row>
      <xdr:rowOff>1396732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2A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786967" y="15254245"/>
          <a:ext cx="1073945" cy="1115787"/>
        </a:xfrm>
        <a:prstGeom prst="rect">
          <a:avLst/>
        </a:prstGeom>
      </xdr:spPr>
    </xdr:pic>
    <xdr:clientData/>
  </xdr:twoCellAnchor>
  <xdr:twoCellAnchor editAs="oneCell">
    <xdr:from>
      <xdr:col>2</xdr:col>
      <xdr:colOff>1217438</xdr:colOff>
      <xdr:row>12</xdr:row>
      <xdr:rowOff>22412</xdr:rowOff>
    </xdr:from>
    <xdr:to>
      <xdr:col>2</xdr:col>
      <xdr:colOff>2520077</xdr:colOff>
      <xdr:row>12</xdr:row>
      <xdr:rowOff>1811751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2A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780288" y="14995712"/>
          <a:ext cx="1302639" cy="1789339"/>
        </a:xfrm>
        <a:prstGeom prst="rect">
          <a:avLst/>
        </a:prstGeom>
      </xdr:spPr>
    </xdr:pic>
    <xdr:clientData/>
  </xdr:twoCellAnchor>
  <xdr:twoCellAnchor editAs="oneCell">
    <xdr:from>
      <xdr:col>2</xdr:col>
      <xdr:colOff>1199030</xdr:colOff>
      <xdr:row>8</xdr:row>
      <xdr:rowOff>683559</xdr:rowOff>
    </xdr:from>
    <xdr:to>
      <xdr:col>2</xdr:col>
      <xdr:colOff>2272975</xdr:colOff>
      <xdr:row>8</xdr:row>
      <xdr:rowOff>1799346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2A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61880" y="7989234"/>
          <a:ext cx="1073945" cy="1115787"/>
        </a:xfrm>
        <a:prstGeom prst="rect">
          <a:avLst/>
        </a:prstGeom>
      </xdr:spPr>
    </xdr:pic>
    <xdr:clientData/>
  </xdr:twoCellAnchor>
  <xdr:oneCellAnchor>
    <xdr:from>
      <xdr:col>2</xdr:col>
      <xdr:colOff>224117</xdr:colOff>
      <xdr:row>13</xdr:row>
      <xdr:rowOff>280945</xdr:rowOff>
    </xdr:from>
    <xdr:ext cx="1073945" cy="1115787"/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2A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786967" y="19007095"/>
          <a:ext cx="1073945" cy="1115787"/>
        </a:xfrm>
        <a:prstGeom prst="rect">
          <a:avLst/>
        </a:prstGeom>
      </xdr:spPr>
    </xdr:pic>
    <xdr:clientData/>
  </xdr:oneCellAnchor>
  <xdr:oneCellAnchor>
    <xdr:from>
      <xdr:col>2</xdr:col>
      <xdr:colOff>1217438</xdr:colOff>
      <xdr:row>13</xdr:row>
      <xdr:rowOff>22412</xdr:rowOff>
    </xdr:from>
    <xdr:ext cx="1302639" cy="1789339"/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2A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780288" y="18748562"/>
          <a:ext cx="1302639" cy="1789339"/>
        </a:xfrm>
        <a:prstGeom prst="rect">
          <a:avLst/>
        </a:prstGeom>
      </xdr:spPr>
    </xdr:pic>
    <xdr:clientData/>
  </xdr:oneCellAnchor>
  <xdr:twoCellAnchor editAs="oneCell">
    <xdr:from>
      <xdr:col>2</xdr:col>
      <xdr:colOff>163287</xdr:colOff>
      <xdr:row>23</xdr:row>
      <xdr:rowOff>122462</xdr:rowOff>
    </xdr:from>
    <xdr:to>
      <xdr:col>2</xdr:col>
      <xdr:colOff>2138529</xdr:colOff>
      <xdr:row>23</xdr:row>
      <xdr:rowOff>1904997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2A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726137" y="37831937"/>
          <a:ext cx="1975242" cy="178253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476251</xdr:colOff>
      <xdr:row>19</xdr:row>
      <xdr:rowOff>244928</xdr:rowOff>
    </xdr:from>
    <xdr:to>
      <xdr:col>2</xdr:col>
      <xdr:colOff>2052197</xdr:colOff>
      <xdr:row>19</xdr:row>
      <xdr:rowOff>1850569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2A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039101" y="29896253"/>
          <a:ext cx="1575946" cy="1605641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2190751</xdr:colOff>
      <xdr:row>23</xdr:row>
      <xdr:rowOff>639533</xdr:rowOff>
    </xdr:from>
    <xdr:to>
      <xdr:col>2</xdr:col>
      <xdr:colOff>3006272</xdr:colOff>
      <xdr:row>23</xdr:row>
      <xdr:rowOff>1428747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2A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753601" y="38349008"/>
          <a:ext cx="815521" cy="789214"/>
        </a:xfrm>
        <a:prstGeom prst="rect">
          <a:avLst/>
        </a:prstGeom>
      </xdr:spPr>
    </xdr:pic>
    <xdr:clientData/>
  </xdr:twoCellAnchor>
  <xdr:twoCellAnchor editAs="oneCell">
    <xdr:from>
      <xdr:col>2</xdr:col>
      <xdr:colOff>40822</xdr:colOff>
      <xdr:row>24</xdr:row>
      <xdr:rowOff>108854</xdr:rowOff>
    </xdr:from>
    <xdr:to>
      <xdr:col>2</xdr:col>
      <xdr:colOff>2231572</xdr:colOff>
      <xdr:row>24</xdr:row>
      <xdr:rowOff>1938311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2A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603672" y="39818579"/>
          <a:ext cx="2190750" cy="1829457"/>
        </a:xfrm>
        <a:prstGeom prst="rect">
          <a:avLst/>
        </a:prstGeom>
      </xdr:spPr>
    </xdr:pic>
    <xdr:clientData/>
  </xdr:twoCellAnchor>
  <xdr:twoCellAnchor editAs="oneCell">
    <xdr:from>
      <xdr:col>2</xdr:col>
      <xdr:colOff>2204357</xdr:colOff>
      <xdr:row>24</xdr:row>
      <xdr:rowOff>680355</xdr:rowOff>
    </xdr:from>
    <xdr:to>
      <xdr:col>2</xdr:col>
      <xdr:colOff>3019878</xdr:colOff>
      <xdr:row>24</xdr:row>
      <xdr:rowOff>1469569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2A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767207" y="40390080"/>
          <a:ext cx="815521" cy="789214"/>
        </a:xfrm>
        <a:prstGeom prst="rect">
          <a:avLst/>
        </a:prstGeom>
      </xdr:spPr>
    </xdr:pic>
    <xdr:clientData/>
  </xdr:twoCellAnchor>
  <xdr:twoCellAnchor editAs="oneCell">
    <xdr:from>
      <xdr:col>2</xdr:col>
      <xdr:colOff>421821</xdr:colOff>
      <xdr:row>25</xdr:row>
      <xdr:rowOff>163284</xdr:rowOff>
    </xdr:from>
    <xdr:to>
      <xdr:col>2</xdr:col>
      <xdr:colOff>2336613</xdr:colOff>
      <xdr:row>25</xdr:row>
      <xdr:rowOff>2278129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2A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4671" y="41882784"/>
          <a:ext cx="1914792" cy="2114845"/>
        </a:xfrm>
        <a:prstGeom prst="rect">
          <a:avLst/>
        </a:prstGeom>
      </xdr:spPr>
    </xdr:pic>
    <xdr:clientData/>
  </xdr:twoCellAnchor>
  <xdr:twoCellAnchor editAs="oneCell">
    <xdr:from>
      <xdr:col>2</xdr:col>
      <xdr:colOff>2027464</xdr:colOff>
      <xdr:row>25</xdr:row>
      <xdr:rowOff>435427</xdr:rowOff>
    </xdr:from>
    <xdr:to>
      <xdr:col>2</xdr:col>
      <xdr:colOff>2615292</xdr:colOff>
      <xdr:row>25</xdr:row>
      <xdr:rowOff>1023256</xdr:rowOff>
    </xdr:to>
    <xdr:pic>
      <xdr:nvPicPr>
        <xdr:cNvPr id="53" name="Рисунок 6">
          <a:extLst>
            <a:ext uri="{FF2B5EF4-FFF2-40B4-BE49-F238E27FC236}">
              <a16:creationId xmlns:a16="http://schemas.microsoft.com/office/drawing/2014/main" id="{00000000-0008-0000-2A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0314" y="42154927"/>
          <a:ext cx="587828" cy="587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108857</xdr:colOff>
      <xdr:row>20</xdr:row>
      <xdr:rowOff>54426</xdr:rowOff>
    </xdr:from>
    <xdr:to>
      <xdr:col>2</xdr:col>
      <xdr:colOff>2652857</xdr:colOff>
      <xdr:row>20</xdr:row>
      <xdr:rowOff>1962426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2A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1707" y="31763151"/>
          <a:ext cx="2544000" cy="190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108857</xdr:colOff>
      <xdr:row>21</xdr:row>
      <xdr:rowOff>54427</xdr:rowOff>
    </xdr:from>
    <xdr:to>
      <xdr:col>2</xdr:col>
      <xdr:colOff>2652857</xdr:colOff>
      <xdr:row>21</xdr:row>
      <xdr:rowOff>1962427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2A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1707" y="33763402"/>
          <a:ext cx="2544000" cy="190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22</xdr:row>
      <xdr:rowOff>54426</xdr:rowOff>
    </xdr:from>
    <xdr:to>
      <xdr:col>2</xdr:col>
      <xdr:colOff>2666464</xdr:colOff>
      <xdr:row>22</xdr:row>
      <xdr:rowOff>1962426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2A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5314" y="35763651"/>
          <a:ext cx="2544000" cy="1908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328748</xdr:colOff>
      <xdr:row>27</xdr:row>
      <xdr:rowOff>34019</xdr:rowOff>
    </xdr:from>
    <xdr:to>
      <xdr:col>2</xdr:col>
      <xdr:colOff>2663415</xdr:colOff>
      <xdr:row>27</xdr:row>
      <xdr:rowOff>2405744</xdr:rowOff>
    </xdr:to>
    <xdr:pic>
      <xdr:nvPicPr>
        <xdr:cNvPr id="57" name="Рисунок 2">
          <a:extLst>
            <a:ext uri="{FF2B5EF4-FFF2-40B4-BE49-F238E27FC236}">
              <a16:creationId xmlns:a16="http://schemas.microsoft.com/office/drawing/2014/main" id="{00000000-0008-0000-2A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91598" y="46763669"/>
          <a:ext cx="2334667" cy="2371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81643</xdr:colOff>
      <xdr:row>26</xdr:row>
      <xdr:rowOff>201385</xdr:rowOff>
    </xdr:from>
    <xdr:to>
      <xdr:col>2</xdr:col>
      <xdr:colOff>1996435</xdr:colOff>
      <xdr:row>26</xdr:row>
      <xdr:rowOff>800099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2A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73" b="54318"/>
        <a:stretch/>
      </xdr:blipFill>
      <xdr:spPr>
        <a:xfrm>
          <a:off x="7644493" y="44425960"/>
          <a:ext cx="1914792" cy="598714"/>
        </a:xfrm>
        <a:prstGeom prst="rect">
          <a:avLst/>
        </a:prstGeom>
      </xdr:spPr>
    </xdr:pic>
    <xdr:clientData/>
  </xdr:twoCellAnchor>
  <xdr:twoCellAnchor editAs="oneCell">
    <xdr:from>
      <xdr:col>2</xdr:col>
      <xdr:colOff>2106386</xdr:colOff>
      <xdr:row>26</xdr:row>
      <xdr:rowOff>149678</xdr:rowOff>
    </xdr:from>
    <xdr:to>
      <xdr:col>2</xdr:col>
      <xdr:colOff>2694214</xdr:colOff>
      <xdr:row>26</xdr:row>
      <xdr:rowOff>737507</xdr:rowOff>
    </xdr:to>
    <xdr:pic>
      <xdr:nvPicPr>
        <xdr:cNvPr id="59" name="Рисунок 6">
          <a:extLst>
            <a:ext uri="{FF2B5EF4-FFF2-40B4-BE49-F238E27FC236}">
              <a16:creationId xmlns:a16="http://schemas.microsoft.com/office/drawing/2014/main" id="{00000000-0008-0000-2A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9236" y="44374253"/>
          <a:ext cx="587828" cy="587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54428</xdr:colOff>
      <xdr:row>26</xdr:row>
      <xdr:rowOff>854529</xdr:rowOff>
    </xdr:from>
    <xdr:to>
      <xdr:col>2</xdr:col>
      <xdr:colOff>2925535</xdr:colOff>
      <xdr:row>26</xdr:row>
      <xdr:rowOff>2433944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2A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27" t="24222" r="20726" b="22367"/>
        <a:stretch/>
      </xdr:blipFill>
      <xdr:spPr>
        <a:xfrm>
          <a:off x="7617278" y="45079104"/>
          <a:ext cx="2871107" cy="1579415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28</xdr:row>
      <xdr:rowOff>571499</xdr:rowOff>
    </xdr:from>
    <xdr:to>
      <xdr:col>2</xdr:col>
      <xdr:colOff>2348453</xdr:colOff>
      <xdr:row>28</xdr:row>
      <xdr:rowOff>2367641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2A00-00003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52" r="5397" b="5645"/>
        <a:stretch/>
      </xdr:blipFill>
      <xdr:spPr bwMode="auto">
        <a:xfrm>
          <a:off x="7685314" y="49806224"/>
          <a:ext cx="2225989" cy="1796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2049235</xdr:colOff>
      <xdr:row>28</xdr:row>
      <xdr:rowOff>187777</xdr:rowOff>
    </xdr:from>
    <xdr:to>
      <xdr:col>2</xdr:col>
      <xdr:colOff>2939142</xdr:colOff>
      <xdr:row>28</xdr:row>
      <xdr:rowOff>816427</xdr:rowOff>
    </xdr:to>
    <xdr:pic>
      <xdr:nvPicPr>
        <xdr:cNvPr id="62" name="Рисунок 5">
          <a:extLst>
            <a:ext uri="{FF2B5EF4-FFF2-40B4-BE49-F238E27FC236}">
              <a16:creationId xmlns:a16="http://schemas.microsoft.com/office/drawing/2014/main" id="{00000000-0008-0000-2A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2085" y="49422502"/>
          <a:ext cx="889907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68036</xdr:colOff>
      <xdr:row>5</xdr:row>
      <xdr:rowOff>54428</xdr:rowOff>
    </xdr:from>
    <xdr:ext cx="4476750" cy="1600200"/>
    <xdr:sp macro="" textlink="">
      <xdr:nvSpPr>
        <xdr:cNvPr id="66" name="Прямоугольник 65">
          <a:extLst>
            <a:ext uri="{FF2B5EF4-FFF2-40B4-BE49-F238E27FC236}">
              <a16:creationId xmlns:a16="http://schemas.microsoft.com/office/drawing/2014/main" id="{00000000-0008-0000-2A00-000042000000}"/>
            </a:ext>
          </a:extLst>
        </xdr:cNvPr>
        <xdr:cNvSpPr/>
      </xdr:nvSpPr>
      <xdr:spPr>
        <a:xfrm>
          <a:off x="1864179" y="9252857"/>
          <a:ext cx="4476750" cy="16002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r>
            <a:rPr lang="ru-RU" sz="1200" b="1">
              <a:effectLst/>
              <a:latin typeface="+mn-lt"/>
              <a:ea typeface="+mn-ea"/>
              <a:cs typeface="+mn-cs"/>
            </a:rPr>
            <a:t>Комплект подключения внутрипольного конвектора №2-БП</a:t>
          </a:r>
        </a:p>
        <a:p>
          <a:endParaRPr lang="ru-RU" sz="1200" b="1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Вентили шаровые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2 шт.</a:t>
          </a:r>
        </a:p>
        <a:p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                                                                               </a:t>
          </a:r>
        </a:p>
      </xdr:txBody>
    </xdr:sp>
    <xdr:clientData/>
  </xdr:oneCellAnchor>
  <xdr:twoCellAnchor editAs="oneCell">
    <xdr:from>
      <xdr:col>2</xdr:col>
      <xdr:colOff>1043667</xdr:colOff>
      <xdr:row>5</xdr:row>
      <xdr:rowOff>163286</xdr:rowOff>
    </xdr:from>
    <xdr:to>
      <xdr:col>2</xdr:col>
      <xdr:colOff>1815096</xdr:colOff>
      <xdr:row>5</xdr:row>
      <xdr:rowOff>896619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2A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9238" y="5606143"/>
          <a:ext cx="771429" cy="733333"/>
        </a:xfrm>
        <a:prstGeom prst="rect">
          <a:avLst/>
        </a:prstGeom>
      </xdr:spPr>
    </xdr:pic>
    <xdr:clientData/>
  </xdr:twoCellAnchor>
  <xdr:twoCellAnchor editAs="oneCell">
    <xdr:from>
      <xdr:col>2</xdr:col>
      <xdr:colOff>1034143</xdr:colOff>
      <xdr:row>5</xdr:row>
      <xdr:rowOff>982437</xdr:rowOff>
    </xdr:from>
    <xdr:to>
      <xdr:col>2</xdr:col>
      <xdr:colOff>1805572</xdr:colOff>
      <xdr:row>5</xdr:row>
      <xdr:rowOff>1715770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2A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9714" y="6425294"/>
          <a:ext cx="771429" cy="733333"/>
        </a:xfrm>
        <a:prstGeom prst="rect">
          <a:avLst/>
        </a:prstGeom>
      </xdr:spPr>
    </xdr:pic>
    <xdr:clientData/>
  </xdr:twoCellAnchor>
  <xdr:oneCellAnchor>
    <xdr:from>
      <xdr:col>1</xdr:col>
      <xdr:colOff>67235</xdr:colOff>
      <xdr:row>7</xdr:row>
      <xdr:rowOff>86845</xdr:rowOff>
    </xdr:from>
    <xdr:ext cx="5021836" cy="1600200"/>
    <xdr:sp macro="" textlink="">
      <xdr:nvSpPr>
        <xdr:cNvPr id="69" name="Прямоугольник 68">
          <a:extLst>
            <a:ext uri="{FF2B5EF4-FFF2-40B4-BE49-F238E27FC236}">
              <a16:creationId xmlns:a16="http://schemas.microsoft.com/office/drawing/2014/main" id="{00000000-0008-0000-2A00-000045000000}"/>
            </a:ext>
          </a:extLst>
        </xdr:cNvPr>
        <xdr:cNvSpPr/>
      </xdr:nvSpPr>
      <xdr:spPr>
        <a:xfrm>
          <a:off x="1867460" y="9268945"/>
          <a:ext cx="5021836" cy="16002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ru-RU" sz="1200" b="1">
              <a:effectLst/>
              <a:latin typeface="+mn-lt"/>
              <a:ea typeface="+mn-ea"/>
              <a:cs typeface="+mn-cs"/>
            </a:rPr>
            <a:t>Комплект подключения внутрипольного конвектора №3-БП</a:t>
          </a:r>
        </a:p>
        <a:p>
          <a:pPr algn="l"/>
          <a:endParaRPr lang="ru-RU" sz="1200" b="1">
            <a:effectLst/>
            <a:latin typeface="+mn-lt"/>
            <a:ea typeface="+mn-ea"/>
            <a:cs typeface="+mn-cs"/>
          </a:endParaRPr>
        </a:p>
        <a:p>
          <a:pPr algn="l"/>
          <a:r>
            <a:rPr lang="ru-RU" sz="1200">
              <a:effectLst/>
              <a:latin typeface="+mn-lt"/>
              <a:ea typeface="+mn-ea"/>
              <a:cs typeface="+mn-cs"/>
            </a:rPr>
            <a:t>Вентиль термостатический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 1 шт.</a:t>
          </a:r>
        </a:p>
        <a:p>
          <a:pPr algn="l"/>
          <a:r>
            <a:rPr lang="ru-RU" sz="1200">
              <a:effectLst/>
              <a:latin typeface="+mn-lt"/>
              <a:ea typeface="+mn-ea"/>
              <a:cs typeface="+mn-cs"/>
            </a:rPr>
            <a:t>Вентиль обратный (прямой)                                                 1 шт.</a:t>
          </a:r>
        </a:p>
        <a:p>
          <a:pPr algn="l"/>
          <a:r>
            <a:rPr lang="ru-RU" sz="1200">
              <a:effectLst/>
              <a:latin typeface="+mn-lt"/>
              <a:ea typeface="+mn-ea"/>
              <a:cs typeface="+mn-cs"/>
            </a:rPr>
            <a:t>Гибкие шланги из нержавеющей стали длиной 100мм ВН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                                                                      2 шт.</a:t>
          </a:r>
        </a:p>
      </xdr:txBody>
    </xdr:sp>
    <xdr:clientData/>
  </xdr:oneCellAnchor>
  <xdr:oneCellAnchor>
    <xdr:from>
      <xdr:col>2</xdr:col>
      <xdr:colOff>1020535</xdr:colOff>
      <xdr:row>7</xdr:row>
      <xdr:rowOff>1088570</xdr:rowOff>
    </xdr:from>
    <xdr:ext cx="864614" cy="597244"/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2A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86106" y="10286999"/>
          <a:ext cx="864614" cy="597244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</xdr:row>
      <xdr:rowOff>0</xdr:rowOff>
    </xdr:from>
    <xdr:ext cx="5442857" cy="2707023"/>
    <xdr:sp macro="" textlink="">
      <xdr:nvSpPr>
        <xdr:cNvPr id="72" name="Прямоугольник 71">
          <a:extLst>
            <a:ext uri="{FF2B5EF4-FFF2-40B4-BE49-F238E27FC236}">
              <a16:creationId xmlns:a16="http://schemas.microsoft.com/office/drawing/2014/main" id="{00000000-0008-0000-2A00-000048000000}"/>
            </a:ext>
          </a:extLst>
        </xdr:cNvPr>
        <xdr:cNvSpPr/>
      </xdr:nvSpPr>
      <xdr:spPr>
        <a:xfrm>
          <a:off x="1800225" y="11058525"/>
          <a:ext cx="5442857" cy="2707023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r>
            <a:rPr lang="ru-RU" sz="1200" b="1">
              <a:effectLst/>
              <a:latin typeface="+mn-lt"/>
              <a:ea typeface="+mn-ea"/>
              <a:cs typeface="+mn-cs"/>
            </a:rPr>
            <a:t>Комплект подключения внутрипольного конвектора №3</a:t>
          </a:r>
          <a:r>
            <a:rPr lang="en-US" sz="1200" b="1">
              <a:effectLst/>
              <a:latin typeface="+mn-lt"/>
              <a:ea typeface="+mn-ea"/>
              <a:cs typeface="+mn-cs"/>
            </a:rPr>
            <a:t>C</a:t>
          </a:r>
          <a:endParaRPr lang="ru-RU" sz="1200" b="1">
            <a:effectLst/>
            <a:latin typeface="+mn-lt"/>
            <a:ea typeface="+mn-ea"/>
            <a:cs typeface="+mn-cs"/>
          </a:endParaRPr>
        </a:p>
        <a:p>
          <a:endParaRPr lang="ru-RU" sz="1200" b="1">
            <a:effectLst/>
            <a:latin typeface="+mn-lt"/>
            <a:ea typeface="+mn-ea"/>
            <a:cs typeface="+mn-cs"/>
          </a:endParaRPr>
        </a:p>
        <a:p>
          <a:pPr algn="l"/>
          <a:r>
            <a:rPr lang="ru-RU" sz="1200">
              <a:effectLst/>
              <a:latin typeface="+mn-lt"/>
              <a:ea typeface="+mn-ea"/>
              <a:cs typeface="+mn-cs"/>
            </a:rPr>
            <a:t>Вентиль термостатический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1 шт.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Вентиль обратный (прямой)                                               1 шт.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effectLst/>
              <a:latin typeface="+mn-lt"/>
              <a:ea typeface="+mn-ea"/>
              <a:cs typeface="+mn-cs"/>
            </a:rPr>
            <a:t>Сервопривод электротермический М30*1,5, 230 В, </a:t>
          </a:r>
          <a:r>
            <a:rPr lang="en-US" sz="1200">
              <a:effectLst/>
              <a:latin typeface="+mn-lt"/>
              <a:ea typeface="+mn-ea"/>
              <a:cs typeface="+mn-cs"/>
            </a:rPr>
            <a:t>NC</a:t>
          </a:r>
          <a:r>
            <a:rPr lang="ru-RU" sz="1200">
              <a:effectLst/>
              <a:latin typeface="+mn-lt"/>
              <a:ea typeface="+mn-ea"/>
              <a:cs typeface="+mn-cs"/>
            </a:rPr>
            <a:t> 1 шт.</a:t>
          </a:r>
          <a:endParaRPr lang="ru-RU" sz="12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effectLst/>
              <a:latin typeface="+mn-lt"/>
              <a:ea typeface="+mn-ea"/>
              <a:cs typeface="+mn-cs"/>
            </a:rPr>
            <a:t>Гибкие шланги из нержавеющей стали длиной 100мм ВН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2 шт.</a:t>
          </a:r>
          <a:endParaRPr lang="ru-RU" sz="1200">
            <a:effectLst/>
          </a:endParaRP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 </a:t>
          </a:r>
        </a:p>
        <a:p>
          <a:endParaRPr lang="ru-RU" sz="1400">
            <a:effectLst/>
          </a:endParaRPr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5442857" cy="2707023"/>
    <xdr:sp macro="" textlink="">
      <xdr:nvSpPr>
        <xdr:cNvPr id="73" name="Прямоугольник 72">
          <a:extLst>
            <a:ext uri="{FF2B5EF4-FFF2-40B4-BE49-F238E27FC236}">
              <a16:creationId xmlns:a16="http://schemas.microsoft.com/office/drawing/2014/main" id="{00000000-0008-0000-2A00-000049000000}"/>
            </a:ext>
          </a:extLst>
        </xdr:cNvPr>
        <xdr:cNvSpPr/>
      </xdr:nvSpPr>
      <xdr:spPr>
        <a:xfrm>
          <a:off x="1800225" y="13601700"/>
          <a:ext cx="5442857" cy="2707023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r>
            <a:rPr lang="ru-RU" sz="1200" b="1">
              <a:effectLst/>
              <a:latin typeface="+mn-lt"/>
              <a:ea typeface="+mn-ea"/>
              <a:cs typeface="+mn-cs"/>
            </a:rPr>
            <a:t>Комплект подключения внутрипольного конвектора №3</a:t>
          </a:r>
          <a:r>
            <a:rPr lang="en-US" sz="1200" b="1">
              <a:effectLst/>
              <a:latin typeface="+mn-lt"/>
              <a:ea typeface="+mn-ea"/>
              <a:cs typeface="+mn-cs"/>
            </a:rPr>
            <a:t>C</a:t>
          </a:r>
          <a:r>
            <a:rPr lang="ru-RU" sz="1200" b="1">
              <a:effectLst/>
              <a:latin typeface="+mn-lt"/>
              <a:ea typeface="+mn-ea"/>
              <a:cs typeface="+mn-cs"/>
            </a:rPr>
            <a:t>-БП</a:t>
          </a:r>
        </a:p>
        <a:p>
          <a:endParaRPr lang="ru-RU" sz="1200" b="1">
            <a:effectLst/>
            <a:latin typeface="+mn-lt"/>
            <a:ea typeface="+mn-ea"/>
            <a:cs typeface="+mn-cs"/>
          </a:endParaRPr>
        </a:p>
        <a:p>
          <a:pPr algn="l"/>
          <a:r>
            <a:rPr lang="ru-RU" sz="1200">
              <a:effectLst/>
              <a:latin typeface="+mn-lt"/>
              <a:ea typeface="+mn-ea"/>
              <a:cs typeface="+mn-cs"/>
            </a:rPr>
            <a:t>Вентиль термостатический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1 шт.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Вентиль обратный (прямой)                                               1 шт.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effectLst/>
              <a:latin typeface="+mn-lt"/>
              <a:ea typeface="+mn-ea"/>
              <a:cs typeface="+mn-cs"/>
            </a:rPr>
            <a:t>Сервопривод электротермический М30*1,5, 230 В, </a:t>
          </a:r>
          <a:r>
            <a:rPr lang="en-US" sz="1200">
              <a:effectLst/>
              <a:latin typeface="+mn-lt"/>
              <a:ea typeface="+mn-ea"/>
              <a:cs typeface="+mn-cs"/>
            </a:rPr>
            <a:t>NC</a:t>
          </a:r>
          <a:r>
            <a:rPr lang="ru-RU" sz="1200">
              <a:effectLst/>
              <a:latin typeface="+mn-lt"/>
              <a:ea typeface="+mn-ea"/>
              <a:cs typeface="+mn-cs"/>
            </a:rPr>
            <a:t> 1 шт.</a:t>
          </a:r>
          <a:endParaRPr lang="ru-RU" sz="1200">
            <a:effectLst/>
          </a:endParaRP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 </a:t>
          </a:r>
        </a:p>
        <a:p>
          <a:endParaRPr lang="ru-RU" sz="1400">
            <a:effectLst/>
          </a:endParaRPr>
        </a:p>
      </xdr:txBody>
    </xdr:sp>
    <xdr:clientData/>
  </xdr:oneCellAnchor>
  <xdr:oneCellAnchor>
    <xdr:from>
      <xdr:col>2</xdr:col>
      <xdr:colOff>152879</xdr:colOff>
      <xdr:row>9</xdr:row>
      <xdr:rowOff>1741012</xdr:rowOff>
    </xdr:from>
    <xdr:ext cx="661147" cy="456697"/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2A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18450" y="15361762"/>
          <a:ext cx="661147" cy="456697"/>
        </a:xfrm>
        <a:prstGeom prst="rect">
          <a:avLst/>
        </a:prstGeom>
      </xdr:spPr>
    </xdr:pic>
    <xdr:clientData/>
  </xdr:oneCellAnchor>
  <xdr:oneCellAnchor>
    <xdr:from>
      <xdr:col>2</xdr:col>
      <xdr:colOff>40822</xdr:colOff>
      <xdr:row>9</xdr:row>
      <xdr:rowOff>204107</xdr:rowOff>
    </xdr:from>
    <xdr:ext cx="932507" cy="936000"/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2A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604647" y="13826603"/>
          <a:ext cx="936000" cy="932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1103780</xdr:colOff>
      <xdr:row>9</xdr:row>
      <xdr:rowOff>710772</xdr:rowOff>
    </xdr:from>
    <xdr:ext cx="1073945" cy="1115787"/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2A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669351" y="14331522"/>
          <a:ext cx="1073945" cy="1115787"/>
        </a:xfrm>
        <a:prstGeom prst="rect">
          <a:avLst/>
        </a:prstGeom>
      </xdr:spPr>
    </xdr:pic>
    <xdr:clientData/>
  </xdr:oneCellAnchor>
  <xdr:oneCellAnchor>
    <xdr:from>
      <xdr:col>2</xdr:col>
      <xdr:colOff>993321</xdr:colOff>
      <xdr:row>11</xdr:row>
      <xdr:rowOff>149678</xdr:rowOff>
    </xdr:from>
    <xdr:ext cx="1006928" cy="957202"/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2A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8892" y="19063607"/>
          <a:ext cx="1006928" cy="957202"/>
        </a:xfrm>
        <a:prstGeom prst="rect">
          <a:avLst/>
        </a:prstGeom>
      </xdr:spPr>
    </xdr:pic>
    <xdr:clientData/>
  </xdr:oneCellAnchor>
  <xdr:oneCellAnchor>
    <xdr:from>
      <xdr:col>2</xdr:col>
      <xdr:colOff>938893</xdr:colOff>
      <xdr:row>11</xdr:row>
      <xdr:rowOff>1741714</xdr:rowOff>
    </xdr:from>
    <xdr:ext cx="1103126" cy="762000"/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2A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04464" y="20655643"/>
          <a:ext cx="1103126" cy="762000"/>
        </a:xfrm>
        <a:prstGeom prst="rect">
          <a:avLst/>
        </a:prstGeom>
      </xdr:spPr>
    </xdr:pic>
    <xdr:clientData/>
  </xdr:oneCellAnchor>
  <xdr:oneCellAnchor>
    <xdr:from>
      <xdr:col>1</xdr:col>
      <xdr:colOff>13607</xdr:colOff>
      <xdr:row>11</xdr:row>
      <xdr:rowOff>204107</xdr:rowOff>
    </xdr:from>
    <xdr:ext cx="5075465" cy="2190750"/>
    <xdr:sp macro="" textlink="">
      <xdr:nvSpPr>
        <xdr:cNvPr id="79" name="Прямоугольник 78">
          <a:extLst>
            <a:ext uri="{FF2B5EF4-FFF2-40B4-BE49-F238E27FC236}">
              <a16:creationId xmlns:a16="http://schemas.microsoft.com/office/drawing/2014/main" id="{00000000-0008-0000-2A00-00004F000000}"/>
            </a:ext>
          </a:extLst>
        </xdr:cNvPr>
        <xdr:cNvSpPr/>
      </xdr:nvSpPr>
      <xdr:spPr>
        <a:xfrm>
          <a:off x="1809750" y="19118036"/>
          <a:ext cx="5075465" cy="219075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r>
            <a:rPr lang="ru-RU" sz="1200" b="1">
              <a:effectLst/>
              <a:latin typeface="+mn-lt"/>
              <a:ea typeface="+mn-ea"/>
              <a:cs typeface="+mn-cs"/>
            </a:rPr>
            <a:t>Комплект подключения внутрипольного конвектора №5-БП</a:t>
          </a:r>
        </a:p>
        <a:p>
          <a:endParaRPr lang="ru-RU" sz="1200" b="1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Вентили шаровые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1 шт.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effectLst/>
              <a:latin typeface="+mn-lt"/>
              <a:ea typeface="+mn-ea"/>
              <a:cs typeface="+mn-cs"/>
            </a:rPr>
            <a:t>Гибкие шланги из нержавеющей стали длиной 100мм ВН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2 шт.</a:t>
          </a:r>
          <a:endParaRPr lang="ru-RU" sz="1200">
            <a:effectLst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Запорно-регулирующий клапан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1шт</a:t>
          </a:r>
        </a:p>
      </xdr:txBody>
    </xdr:sp>
    <xdr:clientData/>
  </xdr:oneCellAnchor>
  <xdr:oneCellAnchor>
    <xdr:from>
      <xdr:col>0</xdr:col>
      <xdr:colOff>1796142</xdr:colOff>
      <xdr:row>10</xdr:row>
      <xdr:rowOff>176893</xdr:rowOff>
    </xdr:from>
    <xdr:ext cx="5075465" cy="2190750"/>
    <xdr:sp macro="" textlink="">
      <xdr:nvSpPr>
        <xdr:cNvPr id="82" name="Прямоугольник 81">
          <a:extLst>
            <a:ext uri="{FF2B5EF4-FFF2-40B4-BE49-F238E27FC236}">
              <a16:creationId xmlns:a16="http://schemas.microsoft.com/office/drawing/2014/main" id="{00000000-0008-0000-2A00-000052000000}"/>
            </a:ext>
          </a:extLst>
        </xdr:cNvPr>
        <xdr:cNvSpPr/>
      </xdr:nvSpPr>
      <xdr:spPr>
        <a:xfrm>
          <a:off x="1796142" y="16321768"/>
          <a:ext cx="5075465" cy="219075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r>
            <a:rPr lang="ru-RU" sz="1200" b="1">
              <a:effectLst/>
              <a:latin typeface="+mn-lt"/>
              <a:ea typeface="+mn-ea"/>
              <a:cs typeface="+mn-cs"/>
            </a:rPr>
            <a:t>Комплект подключения внутрипольного конвектора №5</a:t>
          </a:r>
        </a:p>
        <a:p>
          <a:endParaRPr lang="ru-RU" sz="1200" b="1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Вентили шаровые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               1 шт.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effectLst/>
              <a:latin typeface="+mn-lt"/>
              <a:ea typeface="+mn-ea"/>
              <a:cs typeface="+mn-cs"/>
            </a:rPr>
            <a:t>Гибкие шланги из нержавеющей стали длиной 100мм ВН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2 шт.</a:t>
          </a:r>
          <a:endParaRPr lang="ru-RU" sz="1200">
            <a:effectLst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Запорно-регулирующий клапан (прямой)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1шт</a:t>
          </a:r>
        </a:p>
      </xdr:txBody>
    </xdr:sp>
    <xdr:clientData/>
  </xdr:oneCellAnchor>
  <xdr:twoCellAnchor editAs="oneCell">
    <xdr:from>
      <xdr:col>2</xdr:col>
      <xdr:colOff>81643</xdr:colOff>
      <xdr:row>29</xdr:row>
      <xdr:rowOff>149678</xdr:rowOff>
    </xdr:from>
    <xdr:to>
      <xdr:col>2</xdr:col>
      <xdr:colOff>2929569</xdr:colOff>
      <xdr:row>29</xdr:row>
      <xdr:rowOff>2462892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2A00-00005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t="9796" b="8979"/>
        <a:stretch/>
      </xdr:blipFill>
      <xdr:spPr>
        <a:xfrm>
          <a:off x="7647214" y="54836785"/>
          <a:ext cx="2847926" cy="2313214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3</xdr:row>
      <xdr:rowOff>0</xdr:rowOff>
    </xdr:from>
    <xdr:ext cx="5490884" cy="1600200"/>
    <xdr:sp macro="" textlink="">
      <xdr:nvSpPr>
        <xdr:cNvPr id="81" name="Прямоугольник 80">
          <a:extLst>
            <a:ext uri="{FF2B5EF4-FFF2-40B4-BE49-F238E27FC236}">
              <a16:creationId xmlns:a16="http://schemas.microsoft.com/office/drawing/2014/main" id="{00000000-0008-0000-2A00-000051000000}"/>
            </a:ext>
          </a:extLst>
        </xdr:cNvPr>
        <xdr:cNvSpPr/>
      </xdr:nvSpPr>
      <xdr:spPr>
        <a:xfrm>
          <a:off x="1796143" y="1687286"/>
          <a:ext cx="5490884" cy="160020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ru-RU" sz="1200" b="1">
              <a:effectLst/>
              <a:latin typeface="+mn-lt"/>
              <a:ea typeface="+mn-ea"/>
              <a:cs typeface="+mn-cs"/>
            </a:rPr>
            <a:t>Комплект подключения внутрипольного конвектора №1</a:t>
          </a:r>
        </a:p>
        <a:p>
          <a:pPr algn="l"/>
          <a:endParaRPr lang="ru-RU" sz="1200" b="1">
            <a:effectLst/>
            <a:latin typeface="+mn-lt"/>
            <a:ea typeface="+mn-ea"/>
            <a:cs typeface="+mn-cs"/>
          </a:endParaRPr>
        </a:p>
        <a:p>
          <a:pPr algn="l"/>
          <a:r>
            <a:rPr lang="ru-RU" sz="1200">
              <a:effectLst/>
              <a:latin typeface="+mn-lt"/>
              <a:ea typeface="+mn-ea"/>
              <a:cs typeface="+mn-cs"/>
            </a:rPr>
            <a:t>Гибкие шланги из нержавеющей стали длиной 100мм ВН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1/2''     2шт. 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effectLst/>
              <a:latin typeface="+mn-lt"/>
              <a:ea typeface="+mn-ea"/>
              <a:cs typeface="+mn-cs"/>
            </a:rPr>
            <a:t>Производство Россия</a:t>
          </a:r>
          <a:endParaRPr lang="ru-RU" sz="1200">
            <a:effectLst/>
          </a:endParaRPr>
        </a:p>
        <a:p>
          <a:pPr algn="l"/>
          <a:r>
            <a:rPr lang="ru-RU" sz="1200">
              <a:effectLst/>
              <a:latin typeface="+mn-lt"/>
              <a:ea typeface="+mn-ea"/>
              <a:cs typeface="+mn-cs"/>
            </a:rPr>
            <a:t>       </a:t>
          </a:r>
          <a:endParaRPr lang="ru-RU" sz="1400">
            <a:effectLst/>
          </a:endParaRPr>
        </a:p>
      </xdr:txBody>
    </xdr:sp>
    <xdr:clientData/>
  </xdr:oneCellAnchor>
  <xdr:oneCellAnchor>
    <xdr:from>
      <xdr:col>2</xdr:col>
      <xdr:colOff>898072</xdr:colOff>
      <xdr:row>7</xdr:row>
      <xdr:rowOff>54429</xdr:rowOff>
    </xdr:from>
    <xdr:ext cx="932507" cy="936000"/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2A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8461897" y="9254604"/>
          <a:ext cx="936000" cy="932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884465</xdr:colOff>
      <xdr:row>14</xdr:row>
      <xdr:rowOff>122464</xdr:rowOff>
    </xdr:from>
    <xdr:ext cx="1006928" cy="957202"/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2A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7315" y="29278489"/>
          <a:ext cx="1006928" cy="957202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14</xdr:row>
      <xdr:rowOff>304800</xdr:rowOff>
    </xdr:to>
    <xdr:sp macro="" textlink="">
      <xdr:nvSpPr>
        <xdr:cNvPr id="88" name="AutoShape 14" descr="blob:https://web.whatsapp.com/b4bb0b9a-47bf-4cd2-a26e-7d7a2fe1b856">
          <a:extLst>
            <a:ext uri="{FF2B5EF4-FFF2-40B4-BE49-F238E27FC236}">
              <a16:creationId xmlns:a16="http://schemas.microsoft.com/office/drawing/2014/main" id="{00000000-0008-0000-2A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7562850" y="2727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14</xdr:row>
      <xdr:rowOff>304800</xdr:rowOff>
    </xdr:to>
    <xdr:sp macro="" textlink="">
      <xdr:nvSpPr>
        <xdr:cNvPr id="89" name="AutoShape 15" descr="blob:https://web.whatsapp.com/b4bb0b9a-47bf-4cd2-a26e-7d7a2fe1b856">
          <a:extLst>
            <a:ext uri="{FF2B5EF4-FFF2-40B4-BE49-F238E27FC236}">
              <a16:creationId xmlns:a16="http://schemas.microsoft.com/office/drawing/2014/main" id="{00000000-0008-0000-2A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7562850" y="2727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12</xdr:row>
      <xdr:rowOff>0</xdr:rowOff>
    </xdr:from>
    <xdr:ext cx="6504214" cy="1869623"/>
    <xdr:sp macro="" textlink="">
      <xdr:nvSpPr>
        <xdr:cNvPr id="91" name="Прямоугольник 90">
          <a:extLst>
            <a:ext uri="{FF2B5EF4-FFF2-40B4-BE49-F238E27FC236}">
              <a16:creationId xmlns:a16="http://schemas.microsoft.com/office/drawing/2014/main" id="{00000000-0008-0000-2A00-00005B000000}"/>
            </a:ext>
          </a:extLst>
        </xdr:cNvPr>
        <xdr:cNvSpPr/>
      </xdr:nvSpPr>
      <xdr:spPr>
        <a:xfrm>
          <a:off x="1800225" y="23526750"/>
          <a:ext cx="6504214" cy="1869623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r>
            <a:rPr lang="ru-RU" sz="1200" b="1">
              <a:effectLst/>
              <a:latin typeface="+mn-lt"/>
              <a:ea typeface="+mn-ea"/>
              <a:cs typeface="+mn-cs"/>
            </a:rPr>
            <a:t>Термоэлектрический сервопривод</a:t>
          </a:r>
        </a:p>
        <a:p>
          <a:endParaRPr lang="ru-RU" sz="1200" b="1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~230В ±10%, 50 Гц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2 В·А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Тип: 2-позиционный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</a:t>
          </a:r>
          <a:r>
            <a:rPr lang="ru-RU" sz="1200">
              <a:effectLst/>
              <a:latin typeface="+mn-lt"/>
              <a:ea typeface="+mn-ea"/>
              <a:cs typeface="+mn-cs"/>
            </a:rPr>
            <a:t>54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Резьбовое соединение: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3/4''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Производство Польша</a:t>
          </a:r>
        </a:p>
      </xdr:txBody>
    </xdr:sp>
    <xdr:clientData/>
  </xdr:oneCellAnchor>
  <xdr:oneCellAnchor>
    <xdr:from>
      <xdr:col>1</xdr:col>
      <xdr:colOff>0</xdr:colOff>
      <xdr:row>13</xdr:row>
      <xdr:rowOff>0</xdr:rowOff>
    </xdr:from>
    <xdr:ext cx="6504214" cy="1869623"/>
    <xdr:sp macro="" textlink="">
      <xdr:nvSpPr>
        <xdr:cNvPr id="92" name="Прямоугольник 91">
          <a:extLst>
            <a:ext uri="{FF2B5EF4-FFF2-40B4-BE49-F238E27FC236}">
              <a16:creationId xmlns:a16="http://schemas.microsoft.com/office/drawing/2014/main" id="{00000000-0008-0000-2A00-00005C000000}"/>
            </a:ext>
          </a:extLst>
        </xdr:cNvPr>
        <xdr:cNvSpPr/>
      </xdr:nvSpPr>
      <xdr:spPr>
        <a:xfrm>
          <a:off x="1800225" y="25403175"/>
          <a:ext cx="6504214" cy="1869623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r>
            <a:rPr lang="ru-RU" sz="1200" b="1">
              <a:effectLst/>
              <a:latin typeface="+mn-lt"/>
              <a:ea typeface="+mn-ea"/>
              <a:cs typeface="+mn-cs"/>
            </a:rPr>
            <a:t>Термоэлектрический сервопривод</a:t>
          </a:r>
        </a:p>
        <a:p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Напряжение питания: -24, 50 Гц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Потребляемая мощность: 2 В·А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Тип: 2-позиционный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Степень защиты: </a:t>
          </a:r>
          <a:r>
            <a:rPr lang="en-US" sz="1200">
              <a:effectLst/>
              <a:latin typeface="+mn-lt"/>
              <a:ea typeface="+mn-ea"/>
              <a:cs typeface="+mn-cs"/>
            </a:rPr>
            <a:t>IP</a:t>
          </a:r>
          <a:r>
            <a:rPr lang="ru-RU" sz="1200">
              <a:effectLst/>
              <a:latin typeface="+mn-lt"/>
              <a:ea typeface="+mn-ea"/>
              <a:cs typeface="+mn-cs"/>
            </a:rPr>
            <a:t>54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Резьбовое соединение: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3/4''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effectLst/>
              <a:latin typeface="+mn-lt"/>
              <a:ea typeface="+mn-ea"/>
              <a:cs typeface="+mn-cs"/>
            </a:rPr>
            <a:t>Производство Польша</a:t>
          </a:r>
          <a:endParaRPr lang="ru-RU" sz="1200">
            <a:effectLst/>
          </a:endParaRPr>
        </a:p>
        <a:p>
          <a:endParaRPr lang="ru-RU" sz="1200"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1</xdr:col>
      <xdr:colOff>27215</xdr:colOff>
      <xdr:row>23</xdr:row>
      <xdr:rowOff>312965</xdr:rowOff>
    </xdr:from>
    <xdr:ext cx="5102681" cy="1426027"/>
    <xdr:sp macro="" textlink="">
      <xdr:nvSpPr>
        <xdr:cNvPr id="99" name="Прямоугольник 98">
          <a:extLst>
            <a:ext uri="{FF2B5EF4-FFF2-40B4-BE49-F238E27FC236}">
              <a16:creationId xmlns:a16="http://schemas.microsoft.com/office/drawing/2014/main" id="{00000000-0008-0000-2A00-000063000000}"/>
            </a:ext>
          </a:extLst>
        </xdr:cNvPr>
        <xdr:cNvSpPr/>
      </xdr:nvSpPr>
      <xdr:spPr>
        <a:xfrm>
          <a:off x="1827440" y="49747715"/>
          <a:ext cx="5102681" cy="142602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 b="1">
              <a:effectLst/>
              <a:latin typeface="+mn-lt"/>
              <a:ea typeface="+mn-ea"/>
              <a:cs typeface="+mn-cs"/>
            </a:rPr>
            <a:t>Комплект нижнего подключения проходной</a:t>
          </a:r>
        </a:p>
        <a:p>
          <a:endParaRPr lang="ru-RU" sz="1200" b="1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Узел нижнего подключения </a:t>
          </a:r>
          <a:r>
            <a:rPr lang="en-US" sz="1200">
              <a:effectLst/>
              <a:latin typeface="+mn-lt"/>
              <a:ea typeface="+mn-ea"/>
              <a:cs typeface="+mn-cs"/>
            </a:rPr>
            <a:t>STANDARD 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Прямой Никелированный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 3/4*3/4 </a:t>
          </a:r>
          <a:r>
            <a:rPr lang="en-US" sz="1200">
              <a:effectLst/>
              <a:latin typeface="+mn-lt"/>
              <a:ea typeface="+mn-ea"/>
              <a:cs typeface="+mn-cs"/>
            </a:rPr>
            <a:t>EURO KONUS </a:t>
          </a:r>
          <a:r>
            <a:rPr lang="ru-RU" sz="1200">
              <a:effectLst/>
              <a:latin typeface="+mn-lt"/>
              <a:ea typeface="+mn-ea"/>
              <a:cs typeface="+mn-cs"/>
            </a:rPr>
            <a:t>          1  шт.                                                                            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Ниппель1/2* 3/4 евроконус                                                  2 шт.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effectLst/>
              <a:latin typeface="+mn-lt"/>
              <a:ea typeface="+mn-ea"/>
              <a:cs typeface="+mn-cs"/>
            </a:rPr>
            <a:t>Производство Польша</a:t>
          </a:r>
          <a:endParaRPr lang="ru-RU">
            <a:effectLst/>
          </a:endParaRPr>
        </a:p>
        <a:p>
          <a:r>
            <a:rPr lang="ru-RU" sz="1100">
              <a:effectLst/>
              <a:latin typeface="+mn-lt"/>
              <a:ea typeface="+mn-ea"/>
              <a:cs typeface="+mn-cs"/>
            </a:rPr>
            <a:t>                                                              </a:t>
          </a:r>
        </a:p>
      </xdr:txBody>
    </xdr:sp>
    <xdr:clientData/>
  </xdr:oneCellAnchor>
  <xdr:oneCellAnchor>
    <xdr:from>
      <xdr:col>1</xdr:col>
      <xdr:colOff>40822</xdr:colOff>
      <xdr:row>24</xdr:row>
      <xdr:rowOff>381000</xdr:rowOff>
    </xdr:from>
    <xdr:ext cx="5102681" cy="1600200"/>
    <xdr:sp macro="" textlink="">
      <xdr:nvSpPr>
        <xdr:cNvPr id="100" name="Прямоугольник 99">
          <a:extLst>
            <a:ext uri="{FF2B5EF4-FFF2-40B4-BE49-F238E27FC236}">
              <a16:creationId xmlns:a16="http://schemas.microsoft.com/office/drawing/2014/main" id="{00000000-0008-0000-2A00-000064000000}"/>
            </a:ext>
          </a:extLst>
        </xdr:cNvPr>
        <xdr:cNvSpPr/>
      </xdr:nvSpPr>
      <xdr:spPr>
        <a:xfrm>
          <a:off x="1841047" y="51816000"/>
          <a:ext cx="5102681" cy="16002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ru-RU" sz="1200" b="1">
              <a:effectLst/>
              <a:latin typeface="+mn-lt"/>
              <a:ea typeface="+mn-ea"/>
              <a:cs typeface="+mn-cs"/>
            </a:rPr>
            <a:t>Комплект нижнего подключения угловой</a:t>
          </a:r>
        </a:p>
        <a:p>
          <a:endParaRPr lang="ru-RU" sz="1200" b="1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Узел нижнего подключения </a:t>
          </a:r>
          <a:r>
            <a:rPr lang="en-US" sz="1200">
              <a:effectLst/>
              <a:latin typeface="+mn-lt"/>
              <a:ea typeface="+mn-ea"/>
              <a:cs typeface="+mn-cs"/>
            </a:rPr>
            <a:t>STANDARD </a:t>
          </a:r>
          <a:endParaRPr lang="ru-RU" sz="1200">
            <a:effectLst/>
            <a:latin typeface="+mn-lt"/>
            <a:ea typeface="+mn-ea"/>
            <a:cs typeface="+mn-cs"/>
          </a:endParaRP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Угловой Никелированный </a:t>
          </a:r>
          <a:r>
            <a:rPr lang="en-US" sz="1200">
              <a:effectLst/>
              <a:latin typeface="+mn-lt"/>
              <a:ea typeface="+mn-ea"/>
              <a:cs typeface="+mn-cs"/>
            </a:rPr>
            <a:t>G</a:t>
          </a:r>
          <a:r>
            <a:rPr lang="ru-RU" sz="1200">
              <a:effectLst/>
              <a:latin typeface="+mn-lt"/>
              <a:ea typeface="+mn-ea"/>
              <a:cs typeface="+mn-cs"/>
            </a:rPr>
            <a:t> 3/4*3/4 </a:t>
          </a:r>
          <a:r>
            <a:rPr lang="en-US" sz="1200">
              <a:effectLst/>
              <a:latin typeface="+mn-lt"/>
              <a:ea typeface="+mn-ea"/>
              <a:cs typeface="+mn-cs"/>
            </a:rPr>
            <a:t>EURO KONUS</a:t>
          </a:r>
          <a:r>
            <a:rPr lang="ru-RU" sz="1200">
              <a:effectLst/>
              <a:latin typeface="+mn-lt"/>
              <a:ea typeface="+mn-ea"/>
              <a:cs typeface="+mn-cs"/>
            </a:rPr>
            <a:t>            1  шт.                                        </a:t>
          </a:r>
        </a:p>
        <a:p>
          <a:r>
            <a:rPr lang="ru-RU" sz="1200">
              <a:effectLst/>
              <a:latin typeface="+mn-lt"/>
              <a:ea typeface="+mn-ea"/>
              <a:cs typeface="+mn-cs"/>
            </a:rPr>
            <a:t>Ниппель1/2* 3/4 евроконус                                                     2 шт.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effectLst/>
              <a:latin typeface="+mn-lt"/>
              <a:ea typeface="+mn-ea"/>
              <a:cs typeface="+mn-cs"/>
            </a:rPr>
            <a:t>Производство Польша</a:t>
          </a:r>
          <a:endParaRPr lang="ru-RU" sz="1200">
            <a:effectLst/>
          </a:endParaRPr>
        </a:p>
        <a:p>
          <a:r>
            <a:rPr lang="ru-RU" sz="12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                                                           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8;&#1089;&#1093;&#1086;&#1076;&#1085;&#1099;&#1081;%20(&#1090;&#1086;&#1083;&#1100;&#1082;&#1086;%20&#1076;&#1083;&#1103;%20&#1074;&#1087;%20&#1080;%20&#1080;&#1079;&#1084;&#1077;&#1085;&#1077;&#1085;&#1080;&#1103;%20&#1094;&#1077;&#1085;)%20&#1055;&#1088;&#1072;&#1081;&#1089;-&#1083;&#1080;&#1089;&#1090;%20Vitron%20&#1042;&#1050;,&#1042;&#1050;&#1042;,&#1042;&#1050;&#1042;&#1058;&#1061;,&#1042;&#1050;&#1055;,&#1042;&#1050;&#1042;&#1055;,&#1042;&#1050;&#1042;&#1052;,&#1042;&#1058;%2005.10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лавная"/>
      <sheetName val="Артикул"/>
      <sheetName val="Описание"/>
      <sheetName val="Описание ВКЭ"/>
      <sheetName val="Специсполнения"/>
      <sheetName val="Калькулятор теплоотдач ВК"/>
      <sheetName val="Лист1"/>
      <sheetName val="Калькулятор теплоотдач ВКВ"/>
      <sheetName val="Калькулятор приточной вент"/>
      <sheetName val="Лист2"/>
      <sheetName val="Изменение цен"/>
      <sheetName val="65 ВЕНТ 24В"/>
      <sheetName val="70 ВЕНТ 24В"/>
      <sheetName val="75 ВЕНТ 24В"/>
      <sheetName val="80 ВЕНТ 24В"/>
      <sheetName val="90 ВЕНТ 24В"/>
      <sheetName val="110 ВЕНТ 24В"/>
      <sheetName val="140 ВЕНТ 24В"/>
      <sheetName val="150 ВЕНТ 24В"/>
      <sheetName val="90 ВЕНТ.МАХ 24В"/>
      <sheetName val="110 ВЕНТ.МАХ 24В"/>
      <sheetName val="150 ВЕНТ.МАХ 24В"/>
      <sheetName val="55"/>
      <sheetName val="65"/>
      <sheetName val="70"/>
      <sheetName val="75"/>
      <sheetName val="80"/>
      <sheetName val="90"/>
      <sheetName val="110"/>
      <sheetName val="140"/>
      <sheetName val="150"/>
      <sheetName val="200"/>
      <sheetName val="300"/>
      <sheetName val="400"/>
      <sheetName val="500"/>
      <sheetName val="600"/>
      <sheetName val="ВК.МАХ.90"/>
      <sheetName val="ВК.МАХ.110"/>
      <sheetName val="ВК.МАХ.150"/>
      <sheetName val="ВК.МАХ.200"/>
      <sheetName val="ВК.ЭКО.75"/>
      <sheetName val="ВК.ЭКО.90"/>
      <sheetName val="ВКВ.ЭКО.75"/>
      <sheetName val="ВКВ.ЭКО.90"/>
      <sheetName val="ВКВТХ"/>
      <sheetName val="ВКВМ"/>
      <sheetName val="ВКП"/>
      <sheetName val="ВКВП"/>
      <sheetName val="ВКВ+ВКЭ"/>
      <sheetName val="КП"/>
      <sheetName val="Посезонная вкладка и монтаж кр"/>
      <sheetName val="Теплообменники"/>
      <sheetName val="Крепление тепл. и крышки"/>
      <sheetName val="Вентиляторы"/>
      <sheetName val="Автоматика"/>
      <sheetName val="Арматура"/>
      <sheetName val="Комплекты подключен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0">
          <cell r="D50">
            <v>1</v>
          </cell>
        </row>
        <row r="85">
          <cell r="D85">
            <v>1.5302876512500003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vitron.ru/" TargetMode="External"/><Relationship Id="rId1" Type="http://schemas.openxmlformats.org/officeDocument/2006/relationships/hyperlink" Target="https://vitron.ru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U151"/>
  <sheetViews>
    <sheetView tabSelected="1" zoomScale="85" zoomScaleNormal="85" workbookViewId="0"/>
  </sheetViews>
  <sheetFormatPr defaultRowHeight="15"/>
  <cols>
    <col min="2" max="2" width="67" customWidth="1"/>
    <col min="4" max="4" width="13" customWidth="1"/>
    <col min="10" max="10" width="23.85546875" customWidth="1"/>
    <col min="11" max="47" width="9.140625" style="17"/>
  </cols>
  <sheetData>
    <row r="1" spans="1:13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3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3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3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3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3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3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pans="1:13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3" ht="33.75" customHeight="1">
      <c r="A11" s="17"/>
      <c r="C11" s="17"/>
      <c r="D11" s="17"/>
      <c r="E11" s="17"/>
      <c r="F11" s="17"/>
      <c r="G11" s="17"/>
      <c r="H11" s="2066" t="s">
        <v>59</v>
      </c>
      <c r="I11" s="2066"/>
      <c r="J11" s="2066"/>
    </row>
    <row r="12" spans="1:13" ht="27.75" customHeight="1">
      <c r="A12" s="17"/>
      <c r="B12" s="68" t="s">
        <v>4</v>
      </c>
      <c r="C12" s="17"/>
      <c r="D12" s="17"/>
      <c r="E12" s="17"/>
      <c r="F12" s="17"/>
      <c r="G12" s="17"/>
      <c r="H12" s="17"/>
      <c r="I12" s="17"/>
      <c r="J12" s="17"/>
    </row>
    <row r="13" spans="1:13" ht="7.5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3" ht="19.5" customHeight="1">
      <c r="A14" s="17"/>
      <c r="B14" s="69" t="s">
        <v>5748</v>
      </c>
      <c r="C14" s="17"/>
      <c r="D14" s="17"/>
      <c r="E14" s="17"/>
      <c r="F14" s="17"/>
      <c r="G14" s="17"/>
      <c r="H14" s="17"/>
      <c r="I14" s="17"/>
      <c r="J14" s="17"/>
    </row>
    <row r="15" spans="1:13" s="17" customFormat="1" ht="7.5" customHeight="1"/>
    <row r="16" spans="1:13" ht="24" customHeight="1">
      <c r="A16" s="19"/>
      <c r="B16" s="20" t="s">
        <v>13</v>
      </c>
      <c r="C16" s="21"/>
      <c r="D16" s="21"/>
      <c r="E16" s="21"/>
      <c r="F16" s="21"/>
      <c r="G16" s="21"/>
      <c r="H16" s="21"/>
      <c r="I16" s="21"/>
      <c r="J16" s="21"/>
      <c r="K16" s="70"/>
      <c r="L16" s="70"/>
      <c r="M16" s="70"/>
    </row>
    <row r="17" spans="1:47" s="65" customFormat="1" ht="27.75" customHeight="1">
      <c r="A17" s="197"/>
      <c r="B17" s="2069" t="s">
        <v>121</v>
      </c>
      <c r="C17" s="2069"/>
      <c r="D17" s="2069"/>
      <c r="E17" s="2069"/>
      <c r="F17" s="2069"/>
      <c r="G17" s="198"/>
      <c r="H17" s="198"/>
      <c r="I17" s="198"/>
      <c r="J17" s="198"/>
      <c r="K17" s="17"/>
      <c r="L17" s="71"/>
      <c r="M17" s="72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ht="27.75" customHeight="1">
      <c r="A18" s="22"/>
      <c r="B18" s="2067" t="s">
        <v>119</v>
      </c>
      <c r="C18" s="2067"/>
      <c r="D18" s="2067"/>
      <c r="E18" s="2067"/>
      <c r="F18" s="2067"/>
      <c r="G18" s="23"/>
      <c r="H18" s="23"/>
      <c r="I18" s="23"/>
      <c r="J18" s="23"/>
      <c r="L18" s="71"/>
      <c r="M18" s="72"/>
    </row>
    <row r="19" spans="1:47" s="65" customFormat="1" ht="27.75" customHeight="1">
      <c r="A19" s="472"/>
      <c r="B19" s="473" t="s">
        <v>294</v>
      </c>
      <c r="C19" s="473"/>
      <c r="D19" s="473"/>
      <c r="E19" s="473"/>
      <c r="F19" s="473"/>
      <c r="G19" s="474"/>
      <c r="H19" s="474"/>
      <c r="I19" s="474"/>
      <c r="J19" s="474"/>
      <c r="K19" s="17"/>
      <c r="L19" s="71"/>
      <c r="M19" s="72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65" customFormat="1" ht="27.75" customHeight="1">
      <c r="A20" s="738"/>
      <c r="B20" s="739" t="s">
        <v>295</v>
      </c>
      <c r="C20" s="739"/>
      <c r="D20" s="739"/>
      <c r="E20" s="739"/>
      <c r="F20" s="739"/>
      <c r="G20" s="740"/>
      <c r="H20" s="740"/>
      <c r="I20" s="740"/>
      <c r="J20" s="740"/>
      <c r="K20" s="17"/>
      <c r="L20" s="71"/>
      <c r="M20" s="72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65" customFormat="1" ht="27.75" customHeight="1">
      <c r="A21" s="2003"/>
      <c r="B21" s="2004" t="s">
        <v>7667</v>
      </c>
      <c r="C21" s="2004"/>
      <c r="D21" s="2004"/>
      <c r="E21" s="2004"/>
      <c r="F21" s="2004"/>
      <c r="G21" s="2005"/>
      <c r="H21" s="2005"/>
      <c r="I21" s="2005"/>
      <c r="J21" s="2005"/>
      <c r="K21" s="2000"/>
      <c r="L21" s="71"/>
      <c r="M21" s="72"/>
      <c r="N21" s="2000"/>
      <c r="O21" s="2000"/>
      <c r="P21" s="2000"/>
      <c r="Q21" s="2000"/>
      <c r="R21" s="2000"/>
      <c r="S21" s="2000"/>
      <c r="T21" s="2000"/>
      <c r="U21" s="2000"/>
      <c r="V21" s="2000"/>
      <c r="W21" s="2000"/>
      <c r="X21" s="2000"/>
      <c r="Y21" s="2000"/>
      <c r="Z21" s="2000"/>
      <c r="AA21" s="2000"/>
      <c r="AB21" s="2000"/>
      <c r="AC21" s="2000"/>
      <c r="AD21" s="2000"/>
      <c r="AE21" s="2000"/>
      <c r="AF21" s="2000"/>
      <c r="AG21" s="2000"/>
      <c r="AH21" s="2000"/>
      <c r="AI21" s="2000"/>
      <c r="AJ21" s="2000"/>
      <c r="AK21" s="2000"/>
      <c r="AL21" s="2000"/>
      <c r="AM21" s="2000"/>
      <c r="AN21" s="2000"/>
      <c r="AO21" s="2000"/>
      <c r="AP21" s="2000"/>
      <c r="AQ21" s="2000"/>
      <c r="AR21" s="2000"/>
      <c r="AS21" s="2000"/>
      <c r="AT21" s="2000"/>
      <c r="AU21" s="2000"/>
    </row>
    <row r="22" spans="1:47" s="65" customFormat="1" ht="25.5" customHeight="1">
      <c r="A22" s="203"/>
      <c r="B22" s="203" t="s">
        <v>171</v>
      </c>
      <c r="C22" s="203"/>
      <c r="D22" s="203"/>
      <c r="E22" s="203"/>
      <c r="F22" s="203"/>
      <c r="G22" s="203"/>
      <c r="H22" s="203"/>
      <c r="I22" s="203"/>
      <c r="J22" s="203"/>
      <c r="K22" s="71"/>
      <c r="L22" s="71"/>
      <c r="M22" s="72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65" customFormat="1" ht="20.25">
      <c r="A23" s="203"/>
      <c r="B23" s="204" t="s">
        <v>5</v>
      </c>
      <c r="C23" s="205"/>
      <c r="D23" s="217" t="s">
        <v>166</v>
      </c>
      <c r="E23" s="216"/>
      <c r="F23" s="203"/>
      <c r="G23" s="203"/>
      <c r="H23" s="203"/>
      <c r="I23" s="203"/>
      <c r="J23" s="203"/>
      <c r="K23" s="71"/>
      <c r="L23" s="71"/>
      <c r="M23" s="72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65" customFormat="1" ht="20.25">
      <c r="A24" s="203"/>
      <c r="B24" s="204"/>
      <c r="C24" s="205"/>
      <c r="D24" s="217" t="s">
        <v>167</v>
      </c>
      <c r="E24" s="216"/>
      <c r="F24" s="203"/>
      <c r="G24" s="203"/>
      <c r="H24" s="203"/>
      <c r="I24" s="203"/>
      <c r="J24" s="203"/>
      <c r="K24" s="71"/>
      <c r="L24" s="71"/>
      <c r="M24" s="72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65" customFormat="1" ht="20.25">
      <c r="A25" s="203"/>
      <c r="B25" s="203"/>
      <c r="C25" s="203"/>
      <c r="D25" s="217" t="s">
        <v>170</v>
      </c>
      <c r="E25" s="216"/>
      <c r="F25" s="203"/>
      <c r="G25" s="203"/>
      <c r="H25" s="203"/>
      <c r="I25" s="203"/>
      <c r="J25" s="203"/>
      <c r="K25" s="71"/>
      <c r="L25" s="71"/>
      <c r="M25" s="72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65" customFormat="1" ht="20.25">
      <c r="A26" s="203"/>
      <c r="B26" s="203"/>
      <c r="C26" s="203"/>
      <c r="D26" s="1014" t="s">
        <v>377</v>
      </c>
      <c r="E26" s="216"/>
      <c r="F26" s="203"/>
      <c r="G26" s="203"/>
      <c r="H26" s="203"/>
      <c r="I26" s="203"/>
      <c r="J26" s="203"/>
      <c r="K26" s="71"/>
      <c r="L26" s="71"/>
      <c r="M26" s="72"/>
      <c r="N26" s="1010"/>
      <c r="O26" s="1010"/>
      <c r="P26" s="1010"/>
      <c r="Q26" s="1010"/>
      <c r="R26" s="1010"/>
      <c r="S26" s="1010"/>
      <c r="T26" s="1010"/>
      <c r="U26" s="1010"/>
      <c r="V26" s="1010"/>
      <c r="W26" s="1010"/>
      <c r="X26" s="1010"/>
      <c r="Y26" s="1010"/>
      <c r="Z26" s="1010"/>
      <c r="AA26" s="1010"/>
      <c r="AB26" s="1010"/>
      <c r="AC26" s="1010"/>
      <c r="AD26" s="1010"/>
      <c r="AE26" s="1010"/>
      <c r="AF26" s="1010"/>
      <c r="AG26" s="1010"/>
      <c r="AH26" s="1010"/>
      <c r="AI26" s="1010"/>
      <c r="AJ26" s="1010"/>
      <c r="AK26" s="1010"/>
      <c r="AL26" s="1010"/>
      <c r="AM26" s="1010"/>
      <c r="AN26" s="1010"/>
      <c r="AO26" s="1010"/>
      <c r="AP26" s="1010"/>
      <c r="AQ26" s="1010"/>
      <c r="AR26" s="1010"/>
      <c r="AS26" s="1010"/>
      <c r="AT26" s="1010"/>
      <c r="AU26" s="1010"/>
    </row>
    <row r="27" spans="1:47" s="65" customFormat="1" ht="20.25">
      <c r="A27" s="203"/>
      <c r="B27" s="203"/>
      <c r="C27" s="203"/>
      <c r="D27" s="217" t="s">
        <v>173</v>
      </c>
      <c r="E27" s="216"/>
      <c r="F27" s="203"/>
      <c r="G27" s="203"/>
      <c r="H27" s="203"/>
      <c r="I27" s="203"/>
      <c r="J27" s="203"/>
      <c r="K27" s="71"/>
      <c r="L27" s="71"/>
      <c r="M27" s="72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65" customFormat="1" ht="20.25">
      <c r="A28" s="203"/>
      <c r="B28" s="203"/>
      <c r="C28" s="203"/>
      <c r="D28" s="217" t="s">
        <v>168</v>
      </c>
      <c r="E28" s="216"/>
      <c r="F28" s="203"/>
      <c r="G28" s="203"/>
      <c r="H28" s="203"/>
      <c r="I28" s="203"/>
      <c r="J28" s="203"/>
      <c r="K28" s="71"/>
      <c r="L28" s="71"/>
      <c r="M28" s="72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65" customFormat="1" ht="20.25">
      <c r="A29" s="203"/>
      <c r="B29" s="203"/>
      <c r="C29" s="203"/>
      <c r="D29" s="217" t="s">
        <v>379</v>
      </c>
      <c r="E29" s="216"/>
      <c r="F29" s="203"/>
      <c r="G29" s="203"/>
      <c r="H29" s="203"/>
      <c r="I29" s="203"/>
      <c r="J29" s="203"/>
      <c r="K29" s="71"/>
      <c r="L29" s="71"/>
      <c r="M29" s="72"/>
      <c r="N29" s="1015"/>
      <c r="O29" s="1015"/>
      <c r="P29" s="1015"/>
      <c r="Q29" s="1015"/>
      <c r="R29" s="1015"/>
      <c r="S29" s="1015"/>
      <c r="T29" s="1015"/>
      <c r="U29" s="1015"/>
      <c r="V29" s="1015"/>
      <c r="W29" s="1015"/>
      <c r="X29" s="1015"/>
      <c r="Y29" s="1015"/>
      <c r="Z29" s="1015"/>
      <c r="AA29" s="1015"/>
      <c r="AB29" s="1015"/>
      <c r="AC29" s="1015"/>
      <c r="AD29" s="1015"/>
      <c r="AE29" s="1015"/>
      <c r="AF29" s="1015"/>
      <c r="AG29" s="1015"/>
      <c r="AH29" s="1015"/>
      <c r="AI29" s="1015"/>
      <c r="AJ29" s="1015"/>
      <c r="AK29" s="1015"/>
      <c r="AL29" s="1015"/>
      <c r="AM29" s="1015"/>
      <c r="AN29" s="1015"/>
      <c r="AO29" s="1015"/>
      <c r="AP29" s="1015"/>
      <c r="AQ29" s="1015"/>
      <c r="AR29" s="1015"/>
      <c r="AS29" s="1015"/>
      <c r="AT29" s="1015"/>
      <c r="AU29" s="1015"/>
    </row>
    <row r="30" spans="1:47" s="65" customFormat="1" ht="20.25">
      <c r="A30" s="203"/>
      <c r="B30" s="203"/>
      <c r="C30" s="203"/>
      <c r="D30" s="217" t="s">
        <v>169</v>
      </c>
      <c r="E30" s="216"/>
      <c r="F30" s="203"/>
      <c r="G30" s="203"/>
      <c r="H30" s="203"/>
      <c r="I30" s="203"/>
      <c r="J30" s="203"/>
      <c r="K30" s="71"/>
      <c r="L30" s="71"/>
      <c r="M30" s="72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ht="20.25">
      <c r="A31" s="3"/>
      <c r="B31" s="3" t="s">
        <v>120</v>
      </c>
      <c r="C31" s="3"/>
      <c r="D31" s="3"/>
      <c r="E31" s="3"/>
      <c r="F31" s="3"/>
      <c r="G31" s="3"/>
      <c r="H31" s="3"/>
      <c r="I31" s="3"/>
      <c r="J31" s="3"/>
      <c r="K31" s="71"/>
      <c r="L31" s="71"/>
      <c r="M31" s="72"/>
    </row>
    <row r="32" spans="1:47" s="65" customFormat="1" ht="20.25">
      <c r="A32" s="3"/>
      <c r="B32" s="18" t="s">
        <v>5</v>
      </c>
      <c r="C32" s="3"/>
      <c r="D32" s="172" t="s">
        <v>154</v>
      </c>
      <c r="E32" s="3"/>
      <c r="F32" s="3"/>
      <c r="G32" s="3"/>
      <c r="H32" s="3"/>
      <c r="I32" s="3"/>
      <c r="J32" s="3"/>
      <c r="K32" s="71"/>
      <c r="L32" s="71"/>
      <c r="M32" s="72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65" customFormat="1" ht="20.25">
      <c r="A33" s="3"/>
      <c r="B33" s="3"/>
      <c r="C33" s="3"/>
      <c r="D33" s="172" t="s">
        <v>155</v>
      </c>
      <c r="E33" s="3"/>
      <c r="F33" s="3"/>
      <c r="G33" s="3"/>
      <c r="H33" s="3"/>
      <c r="I33" s="3"/>
      <c r="J33" s="3"/>
      <c r="K33" s="71"/>
      <c r="L33" s="71"/>
      <c r="M33" s="72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65" customFormat="1" ht="20.25">
      <c r="A34" s="3"/>
      <c r="B34" s="3"/>
      <c r="C34" s="3"/>
      <c r="D34" s="172" t="s">
        <v>156</v>
      </c>
      <c r="E34" s="3"/>
      <c r="F34" s="3"/>
      <c r="G34" s="3"/>
      <c r="H34" s="3"/>
      <c r="I34" s="3"/>
      <c r="J34" s="3"/>
      <c r="K34" s="71"/>
      <c r="L34" s="71"/>
      <c r="M34" s="72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ht="20.25">
      <c r="A35" s="3"/>
      <c r="B35" s="3"/>
      <c r="C35" s="3"/>
      <c r="D35" s="47" t="s">
        <v>157</v>
      </c>
      <c r="E35" s="3"/>
      <c r="F35" s="3"/>
      <c r="G35" s="3"/>
      <c r="H35" s="3"/>
      <c r="I35" s="3"/>
      <c r="J35" s="3"/>
      <c r="K35" s="71"/>
      <c r="L35" s="71"/>
      <c r="M35" s="72"/>
    </row>
    <row r="36" spans="1:47" s="65" customFormat="1" ht="20.25">
      <c r="A36" s="3"/>
      <c r="B36" s="3"/>
      <c r="C36" s="3"/>
      <c r="D36" s="47" t="s">
        <v>158</v>
      </c>
      <c r="E36" s="3"/>
      <c r="F36" s="3"/>
      <c r="G36" s="3"/>
      <c r="H36" s="3"/>
      <c r="I36" s="3"/>
      <c r="J36" s="3"/>
      <c r="K36" s="71"/>
      <c r="L36" s="71"/>
      <c r="M36" s="72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ht="20.25">
      <c r="A37" s="3"/>
      <c r="B37" s="3"/>
      <c r="C37" s="3"/>
      <c r="D37" s="4" t="s">
        <v>172</v>
      </c>
      <c r="E37" s="3"/>
      <c r="F37" s="3"/>
      <c r="G37" s="3"/>
      <c r="H37" s="3"/>
      <c r="I37" s="3"/>
      <c r="J37" s="3"/>
      <c r="K37" s="71"/>
      <c r="L37" s="71"/>
      <c r="M37" s="72"/>
    </row>
    <row r="38" spans="1:47" ht="20.25">
      <c r="A38" s="3"/>
      <c r="B38" s="3"/>
      <c r="C38" s="3"/>
      <c r="D38" s="4" t="s">
        <v>159</v>
      </c>
      <c r="E38" s="3"/>
      <c r="F38" s="3"/>
      <c r="G38" s="3"/>
      <c r="H38" s="3"/>
      <c r="I38" s="3"/>
      <c r="J38" s="3"/>
      <c r="K38" s="71"/>
      <c r="L38" s="71"/>
      <c r="M38" s="72"/>
    </row>
    <row r="39" spans="1:47" s="65" customFormat="1" ht="20.25">
      <c r="A39" s="3"/>
      <c r="B39" s="3"/>
      <c r="C39" s="3"/>
      <c r="D39" s="47" t="s">
        <v>378</v>
      </c>
      <c r="E39" s="3"/>
      <c r="F39" s="3"/>
      <c r="G39" s="3"/>
      <c r="H39" s="3"/>
      <c r="I39" s="3"/>
      <c r="J39" s="3"/>
      <c r="K39" s="71"/>
      <c r="L39" s="71"/>
      <c r="M39" s="72"/>
      <c r="N39" s="943"/>
      <c r="O39" s="943"/>
      <c r="P39" s="943"/>
      <c r="Q39" s="943"/>
      <c r="R39" s="943"/>
      <c r="S39" s="943"/>
      <c r="T39" s="943"/>
      <c r="U39" s="943"/>
      <c r="V39" s="943"/>
      <c r="W39" s="943"/>
      <c r="X39" s="943"/>
      <c r="Y39" s="943"/>
      <c r="Z39" s="943"/>
      <c r="AA39" s="943"/>
      <c r="AB39" s="943"/>
      <c r="AC39" s="943"/>
      <c r="AD39" s="943"/>
      <c r="AE39" s="943"/>
      <c r="AF39" s="943"/>
      <c r="AG39" s="943"/>
      <c r="AH39" s="943"/>
      <c r="AI39" s="943"/>
      <c r="AJ39" s="943"/>
      <c r="AK39" s="943"/>
      <c r="AL39" s="943"/>
      <c r="AM39" s="943"/>
      <c r="AN39" s="943"/>
      <c r="AO39" s="943"/>
      <c r="AP39" s="943"/>
      <c r="AQ39" s="943"/>
      <c r="AR39" s="943"/>
      <c r="AS39" s="943"/>
      <c r="AT39" s="943"/>
      <c r="AU39" s="943"/>
    </row>
    <row r="40" spans="1:47" ht="20.25">
      <c r="A40" s="3"/>
      <c r="B40" s="3"/>
      <c r="C40" s="3"/>
      <c r="D40" s="4" t="s">
        <v>160</v>
      </c>
      <c r="E40" s="3"/>
      <c r="F40" s="3"/>
      <c r="G40" s="3"/>
      <c r="H40" s="3"/>
      <c r="I40" s="3"/>
      <c r="J40" s="3"/>
      <c r="K40" s="71"/>
      <c r="L40" s="71"/>
      <c r="M40" s="72"/>
    </row>
    <row r="41" spans="1:47" s="65" customFormat="1" ht="20.25">
      <c r="A41" s="3"/>
      <c r="B41" s="3"/>
      <c r="C41" s="3"/>
      <c r="D41" s="4" t="s">
        <v>161</v>
      </c>
      <c r="E41" s="3"/>
      <c r="F41" s="3"/>
      <c r="G41" s="3"/>
      <c r="H41" s="3"/>
      <c r="I41" s="3"/>
      <c r="J41" s="3"/>
      <c r="K41" s="71"/>
      <c r="L41" s="71"/>
      <c r="M41" s="72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65" customFormat="1" ht="20.25">
      <c r="A42" s="3"/>
      <c r="B42" s="3"/>
      <c r="C42" s="3"/>
      <c r="D42" s="4" t="s">
        <v>162</v>
      </c>
      <c r="E42" s="3"/>
      <c r="F42" s="3"/>
      <c r="G42" s="3"/>
      <c r="H42" s="3"/>
      <c r="I42" s="3"/>
      <c r="J42" s="3"/>
      <c r="K42" s="71"/>
      <c r="L42" s="71"/>
      <c r="M42" s="72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65" customFormat="1" ht="20.25">
      <c r="A43" s="3"/>
      <c r="B43" s="3"/>
      <c r="C43" s="3"/>
      <c r="D43" s="4" t="s">
        <v>163</v>
      </c>
      <c r="E43" s="3"/>
      <c r="F43" s="3"/>
      <c r="G43" s="3"/>
      <c r="H43" s="3"/>
      <c r="I43" s="3"/>
      <c r="J43" s="3"/>
      <c r="K43" s="71"/>
      <c r="L43" s="71"/>
      <c r="M43" s="72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65" customFormat="1" ht="20.25">
      <c r="A44" s="3"/>
      <c r="B44" s="3"/>
      <c r="C44" s="3"/>
      <c r="D44" s="4" t="s">
        <v>164</v>
      </c>
      <c r="E44" s="3"/>
      <c r="F44" s="3"/>
      <c r="G44" s="3"/>
      <c r="H44" s="3"/>
      <c r="I44" s="3"/>
      <c r="J44" s="3"/>
      <c r="K44" s="71"/>
      <c r="L44" s="71"/>
      <c r="M44" s="72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65" customFormat="1" ht="20.25">
      <c r="A45" s="3"/>
      <c r="B45" s="3"/>
      <c r="C45" s="3"/>
      <c r="D45" s="4" t="s">
        <v>165</v>
      </c>
      <c r="E45" s="3"/>
      <c r="F45" s="3"/>
      <c r="G45" s="3"/>
      <c r="H45" s="3"/>
      <c r="I45" s="3"/>
      <c r="J45" s="3"/>
      <c r="K45" s="71"/>
      <c r="L45" s="71"/>
      <c r="M45" s="72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65" customFormat="1" ht="20.25">
      <c r="A46" s="1215"/>
      <c r="B46" s="1215" t="s">
        <v>120</v>
      </c>
      <c r="C46" s="1215"/>
      <c r="D46" s="1216"/>
      <c r="E46" s="1215"/>
      <c r="F46" s="1215"/>
      <c r="G46" s="1215"/>
      <c r="H46" s="1215"/>
      <c r="I46" s="1215"/>
      <c r="J46" s="1215"/>
      <c r="K46" s="71"/>
      <c r="L46" s="71"/>
      <c r="M46" s="72"/>
      <c r="N46" s="1184"/>
      <c r="O46" s="1184"/>
      <c r="P46" s="1184"/>
      <c r="Q46" s="1184"/>
      <c r="R46" s="1184"/>
      <c r="S46" s="1184"/>
      <c r="T46" s="1184"/>
      <c r="U46" s="1184"/>
      <c r="V46" s="1184"/>
      <c r="W46" s="1184"/>
      <c r="X46" s="1184"/>
      <c r="Y46" s="1184"/>
      <c r="Z46" s="1184"/>
      <c r="AA46" s="1184"/>
      <c r="AB46" s="1184"/>
      <c r="AC46" s="1184"/>
      <c r="AD46" s="1184"/>
      <c r="AE46" s="1184"/>
      <c r="AF46" s="1184"/>
      <c r="AG46" s="1184"/>
      <c r="AH46" s="1184"/>
      <c r="AI46" s="1184"/>
      <c r="AJ46" s="1184"/>
      <c r="AK46" s="1184"/>
      <c r="AL46" s="1184"/>
      <c r="AM46" s="1184"/>
      <c r="AN46" s="1184"/>
      <c r="AO46" s="1184"/>
      <c r="AP46" s="1184"/>
      <c r="AQ46" s="1184"/>
      <c r="AR46" s="1184"/>
      <c r="AS46" s="1184"/>
      <c r="AT46" s="1184"/>
      <c r="AU46" s="1184"/>
    </row>
    <row r="47" spans="1:47" s="65" customFormat="1" ht="20.25">
      <c r="A47" s="1215"/>
      <c r="B47" s="1217" t="s">
        <v>5</v>
      </c>
      <c r="C47" s="1215"/>
      <c r="D47" s="1218" t="s">
        <v>5663</v>
      </c>
      <c r="E47" s="1215"/>
      <c r="F47" s="1215"/>
      <c r="G47" s="1215"/>
      <c r="H47" s="1215"/>
      <c r="I47" s="1215"/>
      <c r="J47" s="1215"/>
      <c r="K47" s="71"/>
      <c r="L47" s="71"/>
      <c r="M47" s="72"/>
      <c r="N47" s="1184"/>
      <c r="O47" s="1184"/>
      <c r="P47" s="1184"/>
      <c r="Q47" s="1184"/>
      <c r="R47" s="1184"/>
      <c r="S47" s="1184"/>
      <c r="T47" s="1184"/>
      <c r="U47" s="1184"/>
      <c r="V47" s="1184"/>
      <c r="W47" s="1184"/>
      <c r="X47" s="1184"/>
      <c r="Y47" s="1184"/>
      <c r="Z47" s="1184"/>
      <c r="AA47" s="1184"/>
      <c r="AB47" s="1184"/>
      <c r="AC47" s="1184"/>
      <c r="AD47" s="1184"/>
      <c r="AE47" s="1184"/>
      <c r="AF47" s="1184"/>
      <c r="AG47" s="1184"/>
      <c r="AH47" s="1184"/>
      <c r="AI47" s="1184"/>
      <c r="AJ47" s="1184"/>
      <c r="AK47" s="1184"/>
      <c r="AL47" s="1184"/>
      <c r="AM47" s="1184"/>
      <c r="AN47" s="1184"/>
      <c r="AO47" s="1184"/>
      <c r="AP47" s="1184"/>
      <c r="AQ47" s="1184"/>
      <c r="AR47" s="1184"/>
      <c r="AS47" s="1184"/>
      <c r="AT47" s="1184"/>
      <c r="AU47" s="1184"/>
    </row>
    <row r="48" spans="1:47" s="65" customFormat="1" ht="20.25">
      <c r="A48" s="1215"/>
      <c r="B48" s="1215"/>
      <c r="C48" s="1215"/>
      <c r="D48" s="1218" t="s">
        <v>5664</v>
      </c>
      <c r="E48" s="1215"/>
      <c r="F48" s="1215"/>
      <c r="G48" s="1215"/>
      <c r="H48" s="1215"/>
      <c r="I48" s="1215"/>
      <c r="J48" s="1215"/>
      <c r="K48" s="71"/>
      <c r="L48" s="71"/>
      <c r="M48" s="72"/>
      <c r="N48" s="1184"/>
      <c r="O48" s="1184"/>
      <c r="P48" s="1184"/>
      <c r="Q48" s="1184"/>
      <c r="R48" s="1184"/>
      <c r="S48" s="1184"/>
      <c r="T48" s="1184"/>
      <c r="U48" s="1184"/>
      <c r="V48" s="1184"/>
      <c r="W48" s="1184"/>
      <c r="X48" s="1184"/>
      <c r="Y48" s="1184"/>
      <c r="Z48" s="1184"/>
      <c r="AA48" s="1184"/>
      <c r="AB48" s="1184"/>
      <c r="AC48" s="1184"/>
      <c r="AD48" s="1184"/>
      <c r="AE48" s="1184"/>
      <c r="AF48" s="1184"/>
      <c r="AG48" s="1184"/>
      <c r="AH48" s="1184"/>
      <c r="AI48" s="1184"/>
      <c r="AJ48" s="1184"/>
      <c r="AK48" s="1184"/>
      <c r="AL48" s="1184"/>
      <c r="AM48" s="1184"/>
      <c r="AN48" s="1184"/>
      <c r="AO48" s="1184"/>
      <c r="AP48" s="1184"/>
      <c r="AQ48" s="1184"/>
      <c r="AR48" s="1184"/>
      <c r="AS48" s="1184"/>
      <c r="AT48" s="1184"/>
      <c r="AU48" s="1184"/>
    </row>
    <row r="49" spans="1:47" s="65" customFormat="1" ht="20.25">
      <c r="A49" s="1215"/>
      <c r="B49" s="1215"/>
      <c r="C49" s="1215"/>
      <c r="D49" s="1218" t="s">
        <v>5665</v>
      </c>
      <c r="E49" s="1215"/>
      <c r="F49" s="1215"/>
      <c r="G49" s="1215"/>
      <c r="H49" s="1215"/>
      <c r="I49" s="1215"/>
      <c r="J49" s="1215"/>
      <c r="K49" s="71"/>
      <c r="L49" s="71"/>
      <c r="M49" s="72"/>
      <c r="N49" s="1184"/>
      <c r="O49" s="1184"/>
      <c r="P49" s="1184"/>
      <c r="Q49" s="1184"/>
      <c r="R49" s="1184"/>
      <c r="S49" s="1184"/>
      <c r="T49" s="1184"/>
      <c r="U49" s="1184"/>
      <c r="V49" s="1184"/>
      <c r="W49" s="1184"/>
      <c r="X49" s="1184"/>
      <c r="Y49" s="1184"/>
      <c r="Z49" s="1184"/>
      <c r="AA49" s="1184"/>
      <c r="AB49" s="1184"/>
      <c r="AC49" s="1184"/>
      <c r="AD49" s="1184"/>
      <c r="AE49" s="1184"/>
      <c r="AF49" s="1184"/>
      <c r="AG49" s="1184"/>
      <c r="AH49" s="1184"/>
      <c r="AI49" s="1184"/>
      <c r="AJ49" s="1184"/>
      <c r="AK49" s="1184"/>
      <c r="AL49" s="1184"/>
      <c r="AM49" s="1184"/>
      <c r="AN49" s="1184"/>
      <c r="AO49" s="1184"/>
      <c r="AP49" s="1184"/>
      <c r="AQ49" s="1184"/>
      <c r="AR49" s="1184"/>
      <c r="AS49" s="1184"/>
      <c r="AT49" s="1184"/>
      <c r="AU49" s="1184"/>
    </row>
    <row r="50" spans="1:47" s="65" customFormat="1" ht="20.25">
      <c r="A50" s="1215"/>
      <c r="B50" s="1215"/>
      <c r="C50" s="1215"/>
      <c r="D50" s="1218" t="s">
        <v>5666</v>
      </c>
      <c r="E50" s="1215"/>
      <c r="F50" s="1215"/>
      <c r="G50" s="1215"/>
      <c r="H50" s="1215"/>
      <c r="I50" s="1215"/>
      <c r="J50" s="1215"/>
      <c r="K50" s="71"/>
      <c r="L50" s="71"/>
      <c r="M50" s="72"/>
      <c r="N50" s="1184"/>
      <c r="O50" s="1184"/>
      <c r="P50" s="1184"/>
      <c r="Q50" s="1184"/>
      <c r="R50" s="1184"/>
      <c r="S50" s="1184"/>
      <c r="T50" s="1184"/>
      <c r="U50" s="1184"/>
      <c r="V50" s="1184"/>
      <c r="W50" s="1184"/>
      <c r="X50" s="1184"/>
      <c r="Y50" s="1184"/>
      <c r="Z50" s="1184"/>
      <c r="AA50" s="1184"/>
      <c r="AB50" s="1184"/>
      <c r="AC50" s="1184"/>
      <c r="AD50" s="1184"/>
      <c r="AE50" s="1184"/>
      <c r="AF50" s="1184"/>
      <c r="AG50" s="1184"/>
      <c r="AH50" s="1184"/>
      <c r="AI50" s="1184"/>
      <c r="AJ50" s="1184"/>
      <c r="AK50" s="1184"/>
      <c r="AL50" s="1184"/>
      <c r="AM50" s="1184"/>
      <c r="AN50" s="1184"/>
      <c r="AO50" s="1184"/>
      <c r="AP50" s="1184"/>
      <c r="AQ50" s="1184"/>
      <c r="AR50" s="1184"/>
      <c r="AS50" s="1184"/>
      <c r="AT50" s="1184"/>
      <c r="AU50" s="1184"/>
    </row>
    <row r="51" spans="1:47" s="65" customFormat="1" ht="20.25">
      <c r="A51" s="82"/>
      <c r="B51" s="2068" t="s">
        <v>58</v>
      </c>
      <c r="C51" s="2068"/>
      <c r="D51" s="2068"/>
      <c r="E51" s="83"/>
      <c r="F51" s="83"/>
      <c r="G51" s="83"/>
      <c r="H51" s="83"/>
      <c r="I51" s="83"/>
      <c r="J51" s="83"/>
      <c r="K51" s="71"/>
      <c r="L51" s="71"/>
      <c r="M51" s="72"/>
      <c r="N51" s="1184"/>
      <c r="O51" s="1184"/>
      <c r="P51" s="1184"/>
      <c r="Q51" s="1184"/>
      <c r="R51" s="1184"/>
      <c r="S51" s="1184"/>
      <c r="T51" s="1184"/>
      <c r="U51" s="1184"/>
      <c r="V51" s="1184"/>
      <c r="W51" s="1184"/>
      <c r="X51" s="1184"/>
      <c r="Y51" s="1184"/>
      <c r="Z51" s="1184"/>
      <c r="AA51" s="1184"/>
      <c r="AB51" s="1184"/>
      <c r="AC51" s="1184"/>
      <c r="AD51" s="1184"/>
      <c r="AE51" s="1184"/>
      <c r="AF51" s="1184"/>
      <c r="AG51" s="1184"/>
      <c r="AH51" s="1184"/>
      <c r="AI51" s="1184"/>
      <c r="AJ51" s="1184"/>
      <c r="AK51" s="1184"/>
      <c r="AL51" s="1184"/>
      <c r="AM51" s="1184"/>
      <c r="AN51" s="1184"/>
      <c r="AO51" s="1184"/>
      <c r="AP51" s="1184"/>
      <c r="AQ51" s="1184"/>
      <c r="AR51" s="1184"/>
      <c r="AS51" s="1184"/>
      <c r="AT51" s="1184"/>
      <c r="AU51" s="1184"/>
    </row>
    <row r="52" spans="1:47" s="65" customFormat="1" ht="20.25">
      <c r="A52" s="2025"/>
      <c r="B52" s="2026" t="s">
        <v>7690</v>
      </c>
      <c r="C52" s="2026"/>
      <c r="D52" s="2026"/>
      <c r="E52" s="2027"/>
      <c r="F52" s="2027"/>
      <c r="G52" s="2027"/>
      <c r="H52" s="2027"/>
      <c r="I52" s="2027"/>
      <c r="J52" s="2027"/>
      <c r="K52" s="71"/>
      <c r="L52" s="71"/>
      <c r="M52" s="72"/>
      <c r="N52" s="2007"/>
      <c r="O52" s="2007"/>
      <c r="P52" s="2007"/>
      <c r="Q52" s="2007"/>
      <c r="R52" s="2007"/>
      <c r="S52" s="2007"/>
      <c r="T52" s="2007"/>
      <c r="U52" s="2007"/>
      <c r="V52" s="2007"/>
      <c r="W52" s="2007"/>
      <c r="X52" s="2007"/>
      <c r="Y52" s="2007"/>
      <c r="Z52" s="2007"/>
      <c r="AA52" s="2007"/>
      <c r="AB52" s="2007"/>
      <c r="AC52" s="2007"/>
      <c r="AD52" s="2007"/>
      <c r="AE52" s="2007"/>
      <c r="AF52" s="2007"/>
      <c r="AG52" s="2007"/>
      <c r="AH52" s="2007"/>
      <c r="AI52" s="2007"/>
      <c r="AJ52" s="2007"/>
      <c r="AK52" s="2007"/>
      <c r="AL52" s="2007"/>
      <c r="AM52" s="2007"/>
      <c r="AN52" s="2007"/>
      <c r="AO52" s="2007"/>
      <c r="AP52" s="2007"/>
      <c r="AQ52" s="2007"/>
      <c r="AR52" s="2007"/>
      <c r="AS52" s="2007"/>
      <c r="AT52" s="2007"/>
      <c r="AU52" s="2007"/>
    </row>
    <row r="53" spans="1:47" s="65" customFormat="1" ht="20.25">
      <c r="A53" s="183"/>
      <c r="B53" s="184" t="s">
        <v>7691</v>
      </c>
      <c r="C53" s="184"/>
      <c r="D53" s="184"/>
      <c r="E53" s="185"/>
      <c r="F53" s="185"/>
      <c r="G53" s="185"/>
      <c r="H53" s="185"/>
      <c r="I53" s="185"/>
      <c r="J53" s="185"/>
      <c r="K53" s="71"/>
      <c r="L53" s="71"/>
      <c r="M53" s="72"/>
      <c r="N53" s="2007"/>
      <c r="O53" s="2007"/>
      <c r="P53" s="2007"/>
      <c r="Q53" s="2007"/>
      <c r="R53" s="2007"/>
      <c r="S53" s="2007"/>
      <c r="T53" s="2007"/>
      <c r="U53" s="2007"/>
      <c r="V53" s="2007"/>
      <c r="W53" s="2007"/>
      <c r="X53" s="2007"/>
      <c r="Y53" s="2007"/>
      <c r="Z53" s="2007"/>
      <c r="AA53" s="2007"/>
      <c r="AB53" s="2007"/>
      <c r="AC53" s="2007"/>
      <c r="AD53" s="2007"/>
      <c r="AE53" s="2007"/>
      <c r="AF53" s="2007"/>
      <c r="AG53" s="2007"/>
      <c r="AH53" s="2007"/>
      <c r="AI53" s="2007"/>
      <c r="AJ53" s="2007"/>
      <c r="AK53" s="2007"/>
      <c r="AL53" s="2007"/>
      <c r="AM53" s="2007"/>
      <c r="AN53" s="2007"/>
      <c r="AO53" s="2007"/>
      <c r="AP53" s="2007"/>
      <c r="AQ53" s="2007"/>
      <c r="AR53" s="2007"/>
      <c r="AS53" s="2007"/>
      <c r="AT53" s="2007"/>
      <c r="AU53" s="2007"/>
    </row>
    <row r="54" spans="1:47" s="65" customFormat="1" ht="20.25">
      <c r="A54" s="183"/>
      <c r="B54" s="184" t="s">
        <v>7711</v>
      </c>
      <c r="C54" s="184"/>
      <c r="D54" s="184"/>
      <c r="E54" s="185"/>
      <c r="F54" s="185"/>
      <c r="G54" s="185"/>
      <c r="H54" s="185"/>
      <c r="I54" s="185"/>
      <c r="J54" s="185"/>
      <c r="K54" s="71"/>
      <c r="L54" s="71"/>
      <c r="M54" s="72"/>
      <c r="N54" s="2058"/>
      <c r="O54" s="2058"/>
      <c r="P54" s="2058"/>
      <c r="Q54" s="2058"/>
      <c r="R54" s="2058"/>
      <c r="S54" s="2058"/>
      <c r="T54" s="2058"/>
      <c r="U54" s="2058"/>
      <c r="V54" s="2058"/>
      <c r="W54" s="2058"/>
      <c r="X54" s="2058"/>
      <c r="Y54" s="2058"/>
      <c r="Z54" s="2058"/>
      <c r="AA54" s="2058"/>
      <c r="AB54" s="2058"/>
      <c r="AC54" s="2058"/>
      <c r="AD54" s="2058"/>
      <c r="AE54" s="2058"/>
      <c r="AF54" s="2058"/>
      <c r="AG54" s="2058"/>
      <c r="AH54" s="2058"/>
      <c r="AI54" s="2058"/>
      <c r="AJ54" s="2058"/>
      <c r="AK54" s="2058"/>
      <c r="AL54" s="2058"/>
      <c r="AM54" s="2058"/>
      <c r="AN54" s="2058"/>
      <c r="AO54" s="2058"/>
      <c r="AP54" s="2058"/>
      <c r="AQ54" s="2058"/>
      <c r="AR54" s="2058"/>
      <c r="AS54" s="2058"/>
      <c r="AT54" s="2058"/>
      <c r="AU54" s="2058"/>
    </row>
    <row r="55" spans="1:47" s="65" customFormat="1" ht="20.25">
      <c r="A55" s="1100"/>
      <c r="B55" s="1101" t="s">
        <v>424</v>
      </c>
      <c r="C55" s="1102"/>
      <c r="D55" s="1102"/>
      <c r="E55" s="1103"/>
      <c r="F55" s="1103"/>
      <c r="G55" s="1103"/>
      <c r="H55" s="1103"/>
      <c r="I55" s="1103"/>
      <c r="J55" s="1103"/>
      <c r="K55" s="71"/>
      <c r="L55" s="71"/>
      <c r="M55" s="72"/>
      <c r="N55" s="1098"/>
      <c r="O55" s="1098"/>
      <c r="P55" s="1098"/>
      <c r="Q55" s="1098"/>
      <c r="R55" s="1098"/>
      <c r="S55" s="1098"/>
      <c r="T55" s="1098"/>
      <c r="U55" s="1098"/>
      <c r="V55" s="1098"/>
      <c r="W55" s="1098"/>
      <c r="X55" s="1098"/>
      <c r="Y55" s="1098"/>
      <c r="Z55" s="1098"/>
      <c r="AA55" s="1098"/>
      <c r="AB55" s="1098"/>
      <c r="AC55" s="1098"/>
      <c r="AD55" s="1098"/>
      <c r="AE55" s="1098"/>
      <c r="AF55" s="1098"/>
      <c r="AG55" s="1098"/>
      <c r="AH55" s="1098"/>
      <c r="AI55" s="1098"/>
      <c r="AJ55" s="1098"/>
      <c r="AK55" s="1098"/>
      <c r="AL55" s="1098"/>
      <c r="AM55" s="1098"/>
      <c r="AN55" s="1098"/>
      <c r="AO55" s="1098"/>
      <c r="AP55" s="1098"/>
      <c r="AQ55" s="1098"/>
      <c r="AR55" s="1098"/>
      <c r="AS55" s="1098"/>
      <c r="AT55" s="1098"/>
      <c r="AU55" s="1098"/>
    </row>
    <row r="56" spans="1:47" s="28" customFormat="1" ht="20.25">
      <c r="A56" s="29"/>
      <c r="B56" s="30" t="s">
        <v>23</v>
      </c>
      <c r="C56" s="29"/>
      <c r="D56" s="30"/>
      <c r="E56" s="29"/>
      <c r="F56" s="29"/>
      <c r="G56" s="29"/>
      <c r="H56" s="29"/>
      <c r="I56" s="29"/>
      <c r="J56" s="29"/>
      <c r="K56" s="73"/>
      <c r="L56" s="73"/>
      <c r="M56" s="74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</row>
    <row r="57" spans="1:47" s="28" customFormat="1" ht="20.25">
      <c r="A57" s="29"/>
      <c r="B57" s="30" t="s">
        <v>432</v>
      </c>
      <c r="C57" s="29"/>
      <c r="D57" s="30"/>
      <c r="E57" s="29"/>
      <c r="F57" s="29"/>
      <c r="G57" s="29"/>
      <c r="H57" s="29"/>
      <c r="I57" s="29"/>
      <c r="J57" s="29"/>
      <c r="K57" s="73"/>
      <c r="L57" s="73"/>
      <c r="M57" s="74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</row>
    <row r="58" spans="1:47" s="28" customFormat="1" ht="20.25">
      <c r="A58" s="35"/>
      <c r="B58" s="36" t="s">
        <v>24</v>
      </c>
      <c r="C58" s="35"/>
      <c r="D58" s="36"/>
      <c r="E58" s="35"/>
      <c r="F58" s="35"/>
      <c r="G58" s="35"/>
      <c r="H58" s="35"/>
      <c r="I58" s="35"/>
      <c r="J58" s="35"/>
      <c r="K58" s="73"/>
      <c r="L58" s="73"/>
      <c r="M58" s="74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</row>
    <row r="59" spans="1:47" s="28" customFormat="1" ht="20.25">
      <c r="A59" s="1841"/>
      <c r="B59" s="1901" t="s">
        <v>7629</v>
      </c>
      <c r="C59" s="1841"/>
      <c r="D59" s="1842"/>
      <c r="E59" s="1841"/>
      <c r="F59" s="1841"/>
      <c r="G59" s="1841"/>
      <c r="H59" s="1841"/>
      <c r="I59" s="1841"/>
      <c r="J59" s="1841"/>
      <c r="K59" s="73"/>
      <c r="L59" s="73"/>
      <c r="M59" s="74"/>
      <c r="N59" s="1840"/>
      <c r="O59" s="1840"/>
      <c r="P59" s="1840"/>
      <c r="Q59" s="1840"/>
      <c r="R59" s="1840"/>
      <c r="S59" s="1840"/>
      <c r="T59" s="1840"/>
      <c r="U59" s="1840"/>
      <c r="V59" s="1840"/>
      <c r="W59" s="1840"/>
      <c r="X59" s="1840"/>
      <c r="Y59" s="1840"/>
      <c r="Z59" s="1840"/>
      <c r="AA59" s="1840"/>
      <c r="AB59" s="1840"/>
      <c r="AC59" s="1840"/>
      <c r="AD59" s="1840"/>
      <c r="AE59" s="1840"/>
      <c r="AF59" s="1840"/>
      <c r="AG59" s="1840"/>
      <c r="AH59" s="1840"/>
      <c r="AI59" s="1840"/>
      <c r="AJ59" s="1840"/>
      <c r="AK59" s="1840"/>
      <c r="AL59" s="1840"/>
      <c r="AM59" s="1840"/>
      <c r="AN59" s="1840"/>
      <c r="AO59" s="1840"/>
      <c r="AP59" s="1840"/>
      <c r="AQ59" s="1840"/>
      <c r="AR59" s="1840"/>
      <c r="AS59" s="1840"/>
      <c r="AT59" s="1840"/>
      <c r="AU59" s="1840"/>
    </row>
    <row r="60" spans="1:47" s="65" customFormat="1" ht="32.25" customHeight="1">
      <c r="A60" s="167"/>
      <c r="B60" s="168" t="s">
        <v>5741</v>
      </c>
      <c r="C60" s="168"/>
      <c r="D60" s="167"/>
      <c r="E60" s="167"/>
      <c r="F60" s="167"/>
      <c r="G60" s="167"/>
      <c r="H60" s="167"/>
      <c r="I60" s="167"/>
      <c r="J60" s="167"/>
      <c r="K60" s="71"/>
      <c r="L60" s="71"/>
      <c r="M60" s="72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ht="33.75" customHeight="1">
      <c r="A61" s="5"/>
      <c r="B61" s="10" t="s">
        <v>7</v>
      </c>
      <c r="C61" s="12"/>
      <c r="D61" s="11"/>
      <c r="E61" s="10"/>
      <c r="F61" s="10"/>
      <c r="G61" s="5"/>
      <c r="H61" s="5"/>
      <c r="I61" s="5"/>
      <c r="J61" s="5"/>
      <c r="K61" s="71"/>
      <c r="L61" s="71"/>
      <c r="M61" s="72"/>
    </row>
    <row r="62" spans="1:47" ht="36" customHeight="1">
      <c r="A62" s="6"/>
      <c r="B62" s="13" t="s">
        <v>6</v>
      </c>
      <c r="C62" s="13"/>
      <c r="D62" s="6"/>
      <c r="E62" s="6"/>
      <c r="F62" s="6"/>
      <c r="G62" s="6"/>
      <c r="H62" s="6"/>
      <c r="I62" s="6"/>
      <c r="J62" s="6"/>
      <c r="K62" s="71"/>
      <c r="L62" s="71"/>
      <c r="M62" s="72"/>
    </row>
    <row r="63" spans="1:47" s="17" customFormat="1" ht="39" customHeight="1">
      <c r="A63" s="2001"/>
      <c r="B63" s="2002" t="s">
        <v>7666</v>
      </c>
      <c r="C63" s="2002"/>
      <c r="D63" s="2001"/>
      <c r="E63" s="2001"/>
      <c r="F63" s="2001"/>
      <c r="G63" s="2001"/>
      <c r="H63" s="2001"/>
      <c r="I63" s="2001"/>
      <c r="J63" s="2001"/>
      <c r="K63" s="76"/>
      <c r="L63" s="76"/>
    </row>
    <row r="64" spans="1:47" s="17" customFormat="1" ht="20.25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</row>
    <row r="65" spans="1:12" s="17" customFormat="1" ht="20.25">
      <c r="A65" s="76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</row>
    <row r="66" spans="1:12" s="17" customFormat="1" ht="20.25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</row>
    <row r="67" spans="1:12" s="17" customFormat="1" ht="20.25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</row>
    <row r="68" spans="1:12" s="17" customFormat="1"/>
    <row r="69" spans="1:12" s="17" customFormat="1"/>
    <row r="70" spans="1:12" s="17" customFormat="1"/>
    <row r="71" spans="1:12" s="17" customFormat="1"/>
    <row r="72" spans="1:12" s="17" customFormat="1"/>
    <row r="73" spans="1:12" s="17" customFormat="1"/>
    <row r="74" spans="1:12" s="17" customFormat="1"/>
    <row r="75" spans="1:12" s="17" customFormat="1"/>
    <row r="76" spans="1:12" s="17" customFormat="1"/>
    <row r="77" spans="1:12" s="17" customFormat="1"/>
    <row r="78" spans="1:12" s="17" customFormat="1"/>
    <row r="79" spans="1:12" s="17" customFormat="1"/>
    <row r="80" spans="1:12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="17" customFormat="1"/>
    <row r="114" s="17" customFormat="1"/>
    <row r="115" s="17" customFormat="1"/>
    <row r="116" s="17" customFormat="1"/>
    <row r="117" s="17" customFormat="1"/>
    <row r="118" s="17" customFormat="1"/>
    <row r="119" s="17" customFormat="1"/>
    <row r="120" s="17" customFormat="1"/>
    <row r="121" s="17" customFormat="1"/>
    <row r="122" s="17" customFormat="1"/>
    <row r="123" s="17" customFormat="1"/>
    <row r="124" s="17" customFormat="1"/>
    <row r="125" s="17" customFormat="1"/>
    <row r="126" s="17" customFormat="1"/>
    <row r="127" s="17" customFormat="1"/>
    <row r="128" s="17" customFormat="1"/>
    <row r="129" s="17" customFormat="1"/>
    <row r="130" s="17" customFormat="1"/>
    <row r="131" s="17" customFormat="1"/>
    <row r="132" s="17" customFormat="1"/>
    <row r="133" s="17" customFormat="1"/>
    <row r="134" s="17" customFormat="1"/>
    <row r="135" s="17" customFormat="1"/>
    <row r="136" s="17" customFormat="1"/>
    <row r="137" s="17" customFormat="1"/>
    <row r="138" s="17" customFormat="1"/>
    <row r="139" s="17" customFormat="1"/>
    <row r="140" s="17" customFormat="1"/>
    <row r="141" s="17" customFormat="1"/>
    <row r="142" s="17" customFormat="1"/>
    <row r="143" s="17" customFormat="1"/>
    <row r="144" s="17" customFormat="1"/>
    <row r="145" s="17" customFormat="1"/>
    <row r="146" s="17" customFormat="1"/>
    <row r="147" s="17" customFormat="1"/>
    <row r="148" s="17" customFormat="1"/>
    <row r="149" s="17" customFormat="1"/>
    <row r="150" s="17" customFormat="1"/>
    <row r="151" s="17" customFormat="1"/>
  </sheetData>
  <mergeCells count="4">
    <mergeCell ref="H11:J11"/>
    <mergeCell ref="B18:F18"/>
    <mergeCell ref="B51:D51"/>
    <mergeCell ref="B17:F17"/>
  </mergeCells>
  <hyperlinks>
    <hyperlink ref="D38" location="'110'!A1" display="110 мм" xr:uid="{00000000-0004-0000-0000-000000000000}"/>
    <hyperlink ref="D40" location="'150'!A1" display="150 мм" xr:uid="{00000000-0004-0000-0000-000001000000}"/>
    <hyperlink ref="B61:F61" location="Арматура!A1" display="Арматура и регулировка" xr:uid="{00000000-0004-0000-0000-000002000000}"/>
    <hyperlink ref="B62:C62" location="Автоматика!A1" display="Автоматика" xr:uid="{00000000-0004-0000-0000-000003000000}"/>
    <hyperlink ref="B16" location="Артикул!A1" display="Артикул (шифр конвектора)" xr:uid="{00000000-0004-0000-0000-000004000000}"/>
    <hyperlink ref="B18" location="Специсполнения!A1" display="Специсполнения (углы, радиусы, продольные решетки)" xr:uid="{00000000-0004-0000-0000-000005000000}"/>
    <hyperlink ref="B56" location="Теплообменники!A1" display="Теплообменники" xr:uid="{00000000-0004-0000-0000-000006000000}"/>
    <hyperlink ref="B58" location="Вентиляторы!A1" display="Вентиляторы" xr:uid="{00000000-0004-0000-0000-000007000000}"/>
    <hyperlink ref="H11" r:id="rId1" display="Сайт витрон" xr:uid="{00000000-0004-0000-0000-000009000000}"/>
    <hyperlink ref="D41" location="'200'!A1" display="200 мм" xr:uid="{00000000-0004-0000-0000-00000A000000}"/>
    <hyperlink ref="D42" location="'300'!A1" display="300 мм" xr:uid="{00000000-0004-0000-0000-00000B000000}"/>
    <hyperlink ref="D43" location="'400'!A1" display="400 мм" xr:uid="{00000000-0004-0000-0000-00000C000000}"/>
    <hyperlink ref="D44" location="'500'!A1" display="500 мм" xr:uid="{00000000-0004-0000-0000-00000D000000}"/>
    <hyperlink ref="D45" location="'600'!A1" display="600 мм" xr:uid="{00000000-0004-0000-0000-00000E000000}"/>
    <hyperlink ref="B17:F17" location="Описание!A1" display="Общее описание, особенности конструкции, комплектация" xr:uid="{00000000-0004-0000-0000-000011000000}"/>
    <hyperlink ref="H11:J11" r:id="rId2" display="Сайт: Vitron.ru" xr:uid="{00000000-0004-0000-0000-000012000000}"/>
    <hyperlink ref="D25" location="'75 ВЕНТ 24В'!A1" display=" 75 мм" xr:uid="{00000000-0004-0000-0000-000014000000}"/>
    <hyperlink ref="D27" location="'90 ВЕНТ 24В'!A1" display=" 90 мм" xr:uid="{00000000-0004-0000-0000-000015000000}"/>
    <hyperlink ref="D28" location="'110 ВЕНТ 24В'!A1" display="110 мм" xr:uid="{00000000-0004-0000-0000-000016000000}"/>
    <hyperlink ref="D30" location="'150 ВЕНТ 24В'!A1" display="150 мм" xr:uid="{00000000-0004-0000-0000-000017000000}"/>
    <hyperlink ref="D23:D24" location="'60 ВЕНТ'!A1" display=" 74 мм" xr:uid="{00000000-0004-0000-0000-000018000000}"/>
    <hyperlink ref="D24" location="'70 ВЕНТ 24В'!A1" display=" 70 мм" xr:uid="{00000000-0004-0000-0000-000019000000}"/>
    <hyperlink ref="D23" location="'65 ВЕНТ 24В'!A1" display=" 65 мм" xr:uid="{00000000-0004-0000-0000-00001A000000}"/>
    <hyperlink ref="D36" location="'80'!A1" display="80 мм" xr:uid="{00000000-0004-0000-0000-00001F000000}"/>
    <hyperlink ref="D34" location="'70'!A1" display="70 мм" xr:uid="{00000000-0004-0000-0000-000020000000}"/>
    <hyperlink ref="D33" location="'65'!A1" display="65 мм" xr:uid="{00000000-0004-0000-0000-000021000000}"/>
    <hyperlink ref="D32" location="'55'!A1" display="55 мм" xr:uid="{00000000-0004-0000-0000-000022000000}"/>
    <hyperlink ref="D35" location="'75'!A1" display="75 мм" xr:uid="{00000000-0004-0000-0000-000023000000}"/>
    <hyperlink ref="D37" location="'90'!A1" display=" 90 мм" xr:uid="{00000000-0004-0000-0000-000024000000}"/>
    <hyperlink ref="B19" location="'Калькулятор теплоотдач ВК'!A1" display="Калькулятор теплоотдач ВК" xr:uid="{00000000-0004-0000-0000-000025000000}"/>
    <hyperlink ref="B20" location="'Калькулятор теплоотдач ВКВ'!A1" display="Калькулятор теплоотдач ВКВ" xr:uid="{00000000-0004-0000-0000-000026000000}"/>
    <hyperlink ref="D39" location="'140'!A1" display="ВК.140 мм" xr:uid="{00000000-0004-0000-0000-000027000000}"/>
    <hyperlink ref="D26" location="'80 ВЕНТ 24В'!R1C1" display="ВКВ.80 мм" xr:uid="{00000000-0004-0000-0000-000028000000}"/>
    <hyperlink ref="D29" location="'140 ВЕНТ 24В'!A1" display="ВКВ.140 мм" xr:uid="{00000000-0004-0000-0000-000029000000}"/>
    <hyperlink ref="B55" location="'ВКВ+ВКЭ'!A1" display="Конвектор встраиваемый в пол водяной + электрический" xr:uid="{00000000-0004-0000-0000-00002A000000}"/>
    <hyperlink ref="B57" location="'Крепление тепл и крышки'!A1" display="Крепление тепл. и крышки" xr:uid="{00000000-0004-0000-0000-00002B000000}"/>
    <hyperlink ref="B51" location="ВКВТХ!R1C1" display="Конвекторы встраиваемые в пол тепло-холод" xr:uid="{00000000-0004-0000-0000-000008000000}"/>
    <hyperlink ref="D47" location="ВК.МАХ.90!A1" display=" 90 мм" xr:uid="{A3B59C3E-D83C-473B-A825-9D014CB06718}"/>
    <hyperlink ref="D48" location="ВК.МАХ.110!A1" display="110 мм" xr:uid="{20483F32-1868-4DF7-9DBA-D5FDD039E469}"/>
    <hyperlink ref="D49" location="ВК.МАХ.150!A1" display="150 мм" xr:uid="{F45A1E1C-7BF7-40CC-ACCC-A87ECE5C1EFA}"/>
    <hyperlink ref="D50" location="ВК.МАХ.200!A1" display="200 мм" xr:uid="{085B5DF4-B0D5-4F8E-9EF5-1A4379F6CF43}"/>
    <hyperlink ref="B60" location="'Посезонная вкладка и монтаж кр'!A1" display="Посезонная вкладка и монтажные крышки" xr:uid="{00000000-0004-0000-0000-00000F000000}"/>
    <hyperlink ref="B59" location="КП!A1" display="Крышка перфорированная" xr:uid="{C414EC52-6CDE-4937-BE0F-FFFF781CDD9E}"/>
    <hyperlink ref="B63:C63" location="Автоматика!A1" display="Автоматика" xr:uid="{3B3556EE-A110-47FA-9412-BC956F18C8B7}"/>
    <hyperlink ref="B63" location="'Комплекты подключения'!A1" display="Комплекты подключения" xr:uid="{B9BEAAB3-4B7A-4F87-B37E-97E088035A4B}"/>
    <hyperlink ref="B21" location="'Калькулятор приточной вент'!A1" display="Калькулятор приточной вентиляции" xr:uid="{372CC059-1249-4A21-84B8-08C8AA734764}"/>
    <hyperlink ref="B52" location="ВКП!A1" display="Конвектор встраиваемый в подоконник без вентиляторов (естественная конвекция)" xr:uid="{B07F3D37-7195-4F2C-8A7D-DF2B4899F704}"/>
    <hyperlink ref="B53" location="ВКВП!A1" display="Конвектор встраиваемый в подоконник с вентиляторами 24В DC (принудительная конвекция)" xr:uid="{07301A8B-CF4F-457B-BEEF-6D8A805D1745}"/>
    <hyperlink ref="B54" location="'ВКВП с доской'!A1" display="Конвектор с доской встраиваемый в подоконник с вентиляторами 24В DC (принудительная конвекция)" xr:uid="{82BAA0D8-AC39-4CCD-B035-385DB7541175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theme="4" tint="0.79998168889431442"/>
  </sheetPr>
  <dimension ref="A1:AQ316"/>
  <sheetViews>
    <sheetView topLeftCell="A28" zoomScale="85" zoomScaleNormal="85" workbookViewId="0">
      <selection activeCell="AD39" sqref="AD39"/>
    </sheetView>
  </sheetViews>
  <sheetFormatPr defaultRowHeight="15"/>
  <cols>
    <col min="1" max="1" width="85.28515625" customWidth="1"/>
    <col min="2" max="19" width="3.7109375" customWidth="1"/>
  </cols>
  <sheetData>
    <row r="1" spans="1:43" ht="15.75">
      <c r="A1" s="2070" t="s">
        <v>9</v>
      </c>
      <c r="B1" s="2070"/>
      <c r="C1" s="2070"/>
      <c r="D1" s="2070"/>
      <c r="E1" s="2070"/>
      <c r="F1" s="2070"/>
      <c r="G1" s="2070"/>
      <c r="H1" s="2070"/>
      <c r="I1" s="2070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</row>
    <row r="2" spans="1:4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</row>
    <row r="3" spans="1:4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</row>
    <row r="4" spans="1:4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4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</row>
    <row r="8" spans="1:4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</row>
    <row r="9" spans="1:4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</row>
    <row r="10" spans="1:43">
      <c r="A10" s="173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</row>
    <row r="11" spans="1:43" ht="20.25">
      <c r="A11" s="2071" t="s">
        <v>80</v>
      </c>
      <c r="B11" s="2071"/>
      <c r="C11" s="2071"/>
      <c r="D11" s="2071"/>
      <c r="E11" s="2071"/>
      <c r="F11" s="2071"/>
      <c r="G11" s="2071"/>
      <c r="H11" s="2071"/>
      <c r="I11" s="2071"/>
      <c r="J11" s="2071"/>
      <c r="K11" s="2071"/>
      <c r="L11" s="2071"/>
      <c r="M11" s="2071"/>
      <c r="N11" s="2071"/>
      <c r="O11" s="2071"/>
      <c r="P11" s="2071"/>
      <c r="Q11" s="2071"/>
      <c r="R11" s="2071"/>
      <c r="S11" s="2071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</row>
    <row r="12" spans="1:43" ht="19.5">
      <c r="A12" s="174"/>
      <c r="B12" s="2072" t="s">
        <v>10</v>
      </c>
      <c r="C12" s="2072"/>
      <c r="D12" s="2072" t="s">
        <v>5668</v>
      </c>
      <c r="E12" s="2072"/>
      <c r="F12" s="2072" t="s">
        <v>81</v>
      </c>
      <c r="G12" s="2072"/>
      <c r="H12" s="2072" t="s">
        <v>82</v>
      </c>
      <c r="I12" s="2072"/>
      <c r="J12" s="2072" t="s">
        <v>83</v>
      </c>
      <c r="K12" s="2072"/>
      <c r="L12" s="2072" t="s">
        <v>84</v>
      </c>
      <c r="M12" s="2072"/>
      <c r="N12" s="2073">
        <v>24</v>
      </c>
      <c r="O12" s="2073"/>
      <c r="P12" s="2072" t="s">
        <v>85</v>
      </c>
      <c r="Q12" s="2072"/>
      <c r="R12" s="2072" t="s">
        <v>86</v>
      </c>
      <c r="S12" s="2072"/>
      <c r="T12" s="288" t="s">
        <v>176</v>
      </c>
      <c r="U12" s="899" t="s">
        <v>371</v>
      </c>
      <c r="V12" s="901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</row>
    <row r="13" spans="1:43">
      <c r="A13" s="175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</row>
    <row r="14" spans="1:43" ht="25.5" customHeight="1">
      <c r="A14" s="176" t="s">
        <v>87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</row>
    <row r="15" spans="1:43" ht="25.5" customHeight="1">
      <c r="A15" s="177" t="s">
        <v>88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</row>
    <row r="16" spans="1:43" ht="25.5" customHeight="1">
      <c r="A16" s="177" t="s">
        <v>89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</row>
    <row r="17" spans="1:43" s="65" customFormat="1" ht="25.5" customHeight="1">
      <c r="A17" s="177" t="s">
        <v>376</v>
      </c>
      <c r="B17" s="908"/>
      <c r="C17" s="908"/>
      <c r="D17" s="908"/>
      <c r="E17" s="908"/>
      <c r="F17" s="908"/>
      <c r="G17" s="908"/>
      <c r="H17" s="908"/>
      <c r="I17" s="908"/>
      <c r="J17" s="908"/>
      <c r="K17" s="908"/>
      <c r="L17" s="908"/>
      <c r="M17" s="908"/>
      <c r="N17" s="908"/>
      <c r="O17" s="908"/>
      <c r="P17" s="908"/>
      <c r="Q17" s="908"/>
      <c r="R17" s="908"/>
      <c r="S17" s="908"/>
      <c r="T17" s="908"/>
      <c r="U17" s="908"/>
      <c r="V17" s="908"/>
      <c r="W17" s="908"/>
      <c r="X17" s="908"/>
      <c r="Y17" s="908"/>
      <c r="Z17" s="908"/>
      <c r="AA17" s="908"/>
      <c r="AB17" s="908"/>
      <c r="AC17" s="908"/>
      <c r="AD17" s="908"/>
      <c r="AE17" s="908"/>
      <c r="AF17" s="908"/>
      <c r="AG17" s="908"/>
      <c r="AH17" s="908"/>
      <c r="AI17" s="908"/>
      <c r="AJ17" s="908"/>
      <c r="AK17" s="908"/>
      <c r="AL17" s="908"/>
      <c r="AM17" s="908"/>
      <c r="AN17" s="908"/>
      <c r="AO17" s="908"/>
      <c r="AP17" s="908"/>
      <c r="AQ17" s="908"/>
    </row>
    <row r="18" spans="1:43" ht="25.5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</row>
    <row r="19" spans="1:43" ht="25.5" customHeight="1">
      <c r="A19" s="178" t="s">
        <v>174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</row>
    <row r="20" spans="1:43" ht="25.5" customHeight="1">
      <c r="A20" s="177" t="s">
        <v>175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</row>
    <row r="21" spans="1:43" ht="25.5" customHeight="1">
      <c r="A21" s="177" t="s">
        <v>5667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</row>
    <row r="22" spans="1:43" ht="25.5" customHeight="1">
      <c r="A22" s="178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</row>
    <row r="23" spans="1:43" ht="25.5" customHeight="1">
      <c r="A23" s="178" t="s">
        <v>92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</row>
    <row r="24" spans="1:43" ht="25.5" customHeight="1">
      <c r="A24" s="177" t="s">
        <v>389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</row>
    <row r="25" spans="1:43" ht="25.5" customHeight="1">
      <c r="A25" s="17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</row>
    <row r="26" spans="1:43" ht="25.5" customHeight="1">
      <c r="A26" s="178" t="s">
        <v>93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</row>
    <row r="27" spans="1:43" ht="25.5" customHeight="1">
      <c r="A27" s="177" t="s">
        <v>94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</row>
    <row r="28" spans="1:43" ht="25.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</row>
    <row r="29" spans="1:43" ht="25.5" customHeight="1">
      <c r="A29" s="178" t="s">
        <v>95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</row>
    <row r="30" spans="1:43" ht="25.5" customHeight="1">
      <c r="A30" s="177" t="s">
        <v>96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</row>
    <row r="31" spans="1:43" ht="25.5" customHeight="1">
      <c r="A31" s="17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</row>
    <row r="32" spans="1:43" ht="25.5" customHeight="1">
      <c r="A32" s="178" t="s">
        <v>97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</row>
    <row r="33" spans="1:43" ht="25.5" customHeight="1">
      <c r="A33" s="177" t="s">
        <v>98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</row>
    <row r="34" spans="1:43" ht="25.5" customHeight="1">
      <c r="A34" s="177" t="s">
        <v>99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</row>
    <row r="35" spans="1:43" ht="25.5" customHeight="1">
      <c r="A35" s="177" t="s">
        <v>100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</row>
    <row r="36" spans="1:43" ht="25.5" customHeight="1">
      <c r="A36" s="177" t="s">
        <v>101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</row>
    <row r="37" spans="1:43" ht="25.5" customHeight="1">
      <c r="A37" s="17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</row>
    <row r="38" spans="1:43" ht="25.5" customHeight="1">
      <c r="A38" s="178" t="s">
        <v>102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</row>
    <row r="39" spans="1:43" ht="25.5" customHeight="1">
      <c r="A39" s="177" t="s">
        <v>130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</row>
    <row r="40" spans="1:43" ht="25.5" customHeight="1">
      <c r="A40" s="177" t="s">
        <v>103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</row>
    <row r="41" spans="1:43" ht="25.5" customHeight="1">
      <c r="A41" s="180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</row>
    <row r="42" spans="1:43" ht="25.5" customHeight="1">
      <c r="A42" s="178" t="s">
        <v>104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</row>
    <row r="43" spans="1:43" ht="25.5" customHeight="1">
      <c r="A43" s="177" t="s">
        <v>5732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</row>
    <row r="44" spans="1:43" ht="25.5" customHeight="1">
      <c r="A44" s="177" t="s">
        <v>5733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</row>
    <row r="45" spans="1:43" ht="25.5" customHeight="1">
      <c r="A45" s="177" t="s">
        <v>5734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</row>
    <row r="46" spans="1:43" ht="25.5" customHeight="1">
      <c r="A46" s="177" t="s">
        <v>5735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</row>
    <row r="47" spans="1:43" ht="25.5" customHeight="1">
      <c r="A47" s="177" t="s">
        <v>105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</row>
    <row r="48" spans="1:43" ht="25.5" customHeight="1">
      <c r="A48" s="177" t="s">
        <v>106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</row>
    <row r="49" spans="1:43" ht="25.5" customHeight="1">
      <c r="A49" s="177" t="s">
        <v>7701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</row>
    <row r="50" spans="1:43" ht="25.5" customHeight="1">
      <c r="A50" s="177" t="s">
        <v>107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</row>
    <row r="51" spans="1:43" s="65" customFormat="1" ht="25.5" customHeight="1">
      <c r="A51" s="177" t="s">
        <v>7668</v>
      </c>
      <c r="B51" s="1839"/>
      <c r="C51" s="1839"/>
      <c r="D51" s="1839"/>
      <c r="E51" s="1839"/>
      <c r="F51" s="1839"/>
      <c r="G51" s="1839"/>
      <c r="H51" s="1839"/>
      <c r="I51" s="1839"/>
      <c r="J51" s="1839"/>
      <c r="K51" s="1839"/>
      <c r="L51" s="1839"/>
      <c r="M51" s="1839"/>
      <c r="N51" s="1839"/>
      <c r="O51" s="1839"/>
      <c r="P51" s="1839"/>
      <c r="Q51" s="1839"/>
      <c r="R51" s="1839"/>
      <c r="S51" s="1839"/>
      <c r="T51" s="1839"/>
      <c r="U51" s="1839"/>
      <c r="V51" s="1839"/>
      <c r="W51" s="1839"/>
      <c r="X51" s="1839"/>
      <c r="Y51" s="1839"/>
      <c r="Z51" s="1839"/>
      <c r="AA51" s="1839"/>
      <c r="AB51" s="1839"/>
      <c r="AC51" s="1839"/>
      <c r="AD51" s="1839"/>
      <c r="AE51" s="1839"/>
      <c r="AF51" s="1839"/>
      <c r="AG51" s="1839"/>
      <c r="AH51" s="1839"/>
      <c r="AI51" s="1839"/>
      <c r="AJ51" s="1839"/>
      <c r="AK51" s="1839"/>
      <c r="AL51" s="1839"/>
      <c r="AM51" s="1839"/>
      <c r="AN51" s="1839"/>
      <c r="AO51" s="1839"/>
      <c r="AP51" s="1839"/>
      <c r="AQ51" s="1839"/>
    </row>
    <row r="52" spans="1:43" ht="25.5" customHeight="1">
      <c r="A52" s="179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</row>
    <row r="53" spans="1:43" ht="25.5" customHeight="1">
      <c r="A53" s="178" t="s">
        <v>108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</row>
    <row r="54" spans="1:43" ht="25.5" customHeight="1">
      <c r="A54" s="177" t="s">
        <v>109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</row>
    <row r="55" spans="1:43" ht="25.5" customHeight="1">
      <c r="A55" s="177" t="s">
        <v>110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</row>
    <row r="56" spans="1:43" ht="34.5" customHeight="1">
      <c r="A56" s="177" t="s">
        <v>124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</row>
    <row r="57" spans="1:43" ht="18.75">
      <c r="A57" s="182" t="s">
        <v>7669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</row>
    <row r="58" spans="1:43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</row>
    <row r="59" spans="1:43" ht="18.75">
      <c r="A59" s="178" t="s">
        <v>367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</row>
    <row r="60" spans="1:43" ht="18.75">
      <c r="A60" s="177" t="s">
        <v>90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</row>
    <row r="61" spans="1:43" ht="18.75">
      <c r="A61" s="177" t="s">
        <v>441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</row>
    <row r="62" spans="1:43" ht="18.75">
      <c r="A62" s="177" t="s">
        <v>91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</row>
    <row r="63" spans="1:43" ht="18.75">
      <c r="A63" s="177" t="s">
        <v>440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</row>
    <row r="64" spans="1:43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</row>
    <row r="65" spans="1:43" ht="24.75" customHeight="1">
      <c r="A65" s="178" t="s">
        <v>368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</row>
    <row r="66" spans="1:43" ht="24" customHeight="1">
      <c r="A66" s="177" t="s">
        <v>369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</row>
    <row r="67" spans="1:43" ht="24" customHeight="1">
      <c r="A67" s="182" t="s">
        <v>370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</row>
    <row r="68" spans="1:43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</row>
    <row r="69" spans="1:43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</row>
    <row r="70" spans="1:4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</row>
    <row r="71" spans="1:4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</row>
    <row r="72" spans="1:43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</row>
    <row r="101" spans="1:4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</row>
    <row r="102" spans="1:4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</row>
    <row r="103" spans="1:4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</row>
    <row r="104" spans="1:4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</row>
    <row r="105" spans="1:4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</row>
    <row r="106" spans="1:4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</row>
    <row r="107" spans="1:4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</row>
    <row r="108" spans="1:4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</row>
    <row r="109" spans="1:4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</row>
    <row r="110" spans="1:4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</row>
    <row r="111" spans="1:4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</row>
    <row r="112" spans="1:4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</row>
    <row r="113" spans="1:4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</row>
    <row r="114" spans="1:4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</row>
    <row r="115" spans="1:4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</row>
    <row r="116" spans="1:4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</row>
    <row r="117" spans="1:4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</row>
    <row r="118" spans="1:4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</row>
    <row r="119" spans="1:4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</row>
    <row r="120" spans="1:4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</row>
    <row r="121" spans="1:43"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</row>
    <row r="122" spans="1:43"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</row>
    <row r="123" spans="1:43"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</row>
    <row r="124" spans="1:43"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</row>
    <row r="125" spans="1:43"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</row>
    <row r="126" spans="1:43"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</row>
    <row r="127" spans="1:43"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</row>
    <row r="128" spans="1:43"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</row>
    <row r="129" spans="29:43"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</row>
    <row r="130" spans="29:43"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</row>
    <row r="131" spans="29:43"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</row>
    <row r="132" spans="29:43"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</row>
    <row r="133" spans="29:43"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</row>
    <row r="134" spans="29:43"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</row>
    <row r="135" spans="29:43"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</row>
    <row r="136" spans="29:43"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</row>
    <row r="137" spans="29:43"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</row>
    <row r="138" spans="29:43"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</row>
    <row r="139" spans="29:43"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</row>
    <row r="140" spans="29:43"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</row>
    <row r="141" spans="29:43"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</row>
    <row r="142" spans="29:43"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</row>
    <row r="143" spans="29:43"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</row>
    <row r="144" spans="29:43"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</row>
    <row r="145" spans="29:43"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</row>
    <row r="146" spans="29:43"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</row>
    <row r="147" spans="29:43"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</row>
    <row r="148" spans="29:43"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</row>
    <row r="149" spans="29:43"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</row>
    <row r="150" spans="29:43"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</row>
    <row r="151" spans="29:43"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</row>
    <row r="152" spans="29:43"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</row>
    <row r="153" spans="29:43"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</row>
    <row r="154" spans="29:43"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</row>
    <row r="155" spans="29:43"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</row>
    <row r="156" spans="29:43"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</row>
    <row r="157" spans="29:43"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</row>
    <row r="158" spans="29:43"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</row>
    <row r="159" spans="29:43"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</row>
    <row r="160" spans="29:43"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</row>
    <row r="161" spans="29:43"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</row>
    <row r="162" spans="29:43"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</row>
    <row r="163" spans="29:43"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</row>
    <row r="164" spans="29:43"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</row>
    <row r="165" spans="29:43"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</row>
    <row r="166" spans="29:43"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</row>
    <row r="167" spans="29:43"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</row>
    <row r="168" spans="29:43"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</row>
    <row r="169" spans="29:43"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</row>
    <row r="170" spans="29:43"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</row>
    <row r="171" spans="29:43"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</row>
    <row r="172" spans="29:43"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</row>
    <row r="173" spans="29:43"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</row>
    <row r="174" spans="29:43"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</row>
    <row r="175" spans="29:43"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</row>
    <row r="176" spans="29:43"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</row>
    <row r="177" spans="29:43"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</row>
    <row r="178" spans="29:43"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</row>
    <row r="179" spans="29:43"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</row>
    <row r="180" spans="29:43"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</row>
    <row r="181" spans="29:43"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</row>
    <row r="182" spans="29:43"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</row>
    <row r="183" spans="29:43"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</row>
    <row r="184" spans="29:43"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</row>
    <row r="185" spans="29:43"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</row>
    <row r="186" spans="29:43"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</row>
    <row r="187" spans="29:43"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</row>
    <row r="188" spans="29:43"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</row>
    <row r="189" spans="29:43"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</row>
    <row r="190" spans="29:43"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</row>
    <row r="191" spans="29:43"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</row>
    <row r="192" spans="29:43"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</row>
    <row r="193" spans="29:43"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</row>
    <row r="194" spans="29:43"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</row>
    <row r="195" spans="29:43"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</row>
    <row r="196" spans="29:43"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</row>
    <row r="197" spans="29:43"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</row>
    <row r="198" spans="29:43"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</row>
    <row r="199" spans="29:43"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</row>
    <row r="200" spans="29:43"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</row>
    <row r="201" spans="29:43"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</row>
    <row r="202" spans="29:43"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</row>
    <row r="203" spans="29:43"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</row>
    <row r="204" spans="29:43"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</row>
    <row r="205" spans="29:43"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</row>
    <row r="206" spans="29:43"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</row>
    <row r="207" spans="29:43"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</row>
    <row r="208" spans="29:43"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</row>
    <row r="209" spans="29:43"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</row>
    <row r="210" spans="29:43"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</row>
    <row r="211" spans="29:43"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</row>
    <row r="212" spans="29:43"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</row>
    <row r="213" spans="29:43"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</row>
    <row r="214" spans="29:43"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</row>
    <row r="215" spans="29:43"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</row>
    <row r="216" spans="29:43"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</row>
    <row r="217" spans="29:43"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</row>
    <row r="218" spans="29:43"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</row>
    <row r="219" spans="29:43"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</row>
    <row r="220" spans="29:43"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</row>
    <row r="221" spans="29:43"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</row>
    <row r="222" spans="29:43"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</row>
    <row r="223" spans="29:43"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</row>
    <row r="224" spans="29:43"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</row>
    <row r="225" spans="29:43"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</row>
    <row r="226" spans="29:43"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</row>
    <row r="227" spans="29:43"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</row>
    <row r="228" spans="29:43"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</row>
    <row r="229" spans="29:43"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</row>
    <row r="230" spans="29:43"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</row>
    <row r="231" spans="29:43"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</row>
    <row r="232" spans="29:43"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</row>
    <row r="233" spans="29:43"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</row>
    <row r="234" spans="29:43"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</row>
    <row r="235" spans="29:43"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</row>
    <row r="236" spans="29:43"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</row>
    <row r="237" spans="29:43"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</row>
    <row r="238" spans="29:43"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</row>
    <row r="239" spans="29:43"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</row>
    <row r="240" spans="29:43"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</row>
    <row r="241" spans="29:43"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</row>
    <row r="242" spans="29:43"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</row>
    <row r="243" spans="29:43"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</row>
    <row r="244" spans="29:43"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</row>
    <row r="245" spans="29:43"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</row>
    <row r="246" spans="29:43"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</row>
    <row r="247" spans="29:43"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</row>
    <row r="248" spans="29:43"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</row>
    <row r="249" spans="29:43"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</row>
    <row r="250" spans="29:43"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</row>
    <row r="251" spans="29:43"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</row>
    <row r="252" spans="29:43"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</row>
    <row r="253" spans="29:43"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</row>
    <row r="254" spans="29:43"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</row>
    <row r="255" spans="29:43"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</row>
    <row r="256" spans="29:43"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</row>
    <row r="257" spans="29:43"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</row>
    <row r="258" spans="29:43"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</row>
    <row r="259" spans="29:43"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</row>
    <row r="260" spans="29:43"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</row>
    <row r="261" spans="29:43"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</row>
    <row r="262" spans="29:43"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</row>
    <row r="263" spans="29:43"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</row>
    <row r="264" spans="29:43"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</row>
    <row r="265" spans="29:43"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</row>
    <row r="266" spans="29:43"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</row>
    <row r="267" spans="29:43"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</row>
    <row r="268" spans="29:43"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</row>
    <row r="269" spans="29:43"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</row>
    <row r="270" spans="29:43"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</row>
    <row r="271" spans="29:43"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</row>
    <row r="272" spans="29:43"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</row>
    <row r="273" spans="29:43"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</row>
    <row r="274" spans="29:43"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</row>
    <row r="275" spans="29:43"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</row>
    <row r="276" spans="29:43"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</row>
    <row r="277" spans="29:43"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</row>
    <row r="278" spans="29:43"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</row>
    <row r="279" spans="29:43"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</row>
    <row r="280" spans="29:43"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</row>
    <row r="281" spans="29:43"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</row>
    <row r="282" spans="29:43"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</row>
    <row r="283" spans="29:43"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</row>
    <row r="284" spans="29:43"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</row>
    <row r="285" spans="29:43"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</row>
    <row r="286" spans="29:43"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</row>
    <row r="287" spans="29:43"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</row>
    <row r="288" spans="29:43"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</row>
    <row r="289" spans="29:43"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</row>
    <row r="290" spans="29:43"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</row>
    <row r="291" spans="29:43"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</row>
    <row r="292" spans="29:43"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</row>
    <row r="293" spans="29:43"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</row>
    <row r="294" spans="29:43"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</row>
    <row r="295" spans="29:43"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</row>
    <row r="296" spans="29:43"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</row>
    <row r="297" spans="29:43"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</row>
    <row r="298" spans="29:43"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</row>
    <row r="299" spans="29:43"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</row>
    <row r="300" spans="29:43"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</row>
    <row r="301" spans="29:43"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</row>
    <row r="302" spans="29:43"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</row>
    <row r="303" spans="29:43"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</row>
    <row r="304" spans="29:43"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</row>
    <row r="305" spans="29:43"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</row>
    <row r="306" spans="29:43"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</row>
    <row r="307" spans="29:43"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</row>
    <row r="308" spans="29:43"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</row>
    <row r="309" spans="29:43"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</row>
    <row r="310" spans="29:43"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</row>
    <row r="311" spans="29:43"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</row>
    <row r="312" spans="29:43"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</row>
    <row r="313" spans="29:43"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</row>
    <row r="314" spans="29:43"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</row>
    <row r="315" spans="29:43"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</row>
    <row r="316" spans="29:43"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</row>
  </sheetData>
  <mergeCells count="11">
    <mergeCell ref="A1:I1"/>
    <mergeCell ref="A11:S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</mergeCells>
  <hyperlinks>
    <hyperlink ref="A1:I1" location="Главная!A1" display="Вернуться на главную страницу" xr:uid="{00000000-0004-0000-0100-000000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AJ435"/>
  <sheetViews>
    <sheetView zoomScale="55" zoomScaleNormal="55" workbookViewId="0">
      <selection activeCell="AH27" sqref="AH27"/>
    </sheetView>
  </sheetViews>
  <sheetFormatPr defaultRowHeight="15"/>
  <cols>
    <col min="1" max="16384" width="9.140625" style="17"/>
  </cols>
  <sheetData>
    <row r="1" spans="1:9" ht="15.75">
      <c r="A1" s="2070" t="s">
        <v>9</v>
      </c>
      <c r="B1" s="2070"/>
      <c r="C1" s="2070"/>
      <c r="D1" s="2070"/>
      <c r="E1" s="2070"/>
      <c r="F1" s="2070"/>
      <c r="G1" s="2070"/>
      <c r="H1" s="2070"/>
      <c r="I1" s="2070"/>
    </row>
    <row r="24" spans="6:6">
      <c r="F24"/>
    </row>
    <row r="48" spans="10:10">
      <c r="J48" s="195"/>
    </row>
    <row r="49" spans="1:10">
      <c r="J49" s="196"/>
    </row>
    <row r="50" spans="1:10">
      <c r="J50" s="196"/>
    </row>
    <row r="51" spans="1:10">
      <c r="J51" s="196"/>
    </row>
    <row r="53" spans="1:10">
      <c r="J53" s="196"/>
    </row>
    <row r="59" spans="1:10">
      <c r="A59"/>
    </row>
    <row r="99" s="1184" customFormat="1"/>
    <row r="100" s="1184" customFormat="1"/>
    <row r="101" s="1184" customFormat="1"/>
    <row r="102" s="1184" customFormat="1"/>
    <row r="103" s="1184" customFormat="1"/>
    <row r="104" s="1184" customFormat="1"/>
    <row r="105" s="1184" customFormat="1"/>
    <row r="106" s="1184" customFormat="1"/>
    <row r="107" s="1184" customFormat="1"/>
    <row r="108" s="1184" customFormat="1"/>
    <row r="109" s="1184" customFormat="1"/>
    <row r="110" s="1184" customFormat="1"/>
    <row r="111" s="1184" customFormat="1"/>
    <row r="112" s="1184" customFormat="1"/>
    <row r="113" s="1184" customFormat="1"/>
    <row r="114" s="1184" customFormat="1"/>
    <row r="115" s="1184" customFormat="1"/>
    <row r="116" s="1184" customFormat="1"/>
    <row r="117" s="1184" customFormat="1"/>
    <row r="118" s="1184" customFormat="1"/>
    <row r="119" s="1184" customFormat="1"/>
    <row r="120" s="1184" customFormat="1"/>
    <row r="121" s="1184" customFormat="1"/>
    <row r="122" s="1184" customFormat="1"/>
    <row r="123" s="1184" customFormat="1"/>
    <row r="124" s="1184" customFormat="1"/>
    <row r="125" s="1184" customFormat="1"/>
    <row r="126" s="1184" customFormat="1"/>
    <row r="127" s="1184" customFormat="1"/>
    <row r="128" s="1184" customFormat="1"/>
    <row r="129" spans="10:10" s="1184" customFormat="1"/>
    <row r="130" spans="10:10" s="1184" customFormat="1"/>
    <row r="131" spans="10:10" s="1184" customFormat="1"/>
    <row r="132" spans="10:10" s="1184" customFormat="1"/>
    <row r="133" spans="10:10" s="1184" customFormat="1"/>
    <row r="134" spans="10:10" s="1184" customFormat="1"/>
    <row r="135" spans="10:10" s="1184" customFormat="1"/>
    <row r="136" spans="10:10" s="1184" customFormat="1">
      <c r="J136" s="195"/>
    </row>
    <row r="137" spans="10:10" s="1184" customFormat="1">
      <c r="J137" s="196"/>
    </row>
    <row r="138" spans="10:10" s="1184" customFormat="1">
      <c r="J138" s="196"/>
    </row>
    <row r="139" spans="10:10" s="1184" customFormat="1">
      <c r="J139" s="196"/>
    </row>
    <row r="140" spans="10:10" s="900" customFormat="1"/>
    <row r="141" spans="10:10" s="900" customFormat="1"/>
    <row r="142" spans="10:10" s="900" customFormat="1"/>
    <row r="143" spans="10:10" s="900" customFormat="1"/>
    <row r="144" spans="10:10" s="900" customFormat="1"/>
    <row r="145" spans="4:4" s="900" customFormat="1"/>
    <row r="146" spans="4:4" s="900" customFormat="1"/>
    <row r="147" spans="4:4" s="900" customFormat="1"/>
    <row r="148" spans="4:4" s="900" customFormat="1"/>
    <row r="149" spans="4:4" s="900" customFormat="1"/>
    <row r="150" spans="4:4" s="900" customFormat="1"/>
    <row r="151" spans="4:4" s="900" customFormat="1"/>
    <row r="152" spans="4:4" s="900" customFormat="1"/>
    <row r="153" spans="4:4" s="900" customFormat="1"/>
    <row r="154" spans="4:4" s="900" customFormat="1"/>
    <row r="155" spans="4:4" s="900" customFormat="1"/>
    <row r="156" spans="4:4" s="900" customFormat="1"/>
    <row r="157" spans="4:4" s="900" customFormat="1"/>
    <row r="158" spans="4:4" s="900" customFormat="1"/>
    <row r="159" spans="4:4" s="900" customFormat="1"/>
    <row r="160" spans="4:4" s="900" customFormat="1">
      <c r="D160"/>
    </row>
    <row r="161" s="900" customFormat="1"/>
    <row r="162" s="900" customFormat="1"/>
    <row r="163" s="900" customFormat="1"/>
    <row r="164" s="900" customFormat="1"/>
    <row r="165" s="900" customFormat="1"/>
    <row r="166" s="900" customFormat="1"/>
    <row r="167" s="900" customFormat="1"/>
    <row r="168" s="900" customFormat="1"/>
    <row r="169" s="900" customFormat="1"/>
    <row r="170" s="900" customFormat="1"/>
    <row r="171" s="900" customFormat="1"/>
    <row r="172" s="900" customFormat="1"/>
    <row r="173" s="900" customFormat="1"/>
    <row r="174" s="900" customFormat="1"/>
    <row r="175" s="900" customFormat="1"/>
    <row r="176" s="900" customFormat="1"/>
    <row r="177" s="900" customFormat="1"/>
    <row r="178" s="900" customFormat="1"/>
    <row r="179" s="900" customFormat="1"/>
    <row r="180" s="900" customFormat="1"/>
    <row r="181" s="1099" customFormat="1"/>
    <row r="182" s="1112" customFormat="1"/>
    <row r="183" s="1112" customFormat="1"/>
    <row r="184" s="1112" customFormat="1"/>
    <row r="185" s="1112" customFormat="1"/>
    <row r="186" s="1112" customFormat="1"/>
    <row r="187" s="1112" customFormat="1"/>
    <row r="188" s="1112" customFormat="1"/>
    <row r="189" s="1112" customFormat="1"/>
    <row r="190" s="1112" customFormat="1"/>
    <row r="191" s="1112" customFormat="1"/>
    <row r="192" s="1112" customFormat="1"/>
    <row r="193" spans="4:4" s="1112" customFormat="1"/>
    <row r="194" spans="4:4" s="1112" customFormat="1"/>
    <row r="195" spans="4:4" s="1112" customFormat="1"/>
    <row r="196" spans="4:4" s="1112" customFormat="1"/>
    <row r="197" spans="4:4" s="1112" customFormat="1"/>
    <row r="198" spans="4:4" s="1112" customFormat="1"/>
    <row r="199" spans="4:4" s="1112" customFormat="1">
      <c r="D199"/>
    </row>
    <row r="200" spans="4:4" s="1112" customFormat="1"/>
    <row r="201" spans="4:4" s="1112" customFormat="1"/>
    <row r="202" spans="4:4" s="1112" customFormat="1"/>
    <row r="203" spans="4:4" s="1112" customFormat="1"/>
    <row r="204" spans="4:4" s="1112" customFormat="1"/>
    <row r="205" spans="4:4" s="1112" customFormat="1"/>
    <row r="206" spans="4:4" s="1112" customFormat="1"/>
    <row r="207" spans="4:4" s="1112" customFormat="1"/>
    <row r="208" spans="4:4" s="1112" customFormat="1"/>
    <row r="209" s="1112" customFormat="1"/>
    <row r="210" s="1112" customFormat="1"/>
    <row r="211" s="1112" customFormat="1"/>
    <row r="212" s="1112" customFormat="1"/>
    <row r="213" s="1112" customFormat="1"/>
    <row r="214" s="1112" customFormat="1"/>
    <row r="215" s="1112" customFormat="1"/>
    <row r="216" s="1112" customFormat="1"/>
    <row r="217" s="1112" customFormat="1"/>
    <row r="218" s="1112" customFormat="1"/>
    <row r="219" s="1112" customFormat="1"/>
    <row r="220" s="1112" customFormat="1"/>
    <row r="221" s="1112" customFormat="1"/>
    <row r="222" s="1112" customFormat="1"/>
    <row r="223" s="1112" customFormat="1"/>
    <row r="224" s="1112" customFormat="1"/>
    <row r="225" s="1112" customFormat="1"/>
    <row r="226" s="1112" customFormat="1"/>
    <row r="227" s="1112" customFormat="1"/>
    <row r="228" s="1112" customFormat="1"/>
    <row r="229" s="1112" customFormat="1"/>
    <row r="230" s="1122" customFormat="1"/>
    <row r="232" s="1122" customFormat="1"/>
    <row r="233" s="1277" customFormat="1"/>
    <row r="234" s="1277" customFormat="1"/>
    <row r="235" s="1277" customFormat="1"/>
    <row r="236" s="1277" customFormat="1"/>
    <row r="237" s="1277" customFormat="1"/>
    <row r="238" s="1277" customFormat="1"/>
    <row r="239" s="1277" customFormat="1"/>
    <row r="240" s="1277" customFormat="1"/>
    <row r="241" spans="1:36" s="1277" customFormat="1"/>
    <row r="242" spans="1:36" s="1277" customFormat="1">
      <c r="A242" s="181"/>
      <c r="B242" s="181"/>
      <c r="C242" s="181"/>
      <c r="D242" s="181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  <c r="V242" s="181"/>
      <c r="W242" s="181"/>
      <c r="X242" s="181"/>
      <c r="Y242" s="181"/>
      <c r="Z242" s="181"/>
      <c r="AA242" s="181"/>
      <c r="AB242" s="181"/>
      <c r="AC242" s="181"/>
      <c r="AD242" s="181"/>
      <c r="AE242" s="181"/>
      <c r="AF242" s="181"/>
      <c r="AG242" s="181"/>
      <c r="AH242" s="181"/>
      <c r="AI242" s="181"/>
      <c r="AJ242" s="181"/>
    </row>
    <row r="243" spans="1:36" s="1277" customFormat="1">
      <c r="A243" s="181"/>
      <c r="B243" s="181"/>
      <c r="C243" s="181"/>
      <c r="D243" s="181"/>
      <c r="E243" s="181"/>
      <c r="F243" s="181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  <c r="V243" s="181"/>
      <c r="W243" s="181"/>
      <c r="X243" s="181"/>
      <c r="Y243" s="181"/>
      <c r="Z243" s="181"/>
      <c r="AA243" s="181"/>
      <c r="AB243" s="181"/>
      <c r="AC243" s="181"/>
      <c r="AD243" s="181"/>
      <c r="AE243" s="181"/>
      <c r="AF243" s="181"/>
      <c r="AG243" s="181"/>
      <c r="AH243" s="181"/>
      <c r="AI243" s="181"/>
      <c r="AJ243" s="181"/>
    </row>
    <row r="244" spans="1:36" s="1277" customFormat="1">
      <c r="A244" s="181"/>
      <c r="B244" s="181"/>
      <c r="C244" s="181"/>
      <c r="D244" s="181"/>
      <c r="E244" s="181"/>
      <c r="F244" s="181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  <c r="V244" s="181"/>
      <c r="W244" s="181"/>
      <c r="X244" s="181"/>
      <c r="Y244" s="181"/>
      <c r="Z244" s="181"/>
      <c r="AA244" s="181"/>
      <c r="AB244" s="181"/>
      <c r="AC244" s="181"/>
      <c r="AD244" s="181"/>
      <c r="AE244" s="181"/>
      <c r="AF244" s="181"/>
      <c r="AG244" s="181"/>
      <c r="AH244" s="181"/>
      <c r="AI244" s="181"/>
      <c r="AJ244" s="181"/>
    </row>
    <row r="245" spans="1:36" s="1277" customFormat="1">
      <c r="A245" s="181"/>
      <c r="B245" s="181"/>
      <c r="C245" s="181"/>
      <c r="D245" s="181"/>
      <c r="E245" s="181"/>
      <c r="F245" s="181"/>
      <c r="G245" s="181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  <c r="V245" s="181"/>
      <c r="W245" s="181"/>
      <c r="X245" s="181"/>
      <c r="Y245" s="181"/>
      <c r="Z245" s="181"/>
      <c r="AA245" s="181"/>
      <c r="AB245" s="181"/>
      <c r="AC245" s="181"/>
      <c r="AD245" s="181"/>
      <c r="AE245" s="181"/>
      <c r="AF245" s="181"/>
      <c r="AG245" s="181"/>
      <c r="AH245" s="181"/>
      <c r="AI245" s="181"/>
      <c r="AJ245" s="181"/>
    </row>
    <row r="246" spans="1:36" s="1277" customFormat="1">
      <c r="A246" s="181"/>
      <c r="B246" s="181"/>
      <c r="C246" s="181"/>
      <c r="D246" s="181"/>
      <c r="E246" s="181"/>
      <c r="F246" s="181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  <c r="V246" s="181"/>
      <c r="W246" s="181"/>
      <c r="X246" s="181"/>
      <c r="Y246" s="181"/>
      <c r="Z246" s="181"/>
      <c r="AA246" s="181"/>
      <c r="AB246" s="181"/>
      <c r="AC246" s="181"/>
      <c r="AD246" s="181"/>
      <c r="AE246" s="181"/>
      <c r="AF246" s="181"/>
      <c r="AG246" s="181"/>
      <c r="AH246" s="181"/>
      <c r="AI246" s="181"/>
      <c r="AJ246" s="181"/>
    </row>
    <row r="247" spans="1:36" s="1277" customFormat="1">
      <c r="A247" s="181"/>
      <c r="B247" s="181"/>
      <c r="C247" s="181"/>
      <c r="D247" s="181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  <c r="AA247" s="181"/>
      <c r="AB247" s="181"/>
      <c r="AC247" s="181"/>
      <c r="AD247" s="181"/>
      <c r="AE247" s="181"/>
      <c r="AF247" s="181"/>
      <c r="AG247" s="181"/>
      <c r="AH247" s="181"/>
      <c r="AI247" s="181"/>
      <c r="AJ247" s="181"/>
    </row>
    <row r="248" spans="1:36" s="1277" customFormat="1">
      <c r="A248" s="181"/>
      <c r="B248" s="181"/>
      <c r="C248" s="181"/>
      <c r="D248" s="181"/>
      <c r="E248" s="181"/>
      <c r="F248" s="181"/>
      <c r="G248" s="181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  <c r="V248" s="181"/>
      <c r="W248" s="181"/>
      <c r="X248" s="181"/>
      <c r="Y248" s="181"/>
      <c r="Z248" s="181"/>
      <c r="AA248" s="181"/>
      <c r="AB248" s="181"/>
      <c r="AC248" s="181"/>
      <c r="AD248" s="181"/>
      <c r="AE248" s="181"/>
      <c r="AF248" s="181"/>
      <c r="AG248" s="181"/>
      <c r="AH248" s="181"/>
      <c r="AI248" s="181"/>
      <c r="AJ248" s="181"/>
    </row>
    <row r="249" spans="1:36" s="1277" customFormat="1">
      <c r="A249" s="181"/>
      <c r="B249" s="181"/>
      <c r="C249" s="181"/>
      <c r="D249" s="181"/>
      <c r="E249" s="181"/>
      <c r="F249" s="181"/>
      <c r="G249" s="181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  <c r="V249" s="181"/>
      <c r="W249" s="181"/>
      <c r="X249" s="181"/>
      <c r="Y249" s="181"/>
      <c r="Z249" s="181"/>
      <c r="AA249" s="181"/>
      <c r="AB249" s="181"/>
      <c r="AC249" s="181"/>
      <c r="AD249" s="181"/>
      <c r="AE249" s="181"/>
      <c r="AF249" s="181"/>
      <c r="AG249" s="181"/>
      <c r="AH249" s="181"/>
      <c r="AI249" s="181"/>
      <c r="AJ249" s="181"/>
    </row>
    <row r="250" spans="1:36" s="1277" customFormat="1">
      <c r="A250" s="181"/>
      <c r="B250" s="181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  <c r="AA250" s="181"/>
      <c r="AB250" s="181"/>
      <c r="AC250" s="181"/>
      <c r="AD250" s="181"/>
      <c r="AE250" s="181"/>
      <c r="AF250" s="181"/>
      <c r="AG250" s="181"/>
      <c r="AH250" s="181"/>
      <c r="AI250" s="181"/>
      <c r="AJ250" s="181"/>
    </row>
    <row r="251" spans="1:36" s="1277" customFormat="1">
      <c r="A251" s="181"/>
      <c r="B251" s="181"/>
      <c r="C251" s="181"/>
      <c r="D251" s="181"/>
      <c r="E251" s="181"/>
      <c r="F251" s="181"/>
      <c r="G251" s="181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  <c r="V251" s="181"/>
      <c r="W251" s="181"/>
      <c r="X251" s="181"/>
      <c r="Y251" s="181"/>
      <c r="Z251" s="181"/>
      <c r="AA251" s="181"/>
      <c r="AB251" s="181"/>
      <c r="AC251" s="181"/>
      <c r="AD251" s="181"/>
      <c r="AE251" s="181"/>
      <c r="AF251" s="181"/>
      <c r="AG251" s="181"/>
      <c r="AH251" s="181"/>
      <c r="AI251" s="181"/>
      <c r="AJ251" s="181"/>
    </row>
    <row r="252" spans="1:36" s="1277" customFormat="1">
      <c r="A252" s="181"/>
      <c r="B252" s="181"/>
      <c r="C252" s="181"/>
      <c r="D252" s="181"/>
      <c r="E252" s="181"/>
      <c r="F252" s="181"/>
      <c r="G252" s="181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  <c r="V252" s="181"/>
      <c r="W252" s="181"/>
      <c r="X252" s="181"/>
      <c r="Y252" s="181"/>
      <c r="Z252" s="181"/>
      <c r="AA252" s="181"/>
      <c r="AB252" s="181"/>
      <c r="AC252" s="181"/>
      <c r="AD252" s="181"/>
      <c r="AE252" s="181"/>
      <c r="AF252" s="181"/>
      <c r="AG252" s="181"/>
      <c r="AH252" s="181"/>
      <c r="AI252" s="181"/>
      <c r="AJ252" s="181"/>
    </row>
    <row r="253" spans="1:36" s="1277" customFormat="1">
      <c r="A253" s="181"/>
      <c r="B253" s="181"/>
      <c r="C253" s="181"/>
      <c r="D253" s="181"/>
      <c r="E253" s="181"/>
      <c r="F253" s="181"/>
      <c r="G253" s="181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  <c r="V253" s="181"/>
      <c r="W253" s="181"/>
      <c r="X253" s="181"/>
      <c r="Y253" s="181"/>
      <c r="Z253" s="181"/>
      <c r="AA253" s="181"/>
      <c r="AB253" s="181"/>
      <c r="AC253" s="181"/>
      <c r="AD253" s="181"/>
      <c r="AE253" s="181"/>
      <c r="AF253" s="181"/>
      <c r="AG253" s="181"/>
      <c r="AH253" s="181"/>
      <c r="AI253" s="181"/>
      <c r="AJ253" s="181"/>
    </row>
    <row r="254" spans="1:36" s="1277" customFormat="1">
      <c r="A254" s="181"/>
      <c r="B254" s="181"/>
      <c r="C254" s="181"/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  <c r="V254" s="181"/>
      <c r="W254" s="181"/>
      <c r="X254" s="181"/>
      <c r="Y254" s="181"/>
      <c r="Z254" s="181"/>
      <c r="AA254" s="181"/>
      <c r="AB254" s="181"/>
      <c r="AC254" s="181"/>
      <c r="AD254" s="181"/>
      <c r="AE254" s="181"/>
      <c r="AF254" s="181"/>
      <c r="AG254" s="181"/>
      <c r="AH254" s="181"/>
      <c r="AI254" s="181"/>
      <c r="AJ254" s="181"/>
    </row>
    <row r="255" spans="1:36" s="1277" customFormat="1">
      <c r="A255" s="181"/>
      <c r="B255" s="181"/>
      <c r="C255" s="181"/>
      <c r="D255" s="181"/>
      <c r="E255" s="181"/>
      <c r="F255" s="181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  <c r="V255" s="181"/>
      <c r="W255" s="181"/>
      <c r="X255" s="181"/>
      <c r="Y255" s="181"/>
      <c r="Z255" s="181"/>
      <c r="AA255" s="181"/>
      <c r="AB255" s="181"/>
      <c r="AC255" s="181"/>
      <c r="AD255" s="181"/>
      <c r="AE255" s="181"/>
      <c r="AF255" s="181"/>
      <c r="AG255" s="181"/>
      <c r="AH255" s="181"/>
      <c r="AI255" s="181"/>
      <c r="AJ255" s="181"/>
    </row>
    <row r="256" spans="1:36" s="1277" customFormat="1">
      <c r="A256" s="181"/>
      <c r="B256" s="181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  <c r="AA256" s="181"/>
      <c r="AB256" s="181"/>
      <c r="AC256" s="181"/>
      <c r="AD256" s="181"/>
      <c r="AE256" s="181"/>
      <c r="AF256" s="181"/>
      <c r="AG256" s="181"/>
      <c r="AH256" s="181"/>
      <c r="AI256" s="181"/>
      <c r="AJ256" s="181"/>
    </row>
    <row r="257" spans="1:36" s="1277" customFormat="1">
      <c r="A257" s="181"/>
      <c r="B257" s="181"/>
      <c r="C257" s="181"/>
      <c r="D257" s="181"/>
      <c r="E257" s="181"/>
      <c r="F257" s="181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  <c r="V257" s="181"/>
      <c r="W257" s="181"/>
      <c r="X257" s="181"/>
      <c r="Y257" s="181"/>
      <c r="Z257" s="181"/>
      <c r="AA257" s="181"/>
      <c r="AB257" s="181"/>
      <c r="AC257" s="181"/>
      <c r="AD257" s="181"/>
      <c r="AE257" s="181"/>
      <c r="AF257" s="181"/>
      <c r="AG257" s="181"/>
      <c r="AH257" s="181"/>
      <c r="AI257" s="181"/>
      <c r="AJ257" s="181"/>
    </row>
    <row r="258" spans="1:36" s="1277" customFormat="1">
      <c r="A258" s="181"/>
      <c r="B258" s="181"/>
      <c r="C258" s="181"/>
      <c r="D258" s="181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  <c r="V258" s="181"/>
      <c r="W258" s="181"/>
      <c r="X258" s="181"/>
      <c r="Y258" s="181"/>
      <c r="Z258" s="181"/>
      <c r="AA258" s="181"/>
      <c r="AB258" s="181"/>
      <c r="AC258" s="181"/>
      <c r="AD258" s="181"/>
      <c r="AE258" s="181"/>
      <c r="AF258" s="181"/>
      <c r="AG258" s="181"/>
      <c r="AH258" s="181"/>
      <c r="AI258" s="181"/>
      <c r="AJ258" s="181"/>
    </row>
    <row r="259" spans="1:36" s="1277" customFormat="1">
      <c r="A259" s="181"/>
      <c r="B259" s="181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  <c r="V259" s="181"/>
      <c r="W259" s="181"/>
      <c r="X259" s="181"/>
      <c r="Y259" s="181"/>
      <c r="Z259" s="181"/>
      <c r="AA259" s="181"/>
      <c r="AB259" s="181"/>
      <c r="AC259" s="181"/>
      <c r="AD259" s="181"/>
      <c r="AE259" s="181"/>
      <c r="AF259" s="181"/>
      <c r="AG259" s="181"/>
      <c r="AH259" s="181"/>
      <c r="AI259" s="181"/>
      <c r="AJ259" s="181"/>
    </row>
    <row r="260" spans="1:36" s="1277" customFormat="1">
      <c r="A260" s="181"/>
      <c r="B260" s="181"/>
      <c r="C260" s="181"/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  <c r="V260" s="181"/>
      <c r="W260" s="181"/>
      <c r="X260" s="181"/>
      <c r="Y260" s="181"/>
      <c r="Z260" s="181"/>
      <c r="AA260" s="181"/>
      <c r="AB260" s="181"/>
      <c r="AC260" s="181"/>
      <c r="AD260" s="181"/>
      <c r="AE260" s="181"/>
      <c r="AF260" s="181"/>
      <c r="AG260" s="181"/>
      <c r="AH260" s="181"/>
      <c r="AI260" s="181"/>
      <c r="AJ260" s="181"/>
    </row>
    <row r="261" spans="1:36" s="1277" customFormat="1">
      <c r="A261" s="181"/>
      <c r="B261" s="181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  <c r="AA261" s="181"/>
      <c r="AB261" s="181"/>
      <c r="AC261" s="181"/>
      <c r="AD261" s="181"/>
      <c r="AE261" s="181"/>
      <c r="AF261" s="181"/>
      <c r="AG261" s="181"/>
      <c r="AH261" s="181"/>
      <c r="AI261" s="181"/>
      <c r="AJ261" s="181"/>
    </row>
    <row r="262" spans="1:36" s="1277" customFormat="1">
      <c r="A262" s="181"/>
      <c r="B262" s="181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  <c r="AA262" s="181"/>
      <c r="AB262" s="181"/>
      <c r="AC262" s="181"/>
      <c r="AD262" s="181"/>
      <c r="AE262" s="181"/>
      <c r="AF262" s="181"/>
      <c r="AG262" s="181"/>
      <c r="AH262" s="181"/>
      <c r="AI262" s="181"/>
      <c r="AJ262" s="181"/>
    </row>
    <row r="263" spans="1:36" s="1277" customFormat="1">
      <c r="A263" s="181"/>
      <c r="B263" s="181"/>
      <c r="C263" s="181"/>
      <c r="D263" s="181"/>
      <c r="E263" s="181"/>
      <c r="F263" s="181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  <c r="V263" s="181"/>
      <c r="W263" s="181"/>
      <c r="X263" s="181"/>
      <c r="Y263" s="181"/>
      <c r="Z263" s="181"/>
      <c r="AA263" s="181"/>
      <c r="AB263" s="181"/>
      <c r="AC263" s="181"/>
      <c r="AD263" s="181"/>
      <c r="AE263" s="181"/>
      <c r="AF263" s="181"/>
      <c r="AG263" s="181"/>
      <c r="AH263" s="181"/>
      <c r="AI263" s="181"/>
      <c r="AJ263" s="181"/>
    </row>
    <row r="264" spans="1:36" s="1277" customFormat="1">
      <c r="A264" s="181"/>
      <c r="B264" s="181"/>
      <c r="C264" s="181"/>
      <c r="D264" s="181"/>
      <c r="E264" s="181"/>
      <c r="F264" s="181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  <c r="V264" s="181"/>
      <c r="W264" s="181"/>
      <c r="X264" s="181"/>
      <c r="Y264" s="181"/>
      <c r="Z264" s="181"/>
      <c r="AA264" s="181"/>
      <c r="AB264" s="181"/>
      <c r="AC264" s="181"/>
      <c r="AD264" s="181"/>
      <c r="AE264" s="181"/>
      <c r="AF264" s="181"/>
      <c r="AG264" s="181"/>
      <c r="AH264" s="181"/>
      <c r="AI264" s="181"/>
      <c r="AJ264" s="181"/>
    </row>
    <row r="265" spans="1:36" s="1277" customFormat="1">
      <c r="A265" s="181"/>
      <c r="B265" s="181"/>
      <c r="C265" s="181"/>
      <c r="D265" s="181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  <c r="V265" s="181"/>
      <c r="W265" s="181"/>
      <c r="X265" s="181"/>
      <c r="Y265" s="181"/>
      <c r="Z265" s="181"/>
      <c r="AA265" s="181"/>
      <c r="AB265" s="181"/>
      <c r="AC265" s="181"/>
      <c r="AD265" s="181"/>
      <c r="AE265" s="181"/>
      <c r="AF265" s="181"/>
      <c r="AG265" s="181"/>
      <c r="AH265" s="181"/>
      <c r="AI265" s="181"/>
      <c r="AJ265" s="181"/>
    </row>
    <row r="266" spans="1:36" s="1277" customFormat="1">
      <c r="A266" s="181"/>
      <c r="B266" s="181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  <c r="AA266" s="181"/>
      <c r="AB266" s="181"/>
      <c r="AC266" s="181"/>
      <c r="AD266" s="181"/>
      <c r="AE266" s="181"/>
      <c r="AF266" s="181"/>
      <c r="AG266" s="181"/>
      <c r="AH266" s="181"/>
      <c r="AI266" s="181"/>
      <c r="AJ266" s="181"/>
    </row>
    <row r="267" spans="1:36" s="1277" customFormat="1"/>
    <row r="268" spans="1:36" s="1277" customFormat="1"/>
    <row r="269" spans="1:36" s="1277" customFormat="1"/>
    <row r="270" spans="1:36" s="1277" customFormat="1"/>
    <row r="271" spans="1:36" s="1277" customFormat="1"/>
    <row r="272" spans="1:36" s="1277" customFormat="1"/>
    <row r="273" s="1277" customFormat="1"/>
    <row r="274" s="1277" customFormat="1"/>
    <row r="275" s="1277" customFormat="1"/>
    <row r="276" s="1277" customFormat="1"/>
    <row r="277" s="1277" customFormat="1"/>
    <row r="278" s="1277" customFormat="1"/>
    <row r="279" s="1277" customFormat="1"/>
    <row r="280" s="1277" customFormat="1"/>
    <row r="281" s="1277" customFormat="1"/>
    <row r="282" s="1277" customFormat="1"/>
    <row r="283" s="1277" customFormat="1"/>
    <row r="284" s="1277" customFormat="1"/>
    <row r="285" s="1277" customFormat="1"/>
    <row r="286" s="1277" customFormat="1"/>
    <row r="287" s="1277" customFormat="1"/>
    <row r="288" s="1277" customFormat="1"/>
    <row r="289" s="1277" customFormat="1"/>
    <row r="290" s="1277" customFormat="1"/>
    <row r="291" s="1277" customFormat="1"/>
    <row r="292" s="1277" customFormat="1"/>
    <row r="293" s="1277" customFormat="1"/>
    <row r="294" s="1277" customFormat="1"/>
    <row r="295" s="1277" customFormat="1"/>
    <row r="296" s="1277" customFormat="1"/>
    <row r="297" s="1277" customFormat="1"/>
    <row r="298" s="1277" customFormat="1"/>
    <row r="299" s="1277" customFormat="1"/>
    <row r="300" s="1277" customFormat="1"/>
    <row r="301" s="1277" customFormat="1"/>
    <row r="302" s="1277" customFormat="1"/>
    <row r="303" s="1277" customFormat="1"/>
    <row r="304" s="1277" customFormat="1"/>
    <row r="305" s="1277" customFormat="1"/>
    <row r="306" s="1277" customFormat="1"/>
    <row r="307" s="1277" customFormat="1"/>
    <row r="308" s="1277" customFormat="1"/>
    <row r="309" s="1277" customFormat="1"/>
    <row r="310" s="1277" customFormat="1"/>
    <row r="311" s="1277" customFormat="1"/>
    <row r="312" s="1277" customFormat="1"/>
    <row r="313" s="1277" customFormat="1"/>
    <row r="314" s="1277" customFormat="1"/>
    <row r="315" s="1277" customFormat="1"/>
    <row r="316" s="1277" customFormat="1"/>
    <row r="317" s="1277" customFormat="1"/>
    <row r="318" s="1277" customFormat="1"/>
    <row r="319" s="1277" customFormat="1"/>
    <row r="320" s="1277" customFormat="1"/>
    <row r="321" s="1277" customFormat="1"/>
    <row r="322" s="1277" customFormat="1"/>
    <row r="323" s="1277" customFormat="1"/>
    <row r="324" s="1277" customFormat="1"/>
    <row r="325" s="1277" customFormat="1"/>
    <row r="326" s="1277" customFormat="1"/>
    <row r="327" s="1277" customFormat="1"/>
    <row r="328" s="1277" customFormat="1"/>
    <row r="329" s="1277" customFormat="1"/>
    <row r="330" s="1277" customFormat="1"/>
    <row r="331" s="1277" customFormat="1"/>
    <row r="332" s="1277" customFormat="1"/>
    <row r="333" s="1277" customFormat="1"/>
    <row r="334" s="1277" customFormat="1"/>
    <row r="335" s="1277" customFormat="1"/>
    <row r="336" s="1277" customFormat="1"/>
    <row r="337" s="1277" customFormat="1"/>
    <row r="338" s="1277" customFormat="1"/>
    <row r="339" s="1277" customFormat="1"/>
    <row r="340" s="1277" customFormat="1"/>
    <row r="341" s="1277" customFormat="1"/>
    <row r="342" s="1277" customFormat="1"/>
    <row r="343" s="1277" customFormat="1"/>
    <row r="344" s="1277" customFormat="1"/>
    <row r="345" s="1277" customFormat="1"/>
    <row r="346" s="1277" customFormat="1"/>
    <row r="347" s="1277" customFormat="1"/>
    <row r="348" s="1277" customFormat="1"/>
    <row r="349" s="1277" customFormat="1"/>
    <row r="350" s="1277" customFormat="1"/>
    <row r="351" s="1277" customFormat="1"/>
    <row r="352" s="1277" customFormat="1"/>
    <row r="353" spans="1:36" s="1277" customFormat="1"/>
    <row r="354" spans="1:36" s="1277" customFormat="1"/>
    <row r="355" spans="1:36" s="1277" customFormat="1"/>
    <row r="356" spans="1:36" s="1277" customFormat="1">
      <c r="A356" s="181"/>
      <c r="B356" s="181"/>
      <c r="C356" s="181"/>
      <c r="D356" s="181"/>
      <c r="E356" s="181"/>
      <c r="F356" s="181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  <c r="V356" s="181"/>
      <c r="W356" s="181"/>
      <c r="X356" s="181"/>
      <c r="Y356" s="181"/>
      <c r="Z356" s="181"/>
      <c r="AA356" s="181"/>
      <c r="AB356" s="181"/>
      <c r="AC356" s="181"/>
      <c r="AD356" s="181"/>
      <c r="AE356" s="181"/>
      <c r="AF356" s="181"/>
      <c r="AG356" s="181"/>
      <c r="AH356" s="181"/>
      <c r="AI356" s="181"/>
      <c r="AJ356" s="181"/>
    </row>
    <row r="357" spans="1:36" s="1277" customFormat="1">
      <c r="A357" s="181"/>
      <c r="B357" s="181"/>
      <c r="C357" s="181"/>
      <c r="D357" s="181"/>
      <c r="E357" s="181"/>
      <c r="F357" s="181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  <c r="V357" s="181"/>
      <c r="W357" s="181"/>
      <c r="X357" s="181"/>
      <c r="Y357" s="181"/>
      <c r="Z357" s="181"/>
      <c r="AA357" s="181"/>
      <c r="AB357" s="181"/>
      <c r="AC357" s="181"/>
      <c r="AD357" s="181"/>
      <c r="AE357" s="181"/>
      <c r="AF357" s="181"/>
      <c r="AG357" s="181"/>
      <c r="AH357" s="181"/>
      <c r="AI357" s="181"/>
      <c r="AJ357" s="181"/>
    </row>
    <row r="358" spans="1:36" s="1277" customFormat="1">
      <c r="A358" s="181"/>
      <c r="B358" s="181"/>
      <c r="C358" s="181"/>
      <c r="D358" s="181"/>
      <c r="E358" s="181"/>
      <c r="F358" s="181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  <c r="V358" s="181"/>
      <c r="W358" s="181"/>
      <c r="X358" s="181"/>
      <c r="Y358" s="181"/>
      <c r="Z358" s="181"/>
      <c r="AA358" s="181"/>
      <c r="AB358" s="181"/>
      <c r="AC358" s="181"/>
      <c r="AD358" s="181"/>
      <c r="AE358" s="181"/>
      <c r="AF358" s="181"/>
      <c r="AG358" s="181"/>
      <c r="AH358" s="181"/>
      <c r="AI358" s="181"/>
      <c r="AJ358" s="181"/>
    </row>
    <row r="359" spans="1:36" s="1277" customFormat="1">
      <c r="A359" s="181"/>
      <c r="B359" s="181"/>
      <c r="C359" s="181"/>
      <c r="D359" s="181"/>
      <c r="E359" s="181"/>
      <c r="F359" s="181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  <c r="V359" s="181"/>
      <c r="W359" s="181"/>
      <c r="X359" s="181"/>
      <c r="Y359" s="181"/>
      <c r="Z359" s="181"/>
      <c r="AA359" s="181"/>
      <c r="AB359" s="181"/>
      <c r="AC359" s="181"/>
      <c r="AD359" s="181"/>
      <c r="AE359" s="181"/>
      <c r="AF359" s="181"/>
      <c r="AG359" s="181"/>
      <c r="AH359" s="181"/>
      <c r="AI359" s="181"/>
      <c r="AJ359" s="181"/>
    </row>
    <row r="360" spans="1:36" s="1277" customFormat="1">
      <c r="A360" s="181"/>
      <c r="B360" s="181"/>
      <c r="C360" s="181"/>
      <c r="D360" s="181"/>
      <c r="E360" s="181"/>
      <c r="F360" s="181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  <c r="V360" s="181"/>
      <c r="W360" s="181"/>
      <c r="X360" s="181"/>
      <c r="Y360" s="181"/>
      <c r="Z360" s="181"/>
      <c r="AA360" s="181"/>
      <c r="AB360" s="181"/>
      <c r="AC360" s="181"/>
      <c r="AD360" s="181"/>
      <c r="AE360" s="181"/>
      <c r="AF360" s="181"/>
      <c r="AG360" s="181"/>
      <c r="AH360" s="181"/>
      <c r="AI360" s="181"/>
      <c r="AJ360" s="181"/>
    </row>
    <row r="361" spans="1:36" s="1277" customFormat="1">
      <c r="A361" s="181"/>
      <c r="B361" s="181"/>
      <c r="C361" s="181"/>
      <c r="D361" s="181"/>
      <c r="E361" s="181"/>
      <c r="F361" s="181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  <c r="V361" s="181"/>
      <c r="W361" s="181"/>
      <c r="X361" s="181"/>
      <c r="Y361" s="181"/>
      <c r="Z361" s="181"/>
      <c r="AA361" s="181"/>
      <c r="AB361" s="181"/>
      <c r="AC361" s="181"/>
      <c r="AD361" s="181"/>
      <c r="AE361" s="181"/>
      <c r="AF361" s="181"/>
      <c r="AG361" s="181"/>
      <c r="AH361" s="181"/>
      <c r="AI361" s="181"/>
      <c r="AJ361" s="181"/>
    </row>
    <row r="362" spans="1:36" s="1277" customFormat="1">
      <c r="A362" s="181"/>
      <c r="B362" s="181"/>
      <c r="C362" s="181"/>
      <c r="D362" s="181"/>
      <c r="E362" s="181"/>
      <c r="F362" s="181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  <c r="V362" s="181"/>
      <c r="W362" s="181"/>
      <c r="X362" s="181"/>
      <c r="Y362" s="181"/>
      <c r="Z362" s="181"/>
      <c r="AA362" s="181"/>
      <c r="AB362" s="181"/>
      <c r="AC362" s="181"/>
      <c r="AD362" s="181"/>
      <c r="AE362" s="181"/>
      <c r="AF362" s="181"/>
      <c r="AG362" s="181"/>
      <c r="AH362" s="181"/>
      <c r="AI362" s="181"/>
      <c r="AJ362" s="181"/>
    </row>
    <row r="363" spans="1:36" s="1277" customFormat="1">
      <c r="A363" s="181"/>
      <c r="B363" s="181"/>
      <c r="C363" s="181"/>
      <c r="D363" s="181"/>
      <c r="E363" s="181"/>
      <c r="F363" s="181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  <c r="V363" s="181"/>
      <c r="W363" s="181"/>
      <c r="X363" s="181"/>
      <c r="Y363" s="181"/>
      <c r="Z363" s="181"/>
      <c r="AA363" s="181"/>
      <c r="AB363" s="181"/>
      <c r="AC363" s="181"/>
      <c r="AD363" s="181"/>
      <c r="AE363" s="181"/>
      <c r="AF363" s="181"/>
      <c r="AG363" s="181"/>
      <c r="AH363" s="181"/>
      <c r="AI363" s="181"/>
      <c r="AJ363" s="181"/>
    </row>
    <row r="364" spans="1:36" s="1277" customFormat="1">
      <c r="A364" s="181"/>
      <c r="B364" s="181"/>
      <c r="C364" s="181"/>
      <c r="D364" s="181"/>
      <c r="E364" s="181"/>
      <c r="F364" s="181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  <c r="V364" s="181"/>
      <c r="W364" s="181"/>
      <c r="X364" s="181"/>
      <c r="Y364" s="181"/>
      <c r="Z364" s="181"/>
      <c r="AA364" s="181"/>
      <c r="AB364" s="181"/>
      <c r="AC364" s="181"/>
      <c r="AD364" s="181"/>
      <c r="AE364" s="181"/>
      <c r="AF364" s="181"/>
      <c r="AG364" s="181"/>
      <c r="AH364" s="181"/>
      <c r="AI364" s="181"/>
      <c r="AJ364" s="181"/>
    </row>
    <row r="365" spans="1:36" s="1277" customFormat="1">
      <c r="A365" s="181"/>
      <c r="B365" s="181"/>
      <c r="C365" s="181"/>
      <c r="D365" s="181"/>
      <c r="E365" s="181"/>
      <c r="F365" s="181"/>
      <c r="G365" s="181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  <c r="V365" s="181"/>
      <c r="W365" s="181"/>
      <c r="X365" s="181"/>
      <c r="Y365" s="181"/>
      <c r="Z365" s="181"/>
      <c r="AA365" s="181"/>
      <c r="AB365" s="181"/>
      <c r="AC365" s="181"/>
      <c r="AD365" s="181"/>
      <c r="AE365" s="181"/>
      <c r="AF365" s="181"/>
      <c r="AG365" s="181"/>
      <c r="AH365" s="181"/>
      <c r="AI365" s="181"/>
      <c r="AJ365" s="181"/>
    </row>
    <row r="366" spans="1:36" s="1277" customFormat="1">
      <c r="A366" s="181"/>
      <c r="B366" s="181"/>
      <c r="C366" s="181"/>
      <c r="D366" s="181"/>
      <c r="E366" s="181"/>
      <c r="F366" s="181"/>
      <c r="G366" s="181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  <c r="V366" s="181"/>
      <c r="W366" s="181"/>
      <c r="X366" s="181"/>
      <c r="Y366" s="181"/>
      <c r="Z366" s="181"/>
      <c r="AA366" s="181"/>
      <c r="AB366" s="181"/>
      <c r="AC366" s="181"/>
      <c r="AD366" s="181"/>
      <c r="AE366" s="181"/>
      <c r="AF366" s="181"/>
      <c r="AG366" s="181"/>
      <c r="AH366" s="181"/>
      <c r="AI366" s="181"/>
      <c r="AJ366" s="181"/>
    </row>
    <row r="367" spans="1:36" s="1277" customFormat="1">
      <c r="A367" s="181"/>
      <c r="B367" s="181"/>
      <c r="C367" s="181"/>
      <c r="D367" s="181"/>
      <c r="E367" s="181"/>
      <c r="F367" s="181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  <c r="V367" s="181"/>
      <c r="W367" s="181"/>
      <c r="X367" s="181"/>
      <c r="Y367" s="181"/>
      <c r="Z367" s="181"/>
      <c r="AA367" s="181"/>
      <c r="AB367" s="181"/>
      <c r="AC367" s="181"/>
      <c r="AD367" s="181"/>
      <c r="AE367" s="181"/>
      <c r="AF367" s="181"/>
      <c r="AG367" s="181"/>
      <c r="AH367" s="181"/>
      <c r="AI367" s="181"/>
      <c r="AJ367" s="181"/>
    </row>
    <row r="368" spans="1:36" s="1277" customFormat="1">
      <c r="A368" s="181"/>
      <c r="B368" s="181"/>
      <c r="C368" s="181"/>
      <c r="D368" s="181"/>
      <c r="E368" s="181"/>
      <c r="F368" s="181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  <c r="V368" s="181"/>
      <c r="W368" s="181"/>
      <c r="X368" s="181"/>
      <c r="Y368" s="181"/>
      <c r="Z368" s="181"/>
      <c r="AA368" s="181"/>
      <c r="AB368" s="181"/>
      <c r="AC368" s="181"/>
      <c r="AD368" s="181"/>
      <c r="AE368" s="181"/>
      <c r="AF368" s="181"/>
      <c r="AG368" s="181"/>
      <c r="AH368" s="181"/>
      <c r="AI368" s="181"/>
      <c r="AJ368" s="181"/>
    </row>
    <row r="369" spans="1:36" s="1277" customFormat="1">
      <c r="A369" s="181"/>
      <c r="B369" s="181"/>
      <c r="C369" s="181"/>
      <c r="D369" s="181"/>
      <c r="E369" s="181"/>
      <c r="F369" s="181"/>
      <c r="G369" s="181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  <c r="V369" s="181"/>
      <c r="W369" s="181"/>
      <c r="X369" s="181"/>
      <c r="Y369" s="181"/>
      <c r="Z369" s="181"/>
      <c r="AA369" s="181"/>
      <c r="AB369" s="181"/>
      <c r="AC369" s="181"/>
      <c r="AD369" s="181"/>
      <c r="AE369" s="181"/>
      <c r="AF369" s="181"/>
      <c r="AG369" s="181"/>
      <c r="AH369" s="181"/>
      <c r="AI369" s="181"/>
      <c r="AJ369" s="181"/>
    </row>
    <row r="370" spans="1:36" s="1277" customFormat="1">
      <c r="A370" s="181"/>
      <c r="B370" s="181"/>
      <c r="C370" s="181"/>
      <c r="D370" s="181"/>
      <c r="E370" s="181"/>
      <c r="F370" s="181"/>
      <c r="G370" s="181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  <c r="V370" s="181"/>
      <c r="W370" s="181"/>
      <c r="X370" s="181"/>
      <c r="Y370" s="181"/>
      <c r="Z370" s="181"/>
      <c r="AA370" s="181"/>
      <c r="AB370" s="181"/>
      <c r="AC370" s="181"/>
      <c r="AD370" s="181"/>
      <c r="AE370" s="181"/>
      <c r="AF370" s="181"/>
      <c r="AG370" s="181"/>
      <c r="AH370" s="181"/>
      <c r="AI370" s="181"/>
      <c r="AJ370" s="181"/>
    </row>
    <row r="371" spans="1:36" s="1277" customFormat="1">
      <c r="A371" s="181"/>
      <c r="B371" s="181"/>
      <c r="C371" s="181"/>
      <c r="D371" s="181"/>
      <c r="E371" s="181"/>
      <c r="F371" s="181"/>
      <c r="G371" s="181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  <c r="V371" s="181"/>
      <c r="W371" s="181"/>
      <c r="X371" s="181"/>
      <c r="Y371" s="181"/>
      <c r="Z371" s="181"/>
      <c r="AA371" s="181"/>
      <c r="AB371" s="181"/>
      <c r="AC371" s="181"/>
      <c r="AD371" s="181"/>
      <c r="AE371" s="181"/>
      <c r="AF371" s="181"/>
      <c r="AG371" s="181"/>
      <c r="AH371" s="181"/>
      <c r="AI371" s="181"/>
      <c r="AJ371" s="181"/>
    </row>
    <row r="372" spans="1:36" s="1277" customFormat="1">
      <c r="A372" s="181"/>
      <c r="B372" s="181"/>
      <c r="C372" s="181"/>
      <c r="D372" s="181"/>
      <c r="E372" s="181"/>
      <c r="F372" s="181"/>
      <c r="G372" s="181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  <c r="V372" s="181"/>
      <c r="W372" s="181"/>
      <c r="X372" s="181"/>
      <c r="Y372" s="181"/>
      <c r="Z372" s="181"/>
      <c r="AA372" s="181"/>
      <c r="AB372" s="181"/>
      <c r="AC372" s="181"/>
      <c r="AD372" s="181"/>
      <c r="AE372" s="181"/>
      <c r="AF372" s="181"/>
      <c r="AG372" s="181"/>
      <c r="AH372" s="181"/>
      <c r="AI372" s="181"/>
      <c r="AJ372" s="181"/>
    </row>
    <row r="373" spans="1:36" s="1277" customFormat="1">
      <c r="A373" s="181"/>
      <c r="B373" s="181"/>
      <c r="C373" s="181"/>
      <c r="D373" s="181"/>
      <c r="E373" s="181"/>
      <c r="F373" s="181"/>
      <c r="G373" s="181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  <c r="V373" s="181"/>
      <c r="W373" s="181"/>
      <c r="X373" s="181"/>
      <c r="Y373" s="181"/>
      <c r="Z373" s="181"/>
      <c r="AA373" s="181"/>
      <c r="AB373" s="181"/>
      <c r="AC373" s="181"/>
      <c r="AD373" s="181"/>
      <c r="AE373" s="181"/>
      <c r="AF373" s="181"/>
      <c r="AG373" s="181"/>
      <c r="AH373" s="181"/>
      <c r="AI373" s="181"/>
      <c r="AJ373" s="181"/>
    </row>
    <row r="374" spans="1:36" s="1277" customFormat="1">
      <c r="A374" s="181"/>
      <c r="B374" s="181"/>
      <c r="C374" s="181"/>
      <c r="D374" s="181"/>
      <c r="E374" s="181"/>
      <c r="F374" s="181"/>
      <c r="G374" s="181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  <c r="V374" s="181"/>
      <c r="W374" s="181"/>
      <c r="X374" s="181"/>
      <c r="Y374" s="181"/>
      <c r="Z374" s="181"/>
      <c r="AA374" s="181"/>
      <c r="AB374" s="181"/>
      <c r="AC374" s="181"/>
      <c r="AD374" s="181"/>
      <c r="AE374" s="181"/>
      <c r="AF374" s="181"/>
      <c r="AG374" s="181"/>
      <c r="AH374" s="181"/>
      <c r="AI374" s="181"/>
      <c r="AJ374" s="181"/>
    </row>
    <row r="375" spans="1:36" s="1277" customFormat="1">
      <c r="A375" s="181"/>
      <c r="B375" s="181"/>
      <c r="C375" s="181"/>
      <c r="D375" s="181"/>
      <c r="E375" s="181"/>
      <c r="F375" s="181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  <c r="V375" s="181"/>
      <c r="W375" s="181"/>
      <c r="X375" s="181"/>
      <c r="Y375" s="181"/>
      <c r="Z375" s="181"/>
      <c r="AA375" s="181"/>
      <c r="AB375" s="181"/>
      <c r="AC375" s="181"/>
      <c r="AD375" s="181"/>
      <c r="AE375" s="181"/>
      <c r="AF375" s="181"/>
      <c r="AG375" s="181"/>
      <c r="AH375" s="181"/>
      <c r="AI375" s="181"/>
      <c r="AJ375" s="181"/>
    </row>
    <row r="376" spans="1:36" s="1277" customFormat="1">
      <c r="A376" s="181"/>
      <c r="B376" s="181"/>
      <c r="C376" s="181"/>
      <c r="D376" s="181"/>
      <c r="E376" s="181"/>
      <c r="F376" s="181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  <c r="V376" s="181"/>
      <c r="W376" s="181"/>
      <c r="X376" s="181"/>
      <c r="Y376" s="181"/>
      <c r="Z376" s="181"/>
      <c r="AA376" s="181"/>
      <c r="AB376" s="181"/>
      <c r="AC376" s="181"/>
      <c r="AD376" s="181"/>
      <c r="AE376" s="181"/>
      <c r="AF376" s="181"/>
      <c r="AG376" s="181"/>
      <c r="AH376" s="181"/>
      <c r="AI376" s="181"/>
      <c r="AJ376" s="181"/>
    </row>
    <row r="377" spans="1:36" s="1277" customFormat="1">
      <c r="A377" s="181"/>
      <c r="B377" s="181"/>
      <c r="C377" s="181"/>
      <c r="D377" s="181"/>
      <c r="E377" s="181"/>
      <c r="F377" s="181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  <c r="V377" s="181"/>
      <c r="W377" s="181"/>
      <c r="X377" s="181"/>
      <c r="Y377" s="181"/>
      <c r="Z377" s="181"/>
      <c r="AA377" s="181"/>
      <c r="AB377" s="181"/>
      <c r="AC377" s="181"/>
      <c r="AD377" s="181"/>
      <c r="AE377" s="181"/>
      <c r="AF377" s="181"/>
      <c r="AG377" s="181"/>
      <c r="AH377" s="181"/>
      <c r="AI377" s="181"/>
      <c r="AJ377" s="181"/>
    </row>
    <row r="378" spans="1:36" s="1277" customFormat="1">
      <c r="A378" s="181"/>
      <c r="B378" s="181"/>
      <c r="C378" s="181"/>
      <c r="D378" s="181"/>
      <c r="E378" s="181"/>
      <c r="F378" s="181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  <c r="V378" s="181"/>
      <c r="W378" s="181"/>
      <c r="X378" s="181"/>
      <c r="Y378" s="181"/>
      <c r="Z378" s="181"/>
      <c r="AA378" s="181"/>
      <c r="AB378" s="181"/>
      <c r="AC378" s="181"/>
      <c r="AD378" s="181"/>
      <c r="AE378" s="181"/>
      <c r="AF378" s="181"/>
      <c r="AG378" s="181"/>
      <c r="AH378" s="181"/>
      <c r="AI378" s="181"/>
      <c r="AJ378" s="181"/>
    </row>
    <row r="379" spans="1:36" s="1277" customFormat="1">
      <c r="A379" s="181"/>
      <c r="B379" s="181"/>
      <c r="C379" s="181"/>
      <c r="D379" s="181"/>
      <c r="E379" s="181"/>
      <c r="F379" s="181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  <c r="V379" s="181"/>
      <c r="W379" s="181"/>
      <c r="X379" s="181"/>
      <c r="Y379" s="181"/>
      <c r="Z379" s="181"/>
      <c r="AA379" s="181"/>
      <c r="AB379" s="181"/>
      <c r="AC379" s="181"/>
      <c r="AD379" s="181"/>
      <c r="AE379" s="181"/>
      <c r="AF379" s="181"/>
      <c r="AG379" s="181"/>
      <c r="AH379" s="181"/>
      <c r="AI379" s="181"/>
      <c r="AJ379" s="181"/>
    </row>
    <row r="380" spans="1:36" s="1277" customFormat="1">
      <c r="A380" s="181"/>
      <c r="B380" s="181"/>
      <c r="C380" s="181"/>
      <c r="D380" s="181"/>
      <c r="E380" s="181"/>
      <c r="F380" s="181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  <c r="V380" s="181"/>
      <c r="W380" s="181"/>
      <c r="X380" s="181"/>
      <c r="Y380" s="181"/>
      <c r="Z380" s="181"/>
      <c r="AA380" s="181"/>
      <c r="AB380" s="181"/>
      <c r="AC380" s="181"/>
      <c r="AD380" s="181"/>
      <c r="AE380" s="181"/>
      <c r="AF380" s="181"/>
      <c r="AG380" s="181"/>
      <c r="AH380" s="181"/>
      <c r="AI380" s="181"/>
      <c r="AJ380" s="181"/>
    </row>
    <row r="381" spans="1:36" s="1277" customFormat="1"/>
    <row r="382" spans="1:36" s="1277" customFormat="1"/>
    <row r="383" spans="1:36" s="1277" customFormat="1"/>
    <row r="384" spans="1:36" s="1277" customFormat="1"/>
    <row r="385" s="1277" customFormat="1"/>
    <row r="386" s="1277" customFormat="1"/>
    <row r="387" s="1277" customFormat="1"/>
    <row r="388" s="1277" customFormat="1"/>
    <row r="389" s="1277" customFormat="1"/>
    <row r="390" s="1277" customFormat="1"/>
    <row r="391" s="1277" customFormat="1"/>
    <row r="392" s="1277" customFormat="1"/>
    <row r="393" s="1277" customFormat="1"/>
    <row r="394" s="1277" customFormat="1"/>
    <row r="395" s="1277" customFormat="1"/>
    <row r="396" s="1277" customFormat="1"/>
    <row r="397" s="1277" customFormat="1"/>
    <row r="398" s="1277" customFormat="1"/>
    <row r="399" s="1277" customFormat="1"/>
    <row r="400" s="1277" customFormat="1"/>
    <row r="401" spans="28:28" s="1277" customFormat="1"/>
    <row r="402" spans="28:28" s="1277" customFormat="1"/>
    <row r="403" spans="28:28" s="1277" customFormat="1"/>
    <row r="404" spans="28:28" s="1277" customFormat="1"/>
    <row r="405" spans="28:28" s="1277" customFormat="1"/>
    <row r="406" spans="28:28" s="1277" customFormat="1">
      <c r="AB406" s="65"/>
    </row>
    <row r="407" spans="28:28" s="1277" customFormat="1"/>
    <row r="408" spans="28:28" s="1277" customFormat="1"/>
    <row r="409" spans="28:28" s="1277" customFormat="1"/>
    <row r="410" spans="28:28" s="1277" customFormat="1"/>
    <row r="411" spans="28:28" s="1277" customFormat="1"/>
    <row r="412" spans="28:28" s="1277" customFormat="1"/>
    <row r="413" spans="28:28" s="1277" customFormat="1"/>
    <row r="414" spans="28:28" s="1277" customFormat="1"/>
    <row r="415" spans="28:28" s="1277" customFormat="1"/>
    <row r="416" spans="28:28" s="1277" customFormat="1"/>
    <row r="417" s="1277" customFormat="1"/>
    <row r="418" s="1277" customFormat="1"/>
    <row r="419" s="1277" customFormat="1"/>
    <row r="420" s="1277" customFormat="1"/>
    <row r="421" s="1277" customFormat="1"/>
    <row r="422" s="1277" customFormat="1"/>
    <row r="423" s="1277" customFormat="1"/>
    <row r="424" s="1277" customFormat="1"/>
    <row r="425" s="1277" customFormat="1"/>
    <row r="426" s="1277" customFormat="1"/>
    <row r="427" s="1277" customFormat="1"/>
    <row r="428" s="1277" customFormat="1"/>
    <row r="429" s="1277" customFormat="1"/>
    <row r="430" s="1277" customFormat="1"/>
    <row r="431" s="1277" customFormat="1"/>
    <row r="432" s="1277" customFormat="1"/>
    <row r="433" s="1277" customFormat="1"/>
    <row r="434" s="1277" customFormat="1"/>
    <row r="435" s="1277" customFormat="1"/>
  </sheetData>
  <mergeCells count="1">
    <mergeCell ref="A1:I1"/>
  </mergeCells>
  <hyperlinks>
    <hyperlink ref="A1:I1" location="Главная!A1" display="Вернуться на главную страницу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rgb="FFFF0000"/>
  </sheetPr>
  <dimension ref="A1:W44"/>
  <sheetViews>
    <sheetView zoomScale="80" zoomScaleNormal="80" workbookViewId="0">
      <selection activeCell="C40" sqref="C40:W44"/>
    </sheetView>
  </sheetViews>
  <sheetFormatPr defaultColWidth="9.140625" defaultRowHeight="15"/>
  <cols>
    <col min="1" max="16384" width="9.140625" style="17"/>
  </cols>
  <sheetData>
    <row r="1" spans="1:7" ht="22.5" customHeight="1">
      <c r="A1" s="2074" t="s">
        <v>9</v>
      </c>
      <c r="B1" s="2074"/>
      <c r="C1" s="2074"/>
      <c r="D1" s="2074"/>
      <c r="E1" s="2074"/>
      <c r="F1" s="2074"/>
      <c r="G1" s="2074"/>
    </row>
    <row r="3" spans="1:7" ht="15.75" customHeight="1"/>
    <row r="5" spans="1:7">
      <c r="B5" s="67"/>
    </row>
    <row r="6" spans="1:7">
      <c r="B6" s="67"/>
    </row>
    <row r="7" spans="1:7">
      <c r="B7" s="67"/>
    </row>
    <row r="8" spans="1:7">
      <c r="B8" s="67"/>
    </row>
    <row r="9" spans="1:7">
      <c r="B9" s="67"/>
    </row>
    <row r="10" spans="1:7">
      <c r="B10" s="67"/>
    </row>
    <row r="11" spans="1:7">
      <c r="B11" s="67"/>
    </row>
    <row r="12" spans="1:7">
      <c r="B12" s="67"/>
    </row>
    <row r="13" spans="1:7">
      <c r="B13" s="67"/>
    </row>
    <row r="14" spans="1:7">
      <c r="B14" s="67"/>
    </row>
    <row r="15" spans="1:7">
      <c r="B15" s="67"/>
    </row>
    <row r="16" spans="1:7">
      <c r="B16" s="67"/>
    </row>
    <row r="17" spans="2:2">
      <c r="B17" s="67"/>
    </row>
    <row r="18" spans="2:2">
      <c r="B18" s="67"/>
    </row>
    <row r="19" spans="2:2">
      <c r="B19" s="67"/>
    </row>
    <row r="20" spans="2:2">
      <c r="B20" s="67"/>
    </row>
    <row r="21" spans="2:2">
      <c r="B21" s="67"/>
    </row>
    <row r="22" spans="2:2">
      <c r="B22" s="67"/>
    </row>
    <row r="23" spans="2:2">
      <c r="B23" s="67"/>
    </row>
    <row r="39" spans="3:23" ht="15.75" thickBot="1"/>
    <row r="40" spans="3:23">
      <c r="C40" s="2075"/>
      <c r="D40" s="2076"/>
      <c r="E40" s="2076"/>
      <c r="F40" s="2076"/>
      <c r="G40" s="2076"/>
      <c r="H40" s="2076"/>
      <c r="I40" s="2076"/>
      <c r="J40" s="2076"/>
      <c r="K40" s="2076"/>
      <c r="L40" s="2076"/>
      <c r="M40" s="2076"/>
      <c r="N40" s="2076"/>
      <c r="O40" s="2076"/>
      <c r="P40" s="2076"/>
      <c r="Q40" s="2076"/>
      <c r="R40" s="2076"/>
      <c r="S40" s="2076"/>
      <c r="T40" s="2076"/>
      <c r="U40" s="2076"/>
      <c r="V40" s="2076"/>
      <c r="W40" s="2077"/>
    </row>
    <row r="41" spans="3:23">
      <c r="C41" s="2078"/>
      <c r="D41" s="2079"/>
      <c r="E41" s="2079"/>
      <c r="F41" s="2079"/>
      <c r="G41" s="2079"/>
      <c r="H41" s="2079"/>
      <c r="I41" s="2079"/>
      <c r="J41" s="2079"/>
      <c r="K41" s="2079"/>
      <c r="L41" s="2079"/>
      <c r="M41" s="2079"/>
      <c r="N41" s="2079"/>
      <c r="O41" s="2079"/>
      <c r="P41" s="2079"/>
      <c r="Q41" s="2079"/>
      <c r="R41" s="2079"/>
      <c r="S41" s="2079"/>
      <c r="T41" s="2079"/>
      <c r="U41" s="2079"/>
      <c r="V41" s="2079"/>
      <c r="W41" s="2080"/>
    </row>
    <row r="42" spans="3:23">
      <c r="C42" s="2078"/>
      <c r="D42" s="2079"/>
      <c r="E42" s="2079"/>
      <c r="F42" s="2079"/>
      <c r="G42" s="2079"/>
      <c r="H42" s="2079"/>
      <c r="I42" s="2079"/>
      <c r="J42" s="2079"/>
      <c r="K42" s="2079"/>
      <c r="L42" s="2079"/>
      <c r="M42" s="2079"/>
      <c r="N42" s="2079"/>
      <c r="O42" s="2079"/>
      <c r="P42" s="2079"/>
      <c r="Q42" s="2079"/>
      <c r="R42" s="2079"/>
      <c r="S42" s="2079"/>
      <c r="T42" s="2079"/>
      <c r="U42" s="2079"/>
      <c r="V42" s="2079"/>
      <c r="W42" s="2080"/>
    </row>
    <row r="43" spans="3:23">
      <c r="C43" s="2078"/>
      <c r="D43" s="2079"/>
      <c r="E43" s="2079"/>
      <c r="F43" s="2079"/>
      <c r="G43" s="2079"/>
      <c r="H43" s="2079"/>
      <c r="I43" s="2079"/>
      <c r="J43" s="2079"/>
      <c r="K43" s="2079"/>
      <c r="L43" s="2079"/>
      <c r="M43" s="2079"/>
      <c r="N43" s="2079"/>
      <c r="O43" s="2079"/>
      <c r="P43" s="2079"/>
      <c r="Q43" s="2079"/>
      <c r="R43" s="2079"/>
      <c r="S43" s="2079"/>
      <c r="T43" s="2079"/>
      <c r="U43" s="2079"/>
      <c r="V43" s="2079"/>
      <c r="W43" s="2080"/>
    </row>
    <row r="44" spans="3:23" ht="15.75" thickBot="1">
      <c r="C44" s="2081"/>
      <c r="D44" s="2082"/>
      <c r="E44" s="2082"/>
      <c r="F44" s="2082"/>
      <c r="G44" s="2082"/>
      <c r="H44" s="2082"/>
      <c r="I44" s="2082"/>
      <c r="J44" s="2082"/>
      <c r="K44" s="2082"/>
      <c r="L44" s="2082"/>
      <c r="M44" s="2082"/>
      <c r="N44" s="2082"/>
      <c r="O44" s="2082"/>
      <c r="P44" s="2082"/>
      <c r="Q44" s="2082"/>
      <c r="R44" s="2082"/>
      <c r="S44" s="2082"/>
      <c r="T44" s="2082"/>
      <c r="U44" s="2082"/>
      <c r="V44" s="2082"/>
      <c r="W44" s="2083"/>
    </row>
  </sheetData>
  <mergeCells count="2">
    <mergeCell ref="A1:G1"/>
    <mergeCell ref="C40:W44"/>
  </mergeCells>
  <hyperlinks>
    <hyperlink ref="A1:G1" location="Главная!A1" display="Вернуться на главную страницу" xr:uid="{00000000-0004-0000-0300-000000000000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F8BCC-3965-45E7-ACFD-621E952A8D01}">
  <sheetPr>
    <tabColor rgb="FF7030A0"/>
  </sheetPr>
  <dimension ref="A1:AMJ466"/>
  <sheetViews>
    <sheetView zoomScale="85" zoomScaleNormal="85" workbookViewId="0">
      <selection sqref="A1:I1"/>
    </sheetView>
  </sheetViews>
  <sheetFormatPr defaultColWidth="9.140625" defaultRowHeight="15.75" customHeight="1"/>
  <cols>
    <col min="1" max="1" width="9.140625" style="1903"/>
    <col min="2" max="2" width="1.7109375" style="1902" customWidth="1"/>
    <col min="3" max="8" width="12.7109375" style="1902" customWidth="1"/>
    <col min="9" max="9" width="8.85546875" style="1902" customWidth="1"/>
    <col min="10" max="10" width="7.85546875" style="1902" customWidth="1"/>
    <col min="11" max="11" width="21.42578125" style="1902" customWidth="1"/>
    <col min="12" max="12" width="8.7109375" style="1902" customWidth="1"/>
    <col min="13" max="13" width="15.42578125" style="1902" customWidth="1"/>
    <col min="14" max="14" width="14" style="1902" customWidth="1"/>
    <col min="15" max="16" width="1.7109375" style="1902" customWidth="1"/>
    <col min="17" max="25" width="9.140625" style="1902"/>
    <col min="26" max="34" width="7.42578125" style="1902" bestFit="1" customWidth="1"/>
    <col min="35" max="1024" width="9.140625" style="1902"/>
    <col min="1025" max="16384" width="9.140625" style="1903"/>
  </cols>
  <sheetData>
    <row r="1" spans="1:1024" s="1900" customFormat="1">
      <c r="A1" s="2070" t="s">
        <v>9</v>
      </c>
      <c r="B1" s="2070"/>
      <c r="C1" s="2070"/>
      <c r="D1" s="2070"/>
      <c r="E1" s="2070"/>
      <c r="F1" s="2070"/>
      <c r="G1" s="2070"/>
      <c r="H1" s="2070"/>
      <c r="I1" s="2070"/>
    </row>
    <row r="3" spans="1:1024" ht="15.75" customHeight="1">
      <c r="C3" s="2084" t="s">
        <v>7636</v>
      </c>
      <c r="D3" s="2084"/>
      <c r="E3" s="2084"/>
      <c r="F3" s="2084"/>
      <c r="G3" s="2084"/>
      <c r="H3" s="2084"/>
      <c r="I3" s="2084"/>
      <c r="J3" s="2084"/>
      <c r="K3" s="2084"/>
      <c r="L3" s="2084"/>
    </row>
    <row r="4" spans="1:1024" ht="15.75" customHeight="1">
      <c r="C4" s="2084"/>
      <c r="D4" s="2084"/>
      <c r="E4" s="2084"/>
      <c r="F4" s="2084"/>
      <c r="G4" s="2084"/>
      <c r="H4" s="2084"/>
      <c r="I4" s="2084"/>
      <c r="J4" s="2084"/>
      <c r="K4" s="2084"/>
      <c r="L4" s="2084"/>
    </row>
    <row r="5" spans="1:1024" ht="15.75" customHeight="1">
      <c r="C5" s="2084"/>
      <c r="D5" s="2084"/>
      <c r="E5" s="2084"/>
      <c r="F5" s="2084"/>
      <c r="G5" s="2084"/>
      <c r="H5" s="2084"/>
      <c r="I5" s="2084"/>
      <c r="J5" s="2084"/>
      <c r="K5" s="2084"/>
      <c r="L5" s="2084"/>
    </row>
    <row r="6" spans="1:1024" ht="15.75" customHeight="1" thickBot="1"/>
    <row r="7" spans="1:1024" ht="18.75" customHeight="1" thickBot="1">
      <c r="B7" s="1904"/>
      <c r="C7" s="1905"/>
      <c r="D7" s="1905"/>
      <c r="E7" s="1905"/>
      <c r="F7" s="1905"/>
      <c r="G7" s="1905"/>
      <c r="H7" s="1905"/>
      <c r="I7" s="1905"/>
      <c r="J7" s="1905"/>
      <c r="K7" s="1905"/>
      <c r="L7" s="1905"/>
      <c r="M7" s="1905"/>
      <c r="N7" s="1905"/>
      <c r="O7" s="1906"/>
      <c r="AMI7" s="1903"/>
      <c r="AMJ7" s="1903"/>
    </row>
    <row r="8" spans="1:1024" ht="15.75" customHeight="1">
      <c r="B8" s="1907"/>
      <c r="C8" s="1991"/>
      <c r="D8" s="1991"/>
      <c r="E8" s="1991"/>
      <c r="F8" s="1991"/>
      <c r="G8" s="1991"/>
      <c r="H8" s="1991"/>
      <c r="I8" s="1991"/>
      <c r="J8" s="1991"/>
      <c r="K8" s="2085" t="s">
        <v>7677</v>
      </c>
      <c r="L8" s="2086"/>
      <c r="M8" s="2086"/>
      <c r="N8" s="2087"/>
      <c r="O8" s="1909"/>
      <c r="AMI8" s="1903"/>
      <c r="AMJ8" s="1903"/>
    </row>
    <row r="9" spans="1:1024" ht="15.75" customHeight="1">
      <c r="B9" s="1907"/>
      <c r="C9" s="1991"/>
      <c r="D9" s="1991"/>
      <c r="E9" s="1991"/>
      <c r="F9" s="1991"/>
      <c r="G9" s="1991"/>
      <c r="H9" s="1991"/>
      <c r="I9" s="1991"/>
      <c r="J9" s="1991"/>
      <c r="K9" s="2088"/>
      <c r="L9" s="2089"/>
      <c r="M9" s="2089"/>
      <c r="N9" s="2090"/>
      <c r="O9" s="1909"/>
      <c r="AMI9" s="1903"/>
      <c r="AMJ9" s="1903"/>
    </row>
    <row r="10" spans="1:1024" ht="15.75" customHeight="1" thickBot="1">
      <c r="B10" s="1907"/>
      <c r="C10" s="1991"/>
      <c r="D10" s="1991"/>
      <c r="E10" s="1991"/>
      <c r="F10" s="1991"/>
      <c r="G10" s="1991"/>
      <c r="H10" s="1991"/>
      <c r="I10" s="1991"/>
      <c r="J10" s="1991"/>
      <c r="K10" s="2091"/>
      <c r="L10" s="2092"/>
      <c r="M10" s="2092"/>
      <c r="N10" s="2093"/>
      <c r="O10" s="1909"/>
      <c r="AMI10" s="1903"/>
      <c r="AMJ10" s="1903"/>
    </row>
    <row r="11" spans="1:1024" ht="15.75" customHeight="1" thickBot="1">
      <c r="B11" s="1907"/>
      <c r="C11" s="1991"/>
      <c r="D11" s="1991"/>
      <c r="E11" s="1991"/>
      <c r="F11" s="1991"/>
      <c r="G11" s="1991"/>
      <c r="H11" s="1991"/>
      <c r="I11" s="1991"/>
      <c r="J11" s="1991"/>
      <c r="K11" s="1991"/>
      <c r="L11" s="1991"/>
      <c r="M11" s="1991"/>
      <c r="N11" s="1991"/>
      <c r="O11" s="1909"/>
      <c r="AMI11" s="1903"/>
      <c r="AMJ11" s="1903"/>
    </row>
    <row r="12" spans="1:1024" ht="15.75" customHeight="1" thickBot="1">
      <c r="B12" s="1907"/>
      <c r="C12" s="1991"/>
      <c r="D12" s="1991"/>
      <c r="E12" s="1991"/>
      <c r="F12" s="1991"/>
      <c r="G12" s="1991"/>
      <c r="H12" s="1991"/>
      <c r="I12" s="1991"/>
      <c r="J12" s="1991"/>
      <c r="K12" s="2094" t="s">
        <v>7618</v>
      </c>
      <c r="L12" s="2095"/>
      <c r="M12" s="2095"/>
      <c r="N12" s="2096"/>
      <c r="O12" s="1909"/>
      <c r="AMI12" s="1903"/>
      <c r="AMJ12" s="1903"/>
    </row>
    <row r="13" spans="1:1024" ht="15.75" customHeight="1">
      <c r="B13" s="1907"/>
      <c r="C13" s="1991"/>
      <c r="D13" s="1991"/>
      <c r="E13" s="1991"/>
      <c r="F13" s="1991"/>
      <c r="G13" s="1991"/>
      <c r="H13" s="1991"/>
      <c r="I13" s="1991"/>
      <c r="J13" s="1991"/>
      <c r="K13" s="2097" t="s">
        <v>16</v>
      </c>
      <c r="L13" s="2098"/>
      <c r="M13" s="2101" t="s">
        <v>20</v>
      </c>
      <c r="N13" s="2102"/>
      <c r="O13" s="1909"/>
      <c r="S13" s="1902" t="s">
        <v>288</v>
      </c>
      <c r="AMI13" s="1903"/>
      <c r="AMJ13" s="1903"/>
    </row>
    <row r="14" spans="1:1024" ht="15.75" customHeight="1" thickBot="1">
      <c r="B14" s="1907"/>
      <c r="C14" s="1991"/>
      <c r="D14" s="1991"/>
      <c r="E14" s="1991"/>
      <c r="F14" s="1991"/>
      <c r="G14" s="1991"/>
      <c r="H14" s="1991"/>
      <c r="I14" s="1991"/>
      <c r="J14" s="1991"/>
      <c r="K14" s="2099"/>
      <c r="L14" s="2100"/>
      <c r="M14" s="1910" t="s">
        <v>7619</v>
      </c>
      <c r="N14" s="1911" t="s">
        <v>7620</v>
      </c>
      <c r="O14" s="1909"/>
      <c r="AMI14" s="1903"/>
      <c r="AMJ14" s="1903"/>
    </row>
    <row r="15" spans="1:1024" ht="15.75" customHeight="1">
      <c r="B15" s="1907"/>
      <c r="C15" s="1991"/>
      <c r="D15" s="1991"/>
      <c r="E15" s="1991"/>
      <c r="F15" s="1991"/>
      <c r="G15" s="1991"/>
      <c r="H15" s="1991"/>
      <c r="I15" s="1991"/>
      <c r="J15" s="1991"/>
      <c r="K15" s="2101" t="s">
        <v>7621</v>
      </c>
      <c r="L15" s="2102"/>
      <c r="M15" s="1912">
        <v>2</v>
      </c>
      <c r="N15" s="1913">
        <v>1.8</v>
      </c>
      <c r="O15" s="1909"/>
      <c r="AMI15" s="1903"/>
      <c r="AMJ15" s="1903"/>
    </row>
    <row r="16" spans="1:1024" ht="15.75" customHeight="1" thickBot="1">
      <c r="B16" s="1907"/>
      <c r="C16" s="1991"/>
      <c r="D16" s="1991"/>
      <c r="E16" s="1991"/>
      <c r="F16" s="1991"/>
      <c r="G16" s="1991"/>
      <c r="H16" s="1991"/>
      <c r="I16" s="1991"/>
      <c r="J16" s="1991"/>
      <c r="K16" s="2122" t="s">
        <v>15</v>
      </c>
      <c r="L16" s="2123"/>
      <c r="M16" s="1914">
        <v>1.8</v>
      </c>
      <c r="N16" s="1915">
        <v>1.6</v>
      </c>
      <c r="O16" s="1909"/>
      <c r="AMI16" s="1903"/>
      <c r="AMJ16" s="1903"/>
    </row>
    <row r="17" spans="2:1024" ht="15.75" customHeight="1" thickBot="1">
      <c r="B17" s="1907"/>
      <c r="C17" s="1991"/>
      <c r="D17" s="1991"/>
      <c r="E17" s="1991"/>
      <c r="F17" s="1991"/>
      <c r="G17" s="1991"/>
      <c r="H17" s="1991"/>
      <c r="I17" s="1991"/>
      <c r="J17" s="1991"/>
      <c r="K17" s="2094" t="s">
        <v>7622</v>
      </c>
      <c r="L17" s="2095"/>
      <c r="M17" s="2095"/>
      <c r="N17" s="2096"/>
      <c r="O17" s="1909"/>
      <c r="AMI17" s="1903"/>
      <c r="AMJ17" s="1903"/>
    </row>
    <row r="18" spans="2:1024" ht="15.75" customHeight="1">
      <c r="B18" s="1907"/>
      <c r="C18" s="1991"/>
      <c r="D18" s="1991"/>
      <c r="E18" s="1991"/>
      <c r="F18" s="1991"/>
      <c r="G18" s="1991"/>
      <c r="H18" s="1991"/>
      <c r="I18" s="1991"/>
      <c r="J18" s="1991"/>
      <c r="K18" s="2097" t="s">
        <v>16</v>
      </c>
      <c r="L18" s="2098"/>
      <c r="M18" s="1916" t="s">
        <v>20</v>
      </c>
      <c r="N18" s="1917"/>
      <c r="O18" s="1909"/>
      <c r="AMI18" s="1903"/>
      <c r="AMJ18" s="1903"/>
    </row>
    <row r="19" spans="2:1024" ht="15.75" customHeight="1" thickBot="1">
      <c r="B19" s="1907"/>
      <c r="C19" s="1991"/>
      <c r="D19" s="1991"/>
      <c r="E19" s="1991"/>
      <c r="F19" s="1991"/>
      <c r="G19" s="1991"/>
      <c r="H19" s="1991"/>
      <c r="I19" s="1991"/>
      <c r="J19" s="1991"/>
      <c r="K19" s="2099"/>
      <c r="L19" s="2100"/>
      <c r="M19" s="1918" t="s">
        <v>7619</v>
      </c>
      <c r="N19" s="1911" t="s">
        <v>7620</v>
      </c>
      <c r="O19" s="1909"/>
      <c r="AMI19" s="1903"/>
      <c r="AMJ19" s="1903"/>
    </row>
    <row r="20" spans="2:1024" ht="15.75" customHeight="1">
      <c r="B20" s="1907"/>
      <c r="C20" s="1991"/>
      <c r="D20" s="1991"/>
      <c r="E20" s="1991"/>
      <c r="F20" s="1991"/>
      <c r="G20" s="1991"/>
      <c r="H20" s="1991"/>
      <c r="I20" s="1991"/>
      <c r="J20" s="1991"/>
      <c r="K20" s="2101" t="s">
        <v>14</v>
      </c>
      <c r="L20" s="2102"/>
      <c r="M20" s="1919">
        <v>1.9</v>
      </c>
      <c r="N20" s="1920">
        <v>1.65</v>
      </c>
      <c r="O20" s="1909"/>
      <c r="AMI20" s="1903"/>
      <c r="AMJ20" s="1903"/>
    </row>
    <row r="21" spans="2:1024" ht="15.75" customHeight="1" thickBot="1">
      <c r="B21" s="1907"/>
      <c r="C21" s="1991"/>
      <c r="D21" s="1991"/>
      <c r="E21" s="1991"/>
      <c r="F21" s="1991"/>
      <c r="G21" s="1991"/>
      <c r="H21" s="1991"/>
      <c r="I21" s="1991"/>
      <c r="J21" s="1991"/>
      <c r="K21" s="2122" t="s">
        <v>15</v>
      </c>
      <c r="L21" s="2123"/>
      <c r="M21" s="1914">
        <v>1.7</v>
      </c>
      <c r="N21" s="1915">
        <v>1.45</v>
      </c>
      <c r="O21" s="1909"/>
      <c r="AMI21" s="1903"/>
      <c r="AMJ21" s="1903"/>
    </row>
    <row r="22" spans="2:1024" ht="15.75" customHeight="1">
      <c r="B22" s="1907"/>
      <c r="C22" s="1991"/>
      <c r="D22" s="1991"/>
      <c r="E22" s="1991"/>
      <c r="F22" s="1991"/>
      <c r="G22" s="1991"/>
      <c r="H22" s="1991"/>
      <c r="I22" s="1991"/>
      <c r="J22" s="1991"/>
      <c r="K22" s="2121"/>
      <c r="L22" s="2121"/>
      <c r="M22" s="2121"/>
      <c r="N22" s="2121"/>
      <c r="O22" s="1909"/>
      <c r="AMI22" s="1903"/>
      <c r="AMJ22" s="1903"/>
    </row>
    <row r="23" spans="2:1024" ht="15.75" customHeight="1">
      <c r="B23" s="1907"/>
      <c r="C23" s="1991"/>
      <c r="D23" s="1991"/>
      <c r="E23" s="1991"/>
      <c r="F23" s="1991"/>
      <c r="G23" s="1991"/>
      <c r="H23" s="1991"/>
      <c r="I23" s="1991"/>
      <c r="J23" s="1991"/>
      <c r="K23" s="2121"/>
      <c r="L23" s="2121"/>
      <c r="M23" s="2064"/>
      <c r="N23" s="2064"/>
      <c r="O23" s="1909"/>
      <c r="AMI23" s="1903"/>
      <c r="AMJ23" s="1903"/>
    </row>
    <row r="24" spans="2:1024" ht="15.75" customHeight="1">
      <c r="B24" s="1907"/>
      <c r="C24" s="1991"/>
      <c r="D24" s="1991"/>
      <c r="E24" s="1991"/>
      <c r="F24" s="1991"/>
      <c r="G24" s="1991"/>
      <c r="H24" s="1991"/>
      <c r="I24" s="1991"/>
      <c r="J24" s="1991"/>
      <c r="K24" s="2121"/>
      <c r="L24" s="2121"/>
      <c r="M24" s="2064"/>
      <c r="N24" s="2064"/>
      <c r="O24" s="1909"/>
      <c r="AMI24" s="1903"/>
      <c r="AMJ24" s="1903"/>
    </row>
    <row r="25" spans="2:1024" ht="15.75" customHeight="1">
      <c r="B25" s="1907"/>
      <c r="C25" s="1991"/>
      <c r="D25" s="1991"/>
      <c r="E25" s="1991"/>
      <c r="F25" s="1991"/>
      <c r="G25" s="1991"/>
      <c r="H25" s="1991"/>
      <c r="I25" s="1991"/>
      <c r="J25" s="1991"/>
      <c r="K25" s="2121"/>
      <c r="L25" s="2121"/>
      <c r="M25" s="2064"/>
      <c r="N25" s="2064"/>
      <c r="O25" s="1909"/>
      <c r="AMI25" s="1903"/>
      <c r="AMJ25" s="1903"/>
    </row>
    <row r="26" spans="2:1024" ht="15.75" customHeight="1">
      <c r="B26" s="1907"/>
      <c r="C26" s="1991"/>
      <c r="D26" s="1991"/>
      <c r="E26" s="1991"/>
      <c r="F26" s="1991"/>
      <c r="G26" s="1991"/>
      <c r="H26" s="1991"/>
      <c r="I26" s="1991"/>
      <c r="J26" s="1991"/>
      <c r="K26" s="2121"/>
      <c r="L26" s="2121"/>
      <c r="M26" s="2064"/>
      <c r="N26" s="2064"/>
      <c r="O26" s="1909"/>
      <c r="AMI26" s="1903"/>
      <c r="AMJ26" s="1903"/>
    </row>
    <row r="27" spans="2:1024" ht="15.75" customHeight="1">
      <c r="B27" s="1907"/>
      <c r="C27" s="1991"/>
      <c r="D27" s="1991"/>
      <c r="E27" s="1991"/>
      <c r="F27" s="1991"/>
      <c r="G27" s="1991"/>
      <c r="H27" s="1991"/>
      <c r="I27" s="1991"/>
      <c r="J27" s="1991"/>
      <c r="K27" s="2121"/>
      <c r="L27" s="2121"/>
      <c r="M27" s="2121"/>
      <c r="N27" s="2121"/>
      <c r="O27" s="1909"/>
    </row>
    <row r="28" spans="2:1024" ht="15.75" customHeight="1">
      <c r="B28" s="1907"/>
      <c r="C28" s="1991"/>
      <c r="D28" s="1991"/>
      <c r="E28" s="1991"/>
      <c r="F28" s="1991"/>
      <c r="G28" s="1991"/>
      <c r="H28" s="1991"/>
      <c r="I28" s="1991"/>
      <c r="J28" s="1991"/>
      <c r="K28" s="2121"/>
      <c r="L28" s="2121"/>
      <c r="M28" s="2064"/>
      <c r="N28" s="2064"/>
      <c r="O28" s="1909"/>
    </row>
    <row r="29" spans="2:1024" ht="15.75" customHeight="1">
      <c r="B29" s="1907"/>
      <c r="C29" s="1991"/>
      <c r="D29" s="1991"/>
      <c r="E29" s="1991"/>
      <c r="F29" s="1991"/>
      <c r="G29" s="1991"/>
      <c r="H29" s="1991"/>
      <c r="I29" s="1991"/>
      <c r="J29" s="1991"/>
      <c r="K29" s="2121"/>
      <c r="L29" s="2121"/>
      <c r="M29" s="2064"/>
      <c r="N29" s="2064"/>
      <c r="O29" s="1909"/>
    </row>
    <row r="30" spans="2:1024" ht="15.75" customHeight="1">
      <c r="B30" s="1907"/>
      <c r="C30" s="1991"/>
      <c r="D30" s="1991"/>
      <c r="E30" s="1991"/>
      <c r="F30" s="1991"/>
      <c r="G30" s="1991"/>
      <c r="H30" s="1991"/>
      <c r="I30" s="1991"/>
      <c r="J30" s="1991"/>
      <c r="K30" s="2121"/>
      <c r="L30" s="2121"/>
      <c r="M30" s="2064"/>
      <c r="N30" s="2064"/>
      <c r="O30" s="1909"/>
    </row>
    <row r="31" spans="2:1024" ht="15.75" customHeight="1" thickBot="1">
      <c r="B31" s="1907"/>
      <c r="C31" s="1991"/>
      <c r="D31" s="1991"/>
      <c r="E31" s="1991"/>
      <c r="F31" s="1991"/>
      <c r="G31" s="1991"/>
      <c r="H31" s="1991"/>
      <c r="I31" s="1991"/>
      <c r="J31" s="1991"/>
      <c r="K31" s="2121"/>
      <c r="L31" s="2121"/>
      <c r="M31" s="2064"/>
      <c r="N31" s="2064"/>
      <c r="O31" s="1909"/>
    </row>
    <row r="32" spans="2:1024" ht="15.75" customHeight="1">
      <c r="B32" s="1907"/>
      <c r="C32" s="1991"/>
      <c r="D32" s="1991"/>
      <c r="E32" s="1991"/>
      <c r="F32" s="1991"/>
      <c r="G32" s="1991"/>
      <c r="H32" s="1991"/>
      <c r="I32" s="1991"/>
      <c r="J32" s="1991"/>
      <c r="K32" s="2137" t="s">
        <v>5738</v>
      </c>
      <c r="L32" s="2138"/>
      <c r="M32" s="2138"/>
      <c r="N32" s="2139"/>
      <c r="O32" s="1909"/>
    </row>
    <row r="33" spans="1:20" ht="15.75" customHeight="1">
      <c r="B33" s="1907"/>
      <c r="C33" s="1991"/>
      <c r="D33" s="1991"/>
      <c r="E33" s="1991"/>
      <c r="F33" s="1991"/>
      <c r="G33" s="1991"/>
      <c r="H33" s="1991"/>
      <c r="I33" s="1991"/>
      <c r="J33" s="1991"/>
      <c r="K33" s="2140"/>
      <c r="L33" s="2141"/>
      <c r="M33" s="2141"/>
      <c r="N33" s="2142"/>
      <c r="O33" s="1909"/>
    </row>
    <row r="34" spans="1:20" ht="15.75" customHeight="1" thickBot="1">
      <c r="B34" s="1907"/>
      <c r="C34" s="1991"/>
      <c r="D34" s="1991"/>
      <c r="E34" s="1991"/>
      <c r="F34" s="1991"/>
      <c r="G34" s="1991"/>
      <c r="H34" s="1991"/>
      <c r="I34" s="1991"/>
      <c r="J34" s="1991"/>
      <c r="K34" s="2143"/>
      <c r="L34" s="2144"/>
      <c r="M34" s="2144"/>
      <c r="N34" s="2145"/>
      <c r="O34" s="1909"/>
    </row>
    <row r="35" spans="1:20" ht="15.75" customHeight="1">
      <c r="B35" s="1907"/>
      <c r="C35" s="1991"/>
      <c r="D35" s="1991"/>
      <c r="E35" s="1991"/>
      <c r="F35" s="1991"/>
      <c r="G35" s="1991"/>
      <c r="H35" s="1991"/>
      <c r="I35" s="1991"/>
      <c r="J35" s="1991"/>
      <c r="K35" s="2146" t="s">
        <v>34</v>
      </c>
      <c r="L35" s="2147"/>
      <c r="M35" s="2147"/>
      <c r="N35" s="2148"/>
      <c r="O35" s="1909"/>
    </row>
    <row r="36" spans="1:20" ht="15.75" customHeight="1">
      <c r="B36" s="1907"/>
      <c r="C36" s="1991"/>
      <c r="D36" s="1991"/>
      <c r="E36" s="1991"/>
      <c r="F36" s="1991"/>
      <c r="G36" s="1991"/>
      <c r="H36" s="1991"/>
      <c r="I36" s="1991"/>
      <c r="J36" s="1991"/>
      <c r="K36" s="2149"/>
      <c r="L36" s="2150"/>
      <c r="M36" s="2150"/>
      <c r="N36" s="2151"/>
      <c r="O36" s="1909"/>
    </row>
    <row r="37" spans="1:20" ht="15.75" customHeight="1" thickBot="1">
      <c r="B37" s="1907"/>
      <c r="C37" s="1991"/>
      <c r="D37" s="1991"/>
      <c r="E37" s="1991"/>
      <c r="F37" s="1991"/>
      <c r="G37" s="1991"/>
      <c r="H37" s="1991"/>
      <c r="I37" s="1991"/>
      <c r="J37" s="1991"/>
      <c r="K37" s="1991"/>
      <c r="L37" s="1991"/>
      <c r="M37" s="1991"/>
      <c r="N37" s="1991"/>
      <c r="O37" s="1909"/>
      <c r="T37" s="65"/>
    </row>
    <row r="38" spans="1:20" ht="15.75" customHeight="1">
      <c r="B38" s="1907"/>
      <c r="C38" s="2103" t="s">
        <v>7637</v>
      </c>
      <c r="D38" s="2104"/>
      <c r="E38" s="2105"/>
      <c r="F38" s="2112" t="s">
        <v>7680</v>
      </c>
      <c r="G38" s="2113"/>
      <c r="H38" s="2113"/>
      <c r="I38" s="2113"/>
      <c r="J38" s="2113"/>
      <c r="K38" s="2113"/>
      <c r="L38" s="2113"/>
      <c r="M38" s="2113"/>
      <c r="N38" s="2114"/>
      <c r="O38" s="1909"/>
    </row>
    <row r="39" spans="1:20" ht="15.75" customHeight="1">
      <c r="B39" s="1907"/>
      <c r="C39" s="2106"/>
      <c r="D39" s="2107"/>
      <c r="E39" s="2108"/>
      <c r="F39" s="2115"/>
      <c r="G39" s="2116"/>
      <c r="H39" s="2116"/>
      <c r="I39" s="2116"/>
      <c r="J39" s="2116"/>
      <c r="K39" s="2116"/>
      <c r="L39" s="2116"/>
      <c r="M39" s="2116"/>
      <c r="N39" s="2117"/>
      <c r="O39" s="1909"/>
    </row>
    <row r="40" spans="1:20" ht="15.75" customHeight="1">
      <c r="B40" s="1907"/>
      <c r="C40" s="2106"/>
      <c r="D40" s="2107"/>
      <c r="E40" s="2108"/>
      <c r="F40" s="2115"/>
      <c r="G40" s="2116"/>
      <c r="H40" s="2116"/>
      <c r="I40" s="2116"/>
      <c r="J40" s="2116"/>
      <c r="K40" s="2116"/>
      <c r="L40" s="2116"/>
      <c r="M40" s="2116"/>
      <c r="N40" s="2117"/>
      <c r="O40" s="1909"/>
    </row>
    <row r="41" spans="1:20" ht="15.75" customHeight="1" thickBot="1">
      <c r="B41" s="1907"/>
      <c r="C41" s="2109"/>
      <c r="D41" s="2110"/>
      <c r="E41" s="2111"/>
      <c r="F41" s="2118"/>
      <c r="G41" s="2119"/>
      <c r="H41" s="2119"/>
      <c r="I41" s="2119"/>
      <c r="J41" s="2119"/>
      <c r="K41" s="2119"/>
      <c r="L41" s="2119"/>
      <c r="M41" s="2119"/>
      <c r="N41" s="2120"/>
      <c r="O41" s="1909"/>
    </row>
    <row r="42" spans="1:20" ht="15.75" customHeight="1" thickBot="1">
      <c r="B42" s="1921"/>
      <c r="C42" s="1992"/>
      <c r="D42" s="1992"/>
      <c r="E42" s="1992"/>
      <c r="F42" s="1993"/>
      <c r="G42" s="1993"/>
      <c r="H42" s="1993"/>
      <c r="I42" s="1993"/>
      <c r="J42" s="1993"/>
      <c r="K42" s="1993"/>
      <c r="L42" s="1993"/>
      <c r="M42" s="1993"/>
      <c r="N42" s="1993"/>
      <c r="O42" s="1924"/>
    </row>
    <row r="43" spans="1:20" ht="15.75" customHeight="1">
      <c r="B43" s="1991"/>
      <c r="C43" s="1989"/>
      <c r="D43" s="1989"/>
      <c r="E43" s="1989"/>
      <c r="F43" s="1990"/>
      <c r="G43" s="1990"/>
      <c r="H43" s="1990"/>
      <c r="I43" s="1990"/>
      <c r="J43" s="1990"/>
      <c r="K43" s="1990"/>
      <c r="L43" s="1990"/>
      <c r="M43" s="1990"/>
      <c r="N43" s="1990"/>
      <c r="O43" s="1991"/>
    </row>
    <row r="44" spans="1:20" ht="15.75" customHeight="1" thickBot="1">
      <c r="A44" s="1902"/>
    </row>
    <row r="45" spans="1:20" ht="15.75" customHeight="1" thickBot="1">
      <c r="B45" s="1904"/>
      <c r="C45" s="1905"/>
      <c r="D45" s="1905"/>
      <c r="E45" s="1905"/>
      <c r="F45" s="1905"/>
      <c r="G45" s="1905"/>
      <c r="H45" s="1905"/>
      <c r="I45" s="1905"/>
      <c r="J45" s="1905"/>
      <c r="K45" s="1905"/>
      <c r="L45" s="1905"/>
      <c r="M45" s="1905"/>
      <c r="N45" s="1994"/>
      <c r="O45" s="1906"/>
    </row>
    <row r="46" spans="1:20" ht="15.75" customHeight="1" thickBot="1">
      <c r="B46" s="1907"/>
      <c r="C46" s="1991"/>
      <c r="D46" s="1991"/>
      <c r="E46" s="1991"/>
      <c r="F46" s="1991"/>
      <c r="G46" s="1991"/>
      <c r="H46" s="1991"/>
      <c r="I46" s="1991"/>
      <c r="J46" s="1991"/>
      <c r="K46" s="2124" t="s">
        <v>428</v>
      </c>
      <c r="L46" s="2125"/>
      <c r="M46" s="2125"/>
      <c r="N46" s="2126"/>
      <c r="O46" s="1909"/>
    </row>
    <row r="47" spans="1:20" ht="15.75" customHeight="1" thickBot="1">
      <c r="B47" s="1907"/>
      <c r="C47" s="1991"/>
      <c r="D47" s="1991"/>
      <c r="E47" s="1991"/>
      <c r="F47" s="1991"/>
      <c r="G47" s="1991"/>
      <c r="H47" s="1991"/>
      <c r="I47" s="1991"/>
      <c r="J47" s="1991"/>
      <c r="K47" s="1991"/>
      <c r="L47" s="1991"/>
      <c r="M47" s="1991"/>
      <c r="N47" s="1991"/>
      <c r="O47" s="1909"/>
    </row>
    <row r="48" spans="1:20" ht="15.75" customHeight="1" thickBot="1">
      <c r="B48" s="1907"/>
      <c r="C48" s="1991"/>
      <c r="D48" s="1991"/>
      <c r="E48" s="1991"/>
      <c r="F48" s="1991"/>
      <c r="G48" s="1991"/>
      <c r="H48" s="1991"/>
      <c r="I48" s="1991"/>
      <c r="J48" s="1991"/>
      <c r="K48" s="2127" t="s">
        <v>1</v>
      </c>
      <c r="L48" s="2128"/>
      <c r="M48" s="2127" t="s">
        <v>429</v>
      </c>
      <c r="N48" s="2128"/>
      <c r="O48" s="1909"/>
    </row>
    <row r="49" spans="2:15" ht="15.75" customHeight="1">
      <c r="B49" s="1907"/>
      <c r="C49" s="1991"/>
      <c r="D49" s="1991"/>
      <c r="E49" s="1991"/>
      <c r="F49" s="1991"/>
      <c r="G49" s="1991"/>
      <c r="H49" s="1991"/>
      <c r="I49" s="1991"/>
      <c r="J49" s="1991"/>
      <c r="K49" s="2129">
        <v>160</v>
      </c>
      <c r="L49" s="2130"/>
      <c r="M49" s="2131">
        <v>3000</v>
      </c>
      <c r="N49" s="2132"/>
      <c r="O49" s="1909"/>
    </row>
    <row r="50" spans="2:15" ht="15.75" customHeight="1">
      <c r="B50" s="1907"/>
      <c r="C50" s="1991"/>
      <c r="D50" s="1991"/>
      <c r="E50" s="1991"/>
      <c r="F50" s="1991"/>
      <c r="G50" s="1991"/>
      <c r="H50" s="1991"/>
      <c r="I50" s="1991"/>
      <c r="J50" s="1991"/>
      <c r="K50" s="2133">
        <v>200</v>
      </c>
      <c r="L50" s="2134"/>
      <c r="M50" s="2135">
        <v>3300</v>
      </c>
      <c r="N50" s="2136"/>
      <c r="O50" s="1909"/>
    </row>
    <row r="51" spans="2:15" ht="15.75" customHeight="1">
      <c r="B51" s="1907"/>
      <c r="C51" s="1991"/>
      <c r="D51" s="1991"/>
      <c r="E51" s="1991"/>
      <c r="F51" s="1991"/>
      <c r="G51" s="1991"/>
      <c r="H51" s="1991"/>
      <c r="I51" s="1991"/>
      <c r="J51" s="1991"/>
      <c r="K51" s="2133">
        <v>260</v>
      </c>
      <c r="L51" s="2134"/>
      <c r="M51" s="2135">
        <v>4200</v>
      </c>
      <c r="N51" s="2136"/>
      <c r="O51" s="1909"/>
    </row>
    <row r="52" spans="2:15" ht="15.75" customHeight="1">
      <c r="B52" s="1907"/>
      <c r="C52" s="1991"/>
      <c r="D52" s="1991"/>
      <c r="E52" s="1991"/>
      <c r="F52" s="1991"/>
      <c r="G52" s="1991"/>
      <c r="H52" s="1991"/>
      <c r="I52" s="1991"/>
      <c r="J52" s="1991"/>
      <c r="K52" s="2133">
        <v>300</v>
      </c>
      <c r="L52" s="2134"/>
      <c r="M52" s="2135">
        <v>4600</v>
      </c>
      <c r="N52" s="2136"/>
      <c r="O52" s="1909"/>
    </row>
    <row r="53" spans="2:15" ht="15.75" customHeight="1">
      <c r="B53" s="1907"/>
      <c r="C53" s="1991"/>
      <c r="D53" s="1991"/>
      <c r="E53" s="1991"/>
      <c r="F53" s="1991"/>
      <c r="G53" s="1991"/>
      <c r="H53" s="1991"/>
      <c r="I53" s="1991"/>
      <c r="J53" s="1991"/>
      <c r="K53" s="2133">
        <v>360</v>
      </c>
      <c r="L53" s="2134"/>
      <c r="M53" s="2135">
        <v>5900</v>
      </c>
      <c r="N53" s="2136"/>
      <c r="O53" s="1909"/>
    </row>
    <row r="54" spans="2:15" ht="15.75" customHeight="1" thickBot="1">
      <c r="B54" s="1907"/>
      <c r="C54" s="1991"/>
      <c r="D54" s="1991"/>
      <c r="E54" s="1991"/>
      <c r="F54" s="1991"/>
      <c r="G54" s="1991"/>
      <c r="H54" s="1991"/>
      <c r="I54" s="1991"/>
      <c r="J54" s="1991"/>
      <c r="K54" s="2152">
        <v>400</v>
      </c>
      <c r="L54" s="2153"/>
      <c r="M54" s="2154">
        <v>6200</v>
      </c>
      <c r="N54" s="2155"/>
      <c r="O54" s="1909"/>
    </row>
    <row r="55" spans="2:15" ht="15.75" customHeight="1" thickBot="1">
      <c r="B55" s="1907"/>
      <c r="C55" s="1991"/>
      <c r="D55" s="1991"/>
      <c r="E55" s="1991"/>
      <c r="F55" s="1991"/>
      <c r="G55" s="1991"/>
      <c r="H55" s="1991"/>
      <c r="I55" s="1991"/>
      <c r="J55" s="1991"/>
      <c r="K55" s="1991"/>
      <c r="L55" s="1991"/>
      <c r="M55" s="1991"/>
      <c r="N55" s="1991"/>
      <c r="O55" s="1909"/>
    </row>
    <row r="56" spans="2:15" ht="15.75" customHeight="1" thickBot="1">
      <c r="B56" s="1907"/>
      <c r="C56" s="1991"/>
      <c r="D56" s="1991"/>
      <c r="E56" s="1991"/>
      <c r="F56" s="1991"/>
      <c r="G56" s="1991"/>
      <c r="H56" s="1991"/>
      <c r="I56" s="1991"/>
      <c r="J56" s="1991"/>
      <c r="K56" s="2124" t="s">
        <v>7623</v>
      </c>
      <c r="L56" s="2125"/>
      <c r="M56" s="2125"/>
      <c r="N56" s="2126"/>
      <c r="O56" s="1909"/>
    </row>
    <row r="57" spans="2:15" ht="15.75" customHeight="1" thickBot="1">
      <c r="B57" s="1907"/>
      <c r="C57" s="1991"/>
      <c r="D57" s="1991"/>
      <c r="E57" s="1991"/>
      <c r="F57" s="1991"/>
      <c r="G57" s="1991"/>
      <c r="H57" s="1991"/>
      <c r="I57" s="1991"/>
      <c r="J57" s="1991"/>
      <c r="K57" s="1991"/>
      <c r="L57" s="1991"/>
      <c r="M57" s="1991"/>
      <c r="N57" s="1991"/>
      <c r="O57" s="1909"/>
    </row>
    <row r="58" spans="2:15" ht="15.75" customHeight="1" thickBot="1">
      <c r="B58" s="1907"/>
      <c r="C58" s="1991"/>
      <c r="D58" s="1991"/>
      <c r="E58" s="1991"/>
      <c r="F58" s="1991"/>
      <c r="G58" s="1991"/>
      <c r="H58" s="1991"/>
      <c r="I58" s="1991"/>
      <c r="J58" s="1991"/>
      <c r="K58" s="2127" t="s">
        <v>1</v>
      </c>
      <c r="L58" s="2128"/>
      <c r="M58" s="2127" t="s">
        <v>429</v>
      </c>
      <c r="N58" s="2128"/>
      <c r="O58" s="1909"/>
    </row>
    <row r="59" spans="2:15" ht="15.75" customHeight="1">
      <c r="B59" s="1907"/>
      <c r="C59" s="1991"/>
      <c r="D59" s="1991"/>
      <c r="E59" s="1991"/>
      <c r="F59" s="1991"/>
      <c r="G59" s="1991"/>
      <c r="H59" s="1991"/>
      <c r="I59" s="1991"/>
      <c r="J59" s="1991"/>
      <c r="K59" s="2129">
        <v>160</v>
      </c>
      <c r="L59" s="2130"/>
      <c r="M59" s="2131">
        <v>2400</v>
      </c>
      <c r="N59" s="2132"/>
      <c r="O59" s="1909"/>
    </row>
    <row r="60" spans="2:15" ht="15.75" customHeight="1">
      <c r="B60" s="1907"/>
      <c r="C60" s="1991"/>
      <c r="D60" s="1991"/>
      <c r="E60" s="1991"/>
      <c r="F60" s="1991"/>
      <c r="G60" s="1991"/>
      <c r="H60" s="1991"/>
      <c r="I60" s="1991"/>
      <c r="J60" s="1991"/>
      <c r="K60" s="2133">
        <v>200</v>
      </c>
      <c r="L60" s="2134"/>
      <c r="M60" s="2135">
        <v>2600</v>
      </c>
      <c r="N60" s="2136"/>
      <c r="O60" s="1909"/>
    </row>
    <row r="61" spans="2:15" ht="15.75" customHeight="1">
      <c r="B61" s="1907"/>
      <c r="C61" s="1991"/>
      <c r="D61" s="1991"/>
      <c r="E61" s="1995"/>
      <c r="F61" s="1991"/>
      <c r="G61" s="1991"/>
      <c r="H61" s="1991"/>
      <c r="I61" s="1991"/>
      <c r="J61" s="1991"/>
      <c r="K61" s="2133">
        <v>260</v>
      </c>
      <c r="L61" s="2134"/>
      <c r="M61" s="2135">
        <v>3500</v>
      </c>
      <c r="N61" s="2136"/>
      <c r="O61" s="1909"/>
    </row>
    <row r="62" spans="2:15" ht="15.75" customHeight="1">
      <c r="B62" s="1907"/>
      <c r="C62" s="1991"/>
      <c r="D62" s="1991"/>
      <c r="E62" s="1991"/>
      <c r="F62" s="1991"/>
      <c r="G62" s="1996"/>
      <c r="H62" s="1991"/>
      <c r="I62" s="1991"/>
      <c r="J62" s="1991"/>
      <c r="K62" s="2133">
        <v>300</v>
      </c>
      <c r="L62" s="2134"/>
      <c r="M62" s="2135">
        <v>3700</v>
      </c>
      <c r="N62" s="2136"/>
      <c r="O62" s="1909"/>
    </row>
    <row r="63" spans="2:15" ht="15.75" customHeight="1">
      <c r="B63" s="1907"/>
      <c r="C63" s="1991"/>
      <c r="D63" s="1991"/>
      <c r="E63" s="1991"/>
      <c r="F63" s="1991"/>
      <c r="G63" s="1991"/>
      <c r="H63" s="1991"/>
      <c r="I63" s="1991"/>
      <c r="J63" s="1991"/>
      <c r="K63" s="2133">
        <v>360</v>
      </c>
      <c r="L63" s="2134"/>
      <c r="M63" s="2135">
        <v>4800</v>
      </c>
      <c r="N63" s="2136"/>
      <c r="O63" s="1909"/>
    </row>
    <row r="64" spans="2:15" ht="15.75" customHeight="1" thickBot="1">
      <c r="B64" s="1907"/>
      <c r="C64" s="1991"/>
      <c r="D64" s="1991"/>
      <c r="E64" s="1991"/>
      <c r="F64" s="1991"/>
      <c r="G64" s="1991"/>
      <c r="H64" s="1991"/>
      <c r="I64" s="1991"/>
      <c r="J64" s="1991"/>
      <c r="K64" s="2152">
        <v>400</v>
      </c>
      <c r="L64" s="2153"/>
      <c r="M64" s="2154">
        <v>5000</v>
      </c>
      <c r="N64" s="2155"/>
      <c r="O64" s="1909"/>
    </row>
    <row r="65" spans="2:15" ht="15.75" customHeight="1">
      <c r="B65" s="1907"/>
      <c r="C65" s="1991"/>
      <c r="D65" s="1991"/>
      <c r="E65" s="1991"/>
      <c r="F65" s="1991"/>
      <c r="G65" s="1991"/>
      <c r="H65" s="1991"/>
      <c r="I65" s="1991"/>
      <c r="J65" s="1991"/>
      <c r="K65" s="1991"/>
      <c r="L65" s="1991"/>
      <c r="M65" s="1991"/>
      <c r="N65" s="1991"/>
      <c r="O65" s="1909"/>
    </row>
    <row r="66" spans="2:15" ht="15.75" customHeight="1">
      <c r="B66" s="1907"/>
      <c r="C66" s="1991"/>
      <c r="D66" s="1991"/>
      <c r="E66" s="1991"/>
      <c r="F66" s="1991"/>
      <c r="G66" s="1991"/>
      <c r="H66" s="1991"/>
      <c r="I66" s="1991"/>
      <c r="J66" s="1991"/>
      <c r="K66" s="2156" t="s">
        <v>7678</v>
      </c>
      <c r="L66" s="2157"/>
      <c r="M66" s="2157"/>
      <c r="N66" s="2158"/>
      <c r="O66" s="1909"/>
    </row>
    <row r="67" spans="2:15" ht="15.75" customHeight="1">
      <c r="B67" s="1907"/>
      <c r="C67" s="1991"/>
      <c r="D67" s="1991"/>
      <c r="E67" s="1991"/>
      <c r="F67" s="1991"/>
      <c r="G67" s="1991"/>
      <c r="H67" s="1991"/>
      <c r="I67" s="1991"/>
      <c r="J67" s="1991"/>
      <c r="K67" s="2149"/>
      <c r="L67" s="2150"/>
      <c r="M67" s="2150"/>
      <c r="N67" s="2151"/>
      <c r="O67" s="1909"/>
    </row>
    <row r="68" spans="2:15" ht="15.75" customHeight="1" thickBot="1">
      <c r="B68" s="1921"/>
      <c r="C68" s="1922"/>
      <c r="D68" s="1922"/>
      <c r="E68" s="1922"/>
      <c r="F68" s="1922"/>
      <c r="G68" s="1922"/>
      <c r="H68" s="1922"/>
      <c r="I68" s="1922"/>
      <c r="J68" s="1922"/>
      <c r="K68" s="1922"/>
      <c r="L68" s="1922"/>
      <c r="M68" s="1923"/>
      <c r="N68" s="1923"/>
      <c r="O68" s="1924"/>
    </row>
    <row r="69" spans="2:15" ht="15.75" customHeight="1">
      <c r="M69" s="1925"/>
      <c r="N69" s="1925"/>
    </row>
    <row r="70" spans="2:15" ht="15.75" customHeight="1">
      <c r="M70" s="1925"/>
      <c r="N70" s="1925"/>
    </row>
    <row r="71" spans="2:15" ht="15.75" customHeight="1" thickBot="1">
      <c r="M71" s="1925"/>
      <c r="N71" s="1925"/>
    </row>
    <row r="72" spans="2:15" ht="15.75" customHeight="1" thickBot="1">
      <c r="B72" s="1904"/>
      <c r="C72" s="1905"/>
      <c r="D72" s="1905"/>
      <c r="E72" s="1905"/>
      <c r="F72" s="1905"/>
      <c r="G72" s="1905"/>
      <c r="H72" s="1905"/>
      <c r="I72" s="1905"/>
      <c r="J72" s="1905"/>
      <c r="K72" s="1905"/>
      <c r="L72" s="1905"/>
      <c r="M72" s="1926"/>
      <c r="N72" s="1905"/>
      <c r="O72" s="1906"/>
    </row>
    <row r="73" spans="2:15" ht="15.75" customHeight="1">
      <c r="B73" s="1907"/>
      <c r="C73" s="1908"/>
      <c r="D73" s="1908"/>
      <c r="E73" s="1908"/>
      <c r="F73" s="1908"/>
      <c r="G73" s="1908"/>
      <c r="H73" s="1908"/>
      <c r="I73" s="1908"/>
      <c r="J73" s="1908"/>
      <c r="K73" s="2085" t="s">
        <v>72</v>
      </c>
      <c r="L73" s="2086"/>
      <c r="M73" s="2086"/>
      <c r="N73" s="2087"/>
      <c r="O73" s="1909"/>
    </row>
    <row r="74" spans="2:15" ht="15.75" customHeight="1">
      <c r="B74" s="1907"/>
      <c r="C74" s="1908"/>
      <c r="D74" s="1908"/>
      <c r="E74" s="1908"/>
      <c r="F74" s="1908"/>
      <c r="G74" s="1908"/>
      <c r="H74" s="1908"/>
      <c r="I74" s="1908"/>
      <c r="J74" s="1908"/>
      <c r="K74" s="2088"/>
      <c r="L74" s="2159"/>
      <c r="M74" s="2159"/>
      <c r="N74" s="2090"/>
      <c r="O74" s="1909"/>
    </row>
    <row r="75" spans="2:15" ht="15.75" customHeight="1" thickBot="1">
      <c r="B75" s="1907"/>
      <c r="C75" s="1908"/>
      <c r="D75" s="1908"/>
      <c r="E75" s="1908"/>
      <c r="F75" s="1908"/>
      <c r="G75" s="1908"/>
      <c r="H75" s="1908"/>
      <c r="I75" s="1908"/>
      <c r="J75" s="1908"/>
      <c r="K75" s="2091"/>
      <c r="L75" s="2092"/>
      <c r="M75" s="2092"/>
      <c r="N75" s="2093"/>
      <c r="O75" s="1909"/>
    </row>
    <row r="76" spans="2:15" ht="15.75" customHeight="1" thickBot="1">
      <c r="B76" s="1907"/>
      <c r="C76" s="1908"/>
      <c r="D76" s="1908"/>
      <c r="E76" s="1908"/>
      <c r="F76" s="1908"/>
      <c r="G76" s="1908"/>
      <c r="H76" s="1908"/>
      <c r="I76" s="1908"/>
      <c r="J76" s="1908"/>
      <c r="K76" s="1908"/>
      <c r="L76" s="1908"/>
      <c r="M76" s="2189"/>
      <c r="N76" s="2189"/>
      <c r="O76" s="1927"/>
    </row>
    <row r="77" spans="2:15" ht="15.75" customHeight="1" thickBot="1">
      <c r="B77" s="1907"/>
      <c r="C77" s="1908"/>
      <c r="D77" s="1908"/>
      <c r="E77" s="1908"/>
      <c r="F77" s="1908"/>
      <c r="G77" s="1908"/>
      <c r="H77" s="1908"/>
      <c r="I77" s="1908"/>
      <c r="J77" s="1908"/>
      <c r="K77" s="2160" t="s">
        <v>74</v>
      </c>
      <c r="L77" s="2161"/>
      <c r="M77" s="2161"/>
      <c r="N77" s="2162"/>
      <c r="O77" s="1909"/>
    </row>
    <row r="78" spans="2:15" ht="15.75" customHeight="1">
      <c r="B78" s="1907"/>
      <c r="C78" s="1908"/>
      <c r="D78" s="1908"/>
      <c r="E78" s="1908"/>
      <c r="F78" s="1908"/>
      <c r="G78" s="1908"/>
      <c r="H78" s="1908"/>
      <c r="I78" s="1908"/>
      <c r="J78" s="1908"/>
      <c r="K78" s="1928"/>
      <c r="L78" s="1908"/>
      <c r="M78" s="1928"/>
      <c r="O78" s="1909"/>
    </row>
    <row r="79" spans="2:15" ht="15.75" customHeight="1">
      <c r="B79" s="1907"/>
      <c r="C79" s="1908"/>
      <c r="D79" s="1908"/>
      <c r="E79" s="1908"/>
      <c r="F79" s="1908"/>
      <c r="G79" s="1908"/>
      <c r="H79" s="1908"/>
      <c r="I79" s="1908"/>
      <c r="J79" s="1908"/>
      <c r="K79" s="1928"/>
      <c r="L79" s="1908"/>
      <c r="M79" s="1928"/>
      <c r="O79" s="1909"/>
    </row>
    <row r="80" spans="2:15" ht="15.75" customHeight="1" thickBot="1">
      <c r="B80" s="1907"/>
      <c r="C80" s="1908"/>
      <c r="D80" s="1908"/>
      <c r="E80" s="1908"/>
      <c r="F80" s="1908"/>
      <c r="G80" s="1908"/>
      <c r="H80" s="1908"/>
      <c r="I80" s="1908"/>
      <c r="J80" s="1908"/>
      <c r="K80" s="1928"/>
      <c r="L80" s="1908"/>
      <c r="M80" s="1928"/>
      <c r="O80" s="1929"/>
    </row>
    <row r="81" spans="2:15" ht="15.75" customHeight="1">
      <c r="B81" s="1907"/>
      <c r="C81" s="1908"/>
      <c r="D81" s="1908"/>
      <c r="E81" s="1908"/>
      <c r="F81" s="1908"/>
      <c r="G81" s="1908"/>
      <c r="H81" s="1908"/>
      <c r="I81" s="1908"/>
      <c r="J81" s="1908"/>
      <c r="K81" s="2085" t="s">
        <v>73</v>
      </c>
      <c r="L81" s="2086"/>
      <c r="M81" s="2086"/>
      <c r="N81" s="2087"/>
      <c r="O81" s="1909"/>
    </row>
    <row r="82" spans="2:15" ht="15.75" customHeight="1">
      <c r="B82" s="1907"/>
      <c r="C82" s="1908"/>
      <c r="D82" s="1908"/>
      <c r="E82" s="1908"/>
      <c r="F82" s="1908"/>
      <c r="G82" s="1908"/>
      <c r="H82" s="1908"/>
      <c r="I82" s="1908"/>
      <c r="J82" s="1908"/>
      <c r="K82" s="2088"/>
      <c r="L82" s="2159"/>
      <c r="M82" s="2159"/>
      <c r="N82" s="2090"/>
      <c r="O82" s="1909"/>
    </row>
    <row r="83" spans="2:15" ht="15.75" customHeight="1" thickBot="1">
      <c r="B83" s="1907"/>
      <c r="C83" s="1908"/>
      <c r="D83" s="1908"/>
      <c r="E83" s="1908"/>
      <c r="F83" s="1908"/>
      <c r="G83" s="1908"/>
      <c r="H83" s="1908"/>
      <c r="I83" s="1908"/>
      <c r="J83" s="1908"/>
      <c r="K83" s="2091"/>
      <c r="L83" s="2092"/>
      <c r="M83" s="2092"/>
      <c r="N83" s="2093"/>
      <c r="O83" s="1909"/>
    </row>
    <row r="84" spans="2:15" ht="15.75" customHeight="1" thickBot="1">
      <c r="B84" s="1907"/>
      <c r="C84" s="1908"/>
      <c r="D84" s="1908"/>
      <c r="E84" s="1908"/>
      <c r="F84" s="1908"/>
      <c r="G84" s="1908"/>
      <c r="H84" s="1908"/>
      <c r="I84" s="1908"/>
      <c r="J84" s="1908"/>
      <c r="K84" s="1908"/>
      <c r="L84" s="1908"/>
      <c r="M84" s="2189"/>
      <c r="N84" s="2189"/>
      <c r="O84" s="1927"/>
    </row>
    <row r="85" spans="2:15" ht="15.75" customHeight="1" thickBot="1">
      <c r="B85" s="1907"/>
      <c r="C85" s="1908"/>
      <c r="D85" s="1908"/>
      <c r="E85" s="1908"/>
      <c r="F85" s="1908"/>
      <c r="G85" s="1908"/>
      <c r="H85" s="1908"/>
      <c r="I85" s="1908"/>
      <c r="J85" s="1908"/>
      <c r="K85" s="2160" t="s">
        <v>20</v>
      </c>
      <c r="L85" s="2161"/>
      <c r="M85" s="2160" t="s">
        <v>26</v>
      </c>
      <c r="N85" s="2162"/>
      <c r="O85" s="1909"/>
    </row>
    <row r="86" spans="2:15" ht="15.75" customHeight="1" thickBot="1">
      <c r="B86" s="1907"/>
      <c r="C86" s="1908"/>
      <c r="D86" s="1908"/>
      <c r="E86" s="1908"/>
      <c r="F86" s="1908"/>
      <c r="G86" s="1908"/>
      <c r="H86" s="1908"/>
      <c r="I86" s="1908"/>
      <c r="J86" s="1908"/>
      <c r="K86" s="2160" t="s">
        <v>129</v>
      </c>
      <c r="L86" s="2162"/>
      <c r="M86" s="2187">
        <v>30500</v>
      </c>
      <c r="N86" s="2188"/>
      <c r="O86" s="1909"/>
    </row>
    <row r="87" spans="2:15" ht="15.75" customHeight="1" thickBot="1">
      <c r="B87" s="1907"/>
      <c r="C87" s="1908"/>
      <c r="D87" s="1908"/>
      <c r="E87" s="1908"/>
      <c r="F87" s="1908"/>
      <c r="G87" s="1908"/>
      <c r="H87" s="1908"/>
      <c r="I87" s="1908"/>
      <c r="J87" s="1908"/>
      <c r="K87" s="2160" t="s">
        <v>27</v>
      </c>
      <c r="L87" s="2162"/>
      <c r="M87" s="2187">
        <v>41500</v>
      </c>
      <c r="N87" s="2188"/>
      <c r="O87" s="1909"/>
    </row>
    <row r="88" spans="2:15" ht="15.75" customHeight="1" thickBot="1">
      <c r="B88" s="1907"/>
      <c r="C88" s="1908"/>
      <c r="D88" s="1908"/>
      <c r="E88" s="1908"/>
      <c r="F88" s="1908"/>
      <c r="G88" s="1908"/>
      <c r="H88" s="1908"/>
      <c r="I88" s="1908"/>
      <c r="J88" s="1908"/>
      <c r="K88" s="1908"/>
      <c r="L88" s="1908"/>
      <c r="M88" s="1928"/>
      <c r="N88" s="1928"/>
      <c r="O88" s="1929"/>
    </row>
    <row r="89" spans="2:15" ht="15.75" customHeight="1">
      <c r="B89" s="1907"/>
      <c r="C89" s="2163" t="s">
        <v>7638</v>
      </c>
      <c r="D89" s="2164"/>
      <c r="E89" s="2164"/>
      <c r="F89" s="2164"/>
      <c r="G89" s="2164"/>
      <c r="H89" s="2164"/>
      <c r="I89" s="2164"/>
      <c r="J89" s="2164"/>
      <c r="K89" s="2164"/>
      <c r="L89" s="2164"/>
      <c r="M89" s="2164"/>
      <c r="N89" s="2165"/>
      <c r="O89" s="1909"/>
    </row>
    <row r="90" spans="2:15" ht="15.75" customHeight="1">
      <c r="B90" s="1907"/>
      <c r="C90" s="2166"/>
      <c r="D90" s="2167"/>
      <c r="E90" s="2167"/>
      <c r="F90" s="2167"/>
      <c r="G90" s="2167"/>
      <c r="H90" s="2167"/>
      <c r="I90" s="2167"/>
      <c r="J90" s="2167"/>
      <c r="K90" s="2167"/>
      <c r="L90" s="2167"/>
      <c r="M90" s="2167"/>
      <c r="N90" s="2168"/>
      <c r="O90" s="1909"/>
    </row>
    <row r="91" spans="2:15" ht="15.75" customHeight="1">
      <c r="B91" s="1907"/>
      <c r="C91" s="2166"/>
      <c r="D91" s="2167"/>
      <c r="E91" s="2167"/>
      <c r="F91" s="2167"/>
      <c r="G91" s="2167"/>
      <c r="H91" s="2167"/>
      <c r="I91" s="2167"/>
      <c r="J91" s="2167"/>
      <c r="K91" s="2167"/>
      <c r="L91" s="2167"/>
      <c r="M91" s="2167"/>
      <c r="N91" s="2168"/>
      <c r="O91" s="1909"/>
    </row>
    <row r="92" spans="2:15" ht="15.75" customHeight="1">
      <c r="B92" s="1907"/>
      <c r="C92" s="2166"/>
      <c r="D92" s="2167"/>
      <c r="E92" s="2167"/>
      <c r="F92" s="2167"/>
      <c r="G92" s="2167"/>
      <c r="H92" s="2167"/>
      <c r="I92" s="2167"/>
      <c r="J92" s="2167"/>
      <c r="K92" s="2167"/>
      <c r="L92" s="2167"/>
      <c r="M92" s="2167"/>
      <c r="N92" s="2168"/>
      <c r="O92" s="1909"/>
    </row>
    <row r="93" spans="2:15" ht="15.75" customHeight="1" thickBot="1">
      <c r="B93" s="1907"/>
      <c r="C93" s="2169"/>
      <c r="D93" s="2170"/>
      <c r="E93" s="2170"/>
      <c r="F93" s="2170"/>
      <c r="G93" s="2170"/>
      <c r="H93" s="2170"/>
      <c r="I93" s="2170"/>
      <c r="J93" s="2170"/>
      <c r="K93" s="2170"/>
      <c r="L93" s="2170"/>
      <c r="M93" s="2170"/>
      <c r="N93" s="2171"/>
      <c r="O93" s="1909"/>
    </row>
    <row r="94" spans="2:15" ht="15.75" customHeight="1" thickBot="1">
      <c r="B94" s="1921"/>
      <c r="C94" s="1930"/>
      <c r="D94" s="1930"/>
      <c r="E94" s="1930"/>
      <c r="F94" s="1930"/>
      <c r="G94" s="1930"/>
      <c r="H94" s="1930"/>
      <c r="I94" s="1930"/>
      <c r="J94" s="1930"/>
      <c r="K94" s="1930"/>
      <c r="L94" s="1930"/>
      <c r="M94" s="1930"/>
      <c r="N94" s="1930"/>
      <c r="O94" s="1924"/>
    </row>
    <row r="95" spans="2:15" ht="15.75" customHeight="1">
      <c r="C95" s="1931"/>
      <c r="D95" s="1931"/>
      <c r="E95" s="1931"/>
      <c r="F95" s="1931"/>
      <c r="G95" s="1931"/>
      <c r="H95" s="1931"/>
      <c r="I95" s="1931"/>
      <c r="J95" s="1931"/>
      <c r="K95" s="1931"/>
      <c r="L95" s="1931"/>
      <c r="M95" s="1931"/>
      <c r="N95" s="1931"/>
    </row>
    <row r="96" spans="2:15" ht="15.75" customHeight="1" thickBot="1">
      <c r="C96" s="1931"/>
      <c r="D96" s="1931"/>
      <c r="E96" s="1931"/>
      <c r="F96" s="1931"/>
      <c r="G96" s="1931"/>
      <c r="H96" s="1931"/>
      <c r="I96" s="1931"/>
      <c r="J96" s="1931"/>
      <c r="K96" s="1931"/>
      <c r="L96" s="1931"/>
      <c r="M96" s="1931"/>
      <c r="N96" s="1931"/>
    </row>
    <row r="97" spans="2:15" ht="15.75" customHeight="1" thickBot="1">
      <c r="B97" s="1904"/>
      <c r="C97" s="1932"/>
      <c r="D97" s="1932"/>
      <c r="E97" s="1932"/>
      <c r="F97" s="1932"/>
      <c r="G97" s="1932"/>
      <c r="H97" s="1932"/>
      <c r="I97" s="1932"/>
      <c r="J97" s="1932"/>
      <c r="K97" s="1932"/>
      <c r="L97" s="1932"/>
      <c r="M97" s="1932"/>
      <c r="N97" s="1932"/>
      <c r="O97" s="1906"/>
    </row>
    <row r="98" spans="2:15" ht="15.75" customHeight="1">
      <c r="B98" s="1907"/>
      <c r="C98" s="1933"/>
      <c r="D98" s="1933"/>
      <c r="E98" s="1933"/>
      <c r="F98" s="1933"/>
      <c r="G98" s="1933"/>
      <c r="H98" s="1933"/>
      <c r="I98" s="1933"/>
      <c r="J98" s="1933"/>
      <c r="K98" s="2172" t="s">
        <v>39</v>
      </c>
      <c r="L98" s="2173"/>
      <c r="M98" s="2173"/>
      <c r="N98" s="2174"/>
      <c r="O98" s="1909"/>
    </row>
    <row r="99" spans="2:15" ht="15.75" customHeight="1" thickBot="1">
      <c r="B99" s="1907"/>
      <c r="C99" s="1908"/>
      <c r="D99" s="1908"/>
      <c r="E99" s="1908"/>
      <c r="F99" s="1908"/>
      <c r="G99" s="1908"/>
      <c r="H99" s="1908"/>
      <c r="I99" s="1908"/>
      <c r="J99" s="1908"/>
      <c r="K99" s="2175"/>
      <c r="L99" s="2176"/>
      <c r="M99" s="2176"/>
      <c r="N99" s="2177"/>
      <c r="O99" s="1909"/>
    </row>
    <row r="100" spans="2:15" ht="15.75" customHeight="1">
      <c r="B100" s="1907"/>
      <c r="C100" s="1908"/>
      <c r="D100" s="1908"/>
      <c r="E100" s="1908"/>
      <c r="F100" s="1908"/>
      <c r="G100" s="1908"/>
      <c r="H100" s="1908"/>
      <c r="I100" s="1908"/>
      <c r="J100" s="1908"/>
      <c r="K100" s="1908"/>
      <c r="L100" s="1908"/>
      <c r="M100" s="1908"/>
      <c r="N100" s="1908"/>
      <c r="O100" s="1909"/>
    </row>
    <row r="101" spans="2:15" ht="15.75" customHeight="1">
      <c r="B101" s="1907"/>
      <c r="C101" s="1908"/>
      <c r="D101" s="1908"/>
      <c r="E101" s="1908"/>
      <c r="F101" s="1908"/>
      <c r="G101" s="1908"/>
      <c r="H101" s="1908"/>
      <c r="I101" s="1908"/>
      <c r="J101" s="1908"/>
      <c r="K101" s="2178" t="s">
        <v>7681</v>
      </c>
      <c r="L101" s="2179"/>
      <c r="M101" s="2179"/>
      <c r="N101" s="2180"/>
      <c r="O101" s="1909"/>
    </row>
    <row r="102" spans="2:15" ht="15.75" customHeight="1">
      <c r="B102" s="1907"/>
      <c r="C102" s="1908"/>
      <c r="D102" s="1908"/>
      <c r="E102" s="1908"/>
      <c r="F102" s="1908"/>
      <c r="G102" s="1908"/>
      <c r="H102" s="1908"/>
      <c r="I102" s="1908"/>
      <c r="J102" s="1908"/>
      <c r="K102" s="2181"/>
      <c r="L102" s="2182"/>
      <c r="M102" s="2182"/>
      <c r="N102" s="2183"/>
      <c r="O102" s="1909"/>
    </row>
    <row r="103" spans="2:15" ht="15.75" customHeight="1">
      <c r="B103" s="1907"/>
      <c r="C103" s="1908"/>
      <c r="D103" s="1908"/>
      <c r="E103" s="1908"/>
      <c r="F103" s="1908"/>
      <c r="G103" s="1908"/>
      <c r="H103" s="1908"/>
      <c r="I103" s="1908"/>
      <c r="J103" s="1908"/>
      <c r="K103" s="2184"/>
      <c r="L103" s="2185"/>
      <c r="M103" s="2185"/>
      <c r="N103" s="2186"/>
      <c r="O103" s="1909"/>
    </row>
    <row r="104" spans="2:15" ht="15.75" customHeight="1" thickBot="1">
      <c r="B104" s="1907"/>
      <c r="C104" s="1908"/>
      <c r="D104" s="1908"/>
      <c r="E104" s="1908"/>
      <c r="F104" s="1908"/>
      <c r="G104" s="1908"/>
      <c r="H104" s="1908"/>
      <c r="I104" s="1908"/>
      <c r="J104" s="1908"/>
      <c r="K104" s="1908"/>
      <c r="L104" s="1908"/>
      <c r="M104" s="1934"/>
      <c r="N104" s="1934"/>
      <c r="O104" s="1909"/>
    </row>
    <row r="105" spans="2:15" ht="15.75" customHeight="1" thickBot="1">
      <c r="B105" s="1907"/>
      <c r="C105" s="1908"/>
      <c r="D105" s="1908"/>
      <c r="E105" s="1908"/>
      <c r="F105" s="1908"/>
      <c r="G105" s="1908"/>
      <c r="H105" s="1908"/>
      <c r="I105" s="1908"/>
      <c r="J105" s="1908"/>
      <c r="K105" s="2160" t="s">
        <v>36</v>
      </c>
      <c r="L105" s="2162"/>
      <c r="M105" s="2160" t="s">
        <v>26</v>
      </c>
      <c r="N105" s="2162"/>
      <c r="O105" s="1909"/>
    </row>
    <row r="106" spans="2:15" ht="15.75" customHeight="1" thickBot="1">
      <c r="B106" s="1907"/>
      <c r="C106" s="1908"/>
      <c r="D106" s="1908"/>
      <c r="E106" s="1908"/>
      <c r="F106" s="1908"/>
      <c r="G106" s="1908"/>
      <c r="H106" s="1908"/>
      <c r="I106" s="1908"/>
      <c r="J106" s="1908"/>
      <c r="K106" s="2160" t="s">
        <v>37</v>
      </c>
      <c r="L106" s="2162"/>
      <c r="M106" s="2187">
        <v>24500</v>
      </c>
      <c r="N106" s="2188"/>
      <c r="O106" s="1909"/>
    </row>
    <row r="107" spans="2:15" ht="15.75" customHeight="1" thickBot="1">
      <c r="B107" s="1907"/>
      <c r="C107" s="1908"/>
      <c r="D107" s="1908"/>
      <c r="E107" s="1908"/>
      <c r="F107" s="1908"/>
      <c r="G107" s="1908"/>
      <c r="H107" s="1908"/>
      <c r="I107" s="1908"/>
      <c r="J107" s="1908"/>
      <c r="K107" s="2160" t="s">
        <v>38</v>
      </c>
      <c r="L107" s="2162"/>
      <c r="M107" s="2187">
        <v>32500</v>
      </c>
      <c r="N107" s="2188"/>
      <c r="O107" s="1909"/>
    </row>
    <row r="108" spans="2:15" ht="15.75" customHeight="1" thickBot="1">
      <c r="B108" s="1921"/>
      <c r="C108" s="1922"/>
      <c r="D108" s="1922"/>
      <c r="E108" s="1922"/>
      <c r="F108" s="1922"/>
      <c r="G108" s="1922"/>
      <c r="H108" s="1922"/>
      <c r="I108" s="1922"/>
      <c r="J108" s="1922"/>
      <c r="K108" s="1922"/>
      <c r="L108" s="1922"/>
      <c r="M108" s="1935"/>
      <c r="N108" s="1935"/>
      <c r="O108" s="1924"/>
    </row>
    <row r="109" spans="2:15" ht="15.75" customHeight="1">
      <c r="M109" s="1936"/>
      <c r="N109" s="1936"/>
    </row>
    <row r="110" spans="2:15" ht="15.75" customHeight="1" thickBot="1">
      <c r="M110" s="1936"/>
      <c r="N110" s="1936"/>
    </row>
    <row r="111" spans="2:15" ht="15.75" customHeight="1" thickBot="1">
      <c r="B111" s="1904"/>
      <c r="C111" s="1905"/>
      <c r="D111" s="1905"/>
      <c r="E111" s="1905"/>
      <c r="F111" s="1905"/>
      <c r="G111" s="1905"/>
      <c r="H111" s="1905"/>
      <c r="I111" s="1905"/>
      <c r="J111" s="1905"/>
      <c r="K111" s="1905"/>
      <c r="L111" s="1905"/>
      <c r="M111" s="1937"/>
      <c r="N111" s="1937"/>
      <c r="O111" s="1906"/>
    </row>
    <row r="112" spans="2:15" ht="15.75" customHeight="1">
      <c r="B112" s="1907"/>
      <c r="C112" s="1908"/>
      <c r="D112" s="1908"/>
      <c r="E112" s="1908"/>
      <c r="F112" s="1908"/>
      <c r="G112" s="1908"/>
      <c r="H112" s="1908"/>
      <c r="I112" s="1908"/>
      <c r="J112" s="1908"/>
      <c r="K112" s="2191" t="s">
        <v>150</v>
      </c>
      <c r="L112" s="2192"/>
      <c r="M112" s="2192"/>
      <c r="N112" s="2193"/>
      <c r="O112" s="1909"/>
    </row>
    <row r="113" spans="2:1024" ht="15.75" customHeight="1" thickBot="1">
      <c r="B113" s="1907"/>
      <c r="C113" s="1908"/>
      <c r="D113" s="1908"/>
      <c r="E113" s="1908"/>
      <c r="F113" s="1908"/>
      <c r="G113" s="1908"/>
      <c r="H113" s="1908"/>
      <c r="I113" s="1908"/>
      <c r="J113" s="1908"/>
      <c r="K113" s="2194"/>
      <c r="L113" s="2195"/>
      <c r="M113" s="2195"/>
      <c r="N113" s="2196"/>
      <c r="O113" s="1909"/>
    </row>
    <row r="114" spans="2:1024" ht="15.75" customHeight="1">
      <c r="B114" s="1907"/>
      <c r="C114" s="1908"/>
      <c r="D114" s="1908"/>
      <c r="E114" s="1908"/>
      <c r="F114" s="1908"/>
      <c r="G114" s="1908"/>
      <c r="H114" s="1908"/>
      <c r="I114" s="1908"/>
      <c r="J114" s="1908"/>
      <c r="K114" s="1908"/>
      <c r="L114" s="1908"/>
      <c r="M114" s="1908"/>
      <c r="N114" s="1908"/>
      <c r="O114" s="1909"/>
    </row>
    <row r="115" spans="2:1024" ht="15.75" customHeight="1">
      <c r="B115" s="1907"/>
      <c r="C115" s="1908"/>
      <c r="D115" s="1908"/>
      <c r="E115" s="1908"/>
      <c r="F115" s="1908"/>
      <c r="G115" s="1908"/>
      <c r="H115" s="1908"/>
      <c r="I115" s="1908"/>
      <c r="J115" s="1908"/>
      <c r="K115" s="2156" t="s">
        <v>76</v>
      </c>
      <c r="L115" s="2157"/>
      <c r="M115" s="2157"/>
      <c r="N115" s="2158"/>
      <c r="O115" s="1909"/>
    </row>
    <row r="116" spans="2:1024" ht="15.75" customHeight="1">
      <c r="B116" s="1907"/>
      <c r="C116" s="1908"/>
      <c r="D116" s="1908"/>
      <c r="E116" s="1908"/>
      <c r="F116" s="1908"/>
      <c r="G116" s="1908"/>
      <c r="H116" s="1908"/>
      <c r="I116" s="1908"/>
      <c r="J116" s="1908"/>
      <c r="K116" s="2149"/>
      <c r="L116" s="2150"/>
      <c r="M116" s="2150"/>
      <c r="N116" s="2151"/>
      <c r="O116" s="1909"/>
    </row>
    <row r="117" spans="2:1024" ht="15.75" customHeight="1" thickBot="1">
      <c r="B117" s="1907"/>
      <c r="C117" s="1908"/>
      <c r="D117" s="1908"/>
      <c r="E117" s="1908"/>
      <c r="F117" s="1908"/>
      <c r="G117" s="1908"/>
      <c r="H117" s="1908"/>
      <c r="I117" s="1908"/>
      <c r="J117" s="1908"/>
      <c r="K117" s="1908"/>
      <c r="L117" s="1908"/>
      <c r="M117" s="1908"/>
      <c r="N117" s="1908"/>
      <c r="O117" s="1909"/>
    </row>
    <row r="118" spans="2:1024" ht="15.75" customHeight="1" thickBot="1">
      <c r="B118" s="1907"/>
      <c r="C118" s="1908"/>
      <c r="D118" s="1908"/>
      <c r="E118" s="1908"/>
      <c r="F118" s="1908"/>
      <c r="G118" s="1908"/>
      <c r="H118" s="1908"/>
      <c r="I118" s="1908"/>
      <c r="J118" s="1908"/>
      <c r="K118" s="2160" t="s">
        <v>20</v>
      </c>
      <c r="L118" s="2162"/>
      <c r="M118" s="2160" t="s">
        <v>26</v>
      </c>
      <c r="N118" s="2162"/>
      <c r="O118" s="1909"/>
    </row>
    <row r="119" spans="2:1024" ht="15.75" customHeight="1" thickBot="1">
      <c r="B119" s="1907"/>
      <c r="C119" s="1908"/>
      <c r="D119" s="1908"/>
      <c r="E119" s="1908"/>
      <c r="F119" s="1908"/>
      <c r="G119" s="1908"/>
      <c r="H119" s="1908"/>
      <c r="I119" s="1908"/>
      <c r="J119" s="1908"/>
      <c r="K119" s="2160" t="s">
        <v>28</v>
      </c>
      <c r="L119" s="2162"/>
      <c r="M119" s="2187">
        <v>15000</v>
      </c>
      <c r="N119" s="2188"/>
      <c r="O119" s="1909"/>
    </row>
    <row r="120" spans="2:1024" ht="15.75" customHeight="1" thickBot="1">
      <c r="B120" s="1907"/>
      <c r="C120" s="1908"/>
      <c r="D120" s="1908"/>
      <c r="E120" s="1908"/>
      <c r="F120" s="1908"/>
      <c r="G120" s="1908"/>
      <c r="H120" s="1908"/>
      <c r="I120" s="1908"/>
      <c r="J120" s="1908"/>
      <c r="K120" s="2160" t="s">
        <v>27</v>
      </c>
      <c r="L120" s="2162"/>
      <c r="M120" s="2187">
        <v>21000</v>
      </c>
      <c r="N120" s="2188"/>
      <c r="O120" s="1909"/>
    </row>
    <row r="121" spans="2:1024" ht="15.75" customHeight="1">
      <c r="B121" s="1907"/>
      <c r="C121" s="1908"/>
      <c r="D121" s="1908"/>
      <c r="E121" s="1908"/>
      <c r="F121" s="1908"/>
      <c r="G121" s="1908"/>
      <c r="H121" s="1908"/>
      <c r="I121" s="1908"/>
      <c r="J121" s="1908"/>
      <c r="K121" s="1908"/>
      <c r="L121" s="1908"/>
      <c r="M121" s="1938"/>
      <c r="N121" s="1938"/>
      <c r="O121" s="1909"/>
    </row>
    <row r="122" spans="2:1024" ht="15.75" customHeight="1" thickBot="1">
      <c r="B122" s="1921"/>
      <c r="C122" s="1922"/>
      <c r="D122" s="1922"/>
      <c r="E122" s="1922"/>
      <c r="F122" s="1922"/>
      <c r="G122" s="1922"/>
      <c r="H122" s="1922"/>
      <c r="I122" s="1922"/>
      <c r="J122" s="1922"/>
      <c r="K122" s="1922"/>
      <c r="L122" s="1922"/>
      <c r="M122" s="1939"/>
      <c r="N122" s="1939"/>
      <c r="O122" s="1924"/>
    </row>
    <row r="123" spans="2:1024" ht="15.75" customHeight="1">
      <c r="M123" s="1940"/>
      <c r="N123" s="1940"/>
    </row>
    <row r="124" spans="2:1024" ht="15.75" customHeight="1">
      <c r="M124" s="1940"/>
      <c r="N124" s="1940"/>
    </row>
    <row r="125" spans="2:1024" ht="15.75" customHeight="1">
      <c r="C125" s="2190" t="s">
        <v>7639</v>
      </c>
      <c r="D125" s="2190"/>
      <c r="E125" s="2190"/>
      <c r="F125" s="2190"/>
      <c r="G125" s="2190"/>
      <c r="H125" s="2190"/>
      <c r="I125" s="2190"/>
      <c r="J125" s="2190"/>
      <c r="M125" s="1940"/>
      <c r="N125" s="1940"/>
    </row>
    <row r="126" spans="2:1024" ht="15.75" customHeight="1">
      <c r="C126" s="2190"/>
      <c r="D126" s="2190"/>
      <c r="E126" s="2190"/>
      <c r="F126" s="2190"/>
      <c r="G126" s="2190"/>
      <c r="H126" s="2190"/>
      <c r="I126" s="2190"/>
      <c r="J126" s="2190"/>
      <c r="M126" s="1940"/>
      <c r="N126" s="1940"/>
    </row>
    <row r="127" spans="2:1024" ht="15.75" customHeight="1">
      <c r="C127" s="2190"/>
      <c r="D127" s="2190"/>
      <c r="E127" s="2190"/>
      <c r="F127" s="2190"/>
      <c r="G127" s="2190"/>
      <c r="H127" s="2190"/>
      <c r="I127" s="2190"/>
      <c r="J127" s="2190"/>
      <c r="M127" s="1940"/>
      <c r="N127" s="1940"/>
    </row>
    <row r="128" spans="2:1024" ht="15.75" customHeight="1" thickBot="1">
      <c r="AME128" s="1903"/>
      <c r="AMF128" s="1903"/>
      <c r="AMG128" s="1903"/>
      <c r="AMH128" s="1903"/>
      <c r="AMI128" s="1903"/>
      <c r="AMJ128" s="1903"/>
    </row>
    <row r="129" spans="2:1024" ht="15.75" customHeight="1" thickBot="1">
      <c r="B129" s="1904"/>
      <c r="C129" s="1905"/>
      <c r="D129" s="1905"/>
      <c r="E129" s="1905"/>
      <c r="F129" s="1905"/>
      <c r="G129" s="1905"/>
      <c r="H129" s="1905"/>
      <c r="I129" s="1905"/>
      <c r="J129" s="1905"/>
      <c r="K129" s="1905"/>
      <c r="L129" s="1905"/>
      <c r="M129" s="1905"/>
      <c r="N129" s="1905"/>
      <c r="O129" s="1906"/>
      <c r="AME129" s="1903"/>
      <c r="AMF129" s="1903"/>
      <c r="AMG129" s="1903"/>
      <c r="AMH129" s="1903"/>
      <c r="AMI129" s="1903"/>
      <c r="AMJ129" s="1903"/>
    </row>
    <row r="130" spans="2:1024" ht="15.75" customHeight="1">
      <c r="B130" s="1907"/>
      <c r="C130" s="1908"/>
      <c r="D130" s="1908"/>
      <c r="E130" s="1908"/>
      <c r="F130" s="1908"/>
      <c r="G130" s="1908"/>
      <c r="H130" s="1908"/>
      <c r="I130" s="1908"/>
      <c r="J130" s="1908"/>
      <c r="K130" s="2085" t="s">
        <v>7640</v>
      </c>
      <c r="L130" s="2086"/>
      <c r="M130" s="2086"/>
      <c r="N130" s="2087"/>
      <c r="O130" s="1909"/>
      <c r="AME130" s="1903"/>
      <c r="AMF130" s="1903"/>
      <c r="AMG130" s="1903"/>
      <c r="AMH130" s="1903"/>
      <c r="AMI130" s="1903"/>
      <c r="AMJ130" s="1903"/>
    </row>
    <row r="131" spans="2:1024" ht="15.75" customHeight="1" thickBot="1">
      <c r="B131" s="1907"/>
      <c r="C131" s="1908"/>
      <c r="D131" s="1908"/>
      <c r="E131" s="1908"/>
      <c r="F131" s="1908"/>
      <c r="G131" s="1908"/>
      <c r="H131" s="1908"/>
      <c r="I131" s="1908"/>
      <c r="J131" s="1908"/>
      <c r="K131" s="2091"/>
      <c r="L131" s="2092"/>
      <c r="M131" s="2092"/>
      <c r="N131" s="2093"/>
      <c r="O131" s="1909"/>
      <c r="AME131" s="1903"/>
      <c r="AMF131" s="1903"/>
      <c r="AMG131" s="1903"/>
      <c r="AMH131" s="1903"/>
      <c r="AMI131" s="1903"/>
      <c r="AMJ131" s="1903"/>
    </row>
    <row r="132" spans="2:1024" ht="15.75" customHeight="1" thickBot="1">
      <c r="B132" s="1907"/>
      <c r="C132" s="1908"/>
      <c r="D132" s="1908"/>
      <c r="E132" s="1908"/>
      <c r="F132" s="1908"/>
      <c r="G132" s="1908"/>
      <c r="H132" s="1908"/>
      <c r="I132" s="1908"/>
      <c r="J132" s="1908"/>
      <c r="K132" s="1908"/>
      <c r="L132" s="1908"/>
      <c r="M132" s="1908"/>
      <c r="N132" s="1908"/>
      <c r="O132" s="1909"/>
      <c r="AME132" s="1903"/>
      <c r="AMF132" s="1903"/>
      <c r="AMG132" s="1903"/>
      <c r="AMH132" s="1903"/>
      <c r="AMI132" s="1903"/>
      <c r="AMJ132" s="1903"/>
    </row>
    <row r="133" spans="2:1024" ht="15.75" customHeight="1">
      <c r="B133" s="1907"/>
      <c r="C133" s="1908"/>
      <c r="D133" s="1908"/>
      <c r="E133" s="1908"/>
      <c r="F133" s="1908"/>
      <c r="G133" s="1908"/>
      <c r="H133" s="1908"/>
      <c r="I133" s="1908"/>
      <c r="J133" s="1908"/>
      <c r="K133" s="2205" t="s">
        <v>36</v>
      </c>
      <c r="L133" s="2206"/>
      <c r="M133" s="2206" t="s">
        <v>26</v>
      </c>
      <c r="N133" s="2209"/>
      <c r="O133" s="1909"/>
      <c r="AME133" s="1903"/>
      <c r="AMF133" s="1903"/>
      <c r="AMG133" s="1903"/>
      <c r="AMH133" s="1903"/>
      <c r="AMI133" s="1903"/>
      <c r="AMJ133" s="1903"/>
    </row>
    <row r="134" spans="2:1024" ht="15.75" customHeight="1">
      <c r="B134" s="1907"/>
      <c r="C134" s="1908"/>
      <c r="D134" s="1908"/>
      <c r="E134" s="1908"/>
      <c r="F134" s="1908"/>
      <c r="G134" s="1908"/>
      <c r="H134" s="1908"/>
      <c r="I134" s="1908"/>
      <c r="J134" s="1908"/>
      <c r="K134" s="2207"/>
      <c r="L134" s="2208"/>
      <c r="M134" s="2208"/>
      <c r="N134" s="2210"/>
      <c r="O134" s="1909"/>
      <c r="AME134" s="1903"/>
      <c r="AMF134" s="1903"/>
      <c r="AMG134" s="1903"/>
      <c r="AMH134" s="1903"/>
      <c r="AMI134" s="1903"/>
      <c r="AMJ134" s="1903"/>
    </row>
    <row r="135" spans="2:1024" ht="15.75" customHeight="1">
      <c r="B135" s="1907"/>
      <c r="C135" s="1908"/>
      <c r="D135" s="1908"/>
      <c r="E135" s="1908"/>
      <c r="F135" s="1908"/>
      <c r="G135" s="1908"/>
      <c r="H135" s="1908"/>
      <c r="I135" s="1908"/>
      <c r="J135" s="1908"/>
      <c r="K135" s="2207" t="s">
        <v>35</v>
      </c>
      <c r="L135" s="2208"/>
      <c r="M135" s="2213">
        <v>7700</v>
      </c>
      <c r="N135" s="2214"/>
      <c r="O135" s="1909"/>
      <c r="AME135" s="1903"/>
      <c r="AMF135" s="1903"/>
      <c r="AMG135" s="1903"/>
      <c r="AMH135" s="1903"/>
      <c r="AMI135" s="1903"/>
      <c r="AMJ135" s="1903"/>
    </row>
    <row r="136" spans="2:1024" ht="15.75" customHeight="1" thickBot="1">
      <c r="B136" s="1907"/>
      <c r="C136" s="1908"/>
      <c r="D136" s="1908"/>
      <c r="E136" s="1908"/>
      <c r="F136" s="1908"/>
      <c r="G136" s="1908"/>
      <c r="H136" s="1908"/>
      <c r="I136" s="1908"/>
      <c r="J136" s="1908"/>
      <c r="K136" s="2211"/>
      <c r="L136" s="2212"/>
      <c r="M136" s="2215"/>
      <c r="N136" s="2216"/>
      <c r="O136" s="1909"/>
      <c r="AME136" s="1903"/>
      <c r="AMF136" s="1903"/>
      <c r="AMG136" s="1903"/>
      <c r="AMH136" s="1903"/>
      <c r="AMI136" s="1903"/>
      <c r="AMJ136" s="1903"/>
    </row>
    <row r="137" spans="2:1024" ht="15.75" customHeight="1">
      <c r="B137" s="1907"/>
      <c r="C137" s="1908"/>
      <c r="D137" s="1908"/>
      <c r="E137" s="1908"/>
      <c r="F137" s="1908"/>
      <c r="G137" s="1908"/>
      <c r="H137" s="1908"/>
      <c r="I137" s="1908"/>
      <c r="J137" s="1908"/>
      <c r="K137" s="1908"/>
      <c r="L137" s="1908"/>
      <c r="M137" s="1908"/>
      <c r="N137" s="1908"/>
      <c r="O137" s="1909"/>
      <c r="AME137" s="1903"/>
      <c r="AMF137" s="1903"/>
      <c r="AMG137" s="1903"/>
      <c r="AMH137" s="1903"/>
      <c r="AMI137" s="1903"/>
      <c r="AMJ137" s="1903"/>
    </row>
    <row r="138" spans="2:1024" ht="15.75" customHeight="1" thickBot="1">
      <c r="B138" s="1907"/>
      <c r="C138" s="1908"/>
      <c r="D138" s="1908"/>
      <c r="E138" s="1908"/>
      <c r="F138" s="1908"/>
      <c r="G138" s="1908"/>
      <c r="H138" s="1908"/>
      <c r="I138" s="1908"/>
      <c r="J138" s="1908"/>
      <c r="K138" s="1908"/>
      <c r="L138" s="1908"/>
      <c r="M138" s="1908"/>
      <c r="N138" s="1908"/>
      <c r="O138" s="1909"/>
      <c r="AME138" s="1903"/>
      <c r="AMF138" s="1903"/>
      <c r="AMG138" s="1903"/>
      <c r="AMH138" s="1903"/>
      <c r="AMI138" s="1903"/>
      <c r="AMJ138" s="1903"/>
    </row>
    <row r="139" spans="2:1024" ht="15.75" customHeight="1">
      <c r="B139" s="1907"/>
      <c r="C139" s="1908"/>
      <c r="D139" s="1908"/>
      <c r="E139" s="1908"/>
      <c r="F139" s="1908"/>
      <c r="G139" s="1908"/>
      <c r="H139" s="1908"/>
      <c r="I139" s="1908"/>
      <c r="J139" s="1908"/>
      <c r="K139" s="2127" t="s">
        <v>430</v>
      </c>
      <c r="L139" s="2217"/>
      <c r="M139" s="2217"/>
      <c r="N139" s="2128"/>
      <c r="O139" s="1909"/>
      <c r="AME139" s="1903"/>
      <c r="AMF139" s="1903"/>
      <c r="AMG139" s="1903"/>
      <c r="AMH139" s="1903"/>
      <c r="AMI139" s="1903"/>
      <c r="AMJ139" s="1903"/>
    </row>
    <row r="140" spans="2:1024" ht="15.75" customHeight="1" thickBot="1">
      <c r="B140" s="1907"/>
      <c r="C140" s="1908"/>
      <c r="D140" s="1908"/>
      <c r="E140" s="1908"/>
      <c r="F140" s="1908"/>
      <c r="G140" s="1908"/>
      <c r="H140" s="1908"/>
      <c r="I140" s="1908"/>
      <c r="J140" s="1908"/>
      <c r="K140" s="2218"/>
      <c r="L140" s="2219"/>
      <c r="M140" s="2219"/>
      <c r="N140" s="2220"/>
      <c r="O140" s="1909"/>
      <c r="AME140" s="1903"/>
      <c r="AMF140" s="1903"/>
      <c r="AMG140" s="1903"/>
      <c r="AMH140" s="1903"/>
      <c r="AMI140" s="1903"/>
      <c r="AMJ140" s="1903"/>
    </row>
    <row r="141" spans="2:1024" ht="15.75" customHeight="1">
      <c r="B141" s="1907"/>
      <c r="C141" s="1908"/>
      <c r="D141" s="1908"/>
      <c r="E141" s="1908"/>
      <c r="F141" s="1908"/>
      <c r="G141" s="1908"/>
      <c r="H141" s="1908"/>
      <c r="I141" s="1908"/>
      <c r="J141" s="1908"/>
      <c r="K141" s="2221" t="s">
        <v>2</v>
      </c>
      <c r="L141" s="2222"/>
      <c r="M141" s="1941" t="s">
        <v>26</v>
      </c>
      <c r="N141" s="1942" t="s">
        <v>26</v>
      </c>
      <c r="O141" s="1909"/>
      <c r="AME141" s="1903"/>
      <c r="AMF141" s="1903"/>
      <c r="AMG141" s="1903"/>
      <c r="AMH141" s="1903"/>
      <c r="AMI141" s="1903"/>
      <c r="AMJ141" s="1903"/>
    </row>
    <row r="142" spans="2:1024" ht="15.75" customHeight="1">
      <c r="B142" s="1907"/>
      <c r="C142" s="1908"/>
      <c r="D142" s="1908"/>
      <c r="E142" s="1908"/>
      <c r="F142" s="1908"/>
      <c r="G142" s="1908"/>
      <c r="H142" s="1908"/>
      <c r="I142" s="1908"/>
      <c r="J142" s="1908"/>
      <c r="K142" s="2223"/>
      <c r="L142" s="2224"/>
      <c r="M142" s="1943" t="s">
        <v>463</v>
      </c>
      <c r="N142" s="1944" t="s">
        <v>480</v>
      </c>
      <c r="O142" s="1909"/>
      <c r="AME142" s="1903"/>
      <c r="AMF142" s="1903"/>
      <c r="AMG142" s="1903"/>
      <c r="AMH142" s="1903"/>
      <c r="AMI142" s="1903"/>
      <c r="AMJ142" s="1903"/>
    </row>
    <row r="143" spans="2:1024" ht="15.75" customHeight="1">
      <c r="B143" s="1907"/>
      <c r="C143" s="1908"/>
      <c r="D143" s="1908"/>
      <c r="E143" s="1908"/>
      <c r="F143" s="1908"/>
      <c r="G143" s="1908"/>
      <c r="H143" s="1908"/>
      <c r="I143" s="1908"/>
      <c r="J143" s="1908"/>
      <c r="K143" s="2197" t="s">
        <v>431</v>
      </c>
      <c r="L143" s="2198"/>
      <c r="M143" s="2201">
        <v>4100</v>
      </c>
      <c r="N143" s="2203">
        <v>5500</v>
      </c>
      <c r="O143" s="1909"/>
      <c r="AMD143" s="1903"/>
      <c r="AME143" s="1903"/>
      <c r="AMF143" s="1903"/>
      <c r="AMG143" s="1903"/>
      <c r="AMH143" s="1903"/>
      <c r="AMI143" s="1903"/>
      <c r="AMJ143" s="1903"/>
    </row>
    <row r="144" spans="2:1024" ht="15.75" customHeight="1">
      <c r="B144" s="1907"/>
      <c r="C144" s="1908"/>
      <c r="D144" s="1908"/>
      <c r="E144" s="1908"/>
      <c r="F144" s="1908"/>
      <c r="G144" s="1908"/>
      <c r="H144" s="1908"/>
      <c r="I144" s="1908"/>
      <c r="J144" s="1908"/>
      <c r="K144" s="2199"/>
      <c r="L144" s="2200"/>
      <c r="M144" s="2202"/>
      <c r="N144" s="2204"/>
      <c r="O144" s="1909"/>
      <c r="AMJ144" s="1903"/>
    </row>
    <row r="145" spans="2:1024" ht="15.75" customHeight="1">
      <c r="B145" s="1907"/>
      <c r="C145" s="1908"/>
      <c r="D145" s="1908"/>
      <c r="E145" s="1908"/>
      <c r="F145" s="1908"/>
      <c r="G145" s="1908"/>
      <c r="H145" s="1908"/>
      <c r="I145" s="1908"/>
      <c r="J145" s="1908"/>
      <c r="K145" s="2197" t="s">
        <v>464</v>
      </c>
      <c r="L145" s="2198"/>
      <c r="M145" s="2201">
        <v>8200</v>
      </c>
      <c r="N145" s="2203">
        <v>11000</v>
      </c>
      <c r="O145" s="1909"/>
      <c r="AMJ145" s="1903"/>
    </row>
    <row r="146" spans="2:1024" ht="15.75" customHeight="1">
      <c r="B146" s="1907"/>
      <c r="C146" s="1908"/>
      <c r="D146" s="1908"/>
      <c r="E146" s="1908"/>
      <c r="F146" s="1908"/>
      <c r="G146" s="1908"/>
      <c r="H146" s="1908"/>
      <c r="I146" s="1908"/>
      <c r="J146" s="1908"/>
      <c r="K146" s="2199"/>
      <c r="L146" s="2200"/>
      <c r="M146" s="2202"/>
      <c r="N146" s="2204"/>
      <c r="O146" s="1909"/>
      <c r="AMJ146" s="1903"/>
    </row>
    <row r="147" spans="2:1024" ht="15.75" customHeight="1">
      <c r="B147" s="1907"/>
      <c r="C147" s="1908"/>
      <c r="D147" s="1908"/>
      <c r="E147" s="1908"/>
      <c r="F147" s="1908"/>
      <c r="G147" s="1908"/>
      <c r="H147" s="1908"/>
      <c r="I147" s="1908"/>
      <c r="J147" s="1908"/>
      <c r="K147" s="2197" t="s">
        <v>465</v>
      </c>
      <c r="L147" s="2198"/>
      <c r="M147" s="2201">
        <v>12300</v>
      </c>
      <c r="N147" s="2203">
        <v>16500</v>
      </c>
      <c r="O147" s="1909"/>
      <c r="AMH147" s="1903"/>
      <c r="AMI147" s="1903"/>
      <c r="AMJ147" s="1903"/>
    </row>
    <row r="148" spans="2:1024" ht="15.75" customHeight="1">
      <c r="B148" s="1907"/>
      <c r="C148" s="1908"/>
      <c r="D148" s="1908"/>
      <c r="E148" s="1908"/>
      <c r="F148" s="1908"/>
      <c r="G148" s="1908"/>
      <c r="H148" s="1908"/>
      <c r="I148" s="1908"/>
      <c r="J148" s="1908"/>
      <c r="K148" s="2199"/>
      <c r="L148" s="2200"/>
      <c r="M148" s="2202"/>
      <c r="N148" s="2204"/>
      <c r="O148" s="1909"/>
      <c r="AMH148" s="1903"/>
      <c r="AMI148" s="1903"/>
      <c r="AMJ148" s="1903"/>
    </row>
    <row r="149" spans="2:1024" ht="15.75" customHeight="1">
      <c r="B149" s="1907"/>
      <c r="C149" s="1908"/>
      <c r="D149" s="1908"/>
      <c r="E149" s="1908"/>
      <c r="F149" s="1908"/>
      <c r="G149" s="1908"/>
      <c r="H149" s="1908"/>
      <c r="I149" s="1908"/>
      <c r="J149" s="1908"/>
      <c r="K149" s="2197" t="s">
        <v>466</v>
      </c>
      <c r="L149" s="2198"/>
      <c r="M149" s="2201">
        <v>16400</v>
      </c>
      <c r="N149" s="2203">
        <v>22000</v>
      </c>
      <c r="O149" s="1945"/>
      <c r="AMH149" s="1903"/>
      <c r="AMI149" s="1903"/>
      <c r="AMJ149" s="1903"/>
    </row>
    <row r="150" spans="2:1024" ht="15.75" customHeight="1">
      <c r="B150" s="1907"/>
      <c r="C150" s="1908"/>
      <c r="D150" s="1908"/>
      <c r="E150" s="1908"/>
      <c r="F150" s="1908"/>
      <c r="G150" s="1908"/>
      <c r="H150" s="1908"/>
      <c r="I150" s="1908"/>
      <c r="J150" s="1908"/>
      <c r="K150" s="2199"/>
      <c r="L150" s="2200"/>
      <c r="M150" s="2202"/>
      <c r="N150" s="2204"/>
      <c r="O150" s="1945"/>
      <c r="AMH150" s="1903"/>
      <c r="AMI150" s="1903"/>
      <c r="AMJ150" s="1903"/>
    </row>
    <row r="151" spans="2:1024" ht="15.75" customHeight="1">
      <c r="B151" s="1907"/>
      <c r="C151" s="1908"/>
      <c r="D151" s="1908"/>
      <c r="E151" s="1908"/>
      <c r="F151" s="1908"/>
      <c r="G151" s="1908"/>
      <c r="H151" s="1908"/>
      <c r="I151" s="1908"/>
      <c r="J151" s="1908"/>
      <c r="K151" s="2197" t="s">
        <v>467</v>
      </c>
      <c r="L151" s="2198"/>
      <c r="M151" s="2201">
        <v>20500</v>
      </c>
      <c r="N151" s="2203">
        <v>27500</v>
      </c>
      <c r="O151" s="1945"/>
      <c r="AMH151" s="1903"/>
      <c r="AMI151" s="1903"/>
      <c r="AMJ151" s="1903"/>
    </row>
    <row r="152" spans="2:1024" ht="15.75" customHeight="1" thickBot="1">
      <c r="B152" s="1907"/>
      <c r="C152" s="1908"/>
      <c r="D152" s="1908"/>
      <c r="E152" s="1908"/>
      <c r="F152" s="1908"/>
      <c r="G152" s="1908"/>
      <c r="H152" s="1908"/>
      <c r="I152" s="1908"/>
      <c r="J152" s="1908"/>
      <c r="K152" s="2225"/>
      <c r="L152" s="2226"/>
      <c r="M152" s="2227"/>
      <c r="N152" s="2228"/>
      <c r="O152" s="1945"/>
      <c r="AMH152" s="1903"/>
      <c r="AMI152" s="1903"/>
      <c r="AMJ152" s="1903"/>
    </row>
    <row r="153" spans="2:1024" ht="15.75" customHeight="1">
      <c r="B153" s="1907"/>
      <c r="C153" s="1908"/>
      <c r="D153" s="1908"/>
      <c r="E153" s="1908"/>
      <c r="F153" s="1908"/>
      <c r="G153" s="1908"/>
      <c r="H153" s="1908"/>
      <c r="I153" s="1908"/>
      <c r="J153" s="1908"/>
      <c r="K153" s="1908"/>
      <c r="L153" s="1908"/>
      <c r="M153" s="1908"/>
      <c r="N153" s="1908"/>
      <c r="O153" s="1945"/>
      <c r="AMH153" s="1903"/>
      <c r="AMI153" s="1903"/>
      <c r="AMJ153" s="1903"/>
    </row>
    <row r="154" spans="2:1024" ht="15.75" customHeight="1">
      <c r="B154" s="1907"/>
      <c r="C154" s="1908"/>
      <c r="D154" s="1908"/>
      <c r="E154" s="1908"/>
      <c r="F154" s="1908"/>
      <c r="G154" s="1908"/>
      <c r="H154" s="1908"/>
      <c r="I154" s="1908"/>
      <c r="J154" s="1908"/>
      <c r="K154" s="1908"/>
      <c r="L154" s="1908"/>
      <c r="M154" s="1908"/>
      <c r="N154" s="1908"/>
      <c r="O154" s="1945"/>
      <c r="AMH154" s="1903"/>
      <c r="AMI154" s="1903"/>
      <c r="AMJ154" s="1903"/>
    </row>
    <row r="155" spans="2:1024" ht="15.75" customHeight="1">
      <c r="B155" s="1907"/>
      <c r="C155" s="1908"/>
      <c r="D155" s="1908"/>
      <c r="E155" s="1908"/>
      <c r="F155" s="1908"/>
      <c r="G155" s="1908"/>
      <c r="H155" s="1908"/>
      <c r="I155" s="1908"/>
      <c r="J155" s="1908"/>
      <c r="K155" s="1908"/>
      <c r="L155" s="1908"/>
      <c r="M155" s="1908"/>
      <c r="N155" s="1908"/>
      <c r="O155" s="1945"/>
      <c r="AMH155" s="1903"/>
      <c r="AMI155" s="1903"/>
      <c r="AMJ155" s="1903"/>
    </row>
    <row r="156" spans="2:1024" ht="15.75" customHeight="1" thickBot="1">
      <c r="B156" s="1907"/>
      <c r="C156" s="1908"/>
      <c r="D156" s="1908"/>
      <c r="E156" s="1908"/>
      <c r="F156" s="1908"/>
      <c r="G156" s="1908"/>
      <c r="H156" s="1908"/>
      <c r="I156" s="1908"/>
      <c r="J156" s="1908"/>
      <c r="K156" s="1946"/>
      <c r="L156" s="1908"/>
      <c r="M156" s="1908"/>
      <c r="N156" s="1908"/>
      <c r="O156" s="1945"/>
      <c r="AMH156" s="1903"/>
      <c r="AMI156" s="1903"/>
      <c r="AMJ156" s="1903"/>
    </row>
    <row r="157" spans="2:1024" ht="15.75" customHeight="1">
      <c r="B157" s="1907"/>
      <c r="C157" s="2229" t="s">
        <v>7637</v>
      </c>
      <c r="D157" s="2230"/>
      <c r="E157" s="2230"/>
      <c r="F157" s="2230"/>
      <c r="G157" s="2230"/>
      <c r="H157" s="2230"/>
      <c r="I157" s="2230"/>
      <c r="J157" s="2231"/>
      <c r="K157" s="2238" t="s">
        <v>7641</v>
      </c>
      <c r="L157" s="2239"/>
      <c r="M157" s="2239"/>
      <c r="N157" s="2240"/>
      <c r="O157" s="1909"/>
      <c r="AMJ157" s="1903"/>
    </row>
    <row r="158" spans="2:1024" ht="15.75" customHeight="1">
      <c r="B158" s="1907"/>
      <c r="C158" s="2232"/>
      <c r="D158" s="2233"/>
      <c r="E158" s="2233"/>
      <c r="F158" s="2233"/>
      <c r="G158" s="2233"/>
      <c r="H158" s="2233"/>
      <c r="I158" s="2233"/>
      <c r="J158" s="2234"/>
      <c r="K158" s="2241"/>
      <c r="L158" s="2242"/>
      <c r="M158" s="2242"/>
      <c r="N158" s="2243"/>
      <c r="O158" s="1909"/>
      <c r="AMJ158" s="1903"/>
    </row>
    <row r="159" spans="2:1024" ht="15.75" customHeight="1">
      <c r="B159" s="1907"/>
      <c r="C159" s="2232"/>
      <c r="D159" s="2233"/>
      <c r="E159" s="2233"/>
      <c r="F159" s="2233"/>
      <c r="G159" s="2233"/>
      <c r="H159" s="2233"/>
      <c r="I159" s="2233"/>
      <c r="J159" s="2234"/>
      <c r="K159" s="2241"/>
      <c r="L159" s="2242"/>
      <c r="M159" s="2242"/>
      <c r="N159" s="2243"/>
      <c r="O159" s="1909"/>
      <c r="AMJ159" s="1903"/>
    </row>
    <row r="160" spans="2:1024" ht="15.75" customHeight="1" thickBot="1">
      <c r="B160" s="1907"/>
      <c r="C160" s="2235"/>
      <c r="D160" s="2236"/>
      <c r="E160" s="2236"/>
      <c r="F160" s="2236"/>
      <c r="G160" s="2236"/>
      <c r="H160" s="2236"/>
      <c r="I160" s="2236"/>
      <c r="J160" s="2237"/>
      <c r="K160" s="2244"/>
      <c r="L160" s="2245"/>
      <c r="M160" s="2245"/>
      <c r="N160" s="2246"/>
      <c r="O160" s="1909"/>
    </row>
    <row r="161" spans="2:19" ht="15.75" customHeight="1">
      <c r="B161" s="1907"/>
      <c r="C161" s="1908"/>
      <c r="D161" s="1947"/>
      <c r="E161" s="1947"/>
      <c r="F161" s="1947"/>
      <c r="G161" s="1947"/>
      <c r="H161" s="1947"/>
      <c r="I161" s="1947"/>
      <c r="J161" s="1947"/>
      <c r="K161" s="1908"/>
      <c r="L161" s="1908"/>
      <c r="M161" s="1908"/>
      <c r="N161" s="1908"/>
      <c r="O161" s="1909"/>
    </row>
    <row r="162" spans="2:19" ht="15.75" customHeight="1" thickBot="1">
      <c r="B162" s="1907"/>
      <c r="C162" s="1908"/>
      <c r="D162" s="1947"/>
      <c r="E162" s="1947"/>
      <c r="F162" s="1947"/>
      <c r="G162" s="1947"/>
      <c r="H162" s="1947"/>
      <c r="I162" s="1947"/>
      <c r="J162" s="1947"/>
      <c r="K162" s="1908"/>
      <c r="L162" s="1908"/>
      <c r="M162" s="1908"/>
      <c r="N162" s="1908"/>
      <c r="O162" s="1909"/>
    </row>
    <row r="163" spans="2:19" ht="15.75" customHeight="1">
      <c r="B163" s="1907"/>
      <c r="C163" s="1908"/>
      <c r="D163" s="1908"/>
      <c r="E163" s="1908"/>
      <c r="F163" s="1908"/>
      <c r="G163" s="1908"/>
      <c r="H163" s="1908"/>
      <c r="I163" s="1908"/>
      <c r="J163" s="1908"/>
      <c r="K163" s="2085" t="s">
        <v>7679</v>
      </c>
      <c r="L163" s="2086"/>
      <c r="M163" s="2086"/>
      <c r="N163" s="2087"/>
      <c r="O163" s="1909"/>
    </row>
    <row r="164" spans="2:19" ht="15.75" customHeight="1" thickBot="1">
      <c r="B164" s="1907"/>
      <c r="C164" s="1908"/>
      <c r="D164" s="1908"/>
      <c r="E164" s="1908"/>
      <c r="F164" s="1908"/>
      <c r="G164" s="1908"/>
      <c r="H164" s="1908"/>
      <c r="I164" s="1908"/>
      <c r="J164" s="1908"/>
      <c r="K164" s="2091"/>
      <c r="L164" s="2092"/>
      <c r="M164" s="2092"/>
      <c r="N164" s="2093"/>
      <c r="O164" s="1909"/>
    </row>
    <row r="165" spans="2:19" ht="15.75" customHeight="1" thickBot="1">
      <c r="B165" s="1907"/>
      <c r="C165" s="1908"/>
      <c r="D165" s="1908"/>
      <c r="E165" s="1908"/>
      <c r="F165" s="1908"/>
      <c r="G165" s="1908"/>
      <c r="H165" s="1908"/>
      <c r="I165" s="1908"/>
      <c r="J165" s="1908"/>
      <c r="K165" s="1908"/>
      <c r="L165" s="1908"/>
      <c r="M165" s="1908"/>
      <c r="N165" s="1908"/>
      <c r="O165" s="1909"/>
    </row>
    <row r="166" spans="2:19" ht="15.75" customHeight="1" thickBot="1">
      <c r="B166" s="1907"/>
      <c r="C166" s="1908"/>
      <c r="D166" s="1908"/>
      <c r="E166" s="1908"/>
      <c r="F166" s="1908"/>
      <c r="G166" s="1908"/>
      <c r="H166" s="1908"/>
      <c r="I166" s="1908"/>
      <c r="J166" s="1908"/>
      <c r="K166" s="2260" t="s">
        <v>36</v>
      </c>
      <c r="L166" s="2261"/>
      <c r="M166" s="2160" t="s">
        <v>26</v>
      </c>
      <c r="N166" s="2162"/>
      <c r="O166" s="1909"/>
    </row>
    <row r="167" spans="2:19" ht="15.75" customHeight="1" thickBot="1">
      <c r="B167" s="1907"/>
      <c r="C167" s="1908"/>
      <c r="D167" s="1908"/>
      <c r="E167" s="1908"/>
      <c r="F167" s="1908"/>
      <c r="G167" s="1908"/>
      <c r="H167" s="1908"/>
      <c r="I167" s="1908"/>
      <c r="J167" s="1908"/>
      <c r="K167" s="2262" t="s">
        <v>7642</v>
      </c>
      <c r="L167" s="2263"/>
      <c r="M167" s="2187">
        <v>6000</v>
      </c>
      <c r="N167" s="2188"/>
      <c r="O167" s="1909"/>
    </row>
    <row r="168" spans="2:19" ht="15.75" customHeight="1" thickBot="1">
      <c r="B168" s="1907"/>
      <c r="C168" s="1908"/>
      <c r="D168" s="1908"/>
      <c r="E168" s="1908"/>
      <c r="F168" s="1908"/>
      <c r="G168" s="1908"/>
      <c r="H168" s="1908"/>
      <c r="I168" s="1908"/>
      <c r="J168" s="1908"/>
      <c r="K168" s="2264" t="s">
        <v>7643</v>
      </c>
      <c r="L168" s="2265"/>
      <c r="M168" s="2187">
        <v>8200</v>
      </c>
      <c r="N168" s="2188"/>
      <c r="O168" s="1909"/>
    </row>
    <row r="169" spans="2:19" ht="15.75" customHeight="1">
      <c r="B169" s="1907"/>
      <c r="C169" s="1908"/>
      <c r="D169" s="1908"/>
      <c r="E169" s="1908"/>
      <c r="F169" s="1908"/>
      <c r="G169" s="1908"/>
      <c r="H169" s="1908"/>
      <c r="I169" s="1908"/>
      <c r="J169" s="1908"/>
      <c r="K169" s="1908"/>
      <c r="L169" s="1908"/>
      <c r="M169" s="1908"/>
      <c r="N169" s="1908"/>
      <c r="O169" s="1909"/>
    </row>
    <row r="170" spans="2:19" ht="15.75" customHeight="1">
      <c r="B170" s="1907"/>
      <c r="C170" s="1908"/>
      <c r="D170" s="1908"/>
      <c r="E170" s="1908"/>
      <c r="F170" s="1908"/>
      <c r="G170" s="1908"/>
      <c r="H170" s="1908"/>
      <c r="I170" s="1908"/>
      <c r="J170" s="1908"/>
      <c r="K170" s="2178" t="s">
        <v>57</v>
      </c>
      <c r="L170" s="2179"/>
      <c r="M170" s="2179"/>
      <c r="N170" s="2180"/>
      <c r="O170" s="1909"/>
    </row>
    <row r="171" spans="2:19" ht="15.75" customHeight="1">
      <c r="B171" s="1907"/>
      <c r="C171" s="1908"/>
      <c r="D171" s="1908"/>
      <c r="E171" s="1908"/>
      <c r="F171" s="1908"/>
      <c r="G171" s="1908"/>
      <c r="H171" s="1908"/>
      <c r="I171" s="1908"/>
      <c r="J171" s="1908"/>
      <c r="K171" s="2181"/>
      <c r="L171" s="2182"/>
      <c r="M171" s="2182"/>
      <c r="N171" s="2183"/>
      <c r="O171" s="1909"/>
    </row>
    <row r="172" spans="2:19" ht="15.75" customHeight="1">
      <c r="B172" s="1907"/>
      <c r="C172" s="1908"/>
      <c r="D172" s="1908"/>
      <c r="E172" s="1908"/>
      <c r="F172" s="1908"/>
      <c r="G172" s="1908"/>
      <c r="H172" s="1908"/>
      <c r="I172" s="1908"/>
      <c r="J172" s="1908"/>
      <c r="K172" s="2181"/>
      <c r="L172" s="2182"/>
      <c r="M172" s="2182"/>
      <c r="N172" s="2183"/>
      <c r="O172" s="1909"/>
    </row>
    <row r="173" spans="2:19" ht="15.75" customHeight="1">
      <c r="B173" s="1907"/>
      <c r="C173" s="1908"/>
      <c r="D173" s="1908"/>
      <c r="E173" s="1908"/>
      <c r="F173" s="1908"/>
      <c r="G173" s="1908"/>
      <c r="H173" s="1908"/>
      <c r="I173" s="1908"/>
      <c r="J173" s="1908"/>
      <c r="K173" s="2181"/>
      <c r="L173" s="2182"/>
      <c r="M173" s="2182"/>
      <c r="N173" s="2183"/>
      <c r="O173" s="1909"/>
    </row>
    <row r="174" spans="2:19" ht="15.75" customHeight="1">
      <c r="B174" s="1907"/>
      <c r="C174" s="1908"/>
      <c r="D174" s="1908"/>
      <c r="E174" s="1908"/>
      <c r="F174" s="1908"/>
      <c r="G174" s="1908"/>
      <c r="H174" s="1908"/>
      <c r="I174" s="1908"/>
      <c r="J174" s="1908"/>
      <c r="K174" s="2247" t="s">
        <v>423</v>
      </c>
      <c r="L174" s="2248"/>
      <c r="M174" s="2248"/>
      <c r="N174" s="2249"/>
      <c r="O174" s="1948"/>
      <c r="P174" s="1949"/>
      <c r="Q174" s="1950"/>
      <c r="R174" s="1950"/>
      <c r="S174" s="1950"/>
    </row>
    <row r="175" spans="2:19" ht="15.75" customHeight="1">
      <c r="B175" s="1907"/>
      <c r="C175" s="1908"/>
      <c r="D175" s="1908"/>
      <c r="E175" s="1908"/>
      <c r="F175" s="1908"/>
      <c r="G175" s="1908"/>
      <c r="H175" s="1908"/>
      <c r="I175" s="1908"/>
      <c r="J175" s="1908"/>
      <c r="K175" s="2247"/>
      <c r="L175" s="2248"/>
      <c r="M175" s="2248"/>
      <c r="N175" s="2249"/>
      <c r="O175" s="1948"/>
      <c r="P175" s="1949"/>
    </row>
    <row r="176" spans="2:19" ht="15.75" customHeight="1">
      <c r="B176" s="1907"/>
      <c r="C176" s="1908"/>
      <c r="D176" s="1908"/>
      <c r="E176" s="1908"/>
      <c r="F176" s="1908"/>
      <c r="G176" s="1908"/>
      <c r="H176" s="1908"/>
      <c r="I176" s="1908"/>
      <c r="J176" s="1908"/>
      <c r="K176" s="2247"/>
      <c r="L176" s="2248"/>
      <c r="M176" s="2248"/>
      <c r="N176" s="2249"/>
      <c r="O176" s="1948"/>
      <c r="P176" s="1949"/>
    </row>
    <row r="177" spans="2:19" ht="15.75" customHeight="1">
      <c r="B177" s="1907"/>
      <c r="C177" s="1908"/>
      <c r="D177" s="1908"/>
      <c r="E177" s="1908"/>
      <c r="F177" s="1908"/>
      <c r="G177" s="1908"/>
      <c r="H177" s="1908"/>
      <c r="I177" s="1908"/>
      <c r="J177" s="1908"/>
      <c r="K177" s="1997"/>
      <c r="L177" s="1998"/>
      <c r="M177" s="1998"/>
      <c r="N177" s="1999"/>
      <c r="O177" s="1909"/>
    </row>
    <row r="178" spans="2:19" ht="15.75" customHeight="1">
      <c r="B178" s="1907"/>
      <c r="C178" s="1908"/>
      <c r="D178" s="1908"/>
      <c r="E178" s="1908"/>
      <c r="F178" s="1908"/>
      <c r="G178" s="1908"/>
      <c r="H178" s="1908"/>
      <c r="I178" s="1908"/>
      <c r="J178" s="1908"/>
      <c r="K178" s="2247" t="s">
        <v>483</v>
      </c>
      <c r="L178" s="2248"/>
      <c r="M178" s="2248"/>
      <c r="N178" s="2249"/>
      <c r="O178" s="1909"/>
      <c r="S178" s="1949"/>
    </row>
    <row r="179" spans="2:19" ht="15.75" customHeight="1">
      <c r="B179" s="1907"/>
      <c r="C179" s="1908"/>
      <c r="D179" s="1908"/>
      <c r="E179" s="1908"/>
      <c r="F179" s="1908"/>
      <c r="G179" s="1908"/>
      <c r="H179" s="1908"/>
      <c r="I179" s="1908"/>
      <c r="J179" s="1908"/>
      <c r="K179" s="2247"/>
      <c r="L179" s="2248"/>
      <c r="M179" s="2248"/>
      <c r="N179" s="2249"/>
      <c r="O179" s="1909"/>
    </row>
    <row r="180" spans="2:19" ht="15.75" customHeight="1">
      <c r="B180" s="1907"/>
      <c r="C180" s="1908"/>
      <c r="D180" s="1908"/>
      <c r="E180" s="1908"/>
      <c r="F180" s="1908"/>
      <c r="G180" s="1908"/>
      <c r="H180" s="1908"/>
      <c r="I180" s="1908"/>
      <c r="J180" s="1908"/>
      <c r="K180" s="2250"/>
      <c r="L180" s="2251"/>
      <c r="M180" s="2251"/>
      <c r="N180" s="2252"/>
      <c r="O180" s="1909"/>
    </row>
    <row r="181" spans="2:19" ht="15.75" customHeight="1" thickBot="1">
      <c r="B181" s="1907"/>
      <c r="C181" s="1908"/>
      <c r="D181" s="1908"/>
      <c r="E181" s="1908"/>
      <c r="F181" s="1908"/>
      <c r="G181" s="1908"/>
      <c r="H181" s="1908"/>
      <c r="I181" s="1908"/>
      <c r="J181" s="1908"/>
      <c r="K181" s="1908"/>
      <c r="L181" s="1908"/>
      <c r="M181" s="1908"/>
      <c r="N181" s="1908"/>
      <c r="O181" s="1909"/>
    </row>
    <row r="182" spans="2:19" ht="15.75" customHeight="1">
      <c r="B182" s="1907"/>
      <c r="C182" s="2229" t="s">
        <v>7637</v>
      </c>
      <c r="D182" s="2230"/>
      <c r="E182" s="2230"/>
      <c r="F182" s="2230"/>
      <c r="G182" s="2230"/>
      <c r="H182" s="2230"/>
      <c r="I182" s="2230"/>
      <c r="J182" s="2231"/>
      <c r="K182" s="2253" t="s">
        <v>65</v>
      </c>
      <c r="L182" s="2254"/>
      <c r="M182" s="2254"/>
      <c r="N182" s="2255"/>
      <c r="O182" s="1909"/>
    </row>
    <row r="183" spans="2:19" ht="15.75" customHeight="1" thickBot="1">
      <c r="B183" s="1907"/>
      <c r="C183" s="2235"/>
      <c r="D183" s="2236"/>
      <c r="E183" s="2236"/>
      <c r="F183" s="2236"/>
      <c r="G183" s="2236"/>
      <c r="H183" s="2236"/>
      <c r="I183" s="2236"/>
      <c r="J183" s="2237"/>
      <c r="K183" s="2256"/>
      <c r="L183" s="2257"/>
      <c r="M183" s="2257"/>
      <c r="N183" s="2258"/>
      <c r="O183" s="1909"/>
    </row>
    <row r="184" spans="2:19" ht="15.75" customHeight="1" thickBot="1">
      <c r="B184" s="1921"/>
      <c r="C184" s="1922"/>
      <c r="D184" s="1922"/>
      <c r="E184" s="1922"/>
      <c r="F184" s="1922"/>
      <c r="G184" s="1922"/>
      <c r="H184" s="1922"/>
      <c r="I184" s="1922"/>
      <c r="J184" s="1922"/>
      <c r="K184" s="1922"/>
      <c r="L184" s="1922"/>
      <c r="M184" s="1922"/>
      <c r="N184" s="1922"/>
      <c r="O184" s="1924"/>
    </row>
    <row r="186" spans="2:19" ht="15.75" customHeight="1">
      <c r="C186" s="2259" t="s">
        <v>7644</v>
      </c>
      <c r="D186" s="2259"/>
      <c r="E186" s="2259"/>
      <c r="F186" s="2259"/>
      <c r="G186" s="2259"/>
      <c r="H186" s="2259"/>
      <c r="I186" s="2259"/>
      <c r="J186" s="2259"/>
    </row>
    <row r="187" spans="2:19" ht="15.75" customHeight="1">
      <c r="C187" s="2259"/>
      <c r="D187" s="2259"/>
      <c r="E187" s="2259"/>
      <c r="F187" s="2259"/>
      <c r="G187" s="2259"/>
      <c r="H187" s="2259"/>
      <c r="I187" s="2259"/>
      <c r="J187" s="2259"/>
      <c r="K187" s="1952"/>
      <c r="L187" s="1952"/>
    </row>
    <row r="188" spans="2:19" ht="15.75" customHeight="1">
      <c r="C188" s="2259"/>
      <c r="D188" s="2259"/>
      <c r="E188" s="2259"/>
      <c r="F188" s="2259"/>
      <c r="G188" s="2259"/>
      <c r="H188" s="2259"/>
      <c r="I188" s="2259"/>
      <c r="J188" s="2259"/>
      <c r="K188" s="1952"/>
      <c r="L188" s="1952"/>
    </row>
    <row r="189" spans="2:19" ht="15.75" customHeight="1" thickBot="1">
      <c r="K189" s="1952"/>
      <c r="L189" s="1952"/>
    </row>
    <row r="190" spans="2:19" ht="15.75" customHeight="1">
      <c r="B190" s="1904"/>
      <c r="C190" s="2290" t="s">
        <v>7645</v>
      </c>
      <c r="D190" s="2290"/>
      <c r="E190" s="2290"/>
      <c r="F190" s="2290"/>
      <c r="G190" s="2290"/>
      <c r="H190" s="2290"/>
      <c r="I190" s="2290"/>
      <c r="J190" s="2290"/>
      <c r="K190" s="1953"/>
      <c r="L190" s="1905"/>
      <c r="M190" s="1905"/>
      <c r="N190" s="1905"/>
      <c r="O190" s="1906"/>
    </row>
    <row r="191" spans="2:19" ht="15.75" customHeight="1">
      <c r="B191" s="1907"/>
      <c r="C191" s="2291"/>
      <c r="D191" s="2291"/>
      <c r="E191" s="2291"/>
      <c r="F191" s="2291"/>
      <c r="G191" s="2291"/>
      <c r="H191" s="2291"/>
      <c r="I191" s="2291"/>
      <c r="J191" s="2291"/>
      <c r="K191" s="1954"/>
      <c r="L191" s="1908"/>
      <c r="M191" s="1908"/>
      <c r="N191" s="1908"/>
      <c r="O191" s="1909"/>
    </row>
    <row r="192" spans="2:19" ht="15.75" customHeight="1">
      <c r="B192" s="1907"/>
      <c r="C192" s="2291"/>
      <c r="D192" s="2291"/>
      <c r="E192" s="2291"/>
      <c r="F192" s="2291"/>
      <c r="G192" s="2291"/>
      <c r="H192" s="2291"/>
      <c r="I192" s="2291"/>
      <c r="J192" s="2291"/>
      <c r="K192" s="1954"/>
      <c r="L192" s="1908"/>
      <c r="M192" s="1908"/>
      <c r="N192" s="1908"/>
      <c r="O192" s="1909"/>
    </row>
    <row r="193" spans="2:1024" ht="15.75" customHeight="1" thickBot="1">
      <c r="B193" s="1907"/>
      <c r="C193" s="2291"/>
      <c r="D193" s="2291"/>
      <c r="E193" s="2291"/>
      <c r="F193" s="2291"/>
      <c r="G193" s="2291"/>
      <c r="H193" s="2291"/>
      <c r="I193" s="2291"/>
      <c r="J193" s="2291"/>
      <c r="K193" s="1954"/>
      <c r="L193" s="1908"/>
      <c r="M193" s="1908"/>
      <c r="N193" s="1908"/>
      <c r="O193" s="1909"/>
    </row>
    <row r="194" spans="2:1024" ht="15.75" customHeight="1">
      <c r="B194" s="1907"/>
      <c r="C194" s="1908"/>
      <c r="D194" s="1908"/>
      <c r="E194" s="1908"/>
      <c r="F194" s="1908"/>
      <c r="G194" s="1908"/>
      <c r="H194" s="1908"/>
      <c r="I194" s="2292" t="s">
        <v>7670</v>
      </c>
      <c r="J194" s="2293"/>
      <c r="K194" s="2293"/>
      <c r="L194" s="2293"/>
      <c r="M194" s="2293"/>
      <c r="N194" s="2294"/>
      <c r="O194" s="1909"/>
    </row>
    <row r="195" spans="2:1024" ht="15.75" customHeight="1">
      <c r="B195" s="1907"/>
      <c r="C195" s="1908"/>
      <c r="D195" s="1908"/>
      <c r="E195" s="1908"/>
      <c r="F195" s="1908"/>
      <c r="G195" s="1908"/>
      <c r="H195" s="1908"/>
      <c r="I195" s="2295"/>
      <c r="J195" s="2296"/>
      <c r="K195" s="2296"/>
      <c r="L195" s="2296"/>
      <c r="M195" s="2296"/>
      <c r="N195" s="2297"/>
      <c r="O195" s="1909"/>
    </row>
    <row r="196" spans="2:1024" ht="15.75" customHeight="1">
      <c r="B196" s="1907"/>
      <c r="C196" s="1908"/>
      <c r="D196" s="1908"/>
      <c r="E196" s="1908"/>
      <c r="F196" s="1908"/>
      <c r="G196" s="1908"/>
      <c r="H196" s="1908"/>
      <c r="I196" s="2295"/>
      <c r="J196" s="2296"/>
      <c r="K196" s="2296"/>
      <c r="L196" s="2296"/>
      <c r="M196" s="2296"/>
      <c r="N196" s="2297"/>
      <c r="O196" s="1909"/>
    </row>
    <row r="197" spans="2:1024" ht="15.75" customHeight="1">
      <c r="B197" s="1907"/>
      <c r="C197" s="1908"/>
      <c r="D197" s="1908"/>
      <c r="E197" s="1908"/>
      <c r="F197" s="1908"/>
      <c r="G197" s="1908"/>
      <c r="H197" s="1908"/>
      <c r="I197" s="2295"/>
      <c r="J197" s="2296"/>
      <c r="K197" s="2296"/>
      <c r="L197" s="2296"/>
      <c r="M197" s="2296"/>
      <c r="N197" s="2297"/>
      <c r="O197" s="1909"/>
      <c r="Q197" s="1955"/>
      <c r="R197" s="1955"/>
    </row>
    <row r="198" spans="2:1024" ht="15.75" customHeight="1">
      <c r="B198" s="1907"/>
      <c r="C198" s="1908"/>
      <c r="D198" s="1908"/>
      <c r="E198" s="1908"/>
      <c r="F198" s="1908"/>
      <c r="G198" s="1908"/>
      <c r="H198" s="1908"/>
      <c r="I198" s="2295"/>
      <c r="J198" s="2296"/>
      <c r="K198" s="2296"/>
      <c r="L198" s="2296"/>
      <c r="M198" s="2296"/>
      <c r="N198" s="2297"/>
      <c r="O198" s="1909"/>
      <c r="Q198" s="1955"/>
      <c r="R198" s="1955"/>
    </row>
    <row r="199" spans="2:1024" ht="15.75" customHeight="1">
      <c r="B199" s="1907"/>
      <c r="C199" s="1908"/>
      <c r="D199" s="1908"/>
      <c r="E199" s="1908"/>
      <c r="F199" s="1908"/>
      <c r="G199" s="1908"/>
      <c r="H199" s="1908"/>
      <c r="I199" s="2295"/>
      <c r="J199" s="2296"/>
      <c r="K199" s="2296"/>
      <c r="L199" s="2296"/>
      <c r="M199" s="2296"/>
      <c r="N199" s="2297"/>
      <c r="O199" s="1909"/>
      <c r="R199" s="1955"/>
    </row>
    <row r="200" spans="2:1024" ht="15.75" customHeight="1">
      <c r="B200" s="1907"/>
      <c r="C200" s="1908"/>
      <c r="D200" s="1908"/>
      <c r="E200" s="1908"/>
      <c r="F200" s="1908"/>
      <c r="G200" s="1908"/>
      <c r="H200" s="1908"/>
      <c r="I200" s="2295"/>
      <c r="J200" s="2296"/>
      <c r="K200" s="2296"/>
      <c r="L200" s="2296"/>
      <c r="M200" s="2296"/>
      <c r="N200" s="2297"/>
      <c r="O200" s="1909"/>
      <c r="R200" s="1955"/>
    </row>
    <row r="201" spans="2:1024" ht="15.75" customHeight="1">
      <c r="B201" s="1907"/>
      <c r="C201" s="1908"/>
      <c r="D201" s="1908"/>
      <c r="E201" s="1908"/>
      <c r="F201" s="1908"/>
      <c r="G201" s="1908"/>
      <c r="H201" s="1908"/>
      <c r="I201" s="2295"/>
      <c r="J201" s="2296"/>
      <c r="K201" s="2296"/>
      <c r="L201" s="2296"/>
      <c r="M201" s="2296"/>
      <c r="N201" s="2297"/>
      <c r="O201" s="1909"/>
      <c r="R201"/>
    </row>
    <row r="202" spans="2:1024" ht="15.75" customHeight="1">
      <c r="B202" s="1907"/>
      <c r="C202" s="1908"/>
      <c r="D202" s="1908"/>
      <c r="E202" s="1908"/>
      <c r="F202" s="1908"/>
      <c r="G202" s="1908"/>
      <c r="H202" s="1908"/>
      <c r="I202" s="2295"/>
      <c r="J202" s="2296"/>
      <c r="K202" s="2296"/>
      <c r="L202" s="2296"/>
      <c r="M202" s="2296"/>
      <c r="N202" s="2297"/>
      <c r="O202" s="1909"/>
      <c r="R202" s="1955"/>
    </row>
    <row r="203" spans="2:1024" ht="15.75" customHeight="1">
      <c r="B203" s="1907"/>
      <c r="C203" s="1908"/>
      <c r="D203" s="1908"/>
      <c r="E203" s="1908"/>
      <c r="F203" s="1908"/>
      <c r="G203" s="1908"/>
      <c r="H203" s="1908"/>
      <c r="I203" s="2295"/>
      <c r="J203" s="2296"/>
      <c r="K203" s="2296"/>
      <c r="L203" s="2296"/>
      <c r="M203" s="2296"/>
      <c r="N203" s="2297"/>
      <c r="O203" s="1909"/>
      <c r="R203" s="1955"/>
    </row>
    <row r="204" spans="2:1024" ht="15.75" customHeight="1">
      <c r="B204" s="1907"/>
      <c r="C204" s="1908"/>
      <c r="D204" s="1908"/>
      <c r="E204" s="1908"/>
      <c r="F204" s="1908"/>
      <c r="G204" s="1908"/>
      <c r="H204" s="1908"/>
      <c r="I204" s="2295"/>
      <c r="J204" s="2296"/>
      <c r="K204" s="2296"/>
      <c r="L204" s="2296"/>
      <c r="M204" s="2296"/>
      <c r="N204" s="2297"/>
      <c r="O204" s="1909"/>
      <c r="R204" s="1955"/>
    </row>
    <row r="205" spans="2:1024" ht="15.75" customHeight="1">
      <c r="B205" s="1907"/>
      <c r="C205" s="1908"/>
      <c r="D205" s="1908"/>
      <c r="E205" s="1908"/>
      <c r="F205" s="1908"/>
      <c r="G205" s="1908"/>
      <c r="H205" s="1908"/>
      <c r="I205" s="2295"/>
      <c r="J205" s="2296"/>
      <c r="K205" s="2296"/>
      <c r="L205" s="2296"/>
      <c r="M205" s="2296"/>
      <c r="N205" s="2297"/>
      <c r="O205" s="1909"/>
      <c r="R205" s="1955"/>
    </row>
    <row r="206" spans="2:1024" ht="15.75" customHeight="1">
      <c r="B206" s="1907"/>
      <c r="C206" s="1908"/>
      <c r="D206" s="1908"/>
      <c r="E206" s="1908"/>
      <c r="F206" s="1908"/>
      <c r="G206" s="1908"/>
      <c r="H206" s="1908"/>
      <c r="I206" s="2295"/>
      <c r="J206" s="2296"/>
      <c r="K206" s="2296"/>
      <c r="L206" s="2296"/>
      <c r="M206" s="2296"/>
      <c r="N206" s="2297"/>
      <c r="O206" s="1909"/>
      <c r="R206" s="1955"/>
    </row>
    <row r="207" spans="2:1024" ht="15.75" customHeight="1" thickBot="1">
      <c r="B207" s="1907"/>
      <c r="C207" s="1908"/>
      <c r="D207" s="1908"/>
      <c r="E207" s="1908"/>
      <c r="F207" s="1956"/>
      <c r="G207" s="1956"/>
      <c r="H207" s="1956"/>
      <c r="I207" s="2298"/>
      <c r="J207" s="2299"/>
      <c r="K207" s="2299"/>
      <c r="L207" s="2299"/>
      <c r="M207" s="2299"/>
      <c r="N207" s="2300"/>
      <c r="O207" s="1909"/>
      <c r="Q207" s="1955"/>
      <c r="R207" s="1955"/>
    </row>
    <row r="208" spans="2:1024" s="1957" customFormat="1" ht="15.75" customHeight="1" thickBot="1">
      <c r="B208" s="1921"/>
      <c r="C208" s="1922"/>
      <c r="D208" s="1922"/>
      <c r="E208" s="1922"/>
      <c r="F208" s="1922"/>
      <c r="G208" s="1922"/>
      <c r="H208" s="1922"/>
      <c r="I208" s="1922"/>
      <c r="J208" s="1922"/>
      <c r="K208" s="1922"/>
      <c r="L208" s="1922"/>
      <c r="M208" s="1922"/>
      <c r="N208" s="1922"/>
      <c r="O208" s="1924"/>
      <c r="P208" s="1950"/>
      <c r="Q208" s="1958"/>
      <c r="R208" s="1958"/>
      <c r="S208" s="1950"/>
      <c r="T208" s="1950"/>
      <c r="U208" s="1950"/>
      <c r="V208" s="1950"/>
      <c r="W208" s="1950"/>
      <c r="X208" s="1950"/>
      <c r="Y208" s="1950"/>
      <c r="Z208" s="1950"/>
      <c r="AA208" s="1950"/>
      <c r="AB208" s="1950"/>
      <c r="AC208" s="1950"/>
      <c r="AD208" s="1950"/>
      <c r="AE208" s="1950"/>
      <c r="AF208" s="1950"/>
      <c r="AG208" s="1950"/>
      <c r="AH208" s="1950"/>
      <c r="AI208" s="1950"/>
      <c r="AJ208" s="1950"/>
      <c r="AK208" s="1950"/>
      <c r="AL208" s="1950"/>
      <c r="AM208" s="1950"/>
      <c r="AN208" s="1950"/>
      <c r="AO208" s="1950"/>
      <c r="AP208" s="1950"/>
      <c r="AQ208" s="1950"/>
      <c r="AR208" s="1950"/>
      <c r="AS208" s="1950"/>
      <c r="AT208" s="1950"/>
      <c r="AU208" s="1950"/>
      <c r="AV208" s="1950"/>
      <c r="AW208" s="1950"/>
      <c r="AX208" s="1950"/>
      <c r="AY208" s="1950"/>
      <c r="AZ208" s="1950"/>
      <c r="BA208" s="1950"/>
      <c r="BB208" s="1950"/>
      <c r="BC208" s="1950"/>
      <c r="BD208" s="1950"/>
      <c r="BE208" s="1950"/>
      <c r="BF208" s="1950"/>
      <c r="BG208" s="1950"/>
      <c r="BH208" s="1950"/>
      <c r="BI208" s="1950"/>
      <c r="BJ208" s="1950"/>
      <c r="BK208" s="1950"/>
      <c r="BL208" s="1950"/>
      <c r="BM208" s="1950"/>
      <c r="BN208" s="1950"/>
      <c r="BO208" s="1950"/>
      <c r="BP208" s="1950"/>
      <c r="BQ208" s="1950"/>
      <c r="BR208" s="1950"/>
      <c r="BS208" s="1950"/>
      <c r="BT208" s="1950"/>
      <c r="BU208" s="1950"/>
      <c r="BV208" s="1950"/>
      <c r="BW208" s="1950"/>
      <c r="BX208" s="1950"/>
      <c r="BY208" s="1950"/>
      <c r="BZ208" s="1950"/>
      <c r="CA208" s="1950"/>
      <c r="CB208" s="1950"/>
      <c r="CC208" s="1950"/>
      <c r="CD208" s="1950"/>
      <c r="CE208" s="1950"/>
      <c r="CF208" s="1950"/>
      <c r="CG208" s="1950"/>
      <c r="CH208" s="1950"/>
      <c r="CI208" s="1950"/>
      <c r="CJ208" s="1950"/>
      <c r="CK208" s="1950"/>
      <c r="CL208" s="1950"/>
      <c r="CM208" s="1950"/>
      <c r="CN208" s="1950"/>
      <c r="CO208" s="1950"/>
      <c r="CP208" s="1950"/>
      <c r="CQ208" s="1950"/>
      <c r="CR208" s="1950"/>
      <c r="CS208" s="1950"/>
      <c r="CT208" s="1950"/>
      <c r="CU208" s="1950"/>
      <c r="CV208" s="1950"/>
      <c r="CW208" s="1950"/>
      <c r="CX208" s="1950"/>
      <c r="CY208" s="1950"/>
      <c r="CZ208" s="1950"/>
      <c r="DA208" s="1950"/>
      <c r="DB208" s="1950"/>
      <c r="DC208" s="1950"/>
      <c r="DD208" s="1950"/>
      <c r="DE208" s="1950"/>
      <c r="DF208" s="1950"/>
      <c r="DG208" s="1950"/>
      <c r="DH208" s="1950"/>
      <c r="DI208" s="1950"/>
      <c r="DJ208" s="1950"/>
      <c r="DK208" s="1950"/>
      <c r="DL208" s="1950"/>
      <c r="DM208" s="1950"/>
      <c r="DN208" s="1950"/>
      <c r="DO208" s="1950"/>
      <c r="DP208" s="1950"/>
      <c r="DQ208" s="1950"/>
      <c r="DR208" s="1950"/>
      <c r="DS208" s="1950"/>
      <c r="DT208" s="1950"/>
      <c r="DU208" s="1950"/>
      <c r="DV208" s="1950"/>
      <c r="DW208" s="1950"/>
      <c r="DX208" s="1950"/>
      <c r="DY208" s="1950"/>
      <c r="DZ208" s="1950"/>
      <c r="EA208" s="1950"/>
      <c r="EB208" s="1950"/>
      <c r="EC208" s="1950"/>
      <c r="ED208" s="1950"/>
      <c r="EE208" s="1950"/>
      <c r="EF208" s="1950"/>
      <c r="EG208" s="1950"/>
      <c r="EH208" s="1950"/>
      <c r="EI208" s="1950"/>
      <c r="EJ208" s="1950"/>
      <c r="EK208" s="1950"/>
      <c r="EL208" s="1950"/>
      <c r="EM208" s="1950"/>
      <c r="EN208" s="1950"/>
      <c r="EO208" s="1950"/>
      <c r="EP208" s="1950"/>
      <c r="EQ208" s="1950"/>
      <c r="ER208" s="1950"/>
      <c r="ES208" s="1950"/>
      <c r="ET208" s="1950"/>
      <c r="EU208" s="1950"/>
      <c r="EV208" s="1950"/>
      <c r="EW208" s="1950"/>
      <c r="EX208" s="1950"/>
      <c r="EY208" s="1950"/>
      <c r="EZ208" s="1950"/>
      <c r="FA208" s="1950"/>
      <c r="FB208" s="1950"/>
      <c r="FC208" s="1950"/>
      <c r="FD208" s="1950"/>
      <c r="FE208" s="1950"/>
      <c r="FF208" s="1950"/>
      <c r="FG208" s="1950"/>
      <c r="FH208" s="1950"/>
      <c r="FI208" s="1950"/>
      <c r="FJ208" s="1950"/>
      <c r="FK208" s="1950"/>
      <c r="FL208" s="1950"/>
      <c r="FM208" s="1950"/>
      <c r="FN208" s="1950"/>
      <c r="FO208" s="1950"/>
      <c r="FP208" s="1950"/>
      <c r="FQ208" s="1950"/>
      <c r="FR208" s="1950"/>
      <c r="FS208" s="1950"/>
      <c r="FT208" s="1950"/>
      <c r="FU208" s="1950"/>
      <c r="FV208" s="1950"/>
      <c r="FW208" s="1950"/>
      <c r="FX208" s="1950"/>
      <c r="FY208" s="1950"/>
      <c r="FZ208" s="1950"/>
      <c r="GA208" s="1950"/>
      <c r="GB208" s="1950"/>
      <c r="GC208" s="1950"/>
      <c r="GD208" s="1950"/>
      <c r="GE208" s="1950"/>
      <c r="GF208" s="1950"/>
      <c r="GG208" s="1950"/>
      <c r="GH208" s="1950"/>
      <c r="GI208" s="1950"/>
      <c r="GJ208" s="1950"/>
      <c r="GK208" s="1950"/>
      <c r="GL208" s="1950"/>
      <c r="GM208" s="1950"/>
      <c r="GN208" s="1950"/>
      <c r="GO208" s="1950"/>
      <c r="GP208" s="1950"/>
      <c r="GQ208" s="1950"/>
      <c r="GR208" s="1950"/>
      <c r="GS208" s="1950"/>
      <c r="GT208" s="1950"/>
      <c r="GU208" s="1950"/>
      <c r="GV208" s="1950"/>
      <c r="GW208" s="1950"/>
      <c r="GX208" s="1950"/>
      <c r="GY208" s="1950"/>
      <c r="GZ208" s="1950"/>
      <c r="HA208" s="1950"/>
      <c r="HB208" s="1950"/>
      <c r="HC208" s="1950"/>
      <c r="HD208" s="1950"/>
      <c r="HE208" s="1950"/>
      <c r="HF208" s="1950"/>
      <c r="HG208" s="1950"/>
      <c r="HH208" s="1950"/>
      <c r="HI208" s="1950"/>
      <c r="HJ208" s="1950"/>
      <c r="HK208" s="1950"/>
      <c r="HL208" s="1950"/>
      <c r="HM208" s="1950"/>
      <c r="HN208" s="1950"/>
      <c r="HO208" s="1950"/>
      <c r="HP208" s="1950"/>
      <c r="HQ208" s="1950"/>
      <c r="HR208" s="1950"/>
      <c r="HS208" s="1950"/>
      <c r="HT208" s="1950"/>
      <c r="HU208" s="1950"/>
      <c r="HV208" s="1950"/>
      <c r="HW208" s="1950"/>
      <c r="HX208" s="1950"/>
      <c r="HY208" s="1950"/>
      <c r="HZ208" s="1950"/>
      <c r="IA208" s="1950"/>
      <c r="IB208" s="1950"/>
      <c r="IC208" s="1950"/>
      <c r="ID208" s="1950"/>
      <c r="IE208" s="1950"/>
      <c r="IF208" s="1950"/>
      <c r="IG208" s="1950"/>
      <c r="IH208" s="1950"/>
      <c r="II208" s="1950"/>
      <c r="IJ208" s="1950"/>
      <c r="IK208" s="1950"/>
      <c r="IL208" s="1950"/>
      <c r="IM208" s="1950"/>
      <c r="IN208" s="1950"/>
      <c r="IO208" s="1950"/>
      <c r="IP208" s="1950"/>
      <c r="IQ208" s="1950"/>
      <c r="IR208" s="1950"/>
      <c r="IS208" s="1950"/>
      <c r="IT208" s="1950"/>
      <c r="IU208" s="1950"/>
      <c r="IV208" s="1950"/>
      <c r="IW208" s="1950"/>
      <c r="IX208" s="1950"/>
      <c r="IY208" s="1950"/>
      <c r="IZ208" s="1950"/>
      <c r="JA208" s="1950"/>
      <c r="JB208" s="1950"/>
      <c r="JC208" s="1950"/>
      <c r="JD208" s="1950"/>
      <c r="JE208" s="1950"/>
      <c r="JF208" s="1950"/>
      <c r="JG208" s="1950"/>
      <c r="JH208" s="1950"/>
      <c r="JI208" s="1950"/>
      <c r="JJ208" s="1950"/>
      <c r="JK208" s="1950"/>
      <c r="JL208" s="1950"/>
      <c r="JM208" s="1950"/>
      <c r="JN208" s="1950"/>
      <c r="JO208" s="1950"/>
      <c r="JP208" s="1950"/>
      <c r="JQ208" s="1950"/>
      <c r="JR208" s="1950"/>
      <c r="JS208" s="1950"/>
      <c r="JT208" s="1950"/>
      <c r="JU208" s="1950"/>
      <c r="JV208" s="1950"/>
      <c r="JW208" s="1950"/>
      <c r="JX208" s="1950"/>
      <c r="JY208" s="1950"/>
      <c r="JZ208" s="1950"/>
      <c r="KA208" s="1950"/>
      <c r="KB208" s="1950"/>
      <c r="KC208" s="1950"/>
      <c r="KD208" s="1950"/>
      <c r="KE208" s="1950"/>
      <c r="KF208" s="1950"/>
      <c r="KG208" s="1950"/>
      <c r="KH208" s="1950"/>
      <c r="KI208" s="1950"/>
      <c r="KJ208" s="1950"/>
      <c r="KK208" s="1950"/>
      <c r="KL208" s="1950"/>
      <c r="KM208" s="1950"/>
      <c r="KN208" s="1950"/>
      <c r="KO208" s="1950"/>
      <c r="KP208" s="1950"/>
      <c r="KQ208" s="1950"/>
      <c r="KR208" s="1950"/>
      <c r="KS208" s="1950"/>
      <c r="KT208" s="1950"/>
      <c r="KU208" s="1950"/>
      <c r="KV208" s="1950"/>
      <c r="KW208" s="1950"/>
      <c r="KX208" s="1950"/>
      <c r="KY208" s="1950"/>
      <c r="KZ208" s="1950"/>
      <c r="LA208" s="1950"/>
      <c r="LB208" s="1950"/>
      <c r="LC208" s="1950"/>
      <c r="LD208" s="1950"/>
      <c r="LE208" s="1950"/>
      <c r="LF208" s="1950"/>
      <c r="LG208" s="1950"/>
      <c r="LH208" s="1950"/>
      <c r="LI208" s="1950"/>
      <c r="LJ208" s="1950"/>
      <c r="LK208" s="1950"/>
      <c r="LL208" s="1950"/>
      <c r="LM208" s="1950"/>
      <c r="LN208" s="1950"/>
      <c r="LO208" s="1950"/>
      <c r="LP208" s="1950"/>
      <c r="LQ208" s="1950"/>
      <c r="LR208" s="1950"/>
      <c r="LS208" s="1950"/>
      <c r="LT208" s="1950"/>
      <c r="LU208" s="1950"/>
      <c r="LV208" s="1950"/>
      <c r="LW208" s="1950"/>
      <c r="LX208" s="1950"/>
      <c r="LY208" s="1950"/>
      <c r="LZ208" s="1950"/>
      <c r="MA208" s="1950"/>
      <c r="MB208" s="1950"/>
      <c r="MC208" s="1950"/>
      <c r="MD208" s="1950"/>
      <c r="ME208" s="1950"/>
      <c r="MF208" s="1950"/>
      <c r="MG208" s="1950"/>
      <c r="MH208" s="1950"/>
      <c r="MI208" s="1950"/>
      <c r="MJ208" s="1950"/>
      <c r="MK208" s="1950"/>
      <c r="ML208" s="1950"/>
      <c r="MM208" s="1950"/>
      <c r="MN208" s="1950"/>
      <c r="MO208" s="1950"/>
      <c r="MP208" s="1950"/>
      <c r="MQ208" s="1950"/>
      <c r="MR208" s="1950"/>
      <c r="MS208" s="1950"/>
      <c r="MT208" s="1950"/>
      <c r="MU208" s="1950"/>
      <c r="MV208" s="1950"/>
      <c r="MW208" s="1950"/>
      <c r="MX208" s="1950"/>
      <c r="MY208" s="1950"/>
      <c r="MZ208" s="1950"/>
      <c r="NA208" s="1950"/>
      <c r="NB208" s="1950"/>
      <c r="NC208" s="1950"/>
      <c r="ND208" s="1950"/>
      <c r="NE208" s="1950"/>
      <c r="NF208" s="1950"/>
      <c r="NG208" s="1950"/>
      <c r="NH208" s="1950"/>
      <c r="NI208" s="1950"/>
      <c r="NJ208" s="1950"/>
      <c r="NK208" s="1950"/>
      <c r="NL208" s="1950"/>
      <c r="NM208" s="1950"/>
      <c r="NN208" s="1950"/>
      <c r="NO208" s="1950"/>
      <c r="NP208" s="1950"/>
      <c r="NQ208" s="1950"/>
      <c r="NR208" s="1950"/>
      <c r="NS208" s="1950"/>
      <c r="NT208" s="1950"/>
      <c r="NU208" s="1950"/>
      <c r="NV208" s="1950"/>
      <c r="NW208" s="1950"/>
      <c r="NX208" s="1950"/>
      <c r="NY208" s="1950"/>
      <c r="NZ208" s="1950"/>
      <c r="OA208" s="1950"/>
      <c r="OB208" s="1950"/>
      <c r="OC208" s="1950"/>
      <c r="OD208" s="1950"/>
      <c r="OE208" s="1950"/>
      <c r="OF208" s="1950"/>
      <c r="OG208" s="1950"/>
      <c r="OH208" s="1950"/>
      <c r="OI208" s="1950"/>
      <c r="OJ208" s="1950"/>
      <c r="OK208" s="1950"/>
      <c r="OL208" s="1950"/>
      <c r="OM208" s="1950"/>
      <c r="ON208" s="1950"/>
      <c r="OO208" s="1950"/>
      <c r="OP208" s="1950"/>
      <c r="OQ208" s="1950"/>
      <c r="OR208" s="1950"/>
      <c r="OS208" s="1950"/>
      <c r="OT208" s="1950"/>
      <c r="OU208" s="1950"/>
      <c r="OV208" s="1950"/>
      <c r="OW208" s="1950"/>
      <c r="OX208" s="1950"/>
      <c r="OY208" s="1950"/>
      <c r="OZ208" s="1950"/>
      <c r="PA208" s="1950"/>
      <c r="PB208" s="1950"/>
      <c r="PC208" s="1950"/>
      <c r="PD208" s="1950"/>
      <c r="PE208" s="1950"/>
      <c r="PF208" s="1950"/>
      <c r="PG208" s="1950"/>
      <c r="PH208" s="1950"/>
      <c r="PI208" s="1950"/>
      <c r="PJ208" s="1950"/>
      <c r="PK208" s="1950"/>
      <c r="PL208" s="1950"/>
      <c r="PM208" s="1950"/>
      <c r="PN208" s="1950"/>
      <c r="PO208" s="1950"/>
      <c r="PP208" s="1950"/>
      <c r="PQ208" s="1950"/>
      <c r="PR208" s="1950"/>
      <c r="PS208" s="1950"/>
      <c r="PT208" s="1950"/>
      <c r="PU208" s="1950"/>
      <c r="PV208" s="1950"/>
      <c r="PW208" s="1950"/>
      <c r="PX208" s="1950"/>
      <c r="PY208" s="1950"/>
      <c r="PZ208" s="1950"/>
      <c r="QA208" s="1950"/>
      <c r="QB208" s="1950"/>
      <c r="QC208" s="1950"/>
      <c r="QD208" s="1950"/>
      <c r="QE208" s="1950"/>
      <c r="QF208" s="1950"/>
      <c r="QG208" s="1950"/>
      <c r="QH208" s="1950"/>
      <c r="QI208" s="1950"/>
      <c r="QJ208" s="1950"/>
      <c r="QK208" s="1950"/>
      <c r="QL208" s="1950"/>
      <c r="QM208" s="1950"/>
      <c r="QN208" s="1950"/>
      <c r="QO208" s="1950"/>
      <c r="QP208" s="1950"/>
      <c r="QQ208" s="1950"/>
      <c r="QR208" s="1950"/>
      <c r="QS208" s="1950"/>
      <c r="QT208" s="1950"/>
      <c r="QU208" s="1950"/>
      <c r="QV208" s="1950"/>
      <c r="QW208" s="1950"/>
      <c r="QX208" s="1950"/>
      <c r="QY208" s="1950"/>
      <c r="QZ208" s="1950"/>
      <c r="RA208" s="1950"/>
      <c r="RB208" s="1950"/>
      <c r="RC208" s="1950"/>
      <c r="RD208" s="1950"/>
      <c r="RE208" s="1950"/>
      <c r="RF208" s="1950"/>
      <c r="RG208" s="1950"/>
      <c r="RH208" s="1950"/>
      <c r="RI208" s="1950"/>
      <c r="RJ208" s="1950"/>
      <c r="RK208" s="1950"/>
      <c r="RL208" s="1950"/>
      <c r="RM208" s="1950"/>
      <c r="RN208" s="1950"/>
      <c r="RO208" s="1950"/>
      <c r="RP208" s="1950"/>
      <c r="RQ208" s="1950"/>
      <c r="RR208" s="1950"/>
      <c r="RS208" s="1950"/>
      <c r="RT208" s="1950"/>
      <c r="RU208" s="1950"/>
      <c r="RV208" s="1950"/>
      <c r="RW208" s="1950"/>
      <c r="RX208" s="1950"/>
      <c r="RY208" s="1950"/>
      <c r="RZ208" s="1950"/>
      <c r="SA208" s="1950"/>
      <c r="SB208" s="1950"/>
      <c r="SC208" s="1950"/>
      <c r="SD208" s="1950"/>
      <c r="SE208" s="1950"/>
      <c r="SF208" s="1950"/>
      <c r="SG208" s="1950"/>
      <c r="SH208" s="1950"/>
      <c r="SI208" s="1950"/>
      <c r="SJ208" s="1950"/>
      <c r="SK208" s="1950"/>
      <c r="SL208" s="1950"/>
      <c r="SM208" s="1950"/>
      <c r="SN208" s="1950"/>
      <c r="SO208" s="1950"/>
      <c r="SP208" s="1950"/>
      <c r="SQ208" s="1950"/>
      <c r="SR208" s="1950"/>
      <c r="SS208" s="1950"/>
      <c r="ST208" s="1950"/>
      <c r="SU208" s="1950"/>
      <c r="SV208" s="1950"/>
      <c r="SW208" s="1950"/>
      <c r="SX208" s="1950"/>
      <c r="SY208" s="1950"/>
      <c r="SZ208" s="1950"/>
      <c r="TA208" s="1950"/>
      <c r="TB208" s="1950"/>
      <c r="TC208" s="1950"/>
      <c r="TD208" s="1950"/>
      <c r="TE208" s="1950"/>
      <c r="TF208" s="1950"/>
      <c r="TG208" s="1950"/>
      <c r="TH208" s="1950"/>
      <c r="TI208" s="1950"/>
      <c r="TJ208" s="1950"/>
      <c r="TK208" s="1950"/>
      <c r="TL208" s="1950"/>
      <c r="TM208" s="1950"/>
      <c r="TN208" s="1950"/>
      <c r="TO208" s="1950"/>
      <c r="TP208" s="1950"/>
      <c r="TQ208" s="1950"/>
      <c r="TR208" s="1950"/>
      <c r="TS208" s="1950"/>
      <c r="TT208" s="1950"/>
      <c r="TU208" s="1950"/>
      <c r="TV208" s="1950"/>
      <c r="TW208" s="1950"/>
      <c r="TX208" s="1950"/>
      <c r="TY208" s="1950"/>
      <c r="TZ208" s="1950"/>
      <c r="UA208" s="1950"/>
      <c r="UB208" s="1950"/>
      <c r="UC208" s="1950"/>
      <c r="UD208" s="1950"/>
      <c r="UE208" s="1950"/>
      <c r="UF208" s="1950"/>
      <c r="UG208" s="1950"/>
      <c r="UH208" s="1950"/>
      <c r="UI208" s="1950"/>
      <c r="UJ208" s="1950"/>
      <c r="UK208" s="1950"/>
      <c r="UL208" s="1950"/>
      <c r="UM208" s="1950"/>
      <c r="UN208" s="1950"/>
      <c r="UO208" s="1950"/>
      <c r="UP208" s="1950"/>
      <c r="UQ208" s="1950"/>
      <c r="UR208" s="1950"/>
      <c r="US208" s="1950"/>
      <c r="UT208" s="1950"/>
      <c r="UU208" s="1950"/>
      <c r="UV208" s="1950"/>
      <c r="UW208" s="1950"/>
      <c r="UX208" s="1950"/>
      <c r="UY208" s="1950"/>
      <c r="UZ208" s="1950"/>
      <c r="VA208" s="1950"/>
      <c r="VB208" s="1950"/>
      <c r="VC208" s="1950"/>
      <c r="VD208" s="1950"/>
      <c r="VE208" s="1950"/>
      <c r="VF208" s="1950"/>
      <c r="VG208" s="1950"/>
      <c r="VH208" s="1950"/>
      <c r="VI208" s="1950"/>
      <c r="VJ208" s="1950"/>
      <c r="VK208" s="1950"/>
      <c r="VL208" s="1950"/>
      <c r="VM208" s="1950"/>
      <c r="VN208" s="1950"/>
      <c r="VO208" s="1950"/>
      <c r="VP208" s="1950"/>
      <c r="VQ208" s="1950"/>
      <c r="VR208" s="1950"/>
      <c r="VS208" s="1950"/>
      <c r="VT208" s="1950"/>
      <c r="VU208" s="1950"/>
      <c r="VV208" s="1950"/>
      <c r="VW208" s="1950"/>
      <c r="VX208" s="1950"/>
      <c r="VY208" s="1950"/>
      <c r="VZ208" s="1950"/>
      <c r="WA208" s="1950"/>
      <c r="WB208" s="1950"/>
      <c r="WC208" s="1950"/>
      <c r="WD208" s="1950"/>
      <c r="WE208" s="1950"/>
      <c r="WF208" s="1950"/>
      <c r="WG208" s="1950"/>
      <c r="WH208" s="1950"/>
      <c r="WI208" s="1950"/>
      <c r="WJ208" s="1950"/>
      <c r="WK208" s="1950"/>
      <c r="WL208" s="1950"/>
      <c r="WM208" s="1950"/>
      <c r="WN208" s="1950"/>
      <c r="WO208" s="1950"/>
      <c r="WP208" s="1950"/>
      <c r="WQ208" s="1950"/>
      <c r="WR208" s="1950"/>
      <c r="WS208" s="1950"/>
      <c r="WT208" s="1950"/>
      <c r="WU208" s="1950"/>
      <c r="WV208" s="1950"/>
      <c r="WW208" s="1950"/>
      <c r="WX208" s="1950"/>
      <c r="WY208" s="1950"/>
      <c r="WZ208" s="1950"/>
      <c r="XA208" s="1950"/>
      <c r="XB208" s="1950"/>
      <c r="XC208" s="1950"/>
      <c r="XD208" s="1950"/>
      <c r="XE208" s="1950"/>
      <c r="XF208" s="1950"/>
      <c r="XG208" s="1950"/>
      <c r="XH208" s="1950"/>
      <c r="XI208" s="1950"/>
      <c r="XJ208" s="1950"/>
      <c r="XK208" s="1950"/>
      <c r="XL208" s="1950"/>
      <c r="XM208" s="1950"/>
      <c r="XN208" s="1950"/>
      <c r="XO208" s="1950"/>
      <c r="XP208" s="1950"/>
      <c r="XQ208" s="1950"/>
      <c r="XR208" s="1950"/>
      <c r="XS208" s="1950"/>
      <c r="XT208" s="1950"/>
      <c r="XU208" s="1950"/>
      <c r="XV208" s="1950"/>
      <c r="XW208" s="1950"/>
      <c r="XX208" s="1950"/>
      <c r="XY208" s="1950"/>
      <c r="XZ208" s="1950"/>
      <c r="YA208" s="1950"/>
      <c r="YB208" s="1950"/>
      <c r="YC208" s="1950"/>
      <c r="YD208" s="1950"/>
      <c r="YE208" s="1950"/>
      <c r="YF208" s="1950"/>
      <c r="YG208" s="1950"/>
      <c r="YH208" s="1950"/>
      <c r="YI208" s="1950"/>
      <c r="YJ208" s="1950"/>
      <c r="YK208" s="1950"/>
      <c r="YL208" s="1950"/>
      <c r="YM208" s="1950"/>
      <c r="YN208" s="1950"/>
      <c r="YO208" s="1950"/>
      <c r="YP208" s="1950"/>
      <c r="YQ208" s="1950"/>
      <c r="YR208" s="1950"/>
      <c r="YS208" s="1950"/>
      <c r="YT208" s="1950"/>
      <c r="YU208" s="1950"/>
      <c r="YV208" s="1950"/>
      <c r="YW208" s="1950"/>
      <c r="YX208" s="1950"/>
      <c r="YY208" s="1950"/>
      <c r="YZ208" s="1950"/>
      <c r="ZA208" s="1950"/>
      <c r="ZB208" s="1950"/>
      <c r="ZC208" s="1950"/>
      <c r="ZD208" s="1950"/>
      <c r="ZE208" s="1950"/>
      <c r="ZF208" s="1950"/>
      <c r="ZG208" s="1950"/>
      <c r="ZH208" s="1950"/>
      <c r="ZI208" s="1950"/>
      <c r="ZJ208" s="1950"/>
      <c r="ZK208" s="1950"/>
      <c r="ZL208" s="1950"/>
      <c r="ZM208" s="1950"/>
      <c r="ZN208" s="1950"/>
      <c r="ZO208" s="1950"/>
      <c r="ZP208" s="1950"/>
      <c r="ZQ208" s="1950"/>
      <c r="ZR208" s="1950"/>
      <c r="ZS208" s="1950"/>
      <c r="ZT208" s="1950"/>
      <c r="ZU208" s="1950"/>
      <c r="ZV208" s="1950"/>
      <c r="ZW208" s="1950"/>
      <c r="ZX208" s="1950"/>
      <c r="ZY208" s="1950"/>
      <c r="ZZ208" s="1950"/>
      <c r="AAA208" s="1950"/>
      <c r="AAB208" s="1950"/>
      <c r="AAC208" s="1950"/>
      <c r="AAD208" s="1950"/>
      <c r="AAE208" s="1950"/>
      <c r="AAF208" s="1950"/>
      <c r="AAG208" s="1950"/>
      <c r="AAH208" s="1950"/>
      <c r="AAI208" s="1950"/>
      <c r="AAJ208" s="1950"/>
      <c r="AAK208" s="1950"/>
      <c r="AAL208" s="1950"/>
      <c r="AAM208" s="1950"/>
      <c r="AAN208" s="1950"/>
      <c r="AAO208" s="1950"/>
      <c r="AAP208" s="1950"/>
      <c r="AAQ208" s="1950"/>
      <c r="AAR208" s="1950"/>
      <c r="AAS208" s="1950"/>
      <c r="AAT208" s="1950"/>
      <c r="AAU208" s="1950"/>
      <c r="AAV208" s="1950"/>
      <c r="AAW208" s="1950"/>
      <c r="AAX208" s="1950"/>
      <c r="AAY208" s="1950"/>
      <c r="AAZ208" s="1950"/>
      <c r="ABA208" s="1950"/>
      <c r="ABB208" s="1950"/>
      <c r="ABC208" s="1950"/>
      <c r="ABD208" s="1950"/>
      <c r="ABE208" s="1950"/>
      <c r="ABF208" s="1950"/>
      <c r="ABG208" s="1950"/>
      <c r="ABH208" s="1950"/>
      <c r="ABI208" s="1950"/>
      <c r="ABJ208" s="1950"/>
      <c r="ABK208" s="1950"/>
      <c r="ABL208" s="1950"/>
      <c r="ABM208" s="1950"/>
      <c r="ABN208" s="1950"/>
      <c r="ABO208" s="1950"/>
      <c r="ABP208" s="1950"/>
      <c r="ABQ208" s="1950"/>
      <c r="ABR208" s="1950"/>
      <c r="ABS208" s="1950"/>
      <c r="ABT208" s="1950"/>
      <c r="ABU208" s="1950"/>
      <c r="ABV208" s="1950"/>
      <c r="ABW208" s="1950"/>
      <c r="ABX208" s="1950"/>
      <c r="ABY208" s="1950"/>
      <c r="ABZ208" s="1950"/>
      <c r="ACA208" s="1950"/>
      <c r="ACB208" s="1950"/>
      <c r="ACC208" s="1950"/>
      <c r="ACD208" s="1950"/>
      <c r="ACE208" s="1950"/>
      <c r="ACF208" s="1950"/>
      <c r="ACG208" s="1950"/>
      <c r="ACH208" s="1950"/>
      <c r="ACI208" s="1950"/>
      <c r="ACJ208" s="1950"/>
      <c r="ACK208" s="1950"/>
      <c r="ACL208" s="1950"/>
      <c r="ACM208" s="1950"/>
      <c r="ACN208" s="1950"/>
      <c r="ACO208" s="1950"/>
      <c r="ACP208" s="1950"/>
      <c r="ACQ208" s="1950"/>
      <c r="ACR208" s="1950"/>
      <c r="ACS208" s="1950"/>
      <c r="ACT208" s="1950"/>
      <c r="ACU208" s="1950"/>
      <c r="ACV208" s="1950"/>
      <c r="ACW208" s="1950"/>
      <c r="ACX208" s="1950"/>
      <c r="ACY208" s="1950"/>
      <c r="ACZ208" s="1950"/>
      <c r="ADA208" s="1950"/>
      <c r="ADB208" s="1950"/>
      <c r="ADC208" s="1950"/>
      <c r="ADD208" s="1950"/>
      <c r="ADE208" s="1950"/>
      <c r="ADF208" s="1950"/>
      <c r="ADG208" s="1950"/>
      <c r="ADH208" s="1950"/>
      <c r="ADI208" s="1950"/>
      <c r="ADJ208" s="1950"/>
      <c r="ADK208" s="1950"/>
      <c r="ADL208" s="1950"/>
      <c r="ADM208" s="1950"/>
      <c r="ADN208" s="1950"/>
      <c r="ADO208" s="1950"/>
      <c r="ADP208" s="1950"/>
      <c r="ADQ208" s="1950"/>
      <c r="ADR208" s="1950"/>
      <c r="ADS208" s="1950"/>
      <c r="ADT208" s="1950"/>
      <c r="ADU208" s="1950"/>
      <c r="ADV208" s="1950"/>
      <c r="ADW208" s="1950"/>
      <c r="ADX208" s="1950"/>
      <c r="ADY208" s="1950"/>
      <c r="ADZ208" s="1950"/>
      <c r="AEA208" s="1950"/>
      <c r="AEB208" s="1950"/>
      <c r="AEC208" s="1950"/>
      <c r="AED208" s="1950"/>
      <c r="AEE208" s="1950"/>
      <c r="AEF208" s="1950"/>
      <c r="AEG208" s="1950"/>
      <c r="AEH208" s="1950"/>
      <c r="AEI208" s="1950"/>
      <c r="AEJ208" s="1950"/>
      <c r="AEK208" s="1950"/>
      <c r="AEL208" s="1950"/>
      <c r="AEM208" s="1950"/>
      <c r="AEN208" s="1950"/>
      <c r="AEO208" s="1950"/>
      <c r="AEP208" s="1950"/>
      <c r="AEQ208" s="1950"/>
      <c r="AER208" s="1950"/>
      <c r="AES208" s="1950"/>
      <c r="AET208" s="1950"/>
      <c r="AEU208" s="1950"/>
      <c r="AEV208" s="1950"/>
      <c r="AEW208" s="1950"/>
      <c r="AEX208" s="1950"/>
      <c r="AEY208" s="1950"/>
      <c r="AEZ208" s="1950"/>
      <c r="AFA208" s="1950"/>
      <c r="AFB208" s="1950"/>
      <c r="AFC208" s="1950"/>
      <c r="AFD208" s="1950"/>
      <c r="AFE208" s="1950"/>
      <c r="AFF208" s="1950"/>
      <c r="AFG208" s="1950"/>
      <c r="AFH208" s="1950"/>
      <c r="AFI208" s="1950"/>
      <c r="AFJ208" s="1950"/>
      <c r="AFK208" s="1950"/>
      <c r="AFL208" s="1950"/>
      <c r="AFM208" s="1950"/>
      <c r="AFN208" s="1950"/>
      <c r="AFO208" s="1950"/>
      <c r="AFP208" s="1950"/>
      <c r="AFQ208" s="1950"/>
      <c r="AFR208" s="1950"/>
      <c r="AFS208" s="1950"/>
      <c r="AFT208" s="1950"/>
      <c r="AFU208" s="1950"/>
      <c r="AFV208" s="1950"/>
      <c r="AFW208" s="1950"/>
      <c r="AFX208" s="1950"/>
      <c r="AFY208" s="1950"/>
      <c r="AFZ208" s="1950"/>
      <c r="AGA208" s="1950"/>
      <c r="AGB208" s="1950"/>
      <c r="AGC208" s="1950"/>
      <c r="AGD208" s="1950"/>
      <c r="AGE208" s="1950"/>
      <c r="AGF208" s="1950"/>
      <c r="AGG208" s="1950"/>
      <c r="AGH208" s="1950"/>
      <c r="AGI208" s="1950"/>
      <c r="AGJ208" s="1950"/>
      <c r="AGK208" s="1950"/>
      <c r="AGL208" s="1950"/>
      <c r="AGM208" s="1950"/>
      <c r="AGN208" s="1950"/>
      <c r="AGO208" s="1950"/>
      <c r="AGP208" s="1950"/>
      <c r="AGQ208" s="1950"/>
      <c r="AGR208" s="1950"/>
      <c r="AGS208" s="1950"/>
      <c r="AGT208" s="1950"/>
      <c r="AGU208" s="1950"/>
      <c r="AGV208" s="1950"/>
      <c r="AGW208" s="1950"/>
      <c r="AGX208" s="1950"/>
      <c r="AGY208" s="1950"/>
      <c r="AGZ208" s="1950"/>
      <c r="AHA208" s="1950"/>
      <c r="AHB208" s="1950"/>
      <c r="AHC208" s="1950"/>
      <c r="AHD208" s="1950"/>
      <c r="AHE208" s="1950"/>
      <c r="AHF208" s="1950"/>
      <c r="AHG208" s="1950"/>
      <c r="AHH208" s="1950"/>
      <c r="AHI208" s="1950"/>
      <c r="AHJ208" s="1950"/>
      <c r="AHK208" s="1950"/>
      <c r="AHL208" s="1950"/>
      <c r="AHM208" s="1950"/>
      <c r="AHN208" s="1950"/>
      <c r="AHO208" s="1950"/>
      <c r="AHP208" s="1950"/>
      <c r="AHQ208" s="1950"/>
      <c r="AHR208" s="1950"/>
      <c r="AHS208" s="1950"/>
      <c r="AHT208" s="1950"/>
      <c r="AHU208" s="1950"/>
      <c r="AHV208" s="1950"/>
      <c r="AHW208" s="1950"/>
      <c r="AHX208" s="1950"/>
      <c r="AHY208" s="1950"/>
      <c r="AHZ208" s="1950"/>
      <c r="AIA208" s="1950"/>
      <c r="AIB208" s="1950"/>
      <c r="AIC208" s="1950"/>
      <c r="AID208" s="1950"/>
      <c r="AIE208" s="1950"/>
      <c r="AIF208" s="1950"/>
      <c r="AIG208" s="1950"/>
      <c r="AIH208" s="1950"/>
      <c r="AII208" s="1950"/>
      <c r="AIJ208" s="1950"/>
      <c r="AIK208" s="1950"/>
      <c r="AIL208" s="1950"/>
      <c r="AIM208" s="1950"/>
      <c r="AIN208" s="1950"/>
      <c r="AIO208" s="1950"/>
      <c r="AIP208" s="1950"/>
      <c r="AIQ208" s="1950"/>
      <c r="AIR208" s="1950"/>
      <c r="AIS208" s="1950"/>
      <c r="AIT208" s="1950"/>
      <c r="AIU208" s="1950"/>
      <c r="AIV208" s="1950"/>
      <c r="AIW208" s="1950"/>
      <c r="AIX208" s="1950"/>
      <c r="AIY208" s="1950"/>
      <c r="AIZ208" s="1950"/>
      <c r="AJA208" s="1950"/>
      <c r="AJB208" s="1950"/>
      <c r="AJC208" s="1950"/>
      <c r="AJD208" s="1950"/>
      <c r="AJE208" s="1950"/>
      <c r="AJF208" s="1950"/>
      <c r="AJG208" s="1950"/>
      <c r="AJH208" s="1950"/>
      <c r="AJI208" s="1950"/>
      <c r="AJJ208" s="1950"/>
      <c r="AJK208" s="1950"/>
      <c r="AJL208" s="1950"/>
      <c r="AJM208" s="1950"/>
      <c r="AJN208" s="1950"/>
      <c r="AJO208" s="1950"/>
      <c r="AJP208" s="1950"/>
      <c r="AJQ208" s="1950"/>
      <c r="AJR208" s="1950"/>
      <c r="AJS208" s="1950"/>
      <c r="AJT208" s="1950"/>
      <c r="AJU208" s="1950"/>
      <c r="AJV208" s="1950"/>
      <c r="AJW208" s="1950"/>
      <c r="AJX208" s="1950"/>
      <c r="AJY208" s="1950"/>
      <c r="AJZ208" s="1950"/>
      <c r="AKA208" s="1950"/>
      <c r="AKB208" s="1950"/>
      <c r="AKC208" s="1950"/>
      <c r="AKD208" s="1950"/>
      <c r="AKE208" s="1950"/>
      <c r="AKF208" s="1950"/>
      <c r="AKG208" s="1950"/>
      <c r="AKH208" s="1950"/>
      <c r="AKI208" s="1950"/>
      <c r="AKJ208" s="1950"/>
      <c r="AKK208" s="1950"/>
      <c r="AKL208" s="1950"/>
      <c r="AKM208" s="1950"/>
      <c r="AKN208" s="1950"/>
      <c r="AKO208" s="1950"/>
      <c r="AKP208" s="1950"/>
      <c r="AKQ208" s="1950"/>
      <c r="AKR208" s="1950"/>
      <c r="AKS208" s="1950"/>
      <c r="AKT208" s="1950"/>
      <c r="AKU208" s="1950"/>
      <c r="AKV208" s="1950"/>
      <c r="AKW208" s="1950"/>
      <c r="AKX208" s="1950"/>
      <c r="AKY208" s="1950"/>
      <c r="AKZ208" s="1950"/>
      <c r="ALA208" s="1950"/>
      <c r="ALB208" s="1950"/>
      <c r="ALC208" s="1950"/>
      <c r="ALD208" s="1950"/>
      <c r="ALE208" s="1950"/>
      <c r="ALF208" s="1950"/>
      <c r="ALG208" s="1950"/>
      <c r="ALH208" s="1950"/>
      <c r="ALI208" s="1950"/>
      <c r="ALJ208" s="1950"/>
      <c r="ALK208" s="1950"/>
      <c r="ALL208" s="1950"/>
      <c r="ALM208" s="1950"/>
      <c r="ALN208" s="1950"/>
      <c r="ALO208" s="1950"/>
      <c r="ALP208" s="1950"/>
      <c r="ALQ208" s="1950"/>
      <c r="ALR208" s="1950"/>
      <c r="ALS208" s="1950"/>
      <c r="ALT208" s="1950"/>
      <c r="ALU208" s="1950"/>
      <c r="ALV208" s="1950"/>
      <c r="ALW208" s="1950"/>
      <c r="ALX208" s="1950"/>
      <c r="ALY208" s="1950"/>
      <c r="ALZ208" s="1950"/>
      <c r="AMA208" s="1950"/>
      <c r="AMB208" s="1950"/>
      <c r="AMC208" s="1950"/>
      <c r="AMD208" s="1950"/>
      <c r="AME208" s="1950"/>
      <c r="AMF208" s="1950"/>
      <c r="AMG208" s="1950"/>
      <c r="AMH208" s="1950"/>
      <c r="AMI208" s="1950"/>
      <c r="AMJ208" s="1950"/>
    </row>
    <row r="209" spans="1:1024" s="1957" customFormat="1" ht="15.75" customHeight="1">
      <c r="Q209" s="1958"/>
      <c r="R209" s="1958"/>
      <c r="S209" s="1950"/>
      <c r="T209" s="1950"/>
      <c r="U209" s="1950"/>
      <c r="V209" s="1950"/>
      <c r="W209" s="1950"/>
      <c r="X209" s="1950"/>
      <c r="Y209" s="1950"/>
      <c r="Z209" s="1950"/>
      <c r="AA209" s="1950"/>
      <c r="AB209" s="1950"/>
      <c r="AC209" s="1950"/>
      <c r="AD209" s="1950"/>
      <c r="AE209" s="1950"/>
      <c r="AF209" s="1950"/>
      <c r="AG209" s="1950"/>
      <c r="AH209" s="1950"/>
      <c r="AI209" s="1950"/>
      <c r="AJ209" s="1950"/>
      <c r="AK209" s="1950"/>
      <c r="AL209" s="1950"/>
      <c r="AM209" s="1950"/>
      <c r="AN209" s="1950"/>
      <c r="AO209" s="1950"/>
      <c r="AP209" s="1950"/>
      <c r="AQ209" s="1950"/>
      <c r="AR209" s="1950"/>
      <c r="AS209" s="1950"/>
      <c r="AT209" s="1950"/>
      <c r="AU209" s="1950"/>
      <c r="AV209" s="1950"/>
      <c r="AW209" s="1950"/>
      <c r="AX209" s="1950"/>
      <c r="AY209" s="1950"/>
      <c r="AZ209" s="1950"/>
      <c r="BA209" s="1950"/>
      <c r="BB209" s="1950"/>
      <c r="BC209" s="1950"/>
      <c r="BD209" s="1950"/>
      <c r="BE209" s="1950"/>
      <c r="BF209" s="1950"/>
      <c r="BG209" s="1950"/>
      <c r="BH209" s="1950"/>
      <c r="BI209" s="1950"/>
      <c r="BJ209" s="1950"/>
      <c r="BK209" s="1950"/>
      <c r="BL209" s="1950"/>
      <c r="BM209" s="1950"/>
      <c r="BN209" s="1950"/>
      <c r="BO209" s="1950"/>
      <c r="BP209" s="1950"/>
      <c r="BQ209" s="1950"/>
      <c r="BR209" s="1950"/>
      <c r="BS209" s="1950"/>
      <c r="BT209" s="1950"/>
      <c r="BU209" s="1950"/>
      <c r="BV209" s="1950"/>
      <c r="BW209" s="1950"/>
      <c r="BX209" s="1950"/>
      <c r="BY209" s="1950"/>
      <c r="BZ209" s="1950"/>
      <c r="CA209" s="1950"/>
      <c r="CB209" s="1950"/>
      <c r="CC209" s="1950"/>
      <c r="CD209" s="1950"/>
      <c r="CE209" s="1950"/>
      <c r="CF209" s="1950"/>
      <c r="CG209" s="1950"/>
      <c r="CH209" s="1950"/>
      <c r="CI209" s="1950"/>
      <c r="CJ209" s="1950"/>
      <c r="CK209" s="1950"/>
      <c r="CL209" s="1950"/>
      <c r="CM209" s="1950"/>
      <c r="CN209" s="1950"/>
      <c r="CO209" s="1950"/>
      <c r="CP209" s="1950"/>
      <c r="CQ209" s="1950"/>
      <c r="CR209" s="1950"/>
      <c r="CS209" s="1950"/>
      <c r="CT209" s="1950"/>
      <c r="CU209" s="1950"/>
      <c r="CV209" s="1950"/>
      <c r="CW209" s="1950"/>
      <c r="CX209" s="1950"/>
      <c r="CY209" s="1950"/>
      <c r="CZ209" s="1950"/>
      <c r="DA209" s="1950"/>
      <c r="DB209" s="1950"/>
      <c r="DC209" s="1950"/>
      <c r="DD209" s="1950"/>
      <c r="DE209" s="1950"/>
      <c r="DF209" s="1950"/>
      <c r="DG209" s="1950"/>
      <c r="DH209" s="1950"/>
      <c r="DI209" s="1950"/>
      <c r="DJ209" s="1950"/>
      <c r="DK209" s="1950"/>
      <c r="DL209" s="1950"/>
      <c r="DM209" s="1950"/>
      <c r="DN209" s="1950"/>
      <c r="DO209" s="1950"/>
      <c r="DP209" s="1950"/>
      <c r="DQ209" s="1950"/>
      <c r="DR209" s="1950"/>
      <c r="DS209" s="1950"/>
      <c r="DT209" s="1950"/>
      <c r="DU209" s="1950"/>
      <c r="DV209" s="1950"/>
      <c r="DW209" s="1950"/>
      <c r="DX209" s="1950"/>
      <c r="DY209" s="1950"/>
      <c r="DZ209" s="1950"/>
      <c r="EA209" s="1950"/>
      <c r="EB209" s="1950"/>
      <c r="EC209" s="1950"/>
      <c r="ED209" s="1950"/>
      <c r="EE209" s="1950"/>
      <c r="EF209" s="1950"/>
      <c r="EG209" s="1950"/>
      <c r="EH209" s="1950"/>
      <c r="EI209" s="1950"/>
      <c r="EJ209" s="1950"/>
      <c r="EK209" s="1950"/>
      <c r="EL209" s="1950"/>
      <c r="EM209" s="1950"/>
      <c r="EN209" s="1950"/>
      <c r="EO209" s="1950"/>
      <c r="EP209" s="1950"/>
      <c r="EQ209" s="1950"/>
      <c r="ER209" s="1950"/>
      <c r="ES209" s="1950"/>
      <c r="ET209" s="1950"/>
      <c r="EU209" s="1950"/>
      <c r="EV209" s="1950"/>
      <c r="EW209" s="1950"/>
      <c r="EX209" s="1950"/>
      <c r="EY209" s="1950"/>
      <c r="EZ209" s="1950"/>
      <c r="FA209" s="1950"/>
      <c r="FB209" s="1950"/>
      <c r="FC209" s="1950"/>
      <c r="FD209" s="1950"/>
      <c r="FE209" s="1950"/>
      <c r="FF209" s="1950"/>
      <c r="FG209" s="1950"/>
      <c r="FH209" s="1950"/>
      <c r="FI209" s="1950"/>
      <c r="FJ209" s="1950"/>
      <c r="FK209" s="1950"/>
      <c r="FL209" s="1950"/>
      <c r="FM209" s="1950"/>
      <c r="FN209" s="1950"/>
      <c r="FO209" s="1950"/>
      <c r="FP209" s="1950"/>
      <c r="FQ209" s="1950"/>
      <c r="FR209" s="1950"/>
      <c r="FS209" s="1950"/>
      <c r="FT209" s="1950"/>
      <c r="FU209" s="1950"/>
      <c r="FV209" s="1950"/>
      <c r="FW209" s="1950"/>
      <c r="FX209" s="1950"/>
      <c r="FY209" s="1950"/>
      <c r="FZ209" s="1950"/>
      <c r="GA209" s="1950"/>
      <c r="GB209" s="1950"/>
      <c r="GC209" s="1950"/>
      <c r="GD209" s="1950"/>
      <c r="GE209" s="1950"/>
      <c r="GF209" s="1950"/>
      <c r="GG209" s="1950"/>
      <c r="GH209" s="1950"/>
      <c r="GI209" s="1950"/>
      <c r="GJ209" s="1950"/>
      <c r="GK209" s="1950"/>
      <c r="GL209" s="1950"/>
      <c r="GM209" s="1950"/>
      <c r="GN209" s="1950"/>
      <c r="GO209" s="1950"/>
      <c r="GP209" s="1950"/>
      <c r="GQ209" s="1950"/>
      <c r="GR209" s="1950"/>
      <c r="GS209" s="1950"/>
      <c r="GT209" s="1950"/>
      <c r="GU209" s="1950"/>
      <c r="GV209" s="1950"/>
      <c r="GW209" s="1950"/>
      <c r="GX209" s="1950"/>
      <c r="GY209" s="1950"/>
      <c r="GZ209" s="1950"/>
      <c r="HA209" s="1950"/>
      <c r="HB209" s="1950"/>
      <c r="HC209" s="1950"/>
      <c r="HD209" s="1950"/>
      <c r="HE209" s="1950"/>
      <c r="HF209" s="1950"/>
      <c r="HG209" s="1950"/>
      <c r="HH209" s="1950"/>
      <c r="HI209" s="1950"/>
      <c r="HJ209" s="1950"/>
      <c r="HK209" s="1950"/>
      <c r="HL209" s="1950"/>
      <c r="HM209" s="1950"/>
      <c r="HN209" s="1950"/>
      <c r="HO209" s="1950"/>
      <c r="HP209" s="1950"/>
      <c r="HQ209" s="1950"/>
      <c r="HR209" s="1950"/>
      <c r="HS209" s="1950"/>
      <c r="HT209" s="1950"/>
      <c r="HU209" s="1950"/>
      <c r="HV209" s="1950"/>
      <c r="HW209" s="1950"/>
      <c r="HX209" s="1950"/>
      <c r="HY209" s="1950"/>
      <c r="HZ209" s="1950"/>
      <c r="IA209" s="1950"/>
      <c r="IB209" s="1950"/>
      <c r="IC209" s="1950"/>
      <c r="ID209" s="1950"/>
      <c r="IE209" s="1950"/>
      <c r="IF209" s="1950"/>
      <c r="IG209" s="1950"/>
      <c r="IH209" s="1950"/>
      <c r="II209" s="1950"/>
      <c r="IJ209" s="1950"/>
      <c r="IK209" s="1950"/>
      <c r="IL209" s="1950"/>
      <c r="IM209" s="1950"/>
      <c r="IN209" s="1950"/>
      <c r="IO209" s="1950"/>
      <c r="IP209" s="1950"/>
      <c r="IQ209" s="1950"/>
      <c r="IR209" s="1950"/>
      <c r="IS209" s="1950"/>
      <c r="IT209" s="1950"/>
      <c r="IU209" s="1950"/>
      <c r="IV209" s="1950"/>
      <c r="IW209" s="1950"/>
      <c r="IX209" s="1950"/>
      <c r="IY209" s="1950"/>
      <c r="IZ209" s="1950"/>
      <c r="JA209" s="1950"/>
      <c r="JB209" s="1950"/>
      <c r="JC209" s="1950"/>
      <c r="JD209" s="1950"/>
      <c r="JE209" s="1950"/>
      <c r="JF209" s="1950"/>
      <c r="JG209" s="1950"/>
      <c r="JH209" s="1950"/>
      <c r="JI209" s="1950"/>
      <c r="JJ209" s="1950"/>
      <c r="JK209" s="1950"/>
      <c r="JL209" s="1950"/>
      <c r="JM209" s="1950"/>
      <c r="JN209" s="1950"/>
      <c r="JO209" s="1950"/>
      <c r="JP209" s="1950"/>
      <c r="JQ209" s="1950"/>
      <c r="JR209" s="1950"/>
      <c r="JS209" s="1950"/>
      <c r="JT209" s="1950"/>
      <c r="JU209" s="1950"/>
      <c r="JV209" s="1950"/>
      <c r="JW209" s="1950"/>
      <c r="JX209" s="1950"/>
      <c r="JY209" s="1950"/>
      <c r="JZ209" s="1950"/>
      <c r="KA209" s="1950"/>
      <c r="KB209" s="1950"/>
      <c r="KC209" s="1950"/>
      <c r="KD209" s="1950"/>
      <c r="KE209" s="1950"/>
      <c r="KF209" s="1950"/>
      <c r="KG209" s="1950"/>
      <c r="KH209" s="1950"/>
      <c r="KI209" s="1950"/>
      <c r="KJ209" s="1950"/>
      <c r="KK209" s="1950"/>
      <c r="KL209" s="1950"/>
      <c r="KM209" s="1950"/>
      <c r="KN209" s="1950"/>
      <c r="KO209" s="1950"/>
      <c r="KP209" s="1950"/>
      <c r="KQ209" s="1950"/>
      <c r="KR209" s="1950"/>
      <c r="KS209" s="1950"/>
      <c r="KT209" s="1950"/>
      <c r="KU209" s="1950"/>
      <c r="KV209" s="1950"/>
      <c r="KW209" s="1950"/>
      <c r="KX209" s="1950"/>
      <c r="KY209" s="1950"/>
      <c r="KZ209" s="1950"/>
      <c r="LA209" s="1950"/>
      <c r="LB209" s="1950"/>
      <c r="LC209" s="1950"/>
      <c r="LD209" s="1950"/>
      <c r="LE209" s="1950"/>
      <c r="LF209" s="1950"/>
      <c r="LG209" s="1950"/>
      <c r="LH209" s="1950"/>
      <c r="LI209" s="1950"/>
      <c r="LJ209" s="1950"/>
      <c r="LK209" s="1950"/>
      <c r="LL209" s="1950"/>
      <c r="LM209" s="1950"/>
      <c r="LN209" s="1950"/>
      <c r="LO209" s="1950"/>
      <c r="LP209" s="1950"/>
      <c r="LQ209" s="1950"/>
      <c r="LR209" s="1950"/>
      <c r="LS209" s="1950"/>
      <c r="LT209" s="1950"/>
      <c r="LU209" s="1950"/>
      <c r="LV209" s="1950"/>
      <c r="LW209" s="1950"/>
      <c r="LX209" s="1950"/>
      <c r="LY209" s="1950"/>
      <c r="LZ209" s="1950"/>
      <c r="MA209" s="1950"/>
      <c r="MB209" s="1950"/>
      <c r="MC209" s="1950"/>
      <c r="MD209" s="1950"/>
      <c r="ME209" s="1950"/>
      <c r="MF209" s="1950"/>
      <c r="MG209" s="1950"/>
      <c r="MH209" s="1950"/>
      <c r="MI209" s="1950"/>
      <c r="MJ209" s="1950"/>
      <c r="MK209" s="1950"/>
      <c r="ML209" s="1950"/>
      <c r="MM209" s="1950"/>
      <c r="MN209" s="1950"/>
      <c r="MO209" s="1950"/>
      <c r="MP209" s="1950"/>
      <c r="MQ209" s="1950"/>
      <c r="MR209" s="1950"/>
      <c r="MS209" s="1950"/>
      <c r="MT209" s="1950"/>
      <c r="MU209" s="1950"/>
      <c r="MV209" s="1950"/>
      <c r="MW209" s="1950"/>
      <c r="MX209" s="1950"/>
      <c r="MY209" s="1950"/>
      <c r="MZ209" s="1950"/>
      <c r="NA209" s="1950"/>
      <c r="NB209" s="1950"/>
      <c r="NC209" s="1950"/>
      <c r="ND209" s="1950"/>
      <c r="NE209" s="1950"/>
      <c r="NF209" s="1950"/>
      <c r="NG209" s="1950"/>
      <c r="NH209" s="1950"/>
      <c r="NI209" s="1950"/>
      <c r="NJ209" s="1950"/>
      <c r="NK209" s="1950"/>
      <c r="NL209" s="1950"/>
      <c r="NM209" s="1950"/>
      <c r="NN209" s="1950"/>
      <c r="NO209" s="1950"/>
      <c r="NP209" s="1950"/>
      <c r="NQ209" s="1950"/>
      <c r="NR209" s="1950"/>
      <c r="NS209" s="1950"/>
      <c r="NT209" s="1950"/>
      <c r="NU209" s="1950"/>
      <c r="NV209" s="1950"/>
      <c r="NW209" s="1950"/>
      <c r="NX209" s="1950"/>
      <c r="NY209" s="1950"/>
      <c r="NZ209" s="1950"/>
      <c r="OA209" s="1950"/>
      <c r="OB209" s="1950"/>
      <c r="OC209" s="1950"/>
      <c r="OD209" s="1950"/>
      <c r="OE209" s="1950"/>
      <c r="OF209" s="1950"/>
      <c r="OG209" s="1950"/>
      <c r="OH209" s="1950"/>
      <c r="OI209" s="1950"/>
      <c r="OJ209" s="1950"/>
      <c r="OK209" s="1950"/>
      <c r="OL209" s="1950"/>
      <c r="OM209" s="1950"/>
      <c r="ON209" s="1950"/>
      <c r="OO209" s="1950"/>
      <c r="OP209" s="1950"/>
      <c r="OQ209" s="1950"/>
      <c r="OR209" s="1950"/>
      <c r="OS209" s="1950"/>
      <c r="OT209" s="1950"/>
      <c r="OU209" s="1950"/>
      <c r="OV209" s="1950"/>
      <c r="OW209" s="1950"/>
      <c r="OX209" s="1950"/>
      <c r="OY209" s="1950"/>
      <c r="OZ209" s="1950"/>
      <c r="PA209" s="1950"/>
      <c r="PB209" s="1950"/>
      <c r="PC209" s="1950"/>
      <c r="PD209" s="1950"/>
      <c r="PE209" s="1950"/>
      <c r="PF209" s="1950"/>
      <c r="PG209" s="1950"/>
      <c r="PH209" s="1950"/>
      <c r="PI209" s="1950"/>
      <c r="PJ209" s="1950"/>
      <c r="PK209" s="1950"/>
      <c r="PL209" s="1950"/>
      <c r="PM209" s="1950"/>
      <c r="PN209" s="1950"/>
      <c r="PO209" s="1950"/>
      <c r="PP209" s="1950"/>
      <c r="PQ209" s="1950"/>
      <c r="PR209" s="1950"/>
      <c r="PS209" s="1950"/>
      <c r="PT209" s="1950"/>
      <c r="PU209" s="1950"/>
      <c r="PV209" s="1950"/>
      <c r="PW209" s="1950"/>
      <c r="PX209" s="1950"/>
      <c r="PY209" s="1950"/>
      <c r="PZ209" s="1950"/>
      <c r="QA209" s="1950"/>
      <c r="QB209" s="1950"/>
      <c r="QC209" s="1950"/>
      <c r="QD209" s="1950"/>
      <c r="QE209" s="1950"/>
      <c r="QF209" s="1950"/>
      <c r="QG209" s="1950"/>
      <c r="QH209" s="1950"/>
      <c r="QI209" s="1950"/>
      <c r="QJ209" s="1950"/>
      <c r="QK209" s="1950"/>
      <c r="QL209" s="1950"/>
      <c r="QM209" s="1950"/>
      <c r="QN209" s="1950"/>
      <c r="QO209" s="1950"/>
      <c r="QP209" s="1950"/>
      <c r="QQ209" s="1950"/>
      <c r="QR209" s="1950"/>
      <c r="QS209" s="1950"/>
      <c r="QT209" s="1950"/>
      <c r="QU209" s="1950"/>
      <c r="QV209" s="1950"/>
      <c r="QW209" s="1950"/>
      <c r="QX209" s="1950"/>
      <c r="QY209" s="1950"/>
      <c r="QZ209" s="1950"/>
      <c r="RA209" s="1950"/>
      <c r="RB209" s="1950"/>
      <c r="RC209" s="1950"/>
      <c r="RD209" s="1950"/>
      <c r="RE209" s="1950"/>
      <c r="RF209" s="1950"/>
      <c r="RG209" s="1950"/>
      <c r="RH209" s="1950"/>
      <c r="RI209" s="1950"/>
      <c r="RJ209" s="1950"/>
      <c r="RK209" s="1950"/>
      <c r="RL209" s="1950"/>
      <c r="RM209" s="1950"/>
      <c r="RN209" s="1950"/>
      <c r="RO209" s="1950"/>
      <c r="RP209" s="1950"/>
      <c r="RQ209" s="1950"/>
      <c r="RR209" s="1950"/>
      <c r="RS209" s="1950"/>
      <c r="RT209" s="1950"/>
      <c r="RU209" s="1950"/>
      <c r="RV209" s="1950"/>
      <c r="RW209" s="1950"/>
      <c r="RX209" s="1950"/>
      <c r="RY209" s="1950"/>
      <c r="RZ209" s="1950"/>
      <c r="SA209" s="1950"/>
      <c r="SB209" s="1950"/>
      <c r="SC209" s="1950"/>
      <c r="SD209" s="1950"/>
      <c r="SE209" s="1950"/>
      <c r="SF209" s="1950"/>
      <c r="SG209" s="1950"/>
      <c r="SH209" s="1950"/>
      <c r="SI209" s="1950"/>
      <c r="SJ209" s="1950"/>
      <c r="SK209" s="1950"/>
      <c r="SL209" s="1950"/>
      <c r="SM209" s="1950"/>
      <c r="SN209" s="1950"/>
      <c r="SO209" s="1950"/>
      <c r="SP209" s="1950"/>
      <c r="SQ209" s="1950"/>
      <c r="SR209" s="1950"/>
      <c r="SS209" s="1950"/>
      <c r="ST209" s="1950"/>
      <c r="SU209" s="1950"/>
      <c r="SV209" s="1950"/>
      <c r="SW209" s="1950"/>
      <c r="SX209" s="1950"/>
      <c r="SY209" s="1950"/>
      <c r="SZ209" s="1950"/>
      <c r="TA209" s="1950"/>
      <c r="TB209" s="1950"/>
      <c r="TC209" s="1950"/>
      <c r="TD209" s="1950"/>
      <c r="TE209" s="1950"/>
      <c r="TF209" s="1950"/>
      <c r="TG209" s="1950"/>
      <c r="TH209" s="1950"/>
      <c r="TI209" s="1950"/>
      <c r="TJ209" s="1950"/>
      <c r="TK209" s="1950"/>
      <c r="TL209" s="1950"/>
      <c r="TM209" s="1950"/>
      <c r="TN209" s="1950"/>
      <c r="TO209" s="1950"/>
      <c r="TP209" s="1950"/>
      <c r="TQ209" s="1950"/>
      <c r="TR209" s="1950"/>
      <c r="TS209" s="1950"/>
      <c r="TT209" s="1950"/>
      <c r="TU209" s="1950"/>
      <c r="TV209" s="1950"/>
      <c r="TW209" s="1950"/>
      <c r="TX209" s="1950"/>
      <c r="TY209" s="1950"/>
      <c r="TZ209" s="1950"/>
      <c r="UA209" s="1950"/>
      <c r="UB209" s="1950"/>
      <c r="UC209" s="1950"/>
      <c r="UD209" s="1950"/>
      <c r="UE209" s="1950"/>
      <c r="UF209" s="1950"/>
      <c r="UG209" s="1950"/>
      <c r="UH209" s="1950"/>
      <c r="UI209" s="1950"/>
      <c r="UJ209" s="1950"/>
      <c r="UK209" s="1950"/>
      <c r="UL209" s="1950"/>
      <c r="UM209" s="1950"/>
      <c r="UN209" s="1950"/>
      <c r="UO209" s="1950"/>
      <c r="UP209" s="1950"/>
      <c r="UQ209" s="1950"/>
      <c r="UR209" s="1950"/>
      <c r="US209" s="1950"/>
      <c r="UT209" s="1950"/>
      <c r="UU209" s="1950"/>
      <c r="UV209" s="1950"/>
      <c r="UW209" s="1950"/>
      <c r="UX209" s="1950"/>
      <c r="UY209" s="1950"/>
      <c r="UZ209" s="1950"/>
      <c r="VA209" s="1950"/>
      <c r="VB209" s="1950"/>
      <c r="VC209" s="1950"/>
      <c r="VD209" s="1950"/>
      <c r="VE209" s="1950"/>
      <c r="VF209" s="1950"/>
      <c r="VG209" s="1950"/>
      <c r="VH209" s="1950"/>
      <c r="VI209" s="1950"/>
      <c r="VJ209" s="1950"/>
      <c r="VK209" s="1950"/>
      <c r="VL209" s="1950"/>
      <c r="VM209" s="1950"/>
      <c r="VN209" s="1950"/>
      <c r="VO209" s="1950"/>
      <c r="VP209" s="1950"/>
      <c r="VQ209" s="1950"/>
      <c r="VR209" s="1950"/>
      <c r="VS209" s="1950"/>
      <c r="VT209" s="1950"/>
      <c r="VU209" s="1950"/>
      <c r="VV209" s="1950"/>
      <c r="VW209" s="1950"/>
      <c r="VX209" s="1950"/>
      <c r="VY209" s="1950"/>
      <c r="VZ209" s="1950"/>
      <c r="WA209" s="1950"/>
      <c r="WB209" s="1950"/>
      <c r="WC209" s="1950"/>
      <c r="WD209" s="1950"/>
      <c r="WE209" s="1950"/>
      <c r="WF209" s="1950"/>
      <c r="WG209" s="1950"/>
      <c r="WH209" s="1950"/>
      <c r="WI209" s="1950"/>
      <c r="WJ209" s="1950"/>
      <c r="WK209" s="1950"/>
      <c r="WL209" s="1950"/>
      <c r="WM209" s="1950"/>
      <c r="WN209" s="1950"/>
      <c r="WO209" s="1950"/>
      <c r="WP209" s="1950"/>
      <c r="WQ209" s="1950"/>
      <c r="WR209" s="1950"/>
      <c r="WS209" s="1950"/>
      <c r="WT209" s="1950"/>
      <c r="WU209" s="1950"/>
      <c r="WV209" s="1950"/>
      <c r="WW209" s="1950"/>
      <c r="WX209" s="1950"/>
      <c r="WY209" s="1950"/>
      <c r="WZ209" s="1950"/>
      <c r="XA209" s="1950"/>
      <c r="XB209" s="1950"/>
      <c r="XC209" s="1950"/>
      <c r="XD209" s="1950"/>
      <c r="XE209" s="1950"/>
      <c r="XF209" s="1950"/>
      <c r="XG209" s="1950"/>
      <c r="XH209" s="1950"/>
      <c r="XI209" s="1950"/>
      <c r="XJ209" s="1950"/>
      <c r="XK209" s="1950"/>
      <c r="XL209" s="1950"/>
      <c r="XM209" s="1950"/>
      <c r="XN209" s="1950"/>
      <c r="XO209" s="1950"/>
      <c r="XP209" s="1950"/>
      <c r="XQ209" s="1950"/>
      <c r="XR209" s="1950"/>
      <c r="XS209" s="1950"/>
      <c r="XT209" s="1950"/>
      <c r="XU209" s="1950"/>
      <c r="XV209" s="1950"/>
      <c r="XW209" s="1950"/>
      <c r="XX209" s="1950"/>
      <c r="XY209" s="1950"/>
      <c r="XZ209" s="1950"/>
      <c r="YA209" s="1950"/>
      <c r="YB209" s="1950"/>
      <c r="YC209" s="1950"/>
      <c r="YD209" s="1950"/>
      <c r="YE209" s="1950"/>
      <c r="YF209" s="1950"/>
      <c r="YG209" s="1950"/>
      <c r="YH209" s="1950"/>
      <c r="YI209" s="1950"/>
      <c r="YJ209" s="1950"/>
      <c r="YK209" s="1950"/>
      <c r="YL209" s="1950"/>
      <c r="YM209" s="1950"/>
      <c r="YN209" s="1950"/>
      <c r="YO209" s="1950"/>
      <c r="YP209" s="1950"/>
      <c r="YQ209" s="1950"/>
      <c r="YR209" s="1950"/>
      <c r="YS209" s="1950"/>
      <c r="YT209" s="1950"/>
      <c r="YU209" s="1950"/>
      <c r="YV209" s="1950"/>
      <c r="YW209" s="1950"/>
      <c r="YX209" s="1950"/>
      <c r="YY209" s="1950"/>
      <c r="YZ209" s="1950"/>
      <c r="ZA209" s="1950"/>
      <c r="ZB209" s="1950"/>
      <c r="ZC209" s="1950"/>
      <c r="ZD209" s="1950"/>
      <c r="ZE209" s="1950"/>
      <c r="ZF209" s="1950"/>
      <c r="ZG209" s="1950"/>
      <c r="ZH209" s="1950"/>
      <c r="ZI209" s="1950"/>
      <c r="ZJ209" s="1950"/>
      <c r="ZK209" s="1950"/>
      <c r="ZL209" s="1950"/>
      <c r="ZM209" s="1950"/>
      <c r="ZN209" s="1950"/>
      <c r="ZO209" s="1950"/>
      <c r="ZP209" s="1950"/>
      <c r="ZQ209" s="1950"/>
      <c r="ZR209" s="1950"/>
      <c r="ZS209" s="1950"/>
      <c r="ZT209" s="1950"/>
      <c r="ZU209" s="1950"/>
      <c r="ZV209" s="1950"/>
      <c r="ZW209" s="1950"/>
      <c r="ZX209" s="1950"/>
      <c r="ZY209" s="1950"/>
      <c r="ZZ209" s="1950"/>
      <c r="AAA209" s="1950"/>
      <c r="AAB209" s="1950"/>
      <c r="AAC209" s="1950"/>
      <c r="AAD209" s="1950"/>
      <c r="AAE209" s="1950"/>
      <c r="AAF209" s="1950"/>
      <c r="AAG209" s="1950"/>
      <c r="AAH209" s="1950"/>
      <c r="AAI209" s="1950"/>
      <c r="AAJ209" s="1950"/>
      <c r="AAK209" s="1950"/>
      <c r="AAL209" s="1950"/>
      <c r="AAM209" s="1950"/>
      <c r="AAN209" s="1950"/>
      <c r="AAO209" s="1950"/>
      <c r="AAP209" s="1950"/>
      <c r="AAQ209" s="1950"/>
      <c r="AAR209" s="1950"/>
      <c r="AAS209" s="1950"/>
      <c r="AAT209" s="1950"/>
      <c r="AAU209" s="1950"/>
      <c r="AAV209" s="1950"/>
      <c r="AAW209" s="1950"/>
      <c r="AAX209" s="1950"/>
      <c r="AAY209" s="1950"/>
      <c r="AAZ209" s="1950"/>
      <c r="ABA209" s="1950"/>
      <c r="ABB209" s="1950"/>
      <c r="ABC209" s="1950"/>
      <c r="ABD209" s="1950"/>
      <c r="ABE209" s="1950"/>
      <c r="ABF209" s="1950"/>
      <c r="ABG209" s="1950"/>
      <c r="ABH209" s="1950"/>
      <c r="ABI209" s="1950"/>
      <c r="ABJ209" s="1950"/>
      <c r="ABK209" s="1950"/>
      <c r="ABL209" s="1950"/>
      <c r="ABM209" s="1950"/>
      <c r="ABN209" s="1950"/>
      <c r="ABO209" s="1950"/>
      <c r="ABP209" s="1950"/>
      <c r="ABQ209" s="1950"/>
      <c r="ABR209" s="1950"/>
      <c r="ABS209" s="1950"/>
      <c r="ABT209" s="1950"/>
      <c r="ABU209" s="1950"/>
      <c r="ABV209" s="1950"/>
      <c r="ABW209" s="1950"/>
      <c r="ABX209" s="1950"/>
      <c r="ABY209" s="1950"/>
      <c r="ABZ209" s="1950"/>
      <c r="ACA209" s="1950"/>
      <c r="ACB209" s="1950"/>
      <c r="ACC209" s="1950"/>
      <c r="ACD209" s="1950"/>
      <c r="ACE209" s="1950"/>
      <c r="ACF209" s="1950"/>
      <c r="ACG209" s="1950"/>
      <c r="ACH209" s="1950"/>
      <c r="ACI209" s="1950"/>
      <c r="ACJ209" s="1950"/>
      <c r="ACK209" s="1950"/>
      <c r="ACL209" s="1950"/>
      <c r="ACM209" s="1950"/>
      <c r="ACN209" s="1950"/>
      <c r="ACO209" s="1950"/>
      <c r="ACP209" s="1950"/>
      <c r="ACQ209" s="1950"/>
      <c r="ACR209" s="1950"/>
      <c r="ACS209" s="1950"/>
      <c r="ACT209" s="1950"/>
      <c r="ACU209" s="1950"/>
      <c r="ACV209" s="1950"/>
      <c r="ACW209" s="1950"/>
      <c r="ACX209" s="1950"/>
      <c r="ACY209" s="1950"/>
      <c r="ACZ209" s="1950"/>
      <c r="ADA209" s="1950"/>
      <c r="ADB209" s="1950"/>
      <c r="ADC209" s="1950"/>
      <c r="ADD209" s="1950"/>
      <c r="ADE209" s="1950"/>
      <c r="ADF209" s="1950"/>
      <c r="ADG209" s="1950"/>
      <c r="ADH209" s="1950"/>
      <c r="ADI209" s="1950"/>
      <c r="ADJ209" s="1950"/>
      <c r="ADK209" s="1950"/>
      <c r="ADL209" s="1950"/>
      <c r="ADM209" s="1950"/>
      <c r="ADN209" s="1950"/>
      <c r="ADO209" s="1950"/>
      <c r="ADP209" s="1950"/>
      <c r="ADQ209" s="1950"/>
      <c r="ADR209" s="1950"/>
      <c r="ADS209" s="1950"/>
      <c r="ADT209" s="1950"/>
      <c r="ADU209" s="1950"/>
      <c r="ADV209" s="1950"/>
      <c r="ADW209" s="1950"/>
      <c r="ADX209" s="1950"/>
      <c r="ADY209" s="1950"/>
      <c r="ADZ209" s="1950"/>
      <c r="AEA209" s="1950"/>
      <c r="AEB209" s="1950"/>
      <c r="AEC209" s="1950"/>
      <c r="AED209" s="1950"/>
      <c r="AEE209" s="1950"/>
      <c r="AEF209" s="1950"/>
      <c r="AEG209" s="1950"/>
      <c r="AEH209" s="1950"/>
      <c r="AEI209" s="1950"/>
      <c r="AEJ209" s="1950"/>
      <c r="AEK209" s="1950"/>
      <c r="AEL209" s="1950"/>
      <c r="AEM209" s="1950"/>
      <c r="AEN209" s="1950"/>
      <c r="AEO209" s="1950"/>
      <c r="AEP209" s="1950"/>
      <c r="AEQ209" s="1950"/>
      <c r="AER209" s="1950"/>
      <c r="AES209" s="1950"/>
      <c r="AET209" s="1950"/>
      <c r="AEU209" s="1950"/>
      <c r="AEV209" s="1950"/>
      <c r="AEW209" s="1950"/>
      <c r="AEX209" s="1950"/>
      <c r="AEY209" s="1950"/>
      <c r="AEZ209" s="1950"/>
      <c r="AFA209" s="1950"/>
      <c r="AFB209" s="1950"/>
      <c r="AFC209" s="1950"/>
      <c r="AFD209" s="1950"/>
      <c r="AFE209" s="1950"/>
      <c r="AFF209" s="1950"/>
      <c r="AFG209" s="1950"/>
      <c r="AFH209" s="1950"/>
      <c r="AFI209" s="1950"/>
      <c r="AFJ209" s="1950"/>
      <c r="AFK209" s="1950"/>
      <c r="AFL209" s="1950"/>
      <c r="AFM209" s="1950"/>
      <c r="AFN209" s="1950"/>
      <c r="AFO209" s="1950"/>
      <c r="AFP209" s="1950"/>
      <c r="AFQ209" s="1950"/>
      <c r="AFR209" s="1950"/>
      <c r="AFS209" s="1950"/>
      <c r="AFT209" s="1950"/>
      <c r="AFU209" s="1950"/>
      <c r="AFV209" s="1950"/>
      <c r="AFW209" s="1950"/>
      <c r="AFX209" s="1950"/>
      <c r="AFY209" s="1950"/>
      <c r="AFZ209" s="1950"/>
      <c r="AGA209" s="1950"/>
      <c r="AGB209" s="1950"/>
      <c r="AGC209" s="1950"/>
      <c r="AGD209" s="1950"/>
      <c r="AGE209" s="1950"/>
      <c r="AGF209" s="1950"/>
      <c r="AGG209" s="1950"/>
      <c r="AGH209" s="1950"/>
      <c r="AGI209" s="1950"/>
      <c r="AGJ209" s="1950"/>
      <c r="AGK209" s="1950"/>
      <c r="AGL209" s="1950"/>
      <c r="AGM209" s="1950"/>
      <c r="AGN209" s="1950"/>
      <c r="AGO209" s="1950"/>
      <c r="AGP209" s="1950"/>
      <c r="AGQ209" s="1950"/>
      <c r="AGR209" s="1950"/>
      <c r="AGS209" s="1950"/>
      <c r="AGT209" s="1950"/>
      <c r="AGU209" s="1950"/>
      <c r="AGV209" s="1950"/>
      <c r="AGW209" s="1950"/>
      <c r="AGX209" s="1950"/>
      <c r="AGY209" s="1950"/>
      <c r="AGZ209" s="1950"/>
      <c r="AHA209" s="1950"/>
      <c r="AHB209" s="1950"/>
      <c r="AHC209" s="1950"/>
      <c r="AHD209" s="1950"/>
      <c r="AHE209" s="1950"/>
      <c r="AHF209" s="1950"/>
      <c r="AHG209" s="1950"/>
      <c r="AHH209" s="1950"/>
      <c r="AHI209" s="1950"/>
      <c r="AHJ209" s="1950"/>
      <c r="AHK209" s="1950"/>
      <c r="AHL209" s="1950"/>
      <c r="AHM209" s="1950"/>
      <c r="AHN209" s="1950"/>
      <c r="AHO209" s="1950"/>
      <c r="AHP209" s="1950"/>
      <c r="AHQ209" s="1950"/>
      <c r="AHR209" s="1950"/>
      <c r="AHS209" s="1950"/>
      <c r="AHT209" s="1950"/>
      <c r="AHU209" s="1950"/>
      <c r="AHV209" s="1950"/>
      <c r="AHW209" s="1950"/>
      <c r="AHX209" s="1950"/>
      <c r="AHY209" s="1950"/>
      <c r="AHZ209" s="1950"/>
      <c r="AIA209" s="1950"/>
      <c r="AIB209" s="1950"/>
      <c r="AIC209" s="1950"/>
      <c r="AID209" s="1950"/>
      <c r="AIE209" s="1950"/>
      <c r="AIF209" s="1950"/>
      <c r="AIG209" s="1950"/>
      <c r="AIH209" s="1950"/>
      <c r="AII209" s="1950"/>
      <c r="AIJ209" s="1950"/>
      <c r="AIK209" s="1950"/>
      <c r="AIL209" s="1950"/>
      <c r="AIM209" s="1950"/>
      <c r="AIN209" s="1950"/>
      <c r="AIO209" s="1950"/>
      <c r="AIP209" s="1950"/>
      <c r="AIQ209" s="1950"/>
      <c r="AIR209" s="1950"/>
      <c r="AIS209" s="1950"/>
      <c r="AIT209" s="1950"/>
      <c r="AIU209" s="1950"/>
      <c r="AIV209" s="1950"/>
      <c r="AIW209" s="1950"/>
      <c r="AIX209" s="1950"/>
      <c r="AIY209" s="1950"/>
      <c r="AIZ209" s="1950"/>
      <c r="AJA209" s="1950"/>
      <c r="AJB209" s="1950"/>
      <c r="AJC209" s="1950"/>
      <c r="AJD209" s="1950"/>
      <c r="AJE209" s="1950"/>
      <c r="AJF209" s="1950"/>
      <c r="AJG209" s="1950"/>
      <c r="AJH209" s="1950"/>
      <c r="AJI209" s="1950"/>
      <c r="AJJ209" s="1950"/>
      <c r="AJK209" s="1950"/>
      <c r="AJL209" s="1950"/>
      <c r="AJM209" s="1950"/>
      <c r="AJN209" s="1950"/>
      <c r="AJO209" s="1950"/>
      <c r="AJP209" s="1950"/>
      <c r="AJQ209" s="1950"/>
      <c r="AJR209" s="1950"/>
      <c r="AJS209" s="1950"/>
      <c r="AJT209" s="1950"/>
      <c r="AJU209" s="1950"/>
      <c r="AJV209" s="1950"/>
      <c r="AJW209" s="1950"/>
      <c r="AJX209" s="1950"/>
      <c r="AJY209" s="1950"/>
      <c r="AJZ209" s="1950"/>
      <c r="AKA209" s="1950"/>
      <c r="AKB209" s="1950"/>
      <c r="AKC209" s="1950"/>
      <c r="AKD209" s="1950"/>
      <c r="AKE209" s="1950"/>
      <c r="AKF209" s="1950"/>
      <c r="AKG209" s="1950"/>
      <c r="AKH209" s="1950"/>
      <c r="AKI209" s="1950"/>
      <c r="AKJ209" s="1950"/>
      <c r="AKK209" s="1950"/>
      <c r="AKL209" s="1950"/>
      <c r="AKM209" s="1950"/>
      <c r="AKN209" s="1950"/>
      <c r="AKO209" s="1950"/>
      <c r="AKP209" s="1950"/>
      <c r="AKQ209" s="1950"/>
      <c r="AKR209" s="1950"/>
      <c r="AKS209" s="1950"/>
      <c r="AKT209" s="1950"/>
      <c r="AKU209" s="1950"/>
      <c r="AKV209" s="1950"/>
      <c r="AKW209" s="1950"/>
      <c r="AKX209" s="1950"/>
      <c r="AKY209" s="1950"/>
      <c r="AKZ209" s="1950"/>
      <c r="ALA209" s="1950"/>
      <c r="ALB209" s="1950"/>
      <c r="ALC209" s="1950"/>
      <c r="ALD209" s="1950"/>
      <c r="ALE209" s="1950"/>
      <c r="ALF209" s="1950"/>
      <c r="ALG209" s="1950"/>
      <c r="ALH209" s="1950"/>
      <c r="ALI209" s="1950"/>
      <c r="ALJ209" s="1950"/>
      <c r="ALK209" s="1950"/>
      <c r="ALL209" s="1950"/>
      <c r="ALM209" s="1950"/>
      <c r="ALN209" s="1950"/>
      <c r="ALO209" s="1950"/>
      <c r="ALP209" s="1950"/>
      <c r="ALQ209" s="1950"/>
      <c r="ALR209" s="1950"/>
      <c r="ALS209" s="1950"/>
      <c r="ALT209" s="1950"/>
      <c r="ALU209" s="1950"/>
      <c r="ALV209" s="1950"/>
      <c r="ALW209" s="1950"/>
      <c r="ALX209" s="1950"/>
      <c r="ALY209" s="1950"/>
      <c r="ALZ209" s="1950"/>
      <c r="AMA209" s="1950"/>
      <c r="AMB209" s="1950"/>
      <c r="AMC209" s="1950"/>
      <c r="AMD209" s="1950"/>
      <c r="AME209" s="1950"/>
      <c r="AMF209" s="1950"/>
      <c r="AMG209" s="1950"/>
      <c r="AMH209" s="1950"/>
      <c r="AMI209" s="1950"/>
      <c r="AMJ209" s="1950"/>
    </row>
    <row r="210" spans="1:1024" ht="15.75" customHeight="1" thickBot="1">
      <c r="A210" s="1957"/>
      <c r="B210" s="1957"/>
      <c r="C210" s="1957"/>
      <c r="D210" s="1957"/>
      <c r="E210" s="1957"/>
      <c r="F210" s="1957"/>
      <c r="G210" s="1957"/>
      <c r="H210" s="1957"/>
      <c r="I210" s="1957"/>
      <c r="J210" s="1957"/>
      <c r="K210" s="1957"/>
      <c r="L210" s="1957"/>
      <c r="M210" s="1957"/>
      <c r="N210" s="1957"/>
      <c r="O210" s="1957"/>
      <c r="P210" s="1957"/>
      <c r="Q210" s="1955"/>
      <c r="R210" s="1955"/>
    </row>
    <row r="211" spans="1:1024" ht="15.75" customHeight="1">
      <c r="B211" s="1904"/>
      <c r="C211" s="1905"/>
      <c r="D211" s="1905"/>
      <c r="E211" s="1905"/>
      <c r="F211" s="1905"/>
      <c r="G211" s="1905"/>
      <c r="H211" s="1905"/>
      <c r="I211" s="1905"/>
      <c r="J211" s="1905"/>
      <c r="K211" s="1905"/>
      <c r="L211" s="1905"/>
      <c r="M211" s="1905"/>
      <c r="N211" s="1905"/>
      <c r="O211" s="1906"/>
      <c r="Q211" s="1955"/>
      <c r="R211" s="1955"/>
    </row>
    <row r="212" spans="1:1024" ht="15.75" customHeight="1">
      <c r="B212" s="1907"/>
      <c r="C212" s="2301" t="s">
        <v>7646</v>
      </c>
      <c r="D212" s="2301"/>
      <c r="E212" s="2301"/>
      <c r="F212" s="2301"/>
      <c r="G212" s="1959"/>
      <c r="H212" s="1959"/>
      <c r="I212" s="1959"/>
      <c r="J212" s="1959"/>
      <c r="K212" s="1959"/>
      <c r="L212" s="1908"/>
      <c r="M212" s="1908"/>
      <c r="N212" s="1908"/>
      <c r="O212" s="1909"/>
      <c r="Q212" s="1955"/>
      <c r="R212" s="1955"/>
    </row>
    <row r="213" spans="1:1024" ht="15.75" customHeight="1">
      <c r="B213" s="1907"/>
      <c r="C213" s="2301"/>
      <c r="D213" s="2301"/>
      <c r="E213" s="2301"/>
      <c r="F213" s="2301"/>
      <c r="G213" s="1959"/>
      <c r="H213" s="1959"/>
      <c r="I213" s="1959"/>
      <c r="J213" s="1959"/>
      <c r="K213" s="1959"/>
      <c r="L213" s="1908"/>
      <c r="M213" s="1908"/>
      <c r="N213" s="1908"/>
      <c r="O213" s="1909"/>
      <c r="Q213" s="1955"/>
      <c r="R213" s="1955"/>
    </row>
    <row r="214" spans="1:1024" ht="15.75" customHeight="1" thickBot="1">
      <c r="B214" s="1907"/>
      <c r="C214" s="1908"/>
      <c r="D214" s="1908"/>
      <c r="E214" s="1908"/>
      <c r="F214" s="1908"/>
      <c r="G214" s="1908"/>
      <c r="H214" s="1908"/>
      <c r="I214" s="1908"/>
      <c r="J214" s="1908"/>
      <c r="K214" s="1908"/>
      <c r="L214" s="1908"/>
      <c r="M214" s="1908"/>
      <c r="N214" s="1908"/>
      <c r="O214" s="1909"/>
      <c r="Q214" s="1955"/>
      <c r="R214" s="1955"/>
    </row>
    <row r="215" spans="1:1024" ht="15.75" customHeight="1">
      <c r="B215" s="1907"/>
      <c r="C215" s="2302" t="s">
        <v>422</v>
      </c>
      <c r="D215" s="2303"/>
      <c r="E215" s="2303"/>
      <c r="F215" s="2303"/>
      <c r="G215" s="2304"/>
      <c r="H215" s="1960"/>
      <c r="I215" s="2302" t="s">
        <v>360</v>
      </c>
      <c r="J215" s="2303"/>
      <c r="K215" s="2303"/>
      <c r="L215" s="2303"/>
      <c r="M215" s="2303"/>
      <c r="N215" s="2304"/>
      <c r="O215" s="1909"/>
      <c r="Q215" s="1955"/>
      <c r="R215" s="1955"/>
    </row>
    <row r="216" spans="1:1024" ht="15.75" customHeight="1" thickBot="1">
      <c r="B216" s="1907"/>
      <c r="C216" s="2305"/>
      <c r="D216" s="2306"/>
      <c r="E216" s="2306"/>
      <c r="F216" s="2306"/>
      <c r="G216" s="2307"/>
      <c r="H216" s="1960"/>
      <c r="I216" s="2305"/>
      <c r="J216" s="2306"/>
      <c r="K216" s="2306"/>
      <c r="L216" s="2306"/>
      <c r="M216" s="2306"/>
      <c r="N216" s="2307"/>
      <c r="O216" s="1909"/>
      <c r="Q216" s="1955"/>
      <c r="R216" s="1955"/>
    </row>
    <row r="217" spans="1:1024" ht="15.75" customHeight="1">
      <c r="B217" s="1907"/>
      <c r="C217" s="2308" t="s">
        <v>363</v>
      </c>
      <c r="D217" s="2309"/>
      <c r="E217" s="2309"/>
      <c r="F217" s="2310"/>
      <c r="G217" s="2317">
        <v>0.5</v>
      </c>
      <c r="H217" s="1961"/>
      <c r="I217" s="2320" t="s">
        <v>363</v>
      </c>
      <c r="J217" s="2321"/>
      <c r="K217" s="2321"/>
      <c r="L217" s="2321"/>
      <c r="M217" s="2322"/>
      <c r="N217" s="2318">
        <v>1</v>
      </c>
      <c r="O217" s="1909"/>
      <c r="Q217" s="1955"/>
      <c r="R217" s="1955"/>
    </row>
    <row r="218" spans="1:1024" ht="15.75" customHeight="1">
      <c r="B218" s="1907"/>
      <c r="C218" s="2311"/>
      <c r="D218" s="2312"/>
      <c r="E218" s="2312"/>
      <c r="F218" s="2313"/>
      <c r="G218" s="2318"/>
      <c r="H218" s="1962"/>
      <c r="I218" s="2323"/>
      <c r="J218" s="2324"/>
      <c r="K218" s="2324"/>
      <c r="L218" s="2324"/>
      <c r="M218" s="2325"/>
      <c r="N218" s="2318"/>
      <c r="O218" s="1909"/>
    </row>
    <row r="219" spans="1:1024" ht="15.75" customHeight="1" thickBot="1">
      <c r="B219" s="1907"/>
      <c r="C219" s="2314"/>
      <c r="D219" s="2315"/>
      <c r="E219" s="2315"/>
      <c r="F219" s="2316"/>
      <c r="G219" s="2319"/>
      <c r="H219" s="1962"/>
      <c r="I219" s="2326"/>
      <c r="J219" s="2327"/>
      <c r="K219" s="2327"/>
      <c r="L219" s="2327"/>
      <c r="M219" s="2328"/>
      <c r="N219" s="2319"/>
      <c r="O219" s="1909"/>
    </row>
    <row r="220" spans="1:1024" ht="15.75" customHeight="1" thickBot="1">
      <c r="B220" s="1907"/>
      <c r="C220" s="1908"/>
      <c r="D220" s="1908"/>
      <c r="E220" s="1908"/>
      <c r="F220" s="1908"/>
      <c r="G220" s="1908"/>
      <c r="H220" s="1908"/>
      <c r="I220" s="1908"/>
      <c r="J220" s="1908"/>
      <c r="K220" s="1961"/>
      <c r="L220" s="1961"/>
      <c r="M220" s="1961"/>
      <c r="N220" s="1961"/>
      <c r="O220" s="1909"/>
    </row>
    <row r="221" spans="1:1024" ht="15.75" customHeight="1">
      <c r="B221" s="1907"/>
      <c r="C221" s="2266" t="s">
        <v>359</v>
      </c>
      <c r="D221" s="2267"/>
      <c r="E221" s="2267"/>
      <c r="F221" s="2267"/>
      <c r="G221" s="2267"/>
      <c r="H221" s="2267"/>
      <c r="I221" s="2267"/>
      <c r="J221" s="2267"/>
      <c r="K221" s="2267"/>
      <c r="L221" s="2267"/>
      <c r="M221" s="2267"/>
      <c r="N221" s="2268"/>
      <c r="O221" s="1909"/>
    </row>
    <row r="222" spans="1:1024" ht="15.75" customHeight="1">
      <c r="B222" s="1907"/>
      <c r="C222" s="2269"/>
      <c r="D222" s="2270"/>
      <c r="E222" s="2270"/>
      <c r="F222" s="2270"/>
      <c r="G222" s="2270"/>
      <c r="H222" s="2270"/>
      <c r="I222" s="2270"/>
      <c r="J222" s="2270"/>
      <c r="K222" s="2270"/>
      <c r="L222" s="2270"/>
      <c r="M222" s="2270"/>
      <c r="N222" s="2271"/>
      <c r="O222" s="1909"/>
    </row>
    <row r="223" spans="1:1024" ht="15.75" customHeight="1" thickBot="1">
      <c r="B223" s="1907"/>
      <c r="C223" s="2272"/>
      <c r="D223" s="2273"/>
      <c r="E223" s="2273"/>
      <c r="F223" s="2273"/>
      <c r="G223" s="2273"/>
      <c r="H223" s="2273"/>
      <c r="I223" s="2273"/>
      <c r="J223" s="2273"/>
      <c r="K223" s="2273"/>
      <c r="L223" s="2273"/>
      <c r="M223" s="2273"/>
      <c r="N223" s="2274"/>
      <c r="O223" s="1909"/>
    </row>
    <row r="224" spans="1:1024" ht="15.75" customHeight="1" thickBot="1">
      <c r="B224" s="1907"/>
      <c r="C224" s="1908"/>
      <c r="D224" s="1908"/>
      <c r="E224" s="1908"/>
      <c r="F224" s="1908"/>
      <c r="G224" s="1908"/>
      <c r="H224" s="1908"/>
      <c r="I224" s="1908"/>
      <c r="J224" s="1908"/>
      <c r="K224" s="1961"/>
      <c r="L224" s="1961"/>
      <c r="M224" s="1961"/>
      <c r="N224" s="1961"/>
      <c r="O224" s="1909"/>
    </row>
    <row r="225" spans="2:1024" ht="15.75" customHeight="1" thickBot="1">
      <c r="B225" s="1907"/>
      <c r="C225" s="2275" t="s">
        <v>447</v>
      </c>
      <c r="D225" s="2276"/>
      <c r="E225" s="2277"/>
      <c r="F225" s="2278" t="s">
        <v>448</v>
      </c>
      <c r="G225" s="2279"/>
      <c r="H225" s="2280"/>
      <c r="I225" s="2278" t="s">
        <v>449</v>
      </c>
      <c r="J225" s="2279"/>
      <c r="K225" s="2280"/>
      <c r="L225" s="2278" t="s">
        <v>450</v>
      </c>
      <c r="M225" s="2279"/>
      <c r="N225" s="2280"/>
      <c r="O225" s="1909"/>
    </row>
    <row r="226" spans="2:1024" ht="15.75" customHeight="1">
      <c r="B226" s="1907"/>
      <c r="C226" s="2281"/>
      <c r="D226" s="2282"/>
      <c r="E226" s="2283"/>
      <c r="F226" s="2285"/>
      <c r="G226" s="2285"/>
      <c r="H226" s="2285"/>
      <c r="I226" s="1963"/>
      <c r="J226" s="1964"/>
      <c r="K226" s="1965"/>
      <c r="L226" s="2281"/>
      <c r="M226" s="2282"/>
      <c r="N226" s="2283"/>
      <c r="O226" s="1909"/>
    </row>
    <row r="227" spans="2:1024" ht="15.75" customHeight="1">
      <c r="B227" s="1907"/>
      <c r="C227" s="2284"/>
      <c r="D227" s="2285"/>
      <c r="E227" s="2286"/>
      <c r="F227" s="2285"/>
      <c r="G227" s="2285"/>
      <c r="H227" s="2285"/>
      <c r="I227" s="1966"/>
      <c r="J227" s="1967"/>
      <c r="K227" s="1968"/>
      <c r="L227" s="2284"/>
      <c r="M227" s="2285"/>
      <c r="N227" s="2286"/>
      <c r="O227" s="1909"/>
    </row>
    <row r="228" spans="2:1024" ht="15.75" customHeight="1">
      <c r="B228" s="1907"/>
      <c r="C228" s="2284"/>
      <c r="D228" s="2285"/>
      <c r="E228" s="2286"/>
      <c r="F228" s="2285"/>
      <c r="G228" s="2285"/>
      <c r="H228" s="2285"/>
      <c r="I228" s="1966"/>
      <c r="J228" s="1967"/>
      <c r="K228" s="1968"/>
      <c r="L228" s="2284"/>
      <c r="M228" s="2285"/>
      <c r="N228" s="2286"/>
      <c r="O228" s="1909"/>
    </row>
    <row r="229" spans="2:1024" ht="15.75" customHeight="1">
      <c r="B229" s="1907"/>
      <c r="C229" s="2284"/>
      <c r="D229" s="2285"/>
      <c r="E229" s="2286"/>
      <c r="F229" s="2285"/>
      <c r="G229" s="2285"/>
      <c r="H229" s="2285"/>
      <c r="I229" s="1966"/>
      <c r="J229" s="1967"/>
      <c r="K229" s="1968"/>
      <c r="L229" s="2284"/>
      <c r="M229" s="2285"/>
      <c r="N229" s="2286"/>
      <c r="O229" s="1909"/>
      <c r="AMA229" s="1903"/>
      <c r="AMB229" s="1903"/>
      <c r="AMC229" s="1903"/>
      <c r="AMD229" s="1903"/>
      <c r="AME229" s="1903"/>
      <c r="AMF229" s="1903"/>
      <c r="AMG229" s="1903"/>
      <c r="AMH229" s="1903"/>
      <c r="AMI229" s="1903"/>
      <c r="AMJ229" s="1903"/>
    </row>
    <row r="230" spans="2:1024" ht="15.75" customHeight="1" thickBot="1">
      <c r="B230" s="1907"/>
      <c r="C230" s="2287"/>
      <c r="D230" s="2288"/>
      <c r="E230" s="2289"/>
      <c r="F230" s="2288"/>
      <c r="G230" s="2288"/>
      <c r="H230" s="2288"/>
      <c r="I230" s="1969"/>
      <c r="J230" s="1970"/>
      <c r="K230" s="1971"/>
      <c r="L230" s="2287"/>
      <c r="M230" s="2288"/>
      <c r="N230" s="2289"/>
      <c r="O230" s="1909"/>
      <c r="AMA230" s="1903"/>
      <c r="AMB230" s="1903"/>
      <c r="AMC230" s="1903"/>
      <c r="AMD230" s="1903"/>
      <c r="AME230" s="1903"/>
      <c r="AMF230" s="1903"/>
      <c r="AMG230" s="1903"/>
      <c r="AMH230" s="1903"/>
      <c r="AMI230" s="1903"/>
      <c r="AMJ230" s="1903"/>
    </row>
    <row r="231" spans="2:1024" ht="15.75" customHeight="1" thickBot="1">
      <c r="B231" s="1907"/>
      <c r="C231" s="2275" t="s">
        <v>451</v>
      </c>
      <c r="D231" s="2276"/>
      <c r="E231" s="2277"/>
      <c r="F231" s="2278" t="s">
        <v>452</v>
      </c>
      <c r="G231" s="2279"/>
      <c r="H231" s="2280"/>
      <c r="I231" s="2278" t="s">
        <v>453</v>
      </c>
      <c r="J231" s="2279"/>
      <c r="K231" s="2280"/>
      <c r="L231" s="2278" t="s">
        <v>454</v>
      </c>
      <c r="M231" s="2279"/>
      <c r="N231" s="2280"/>
      <c r="O231" s="1909"/>
      <c r="AMA231" s="1903"/>
      <c r="AMB231" s="1903"/>
      <c r="AMC231" s="1903"/>
      <c r="AMD231" s="1903"/>
      <c r="AME231" s="1903"/>
      <c r="AMF231" s="1903"/>
      <c r="AMG231" s="1903"/>
      <c r="AMH231" s="1903"/>
      <c r="AMI231" s="1903"/>
      <c r="AMJ231" s="1903"/>
    </row>
    <row r="232" spans="2:1024" ht="15.75" customHeight="1">
      <c r="B232" s="1907"/>
      <c r="C232" s="2281"/>
      <c r="D232" s="2282"/>
      <c r="E232" s="2283"/>
      <c r="F232" s="2285"/>
      <c r="G232" s="2285"/>
      <c r="H232" s="2285"/>
      <c r="I232" s="1963"/>
      <c r="J232" s="1964"/>
      <c r="K232" s="1965"/>
      <c r="L232" s="2281"/>
      <c r="M232" s="2282"/>
      <c r="N232" s="2283"/>
      <c r="O232" s="1909"/>
      <c r="AMA232" s="1903"/>
      <c r="AMB232" s="1903"/>
      <c r="AMC232" s="1903"/>
      <c r="AMD232" s="1903"/>
      <c r="AME232" s="1903"/>
      <c r="AMF232" s="1903"/>
      <c r="AMG232" s="1903"/>
      <c r="AMH232" s="1903"/>
      <c r="AMI232" s="1903"/>
      <c r="AMJ232" s="1903"/>
    </row>
    <row r="233" spans="2:1024" ht="15.75" customHeight="1">
      <c r="B233" s="1907"/>
      <c r="C233" s="2284"/>
      <c r="D233" s="2285"/>
      <c r="E233" s="2286"/>
      <c r="F233" s="2285"/>
      <c r="G233" s="2285"/>
      <c r="H233" s="2285"/>
      <c r="I233" s="1966"/>
      <c r="J233" s="1967"/>
      <c r="K233" s="1968"/>
      <c r="L233" s="2284"/>
      <c r="M233" s="2285"/>
      <c r="N233" s="2286"/>
      <c r="O233" s="1909"/>
      <c r="AMA233" s="1903"/>
      <c r="AMB233" s="1903"/>
      <c r="AMC233" s="1903"/>
      <c r="AMD233" s="1903"/>
      <c r="AME233" s="1903"/>
      <c r="AMF233" s="1903"/>
      <c r="AMG233" s="1903"/>
      <c r="AMH233" s="1903"/>
      <c r="AMI233" s="1903"/>
      <c r="AMJ233" s="1903"/>
    </row>
    <row r="234" spans="2:1024" ht="15.75" customHeight="1">
      <c r="B234" s="1907"/>
      <c r="C234" s="2284"/>
      <c r="D234" s="2285"/>
      <c r="E234" s="2286"/>
      <c r="F234" s="2285"/>
      <c r="G234" s="2285"/>
      <c r="H234" s="2285"/>
      <c r="I234" s="1966"/>
      <c r="J234" s="1967"/>
      <c r="K234" s="1968"/>
      <c r="L234" s="2284"/>
      <c r="M234" s="2285"/>
      <c r="N234" s="2286"/>
      <c r="O234" s="1909"/>
      <c r="AMA234" s="1903"/>
      <c r="AMB234" s="1903"/>
      <c r="AMC234" s="1903"/>
      <c r="AMD234" s="1903"/>
      <c r="AME234" s="1903"/>
      <c r="AMF234" s="1903"/>
      <c r="AMG234" s="1903"/>
      <c r="AMH234" s="1903"/>
      <c r="AMI234" s="1903"/>
      <c r="AMJ234" s="1903"/>
    </row>
    <row r="235" spans="2:1024" ht="15.75" customHeight="1">
      <c r="B235" s="1907"/>
      <c r="C235" s="2284"/>
      <c r="D235" s="2285"/>
      <c r="E235" s="2286"/>
      <c r="F235" s="2285"/>
      <c r="G235" s="2285"/>
      <c r="H235" s="2285"/>
      <c r="I235" s="1966"/>
      <c r="J235" s="1967"/>
      <c r="K235" s="1968"/>
      <c r="L235" s="2284"/>
      <c r="M235" s="2285"/>
      <c r="N235" s="2286"/>
      <c r="O235" s="1909"/>
      <c r="AMA235" s="1903"/>
      <c r="AMB235" s="1903"/>
      <c r="AMC235" s="1903"/>
      <c r="AMD235" s="1903"/>
      <c r="AME235" s="1903"/>
      <c r="AMF235" s="1903"/>
      <c r="AMG235" s="1903"/>
      <c r="AMH235" s="1903"/>
      <c r="AMI235" s="1903"/>
      <c r="AMJ235" s="1903"/>
    </row>
    <row r="236" spans="2:1024" ht="15.75" customHeight="1" thickBot="1">
      <c r="B236" s="1907"/>
      <c r="C236" s="2287"/>
      <c r="D236" s="2288"/>
      <c r="E236" s="2289"/>
      <c r="F236" s="2288"/>
      <c r="G236" s="2288"/>
      <c r="H236" s="2288"/>
      <c r="I236" s="1969"/>
      <c r="J236" s="1970"/>
      <c r="K236" s="1971"/>
      <c r="L236" s="2287"/>
      <c r="M236" s="2288"/>
      <c r="N236" s="2289"/>
      <c r="O236" s="1909"/>
      <c r="AMA236" s="1903"/>
      <c r="AMB236" s="1903"/>
      <c r="AMC236" s="1903"/>
      <c r="AMD236" s="1903"/>
      <c r="AME236" s="1903"/>
      <c r="AMF236" s="1903"/>
      <c r="AMG236" s="1903"/>
      <c r="AMH236" s="1903"/>
      <c r="AMI236" s="1903"/>
      <c r="AMJ236" s="1903"/>
    </row>
    <row r="237" spans="2:1024" ht="15.75" customHeight="1" thickBot="1">
      <c r="B237" s="1907"/>
      <c r="C237" s="2275" t="s">
        <v>455</v>
      </c>
      <c r="D237" s="2276"/>
      <c r="E237" s="2277"/>
      <c r="F237" s="2278" t="s">
        <v>456</v>
      </c>
      <c r="G237" s="2279"/>
      <c r="H237" s="2280"/>
      <c r="I237" s="2278" t="s">
        <v>457</v>
      </c>
      <c r="J237" s="2279"/>
      <c r="K237" s="2280"/>
      <c r="L237" s="2278" t="s">
        <v>458</v>
      </c>
      <c r="M237" s="2279"/>
      <c r="N237" s="2280"/>
      <c r="O237" s="1909"/>
      <c r="AMA237" s="1903"/>
      <c r="AMB237" s="1903"/>
      <c r="AMC237" s="1903"/>
      <c r="AMD237" s="1903"/>
      <c r="AME237" s="1903"/>
      <c r="AMF237" s="1903"/>
      <c r="AMG237" s="1903"/>
      <c r="AMH237" s="1903"/>
      <c r="AMI237" s="1903"/>
      <c r="AMJ237" s="1903"/>
    </row>
    <row r="238" spans="2:1024" ht="15.75" customHeight="1">
      <c r="B238" s="1907"/>
      <c r="C238" s="2281"/>
      <c r="D238" s="2282"/>
      <c r="E238" s="2283"/>
      <c r="F238" s="2285"/>
      <c r="G238" s="2285"/>
      <c r="H238" s="2285"/>
      <c r="I238" s="1963"/>
      <c r="J238" s="1964"/>
      <c r="K238" s="1965"/>
      <c r="L238" s="2281"/>
      <c r="M238" s="2282"/>
      <c r="N238" s="2283"/>
      <c r="O238" s="1909"/>
      <c r="AMA238" s="1903"/>
      <c r="AMB238" s="1903"/>
      <c r="AMC238" s="1903"/>
      <c r="AMD238" s="1903"/>
      <c r="AME238" s="1903"/>
      <c r="AMF238" s="1903"/>
      <c r="AMG238" s="1903"/>
      <c r="AMH238" s="1903"/>
      <c r="AMI238" s="1903"/>
      <c r="AMJ238" s="1903"/>
    </row>
    <row r="239" spans="2:1024" ht="15.75" customHeight="1">
      <c r="B239" s="1907"/>
      <c r="C239" s="2284"/>
      <c r="D239" s="2285"/>
      <c r="E239" s="2286"/>
      <c r="F239" s="2285"/>
      <c r="G239" s="2285"/>
      <c r="H239" s="2285"/>
      <c r="I239" s="1966"/>
      <c r="J239" s="1967"/>
      <c r="K239" s="1968"/>
      <c r="L239" s="2284"/>
      <c r="M239" s="2285"/>
      <c r="N239" s="2286"/>
      <c r="O239" s="1909"/>
      <c r="AMA239" s="1903"/>
      <c r="AMB239" s="1903"/>
      <c r="AMC239" s="1903"/>
      <c r="AMD239" s="1903"/>
      <c r="AME239" s="1903"/>
      <c r="AMF239" s="1903"/>
      <c r="AMG239" s="1903"/>
      <c r="AMH239" s="1903"/>
      <c r="AMI239" s="1903"/>
      <c r="AMJ239" s="1903"/>
    </row>
    <row r="240" spans="2:1024" ht="15.75" customHeight="1">
      <c r="B240" s="1907"/>
      <c r="C240" s="2284"/>
      <c r="D240" s="2285"/>
      <c r="E240" s="2286"/>
      <c r="F240" s="2285"/>
      <c r="G240" s="2285"/>
      <c r="H240" s="2285"/>
      <c r="I240" s="1966"/>
      <c r="J240" s="1967"/>
      <c r="K240" s="1968"/>
      <c r="L240" s="2284"/>
      <c r="M240" s="2285"/>
      <c r="N240" s="2286"/>
      <c r="O240" s="1909"/>
      <c r="AMA240" s="1903"/>
      <c r="AMB240" s="1903"/>
      <c r="AMC240" s="1903"/>
      <c r="AMD240" s="1903"/>
      <c r="AME240" s="1903"/>
      <c r="AMF240" s="1903"/>
      <c r="AMG240" s="1903"/>
      <c r="AMH240" s="1903"/>
      <c r="AMI240" s="1903"/>
      <c r="AMJ240" s="1903"/>
    </row>
    <row r="241" spans="2:1024" ht="15.75" customHeight="1">
      <c r="B241" s="1907"/>
      <c r="C241" s="2284"/>
      <c r="D241" s="2285"/>
      <c r="E241" s="2286"/>
      <c r="F241" s="2285"/>
      <c r="G241" s="2285"/>
      <c r="H241" s="2285"/>
      <c r="I241" s="1966"/>
      <c r="J241" s="1967"/>
      <c r="K241" s="1968"/>
      <c r="L241" s="2284"/>
      <c r="M241" s="2285"/>
      <c r="N241" s="2286"/>
      <c r="O241" s="1909"/>
      <c r="ALY241" s="1903"/>
      <c r="ALZ241" s="1903"/>
      <c r="AMA241" s="1903"/>
      <c r="AMB241" s="1903"/>
      <c r="AMC241" s="1903"/>
      <c r="AMD241" s="1903"/>
      <c r="AME241" s="1903"/>
      <c r="AMF241" s="1903"/>
      <c r="AMG241" s="1903"/>
      <c r="AMH241" s="1903"/>
      <c r="AMI241" s="1903"/>
      <c r="AMJ241" s="1903"/>
    </row>
    <row r="242" spans="2:1024" ht="15.75" customHeight="1" thickBot="1">
      <c r="B242" s="1907"/>
      <c r="C242" s="2287"/>
      <c r="D242" s="2288"/>
      <c r="E242" s="2289"/>
      <c r="F242" s="2288"/>
      <c r="G242" s="2288"/>
      <c r="H242" s="2288"/>
      <c r="I242" s="1969"/>
      <c r="J242" s="1970"/>
      <c r="K242" s="1971"/>
      <c r="L242" s="2287"/>
      <c r="M242" s="2288"/>
      <c r="N242" s="2289"/>
      <c r="O242" s="1909"/>
      <c r="ALY242" s="1903"/>
      <c r="ALZ242" s="1903"/>
      <c r="AMA242" s="1903"/>
      <c r="AMB242" s="1903"/>
      <c r="AMC242" s="1903"/>
      <c r="AMD242" s="1903"/>
      <c r="AME242" s="1903"/>
      <c r="AMF242" s="1903"/>
      <c r="AMG242" s="1903"/>
      <c r="AMH242" s="1903"/>
      <c r="AMI242" s="1903"/>
      <c r="AMJ242" s="1903"/>
    </row>
    <row r="243" spans="2:1024" ht="15.75" customHeight="1" thickBot="1">
      <c r="B243" s="1907"/>
      <c r="C243" s="2275" t="s">
        <v>459</v>
      </c>
      <c r="D243" s="2276"/>
      <c r="E243" s="2277"/>
      <c r="F243" s="2278" t="s">
        <v>460</v>
      </c>
      <c r="G243" s="2279"/>
      <c r="H243" s="2280"/>
      <c r="I243" s="2278" t="s">
        <v>461</v>
      </c>
      <c r="J243" s="2279"/>
      <c r="K243" s="2280"/>
      <c r="L243" s="2278" t="s">
        <v>462</v>
      </c>
      <c r="M243" s="2279"/>
      <c r="N243" s="2280"/>
      <c r="O243" s="1909"/>
      <c r="ALY243" s="1903"/>
      <c r="ALZ243" s="1903"/>
      <c r="AMA243" s="1903"/>
      <c r="AMB243" s="1903"/>
      <c r="AMC243" s="1903"/>
      <c r="AMD243" s="1903"/>
      <c r="AME243" s="1903"/>
      <c r="AMF243" s="1903"/>
      <c r="AMG243" s="1903"/>
      <c r="AMH243" s="1903"/>
      <c r="AMI243" s="1903"/>
      <c r="AMJ243" s="1903"/>
    </row>
    <row r="244" spans="2:1024" ht="15.75" customHeight="1">
      <c r="B244" s="1907"/>
      <c r="C244" s="2281"/>
      <c r="D244" s="2282"/>
      <c r="E244" s="2283"/>
      <c r="F244" s="2285"/>
      <c r="G244" s="2285"/>
      <c r="H244" s="2285"/>
      <c r="I244" s="1963"/>
      <c r="J244" s="1964"/>
      <c r="K244" s="1965"/>
      <c r="L244" s="2281"/>
      <c r="M244" s="2282"/>
      <c r="N244" s="2283"/>
      <c r="O244" s="1909"/>
      <c r="ALU244" s="1903"/>
      <c r="ALV244" s="1903"/>
      <c r="ALW244" s="1903"/>
      <c r="ALX244" s="1903"/>
      <c r="ALY244" s="1903"/>
      <c r="ALZ244" s="1903"/>
      <c r="AMA244" s="1903"/>
      <c r="AMB244" s="1903"/>
      <c r="AMC244" s="1903"/>
      <c r="AMD244" s="1903"/>
      <c r="AME244" s="1903"/>
      <c r="AMF244" s="1903"/>
      <c r="AMG244" s="1903"/>
      <c r="AMH244" s="1903"/>
      <c r="AMI244" s="1903"/>
      <c r="AMJ244" s="1903"/>
    </row>
    <row r="245" spans="2:1024" ht="15.75" customHeight="1">
      <c r="B245" s="1907"/>
      <c r="C245" s="2284"/>
      <c r="D245" s="2285"/>
      <c r="E245" s="2286"/>
      <c r="F245" s="2285"/>
      <c r="G245" s="2285"/>
      <c r="H245" s="2285"/>
      <c r="I245" s="1966"/>
      <c r="J245" s="1967"/>
      <c r="K245" s="1968"/>
      <c r="L245" s="2284"/>
      <c r="M245" s="2285"/>
      <c r="N245" s="2286"/>
      <c r="O245" s="1909"/>
      <c r="ALU245" s="1903"/>
      <c r="ALV245" s="1903"/>
      <c r="ALW245" s="1903"/>
      <c r="ALX245" s="1903"/>
      <c r="ALY245" s="1903"/>
      <c r="ALZ245" s="1903"/>
      <c r="AMA245" s="1903"/>
      <c r="AMB245" s="1903"/>
      <c r="AMC245" s="1903"/>
      <c r="AMD245" s="1903"/>
      <c r="AME245" s="1903"/>
      <c r="AMF245" s="1903"/>
      <c r="AMG245" s="1903"/>
      <c r="AMH245" s="1903"/>
      <c r="AMI245" s="1903"/>
      <c r="AMJ245" s="1903"/>
    </row>
    <row r="246" spans="2:1024" ht="15.75" customHeight="1">
      <c r="B246" s="1907"/>
      <c r="C246" s="2284"/>
      <c r="D246" s="2285"/>
      <c r="E246" s="2286"/>
      <c r="F246" s="2285"/>
      <c r="G246" s="2285"/>
      <c r="H246" s="2285"/>
      <c r="I246" s="1966"/>
      <c r="J246" s="1967"/>
      <c r="K246" s="1968"/>
      <c r="L246" s="2284"/>
      <c r="M246" s="2285"/>
      <c r="N246" s="2286"/>
      <c r="O246" s="1909"/>
      <c r="P246" s="1903"/>
      <c r="ALU246" s="1903"/>
      <c r="ALV246" s="1903"/>
      <c r="ALW246" s="1903"/>
      <c r="ALX246" s="1903"/>
      <c r="ALY246" s="1903"/>
      <c r="ALZ246" s="1903"/>
      <c r="AMA246" s="1903"/>
      <c r="AMB246" s="1903"/>
      <c r="AMC246" s="1903"/>
      <c r="AMD246" s="1903"/>
      <c r="AME246" s="1903"/>
      <c r="AMF246" s="1903"/>
      <c r="AMG246" s="1903"/>
      <c r="AMH246" s="1903"/>
      <c r="AMI246" s="1903"/>
      <c r="AMJ246" s="1903"/>
    </row>
    <row r="247" spans="2:1024" ht="15.75" customHeight="1">
      <c r="B247" s="1907"/>
      <c r="C247" s="2284"/>
      <c r="D247" s="2285"/>
      <c r="E247" s="2286"/>
      <c r="F247" s="2285"/>
      <c r="G247" s="2285"/>
      <c r="H247" s="2285"/>
      <c r="I247" s="1966"/>
      <c r="J247" s="1967"/>
      <c r="K247" s="1968"/>
      <c r="L247" s="2284"/>
      <c r="M247" s="2285"/>
      <c r="N247" s="2286"/>
      <c r="O247" s="1909"/>
      <c r="P247" s="1903"/>
      <c r="ALU247" s="1903"/>
      <c r="ALV247" s="1903"/>
      <c r="ALW247" s="1903"/>
      <c r="ALX247" s="1903"/>
      <c r="ALY247" s="1903"/>
      <c r="ALZ247" s="1903"/>
      <c r="AMA247" s="1903"/>
      <c r="AMB247" s="1903"/>
      <c r="AMC247" s="1903"/>
      <c r="AMD247" s="1903"/>
      <c r="AME247" s="1903"/>
      <c r="AMF247" s="1903"/>
      <c r="AMG247" s="1903"/>
      <c r="AMH247" s="1903"/>
      <c r="AMI247" s="1903"/>
      <c r="AMJ247" s="1903"/>
    </row>
    <row r="248" spans="2:1024" ht="15.75" customHeight="1" thickBot="1">
      <c r="B248" s="1907"/>
      <c r="C248" s="2287"/>
      <c r="D248" s="2288"/>
      <c r="E248" s="2289"/>
      <c r="F248" s="2288"/>
      <c r="G248" s="2288"/>
      <c r="H248" s="2288"/>
      <c r="I248" s="1969"/>
      <c r="J248" s="1970"/>
      <c r="K248" s="1971"/>
      <c r="L248" s="2287"/>
      <c r="M248" s="2288"/>
      <c r="N248" s="2289"/>
      <c r="O248" s="1909"/>
      <c r="P248" s="1903"/>
      <c r="ALU248" s="1903"/>
      <c r="ALV248" s="1903"/>
      <c r="ALW248" s="1903"/>
      <c r="ALX248" s="1903"/>
      <c r="ALY248" s="1903"/>
      <c r="ALZ248" s="1903"/>
      <c r="AMA248" s="1903"/>
      <c r="AMB248" s="1903"/>
      <c r="AMC248" s="1903"/>
      <c r="AMD248" s="1903"/>
      <c r="AME248" s="1903"/>
      <c r="AMF248" s="1903"/>
      <c r="AMG248" s="1903"/>
      <c r="AMH248" s="1903"/>
      <c r="AMI248" s="1903"/>
      <c r="AMJ248" s="1903"/>
    </row>
    <row r="249" spans="2:1024" ht="15.75" customHeight="1" thickBot="1">
      <c r="B249" s="1907"/>
      <c r="C249" s="1961"/>
      <c r="D249" s="1961"/>
      <c r="E249" s="1961"/>
      <c r="F249" s="1961"/>
      <c r="G249" s="1961"/>
      <c r="H249" s="1961"/>
      <c r="I249" s="1961"/>
      <c r="J249" s="1961"/>
      <c r="K249" s="1961"/>
      <c r="L249" s="1961"/>
      <c r="M249" s="1961"/>
      <c r="N249" s="1961"/>
      <c r="O249" s="1909"/>
      <c r="P249" s="1903"/>
      <c r="ALU249" s="1903"/>
      <c r="ALV249" s="1903"/>
      <c r="ALW249" s="1903"/>
      <c r="ALX249" s="1903"/>
      <c r="ALY249" s="1903"/>
      <c r="ALZ249" s="1903"/>
      <c r="AMA249" s="1903"/>
      <c r="AMB249" s="1903"/>
      <c r="AMC249" s="1903"/>
      <c r="AMD249" s="1903"/>
      <c r="AME249" s="1903"/>
      <c r="AMF249" s="1903"/>
      <c r="AMG249" s="1903"/>
      <c r="AMH249" s="1903"/>
      <c r="AMI249" s="1903"/>
      <c r="AMJ249" s="1903"/>
    </row>
    <row r="250" spans="2:1024" ht="15.75" customHeight="1">
      <c r="B250" s="1907"/>
      <c r="C250" s="2329" t="s">
        <v>7628</v>
      </c>
      <c r="D250" s="2330"/>
      <c r="E250" s="2330"/>
      <c r="F250" s="2330"/>
      <c r="G250" s="2330"/>
      <c r="H250" s="2330"/>
      <c r="I250" s="2330"/>
      <c r="J250" s="2330"/>
      <c r="K250" s="2330"/>
      <c r="L250" s="2330"/>
      <c r="M250" s="2330"/>
      <c r="N250" s="2331"/>
      <c r="O250" s="1909"/>
      <c r="P250" s="1903"/>
      <c r="ALU250" s="1903"/>
      <c r="ALV250" s="1903"/>
      <c r="ALW250" s="1903"/>
      <c r="ALX250" s="1903"/>
      <c r="ALY250" s="1903"/>
      <c r="ALZ250" s="1903"/>
      <c r="AMA250" s="1903"/>
      <c r="AMB250" s="1903"/>
      <c r="AMC250" s="1903"/>
      <c r="AMD250" s="1903"/>
      <c r="AME250" s="1903"/>
      <c r="AMF250" s="1903"/>
      <c r="AMG250" s="1903"/>
      <c r="AMH250" s="1903"/>
      <c r="AMI250" s="1903"/>
      <c r="AMJ250" s="1903"/>
    </row>
    <row r="251" spans="2:1024" ht="15.75" customHeight="1">
      <c r="B251" s="1907"/>
      <c r="C251" s="2332"/>
      <c r="D251" s="2333"/>
      <c r="E251" s="2333"/>
      <c r="F251" s="2333"/>
      <c r="G251" s="2333"/>
      <c r="H251" s="2333"/>
      <c r="I251" s="2333"/>
      <c r="J251" s="2333"/>
      <c r="K251" s="2333"/>
      <c r="L251" s="2333"/>
      <c r="M251" s="2333"/>
      <c r="N251" s="2334"/>
      <c r="O251" s="1909"/>
      <c r="P251" s="1903"/>
      <c r="ALU251" s="1903"/>
      <c r="ALV251" s="1903"/>
      <c r="ALW251" s="1903"/>
      <c r="ALX251" s="1903"/>
      <c r="ALY251" s="1903"/>
      <c r="ALZ251" s="1903"/>
      <c r="AMA251" s="1903"/>
      <c r="AMB251" s="1903"/>
      <c r="AMC251" s="1903"/>
      <c r="AMD251" s="1903"/>
      <c r="AME251" s="1903"/>
      <c r="AMF251" s="1903"/>
      <c r="AMG251" s="1903"/>
      <c r="AMH251" s="1903"/>
      <c r="AMI251" s="1903"/>
      <c r="AMJ251" s="1903"/>
    </row>
    <row r="252" spans="2:1024" ht="15.75" customHeight="1">
      <c r="B252" s="1907"/>
      <c r="C252" s="2332"/>
      <c r="D252" s="2333"/>
      <c r="E252" s="2333"/>
      <c r="F252" s="2333"/>
      <c r="G252" s="2333"/>
      <c r="H252" s="2333"/>
      <c r="I252" s="2333"/>
      <c r="J252" s="2333"/>
      <c r="K252" s="2333"/>
      <c r="L252" s="2333"/>
      <c r="M252" s="2333"/>
      <c r="N252" s="2334"/>
      <c r="O252" s="1909"/>
      <c r="P252" s="1903"/>
      <c r="ALU252" s="1903"/>
      <c r="ALV252" s="1903"/>
      <c r="ALW252" s="1903"/>
      <c r="ALX252" s="1903"/>
      <c r="ALY252" s="1903"/>
      <c r="ALZ252" s="1903"/>
      <c r="AMA252" s="1903"/>
      <c r="AMB252" s="1903"/>
      <c r="AMC252" s="1903"/>
      <c r="AMD252" s="1903"/>
      <c r="AME252" s="1903"/>
      <c r="AMF252" s="1903"/>
      <c r="AMG252" s="1903"/>
      <c r="AMH252" s="1903"/>
      <c r="AMI252" s="1903"/>
      <c r="AMJ252" s="1903"/>
    </row>
    <row r="253" spans="2:1024" ht="15.75" customHeight="1">
      <c r="B253" s="1907"/>
      <c r="C253" s="2332" t="s">
        <v>5740</v>
      </c>
      <c r="D253" s="2333"/>
      <c r="E253" s="2333"/>
      <c r="F253" s="2333"/>
      <c r="G253" s="2333"/>
      <c r="H253" s="2333"/>
      <c r="I253" s="2333"/>
      <c r="J253" s="2333"/>
      <c r="K253" s="2333"/>
      <c r="L253" s="2333"/>
      <c r="M253" s="2333"/>
      <c r="N253" s="2334"/>
      <c r="O253" s="1909"/>
      <c r="ALU253" s="1903"/>
      <c r="ALV253" s="1903"/>
      <c r="ALW253" s="1903"/>
      <c r="ALX253" s="1903"/>
      <c r="ALY253" s="1903"/>
      <c r="ALZ253" s="1903"/>
      <c r="AMA253" s="1903"/>
      <c r="AMB253" s="1903"/>
      <c r="AMC253" s="1903"/>
      <c r="AMD253" s="1903"/>
      <c r="AME253" s="1903"/>
      <c r="AMF253" s="1903"/>
      <c r="AMG253" s="1903"/>
      <c r="AMH253" s="1903"/>
      <c r="AMI253" s="1903"/>
      <c r="AMJ253" s="1903"/>
    </row>
    <row r="254" spans="2:1024" ht="15.75" customHeight="1">
      <c r="B254" s="1907"/>
      <c r="C254" s="2332"/>
      <c r="D254" s="2333"/>
      <c r="E254" s="2333"/>
      <c r="F254" s="2333"/>
      <c r="G254" s="2333"/>
      <c r="H254" s="2333"/>
      <c r="I254" s="2333"/>
      <c r="J254" s="2333"/>
      <c r="K254" s="2333"/>
      <c r="L254" s="2333"/>
      <c r="M254" s="2333"/>
      <c r="N254" s="2334"/>
      <c r="O254" s="1909"/>
      <c r="ALU254" s="1903"/>
      <c r="ALV254" s="1903"/>
      <c r="ALW254" s="1903"/>
      <c r="ALX254" s="1903"/>
      <c r="ALY254" s="1903"/>
      <c r="ALZ254" s="1903"/>
      <c r="AMA254" s="1903"/>
      <c r="AMB254" s="1903"/>
      <c r="AMC254" s="1903"/>
      <c r="AMD254" s="1903"/>
      <c r="AME254" s="1903"/>
      <c r="AMF254" s="1903"/>
      <c r="AMG254" s="1903"/>
      <c r="AMH254" s="1903"/>
      <c r="AMI254" s="1903"/>
      <c r="AMJ254" s="1903"/>
    </row>
    <row r="255" spans="2:1024" ht="15.75" customHeight="1" thickBot="1">
      <c r="B255" s="1907"/>
      <c r="C255" s="2335"/>
      <c r="D255" s="2336"/>
      <c r="E255" s="2336"/>
      <c r="F255" s="2336"/>
      <c r="G255" s="2336"/>
      <c r="H255" s="2336"/>
      <c r="I255" s="2336"/>
      <c r="J255" s="2336"/>
      <c r="K255" s="2336"/>
      <c r="L255" s="2336"/>
      <c r="M255" s="2336"/>
      <c r="N255" s="2337"/>
      <c r="O255" s="1909"/>
      <c r="ALU255" s="1903"/>
      <c r="ALV255" s="1903"/>
      <c r="ALW255" s="1903"/>
      <c r="ALX255" s="1903"/>
      <c r="ALY255" s="1903"/>
      <c r="ALZ255" s="1903"/>
      <c r="AMA255" s="1903"/>
      <c r="AMB255" s="1903"/>
      <c r="AMC255" s="1903"/>
      <c r="AMD255" s="1903"/>
      <c r="AME255" s="1903"/>
      <c r="AMF255" s="1903"/>
      <c r="AMG255" s="1903"/>
      <c r="AMH255" s="1903"/>
      <c r="AMI255" s="1903"/>
      <c r="AMJ255" s="1903"/>
    </row>
    <row r="256" spans="2:1024" ht="15.75" customHeight="1" thickBot="1">
      <c r="B256" s="1921"/>
      <c r="C256" s="1922"/>
      <c r="D256" s="1922"/>
      <c r="E256" s="1922"/>
      <c r="F256" s="1922"/>
      <c r="G256" s="1922"/>
      <c r="H256" s="1922"/>
      <c r="I256" s="1922"/>
      <c r="J256" s="1922"/>
      <c r="K256" s="1922"/>
      <c r="L256" s="1922"/>
      <c r="M256" s="1922"/>
      <c r="N256" s="1922"/>
      <c r="O256" s="1924"/>
      <c r="ALU256" s="1903"/>
      <c r="ALV256" s="1903"/>
      <c r="ALW256" s="1903"/>
      <c r="ALX256" s="1903"/>
      <c r="ALY256" s="1903"/>
      <c r="ALZ256" s="1903"/>
      <c r="AMA256" s="1903"/>
      <c r="AMB256" s="1903"/>
      <c r="AMC256" s="1903"/>
      <c r="AMD256" s="1903"/>
      <c r="AME256" s="1903"/>
      <c r="AMF256" s="1903"/>
      <c r="AMG256" s="1903"/>
      <c r="AMH256" s="1903"/>
      <c r="AMI256" s="1903"/>
      <c r="AMJ256" s="1903"/>
    </row>
    <row r="257" spans="2:1024" ht="15.75" customHeight="1">
      <c r="ALU257" s="1903"/>
      <c r="ALV257" s="1903"/>
      <c r="ALW257" s="1903"/>
      <c r="ALX257" s="1903"/>
      <c r="ALY257" s="1903"/>
      <c r="ALZ257" s="1903"/>
      <c r="AMA257" s="1903"/>
      <c r="AMB257" s="1903"/>
      <c r="AMC257" s="1903"/>
      <c r="AMD257" s="1903"/>
      <c r="AME257" s="1903"/>
      <c r="AMF257" s="1903"/>
      <c r="AMG257" s="1903"/>
      <c r="AMH257" s="1903"/>
      <c r="AMI257" s="1903"/>
      <c r="AMJ257" s="1903"/>
    </row>
    <row r="258" spans="2:1024" ht="15.75" customHeight="1" thickBot="1">
      <c r="ALU258" s="1903"/>
      <c r="ALV258" s="1903"/>
      <c r="ALW258" s="1903"/>
      <c r="ALX258" s="1903"/>
      <c r="ALY258" s="1903"/>
      <c r="ALZ258" s="1903"/>
      <c r="AMA258" s="1903"/>
      <c r="AMB258" s="1903"/>
      <c r="AMC258" s="1903"/>
      <c r="AMD258" s="1903"/>
      <c r="AME258" s="1903"/>
      <c r="AMF258" s="1903"/>
      <c r="AMG258" s="1903"/>
      <c r="AMH258" s="1903"/>
      <c r="AMI258" s="1903"/>
      <c r="AMJ258" s="1903"/>
    </row>
    <row r="259" spans="2:1024" ht="15.75" customHeight="1">
      <c r="B259" s="1904"/>
      <c r="C259" s="1972"/>
      <c r="D259" s="1972"/>
      <c r="E259" s="1972"/>
      <c r="F259" s="1972"/>
      <c r="G259" s="1905"/>
      <c r="H259" s="1905"/>
      <c r="I259" s="1905"/>
      <c r="J259" s="1905"/>
      <c r="K259" s="1905"/>
      <c r="L259" s="1905"/>
      <c r="M259" s="1905"/>
      <c r="N259" s="1905"/>
      <c r="O259" s="1906"/>
      <c r="P259" s="1903"/>
      <c r="ALU259" s="1903"/>
      <c r="ALV259" s="1903"/>
      <c r="ALW259" s="1903"/>
      <c r="ALX259" s="1903"/>
      <c r="ALY259" s="1903"/>
      <c r="ALZ259" s="1903"/>
      <c r="AMA259" s="1903"/>
      <c r="AMB259" s="1903"/>
      <c r="AMC259" s="1903"/>
      <c r="AMD259" s="1903"/>
      <c r="AME259" s="1903"/>
      <c r="AMF259" s="1903"/>
      <c r="AMG259" s="1903"/>
      <c r="AMH259" s="1903"/>
      <c r="AMI259" s="1903"/>
      <c r="AMJ259" s="1903"/>
    </row>
    <row r="260" spans="2:1024" ht="15.75" customHeight="1">
      <c r="B260" s="1907"/>
      <c r="C260" s="2338" t="s">
        <v>7647</v>
      </c>
      <c r="D260" s="2338"/>
      <c r="E260" s="2338"/>
      <c r="F260" s="2338"/>
      <c r="G260" s="1908"/>
      <c r="H260" s="1908"/>
      <c r="I260" s="1908"/>
      <c r="J260" s="1908"/>
      <c r="K260" s="1908"/>
      <c r="L260" s="1908"/>
      <c r="M260" s="1908"/>
      <c r="N260" s="1908"/>
      <c r="O260" s="1909"/>
      <c r="P260" s="1903"/>
      <c r="ALU260" s="1903"/>
      <c r="ALV260" s="1903"/>
      <c r="ALW260" s="1903"/>
      <c r="ALX260" s="1903"/>
      <c r="ALY260" s="1903"/>
      <c r="ALZ260" s="1903"/>
      <c r="AMA260" s="1903"/>
      <c r="AMB260" s="1903"/>
      <c r="AMC260" s="1903"/>
      <c r="AMD260" s="1903"/>
      <c r="AME260" s="1903"/>
      <c r="AMF260" s="1903"/>
      <c r="AMG260" s="1903"/>
      <c r="AMH260" s="1903"/>
      <c r="AMI260" s="1903"/>
      <c r="AMJ260" s="1903"/>
    </row>
    <row r="261" spans="2:1024" ht="15.75" customHeight="1">
      <c r="B261" s="1907"/>
      <c r="C261" s="2338"/>
      <c r="D261" s="2338"/>
      <c r="E261" s="2338"/>
      <c r="F261" s="2338"/>
      <c r="G261" s="1908"/>
      <c r="H261" s="1908"/>
      <c r="I261" s="1908"/>
      <c r="J261" s="1908"/>
      <c r="K261" s="1908"/>
      <c r="L261" s="1908"/>
      <c r="M261" s="1908"/>
      <c r="N261" s="1908"/>
      <c r="O261" s="1909"/>
      <c r="P261" s="1903"/>
      <c r="ALU261" s="1903"/>
      <c r="ALV261" s="1903"/>
      <c r="ALW261" s="1903"/>
      <c r="ALX261" s="1903"/>
      <c r="ALY261" s="1903"/>
      <c r="ALZ261" s="1903"/>
      <c r="AMA261" s="1903"/>
      <c r="AMB261" s="1903"/>
      <c r="AMC261" s="1903"/>
      <c r="AMD261" s="1903"/>
      <c r="AME261" s="1903"/>
      <c r="AMF261" s="1903"/>
      <c r="AMG261" s="1903"/>
      <c r="AMH261" s="1903"/>
      <c r="AMI261" s="1903"/>
      <c r="AMJ261" s="1903"/>
    </row>
    <row r="262" spans="2:1024" ht="15.75" customHeight="1" thickBot="1">
      <c r="B262" s="1907"/>
      <c r="C262" s="1908"/>
      <c r="D262" s="1908"/>
      <c r="E262" s="1908"/>
      <c r="F262" s="1908"/>
      <c r="G262" s="1908"/>
      <c r="H262" s="1908"/>
      <c r="I262" s="1908"/>
      <c r="J262" s="1908"/>
      <c r="K262" s="1908"/>
      <c r="L262" s="1908"/>
      <c r="M262" s="1908"/>
      <c r="N262" s="1908"/>
      <c r="O262" s="1909"/>
      <c r="P262" s="1903"/>
      <c r="ALU262" s="1903"/>
      <c r="ALV262" s="1903"/>
      <c r="ALW262" s="1903"/>
      <c r="ALX262" s="1903"/>
      <c r="ALY262" s="1903"/>
      <c r="ALZ262" s="1903"/>
      <c r="AMA262" s="1903"/>
      <c r="AMB262" s="1903"/>
      <c r="AMC262" s="1903"/>
      <c r="AMD262" s="1903"/>
      <c r="AME262" s="1903"/>
      <c r="AMF262" s="1903"/>
      <c r="AMG262" s="1903"/>
      <c r="AMH262" s="1903"/>
      <c r="AMI262" s="1903"/>
      <c r="AMJ262" s="1903"/>
    </row>
    <row r="263" spans="2:1024" ht="15.75" customHeight="1">
      <c r="B263" s="1907"/>
      <c r="C263" s="1904"/>
      <c r="D263" s="1905"/>
      <c r="E263" s="1905"/>
      <c r="F263" s="1905"/>
      <c r="G263" s="1905"/>
      <c r="H263" s="2339" t="s">
        <v>7648</v>
      </c>
      <c r="I263" s="2340"/>
      <c r="J263" s="2340"/>
      <c r="K263" s="2345" t="s">
        <v>7649</v>
      </c>
      <c r="L263" s="2346"/>
      <c r="M263" s="2351">
        <v>1</v>
      </c>
      <c r="N263" s="2352"/>
      <c r="O263" s="1909"/>
      <c r="P263" s="1903"/>
      <c r="ALU263" s="1903"/>
      <c r="ALV263" s="1903"/>
      <c r="ALW263" s="1903"/>
      <c r="ALX263" s="1903"/>
      <c r="ALY263" s="1903"/>
      <c r="ALZ263" s="1903"/>
      <c r="AMA263" s="1903"/>
      <c r="AMB263" s="1903"/>
      <c r="AMC263" s="1903"/>
      <c r="AMD263" s="1903"/>
      <c r="AME263" s="1903"/>
      <c r="AMF263" s="1903"/>
      <c r="AMG263" s="1903"/>
      <c r="AMH263" s="1903"/>
      <c r="AMI263" s="1903"/>
      <c r="AMJ263" s="1903"/>
    </row>
    <row r="264" spans="2:1024" ht="15.75" customHeight="1">
      <c r="B264" s="1907"/>
      <c r="C264" s="1907"/>
      <c r="D264" s="1908"/>
      <c r="E264" s="1908"/>
      <c r="F264" s="1908"/>
      <c r="G264" s="1908"/>
      <c r="H264" s="2341"/>
      <c r="I264" s="2342"/>
      <c r="J264" s="2342"/>
      <c r="K264" s="2347"/>
      <c r="L264" s="2348"/>
      <c r="M264" s="2353"/>
      <c r="N264" s="2354"/>
      <c r="O264" s="1909"/>
      <c r="P264" s="1903"/>
      <c r="ALU264" s="1903"/>
      <c r="ALV264" s="1903"/>
      <c r="ALW264" s="1903"/>
      <c r="ALX264" s="1903"/>
      <c r="ALY264" s="1903"/>
      <c r="ALZ264" s="1903"/>
      <c r="AMA264" s="1903"/>
      <c r="AMB264" s="1903"/>
      <c r="AMC264" s="1903"/>
      <c r="AMD264" s="1903"/>
      <c r="AME264" s="1903"/>
      <c r="AMF264" s="1903"/>
      <c r="AMG264" s="1903"/>
      <c r="AMH264" s="1903"/>
      <c r="AMI264" s="1903"/>
      <c r="AMJ264" s="1903"/>
    </row>
    <row r="265" spans="2:1024" ht="15.75" customHeight="1">
      <c r="B265" s="1907"/>
      <c r="C265" s="1907"/>
      <c r="D265" s="1908"/>
      <c r="E265" s="1908"/>
      <c r="F265" s="1908"/>
      <c r="G265" s="1908"/>
      <c r="H265" s="2341"/>
      <c r="I265" s="2342"/>
      <c r="J265" s="2342"/>
      <c r="K265" s="2347"/>
      <c r="L265" s="2348"/>
      <c r="M265" s="2353"/>
      <c r="N265" s="2354"/>
      <c r="O265" s="1909"/>
      <c r="ALU265" s="1903"/>
      <c r="ALV265" s="1903"/>
      <c r="ALW265" s="1903"/>
      <c r="ALX265" s="1903"/>
      <c r="ALY265" s="1903"/>
      <c r="ALZ265" s="1903"/>
      <c r="AMA265" s="1903"/>
      <c r="AMB265" s="1903"/>
      <c r="AMC265" s="1903"/>
      <c r="AMD265" s="1903"/>
      <c r="AME265" s="1903"/>
      <c r="AMF265" s="1903"/>
      <c r="AMG265" s="1903"/>
      <c r="AMH265" s="1903"/>
      <c r="AMI265" s="1903"/>
      <c r="AMJ265" s="1903"/>
    </row>
    <row r="266" spans="2:1024" ht="15.75" customHeight="1">
      <c r="B266" s="1907"/>
      <c r="C266" s="1907"/>
      <c r="D266" s="1908"/>
      <c r="E266" s="1908"/>
      <c r="F266" s="1908"/>
      <c r="G266" s="1908"/>
      <c r="H266" s="2341"/>
      <c r="I266" s="2342"/>
      <c r="J266" s="2342"/>
      <c r="K266" s="2347"/>
      <c r="L266" s="2348"/>
      <c r="M266" s="2353"/>
      <c r="N266" s="2354"/>
      <c r="O266" s="1909"/>
      <c r="ALU266" s="1903"/>
      <c r="ALV266" s="1903"/>
      <c r="ALW266" s="1903"/>
      <c r="ALX266" s="1903"/>
      <c r="ALY266" s="1903"/>
      <c r="ALZ266" s="1903"/>
      <c r="AMA266" s="1903"/>
      <c r="AMB266" s="1903"/>
      <c r="AMC266" s="1903"/>
      <c r="AMD266" s="1903"/>
      <c r="AME266" s="1903"/>
      <c r="AMF266" s="1903"/>
      <c r="AMG266" s="1903"/>
      <c r="AMH266" s="1903"/>
      <c r="AMI266" s="1903"/>
      <c r="AMJ266" s="1903"/>
    </row>
    <row r="267" spans="2:1024" ht="15.75" customHeight="1">
      <c r="B267" s="1907"/>
      <c r="C267" s="1907"/>
      <c r="D267" s="1908"/>
      <c r="E267" s="1908"/>
      <c r="F267" s="1908"/>
      <c r="G267" s="1908"/>
      <c r="H267" s="2341"/>
      <c r="I267" s="2342"/>
      <c r="J267" s="2342"/>
      <c r="K267" s="2347"/>
      <c r="L267" s="2348"/>
      <c r="M267" s="2353"/>
      <c r="N267" s="2354"/>
      <c r="O267" s="1909"/>
      <c r="ALU267" s="1903"/>
      <c r="ALV267" s="1903"/>
      <c r="ALW267" s="1903"/>
      <c r="ALX267" s="1903"/>
      <c r="ALY267" s="1903"/>
      <c r="ALZ267" s="1903"/>
      <c r="AMA267" s="1903"/>
      <c r="AMB267" s="1903"/>
      <c r="AMC267" s="1903"/>
      <c r="AMD267" s="1903"/>
      <c r="AME267" s="1903"/>
      <c r="AMF267" s="1903"/>
      <c r="AMG267" s="1903"/>
      <c r="AMH267" s="1903"/>
      <c r="AMI267" s="1903"/>
      <c r="AMJ267" s="1903"/>
    </row>
    <row r="268" spans="2:1024" ht="15.75" customHeight="1">
      <c r="B268" s="1907"/>
      <c r="C268" s="1907"/>
      <c r="D268" s="1908"/>
      <c r="E268" s="1908"/>
      <c r="F268" s="1908"/>
      <c r="G268" s="1908"/>
      <c r="H268" s="2341"/>
      <c r="I268" s="2342"/>
      <c r="J268" s="2342"/>
      <c r="K268" s="2347"/>
      <c r="L268" s="2348"/>
      <c r="M268" s="2353"/>
      <c r="N268" s="2354"/>
      <c r="O268" s="1909"/>
      <c r="ALU268" s="1903"/>
      <c r="ALV268" s="1903"/>
      <c r="ALW268" s="1903"/>
      <c r="ALX268" s="1903"/>
      <c r="ALY268" s="1903"/>
      <c r="ALZ268" s="1903"/>
      <c r="AMA268" s="1903"/>
      <c r="AMB268" s="1903"/>
      <c r="AMC268" s="1903"/>
      <c r="AMD268" s="1903"/>
      <c r="AME268" s="1903"/>
      <c r="AMF268" s="1903"/>
      <c r="AMG268" s="1903"/>
      <c r="AMH268" s="1903"/>
      <c r="AMI268" s="1903"/>
      <c r="AMJ268" s="1903"/>
    </row>
    <row r="269" spans="2:1024" ht="15.75" customHeight="1">
      <c r="B269" s="1907"/>
      <c r="C269" s="1907"/>
      <c r="D269" s="1908"/>
      <c r="E269" s="1908"/>
      <c r="F269" s="1908"/>
      <c r="G269" s="1908"/>
      <c r="H269" s="2341"/>
      <c r="I269" s="2342"/>
      <c r="J269" s="2342"/>
      <c r="K269" s="2347"/>
      <c r="L269" s="2348"/>
      <c r="M269" s="2353"/>
      <c r="N269" s="2354"/>
      <c r="O269" s="1909"/>
      <c r="ALU269" s="1903"/>
      <c r="ALV269" s="1903"/>
      <c r="ALW269" s="1903"/>
      <c r="ALX269" s="1903"/>
      <c r="ALY269" s="1903"/>
      <c r="ALZ269" s="1903"/>
      <c r="AMA269" s="1903"/>
      <c r="AMB269" s="1903"/>
      <c r="AMC269" s="1903"/>
      <c r="AMD269" s="1903"/>
      <c r="AME269" s="1903"/>
      <c r="AMF269" s="1903"/>
      <c r="AMG269" s="1903"/>
      <c r="AMH269" s="1903"/>
      <c r="AMI269" s="1903"/>
      <c r="AMJ269" s="1903"/>
    </row>
    <row r="270" spans="2:1024" ht="15.75" customHeight="1">
      <c r="B270" s="1907"/>
      <c r="C270" s="1907"/>
      <c r="D270" s="1908"/>
      <c r="E270" s="1908"/>
      <c r="F270" s="1908"/>
      <c r="G270" s="1908"/>
      <c r="H270" s="2341"/>
      <c r="I270" s="2342"/>
      <c r="J270" s="2342"/>
      <c r="K270" s="2347"/>
      <c r="L270" s="2348"/>
      <c r="M270" s="2353"/>
      <c r="N270" s="2354"/>
      <c r="O270" s="1909"/>
      <c r="ALU270" s="1903"/>
      <c r="ALV270" s="1903"/>
      <c r="ALW270" s="1903"/>
      <c r="ALX270" s="1903"/>
      <c r="ALY270" s="1903"/>
      <c r="ALZ270" s="1903"/>
      <c r="AMA270" s="1903"/>
      <c r="AMB270" s="1903"/>
      <c r="AMC270" s="1903"/>
      <c r="AMD270" s="1903"/>
      <c r="AME270" s="1903"/>
      <c r="AMF270" s="1903"/>
      <c r="AMG270" s="1903"/>
      <c r="AMH270" s="1903"/>
      <c r="AMI270" s="1903"/>
      <c r="AMJ270" s="1903"/>
    </row>
    <row r="271" spans="2:1024" ht="15.75" customHeight="1">
      <c r="B271" s="1907"/>
      <c r="C271" s="1907"/>
      <c r="D271" s="1908"/>
      <c r="E271" s="1908"/>
      <c r="F271" s="1908"/>
      <c r="G271" s="1908"/>
      <c r="H271" s="2341"/>
      <c r="I271" s="2342"/>
      <c r="J271" s="2342"/>
      <c r="K271" s="2347"/>
      <c r="L271" s="2348"/>
      <c r="M271" s="2353"/>
      <c r="N271" s="2354"/>
      <c r="O271" s="1909"/>
      <c r="ALW271" s="1903"/>
      <c r="ALX271" s="1903"/>
      <c r="ALY271" s="1903"/>
      <c r="ALZ271" s="1903"/>
      <c r="AMA271" s="1903"/>
      <c r="AMB271" s="1903"/>
      <c r="AMC271" s="1903"/>
      <c r="AMD271" s="1903"/>
      <c r="AME271" s="1903"/>
      <c r="AMF271" s="1903"/>
      <c r="AMG271" s="1903"/>
      <c r="AMH271" s="1903"/>
      <c r="AMI271" s="1903"/>
      <c r="AMJ271" s="1903"/>
    </row>
    <row r="272" spans="2:1024" ht="15.75" customHeight="1">
      <c r="B272" s="1907"/>
      <c r="C272" s="1907"/>
      <c r="D272" s="1908"/>
      <c r="E272" s="1908"/>
      <c r="F272" s="1908"/>
      <c r="G272" s="1908"/>
      <c r="H272" s="2341"/>
      <c r="I272" s="2342"/>
      <c r="J272" s="2342"/>
      <c r="K272" s="2347"/>
      <c r="L272" s="2348"/>
      <c r="M272" s="2353"/>
      <c r="N272" s="2354"/>
      <c r="O272" s="1909"/>
      <c r="ALW272" s="1903"/>
      <c r="ALX272" s="1903"/>
      <c r="ALY272" s="1903"/>
      <c r="ALZ272" s="1903"/>
      <c r="AMA272" s="1903"/>
      <c r="AMB272" s="1903"/>
      <c r="AMC272" s="1903"/>
      <c r="AMD272" s="1903"/>
      <c r="AME272" s="1903"/>
      <c r="AMF272" s="1903"/>
      <c r="AMG272" s="1903"/>
      <c r="AMH272" s="1903"/>
      <c r="AMI272" s="1903"/>
      <c r="AMJ272" s="1903"/>
    </row>
    <row r="273" spans="2:1024" ht="15.75" customHeight="1">
      <c r="B273" s="1907"/>
      <c r="C273" s="1907"/>
      <c r="D273" s="1908"/>
      <c r="E273" s="1908"/>
      <c r="F273" s="1908"/>
      <c r="G273" s="1908"/>
      <c r="H273" s="2341"/>
      <c r="I273" s="2342"/>
      <c r="J273" s="2342"/>
      <c r="K273" s="2347"/>
      <c r="L273" s="2348"/>
      <c r="M273" s="2353"/>
      <c r="N273" s="2354"/>
      <c r="O273" s="1909"/>
      <c r="ALW273" s="1903"/>
      <c r="ALX273" s="1903"/>
      <c r="ALY273" s="1903"/>
      <c r="ALZ273" s="1903"/>
      <c r="AMA273" s="1903"/>
      <c r="AMB273" s="1903"/>
      <c r="AMC273" s="1903"/>
      <c r="AMD273" s="1903"/>
      <c r="AME273" s="1903"/>
      <c r="AMF273" s="1903"/>
      <c r="AMG273" s="1903"/>
      <c r="AMH273" s="1903"/>
      <c r="AMI273" s="1903"/>
      <c r="AMJ273" s="1903"/>
    </row>
    <row r="274" spans="2:1024" ht="15.75" customHeight="1" thickBot="1">
      <c r="B274" s="1907"/>
      <c r="C274" s="1921"/>
      <c r="D274" s="1922"/>
      <c r="E274" s="1922"/>
      <c r="F274" s="1922"/>
      <c r="G274" s="1922"/>
      <c r="H274" s="2343"/>
      <c r="I274" s="2344"/>
      <c r="J274" s="2344"/>
      <c r="K274" s="2349"/>
      <c r="L274" s="2350"/>
      <c r="M274" s="2355"/>
      <c r="N274" s="2356"/>
      <c r="O274" s="1909"/>
      <c r="ALW274" s="1903"/>
      <c r="ALX274" s="1903"/>
      <c r="ALY274" s="1903"/>
      <c r="ALZ274" s="1903"/>
      <c r="AMA274" s="1903"/>
      <c r="AMB274" s="1903"/>
      <c r="AMC274" s="1903"/>
      <c r="AMD274" s="1903"/>
      <c r="AME274" s="1903"/>
      <c r="AMF274" s="1903"/>
      <c r="AMG274" s="1903"/>
      <c r="AMH274" s="1903"/>
      <c r="AMI274" s="1903"/>
      <c r="AMJ274" s="1903"/>
    </row>
    <row r="275" spans="2:1024" ht="15.75" customHeight="1" thickBot="1">
      <c r="B275" s="1907"/>
      <c r="C275" s="1908"/>
      <c r="D275" s="1908"/>
      <c r="E275" s="1908"/>
      <c r="F275" s="1908"/>
      <c r="G275" s="1908"/>
      <c r="H275" s="1908"/>
      <c r="I275" s="1908"/>
      <c r="J275" s="1908"/>
      <c r="K275" s="1908"/>
      <c r="L275" s="1908"/>
      <c r="M275" s="1908"/>
      <c r="N275" s="1908"/>
      <c r="O275" s="1909"/>
      <c r="ALW275" s="1903"/>
      <c r="ALX275" s="1903"/>
      <c r="ALY275" s="1903"/>
      <c r="ALZ275" s="1903"/>
      <c r="AMA275" s="1903"/>
      <c r="AMB275" s="1903"/>
      <c r="AMC275" s="1903"/>
      <c r="AMD275" s="1903"/>
      <c r="AME275" s="1903"/>
      <c r="AMF275" s="1903"/>
      <c r="AMG275" s="1903"/>
      <c r="AMH275" s="1903"/>
      <c r="AMI275" s="1903"/>
      <c r="AMJ275" s="1903"/>
    </row>
    <row r="276" spans="2:1024" ht="15.75" customHeight="1">
      <c r="B276" s="1907"/>
      <c r="C276" s="1963"/>
      <c r="D276" s="1964"/>
      <c r="E276" s="1964"/>
      <c r="F276" s="1964"/>
      <c r="G276" s="1965"/>
      <c r="H276" s="2339" t="s">
        <v>7671</v>
      </c>
      <c r="I276" s="2340"/>
      <c r="J276" s="2357"/>
      <c r="K276" s="2345" t="s">
        <v>7650</v>
      </c>
      <c r="L276" s="2346"/>
      <c r="M276" s="2351">
        <v>0.6</v>
      </c>
      <c r="N276" s="2352"/>
      <c r="O276" s="1909"/>
      <c r="ALW276" s="1903"/>
      <c r="ALX276" s="1903"/>
      <c r="ALY276" s="1903"/>
      <c r="ALZ276" s="1903"/>
      <c r="AMA276" s="1903"/>
      <c r="AMB276" s="1903"/>
      <c r="AMC276" s="1903"/>
      <c r="AMD276" s="1903"/>
      <c r="AME276" s="1903"/>
      <c r="AMF276" s="1903"/>
      <c r="AMG276" s="1903"/>
      <c r="AMH276" s="1903"/>
      <c r="AMI276" s="1903"/>
      <c r="AMJ276" s="1903"/>
    </row>
    <row r="277" spans="2:1024" ht="15.75" customHeight="1">
      <c r="B277" s="1907"/>
      <c r="C277" s="1966"/>
      <c r="D277" s="1967"/>
      <c r="E277" s="1967"/>
      <c r="F277" s="1967"/>
      <c r="G277" s="1968"/>
      <c r="H277" s="2341"/>
      <c r="I277" s="2342"/>
      <c r="J277" s="2358"/>
      <c r="K277" s="2347"/>
      <c r="L277" s="2348"/>
      <c r="M277" s="2353"/>
      <c r="N277" s="2354"/>
      <c r="O277" s="1909"/>
      <c r="ALW277" s="1903"/>
      <c r="ALX277" s="1903"/>
      <c r="ALY277" s="1903"/>
      <c r="ALZ277" s="1903"/>
      <c r="AMA277" s="1903"/>
      <c r="AMB277" s="1903"/>
      <c r="AMC277" s="1903"/>
      <c r="AMD277" s="1903"/>
      <c r="AME277" s="1903"/>
      <c r="AMF277" s="1903"/>
      <c r="AMG277" s="1903"/>
      <c r="AMH277" s="1903"/>
      <c r="AMI277" s="1903"/>
      <c r="AMJ277" s="1903"/>
    </row>
    <row r="278" spans="2:1024" ht="15.75" customHeight="1">
      <c r="B278" s="1907"/>
      <c r="C278" s="1966"/>
      <c r="D278" s="1967"/>
      <c r="E278" s="1967"/>
      <c r="F278" s="1967"/>
      <c r="G278" s="1968"/>
      <c r="H278" s="2341"/>
      <c r="I278" s="2342"/>
      <c r="J278" s="2358"/>
      <c r="K278" s="2347"/>
      <c r="L278" s="2348"/>
      <c r="M278" s="2353"/>
      <c r="N278" s="2354"/>
      <c r="O278" s="1909"/>
      <c r="ALW278" s="1903"/>
      <c r="ALX278" s="1903"/>
      <c r="ALY278" s="1903"/>
      <c r="ALZ278" s="1903"/>
      <c r="AMA278" s="1903"/>
      <c r="AMB278" s="1903"/>
      <c r="AMC278" s="1903"/>
      <c r="AMD278" s="1903"/>
      <c r="AME278" s="1903"/>
      <c r="AMF278" s="1903"/>
      <c r="AMG278" s="1903"/>
      <c r="AMH278" s="1903"/>
      <c r="AMI278" s="1903"/>
      <c r="AMJ278" s="1903"/>
    </row>
    <row r="279" spans="2:1024" ht="15.75" customHeight="1">
      <c r="B279" s="1907"/>
      <c r="C279" s="1966"/>
      <c r="D279" s="1967"/>
      <c r="E279" s="1967"/>
      <c r="F279" s="1967"/>
      <c r="G279" s="1968"/>
      <c r="H279" s="2341"/>
      <c r="I279" s="2342"/>
      <c r="J279" s="2358"/>
      <c r="K279" s="2347"/>
      <c r="L279" s="2348"/>
      <c r="M279" s="2353"/>
      <c r="N279" s="2354"/>
      <c r="O279" s="1909"/>
      <c r="ALW279" s="1903"/>
      <c r="ALX279" s="1903"/>
      <c r="ALY279" s="1903"/>
      <c r="ALZ279" s="1903"/>
      <c r="AMA279" s="1903"/>
      <c r="AMB279" s="1903"/>
      <c r="AMC279" s="1903"/>
      <c r="AMD279" s="1903"/>
      <c r="AME279" s="1903"/>
      <c r="AMF279" s="1903"/>
      <c r="AMG279" s="1903"/>
      <c r="AMH279" s="1903"/>
      <c r="AMI279" s="1903"/>
      <c r="AMJ279" s="1903"/>
    </row>
    <row r="280" spans="2:1024" ht="15.75" customHeight="1">
      <c r="B280" s="1907"/>
      <c r="C280" s="1966"/>
      <c r="D280" s="1967"/>
      <c r="E280" s="1967"/>
      <c r="F280" s="1967"/>
      <c r="G280" s="1968"/>
      <c r="H280" s="2341"/>
      <c r="I280" s="2342"/>
      <c r="J280" s="2358"/>
      <c r="K280" s="2347"/>
      <c r="L280" s="2348"/>
      <c r="M280" s="2353"/>
      <c r="N280" s="2354"/>
      <c r="O280" s="1909"/>
      <c r="ALW280" s="1903"/>
      <c r="ALX280" s="1903"/>
      <c r="ALY280" s="1903"/>
      <c r="ALZ280" s="1903"/>
      <c r="AMA280" s="1903"/>
      <c r="AMB280" s="1903"/>
      <c r="AMC280" s="1903"/>
      <c r="AMD280" s="1903"/>
      <c r="AME280" s="1903"/>
      <c r="AMF280" s="1903"/>
      <c r="AMG280" s="1903"/>
      <c r="AMH280" s="1903"/>
      <c r="AMI280" s="1903"/>
      <c r="AMJ280" s="1903"/>
    </row>
    <row r="281" spans="2:1024" ht="15.75" customHeight="1">
      <c r="B281" s="1907"/>
      <c r="C281" s="1966"/>
      <c r="D281" s="1967"/>
      <c r="E281" s="1967"/>
      <c r="F281" s="1967"/>
      <c r="G281" s="1968"/>
      <c r="H281" s="2341"/>
      <c r="I281" s="2342"/>
      <c r="J281" s="2358"/>
      <c r="K281" s="2347"/>
      <c r="L281" s="2348"/>
      <c r="M281" s="2353"/>
      <c r="N281" s="2354"/>
      <c r="O281" s="1909"/>
      <c r="ALW281" s="1903"/>
      <c r="ALX281" s="1903"/>
      <c r="ALY281" s="1903"/>
      <c r="ALZ281" s="1903"/>
      <c r="AMA281" s="1903"/>
      <c r="AMB281" s="1903"/>
      <c r="AMC281" s="1903"/>
      <c r="AMD281" s="1903"/>
      <c r="AME281" s="1903"/>
      <c r="AMF281" s="1903"/>
      <c r="AMG281" s="1903"/>
      <c r="AMH281" s="1903"/>
      <c r="AMI281" s="1903"/>
      <c r="AMJ281" s="1903"/>
    </row>
    <row r="282" spans="2:1024" ht="15.75" customHeight="1">
      <c r="B282" s="1907"/>
      <c r="C282" s="1966"/>
      <c r="D282" s="1967"/>
      <c r="E282" s="1967"/>
      <c r="F282" s="1967"/>
      <c r="G282" s="1968"/>
      <c r="H282" s="2341"/>
      <c r="I282" s="2342"/>
      <c r="J282" s="2358"/>
      <c r="K282" s="2347"/>
      <c r="L282" s="2348"/>
      <c r="M282" s="2353"/>
      <c r="N282" s="2354"/>
      <c r="O282" s="1909"/>
      <c r="ALW282" s="1903"/>
      <c r="ALX282" s="1903"/>
      <c r="ALY282" s="1903"/>
      <c r="ALZ282" s="1903"/>
      <c r="AMA282" s="1903"/>
      <c r="AMB282" s="1903"/>
      <c r="AMC282" s="1903"/>
      <c r="AMD282" s="1903"/>
      <c r="AME282" s="1903"/>
      <c r="AMF282" s="1903"/>
      <c r="AMG282" s="1903"/>
      <c r="AMH282" s="1903"/>
      <c r="AMI282" s="1903"/>
      <c r="AMJ282" s="1903"/>
    </row>
    <row r="283" spans="2:1024" ht="15.75" customHeight="1">
      <c r="B283" s="1907"/>
      <c r="C283" s="1966"/>
      <c r="D283" s="1967"/>
      <c r="E283" s="1967"/>
      <c r="F283" s="1967"/>
      <c r="G283" s="1968"/>
      <c r="H283" s="2341"/>
      <c r="I283" s="2342"/>
      <c r="J283" s="2358"/>
      <c r="K283" s="2347"/>
      <c r="L283" s="2348"/>
      <c r="M283" s="2353"/>
      <c r="N283" s="2354"/>
      <c r="O283" s="1909"/>
      <c r="ALW283" s="1903"/>
      <c r="ALX283" s="1903"/>
      <c r="ALY283" s="1903"/>
      <c r="ALZ283" s="1903"/>
      <c r="AMA283" s="1903"/>
      <c r="AMB283" s="1903"/>
      <c r="AMC283" s="1903"/>
      <c r="AMD283" s="1903"/>
      <c r="AME283" s="1903"/>
      <c r="AMF283" s="1903"/>
      <c r="AMG283" s="1903"/>
      <c r="AMH283" s="1903"/>
      <c r="AMI283" s="1903"/>
      <c r="AMJ283" s="1903"/>
    </row>
    <row r="284" spans="2:1024" ht="15.75" customHeight="1">
      <c r="B284" s="1907"/>
      <c r="C284" s="1966"/>
      <c r="D284" s="1967"/>
      <c r="E284" s="1967"/>
      <c r="F284" s="1967"/>
      <c r="G284" s="1968"/>
      <c r="H284" s="2341"/>
      <c r="I284" s="2342"/>
      <c r="J284" s="2358"/>
      <c r="K284" s="2347"/>
      <c r="L284" s="2348"/>
      <c r="M284" s="2353"/>
      <c r="N284" s="2354"/>
      <c r="O284" s="1909"/>
      <c r="ALW284" s="1903"/>
      <c r="ALX284" s="1903"/>
      <c r="ALY284" s="1903"/>
      <c r="ALZ284" s="1903"/>
      <c r="AMA284" s="1903"/>
      <c r="AMB284" s="1903"/>
      <c r="AMC284" s="1903"/>
      <c r="AMD284" s="1903"/>
      <c r="AME284" s="1903"/>
      <c r="AMF284" s="1903"/>
      <c r="AMG284" s="1903"/>
      <c r="AMH284" s="1903"/>
      <c r="AMI284" s="1903"/>
      <c r="AMJ284" s="1903"/>
    </row>
    <row r="285" spans="2:1024" ht="15.75" customHeight="1">
      <c r="B285" s="1907"/>
      <c r="C285" s="1966"/>
      <c r="D285" s="1967"/>
      <c r="E285" s="1967"/>
      <c r="F285" s="1967"/>
      <c r="G285" s="1968"/>
      <c r="H285" s="2341"/>
      <c r="I285" s="2342"/>
      <c r="J285" s="2358"/>
      <c r="K285" s="2347"/>
      <c r="L285" s="2348"/>
      <c r="M285" s="2353"/>
      <c r="N285" s="2354"/>
      <c r="O285" s="1909"/>
      <c r="ALW285" s="1903"/>
      <c r="ALX285" s="1903"/>
      <c r="ALY285" s="1903"/>
      <c r="ALZ285" s="1903"/>
      <c r="AMA285" s="1903"/>
      <c r="AMB285" s="1903"/>
      <c r="AMC285" s="1903"/>
      <c r="AMD285" s="1903"/>
      <c r="AME285" s="1903"/>
      <c r="AMF285" s="1903"/>
      <c r="AMG285" s="1903"/>
      <c r="AMH285" s="1903"/>
      <c r="AMI285" s="1903"/>
      <c r="AMJ285" s="1903"/>
    </row>
    <row r="286" spans="2:1024" ht="15.75" customHeight="1">
      <c r="B286" s="1907"/>
      <c r="C286" s="1966"/>
      <c r="D286" s="1967"/>
      <c r="E286" s="1967"/>
      <c r="F286" s="1967"/>
      <c r="G286" s="1968"/>
      <c r="H286" s="2341"/>
      <c r="I286" s="2342"/>
      <c r="J286" s="2358"/>
      <c r="K286" s="2347"/>
      <c r="L286" s="2348"/>
      <c r="M286" s="2353"/>
      <c r="N286" s="2354"/>
      <c r="O286" s="1909"/>
      <c r="ALW286" s="1903"/>
      <c r="ALX286" s="1903"/>
      <c r="ALY286" s="1903"/>
      <c r="ALZ286" s="1903"/>
      <c r="AMA286" s="1903"/>
      <c r="AMB286" s="1903"/>
      <c r="AMC286" s="1903"/>
      <c r="AMD286" s="1903"/>
      <c r="AME286" s="1903"/>
      <c r="AMF286" s="1903"/>
      <c r="AMG286" s="1903"/>
      <c r="AMH286" s="1903"/>
      <c r="AMI286" s="1903"/>
      <c r="AMJ286" s="1903"/>
    </row>
    <row r="287" spans="2:1024" ht="15.75" customHeight="1" thickBot="1">
      <c r="B287" s="1907"/>
      <c r="C287" s="1969"/>
      <c r="D287" s="1970"/>
      <c r="E287" s="1970"/>
      <c r="F287" s="1970"/>
      <c r="G287" s="1971"/>
      <c r="H287" s="2343"/>
      <c r="I287" s="2344"/>
      <c r="J287" s="2359"/>
      <c r="K287" s="2349"/>
      <c r="L287" s="2350"/>
      <c r="M287" s="2355"/>
      <c r="N287" s="2356"/>
      <c r="O287" s="1909"/>
      <c r="ALW287" s="1903"/>
      <c r="ALX287" s="1903"/>
      <c r="ALY287" s="1903"/>
      <c r="ALZ287" s="1903"/>
      <c r="AMA287" s="1903"/>
      <c r="AMB287" s="1903"/>
      <c r="AMC287" s="1903"/>
      <c r="AMD287" s="1903"/>
      <c r="AME287" s="1903"/>
      <c r="AMF287" s="1903"/>
      <c r="AMG287" s="1903"/>
      <c r="AMH287" s="1903"/>
      <c r="AMI287" s="1903"/>
      <c r="AMJ287" s="1903"/>
    </row>
    <row r="288" spans="2:1024" ht="15.75" customHeight="1" thickBot="1">
      <c r="B288" s="1907"/>
      <c r="C288" s="1908"/>
      <c r="D288" s="1908"/>
      <c r="E288" s="1908"/>
      <c r="F288" s="1908"/>
      <c r="G288" s="1908"/>
      <c r="H288" s="1908"/>
      <c r="I288" s="1908"/>
      <c r="J288" s="1908"/>
      <c r="K288" s="1908"/>
      <c r="L288" s="1908"/>
      <c r="M288" s="1908"/>
      <c r="N288" s="1908"/>
      <c r="O288" s="1909"/>
      <c r="ALW288" s="1903"/>
      <c r="ALX288" s="1903"/>
      <c r="ALY288" s="1903"/>
      <c r="ALZ288" s="1903"/>
      <c r="AMA288" s="1903"/>
      <c r="AMB288" s="1903"/>
      <c r="AMC288" s="1903"/>
      <c r="AMD288" s="1903"/>
      <c r="AME288" s="1903"/>
      <c r="AMF288" s="1903"/>
      <c r="AMG288" s="1903"/>
      <c r="AMH288" s="1903"/>
      <c r="AMI288" s="1903"/>
      <c r="AMJ288" s="1903"/>
    </row>
    <row r="289" spans="2:1024" ht="15.75" customHeight="1">
      <c r="B289" s="1907"/>
      <c r="C289" s="1963"/>
      <c r="D289" s="1964"/>
      <c r="E289" s="1964"/>
      <c r="F289" s="1964"/>
      <c r="G289" s="1964"/>
      <c r="H289" s="2339" t="s">
        <v>7651</v>
      </c>
      <c r="I289" s="2340"/>
      <c r="J289" s="2357"/>
      <c r="K289" s="2345" t="s">
        <v>7650</v>
      </c>
      <c r="L289" s="2346"/>
      <c r="M289" s="2351">
        <v>1</v>
      </c>
      <c r="N289" s="2352"/>
      <c r="O289" s="1909"/>
      <c r="ALM289" s="1903"/>
      <c r="ALN289" s="1903"/>
      <c r="ALO289" s="1903"/>
      <c r="ALP289" s="1903"/>
      <c r="ALQ289" s="1903"/>
      <c r="ALR289" s="1903"/>
      <c r="ALS289" s="1903"/>
      <c r="ALT289" s="1903"/>
      <c r="ALU289" s="1903"/>
      <c r="ALV289" s="1903"/>
      <c r="ALW289" s="1903"/>
      <c r="ALX289" s="1903"/>
      <c r="ALY289" s="1903"/>
      <c r="ALZ289" s="1903"/>
      <c r="AMA289" s="1903"/>
      <c r="AMB289" s="1903"/>
      <c r="AMC289" s="1903"/>
      <c r="AMD289" s="1903"/>
      <c r="AME289" s="1903"/>
      <c r="AMF289" s="1903"/>
      <c r="AMG289" s="1903"/>
      <c r="AMH289" s="1903"/>
      <c r="AMI289" s="1903"/>
      <c r="AMJ289" s="1903"/>
    </row>
    <row r="290" spans="2:1024" ht="15.75" customHeight="1">
      <c r="B290" s="1907"/>
      <c r="C290" s="1966"/>
      <c r="D290" s="1967"/>
      <c r="E290" s="1967"/>
      <c r="F290" s="1967"/>
      <c r="G290" s="1967"/>
      <c r="H290" s="2341"/>
      <c r="I290" s="2342"/>
      <c r="J290" s="2358"/>
      <c r="K290" s="2347"/>
      <c r="L290" s="2348"/>
      <c r="M290" s="2353"/>
      <c r="N290" s="2354"/>
      <c r="O290" s="1909"/>
      <c r="ALM290" s="1903"/>
      <c r="ALN290" s="1903"/>
      <c r="ALO290" s="1903"/>
      <c r="ALP290" s="1903"/>
      <c r="ALQ290" s="1903"/>
      <c r="ALR290" s="1903"/>
      <c r="ALS290" s="1903"/>
      <c r="ALT290" s="1903"/>
      <c r="ALU290" s="1903"/>
      <c r="ALV290" s="1903"/>
      <c r="ALW290" s="1903"/>
      <c r="ALX290" s="1903"/>
      <c r="ALY290" s="1903"/>
      <c r="ALZ290" s="1903"/>
      <c r="AMA290" s="1903"/>
      <c r="AMB290" s="1903"/>
      <c r="AMC290" s="1903"/>
      <c r="AMD290" s="1903"/>
      <c r="AME290" s="1903"/>
      <c r="AMF290" s="1903"/>
      <c r="AMG290" s="1903"/>
      <c r="AMH290" s="1903"/>
      <c r="AMI290" s="1903"/>
      <c r="AMJ290" s="1903"/>
    </row>
    <row r="291" spans="2:1024" ht="15.75" customHeight="1">
      <c r="B291" s="1907"/>
      <c r="C291" s="1966"/>
      <c r="D291" s="1967"/>
      <c r="E291" s="1967"/>
      <c r="F291" s="1967"/>
      <c r="G291" s="1967"/>
      <c r="H291" s="2341"/>
      <c r="I291" s="2342"/>
      <c r="J291" s="2358"/>
      <c r="K291" s="2347"/>
      <c r="L291" s="2348"/>
      <c r="M291" s="2353"/>
      <c r="N291" s="2354"/>
      <c r="O291" s="1909"/>
      <c r="ALM291" s="1903"/>
      <c r="ALN291" s="1903"/>
      <c r="ALO291" s="1903"/>
      <c r="ALP291" s="1903"/>
      <c r="ALQ291" s="1903"/>
      <c r="ALR291" s="1903"/>
      <c r="ALS291" s="1903"/>
      <c r="ALT291" s="1903"/>
      <c r="ALU291" s="1903"/>
      <c r="ALV291" s="1903"/>
      <c r="ALW291" s="1903"/>
      <c r="ALX291" s="1903"/>
      <c r="ALY291" s="1903"/>
      <c r="ALZ291" s="1903"/>
      <c r="AMA291" s="1903"/>
      <c r="AMB291" s="1903"/>
      <c r="AMC291" s="1903"/>
      <c r="AMD291" s="1903"/>
      <c r="AME291" s="1903"/>
      <c r="AMF291" s="1903"/>
      <c r="AMG291" s="1903"/>
      <c r="AMH291" s="1903"/>
      <c r="AMI291" s="1903"/>
      <c r="AMJ291" s="1903"/>
    </row>
    <row r="292" spans="2:1024" ht="15.75" customHeight="1">
      <c r="B292" s="1907"/>
      <c r="C292" s="1966"/>
      <c r="D292" s="1967"/>
      <c r="E292" s="1967"/>
      <c r="F292" s="1967"/>
      <c r="G292" s="1967"/>
      <c r="H292" s="2341"/>
      <c r="I292" s="2342"/>
      <c r="J292" s="2358"/>
      <c r="K292" s="2347"/>
      <c r="L292" s="2348"/>
      <c r="M292" s="2353"/>
      <c r="N292" s="2354"/>
      <c r="O292" s="1909"/>
      <c r="AMA292" s="1903"/>
      <c r="AMB292" s="1903"/>
      <c r="AMC292" s="1903"/>
      <c r="AMD292" s="1903"/>
      <c r="AME292" s="1903"/>
      <c r="AMF292" s="1903"/>
      <c r="AMG292" s="1903"/>
      <c r="AMH292" s="1903"/>
      <c r="AMI292" s="1903"/>
      <c r="AMJ292" s="1903"/>
    </row>
    <row r="293" spans="2:1024" ht="15.75" customHeight="1">
      <c r="B293" s="1907"/>
      <c r="C293" s="1966"/>
      <c r="D293" s="1967"/>
      <c r="E293" s="1967"/>
      <c r="F293" s="1967"/>
      <c r="G293" s="1967"/>
      <c r="H293" s="2341"/>
      <c r="I293" s="2342"/>
      <c r="J293" s="2358"/>
      <c r="K293" s="2347"/>
      <c r="L293" s="2348"/>
      <c r="M293" s="2353"/>
      <c r="N293" s="2354"/>
      <c r="O293" s="1909"/>
      <c r="AMA293" s="1903"/>
      <c r="AMB293" s="1903"/>
      <c r="AMC293" s="1903"/>
      <c r="AMD293" s="1903"/>
      <c r="AME293" s="1903"/>
      <c r="AMF293" s="1903"/>
      <c r="AMG293" s="1903"/>
      <c r="AMH293" s="1903"/>
      <c r="AMI293" s="1903"/>
      <c r="AMJ293" s="1903"/>
    </row>
    <row r="294" spans="2:1024" ht="15.75" customHeight="1">
      <c r="B294" s="1907"/>
      <c r="C294" s="1966"/>
      <c r="D294" s="1967"/>
      <c r="E294" s="1967"/>
      <c r="F294" s="1967"/>
      <c r="G294" s="1967"/>
      <c r="H294" s="2341"/>
      <c r="I294" s="2342"/>
      <c r="J294" s="2358"/>
      <c r="K294" s="2347"/>
      <c r="L294" s="2348"/>
      <c r="M294" s="2353"/>
      <c r="N294" s="2354"/>
      <c r="O294" s="1909"/>
      <c r="AMA294" s="1903"/>
      <c r="AMB294" s="1903"/>
      <c r="AMC294" s="1903"/>
      <c r="AMD294" s="1903"/>
      <c r="AME294" s="1903"/>
      <c r="AMF294" s="1903"/>
      <c r="AMG294" s="1903"/>
      <c r="AMH294" s="1903"/>
      <c r="AMI294" s="1903"/>
      <c r="AMJ294" s="1903"/>
    </row>
    <row r="295" spans="2:1024" ht="15.75" customHeight="1">
      <c r="B295" s="1907"/>
      <c r="C295" s="1966"/>
      <c r="D295" s="1967"/>
      <c r="E295" s="1967"/>
      <c r="F295" s="1967"/>
      <c r="G295" s="1967"/>
      <c r="H295" s="2341"/>
      <c r="I295" s="2342"/>
      <c r="J295" s="2358"/>
      <c r="K295" s="2347"/>
      <c r="L295" s="2348"/>
      <c r="M295" s="2353"/>
      <c r="N295" s="2354"/>
      <c r="O295" s="1909"/>
      <c r="AMA295" s="1903"/>
      <c r="AMB295" s="1903"/>
      <c r="AMC295" s="1903"/>
      <c r="AMD295" s="1903"/>
      <c r="AME295" s="1903"/>
      <c r="AMF295" s="1903"/>
      <c r="AMG295" s="1903"/>
      <c r="AMH295" s="1903"/>
      <c r="AMI295" s="1903"/>
      <c r="AMJ295" s="1903"/>
    </row>
    <row r="296" spans="2:1024" ht="15.75" customHeight="1">
      <c r="B296" s="1907"/>
      <c r="C296" s="1966"/>
      <c r="D296" s="1967"/>
      <c r="E296" s="1967"/>
      <c r="F296" s="1967"/>
      <c r="G296" s="1967"/>
      <c r="H296" s="2341"/>
      <c r="I296" s="2342"/>
      <c r="J296" s="2358"/>
      <c r="K296" s="2347"/>
      <c r="L296" s="2348"/>
      <c r="M296" s="2353"/>
      <c r="N296" s="2354"/>
      <c r="O296" s="1909"/>
      <c r="AMA296" s="1903"/>
      <c r="AMB296" s="1903"/>
      <c r="AMC296" s="1903"/>
      <c r="AMD296" s="1903"/>
      <c r="AME296" s="1903"/>
      <c r="AMF296" s="1903"/>
      <c r="AMG296" s="1903"/>
      <c r="AMH296" s="1903"/>
      <c r="AMI296" s="1903"/>
      <c r="AMJ296" s="1903"/>
    </row>
    <row r="297" spans="2:1024" ht="15.75" customHeight="1">
      <c r="B297" s="1907"/>
      <c r="C297" s="1966"/>
      <c r="D297" s="1967"/>
      <c r="E297" s="1967"/>
      <c r="F297" s="1967"/>
      <c r="G297" s="1967"/>
      <c r="H297" s="2341"/>
      <c r="I297" s="2342"/>
      <c r="J297" s="2358"/>
      <c r="K297" s="2347"/>
      <c r="L297" s="2348"/>
      <c r="M297" s="2353"/>
      <c r="N297" s="2354"/>
      <c r="O297" s="1909"/>
      <c r="AMA297" s="1903"/>
      <c r="AMB297" s="1903"/>
      <c r="AMC297" s="1903"/>
      <c r="AMD297" s="1903"/>
      <c r="AME297" s="1903"/>
      <c r="AMF297" s="1903"/>
      <c r="AMG297" s="1903"/>
      <c r="AMH297" s="1903"/>
      <c r="AMI297" s="1903"/>
      <c r="AMJ297" s="1903"/>
    </row>
    <row r="298" spans="2:1024" ht="15.75" customHeight="1">
      <c r="B298" s="1907"/>
      <c r="C298" s="1966"/>
      <c r="D298" s="1967"/>
      <c r="E298" s="1967"/>
      <c r="F298" s="1967"/>
      <c r="G298" s="1967"/>
      <c r="H298" s="2341"/>
      <c r="I298" s="2342"/>
      <c r="J298" s="2358"/>
      <c r="K298" s="2347"/>
      <c r="L298" s="2348"/>
      <c r="M298" s="2353"/>
      <c r="N298" s="2354"/>
      <c r="O298" s="1909"/>
    </row>
    <row r="299" spans="2:1024" ht="15.75" customHeight="1">
      <c r="B299" s="1907"/>
      <c r="C299" s="1966"/>
      <c r="D299" s="1967"/>
      <c r="E299" s="1967"/>
      <c r="F299" s="1967"/>
      <c r="G299" s="1967"/>
      <c r="H299" s="2341"/>
      <c r="I299" s="2342"/>
      <c r="J299" s="2358"/>
      <c r="K299" s="2347"/>
      <c r="L299" s="2348"/>
      <c r="M299" s="2353"/>
      <c r="N299" s="2354"/>
      <c r="O299" s="1909"/>
    </row>
    <row r="300" spans="2:1024" ht="15.75" customHeight="1" thickBot="1">
      <c r="B300" s="1907"/>
      <c r="C300" s="1969"/>
      <c r="D300" s="1970"/>
      <c r="E300" s="1970"/>
      <c r="F300" s="1970"/>
      <c r="G300" s="1970"/>
      <c r="H300" s="2343"/>
      <c r="I300" s="2344"/>
      <c r="J300" s="2359"/>
      <c r="K300" s="2349"/>
      <c r="L300" s="2350"/>
      <c r="M300" s="2355"/>
      <c r="N300" s="2356"/>
      <c r="O300" s="1909"/>
    </row>
    <row r="301" spans="2:1024" ht="15.75" customHeight="1" thickBot="1">
      <c r="B301" s="1907"/>
      <c r="C301" s="1908"/>
      <c r="D301" s="1908"/>
      <c r="E301" s="1908"/>
      <c r="F301" s="1908"/>
      <c r="G301" s="1908"/>
      <c r="H301" s="1908"/>
      <c r="I301" s="1908"/>
      <c r="J301" s="1908"/>
      <c r="K301" s="1908"/>
      <c r="L301" s="1908"/>
      <c r="M301" s="1908"/>
      <c r="N301" s="1908"/>
      <c r="O301" s="1909"/>
    </row>
    <row r="302" spans="2:1024" ht="15.75" customHeight="1">
      <c r="B302" s="1907"/>
      <c r="C302" s="1963"/>
      <c r="D302" s="1964"/>
      <c r="E302" s="1964"/>
      <c r="F302" s="1964"/>
      <c r="G302" s="1965"/>
      <c r="H302" s="2339" t="s">
        <v>7652</v>
      </c>
      <c r="I302" s="2340"/>
      <c r="J302" s="2357"/>
      <c r="K302" s="2345" t="s">
        <v>7650</v>
      </c>
      <c r="L302" s="2346"/>
      <c r="M302" s="2351">
        <v>1.5</v>
      </c>
      <c r="N302" s="2352"/>
      <c r="O302" s="1909"/>
    </row>
    <row r="303" spans="2:1024" ht="15.75" customHeight="1">
      <c r="B303" s="1907"/>
      <c r="C303" s="1966"/>
      <c r="D303" s="1967"/>
      <c r="E303" s="1967"/>
      <c r="F303" s="1967"/>
      <c r="G303" s="1968"/>
      <c r="H303" s="2341"/>
      <c r="I303" s="2342"/>
      <c r="J303" s="2358"/>
      <c r="K303" s="2347"/>
      <c r="L303" s="2348"/>
      <c r="M303" s="2353"/>
      <c r="N303" s="2354"/>
      <c r="O303" s="1909"/>
    </row>
    <row r="304" spans="2:1024" ht="15.75" customHeight="1">
      <c r="B304" s="1907"/>
      <c r="C304" s="1966"/>
      <c r="D304" s="1967"/>
      <c r="E304" s="1967"/>
      <c r="F304" s="1967"/>
      <c r="G304" s="1968"/>
      <c r="H304" s="2341"/>
      <c r="I304" s="2342"/>
      <c r="J304" s="2358"/>
      <c r="K304" s="2347"/>
      <c r="L304" s="2348"/>
      <c r="M304" s="2353"/>
      <c r="N304" s="2354"/>
      <c r="O304" s="1909"/>
    </row>
    <row r="305" spans="2:1024" ht="15.75" customHeight="1">
      <c r="B305" s="1907"/>
      <c r="C305" s="1966"/>
      <c r="D305" s="1967"/>
      <c r="E305" s="1967"/>
      <c r="F305" s="1967"/>
      <c r="G305" s="1968"/>
      <c r="H305" s="2341"/>
      <c r="I305" s="2342"/>
      <c r="J305" s="2358"/>
      <c r="K305" s="2347"/>
      <c r="L305" s="2348"/>
      <c r="M305" s="2353"/>
      <c r="N305" s="2354"/>
      <c r="O305" s="1909"/>
    </row>
    <row r="306" spans="2:1024" ht="15.75" customHeight="1">
      <c r="B306" s="1907"/>
      <c r="C306" s="1966"/>
      <c r="D306" s="1967"/>
      <c r="E306" s="1967"/>
      <c r="F306" s="1967"/>
      <c r="G306" s="1968"/>
      <c r="H306" s="2341"/>
      <c r="I306" s="2342"/>
      <c r="J306" s="2358"/>
      <c r="K306" s="2347"/>
      <c r="L306" s="2348"/>
      <c r="M306" s="2353"/>
      <c r="N306" s="2354"/>
      <c r="O306" s="1909"/>
    </row>
    <row r="307" spans="2:1024" ht="15.75" customHeight="1">
      <c r="B307" s="1907"/>
      <c r="C307" s="1966"/>
      <c r="D307" s="1967"/>
      <c r="E307" s="1967"/>
      <c r="F307" s="1967"/>
      <c r="G307" s="1968"/>
      <c r="H307" s="2341"/>
      <c r="I307" s="2342"/>
      <c r="J307" s="2358"/>
      <c r="K307" s="2347"/>
      <c r="L307" s="2348"/>
      <c r="M307" s="2353"/>
      <c r="N307" s="2354"/>
      <c r="O307" s="1909"/>
    </row>
    <row r="308" spans="2:1024" ht="15.75" customHeight="1">
      <c r="B308" s="1907"/>
      <c r="C308" s="1966"/>
      <c r="D308" s="1967"/>
      <c r="E308" s="1967"/>
      <c r="F308" s="1967"/>
      <c r="G308" s="1968"/>
      <c r="H308" s="2341"/>
      <c r="I308" s="2342"/>
      <c r="J308" s="2358"/>
      <c r="K308" s="2347"/>
      <c r="L308" s="2348"/>
      <c r="M308" s="2353"/>
      <c r="N308" s="2354"/>
      <c r="O308" s="1909"/>
    </row>
    <row r="309" spans="2:1024" ht="15.75" customHeight="1">
      <c r="B309" s="1907"/>
      <c r="C309" s="1966"/>
      <c r="D309" s="1967"/>
      <c r="E309" s="1967"/>
      <c r="F309" s="1967"/>
      <c r="G309" s="1968"/>
      <c r="H309" s="2341"/>
      <c r="I309" s="2342"/>
      <c r="J309" s="2358"/>
      <c r="K309" s="2347"/>
      <c r="L309" s="2348"/>
      <c r="M309" s="2353"/>
      <c r="N309" s="2354"/>
      <c r="O309" s="1909"/>
    </row>
    <row r="310" spans="2:1024" ht="15.75" customHeight="1">
      <c r="B310" s="1907"/>
      <c r="C310" s="1966"/>
      <c r="D310" s="1967"/>
      <c r="E310" s="1967"/>
      <c r="F310" s="1967"/>
      <c r="G310" s="1968"/>
      <c r="H310" s="2341"/>
      <c r="I310" s="2342"/>
      <c r="J310" s="2358"/>
      <c r="K310" s="2347"/>
      <c r="L310" s="2348"/>
      <c r="M310" s="2353"/>
      <c r="N310" s="2354"/>
      <c r="O310" s="1909"/>
    </row>
    <row r="311" spans="2:1024" ht="15.75" customHeight="1">
      <c r="B311" s="1907"/>
      <c r="C311" s="1966"/>
      <c r="D311" s="1967"/>
      <c r="E311" s="1967"/>
      <c r="F311" s="1967"/>
      <c r="G311" s="1968"/>
      <c r="H311" s="2341"/>
      <c r="I311" s="2342"/>
      <c r="J311" s="2358"/>
      <c r="K311" s="2347"/>
      <c r="L311" s="2348"/>
      <c r="M311" s="2353"/>
      <c r="N311" s="2354"/>
      <c r="O311" s="1909"/>
    </row>
    <row r="312" spans="2:1024" ht="15.75" customHeight="1">
      <c r="B312" s="1907"/>
      <c r="C312" s="1966"/>
      <c r="D312" s="1967"/>
      <c r="E312" s="1967"/>
      <c r="F312" s="1967"/>
      <c r="G312" s="1968"/>
      <c r="H312" s="2341"/>
      <c r="I312" s="2342"/>
      <c r="J312" s="2358"/>
      <c r="K312" s="2347"/>
      <c r="L312" s="2348"/>
      <c r="M312" s="2353"/>
      <c r="N312" s="2354"/>
      <c r="O312" s="1909"/>
    </row>
    <row r="313" spans="2:1024" ht="15.75" customHeight="1" thickBot="1">
      <c r="B313" s="1907"/>
      <c r="C313" s="1969"/>
      <c r="D313" s="1970"/>
      <c r="E313" s="1970"/>
      <c r="F313" s="1970"/>
      <c r="G313" s="1971"/>
      <c r="H313" s="2343"/>
      <c r="I313" s="2344"/>
      <c r="J313" s="2359"/>
      <c r="K313" s="2349"/>
      <c r="L313" s="2350"/>
      <c r="M313" s="2355"/>
      <c r="N313" s="2356"/>
      <c r="O313" s="1909"/>
    </row>
    <row r="314" spans="2:1024" ht="15.75" customHeight="1" thickBot="1">
      <c r="B314" s="1907"/>
      <c r="C314" s="1908"/>
      <c r="D314" s="1908"/>
      <c r="E314" s="1908"/>
      <c r="F314" s="1908"/>
      <c r="G314" s="1908"/>
      <c r="H314" s="1908"/>
      <c r="I314" s="1908"/>
      <c r="J314" s="1908"/>
      <c r="K314" s="1908"/>
      <c r="L314" s="1908"/>
      <c r="M314" s="1908"/>
      <c r="N314" s="1908"/>
      <c r="O314" s="1909"/>
      <c r="AMI314" s="1903"/>
      <c r="AMJ314" s="1903"/>
    </row>
    <row r="315" spans="2:1024" ht="15.75" customHeight="1">
      <c r="B315" s="1907"/>
      <c r="C315" s="1963"/>
      <c r="D315" s="1964"/>
      <c r="E315" s="1964"/>
      <c r="F315" s="1964"/>
      <c r="G315" s="1965"/>
      <c r="H315" s="2339" t="s">
        <v>7653</v>
      </c>
      <c r="I315" s="2340"/>
      <c r="J315" s="2357"/>
      <c r="K315" s="2345" t="s">
        <v>7649</v>
      </c>
      <c r="L315" s="2346"/>
      <c r="M315" s="2351">
        <v>1.5</v>
      </c>
      <c r="N315" s="2352"/>
      <c r="O315" s="1909"/>
    </row>
    <row r="316" spans="2:1024" ht="15.75" customHeight="1">
      <c r="B316" s="1907"/>
      <c r="C316" s="1966"/>
      <c r="D316" s="1967"/>
      <c r="E316" s="1967"/>
      <c r="F316" s="1967"/>
      <c r="G316" s="1968"/>
      <c r="H316" s="2341"/>
      <c r="I316" s="2342"/>
      <c r="J316" s="2358"/>
      <c r="K316" s="2347"/>
      <c r="L316" s="2348"/>
      <c r="M316" s="2353"/>
      <c r="N316" s="2354"/>
      <c r="O316" s="1909"/>
    </row>
    <row r="317" spans="2:1024" ht="15.75" customHeight="1">
      <c r="B317" s="1907"/>
      <c r="C317" s="1966"/>
      <c r="D317" s="1967"/>
      <c r="E317" s="1967"/>
      <c r="F317" s="1967"/>
      <c r="G317" s="1968"/>
      <c r="H317" s="2341"/>
      <c r="I317" s="2342"/>
      <c r="J317" s="2358"/>
      <c r="K317" s="2347"/>
      <c r="L317" s="2348"/>
      <c r="M317" s="2353"/>
      <c r="N317" s="2354"/>
      <c r="O317" s="1909"/>
    </row>
    <row r="318" spans="2:1024" ht="15.75" customHeight="1">
      <c r="B318" s="1907"/>
      <c r="C318" s="1966"/>
      <c r="D318" s="1967"/>
      <c r="E318" s="1967"/>
      <c r="F318" s="1967"/>
      <c r="G318" s="1968"/>
      <c r="H318" s="2341"/>
      <c r="I318" s="2342"/>
      <c r="J318" s="2358"/>
      <c r="K318" s="2347"/>
      <c r="L318" s="2348"/>
      <c r="M318" s="2353"/>
      <c r="N318" s="2354"/>
      <c r="O318" s="1909"/>
    </row>
    <row r="319" spans="2:1024" ht="15.75" customHeight="1">
      <c r="B319" s="1907"/>
      <c r="C319" s="1966"/>
      <c r="D319" s="1967"/>
      <c r="E319" s="1967"/>
      <c r="F319" s="1967"/>
      <c r="G319" s="1968"/>
      <c r="H319" s="2341"/>
      <c r="I319" s="2342"/>
      <c r="J319" s="2358"/>
      <c r="K319" s="2347"/>
      <c r="L319" s="2348"/>
      <c r="M319" s="2353"/>
      <c r="N319" s="2354"/>
      <c r="O319" s="1909"/>
    </row>
    <row r="320" spans="2:1024" ht="15.75" customHeight="1">
      <c r="B320" s="1907"/>
      <c r="C320" s="1966"/>
      <c r="D320" s="1967"/>
      <c r="E320" s="1967"/>
      <c r="F320" s="1967"/>
      <c r="G320" s="1968"/>
      <c r="H320" s="2341"/>
      <c r="I320" s="2342"/>
      <c r="J320" s="2358"/>
      <c r="K320" s="2347"/>
      <c r="L320" s="2348"/>
      <c r="M320" s="2353"/>
      <c r="N320" s="2354"/>
      <c r="O320" s="1909"/>
    </row>
    <row r="321" spans="2:16" ht="15.75" customHeight="1">
      <c r="B321" s="1907"/>
      <c r="C321" s="1966"/>
      <c r="D321" s="1967"/>
      <c r="E321" s="1967"/>
      <c r="F321" s="1967"/>
      <c r="G321" s="1968"/>
      <c r="H321" s="2341"/>
      <c r="I321" s="2342"/>
      <c r="J321" s="2358"/>
      <c r="K321" s="2347"/>
      <c r="L321" s="2348"/>
      <c r="M321" s="2353"/>
      <c r="N321" s="2354"/>
      <c r="O321" s="1909"/>
    </row>
    <row r="322" spans="2:16" ht="15.75" customHeight="1">
      <c r="B322" s="1907"/>
      <c r="C322" s="1966"/>
      <c r="D322" s="1967"/>
      <c r="E322" s="1967"/>
      <c r="F322" s="1967"/>
      <c r="G322" s="1968"/>
      <c r="H322" s="2341"/>
      <c r="I322" s="2342"/>
      <c r="J322" s="2358"/>
      <c r="K322" s="2347"/>
      <c r="L322" s="2348"/>
      <c r="M322" s="2353"/>
      <c r="N322" s="2354"/>
      <c r="O322" s="1909"/>
    </row>
    <row r="323" spans="2:16" ht="15.75" customHeight="1">
      <c r="B323" s="1907"/>
      <c r="C323" s="1966"/>
      <c r="D323" s="1967"/>
      <c r="E323" s="1967"/>
      <c r="F323" s="1967"/>
      <c r="G323" s="1968"/>
      <c r="H323" s="2341"/>
      <c r="I323" s="2342"/>
      <c r="J323" s="2358"/>
      <c r="K323" s="2347"/>
      <c r="L323" s="2348"/>
      <c r="M323" s="2353"/>
      <c r="N323" s="2354"/>
      <c r="O323" s="1909"/>
    </row>
    <row r="324" spans="2:16" ht="15.75" customHeight="1">
      <c r="B324" s="1907"/>
      <c r="C324" s="1966"/>
      <c r="D324" s="1967"/>
      <c r="E324" s="1967"/>
      <c r="F324" s="1967"/>
      <c r="G324" s="1968"/>
      <c r="H324" s="2341"/>
      <c r="I324" s="2342"/>
      <c r="J324" s="2358"/>
      <c r="K324" s="2347"/>
      <c r="L324" s="2348"/>
      <c r="M324" s="2353"/>
      <c r="N324" s="2354"/>
      <c r="O324" s="1909"/>
    </row>
    <row r="325" spans="2:16" ht="15.75" customHeight="1">
      <c r="B325" s="1907"/>
      <c r="C325" s="1966"/>
      <c r="D325" s="1967"/>
      <c r="E325" s="1967"/>
      <c r="F325" s="1967"/>
      <c r="G325" s="1968"/>
      <c r="H325" s="2341"/>
      <c r="I325" s="2342"/>
      <c r="J325" s="2358"/>
      <c r="K325" s="2347"/>
      <c r="L325" s="2348"/>
      <c r="M325" s="2353"/>
      <c r="N325" s="2354"/>
      <c r="O325" s="1909"/>
    </row>
    <row r="326" spans="2:16" ht="15.75" customHeight="1" thickBot="1">
      <c r="B326" s="1907"/>
      <c r="C326" s="1969"/>
      <c r="D326" s="1970"/>
      <c r="E326" s="1970"/>
      <c r="F326" s="1970"/>
      <c r="G326" s="1971"/>
      <c r="H326" s="2343"/>
      <c r="I326" s="2344"/>
      <c r="J326" s="2359"/>
      <c r="K326" s="2349"/>
      <c r="L326" s="2350"/>
      <c r="M326" s="2355"/>
      <c r="N326" s="2356"/>
      <c r="O326" s="1909"/>
    </row>
    <row r="327" spans="2:16" ht="15.75" customHeight="1" thickBot="1">
      <c r="B327" s="1921"/>
      <c r="C327" s="1922"/>
      <c r="D327" s="1922"/>
      <c r="E327" s="1922"/>
      <c r="F327" s="1922"/>
      <c r="G327" s="1922"/>
      <c r="H327" s="1922"/>
      <c r="I327" s="1922"/>
      <c r="J327" s="1922"/>
      <c r="K327" s="1922"/>
      <c r="L327" s="1922"/>
      <c r="M327" s="1922"/>
      <c r="N327" s="1922"/>
      <c r="O327" s="1924"/>
    </row>
    <row r="328" spans="2:16" ht="15.75" customHeight="1">
      <c r="B328" s="1903"/>
      <c r="C328" s="1903"/>
      <c r="D328" s="1903"/>
      <c r="E328" s="1903"/>
      <c r="F328" s="1903"/>
      <c r="G328" s="1903"/>
      <c r="H328" s="1903"/>
      <c r="I328" s="1903"/>
      <c r="J328" s="1903"/>
      <c r="K328" s="1903"/>
      <c r="L328" s="1903"/>
      <c r="M328" s="1903"/>
      <c r="N328" s="1903"/>
      <c r="O328" s="1903"/>
      <c r="P328" s="1903"/>
    </row>
    <row r="329" spans="2:16" ht="15.75" customHeight="1" thickBot="1">
      <c r="B329" s="1903"/>
      <c r="C329" s="1903"/>
      <c r="D329" s="1903"/>
      <c r="E329" s="1903"/>
      <c r="F329" s="1903"/>
      <c r="G329" s="1903"/>
      <c r="H329" s="1903"/>
      <c r="I329" s="1903"/>
      <c r="J329" s="1903"/>
      <c r="K329" s="1903"/>
      <c r="L329" s="1903"/>
      <c r="M329" s="1903"/>
      <c r="N329" s="1903"/>
      <c r="O329" s="1903"/>
      <c r="P329" s="1903"/>
    </row>
    <row r="330" spans="2:16" ht="15.75" customHeight="1">
      <c r="B330" s="1904"/>
      <c r="C330" s="1905"/>
      <c r="D330" s="1905"/>
      <c r="E330" s="1905"/>
      <c r="F330" s="1905"/>
      <c r="G330" s="1905"/>
      <c r="H330" s="1905"/>
      <c r="I330" s="1905"/>
      <c r="J330" s="1905"/>
      <c r="K330" s="1905"/>
      <c r="L330" s="1905"/>
      <c r="M330" s="1905"/>
      <c r="N330" s="1905"/>
      <c r="O330" s="1906"/>
    </row>
    <row r="331" spans="2:16" ht="15.75" customHeight="1">
      <c r="B331" s="1907"/>
      <c r="C331" s="2301" t="s">
        <v>7682</v>
      </c>
      <c r="D331" s="2301"/>
      <c r="E331" s="2301"/>
      <c r="F331" s="2301"/>
      <c r="G331" s="2301"/>
      <c r="H331" s="2301"/>
      <c r="I331" s="2301"/>
      <c r="J331" s="2301"/>
      <c r="K331" s="1908"/>
      <c r="L331" s="1908"/>
      <c r="M331" s="1908"/>
      <c r="N331" s="1908"/>
      <c r="O331" s="1909"/>
    </row>
    <row r="332" spans="2:16" ht="15.75" customHeight="1">
      <c r="B332" s="1907"/>
      <c r="C332" s="2301"/>
      <c r="D332" s="2301"/>
      <c r="E332" s="2301"/>
      <c r="F332" s="2301"/>
      <c r="G332" s="2301"/>
      <c r="H332" s="2301"/>
      <c r="I332" s="2301"/>
      <c r="J332" s="2301"/>
      <c r="K332" s="1973"/>
      <c r="L332" s="1973"/>
      <c r="M332" s="1974"/>
      <c r="N332" s="1974"/>
      <c r="O332" s="1909"/>
    </row>
    <row r="333" spans="2:16" ht="15.75" customHeight="1" thickBot="1">
      <c r="B333" s="1907"/>
      <c r="C333" s="1959"/>
      <c r="D333" s="1959"/>
      <c r="E333" s="1959"/>
      <c r="F333" s="1959"/>
      <c r="G333" s="1959"/>
      <c r="H333" s="1959"/>
      <c r="I333" s="1959"/>
      <c r="J333" s="1959"/>
      <c r="K333" s="1973"/>
      <c r="L333" s="1973"/>
      <c r="M333" s="1974"/>
      <c r="N333" s="1974"/>
      <c r="O333" s="1909"/>
    </row>
    <row r="334" spans="2:16" ht="15.75" customHeight="1">
      <c r="B334" s="1907"/>
      <c r="C334" s="1908"/>
      <c r="D334" s="1908"/>
      <c r="E334" s="1908"/>
      <c r="F334" s="1908"/>
      <c r="G334" s="1908"/>
      <c r="H334" s="1908"/>
      <c r="I334" s="1908"/>
      <c r="J334" s="1908"/>
      <c r="K334" s="2364" t="s">
        <v>7654</v>
      </c>
      <c r="L334" s="2365"/>
      <c r="M334" s="2365"/>
      <c r="N334" s="2366"/>
      <c r="O334" s="1909"/>
    </row>
    <row r="335" spans="2:16" ht="15.75" customHeight="1" thickBot="1">
      <c r="B335" s="1907"/>
      <c r="C335" s="1908"/>
      <c r="D335" s="1908"/>
      <c r="E335" s="1908"/>
      <c r="F335" s="1908"/>
      <c r="G335" s="1908"/>
      <c r="H335" s="1908"/>
      <c r="I335" s="1908"/>
      <c r="J335" s="1908"/>
      <c r="K335" s="2367"/>
      <c r="L335" s="2368"/>
      <c r="M335" s="2368"/>
      <c r="N335" s="2369"/>
      <c r="O335" s="1909"/>
    </row>
    <row r="336" spans="2:16" ht="15.75" customHeight="1" thickBot="1">
      <c r="B336" s="1907"/>
      <c r="C336" s="1908"/>
      <c r="D336" s="1908"/>
      <c r="E336" s="1908"/>
      <c r="F336" s="1908"/>
      <c r="G336" s="1908"/>
      <c r="H336" s="1908"/>
      <c r="I336" s="1908"/>
      <c r="J336" s="1908"/>
      <c r="K336" s="1908"/>
      <c r="L336" s="1908"/>
      <c r="M336" s="1908"/>
      <c r="N336" s="1908"/>
      <c r="O336" s="1909"/>
    </row>
    <row r="337" spans="2:15" ht="15.75" customHeight="1" thickBot="1">
      <c r="B337" s="1907"/>
      <c r="C337" s="1908"/>
      <c r="D337" s="1908"/>
      <c r="E337" s="1908"/>
      <c r="F337" s="1908"/>
      <c r="G337" s="1908"/>
      <c r="H337" s="1908"/>
      <c r="I337" s="1908"/>
      <c r="J337" s="1908"/>
      <c r="K337" s="2127" t="s">
        <v>20</v>
      </c>
      <c r="L337" s="2128"/>
      <c r="M337" s="2370" t="s">
        <v>442</v>
      </c>
      <c r="N337" s="2371"/>
      <c r="O337" s="1909"/>
    </row>
    <row r="338" spans="2:15" ht="15.75" customHeight="1" thickBot="1">
      <c r="B338" s="1907"/>
      <c r="C338" s="1908"/>
      <c r="D338" s="1908"/>
      <c r="E338" s="1908"/>
      <c r="F338" s="1908"/>
      <c r="G338" s="1908"/>
      <c r="H338" s="1908"/>
      <c r="I338" s="1908"/>
      <c r="J338" s="1908"/>
      <c r="K338" s="2218"/>
      <c r="L338" s="2220"/>
      <c r="M338" s="2370" t="s">
        <v>433</v>
      </c>
      <c r="N338" s="2371"/>
      <c r="O338" s="1909"/>
    </row>
    <row r="339" spans="2:15" ht="15.75" customHeight="1">
      <c r="B339" s="1907"/>
      <c r="C339" s="1908"/>
      <c r="D339" s="1908"/>
      <c r="E339" s="1908"/>
      <c r="F339" s="1908"/>
      <c r="G339" s="1908"/>
      <c r="H339" s="1908"/>
      <c r="I339" s="1908"/>
      <c r="J339" s="1908"/>
      <c r="K339" s="2372">
        <v>160</v>
      </c>
      <c r="L339" s="2373"/>
      <c r="M339" s="2374">
        <v>2.4</v>
      </c>
      <c r="N339" s="2375"/>
      <c r="O339" s="1909"/>
    </row>
    <row r="340" spans="2:15" ht="15.75" customHeight="1">
      <c r="B340" s="1907"/>
      <c r="C340" s="1908"/>
      <c r="D340" s="1908"/>
      <c r="E340" s="1908"/>
      <c r="F340" s="1908"/>
      <c r="G340" s="1908"/>
      <c r="H340" s="1908"/>
      <c r="I340" s="1908"/>
      <c r="J340" s="1908"/>
      <c r="K340" s="2360">
        <v>200</v>
      </c>
      <c r="L340" s="2361"/>
      <c r="M340" s="2362">
        <v>2.5</v>
      </c>
      <c r="N340" s="2363"/>
      <c r="O340" s="1909"/>
    </row>
    <row r="341" spans="2:15" ht="15.75" customHeight="1">
      <c r="B341" s="1907"/>
      <c r="C341" s="1908"/>
      <c r="D341" s="1908"/>
      <c r="E341" s="1908"/>
      <c r="F341" s="1908"/>
      <c r="G341" s="1908"/>
      <c r="H341" s="1908"/>
      <c r="I341" s="1908"/>
      <c r="J341" s="1908"/>
      <c r="K341" s="2360">
        <v>260</v>
      </c>
      <c r="L341" s="2361"/>
      <c r="M341" s="2362">
        <v>2.6</v>
      </c>
      <c r="N341" s="2363"/>
      <c r="O341" s="1909"/>
    </row>
    <row r="342" spans="2:15" ht="15.75" customHeight="1">
      <c r="B342" s="1907"/>
      <c r="C342" s="1908"/>
      <c r="D342" s="1908"/>
      <c r="E342" s="1908"/>
      <c r="F342" s="1908"/>
      <c r="G342" s="1908"/>
      <c r="H342" s="1908"/>
      <c r="I342" s="1908"/>
      <c r="J342" s="1908"/>
      <c r="K342" s="2360">
        <v>300</v>
      </c>
      <c r="L342" s="2361"/>
      <c r="M342" s="2362">
        <v>2.7</v>
      </c>
      <c r="N342" s="2363"/>
      <c r="O342" s="1909"/>
    </row>
    <row r="343" spans="2:15" ht="15.75" customHeight="1">
      <c r="B343" s="1907"/>
      <c r="C343" s="1908"/>
      <c r="D343" s="1908"/>
      <c r="E343" s="1908"/>
      <c r="F343" s="1908"/>
      <c r="G343" s="1908"/>
      <c r="H343" s="1908"/>
      <c r="I343" s="1908"/>
      <c r="J343" s="1908"/>
      <c r="K343" s="2360">
        <v>360</v>
      </c>
      <c r="L343" s="2361"/>
      <c r="M343" s="2362">
        <v>2.9</v>
      </c>
      <c r="N343" s="2363"/>
      <c r="O343" s="1909"/>
    </row>
    <row r="344" spans="2:15" ht="15.75" customHeight="1" thickBot="1">
      <c r="B344" s="1907"/>
      <c r="C344" s="1908"/>
      <c r="D344" s="1908"/>
      <c r="E344" s="1908"/>
      <c r="F344" s="1908"/>
      <c r="G344" s="1908"/>
      <c r="H344" s="1908"/>
      <c r="I344" s="1908"/>
      <c r="J344" s="1908"/>
      <c r="K344" s="2376">
        <v>400</v>
      </c>
      <c r="L344" s="2377"/>
      <c r="M344" s="2378">
        <v>3</v>
      </c>
      <c r="N344" s="2379"/>
      <c r="O344" s="1909"/>
    </row>
    <row r="345" spans="2:15" ht="15.75" customHeight="1" thickBot="1">
      <c r="B345" s="1907"/>
      <c r="C345" s="1908"/>
      <c r="D345" s="1908"/>
      <c r="E345" s="1908"/>
      <c r="F345" s="1908"/>
      <c r="G345" s="1908"/>
      <c r="H345" s="1908"/>
      <c r="I345" s="1908"/>
      <c r="J345" s="1908"/>
      <c r="K345" s="1908"/>
      <c r="L345" s="1908"/>
      <c r="M345" s="1908"/>
      <c r="N345" s="1908"/>
      <c r="O345" s="1909"/>
    </row>
    <row r="346" spans="2:15" ht="15.75" customHeight="1">
      <c r="B346" s="1907"/>
      <c r="C346" s="1908"/>
      <c r="D346" s="1908"/>
      <c r="E346" s="1908"/>
      <c r="F346" s="1908"/>
      <c r="G346" s="1908"/>
      <c r="H346" s="1908"/>
      <c r="I346" s="1908"/>
      <c r="J346" s="1908"/>
      <c r="K346" s="2364" t="s">
        <v>7655</v>
      </c>
      <c r="L346" s="2365"/>
      <c r="M346" s="2365"/>
      <c r="N346" s="2366"/>
      <c r="O346" s="1909"/>
    </row>
    <row r="347" spans="2:15" ht="15.75" customHeight="1" thickBot="1">
      <c r="B347" s="1975"/>
      <c r="C347" s="1976"/>
      <c r="D347" s="1976"/>
      <c r="E347" s="1976"/>
      <c r="F347" s="1976"/>
      <c r="G347" s="1976"/>
      <c r="H347" s="1976"/>
      <c r="I347" s="1976"/>
      <c r="J347" s="1976"/>
      <c r="K347" s="2367"/>
      <c r="L347" s="2368"/>
      <c r="M347" s="2368"/>
      <c r="N347" s="2369"/>
      <c r="O347" s="1977"/>
    </row>
    <row r="348" spans="2:15" ht="15.75" customHeight="1">
      <c r="B348" s="1907"/>
      <c r="C348" s="1908"/>
      <c r="D348" s="1908"/>
      <c r="E348" s="1908"/>
      <c r="F348" s="1908"/>
      <c r="G348" s="1908"/>
      <c r="H348" s="1908"/>
      <c r="I348" s="1908"/>
      <c r="J348" s="1908"/>
      <c r="K348" s="2127" t="s">
        <v>20</v>
      </c>
      <c r="L348" s="2128"/>
      <c r="M348" s="2382" t="s">
        <v>484</v>
      </c>
      <c r="N348" s="2383"/>
      <c r="O348" s="1909"/>
    </row>
    <row r="349" spans="2:15" ht="15.75" customHeight="1">
      <c r="B349" s="1907"/>
      <c r="C349" s="1908"/>
      <c r="D349" s="1908"/>
      <c r="E349" s="1908"/>
      <c r="F349" s="1908"/>
      <c r="G349" s="1908"/>
      <c r="H349" s="1908"/>
      <c r="I349" s="1908"/>
      <c r="J349" s="1908"/>
      <c r="K349" s="2380"/>
      <c r="L349" s="2381"/>
      <c r="M349" s="2384"/>
      <c r="N349" s="2385"/>
      <c r="O349" s="1909"/>
    </row>
    <row r="350" spans="2:15" ht="15.75" customHeight="1" thickBot="1">
      <c r="B350" s="1907"/>
      <c r="C350" s="1908"/>
      <c r="D350" s="1908"/>
      <c r="E350" s="1908"/>
      <c r="F350" s="1908"/>
      <c r="G350" s="1908"/>
      <c r="H350" s="1908"/>
      <c r="I350" s="1908"/>
      <c r="J350" s="1908"/>
      <c r="K350" s="2380"/>
      <c r="L350" s="2381"/>
      <c r="M350" s="2386"/>
      <c r="N350" s="2387"/>
      <c r="O350" s="1909"/>
    </row>
    <row r="351" spans="2:15" ht="15.75" customHeight="1" thickBot="1">
      <c r="B351" s="1907"/>
      <c r="C351" s="1908"/>
      <c r="D351" s="1908"/>
      <c r="E351" s="1908"/>
      <c r="F351" s="1908"/>
      <c r="G351" s="1908"/>
      <c r="H351" s="1908"/>
      <c r="I351" s="1908"/>
      <c r="J351" s="1908"/>
      <c r="K351" s="2218"/>
      <c r="L351" s="2220"/>
      <c r="M351" s="2370" t="s">
        <v>433</v>
      </c>
      <c r="N351" s="2371"/>
      <c r="O351" s="1909"/>
    </row>
    <row r="352" spans="2:15" ht="15.75" customHeight="1">
      <c r="B352" s="1907"/>
      <c r="C352" s="1908"/>
      <c r="D352" s="1908"/>
      <c r="E352" s="1908"/>
      <c r="F352" s="1908"/>
      <c r="G352" s="1908"/>
      <c r="H352" s="1908"/>
      <c r="I352" s="1908"/>
      <c r="J352" s="1908"/>
      <c r="K352" s="2372">
        <v>160</v>
      </c>
      <c r="L352" s="2373"/>
      <c r="M352" s="2374">
        <v>2.4</v>
      </c>
      <c r="N352" s="2375"/>
      <c r="O352" s="1909"/>
    </row>
    <row r="353" spans="2:15" ht="15.75" customHeight="1">
      <c r="B353" s="1907"/>
      <c r="C353" s="1908"/>
      <c r="D353" s="1908"/>
      <c r="E353" s="1908"/>
      <c r="F353" s="1908"/>
      <c r="G353" s="1908"/>
      <c r="H353" s="1908"/>
      <c r="I353" s="1908"/>
      <c r="J353" s="1908"/>
      <c r="K353" s="2360">
        <v>200</v>
      </c>
      <c r="L353" s="2361"/>
      <c r="M353" s="2362">
        <v>2.5</v>
      </c>
      <c r="N353" s="2363"/>
      <c r="O353" s="1909"/>
    </row>
    <row r="354" spans="2:15" ht="15.75" customHeight="1">
      <c r="B354" s="1907"/>
      <c r="C354" s="1908"/>
      <c r="D354" s="1908"/>
      <c r="E354" s="1908"/>
      <c r="F354" s="1908"/>
      <c r="G354" s="1908"/>
      <c r="H354" s="1908"/>
      <c r="I354" s="1908"/>
      <c r="J354" s="1908"/>
      <c r="K354" s="2360">
        <v>260</v>
      </c>
      <c r="L354" s="2361"/>
      <c r="M354" s="2362">
        <v>2.6</v>
      </c>
      <c r="N354" s="2363"/>
      <c r="O354" s="1909"/>
    </row>
    <row r="355" spans="2:15" ht="15.75" customHeight="1" thickBot="1">
      <c r="B355" s="1907"/>
      <c r="C355" s="1908"/>
      <c r="D355" s="1908"/>
      <c r="E355" s="1908"/>
      <c r="F355" s="1908"/>
      <c r="G355" s="1908"/>
      <c r="H355" s="1908"/>
      <c r="I355" s="1908"/>
      <c r="J355" s="1908"/>
      <c r="K355" s="2376">
        <v>300</v>
      </c>
      <c r="L355" s="2377"/>
      <c r="M355" s="2378">
        <v>2.7</v>
      </c>
      <c r="N355" s="2379"/>
      <c r="O355" s="1909"/>
    </row>
    <row r="356" spans="2:15" ht="15.75" customHeight="1">
      <c r="B356" s="1907"/>
      <c r="C356" s="1908"/>
      <c r="D356" s="1908"/>
      <c r="E356" s="1908"/>
      <c r="F356" s="1908"/>
      <c r="G356" s="1908"/>
      <c r="H356" s="1908"/>
      <c r="I356" s="1908"/>
      <c r="J356" s="1908"/>
      <c r="K356" s="1908"/>
      <c r="L356" s="1908"/>
      <c r="M356" s="1908"/>
      <c r="N356" s="1908"/>
      <c r="O356" s="1909"/>
    </row>
    <row r="357" spans="2:15" ht="15.75" customHeight="1" thickBot="1">
      <c r="B357" s="1907"/>
      <c r="C357" s="1908"/>
      <c r="D357" s="1908"/>
      <c r="E357" s="1908"/>
      <c r="F357" s="1908"/>
      <c r="G357" s="1908"/>
      <c r="H357" s="1908"/>
      <c r="I357" s="1908"/>
      <c r="J357" s="1908"/>
      <c r="K357" s="1908"/>
      <c r="L357" s="1908"/>
      <c r="M357" s="1908"/>
      <c r="N357" s="1908"/>
      <c r="O357" s="1909"/>
    </row>
    <row r="358" spans="2:15" ht="15.75" customHeight="1">
      <c r="B358" s="1907"/>
      <c r="C358" s="2403" t="s">
        <v>7637</v>
      </c>
      <c r="D358" s="2404"/>
      <c r="E358" s="2404"/>
      <c r="F358" s="2404"/>
      <c r="G358" s="2404"/>
      <c r="H358" s="2404"/>
      <c r="I358" s="2404"/>
      <c r="J358" s="2405"/>
      <c r="K358" s="2163" t="s">
        <v>125</v>
      </c>
      <c r="L358" s="2164"/>
      <c r="M358" s="2164"/>
      <c r="N358" s="2165"/>
      <c r="O358" s="1909"/>
    </row>
    <row r="359" spans="2:15" ht="15.75" customHeight="1">
      <c r="B359" s="1907"/>
      <c r="C359" s="2406"/>
      <c r="D359" s="2407"/>
      <c r="E359" s="2407"/>
      <c r="F359" s="2407"/>
      <c r="G359" s="2407"/>
      <c r="H359" s="2407"/>
      <c r="I359" s="2407"/>
      <c r="J359" s="2408"/>
      <c r="K359" s="2166"/>
      <c r="L359" s="2167"/>
      <c r="M359" s="2167"/>
      <c r="N359" s="2168"/>
      <c r="O359" s="1909"/>
    </row>
    <row r="360" spans="2:15" ht="15.75" customHeight="1">
      <c r="B360" s="1907"/>
      <c r="C360" s="2406"/>
      <c r="D360" s="2407"/>
      <c r="E360" s="2407"/>
      <c r="F360" s="2407"/>
      <c r="G360" s="2407"/>
      <c r="H360" s="2407"/>
      <c r="I360" s="2407"/>
      <c r="J360" s="2408"/>
      <c r="K360" s="2166"/>
      <c r="L360" s="2167"/>
      <c r="M360" s="2167"/>
      <c r="N360" s="2168"/>
      <c r="O360" s="1909"/>
    </row>
    <row r="361" spans="2:15" ht="15.75" customHeight="1" thickBot="1">
      <c r="B361" s="1907"/>
      <c r="C361" s="2409"/>
      <c r="D361" s="2410"/>
      <c r="E361" s="2410"/>
      <c r="F361" s="2410"/>
      <c r="G361" s="2410"/>
      <c r="H361" s="2410"/>
      <c r="I361" s="2410"/>
      <c r="J361" s="2411"/>
      <c r="K361" s="2169"/>
      <c r="L361" s="2170"/>
      <c r="M361" s="2170"/>
      <c r="N361" s="2171"/>
      <c r="O361" s="1909"/>
    </row>
    <row r="362" spans="2:15" ht="15.75" customHeight="1">
      <c r="B362" s="1907"/>
      <c r="C362" s="1908"/>
      <c r="D362" s="1908"/>
      <c r="E362" s="1908"/>
      <c r="F362" s="1908"/>
      <c r="G362" s="1908"/>
      <c r="H362" s="1908"/>
      <c r="I362" s="1908"/>
      <c r="J362" s="1908"/>
      <c r="K362" s="1908"/>
      <c r="L362" s="1908"/>
      <c r="M362" s="1978"/>
      <c r="N362" s="1908"/>
      <c r="O362" s="1909"/>
    </row>
    <row r="363" spans="2:15" ht="15.75" customHeight="1" thickBot="1">
      <c r="B363" s="1907"/>
      <c r="C363" s="1908"/>
      <c r="D363" s="1908"/>
      <c r="E363" s="1908"/>
      <c r="F363" s="1908"/>
      <c r="G363" s="1908"/>
      <c r="H363" s="1908"/>
      <c r="I363" s="1908"/>
      <c r="J363" s="1908"/>
      <c r="K363" s="1908"/>
      <c r="L363" s="1908"/>
      <c r="M363" s="1978"/>
      <c r="N363" s="1908"/>
      <c r="O363" s="1909"/>
    </row>
    <row r="364" spans="2:15" ht="15.75" customHeight="1" thickBot="1">
      <c r="B364" s="1907"/>
      <c r="C364" s="2388" t="s">
        <v>7656</v>
      </c>
      <c r="D364" s="2389"/>
      <c r="E364" s="2389"/>
      <c r="F364" s="2389"/>
      <c r="G364" s="2389"/>
      <c r="H364" s="2389"/>
      <c r="I364" s="2389"/>
      <c r="J364" s="2389"/>
      <c r="K364" s="2412" t="s">
        <v>20</v>
      </c>
      <c r="L364" s="2413"/>
      <c r="M364" s="2412" t="s">
        <v>5695</v>
      </c>
      <c r="N364" s="2413"/>
      <c r="O364" s="1909"/>
    </row>
    <row r="365" spans="2:15" ht="15.75" customHeight="1">
      <c r="B365" s="1907"/>
      <c r="C365" s="2391"/>
      <c r="D365" s="2392"/>
      <c r="E365" s="2392"/>
      <c r="F365" s="2392"/>
      <c r="G365" s="2392"/>
      <c r="H365" s="2392"/>
      <c r="I365" s="2392"/>
      <c r="J365" s="2392"/>
      <c r="K365" s="2414" t="s">
        <v>129</v>
      </c>
      <c r="L365" s="2415"/>
      <c r="M365" s="2416">
        <v>1300</v>
      </c>
      <c r="N365" s="2417"/>
      <c r="O365" s="1909"/>
    </row>
    <row r="366" spans="2:15" ht="15.75" customHeight="1" thickBot="1">
      <c r="B366" s="1907"/>
      <c r="C366" s="2400"/>
      <c r="D366" s="2401"/>
      <c r="E366" s="2401"/>
      <c r="F366" s="2401"/>
      <c r="G366" s="2401"/>
      <c r="H366" s="2401"/>
      <c r="I366" s="2401"/>
      <c r="J366" s="2401"/>
      <c r="K366" s="2264" t="s">
        <v>27</v>
      </c>
      <c r="L366" s="2418"/>
      <c r="M366" s="2475">
        <v>2000</v>
      </c>
      <c r="N366" s="2476"/>
      <c r="O366" s="1909"/>
    </row>
    <row r="367" spans="2:15" ht="15.75" customHeight="1" thickBot="1">
      <c r="B367" s="1921"/>
      <c r="C367" s="1922"/>
      <c r="D367" s="1922"/>
      <c r="E367" s="1922"/>
      <c r="F367" s="1922"/>
      <c r="G367" s="1922"/>
      <c r="H367" s="1922"/>
      <c r="I367" s="1922"/>
      <c r="J367" s="1922"/>
      <c r="K367" s="1922"/>
      <c r="L367" s="1922"/>
      <c r="M367" s="1922"/>
      <c r="N367" s="1922"/>
      <c r="O367" s="1924"/>
    </row>
    <row r="369" spans="2:15" ht="15.75" customHeight="1" thickBot="1"/>
    <row r="370" spans="2:15" ht="15.75" customHeight="1">
      <c r="B370" s="1904"/>
      <c r="C370" s="1905"/>
      <c r="D370" s="1905"/>
      <c r="E370" s="1905"/>
      <c r="F370" s="1905"/>
      <c r="G370" s="1905"/>
      <c r="H370" s="1905"/>
      <c r="I370" s="1905"/>
      <c r="J370" s="1905"/>
      <c r="K370" s="1905"/>
      <c r="L370" s="1905"/>
      <c r="M370" s="1905"/>
      <c r="N370" s="1905"/>
      <c r="O370" s="1906"/>
    </row>
    <row r="371" spans="2:15" ht="15.75" customHeight="1">
      <c r="B371" s="1907"/>
      <c r="C371" s="2291" t="s">
        <v>7664</v>
      </c>
      <c r="D371" s="2291"/>
      <c r="E371" s="2291"/>
      <c r="F371" s="2291"/>
      <c r="G371" s="2291"/>
      <c r="H371" s="2291"/>
      <c r="I371" s="1908"/>
      <c r="J371" s="1908"/>
      <c r="K371" s="1908"/>
      <c r="L371" s="1908"/>
      <c r="M371" s="1908"/>
      <c r="N371" s="1908"/>
      <c r="O371" s="1909"/>
    </row>
    <row r="372" spans="2:15" ht="15.75" customHeight="1">
      <c r="B372" s="1907"/>
      <c r="C372" s="2291"/>
      <c r="D372" s="2291"/>
      <c r="E372" s="2291"/>
      <c r="F372" s="2291"/>
      <c r="G372" s="2291"/>
      <c r="H372" s="2291"/>
      <c r="I372" s="1908"/>
      <c r="J372" s="1908"/>
      <c r="K372" s="1908"/>
      <c r="L372" s="1908"/>
      <c r="M372" s="1908"/>
      <c r="N372" s="1908"/>
      <c r="O372" s="1909"/>
    </row>
    <row r="373" spans="2:15" ht="15.75" customHeight="1" thickBot="1">
      <c r="B373" s="1907"/>
      <c r="C373" s="1908"/>
      <c r="D373" s="1908"/>
      <c r="E373" s="1908"/>
      <c r="F373" s="1908"/>
      <c r="G373" s="1908"/>
      <c r="H373" s="1908"/>
      <c r="I373" s="1908"/>
      <c r="J373" s="1908"/>
      <c r="K373" s="1908"/>
      <c r="L373" s="1908"/>
      <c r="M373" s="1908"/>
      <c r="N373" s="1908"/>
      <c r="O373" s="1909"/>
    </row>
    <row r="374" spans="2:15" ht="15.75" customHeight="1">
      <c r="B374" s="1907"/>
      <c r="C374" s="1908"/>
      <c r="D374" s="1908"/>
      <c r="E374" s="1908"/>
      <c r="F374" s="1908"/>
      <c r="G374" s="1908"/>
      <c r="H374" s="1908"/>
      <c r="I374" s="1908"/>
      <c r="J374" s="1908"/>
      <c r="K374" s="2388" t="s">
        <v>7657</v>
      </c>
      <c r="L374" s="2389"/>
      <c r="M374" s="2389"/>
      <c r="N374" s="2390"/>
      <c r="O374" s="1909"/>
    </row>
    <row r="375" spans="2:15" ht="15.75" customHeight="1">
      <c r="B375" s="1907"/>
      <c r="C375" s="1908"/>
      <c r="D375" s="1908"/>
      <c r="E375" s="1908"/>
      <c r="F375" s="1908"/>
      <c r="G375" s="1908"/>
      <c r="H375" s="1908"/>
      <c r="I375" s="1908"/>
      <c r="J375" s="1908"/>
      <c r="K375" s="2391"/>
      <c r="L375" s="2392"/>
      <c r="M375" s="2392"/>
      <c r="N375" s="2393"/>
      <c r="O375" s="1909"/>
    </row>
    <row r="376" spans="2:15" ht="15.75" customHeight="1" thickBot="1">
      <c r="B376" s="1907"/>
      <c r="C376" s="1908"/>
      <c r="D376" s="1908"/>
      <c r="E376" s="1908"/>
      <c r="F376" s="65"/>
      <c r="G376" s="1908"/>
      <c r="H376" s="1908"/>
      <c r="I376" s="1908"/>
      <c r="J376" s="1908"/>
      <c r="K376" s="2391"/>
      <c r="L376" s="2392"/>
      <c r="M376" s="2392"/>
      <c r="N376" s="2393"/>
      <c r="O376" s="1909"/>
    </row>
    <row r="377" spans="2:15" ht="15.75" customHeight="1">
      <c r="B377" s="1907"/>
      <c r="C377" s="1908"/>
      <c r="D377" s="1908"/>
      <c r="E377" s="1908"/>
      <c r="F377" s="1908"/>
      <c r="G377" s="1908"/>
      <c r="H377" s="1908"/>
      <c r="I377" s="1908"/>
      <c r="J377" s="1908"/>
      <c r="K377" s="2308" t="s">
        <v>7658</v>
      </c>
      <c r="L377" s="2310"/>
      <c r="M377" s="2394">
        <v>0.5</v>
      </c>
      <c r="N377" s="2395"/>
      <c r="O377" s="1909"/>
    </row>
    <row r="378" spans="2:15" ht="15.75" customHeight="1">
      <c r="B378" s="1907"/>
      <c r="C378" s="1908"/>
      <c r="D378" s="1908"/>
      <c r="E378" s="1908"/>
      <c r="F378" s="1908"/>
      <c r="G378" s="1908"/>
      <c r="H378" s="1908"/>
      <c r="I378" s="1908"/>
      <c r="J378" s="1908"/>
      <c r="K378" s="2311"/>
      <c r="L378" s="2313"/>
      <c r="M378" s="2396"/>
      <c r="N378" s="2397"/>
      <c r="O378" s="1909"/>
    </row>
    <row r="379" spans="2:15" ht="15.75" customHeight="1">
      <c r="B379" s="1907"/>
      <c r="C379" s="1908"/>
      <c r="D379" s="1908"/>
      <c r="E379" s="1908"/>
      <c r="F379" s="1908"/>
      <c r="G379" s="65"/>
      <c r="H379" s="1908"/>
      <c r="I379" s="1908"/>
      <c r="J379" s="1908"/>
      <c r="K379" s="2311"/>
      <c r="L379" s="2313"/>
      <c r="M379" s="2396"/>
      <c r="N379" s="2397"/>
      <c r="O379" s="1909"/>
    </row>
    <row r="380" spans="2:15" ht="15.75" customHeight="1" thickBot="1">
      <c r="B380" s="1907"/>
      <c r="C380" s="1908"/>
      <c r="D380" s="1908"/>
      <c r="E380" s="1908"/>
      <c r="F380" s="1908"/>
      <c r="G380" s="1908"/>
      <c r="H380" s="1908"/>
      <c r="I380" s="1908"/>
      <c r="J380" s="1908"/>
      <c r="K380" s="2314"/>
      <c r="L380" s="2316"/>
      <c r="M380" s="2398"/>
      <c r="N380" s="2399"/>
      <c r="O380" s="1909"/>
    </row>
    <row r="381" spans="2:15" ht="15.75" customHeight="1">
      <c r="B381" s="1907"/>
      <c r="C381" s="1908"/>
      <c r="D381" s="1908"/>
      <c r="E381" s="1908"/>
      <c r="F381" s="1908"/>
      <c r="G381" s="1908"/>
      <c r="H381" s="1908"/>
      <c r="I381" s="1908"/>
      <c r="J381" s="1908"/>
      <c r="K381" s="1908"/>
      <c r="L381" s="1908"/>
      <c r="M381" s="1908"/>
      <c r="N381" s="1908"/>
      <c r="O381" s="1909"/>
    </row>
    <row r="382" spans="2:15" ht="15.75" customHeight="1" thickBot="1">
      <c r="B382" s="1907"/>
      <c r="C382" s="1908"/>
      <c r="D382" s="1908"/>
      <c r="E382" s="1908"/>
      <c r="F382" s="1908"/>
      <c r="G382" s="1908"/>
      <c r="H382" s="1908"/>
      <c r="I382" s="1908"/>
      <c r="J382" s="1908"/>
      <c r="K382" s="1908"/>
      <c r="L382" s="1908"/>
      <c r="M382" s="1908"/>
      <c r="N382" s="1908"/>
      <c r="O382" s="1909"/>
    </row>
    <row r="383" spans="2:15" ht="15.75" customHeight="1">
      <c r="B383" s="1907"/>
      <c r="C383" s="1908"/>
      <c r="D383" s="1908"/>
      <c r="E383" s="1908"/>
      <c r="F383" s="1908"/>
      <c r="G383" s="1908"/>
      <c r="H383" s="1908"/>
      <c r="I383" s="1908"/>
      <c r="J383" s="1908"/>
      <c r="K383" s="2388" t="s">
        <v>7659</v>
      </c>
      <c r="L383" s="2389"/>
      <c r="M383" s="2389"/>
      <c r="N383" s="2390"/>
      <c r="O383" s="1909"/>
    </row>
    <row r="384" spans="2:15" ht="15.75" customHeight="1">
      <c r="B384" s="1907"/>
      <c r="C384" s="1908"/>
      <c r="D384" s="1908"/>
      <c r="E384" s="1908"/>
      <c r="F384" s="1908"/>
      <c r="G384" s="1908"/>
      <c r="H384" s="1908"/>
      <c r="I384" s="1908"/>
      <c r="J384" s="1908"/>
      <c r="K384" s="2391"/>
      <c r="L384" s="2392"/>
      <c r="M384" s="2392"/>
      <c r="N384" s="2393"/>
      <c r="O384" s="1909"/>
    </row>
    <row r="385" spans="2:15" ht="15.75" customHeight="1" thickBot="1">
      <c r="B385" s="1907"/>
      <c r="C385" s="1908"/>
      <c r="D385" s="1908"/>
      <c r="E385" s="1908"/>
      <c r="F385" s="1908"/>
      <c r="G385" s="1908"/>
      <c r="H385" s="1908"/>
      <c r="I385" s="1908"/>
      <c r="J385" s="1908"/>
      <c r="K385" s="2400"/>
      <c r="L385" s="2401"/>
      <c r="M385" s="2401"/>
      <c r="N385" s="2402"/>
      <c r="O385" s="1909"/>
    </row>
    <row r="386" spans="2:15" ht="15.75" customHeight="1">
      <c r="B386" s="1907"/>
      <c r="C386" s="1908"/>
      <c r="D386" s="1908"/>
      <c r="E386" s="1908"/>
      <c r="F386" s="1908"/>
      <c r="G386" s="1908"/>
      <c r="H386" s="1908"/>
      <c r="I386" s="1908"/>
      <c r="J386" s="1908"/>
      <c r="K386" s="2308" t="s">
        <v>7660</v>
      </c>
      <c r="L386" s="2310"/>
      <c r="M386" s="2394">
        <v>0.2</v>
      </c>
      <c r="N386" s="2395"/>
      <c r="O386" s="1909"/>
    </row>
    <row r="387" spans="2:15" ht="15.75" customHeight="1">
      <c r="B387" s="1907"/>
      <c r="C387" s="1908"/>
      <c r="D387" s="1908"/>
      <c r="E387" s="1908"/>
      <c r="F387" s="1908"/>
      <c r="G387" s="1908"/>
      <c r="H387" s="1908"/>
      <c r="I387" s="1908"/>
      <c r="J387" s="1908"/>
      <c r="K387" s="2311"/>
      <c r="L387" s="2313"/>
      <c r="M387" s="2396"/>
      <c r="N387" s="2397"/>
      <c r="O387" s="1909"/>
    </row>
    <row r="388" spans="2:15" ht="15.75" customHeight="1">
      <c r="B388" s="1907"/>
      <c r="C388" s="1908"/>
      <c r="D388" s="1908"/>
      <c r="E388" s="1908"/>
      <c r="F388" s="1908"/>
      <c r="G388" s="1908"/>
      <c r="H388" s="1908"/>
      <c r="I388" s="1908"/>
      <c r="J388" s="1908"/>
      <c r="K388" s="2311"/>
      <c r="L388" s="2313"/>
      <c r="M388" s="2396"/>
      <c r="N388" s="2397"/>
      <c r="O388" s="1909"/>
    </row>
    <row r="389" spans="2:15" ht="15.75" customHeight="1" thickBot="1">
      <c r="B389" s="1907"/>
      <c r="C389" s="1908"/>
      <c r="D389" s="1908"/>
      <c r="E389" s="1908"/>
      <c r="F389" s="1908"/>
      <c r="G389" s="1908"/>
      <c r="H389" s="1908"/>
      <c r="I389" s="1908"/>
      <c r="J389" s="1908"/>
      <c r="K389" s="2314"/>
      <c r="L389" s="2316"/>
      <c r="M389" s="2398"/>
      <c r="N389" s="2399"/>
      <c r="O389" s="1909"/>
    </row>
    <row r="390" spans="2:15" ht="15.75" customHeight="1">
      <c r="B390" s="1907"/>
      <c r="C390" s="1908"/>
      <c r="D390" s="1908"/>
      <c r="E390" s="1908"/>
      <c r="F390" s="1908"/>
      <c r="G390" s="1908"/>
      <c r="H390" s="1908"/>
      <c r="I390" s="1908"/>
      <c r="J390" s="1908"/>
      <c r="K390" s="1908"/>
      <c r="L390" s="1908"/>
      <c r="M390" s="1908"/>
      <c r="N390" s="1908"/>
      <c r="O390" s="1909"/>
    </row>
    <row r="391" spans="2:15" ht="15.75" customHeight="1" thickBot="1">
      <c r="B391" s="1921"/>
      <c r="C391" s="1922"/>
      <c r="D391" s="1922"/>
      <c r="E391" s="1922"/>
      <c r="F391" s="1922"/>
      <c r="G391" s="1922"/>
      <c r="H391" s="1922"/>
      <c r="I391" s="1922"/>
      <c r="J391" s="1922"/>
      <c r="K391" s="1922"/>
      <c r="L391" s="1922"/>
      <c r="M391" s="1922"/>
      <c r="N391" s="1922"/>
      <c r="O391" s="1924"/>
    </row>
    <row r="394" spans="2:15" ht="15.75" customHeight="1">
      <c r="B394" s="1903"/>
      <c r="C394" s="2466" t="s">
        <v>7661</v>
      </c>
      <c r="D394" s="2466"/>
      <c r="E394" s="2466"/>
      <c r="F394" s="2466"/>
      <c r="G394" s="1903"/>
      <c r="H394" s="1903"/>
      <c r="I394" s="1903"/>
      <c r="J394" s="1903"/>
      <c r="K394" s="1903"/>
      <c r="L394" s="1903"/>
      <c r="M394" s="1903"/>
      <c r="N394" s="1903"/>
      <c r="O394" s="1903"/>
    </row>
    <row r="395" spans="2:15" ht="15.75" customHeight="1">
      <c r="B395" s="1903"/>
      <c r="C395" s="2466"/>
      <c r="D395" s="2466"/>
      <c r="E395" s="2466"/>
      <c r="F395" s="2466"/>
      <c r="G395" s="1903"/>
      <c r="H395" s="1903"/>
      <c r="I395" s="1903"/>
      <c r="J395" s="1903"/>
      <c r="K395" s="1903"/>
      <c r="L395" s="1903"/>
      <c r="M395" s="1903"/>
      <c r="N395" s="1903"/>
      <c r="O395" s="1903"/>
    </row>
    <row r="396" spans="2:15" ht="15.75" customHeight="1" thickBot="1">
      <c r="B396" s="1903"/>
      <c r="C396" s="1903"/>
      <c r="D396" s="1903"/>
      <c r="E396" s="1903"/>
      <c r="F396" s="1903"/>
      <c r="G396" s="1903"/>
      <c r="H396" s="1903"/>
      <c r="I396" s="1903"/>
      <c r="J396" s="1903"/>
      <c r="K396" s="1903"/>
      <c r="L396" s="1903"/>
      <c r="M396" s="1903"/>
      <c r="N396" s="1903"/>
      <c r="O396" s="1903"/>
    </row>
    <row r="397" spans="2:15" ht="15.75" customHeight="1" thickBot="1">
      <c r="B397" s="1904"/>
      <c r="C397" s="1979"/>
      <c r="D397" s="1979"/>
      <c r="E397" s="1979"/>
      <c r="F397" s="1979"/>
      <c r="G397" s="1980"/>
      <c r="H397" s="1980"/>
      <c r="I397" s="1980"/>
      <c r="J397" s="1980"/>
      <c r="K397" s="1981"/>
      <c r="L397" s="1905"/>
      <c r="M397" s="1905"/>
      <c r="N397" s="1905"/>
      <c r="O397" s="1906"/>
    </row>
    <row r="398" spans="2:15" ht="15.75" customHeight="1">
      <c r="B398" s="1907"/>
      <c r="C398" s="1908"/>
      <c r="D398" s="1908"/>
      <c r="E398" s="1908"/>
      <c r="F398" s="1908"/>
      <c r="G398" s="1908"/>
      <c r="H398" s="1908"/>
      <c r="I398" s="1908"/>
      <c r="J398" s="1908"/>
      <c r="K398" s="1908"/>
      <c r="L398" s="2467" t="s">
        <v>33</v>
      </c>
      <c r="M398" s="2468"/>
      <c r="N398" s="2469"/>
      <c r="O398" s="1909"/>
    </row>
    <row r="399" spans="2:15" ht="15.75" customHeight="1" thickBot="1">
      <c r="B399" s="1907"/>
      <c r="C399" s="1908"/>
      <c r="D399" s="1908"/>
      <c r="E399" s="1908"/>
      <c r="F399" s="1908"/>
      <c r="G399" s="1908"/>
      <c r="H399" s="1908"/>
      <c r="I399" s="1908"/>
      <c r="J399" s="1908"/>
      <c r="K399" s="1908"/>
      <c r="L399" s="2470"/>
      <c r="M399" s="2471"/>
      <c r="N399" s="2472"/>
      <c r="O399" s="1909"/>
    </row>
    <row r="400" spans="2:15" ht="15.75" customHeight="1" thickBot="1">
      <c r="B400" s="1907"/>
      <c r="C400" s="1908"/>
      <c r="D400" s="1908"/>
      <c r="E400" s="1908"/>
      <c r="F400" s="1908"/>
      <c r="G400" s="1908"/>
      <c r="H400" s="1908"/>
      <c r="I400" s="1908"/>
      <c r="J400" s="1908"/>
      <c r="K400" s="1908"/>
      <c r="L400" s="1908"/>
      <c r="M400" s="1908"/>
      <c r="N400" s="1908"/>
      <c r="O400" s="1909"/>
    </row>
    <row r="401" spans="2:15" ht="15.75" customHeight="1">
      <c r="B401" s="1907"/>
      <c r="C401" s="1908"/>
      <c r="D401" s="1908"/>
      <c r="E401" s="1908"/>
      <c r="F401" s="1908"/>
      <c r="G401" s="1908"/>
      <c r="H401" s="1908"/>
      <c r="I401" s="1908"/>
      <c r="J401" s="1908"/>
      <c r="K401" s="1908"/>
      <c r="L401" s="2127" t="s">
        <v>66</v>
      </c>
      <c r="M401" s="2128"/>
      <c r="N401" s="2473" t="s">
        <v>32</v>
      </c>
      <c r="O401" s="1909"/>
    </row>
    <row r="402" spans="2:15" ht="15.75" customHeight="1" thickBot="1">
      <c r="B402" s="1907"/>
      <c r="C402" s="1908"/>
      <c r="D402" s="1908"/>
      <c r="E402" s="1908"/>
      <c r="F402" s="1908"/>
      <c r="G402" s="1908"/>
      <c r="H402" s="1908"/>
      <c r="I402" s="1908"/>
      <c r="J402" s="1908"/>
      <c r="K402" s="1908"/>
      <c r="L402" s="2218"/>
      <c r="M402" s="2220"/>
      <c r="N402" s="2474"/>
      <c r="O402" s="1909"/>
    </row>
    <row r="403" spans="2:15" ht="15.75" customHeight="1">
      <c r="B403" s="1907"/>
      <c r="C403" s="1908"/>
      <c r="D403" s="1908"/>
      <c r="E403" s="1908"/>
      <c r="F403" s="1908"/>
      <c r="G403" s="1908"/>
      <c r="H403" s="1908"/>
      <c r="I403" s="1908"/>
      <c r="J403" s="1908"/>
      <c r="K403" s="1908"/>
      <c r="L403" s="2382" t="s">
        <v>67</v>
      </c>
      <c r="M403" s="2383"/>
      <c r="N403" s="2455">
        <v>20</v>
      </c>
      <c r="O403" s="1909"/>
    </row>
    <row r="404" spans="2:15" ht="15.75" customHeight="1" thickBot="1">
      <c r="B404" s="1907"/>
      <c r="C404" s="1908"/>
      <c r="D404" s="1908"/>
      <c r="E404" s="1908"/>
      <c r="F404" s="1908"/>
      <c r="G404" s="1908"/>
      <c r="H404" s="1908"/>
      <c r="I404" s="1908"/>
      <c r="J404" s="1908"/>
      <c r="K404" s="1908"/>
      <c r="L404" s="2386"/>
      <c r="M404" s="2387"/>
      <c r="N404" s="2456"/>
      <c r="O404" s="1909"/>
    </row>
    <row r="405" spans="2:15" ht="15.75" customHeight="1">
      <c r="B405" s="1907"/>
      <c r="C405" s="1908"/>
      <c r="D405" s="1908"/>
      <c r="E405" s="1908"/>
      <c r="F405" s="1908"/>
      <c r="G405" s="1908"/>
      <c r="H405" s="1908"/>
      <c r="I405" s="1908"/>
      <c r="J405" s="1908"/>
      <c r="K405" s="1908"/>
      <c r="L405" s="2457" t="s">
        <v>68</v>
      </c>
      <c r="M405" s="2458"/>
      <c r="N405" s="2461">
        <v>15</v>
      </c>
      <c r="O405" s="1909"/>
    </row>
    <row r="406" spans="2:15" ht="15.75" customHeight="1">
      <c r="B406" s="1907"/>
      <c r="C406" s="1908"/>
      <c r="D406" s="1908"/>
      <c r="E406" s="1908"/>
      <c r="F406" s="1908"/>
      <c r="G406" s="1908"/>
      <c r="H406" s="1908"/>
      <c r="I406" s="1908"/>
      <c r="J406" s="1908"/>
      <c r="K406" s="1908"/>
      <c r="L406" s="2459"/>
      <c r="M406" s="2460"/>
      <c r="N406" s="2462"/>
      <c r="O406" s="1909"/>
    </row>
    <row r="407" spans="2:15" ht="15.75" customHeight="1">
      <c r="B407" s="1907"/>
      <c r="C407" s="1908"/>
      <c r="D407" s="1908"/>
      <c r="E407" s="1908"/>
      <c r="F407" s="1908"/>
      <c r="G407" s="1908"/>
      <c r="H407" s="1908"/>
      <c r="I407" s="1908"/>
      <c r="J407" s="1908"/>
      <c r="K407" s="1908"/>
      <c r="L407" s="2459"/>
      <c r="M407" s="2460"/>
      <c r="N407" s="2462"/>
      <c r="O407" s="1909"/>
    </row>
    <row r="408" spans="2:15" ht="15.75" customHeight="1">
      <c r="B408" s="1907"/>
      <c r="C408" s="1908"/>
      <c r="D408" s="1908"/>
      <c r="E408" s="1908"/>
      <c r="F408" s="1908"/>
      <c r="G408" s="1908"/>
      <c r="H408" s="1908"/>
      <c r="I408" s="1908"/>
      <c r="J408" s="1908"/>
      <c r="K408" s="1908"/>
      <c r="L408" s="2459" t="s">
        <v>69</v>
      </c>
      <c r="M408" s="2460"/>
      <c r="N408" s="2462">
        <v>10</v>
      </c>
      <c r="O408" s="1909"/>
    </row>
    <row r="409" spans="2:15" ht="15.75" customHeight="1">
      <c r="B409" s="1907"/>
      <c r="C409" s="1908"/>
      <c r="D409" s="1908"/>
      <c r="E409" s="1908"/>
      <c r="F409" s="1908"/>
      <c r="G409" s="1908"/>
      <c r="H409" s="1908"/>
      <c r="I409" s="1908"/>
      <c r="J409" s="1908"/>
      <c r="K409" s="1908"/>
      <c r="L409" s="2459"/>
      <c r="M409" s="2460"/>
      <c r="N409" s="2462"/>
      <c r="O409" s="1909"/>
    </row>
    <row r="410" spans="2:15" ht="15.75" customHeight="1" thickBot="1">
      <c r="B410" s="1907"/>
      <c r="C410" s="1908"/>
      <c r="D410" s="1908"/>
      <c r="E410" s="1908"/>
      <c r="F410" s="1908"/>
      <c r="G410" s="1908"/>
      <c r="H410" s="1908"/>
      <c r="I410" s="1908"/>
      <c r="J410" s="1908"/>
      <c r="K410" s="1908"/>
      <c r="L410" s="2463"/>
      <c r="M410" s="2464"/>
      <c r="N410" s="2465"/>
      <c r="O410" s="1909"/>
    </row>
    <row r="411" spans="2:15" ht="15.75" customHeight="1">
      <c r="B411" s="1907"/>
      <c r="C411" s="1908"/>
      <c r="D411" s="1908"/>
      <c r="E411" s="1908"/>
      <c r="F411" s="1908"/>
      <c r="G411" s="1908"/>
      <c r="H411" s="1908"/>
      <c r="I411" s="1908"/>
      <c r="J411" s="1908"/>
      <c r="K411" s="1908"/>
      <c r="L411" s="1908"/>
      <c r="M411" s="1908"/>
      <c r="N411" s="1908"/>
      <c r="O411" s="1909"/>
    </row>
    <row r="412" spans="2:15" ht="15.75" customHeight="1">
      <c r="B412" s="1907"/>
      <c r="C412" s="1908"/>
      <c r="D412" s="1908"/>
      <c r="E412" s="1908"/>
      <c r="F412" s="1908"/>
      <c r="G412" s="1908"/>
      <c r="H412" s="1908"/>
      <c r="I412" s="1908"/>
      <c r="J412" s="1908"/>
      <c r="K412" s="1908"/>
      <c r="L412" s="2429" t="s">
        <v>122</v>
      </c>
      <c r="M412" s="2430"/>
      <c r="N412" s="2431"/>
      <c r="O412" s="1909"/>
    </row>
    <row r="413" spans="2:15" ht="15.75" customHeight="1">
      <c r="B413" s="1907"/>
      <c r="C413" s="1908"/>
      <c r="D413" s="1908"/>
      <c r="E413" s="1908"/>
      <c r="F413" s="1908"/>
      <c r="G413" s="1908"/>
      <c r="H413" s="1908"/>
      <c r="I413" s="1908"/>
      <c r="J413" s="1908"/>
      <c r="K413" s="1908"/>
      <c r="L413" s="2432"/>
      <c r="M413" s="2433"/>
      <c r="N413" s="2434"/>
      <c r="O413" s="1909"/>
    </row>
    <row r="414" spans="2:15" ht="15.75" customHeight="1">
      <c r="B414" s="1907"/>
      <c r="C414" s="1908"/>
      <c r="D414" s="1908"/>
      <c r="E414" s="1908"/>
      <c r="F414" s="1908"/>
      <c r="G414" s="1908"/>
      <c r="H414" s="1908"/>
      <c r="I414" s="1908"/>
      <c r="J414" s="1908"/>
      <c r="K414" s="1908"/>
      <c r="L414" s="1951"/>
      <c r="M414" s="1908"/>
      <c r="N414" s="1982"/>
      <c r="O414" s="1909"/>
    </row>
    <row r="415" spans="2:15" ht="15.75" customHeight="1">
      <c r="B415" s="1907"/>
      <c r="C415" s="1908"/>
      <c r="D415" s="1908"/>
      <c r="E415" s="1908"/>
      <c r="F415" s="1908"/>
      <c r="G415" s="1908"/>
      <c r="H415" s="1908"/>
      <c r="I415" s="1908"/>
      <c r="J415" s="1908"/>
      <c r="K415" s="1908"/>
      <c r="L415" s="2435" t="s">
        <v>5749</v>
      </c>
      <c r="M415" s="2435"/>
      <c r="N415" s="2435"/>
      <c r="O415" s="1909"/>
    </row>
    <row r="416" spans="2:15" ht="15.75" customHeight="1">
      <c r="B416" s="1907"/>
      <c r="C416" s="1908"/>
      <c r="D416" s="1908"/>
      <c r="E416" s="1908"/>
      <c r="F416" s="1908"/>
      <c r="G416" s="1908"/>
      <c r="H416" s="1908"/>
      <c r="I416" s="1908"/>
      <c r="J416" s="1908"/>
      <c r="K416" s="1908"/>
      <c r="L416" s="2435"/>
      <c r="M416" s="2435"/>
      <c r="N416" s="2435"/>
      <c r="O416" s="1909"/>
    </row>
    <row r="417" spans="2:1024" ht="15.75" customHeight="1">
      <c r="B417" s="1907"/>
      <c r="C417" s="1908"/>
      <c r="D417" s="1908"/>
      <c r="E417" s="1908"/>
      <c r="F417" s="1908"/>
      <c r="G417" s="1908"/>
      <c r="H417" s="1908"/>
      <c r="I417" s="1908"/>
      <c r="J417" s="1908"/>
      <c r="K417" s="1908"/>
      <c r="L417" s="2435"/>
      <c r="M417" s="2435"/>
      <c r="N417" s="2435"/>
      <c r="O417" s="1909"/>
    </row>
    <row r="418" spans="2:1024" ht="15.75" customHeight="1">
      <c r="B418" s="1907"/>
      <c r="C418" s="1908"/>
      <c r="D418" s="1908"/>
      <c r="E418" s="1908"/>
      <c r="F418" s="1908"/>
      <c r="G418" s="1908"/>
      <c r="H418" s="1908"/>
      <c r="I418" s="1908"/>
      <c r="J418" s="1908"/>
      <c r="K418" s="1908"/>
      <c r="L418" s="2436" t="s">
        <v>5739</v>
      </c>
      <c r="M418" s="2437"/>
      <c r="N418" s="2438"/>
      <c r="O418" s="1909"/>
    </row>
    <row r="419" spans="2:1024" ht="15.75" customHeight="1">
      <c r="B419" s="1907"/>
      <c r="C419" s="1908"/>
      <c r="D419" s="1908"/>
      <c r="E419" s="1908"/>
      <c r="F419" s="1908"/>
      <c r="G419" s="1908"/>
      <c r="H419" s="1908"/>
      <c r="I419" s="1908"/>
      <c r="J419" s="1908"/>
      <c r="K419" s="1908"/>
      <c r="L419" s="2439"/>
      <c r="M419" s="2440"/>
      <c r="N419" s="2441"/>
      <c r="O419" s="1909"/>
    </row>
    <row r="420" spans="2:1024" ht="15.75" customHeight="1">
      <c r="B420" s="1907"/>
      <c r="C420" s="1908"/>
      <c r="D420" s="1908"/>
      <c r="E420" s="1908"/>
      <c r="F420" s="1908"/>
      <c r="G420" s="1908"/>
      <c r="H420" s="1908"/>
      <c r="I420" s="1908"/>
      <c r="J420" s="1908"/>
      <c r="K420" s="1908"/>
      <c r="L420" s="2439"/>
      <c r="M420" s="2440"/>
      <c r="N420" s="2441"/>
      <c r="O420" s="1909"/>
    </row>
    <row r="421" spans="2:1024" ht="15.75" customHeight="1">
      <c r="B421" s="1907"/>
      <c r="C421" s="1908"/>
      <c r="D421" s="1908"/>
      <c r="E421" s="1908"/>
      <c r="F421" s="1908"/>
      <c r="G421" s="1908"/>
      <c r="H421" s="1908"/>
      <c r="I421" s="1908"/>
      <c r="J421" s="1908"/>
      <c r="K421" s="1908"/>
      <c r="L421" s="2439"/>
      <c r="M421" s="2440"/>
      <c r="N421" s="2441"/>
      <c r="O421" s="1909"/>
      <c r="AMC421" s="1903"/>
      <c r="AMD421" s="1903"/>
      <c r="AME421" s="1903"/>
      <c r="AMF421" s="1903"/>
      <c r="AMG421" s="1903"/>
      <c r="AMH421" s="1903"/>
      <c r="AMI421" s="1903"/>
      <c r="AMJ421" s="1903"/>
    </row>
    <row r="422" spans="2:1024" ht="15.75" customHeight="1">
      <c r="B422" s="1907"/>
      <c r="C422" s="1908"/>
      <c r="D422" s="1908"/>
      <c r="E422" s="1908"/>
      <c r="F422" s="1908"/>
      <c r="G422" s="1908"/>
      <c r="H422" s="1908"/>
      <c r="I422" s="1908"/>
      <c r="J422" s="1908"/>
      <c r="K422" s="1908"/>
      <c r="L422" s="2439"/>
      <c r="M422" s="2440"/>
      <c r="N422" s="2441"/>
      <c r="O422" s="1909"/>
      <c r="AMC422" s="1903"/>
      <c r="AMD422" s="1903"/>
      <c r="AME422" s="1903"/>
      <c r="AMF422" s="1903"/>
      <c r="AMG422" s="1903"/>
      <c r="AMH422" s="1903"/>
      <c r="AMI422" s="1903"/>
      <c r="AMJ422" s="1903"/>
    </row>
    <row r="423" spans="2:1024" ht="15.75" customHeight="1">
      <c r="B423" s="1907"/>
      <c r="C423" s="1908"/>
      <c r="D423" s="1908"/>
      <c r="E423" s="1908"/>
      <c r="F423" s="1908"/>
      <c r="G423" s="1908"/>
      <c r="H423" s="1908"/>
      <c r="I423" s="1908"/>
      <c r="J423" s="1908"/>
      <c r="K423" s="1908"/>
      <c r="L423" s="2439"/>
      <c r="M423" s="2440"/>
      <c r="N423" s="2441"/>
      <c r="O423" s="1909"/>
      <c r="AMG423" s="1903"/>
      <c r="AMH423" s="1903"/>
      <c r="AMI423" s="1903"/>
      <c r="AMJ423" s="1903"/>
    </row>
    <row r="424" spans="2:1024" ht="15.75" customHeight="1">
      <c r="B424" s="1907"/>
      <c r="C424" s="1908"/>
      <c r="D424" s="1908"/>
      <c r="E424" s="1908"/>
      <c r="F424" s="1908"/>
      <c r="G424" s="1908"/>
      <c r="H424" s="1908"/>
      <c r="I424" s="1908"/>
      <c r="J424" s="1908"/>
      <c r="K424" s="1908"/>
      <c r="L424" s="2439"/>
      <c r="M424" s="2440"/>
      <c r="N424" s="2441"/>
      <c r="O424" s="1909"/>
      <c r="AMG424" s="1903"/>
      <c r="AMH424" s="1903"/>
      <c r="AMI424" s="1903"/>
      <c r="AMJ424" s="1903"/>
    </row>
    <row r="425" spans="2:1024" ht="15.75" customHeight="1">
      <c r="B425" s="1907"/>
      <c r="C425" s="1908"/>
      <c r="D425" s="1908"/>
      <c r="E425" s="1908"/>
      <c r="F425" s="1908"/>
      <c r="G425" s="1908"/>
      <c r="H425" s="1908"/>
      <c r="I425" s="1908"/>
      <c r="J425" s="1908"/>
      <c r="K425" s="1908"/>
      <c r="L425" s="2439"/>
      <c r="M425" s="2440"/>
      <c r="N425" s="2441"/>
      <c r="O425" s="1909"/>
      <c r="AMG425" s="1903"/>
      <c r="AMH425" s="1903"/>
      <c r="AMI425" s="1903"/>
      <c r="AMJ425" s="1903"/>
    </row>
    <row r="426" spans="2:1024" ht="15.75" customHeight="1">
      <c r="B426" s="1907"/>
      <c r="C426" s="1908"/>
      <c r="D426" s="1908"/>
      <c r="E426" s="1908"/>
      <c r="F426" s="1908"/>
      <c r="G426" s="1908"/>
      <c r="H426" s="1908"/>
      <c r="I426" s="1908"/>
      <c r="J426" s="1908"/>
      <c r="K426" s="1908"/>
      <c r="L426" s="2442"/>
      <c r="M426" s="2443"/>
      <c r="N426" s="2444"/>
      <c r="O426" s="1909"/>
      <c r="AMG426" s="1903"/>
      <c r="AMH426" s="1903"/>
      <c r="AMI426" s="1903"/>
      <c r="AMJ426" s="1903"/>
    </row>
    <row r="427" spans="2:1024" ht="15.75" customHeight="1" thickBot="1">
      <c r="B427" s="1921"/>
      <c r="C427" s="1922"/>
      <c r="D427" s="1922"/>
      <c r="E427" s="1922"/>
      <c r="F427" s="1922"/>
      <c r="G427" s="1922"/>
      <c r="H427" s="1922"/>
      <c r="I427" s="1922"/>
      <c r="J427" s="1922"/>
      <c r="K427" s="1922"/>
      <c r="L427" s="1922"/>
      <c r="M427" s="1922"/>
      <c r="N427" s="1922"/>
      <c r="O427" s="1924"/>
      <c r="AMG427" s="1903"/>
      <c r="AMH427" s="1903"/>
      <c r="AMI427" s="1903"/>
      <c r="AMJ427" s="1903"/>
    </row>
    <row r="428" spans="2:1024" ht="15.75" customHeight="1">
      <c r="AMG428" s="1903"/>
      <c r="AMH428" s="1903"/>
      <c r="AMI428" s="1903"/>
      <c r="AMJ428" s="1903"/>
    </row>
    <row r="431" spans="2:1024" ht="15.75" customHeight="1">
      <c r="C431" s="2445" t="s">
        <v>7662</v>
      </c>
      <c r="D431" s="2445"/>
      <c r="E431" s="2445"/>
      <c r="F431" s="2445"/>
      <c r="G431" s="1983"/>
      <c r="H431" s="1983"/>
      <c r="I431" s="1984"/>
      <c r="J431" s="1984"/>
    </row>
    <row r="432" spans="2:1024" ht="15.75" customHeight="1">
      <c r="C432" s="2445"/>
      <c r="D432" s="2445"/>
      <c r="E432" s="2445"/>
      <c r="F432" s="2445"/>
      <c r="G432" s="1983"/>
      <c r="H432" s="1983"/>
      <c r="I432" s="1984"/>
      <c r="J432" s="1984"/>
    </row>
    <row r="433" spans="2:35" ht="15.75" customHeight="1" thickBot="1"/>
    <row r="434" spans="2:35" ht="15.75" customHeight="1" thickBot="1">
      <c r="B434" s="1904"/>
      <c r="C434" s="1905"/>
      <c r="D434" s="1905"/>
      <c r="E434" s="1905"/>
      <c r="F434" s="1905"/>
      <c r="G434" s="1905"/>
      <c r="H434" s="1905"/>
      <c r="I434" s="1905"/>
      <c r="J434" s="1905"/>
      <c r="K434" s="1905"/>
      <c r="L434" s="1905"/>
      <c r="M434" s="1905"/>
      <c r="N434" s="1905"/>
      <c r="O434" s="1906"/>
    </row>
    <row r="435" spans="2:35" ht="15.75" customHeight="1">
      <c r="B435" s="1907"/>
      <c r="C435" s="1908"/>
      <c r="D435" s="1908"/>
      <c r="E435" s="1908"/>
      <c r="F435" s="1908"/>
      <c r="G435" s="1908"/>
      <c r="H435" s="1908"/>
      <c r="I435" s="1908"/>
      <c r="J435" s="1908"/>
      <c r="K435" s="2388" t="s">
        <v>7663</v>
      </c>
      <c r="L435" s="2389"/>
      <c r="M435" s="2389"/>
      <c r="N435" s="2390"/>
      <c r="O435" s="1909"/>
    </row>
    <row r="436" spans="2:35" ht="15.75" customHeight="1">
      <c r="B436" s="1907"/>
      <c r="C436" s="1908"/>
      <c r="D436" s="1908"/>
      <c r="E436" s="1908"/>
      <c r="F436" s="1908"/>
      <c r="G436" s="1908"/>
      <c r="H436" s="1908"/>
      <c r="I436" s="1908"/>
      <c r="J436" s="1908"/>
      <c r="K436" s="2391"/>
      <c r="L436" s="2392"/>
      <c r="M436" s="2392"/>
      <c r="N436" s="2393"/>
      <c r="O436" s="1909"/>
      <c r="Z436" s="1985"/>
      <c r="AA436" s="1985"/>
      <c r="AB436" s="1985"/>
      <c r="AC436" s="1985"/>
      <c r="AD436" s="1985"/>
      <c r="AE436" s="1985"/>
      <c r="AF436" s="1985"/>
      <c r="AG436" s="1985"/>
      <c r="AH436" s="1985"/>
      <c r="AI436" s="1985"/>
    </row>
    <row r="437" spans="2:35" ht="15.75" customHeight="1" thickBot="1">
      <c r="B437" s="1907"/>
      <c r="C437" s="1908"/>
      <c r="D437" s="1908"/>
      <c r="E437" s="1908"/>
      <c r="F437" s="1908"/>
      <c r="G437" s="1908"/>
      <c r="H437" s="1908"/>
      <c r="I437" s="1908"/>
      <c r="J437" s="1908"/>
      <c r="K437" s="2400"/>
      <c r="L437" s="2401"/>
      <c r="M437" s="2401"/>
      <c r="N437" s="2402"/>
      <c r="O437" s="1909"/>
      <c r="Z437" s="1985"/>
      <c r="AA437" s="1985"/>
      <c r="AB437" s="1985"/>
      <c r="AC437" s="1985"/>
      <c r="AD437" s="1985"/>
      <c r="AE437" s="1985"/>
      <c r="AF437" s="1985"/>
      <c r="AG437" s="1985"/>
      <c r="AH437" s="1985"/>
      <c r="AI437" s="1985"/>
    </row>
    <row r="438" spans="2:35" ht="15.75" customHeight="1">
      <c r="B438" s="1907"/>
      <c r="C438" s="1908"/>
      <c r="D438" s="1908"/>
      <c r="E438" s="1908"/>
      <c r="F438" s="1908"/>
      <c r="G438" s="1908"/>
      <c r="H438" s="1908"/>
      <c r="I438" s="1908"/>
      <c r="J438" s="1908"/>
      <c r="K438" s="2446">
        <v>5200</v>
      </c>
      <c r="L438" s="2447"/>
      <c r="M438" s="2447"/>
      <c r="N438" s="2448"/>
      <c r="O438" s="1909"/>
      <c r="Z438" s="1985"/>
      <c r="AA438" s="1985"/>
      <c r="AB438" s="1985"/>
      <c r="AC438" s="1985"/>
      <c r="AD438" s="1985"/>
      <c r="AE438" s="1985"/>
      <c r="AF438" s="1985"/>
      <c r="AG438" s="1985"/>
      <c r="AH438" s="1985"/>
      <c r="AI438" s="1985"/>
    </row>
    <row r="439" spans="2:35" ht="15.75" customHeight="1">
      <c r="B439" s="1907"/>
      <c r="C439" s="1908"/>
      <c r="D439" s="1908"/>
      <c r="E439" s="1908"/>
      <c r="F439" s="1908"/>
      <c r="G439" s="1908"/>
      <c r="H439" s="1908"/>
      <c r="I439" s="1908"/>
      <c r="J439" s="1908"/>
      <c r="K439" s="2449"/>
      <c r="L439" s="2450"/>
      <c r="M439" s="2450"/>
      <c r="N439" s="2451"/>
      <c r="O439" s="1909"/>
      <c r="Z439" s="1985"/>
      <c r="AA439" s="1985"/>
      <c r="AB439" s="1985"/>
      <c r="AC439" s="1985"/>
      <c r="AD439" s="1985"/>
      <c r="AE439" s="1985"/>
      <c r="AF439" s="1985"/>
      <c r="AG439" s="1985"/>
      <c r="AH439" s="1985"/>
      <c r="AI439" s="1985"/>
    </row>
    <row r="440" spans="2:35" ht="15.75" customHeight="1" thickBot="1">
      <c r="B440" s="1907"/>
      <c r="C440" s="1908"/>
      <c r="D440" s="1908"/>
      <c r="E440" s="1908"/>
      <c r="F440" s="1908"/>
      <c r="G440" s="1908"/>
      <c r="H440" s="1908"/>
      <c r="I440" s="1908"/>
      <c r="J440" s="1908"/>
      <c r="K440" s="2452"/>
      <c r="L440" s="2453"/>
      <c r="M440" s="2453"/>
      <c r="N440" s="2454"/>
      <c r="O440" s="1909"/>
      <c r="Z440" s="1985"/>
      <c r="AA440" s="1985"/>
      <c r="AB440" s="1985"/>
      <c r="AC440" s="1985"/>
      <c r="AD440" s="1985"/>
      <c r="AE440" s="1985"/>
      <c r="AF440" s="1985"/>
      <c r="AG440" s="1985"/>
      <c r="AH440" s="1985"/>
      <c r="AI440" s="1985"/>
    </row>
    <row r="441" spans="2:35" ht="15.75" customHeight="1">
      <c r="B441" s="1907"/>
      <c r="C441" s="1908"/>
      <c r="D441" s="1908"/>
      <c r="E441" s="1908"/>
      <c r="F441" s="1908"/>
      <c r="G441" s="1908"/>
      <c r="H441" s="1908"/>
      <c r="I441" s="1908"/>
      <c r="J441" s="1908"/>
      <c r="K441" s="1908"/>
      <c r="L441" s="1908"/>
      <c r="M441" s="1908"/>
      <c r="N441" s="1908"/>
      <c r="O441" s="1909"/>
      <c r="U441" s="1986"/>
      <c r="V441" s="1986"/>
      <c r="W441" s="1986"/>
      <c r="X441" s="1986"/>
      <c r="Y441" s="1986"/>
      <c r="Z441" s="1986"/>
      <c r="AA441" s="1986"/>
      <c r="AB441" s="1986"/>
      <c r="AC441" s="1986"/>
      <c r="AD441" s="1985"/>
      <c r="AE441" s="1985"/>
      <c r="AF441" s="1985"/>
      <c r="AG441" s="1985"/>
      <c r="AH441" s="1985"/>
      <c r="AI441" s="1985"/>
    </row>
    <row r="442" spans="2:35" ht="15.75" customHeight="1">
      <c r="B442" s="1907"/>
      <c r="C442" s="1908"/>
      <c r="D442" s="1908"/>
      <c r="E442" s="1908"/>
      <c r="F442" s="1908"/>
      <c r="G442" s="1908"/>
      <c r="H442" s="1908"/>
      <c r="I442" s="1908"/>
      <c r="J442" s="1908"/>
      <c r="K442" s="1908"/>
      <c r="L442" s="1908"/>
      <c r="M442" s="1908"/>
      <c r="N442" s="1908"/>
      <c r="O442" s="1909"/>
      <c r="U442" s="1986"/>
      <c r="V442" s="1986"/>
      <c r="W442" s="1986"/>
      <c r="X442" s="1986"/>
      <c r="Y442" s="1986"/>
      <c r="Z442" s="1986"/>
      <c r="AA442" s="1986"/>
      <c r="AB442" s="1986"/>
      <c r="AC442" s="1986"/>
      <c r="AD442" s="1985"/>
      <c r="AE442" s="1985"/>
      <c r="AF442" s="1985"/>
      <c r="AG442" s="1985"/>
      <c r="AH442" s="1985"/>
      <c r="AI442" s="1985"/>
    </row>
    <row r="443" spans="2:35" ht="15.75" customHeight="1">
      <c r="B443" s="1907"/>
      <c r="C443" s="1908"/>
      <c r="D443" s="1908"/>
      <c r="E443" s="1908"/>
      <c r="F443" s="1908"/>
      <c r="G443" s="1908"/>
      <c r="H443" s="1908"/>
      <c r="I443" s="1908"/>
      <c r="J443" s="1908"/>
      <c r="K443" s="2419" t="s">
        <v>374</v>
      </c>
      <c r="L443" s="2420"/>
      <c r="M443" s="2420"/>
      <c r="N443" s="2421"/>
      <c r="O443" s="1909"/>
      <c r="U443" s="1986"/>
      <c r="V443" s="1986"/>
      <c r="W443" s="1986"/>
      <c r="X443" s="1986"/>
      <c r="Y443" s="1986"/>
      <c r="Z443" s="1986"/>
      <c r="AA443" s="1986"/>
      <c r="AB443" s="1986"/>
      <c r="AC443" s="1986"/>
      <c r="AD443" s="1985"/>
      <c r="AE443" s="1985"/>
      <c r="AF443" s="1985"/>
      <c r="AG443" s="1985"/>
      <c r="AH443" s="1985"/>
      <c r="AI443" s="1985"/>
    </row>
    <row r="444" spans="2:35" ht="15.75" customHeight="1">
      <c r="B444" s="1907"/>
      <c r="C444" s="1908"/>
      <c r="D444" s="1908"/>
      <c r="E444" s="1908"/>
      <c r="F444" s="1908"/>
      <c r="G444" s="1908"/>
      <c r="H444" s="1908"/>
      <c r="I444" s="1908"/>
      <c r="J444" s="1908"/>
      <c r="K444" s="2422"/>
      <c r="L444" s="2423"/>
      <c r="M444" s="2423"/>
      <c r="N444" s="2424"/>
      <c r="O444" s="1909"/>
      <c r="U444" s="1986"/>
      <c r="V444" s="1986"/>
      <c r="W444" s="1986"/>
      <c r="X444" s="1986"/>
      <c r="Y444" s="1986"/>
      <c r="Z444" s="1986"/>
      <c r="AA444" s="1986"/>
      <c r="AB444" s="1986"/>
      <c r="AC444" s="1986"/>
      <c r="AD444" s="1985"/>
      <c r="AE444" s="1985"/>
      <c r="AF444" s="1985"/>
      <c r="AG444" s="1985"/>
      <c r="AH444" s="1985"/>
      <c r="AI444" s="1985"/>
    </row>
    <row r="445" spans="2:35" ht="15.75" customHeight="1">
      <c r="B445" s="1907"/>
      <c r="C445" s="1908"/>
      <c r="D445" s="1908"/>
      <c r="E445" s="1908"/>
      <c r="F445" s="1908"/>
      <c r="G445" s="1908"/>
      <c r="H445" s="1908"/>
      <c r="I445" s="1908"/>
      <c r="J445" s="1908"/>
      <c r="K445" s="2422"/>
      <c r="L445" s="2423"/>
      <c r="M445" s="2423"/>
      <c r="N445" s="2424"/>
      <c r="O445" s="1909"/>
      <c r="U445" s="1986"/>
      <c r="V445" s="1986"/>
      <c r="W445" s="1986"/>
      <c r="X445" s="1986"/>
      <c r="Y445" s="1986"/>
      <c r="Z445" s="1986"/>
      <c r="AA445" s="1986"/>
      <c r="AB445" s="1986"/>
      <c r="AC445" s="1986"/>
      <c r="AD445" s="1985"/>
      <c r="AE445" s="1985"/>
      <c r="AF445" s="1985"/>
      <c r="AG445" s="1985"/>
      <c r="AH445" s="1985"/>
      <c r="AI445" s="1985"/>
    </row>
    <row r="446" spans="2:35" ht="15.75" customHeight="1">
      <c r="B446" s="1907"/>
      <c r="C446" s="1908"/>
      <c r="D446" s="1908"/>
      <c r="E446" s="1908"/>
      <c r="F446" s="1908"/>
      <c r="G446" s="1908"/>
      <c r="H446" s="1908"/>
      <c r="I446" s="1908"/>
      <c r="J446" s="1908"/>
      <c r="K446" s="2422"/>
      <c r="L446" s="2423"/>
      <c r="M446" s="2423"/>
      <c r="N446" s="2424"/>
      <c r="O446" s="1909"/>
      <c r="U446" s="1986"/>
      <c r="V446" s="1986"/>
      <c r="W446" s="1986"/>
      <c r="X446" s="1986"/>
      <c r="Y446" s="1986"/>
      <c r="Z446" s="1986"/>
      <c r="AA446" s="1986"/>
      <c r="AB446" s="1986"/>
      <c r="AC446" s="1986"/>
      <c r="AD446" s="1985"/>
      <c r="AE446" s="1985"/>
      <c r="AF446" s="1985"/>
      <c r="AG446" s="1985"/>
      <c r="AH446" s="1985"/>
      <c r="AI446" s="1985"/>
    </row>
    <row r="447" spans="2:35" ht="15.75" customHeight="1">
      <c r="B447" s="1907"/>
      <c r="C447" s="1908"/>
      <c r="D447" s="1908"/>
      <c r="E447" s="1908"/>
      <c r="F447" s="1908"/>
      <c r="G447" s="1908"/>
      <c r="H447" s="1908"/>
      <c r="I447" s="1908"/>
      <c r="J447" s="1908"/>
      <c r="K447" s="2425"/>
      <c r="L447" s="2426"/>
      <c r="M447" s="2426"/>
      <c r="N447" s="2427"/>
      <c r="O447" s="1909"/>
      <c r="U447" s="1986"/>
      <c r="V447" s="1986"/>
      <c r="W447" s="1986"/>
      <c r="X447" s="1986"/>
      <c r="Y447" s="1986"/>
      <c r="Z447" s="1986"/>
      <c r="AA447" s="1986"/>
      <c r="AB447" s="1986"/>
      <c r="AC447" s="1986"/>
      <c r="AD447" s="1985"/>
      <c r="AE447" s="1985"/>
      <c r="AF447" s="1985"/>
      <c r="AG447" s="1985"/>
      <c r="AH447" s="1985"/>
      <c r="AI447" s="1985"/>
    </row>
    <row r="448" spans="2:35" ht="15.75" customHeight="1">
      <c r="B448" s="1907"/>
      <c r="C448" s="1908"/>
      <c r="D448" s="1908"/>
      <c r="E448" s="1908"/>
      <c r="F448" s="1908"/>
      <c r="G448" s="1908"/>
      <c r="H448" s="1908"/>
      <c r="I448" s="1908"/>
      <c r="J448" s="1908"/>
      <c r="K448" s="1908"/>
      <c r="L448" s="1908"/>
      <c r="M448" s="1908"/>
      <c r="N448" s="1908"/>
      <c r="O448" s="1909"/>
      <c r="U448" s="1986"/>
      <c r="V448" s="1986"/>
      <c r="W448" s="1986"/>
      <c r="X448" s="1986"/>
      <c r="Y448" s="1986"/>
      <c r="Z448" s="1986"/>
      <c r="AA448" s="1986"/>
      <c r="AB448" s="1986"/>
      <c r="AC448" s="1986"/>
      <c r="AD448" s="1985"/>
      <c r="AE448" s="1985"/>
      <c r="AF448" s="1985"/>
      <c r="AG448" s="1985"/>
      <c r="AH448" s="1985"/>
      <c r="AI448" s="1985"/>
    </row>
    <row r="449" spans="2:35" ht="15.75" customHeight="1">
      <c r="B449" s="1907"/>
      <c r="C449" s="1908"/>
      <c r="D449" s="1908"/>
      <c r="E449" s="1908"/>
      <c r="F449" s="1908"/>
      <c r="G449" s="1908"/>
      <c r="H449" s="1908"/>
      <c r="I449" s="1908"/>
      <c r="J449" s="1908"/>
      <c r="K449" s="1908"/>
      <c r="L449" s="1908"/>
      <c r="M449" s="1908"/>
      <c r="N449" s="1908"/>
      <c r="O449" s="1909"/>
      <c r="U449" s="1986"/>
      <c r="V449" s="1986"/>
      <c r="W449" s="1986"/>
      <c r="X449" s="1986"/>
      <c r="Y449" s="1986"/>
      <c r="Z449" s="1986"/>
      <c r="AA449" s="1986"/>
      <c r="AB449" s="1986"/>
      <c r="AC449" s="1986"/>
      <c r="AD449" s="1985"/>
      <c r="AE449" s="1985"/>
      <c r="AF449" s="1985"/>
      <c r="AG449" s="1985"/>
      <c r="AH449" s="1985"/>
      <c r="AI449" s="1985"/>
    </row>
    <row r="450" spans="2:35" ht="15.75" customHeight="1">
      <c r="B450" s="1907"/>
      <c r="C450" s="1908"/>
      <c r="D450" s="1908"/>
      <c r="E450" s="1908"/>
      <c r="F450" s="1908"/>
      <c r="G450" s="1908"/>
      <c r="H450" s="1908"/>
      <c r="I450" s="1908"/>
      <c r="J450" s="1908"/>
      <c r="K450" s="1908"/>
      <c r="L450" s="1908"/>
      <c r="M450" s="1908"/>
      <c r="N450" s="1908"/>
      <c r="O450" s="1909"/>
      <c r="U450" s="1986"/>
      <c r="V450" s="1986"/>
      <c r="W450" s="1986"/>
      <c r="X450" s="1986"/>
      <c r="Y450" s="1986"/>
      <c r="Z450" s="1986"/>
      <c r="AA450" s="1986"/>
      <c r="AB450" s="1986"/>
      <c r="AC450" s="1986"/>
      <c r="AD450" s="1985"/>
      <c r="AE450" s="1985"/>
      <c r="AF450" s="1985"/>
      <c r="AG450" s="1985"/>
      <c r="AH450" s="1985"/>
      <c r="AI450" s="1985"/>
    </row>
    <row r="451" spans="2:35" ht="15.75" customHeight="1">
      <c r="B451" s="1907"/>
      <c r="C451" s="1908"/>
      <c r="D451" s="1908"/>
      <c r="E451" s="1908"/>
      <c r="F451" s="1908"/>
      <c r="G451" s="1908"/>
      <c r="H451" s="1908"/>
      <c r="I451" s="1908"/>
      <c r="J451" s="1908"/>
      <c r="K451" s="1908"/>
      <c r="L451" s="1908"/>
      <c r="M451" s="1908"/>
      <c r="N451" s="1908"/>
      <c r="O451" s="1909"/>
      <c r="U451" s="1986"/>
      <c r="V451" s="1986"/>
      <c r="W451" s="1986"/>
      <c r="X451" s="1986"/>
      <c r="Y451" s="1986"/>
      <c r="Z451" s="1986"/>
      <c r="AA451" s="1986"/>
      <c r="AB451" s="1986"/>
      <c r="AC451" s="1986"/>
      <c r="AD451" s="1985"/>
      <c r="AE451" s="1985"/>
      <c r="AF451" s="1985"/>
      <c r="AG451" s="1985"/>
      <c r="AH451" s="1985"/>
      <c r="AI451" s="1985"/>
    </row>
    <row r="452" spans="2:35" ht="15.75" customHeight="1" thickBot="1">
      <c r="B452" s="1921"/>
      <c r="C452" s="1922"/>
      <c r="D452" s="1922"/>
      <c r="E452" s="1922"/>
      <c r="F452" s="1922"/>
      <c r="G452" s="1922"/>
      <c r="H452" s="1922"/>
      <c r="I452" s="1922"/>
      <c r="J452" s="1922"/>
      <c r="K452" s="1922"/>
      <c r="L452" s="1922"/>
      <c r="M452" s="1922"/>
      <c r="N452" s="1922"/>
      <c r="O452" s="1924"/>
      <c r="U452" s="1986"/>
      <c r="V452" s="1986"/>
      <c r="W452" s="1986"/>
      <c r="X452" s="1986"/>
      <c r="Y452" s="1986"/>
      <c r="Z452" s="1986"/>
      <c r="AA452" s="1986"/>
      <c r="AB452" s="1986"/>
      <c r="AC452" s="1986"/>
      <c r="AD452" s="1985"/>
      <c r="AE452" s="1985"/>
      <c r="AF452" s="1985"/>
      <c r="AG452" s="1985"/>
      <c r="AH452" s="1985"/>
      <c r="AI452" s="1985"/>
    </row>
    <row r="453" spans="2:35" ht="15.75" customHeight="1">
      <c r="U453" s="1986"/>
      <c r="V453" s="1986"/>
      <c r="W453" s="1986"/>
      <c r="X453" s="1986"/>
      <c r="Y453" s="1986"/>
      <c r="Z453" s="1986"/>
      <c r="AA453" s="1986"/>
      <c r="AB453" s="1986"/>
      <c r="AC453" s="1986"/>
      <c r="AD453" s="1985"/>
      <c r="AE453" s="1985"/>
      <c r="AF453" s="1985"/>
      <c r="AG453" s="1985"/>
      <c r="AH453" s="1985"/>
      <c r="AI453" s="1985"/>
    </row>
    <row r="454" spans="2:35" ht="15.75" customHeight="1">
      <c r="U454" s="1986"/>
      <c r="V454" s="1986"/>
      <c r="W454" s="1986"/>
      <c r="X454" s="1986"/>
      <c r="Y454" s="1986"/>
      <c r="Z454" s="1986"/>
      <c r="AA454" s="1986"/>
      <c r="AB454" s="1986"/>
      <c r="AC454" s="1986"/>
      <c r="AD454" s="1985"/>
      <c r="AE454" s="1985"/>
      <c r="AF454" s="1985"/>
      <c r="AG454" s="1985"/>
      <c r="AH454" s="1985"/>
      <c r="AI454" s="1985"/>
    </row>
    <row r="455" spans="2:35" ht="15.75" customHeight="1">
      <c r="U455" s="1986"/>
      <c r="V455" s="1986"/>
      <c r="W455" s="1986"/>
      <c r="X455" s="1986"/>
      <c r="Y455" s="1986"/>
      <c r="Z455" s="1986"/>
      <c r="AA455" s="1986"/>
      <c r="AB455" s="1986"/>
      <c r="AC455" s="1986"/>
      <c r="AD455" s="1985"/>
      <c r="AE455" s="1985"/>
      <c r="AF455" s="1985"/>
      <c r="AG455" s="1985"/>
      <c r="AH455" s="1985"/>
      <c r="AI455" s="1985"/>
    </row>
    <row r="456" spans="2:35" ht="15.75" customHeight="1">
      <c r="U456" s="1986"/>
      <c r="V456" s="1986"/>
      <c r="W456" s="1986"/>
      <c r="X456" s="1986"/>
      <c r="Y456" s="1986"/>
      <c r="Z456" s="1986"/>
      <c r="AA456" s="1986"/>
      <c r="AB456" s="1986"/>
      <c r="AC456" s="1986"/>
      <c r="AD456" s="1985"/>
      <c r="AE456" s="1985"/>
      <c r="AF456" s="1985"/>
      <c r="AG456" s="1985"/>
      <c r="AH456" s="1985"/>
      <c r="AI456" s="1985"/>
    </row>
    <row r="457" spans="2:35" ht="15.75" customHeight="1">
      <c r="U457" s="1986"/>
      <c r="V457" s="1986"/>
      <c r="W457" s="1986"/>
      <c r="X457" s="1986"/>
      <c r="Y457" s="1986"/>
      <c r="Z457" s="1986"/>
      <c r="AA457" s="1986"/>
      <c r="AB457" s="1986"/>
      <c r="AC457" s="1986"/>
      <c r="AD457" s="1985"/>
      <c r="AE457" s="1985"/>
      <c r="AF457" s="1985"/>
      <c r="AG457" s="1985"/>
      <c r="AH457" s="1985"/>
      <c r="AI457" s="1985"/>
    </row>
    <row r="458" spans="2:35" ht="15.75" customHeight="1">
      <c r="M458" s="2428"/>
      <c r="N458" s="2428"/>
      <c r="U458" s="1986"/>
      <c r="V458" s="1986"/>
      <c r="W458" s="1986"/>
      <c r="X458" s="1986"/>
      <c r="Y458" s="1986"/>
      <c r="Z458" s="1986"/>
      <c r="AA458" s="1986"/>
      <c r="AB458" s="1986"/>
      <c r="AC458" s="1986"/>
    </row>
    <row r="459" spans="2:35" ht="15.75" customHeight="1">
      <c r="M459" s="2428"/>
      <c r="N459" s="2428"/>
      <c r="U459" s="1986"/>
      <c r="V459" s="1986"/>
      <c r="W459" s="1986"/>
      <c r="X459" s="1986"/>
      <c r="Y459" s="1986"/>
      <c r="Z459" s="1986"/>
      <c r="AA459" s="1986"/>
      <c r="AB459" s="1986"/>
      <c r="AC459" s="1986"/>
    </row>
    <row r="460" spans="2:35" ht="15.75" customHeight="1">
      <c r="M460" s="2428"/>
      <c r="N460" s="2428"/>
      <c r="U460" s="1986"/>
      <c r="V460" s="1986"/>
      <c r="W460" s="1986"/>
      <c r="X460" s="1986"/>
      <c r="Y460" s="1986"/>
      <c r="Z460" s="1986"/>
      <c r="AA460" s="1986"/>
      <c r="AB460" s="1986"/>
      <c r="AC460" s="1986"/>
    </row>
    <row r="461" spans="2:35" ht="15.75" customHeight="1">
      <c r="M461" s="1987"/>
      <c r="N461" s="1988"/>
      <c r="U461" s="1986"/>
      <c r="V461" s="1986"/>
      <c r="W461" s="1986"/>
      <c r="X461" s="1986"/>
      <c r="Y461" s="1986"/>
      <c r="Z461" s="1986"/>
      <c r="AA461" s="1986"/>
      <c r="AB461" s="1986"/>
      <c r="AC461" s="1986"/>
    </row>
    <row r="462" spans="2:35" ht="15.75" customHeight="1">
      <c r="N462" s="1988"/>
      <c r="U462" s="1986"/>
      <c r="V462" s="1986"/>
      <c r="W462" s="1986"/>
      <c r="X462" s="1986"/>
      <c r="Y462" s="1986"/>
      <c r="Z462" s="1986"/>
      <c r="AA462" s="1986"/>
      <c r="AB462" s="1986"/>
      <c r="AC462" s="1986"/>
    </row>
    <row r="463" spans="2:35" ht="15.75" customHeight="1">
      <c r="M463" s="1988"/>
      <c r="N463" s="1988"/>
      <c r="U463" s="1986"/>
      <c r="V463" s="1986"/>
      <c r="W463" s="1986"/>
      <c r="X463" s="1986"/>
      <c r="Y463" s="1986"/>
      <c r="Z463" s="1986"/>
      <c r="AA463" s="1986"/>
      <c r="AB463" s="1986"/>
      <c r="AC463" s="1986"/>
    </row>
    <row r="464" spans="2:35" ht="15.75" customHeight="1">
      <c r="M464" s="1988"/>
      <c r="N464" s="1988"/>
      <c r="U464" s="1986"/>
      <c r="V464" s="1986"/>
      <c r="W464" s="1986"/>
      <c r="X464" s="1986"/>
      <c r="Y464" s="1986"/>
      <c r="Z464" s="1986"/>
      <c r="AA464" s="1986"/>
      <c r="AB464" s="1986"/>
      <c r="AC464" s="1986"/>
    </row>
    <row r="465" spans="13:29" ht="15.75" customHeight="1">
      <c r="M465" s="1988"/>
      <c r="N465" s="1988"/>
      <c r="U465" s="1986"/>
      <c r="V465" s="1986"/>
      <c r="W465" s="1986"/>
      <c r="X465" s="1986"/>
      <c r="Y465" s="1986"/>
      <c r="Z465" s="1986"/>
      <c r="AA465" s="1986"/>
      <c r="AB465" s="1986"/>
      <c r="AC465" s="1986"/>
    </row>
    <row r="466" spans="13:29" ht="15.75" customHeight="1">
      <c r="M466" s="1988"/>
      <c r="N466" s="1988"/>
      <c r="U466" s="1986"/>
      <c r="V466" s="1986"/>
      <c r="W466" s="1986"/>
      <c r="X466" s="1986"/>
      <c r="Y466" s="1986"/>
      <c r="Z466" s="1986"/>
      <c r="AA466" s="1986"/>
      <c r="AB466" s="1986"/>
      <c r="AC466" s="1986"/>
    </row>
  </sheetData>
  <mergeCells count="240">
    <mergeCell ref="K443:N447"/>
    <mergeCell ref="M458:N460"/>
    <mergeCell ref="A1:I1"/>
    <mergeCell ref="K73:N75"/>
    <mergeCell ref="M76:N76"/>
    <mergeCell ref="L412:N413"/>
    <mergeCell ref="L415:N417"/>
    <mergeCell ref="L418:N426"/>
    <mergeCell ref="C431:F432"/>
    <mergeCell ref="K435:N437"/>
    <mergeCell ref="K438:N440"/>
    <mergeCell ref="L403:M404"/>
    <mergeCell ref="N403:N404"/>
    <mergeCell ref="L405:M407"/>
    <mergeCell ref="N405:N407"/>
    <mergeCell ref="L408:M410"/>
    <mergeCell ref="N408:N410"/>
    <mergeCell ref="K386:L389"/>
    <mergeCell ref="M386:N389"/>
    <mergeCell ref="C394:F395"/>
    <mergeCell ref="L398:N399"/>
    <mergeCell ref="L401:M402"/>
    <mergeCell ref="N401:N402"/>
    <mergeCell ref="M366:N366"/>
    <mergeCell ref="C371:H372"/>
    <mergeCell ref="K374:N376"/>
    <mergeCell ref="K377:L380"/>
    <mergeCell ref="M377:N380"/>
    <mergeCell ref="K383:N385"/>
    <mergeCell ref="K355:L355"/>
    <mergeCell ref="M355:N355"/>
    <mergeCell ref="C358:J361"/>
    <mergeCell ref="K358:N361"/>
    <mergeCell ref="C364:J366"/>
    <mergeCell ref="K364:L364"/>
    <mergeCell ref="M364:N364"/>
    <mergeCell ref="K365:L365"/>
    <mergeCell ref="M365:N365"/>
    <mergeCell ref="K366:L366"/>
    <mergeCell ref="K352:L352"/>
    <mergeCell ref="M352:N352"/>
    <mergeCell ref="K353:L353"/>
    <mergeCell ref="M353:N353"/>
    <mergeCell ref="K354:L354"/>
    <mergeCell ref="M354:N354"/>
    <mergeCell ref="K343:L343"/>
    <mergeCell ref="M343:N343"/>
    <mergeCell ref="K344:L344"/>
    <mergeCell ref="M344:N344"/>
    <mergeCell ref="K346:N347"/>
    <mergeCell ref="K348:L351"/>
    <mergeCell ref="M348:N350"/>
    <mergeCell ref="M351:N351"/>
    <mergeCell ref="K340:L340"/>
    <mergeCell ref="M340:N340"/>
    <mergeCell ref="K341:L341"/>
    <mergeCell ref="M341:N341"/>
    <mergeCell ref="K342:L342"/>
    <mergeCell ref="M342:N342"/>
    <mergeCell ref="C331:J332"/>
    <mergeCell ref="K334:N335"/>
    <mergeCell ref="K337:L338"/>
    <mergeCell ref="M337:N337"/>
    <mergeCell ref="M338:N338"/>
    <mergeCell ref="K339:L339"/>
    <mergeCell ref="M339:N339"/>
    <mergeCell ref="H302:J313"/>
    <mergeCell ref="K302:L313"/>
    <mergeCell ref="M302:N313"/>
    <mergeCell ref="H315:J326"/>
    <mergeCell ref="K315:L326"/>
    <mergeCell ref="M315:N326"/>
    <mergeCell ref="H276:J287"/>
    <mergeCell ref="K276:L287"/>
    <mergeCell ref="M276:N287"/>
    <mergeCell ref="H289:J300"/>
    <mergeCell ref="K289:L300"/>
    <mergeCell ref="M289:N300"/>
    <mergeCell ref="C250:N252"/>
    <mergeCell ref="C253:N255"/>
    <mergeCell ref="C260:F261"/>
    <mergeCell ref="H263:J274"/>
    <mergeCell ref="K263:L274"/>
    <mergeCell ref="M263:N274"/>
    <mergeCell ref="C243:E243"/>
    <mergeCell ref="F243:H243"/>
    <mergeCell ref="I243:K243"/>
    <mergeCell ref="L243:N243"/>
    <mergeCell ref="C244:E248"/>
    <mergeCell ref="F244:H248"/>
    <mergeCell ref="L244:N248"/>
    <mergeCell ref="C237:E237"/>
    <mergeCell ref="F237:H237"/>
    <mergeCell ref="I237:K237"/>
    <mergeCell ref="L237:N237"/>
    <mergeCell ref="C238:E242"/>
    <mergeCell ref="F238:H242"/>
    <mergeCell ref="L238:N242"/>
    <mergeCell ref="C231:E231"/>
    <mergeCell ref="F231:H231"/>
    <mergeCell ref="I231:K231"/>
    <mergeCell ref="L231:N231"/>
    <mergeCell ref="C232:E236"/>
    <mergeCell ref="F232:H236"/>
    <mergeCell ref="L232:N236"/>
    <mergeCell ref="C221:N223"/>
    <mergeCell ref="C225:E225"/>
    <mergeCell ref="F225:H225"/>
    <mergeCell ref="I225:K225"/>
    <mergeCell ref="L225:N225"/>
    <mergeCell ref="C226:E230"/>
    <mergeCell ref="F226:H230"/>
    <mergeCell ref="L226:N230"/>
    <mergeCell ref="C190:J193"/>
    <mergeCell ref="I194:N207"/>
    <mergeCell ref="C212:F213"/>
    <mergeCell ref="C215:G216"/>
    <mergeCell ref="I215:N216"/>
    <mergeCell ref="C217:F219"/>
    <mergeCell ref="G217:G219"/>
    <mergeCell ref="I217:M219"/>
    <mergeCell ref="N217:N219"/>
    <mergeCell ref="K170:N173"/>
    <mergeCell ref="K174:N176"/>
    <mergeCell ref="K178:N180"/>
    <mergeCell ref="C182:J183"/>
    <mergeCell ref="K182:N183"/>
    <mergeCell ref="C186:J188"/>
    <mergeCell ref="K166:L166"/>
    <mergeCell ref="M166:N166"/>
    <mergeCell ref="K167:L167"/>
    <mergeCell ref="M167:N167"/>
    <mergeCell ref="K168:L168"/>
    <mergeCell ref="M168:N168"/>
    <mergeCell ref="K151:L152"/>
    <mergeCell ref="M151:M152"/>
    <mergeCell ref="N151:N152"/>
    <mergeCell ref="C157:J160"/>
    <mergeCell ref="K157:N160"/>
    <mergeCell ref="K163:N164"/>
    <mergeCell ref="K147:L148"/>
    <mergeCell ref="M147:M148"/>
    <mergeCell ref="N147:N148"/>
    <mergeCell ref="K149:L150"/>
    <mergeCell ref="M149:M150"/>
    <mergeCell ref="N149:N150"/>
    <mergeCell ref="K143:L144"/>
    <mergeCell ref="M143:M144"/>
    <mergeCell ref="N143:N144"/>
    <mergeCell ref="K145:L146"/>
    <mergeCell ref="M145:M146"/>
    <mergeCell ref="N145:N146"/>
    <mergeCell ref="K133:L134"/>
    <mergeCell ref="M133:N134"/>
    <mergeCell ref="K135:L136"/>
    <mergeCell ref="M135:N136"/>
    <mergeCell ref="K139:N140"/>
    <mergeCell ref="K141:L142"/>
    <mergeCell ref="K119:L119"/>
    <mergeCell ref="M119:N119"/>
    <mergeCell ref="K120:L120"/>
    <mergeCell ref="M120:N120"/>
    <mergeCell ref="C125:J127"/>
    <mergeCell ref="K130:N131"/>
    <mergeCell ref="K107:L107"/>
    <mergeCell ref="M107:N107"/>
    <mergeCell ref="K112:N113"/>
    <mergeCell ref="K115:N116"/>
    <mergeCell ref="K118:L118"/>
    <mergeCell ref="M118:N118"/>
    <mergeCell ref="C89:N93"/>
    <mergeCell ref="K98:N99"/>
    <mergeCell ref="K101:N103"/>
    <mergeCell ref="K105:L105"/>
    <mergeCell ref="M105:N105"/>
    <mergeCell ref="K106:L106"/>
    <mergeCell ref="M106:N106"/>
    <mergeCell ref="M84:N84"/>
    <mergeCell ref="K85:L85"/>
    <mergeCell ref="M85:N85"/>
    <mergeCell ref="K86:L86"/>
    <mergeCell ref="M86:N86"/>
    <mergeCell ref="K87:L87"/>
    <mergeCell ref="M87:N87"/>
    <mergeCell ref="K63:L63"/>
    <mergeCell ref="M63:N63"/>
    <mergeCell ref="K64:L64"/>
    <mergeCell ref="M64:N64"/>
    <mergeCell ref="K66:N67"/>
    <mergeCell ref="K81:N83"/>
    <mergeCell ref="K77:N77"/>
    <mergeCell ref="K60:L60"/>
    <mergeCell ref="M60:N60"/>
    <mergeCell ref="K61:L61"/>
    <mergeCell ref="M61:N61"/>
    <mergeCell ref="K62:L62"/>
    <mergeCell ref="M62:N62"/>
    <mergeCell ref="K54:L54"/>
    <mergeCell ref="M54:N54"/>
    <mergeCell ref="K56:N56"/>
    <mergeCell ref="K58:L58"/>
    <mergeCell ref="M58:N58"/>
    <mergeCell ref="K59:L59"/>
    <mergeCell ref="M59:N59"/>
    <mergeCell ref="K51:L51"/>
    <mergeCell ref="M51:N51"/>
    <mergeCell ref="K52:L52"/>
    <mergeCell ref="M52:N52"/>
    <mergeCell ref="K53:L53"/>
    <mergeCell ref="M53:N53"/>
    <mergeCell ref="K46:N46"/>
    <mergeCell ref="K48:L48"/>
    <mergeCell ref="M48:N48"/>
    <mergeCell ref="K49:L49"/>
    <mergeCell ref="M49:N49"/>
    <mergeCell ref="K50:L50"/>
    <mergeCell ref="M50:N50"/>
    <mergeCell ref="K30:L30"/>
    <mergeCell ref="K31:L31"/>
    <mergeCell ref="K32:N34"/>
    <mergeCell ref="K35:N36"/>
    <mergeCell ref="C3:L5"/>
    <mergeCell ref="K8:N10"/>
    <mergeCell ref="K12:N12"/>
    <mergeCell ref="K13:L14"/>
    <mergeCell ref="M13:N13"/>
    <mergeCell ref="C38:E41"/>
    <mergeCell ref="F38:N41"/>
    <mergeCell ref="K22:N22"/>
    <mergeCell ref="K23:L24"/>
    <mergeCell ref="K25:L25"/>
    <mergeCell ref="K26:L26"/>
    <mergeCell ref="K27:N27"/>
    <mergeCell ref="K28:L29"/>
    <mergeCell ref="K15:L15"/>
    <mergeCell ref="K16:L16"/>
    <mergeCell ref="K17:N17"/>
    <mergeCell ref="K18:L19"/>
    <mergeCell ref="K20:L20"/>
    <mergeCell ref="K21:L21"/>
  </mergeCells>
  <hyperlinks>
    <hyperlink ref="A1:I1" location="Главная!A1" display="Вернуться на главную страницу" xr:uid="{45687650-A338-4EB6-9B7E-BC37593052EB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tabColor rgb="FF00CC99"/>
  </sheetPr>
  <dimension ref="A1:BL228"/>
  <sheetViews>
    <sheetView zoomScale="85" zoomScaleNormal="85" workbookViewId="0">
      <selection activeCell="AM6" sqref="AM6"/>
    </sheetView>
  </sheetViews>
  <sheetFormatPr defaultRowHeight="15"/>
  <cols>
    <col min="1" max="1" width="9.140625" style="1007"/>
    <col min="2" max="2" width="29.85546875" style="1007" customWidth="1"/>
    <col min="3" max="3" width="5.7109375" style="1007" customWidth="1"/>
    <col min="4" max="4" width="7" style="1007" hidden="1" customWidth="1"/>
    <col min="5" max="6" width="5.85546875" style="67" hidden="1" customWidth="1"/>
    <col min="7" max="7" width="5.7109375" style="1007" hidden="1" customWidth="1"/>
    <col min="8" max="8" width="5.85546875" style="1007" hidden="1" customWidth="1"/>
    <col min="9" max="9" width="5.42578125" style="1007" hidden="1" customWidth="1"/>
    <col min="10" max="58" width="6.140625" style="1007" customWidth="1"/>
    <col min="59" max="16384" width="9.140625" style="1007"/>
  </cols>
  <sheetData>
    <row r="1" spans="1:58" s="65" customFormat="1" ht="16.5" customHeight="1">
      <c r="A1" s="999" t="s">
        <v>9</v>
      </c>
      <c r="B1" s="999"/>
      <c r="C1" s="999"/>
      <c r="D1" s="999"/>
      <c r="E1" s="999"/>
      <c r="F1" s="88"/>
      <c r="G1" s="999"/>
      <c r="H1" s="999"/>
      <c r="I1" s="999"/>
      <c r="J1" s="2673" t="s">
        <v>177</v>
      </c>
      <c r="K1" s="2674"/>
      <c r="L1" s="2674"/>
      <c r="M1" s="2674"/>
      <c r="N1" s="2674"/>
      <c r="O1" s="2674"/>
      <c r="P1" s="2674"/>
      <c r="Q1" s="2674"/>
      <c r="R1" s="2674"/>
      <c r="S1" s="2674"/>
      <c r="T1" s="2674"/>
      <c r="U1" s="2674"/>
      <c r="V1" s="2674"/>
      <c r="W1" s="2674"/>
      <c r="X1" s="2674"/>
      <c r="Y1" s="2674"/>
      <c r="Z1" s="2674"/>
      <c r="AA1" s="2674"/>
      <c r="AB1" s="2674"/>
      <c r="AC1" s="2674"/>
      <c r="AD1" s="2674"/>
      <c r="AE1" s="2674"/>
    </row>
    <row r="2" spans="1:58">
      <c r="J2" s="2673"/>
      <c r="K2" s="2674"/>
      <c r="L2" s="2674"/>
      <c r="M2" s="2674"/>
      <c r="N2" s="2674"/>
      <c r="O2" s="2674"/>
      <c r="P2" s="2674"/>
      <c r="Q2" s="2674"/>
      <c r="R2" s="2674"/>
      <c r="S2" s="2674"/>
      <c r="T2" s="2674"/>
      <c r="U2" s="2674"/>
      <c r="V2" s="2674"/>
      <c r="W2" s="2674"/>
      <c r="X2" s="2674"/>
      <c r="Y2" s="2674"/>
      <c r="Z2" s="2674"/>
      <c r="AA2" s="2674"/>
      <c r="AB2" s="2674"/>
      <c r="AC2" s="2674"/>
      <c r="AD2" s="2674"/>
      <c r="AE2" s="2674"/>
    </row>
    <row r="3" spans="1:58" ht="15.75" thickBot="1">
      <c r="B3" s="294" t="s">
        <v>178</v>
      </c>
      <c r="D3" s="1009"/>
      <c r="E3" s="767"/>
      <c r="F3" s="767"/>
      <c r="G3" s="1009"/>
      <c r="H3" s="768"/>
      <c r="J3" s="2674"/>
      <c r="K3" s="2674"/>
      <c r="L3" s="2674"/>
      <c r="M3" s="2674"/>
      <c r="N3" s="2674"/>
      <c r="O3" s="2674"/>
      <c r="P3" s="2674"/>
      <c r="Q3" s="2674"/>
      <c r="R3" s="2674"/>
      <c r="S3" s="2674"/>
      <c r="T3" s="2674"/>
      <c r="U3" s="2674"/>
      <c r="V3" s="2674"/>
      <c r="W3" s="2674"/>
      <c r="X3" s="2674"/>
      <c r="Y3" s="2674"/>
      <c r="Z3" s="2674"/>
      <c r="AA3" s="2674"/>
      <c r="AB3" s="2674"/>
      <c r="AC3" s="2674"/>
      <c r="AD3" s="2674"/>
      <c r="AE3" s="2674"/>
    </row>
    <row r="4" spans="1:58" ht="26.25" hidden="1" customHeight="1" thickBot="1">
      <c r="C4" s="295" t="s">
        <v>179</v>
      </c>
      <c r="D4" s="769"/>
      <c r="E4" s="770"/>
      <c r="F4" s="770"/>
      <c r="G4" s="769"/>
      <c r="H4" s="774">
        <v>350</v>
      </c>
    </row>
    <row r="5" spans="1:58">
      <c r="B5" s="296" t="s">
        <v>180</v>
      </c>
      <c r="C5" s="297">
        <v>95</v>
      </c>
      <c r="D5" s="771"/>
      <c r="E5" s="772"/>
      <c r="F5" s="772"/>
      <c r="G5" s="772"/>
      <c r="H5" s="299"/>
      <c r="I5" s="299"/>
      <c r="K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299"/>
      <c r="AE5" s="299"/>
      <c r="AF5" s="299"/>
      <c r="AG5" s="299"/>
      <c r="AH5" s="299"/>
      <c r="AI5" s="299"/>
      <c r="AJ5" s="299"/>
      <c r="AK5" s="299"/>
      <c r="AL5" s="299"/>
      <c r="AM5" s="299"/>
      <c r="AN5" s="299"/>
      <c r="AO5" s="299"/>
      <c r="AP5" s="299"/>
      <c r="AQ5" s="299"/>
      <c r="AR5" s="299"/>
      <c r="AS5" s="299"/>
      <c r="AT5" s="299"/>
      <c r="AU5" s="299"/>
      <c r="AV5" s="299"/>
      <c r="AW5" s="299"/>
      <c r="AX5" s="299"/>
      <c r="AY5" s="299"/>
      <c r="AZ5" s="299"/>
      <c r="BA5" s="299"/>
      <c r="BB5" s="299"/>
      <c r="BC5" s="299"/>
      <c r="BD5" s="299"/>
      <c r="BE5" s="299"/>
      <c r="BF5" s="299"/>
    </row>
    <row r="6" spans="1:58">
      <c r="B6" s="300" t="s">
        <v>181</v>
      </c>
      <c r="C6" s="301">
        <v>85</v>
      </c>
      <c r="D6" s="771"/>
      <c r="E6" s="772"/>
      <c r="F6" s="772"/>
      <c r="G6" s="772"/>
      <c r="H6" s="1009"/>
      <c r="J6" s="299"/>
      <c r="K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  <c r="AB6" s="299"/>
      <c r="AC6" s="299"/>
      <c r="AD6" s="299"/>
      <c r="AE6" s="299"/>
      <c r="AF6" s="299"/>
      <c r="AG6" s="299"/>
      <c r="AH6" s="299"/>
      <c r="AI6" s="299"/>
      <c r="AJ6" s="299"/>
      <c r="AK6" s="299"/>
      <c r="AL6" s="299"/>
      <c r="AM6" s="299"/>
      <c r="AN6" s="299"/>
      <c r="AO6" s="299"/>
      <c r="AP6" s="299"/>
      <c r="AQ6" s="299"/>
      <c r="AR6" s="299"/>
      <c r="AS6" s="299"/>
      <c r="AT6" s="299"/>
      <c r="AU6" s="299"/>
      <c r="AV6" s="299"/>
      <c r="AW6" s="299"/>
      <c r="AX6" s="299"/>
      <c r="AY6" s="299"/>
      <c r="AZ6" s="299"/>
      <c r="BA6" s="299"/>
      <c r="BB6" s="299"/>
      <c r="BC6" s="299"/>
      <c r="BD6" s="299"/>
      <c r="BE6" s="299"/>
      <c r="BF6" s="299"/>
    </row>
    <row r="7" spans="1:58">
      <c r="B7" s="300" t="s">
        <v>182</v>
      </c>
      <c r="C7" s="301">
        <v>20</v>
      </c>
      <c r="D7" s="771"/>
      <c r="E7" s="772"/>
      <c r="F7" s="772"/>
      <c r="G7" s="772"/>
      <c r="H7" s="1009"/>
      <c r="I7" s="299"/>
      <c r="J7" s="299"/>
      <c r="K7" s="299"/>
      <c r="M7" s="299"/>
      <c r="N7" s="299"/>
      <c r="O7" s="299"/>
      <c r="P7" s="299"/>
      <c r="Q7" s="299"/>
      <c r="R7" s="299"/>
      <c r="S7" s="299"/>
      <c r="T7" s="299"/>
      <c r="U7" s="299"/>
      <c r="V7" s="299"/>
      <c r="W7" s="299"/>
      <c r="X7" s="299"/>
      <c r="Y7" s="299"/>
      <c r="Z7" s="299"/>
      <c r="AA7" s="299"/>
      <c r="AB7" s="299"/>
      <c r="AC7" s="299"/>
      <c r="AD7" s="299"/>
      <c r="AE7" s="299"/>
      <c r="AF7" s="299"/>
      <c r="AG7" s="299"/>
      <c r="AH7" s="299"/>
      <c r="AI7" s="299"/>
      <c r="AJ7" s="299"/>
      <c r="AK7" s="299"/>
      <c r="AL7" s="299"/>
      <c r="AM7" s="299"/>
      <c r="AN7" s="299"/>
      <c r="AO7" s="299"/>
      <c r="AP7" s="299"/>
      <c r="AQ7" s="299"/>
      <c r="AR7" s="299"/>
      <c r="AS7" s="299"/>
      <c r="AT7" s="299"/>
      <c r="AU7" s="299"/>
      <c r="AV7" s="299"/>
      <c r="AW7" s="299"/>
      <c r="AX7" s="299"/>
      <c r="AY7" s="299"/>
      <c r="AZ7" s="299"/>
      <c r="BA7" s="299"/>
      <c r="BB7" s="299"/>
      <c r="BC7" s="299"/>
      <c r="BD7" s="299"/>
      <c r="BE7" s="299"/>
      <c r="BF7" s="299"/>
    </row>
    <row r="8" spans="1:58" ht="15.75" thickBot="1">
      <c r="B8" s="302" t="s">
        <v>183</v>
      </c>
      <c r="C8" s="303">
        <f>(C5+C6)/2-C7</f>
        <v>70</v>
      </c>
      <c r="D8" s="773"/>
      <c r="E8" s="773"/>
      <c r="F8" s="773"/>
      <c r="G8" s="773"/>
      <c r="H8" s="1009"/>
      <c r="I8" s="299"/>
      <c r="J8" s="299"/>
      <c r="K8" s="299"/>
      <c r="M8" s="299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  <c r="AA8" s="299"/>
      <c r="AB8" s="299"/>
      <c r="AC8" s="299"/>
      <c r="AD8" s="299"/>
      <c r="AE8" s="299"/>
      <c r="AF8" s="299"/>
      <c r="AG8" s="299"/>
      <c r="AH8" s="299"/>
      <c r="AI8" s="299"/>
      <c r="AJ8" s="299"/>
      <c r="AK8" s="299"/>
      <c r="AL8" s="299"/>
      <c r="AM8" s="299"/>
      <c r="AN8" s="299"/>
      <c r="AO8" s="299"/>
      <c r="AP8" s="299"/>
      <c r="AQ8" s="299"/>
      <c r="AR8" s="299"/>
      <c r="AS8" s="299"/>
      <c r="AT8" s="299"/>
      <c r="AU8" s="299"/>
      <c r="AV8" s="299"/>
      <c r="AW8" s="299"/>
      <c r="AX8" s="299"/>
      <c r="AY8" s="299"/>
      <c r="AZ8" s="299"/>
      <c r="BA8" s="299"/>
      <c r="BB8" s="299"/>
      <c r="BC8" s="299"/>
      <c r="BD8" s="299"/>
      <c r="BE8" s="299"/>
      <c r="BF8" s="299"/>
    </row>
    <row r="9" spans="1:58" ht="15.75" thickBot="1">
      <c r="B9" s="305"/>
      <c r="C9" s="304"/>
      <c r="D9" s="773"/>
      <c r="E9" s="773"/>
      <c r="F9" s="773"/>
      <c r="G9" s="773"/>
      <c r="H9" s="1009"/>
      <c r="I9" s="299"/>
      <c r="J9" s="299"/>
      <c r="K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  <c r="AA9" s="299"/>
      <c r="AB9" s="299"/>
      <c r="AC9" s="299"/>
      <c r="AD9" s="299"/>
      <c r="AE9" s="299"/>
      <c r="AF9" s="299"/>
      <c r="AG9" s="299"/>
      <c r="AH9" s="299"/>
      <c r="AI9" s="299"/>
      <c r="AJ9" s="299"/>
      <c r="AK9" s="299"/>
      <c r="AL9" s="299"/>
      <c r="AM9" s="299"/>
      <c r="AN9" s="299"/>
      <c r="AO9" s="299"/>
      <c r="AP9" s="299"/>
      <c r="AQ9" s="299"/>
      <c r="AR9" s="299"/>
      <c r="AS9" s="299"/>
      <c r="AT9" s="299"/>
      <c r="AU9" s="299"/>
      <c r="AV9" s="299"/>
      <c r="AW9" s="299"/>
      <c r="AX9" s="299"/>
      <c r="AY9" s="299"/>
      <c r="AZ9" s="299"/>
      <c r="BA9" s="299"/>
      <c r="BB9" s="299"/>
      <c r="BC9" s="299"/>
      <c r="BD9" s="299"/>
      <c r="BE9" s="299"/>
      <c r="BF9" s="299"/>
    </row>
    <row r="10" spans="1:58">
      <c r="B10" s="306" t="s">
        <v>184</v>
      </c>
      <c r="C10" s="297">
        <v>1000</v>
      </c>
      <c r="D10" s="771">
        <f>C10*(1+C11%)</f>
        <v>1050</v>
      </c>
      <c r="E10" s="772"/>
      <c r="F10" s="772"/>
      <c r="G10" s="772"/>
      <c r="H10" s="1009"/>
      <c r="K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  <c r="AA10" s="299"/>
      <c r="AB10" s="299"/>
      <c r="AC10" s="299"/>
      <c r="AD10" s="299"/>
      <c r="AE10" s="299"/>
      <c r="AF10" s="299"/>
      <c r="AG10" s="299"/>
      <c r="AH10" s="299"/>
      <c r="AI10" s="299"/>
      <c r="AJ10" s="299"/>
      <c r="AK10" s="299"/>
      <c r="AL10" s="299"/>
      <c r="AM10" s="299"/>
      <c r="AN10" s="299"/>
      <c r="AO10" s="299"/>
      <c r="AP10" s="299"/>
      <c r="AQ10" s="299"/>
      <c r="AR10" s="299"/>
      <c r="AS10" s="299"/>
      <c r="AT10" s="299"/>
      <c r="AU10" s="299"/>
      <c r="AV10" s="299"/>
      <c r="AW10" s="299"/>
      <c r="AX10" s="299"/>
      <c r="AY10" s="299"/>
      <c r="AZ10" s="299"/>
      <c r="BA10" s="299"/>
      <c r="BB10" s="299"/>
      <c r="BC10" s="299"/>
      <c r="BD10" s="299"/>
      <c r="BE10" s="299"/>
      <c r="BF10" s="299"/>
    </row>
    <row r="11" spans="1:58" ht="14.25" customHeight="1">
      <c r="B11" s="307" t="s">
        <v>185</v>
      </c>
      <c r="C11" s="301">
        <v>5</v>
      </c>
      <c r="D11" s="771">
        <f>C10*(1-C11%)</f>
        <v>950</v>
      </c>
      <c r="E11" s="772"/>
      <c r="F11" s="772"/>
      <c r="G11" s="772"/>
      <c r="H11" s="1009"/>
      <c r="J11" s="308">
        <f>C10*(C11/100+1)</f>
        <v>1050</v>
      </c>
      <c r="K11" s="299"/>
      <c r="M11" s="299"/>
      <c r="N11" s="299"/>
      <c r="O11" s="299"/>
      <c r="P11" s="299"/>
      <c r="Q11" s="299"/>
      <c r="R11" s="299"/>
      <c r="S11" s="299"/>
      <c r="T11" s="299"/>
      <c r="U11" s="299"/>
      <c r="V11" s="299"/>
      <c r="W11" s="299"/>
      <c r="X11" s="299"/>
      <c r="Y11" s="299"/>
      <c r="Z11" s="299"/>
      <c r="AA11" s="299"/>
      <c r="AB11" s="299"/>
      <c r="AC11" s="299"/>
      <c r="AD11" s="299"/>
      <c r="AE11" s="299"/>
      <c r="AF11" s="299"/>
      <c r="AG11" s="299"/>
      <c r="AH11" s="299"/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299"/>
      <c r="AU11" s="299"/>
      <c r="AV11" s="299"/>
      <c r="AW11" s="299"/>
      <c r="AX11" s="299"/>
      <c r="AY11" s="299"/>
      <c r="AZ11" s="299"/>
      <c r="BA11" s="299"/>
      <c r="BB11" s="299"/>
      <c r="BC11" s="299"/>
      <c r="BD11" s="299"/>
      <c r="BE11" s="299"/>
      <c r="BF11" s="299"/>
    </row>
    <row r="12" spans="1:58" ht="18" customHeight="1" thickBot="1">
      <c r="B12" s="302" t="s">
        <v>186</v>
      </c>
      <c r="C12" s="309">
        <v>4</v>
      </c>
      <c r="D12" s="771"/>
      <c r="E12" s="772"/>
      <c r="F12" s="772"/>
      <c r="G12" s="772"/>
      <c r="H12" s="1009"/>
      <c r="J12" s="308">
        <f>C10*ABS(C12/100-1)</f>
        <v>960</v>
      </c>
      <c r="K12" s="299"/>
      <c r="M12" s="299"/>
      <c r="N12" s="299"/>
      <c r="O12" s="299"/>
      <c r="P12" s="299"/>
      <c r="Q12" s="299"/>
      <c r="R12" s="299"/>
      <c r="S12" s="299"/>
      <c r="T12" s="299"/>
      <c r="U12" s="299"/>
      <c r="V12" s="299"/>
      <c r="W12" s="299"/>
      <c r="X12" s="299"/>
      <c r="Y12" s="299"/>
      <c r="Z12" s="299"/>
      <c r="AA12" s="299"/>
      <c r="AB12" s="299"/>
      <c r="AC12" s="299"/>
      <c r="AD12" s="299"/>
      <c r="AE12" s="299"/>
      <c r="AF12" s="299"/>
      <c r="AG12" s="299"/>
      <c r="AH12" s="299"/>
      <c r="AI12" s="299"/>
      <c r="AJ12" s="299"/>
      <c r="AK12" s="299"/>
      <c r="AL12" s="299"/>
      <c r="AM12" s="299"/>
      <c r="AN12" s="299"/>
      <c r="AO12" s="299"/>
      <c r="AP12" s="299"/>
      <c r="AQ12" s="299"/>
      <c r="AR12" s="299"/>
      <c r="AS12" s="299"/>
      <c r="AT12" s="299"/>
      <c r="AU12" s="299"/>
      <c r="AV12" s="299"/>
      <c r="AW12" s="299"/>
      <c r="AX12" s="299"/>
      <c r="AY12" s="299"/>
      <c r="AZ12" s="299"/>
      <c r="BA12" s="299"/>
      <c r="BB12" s="299"/>
      <c r="BC12" s="299"/>
      <c r="BD12" s="299"/>
      <c r="BE12" s="299"/>
      <c r="BF12" s="299"/>
    </row>
    <row r="13" spans="1:58" s="1177" customFormat="1" ht="18" customHeight="1">
      <c r="B13" s="305"/>
      <c r="C13" s="305"/>
      <c r="D13" s="305"/>
      <c r="E13" s="305"/>
      <c r="F13" s="305"/>
      <c r="G13" s="305"/>
      <c r="H13" s="1178"/>
      <c r="J13" s="308"/>
      <c r="K13" s="299"/>
      <c r="M13" s="299"/>
      <c r="N13" s="299"/>
      <c r="O13" s="299"/>
      <c r="P13" s="299"/>
      <c r="Q13" s="299"/>
      <c r="R13" s="299"/>
      <c r="S13" s="299"/>
      <c r="T13" s="299"/>
      <c r="U13" s="299"/>
      <c r="V13" s="299"/>
      <c r="W13" s="299"/>
      <c r="X13" s="299"/>
      <c r="Y13" s="299"/>
      <c r="Z13" s="299"/>
      <c r="AA13" s="299"/>
      <c r="AB13" s="299"/>
      <c r="AC13" s="299"/>
      <c r="AD13" s="299"/>
      <c r="AE13" s="299"/>
      <c r="AF13" s="299"/>
      <c r="AG13" s="299"/>
      <c r="AH13" s="299"/>
      <c r="AI13" s="299"/>
      <c r="AJ13" s="299"/>
      <c r="AK13" s="299"/>
      <c r="AL13" s="299"/>
      <c r="AM13" s="299"/>
      <c r="AN13" s="299"/>
      <c r="AO13" s="299"/>
      <c r="AP13" s="299"/>
      <c r="AQ13" s="299"/>
      <c r="AR13" s="299"/>
      <c r="AS13" s="299"/>
      <c r="AT13" s="299"/>
      <c r="AU13" s="299"/>
      <c r="AV13" s="299"/>
      <c r="AW13" s="299"/>
      <c r="AX13" s="299"/>
      <c r="AY13" s="299"/>
      <c r="AZ13" s="299"/>
      <c r="BA13" s="299"/>
      <c r="BB13" s="299"/>
      <c r="BC13" s="299"/>
      <c r="BD13" s="299"/>
      <c r="BE13" s="299"/>
      <c r="BF13" s="299"/>
    </row>
    <row r="14" spans="1:58" s="1177" customFormat="1" ht="18" customHeight="1">
      <c r="B14" s="305"/>
      <c r="C14" s="305"/>
      <c r="D14" s="305"/>
      <c r="E14" s="305"/>
      <c r="F14" s="305"/>
      <c r="G14" s="305"/>
      <c r="H14" s="1178"/>
      <c r="J14" s="308"/>
      <c r="K14" s="299"/>
      <c r="M14" s="299"/>
      <c r="N14" s="299"/>
      <c r="O14" s="299"/>
      <c r="P14" s="299"/>
      <c r="Q14" s="299"/>
      <c r="R14" s="299"/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299"/>
      <c r="AD14" s="299"/>
      <c r="AE14" s="299"/>
      <c r="AF14" s="299"/>
      <c r="AG14" s="299"/>
      <c r="AH14" s="299"/>
      <c r="AI14" s="299"/>
      <c r="AJ14" s="299"/>
      <c r="AK14" s="299"/>
      <c r="AL14" s="299"/>
      <c r="AM14" s="299"/>
      <c r="AN14" s="299"/>
      <c r="AO14" s="299"/>
      <c r="AP14" s="299"/>
      <c r="AQ14" s="299"/>
      <c r="AR14" s="299"/>
      <c r="AS14" s="299"/>
      <c r="AT14" s="299"/>
      <c r="AU14" s="299"/>
      <c r="AV14" s="299"/>
      <c r="AW14" s="299"/>
      <c r="AX14" s="299"/>
      <c r="AY14" s="299"/>
      <c r="AZ14" s="299"/>
      <c r="BA14" s="299"/>
      <c r="BB14" s="299"/>
      <c r="BC14" s="299"/>
      <c r="BD14" s="299"/>
      <c r="BE14" s="299"/>
      <c r="BF14" s="299"/>
    </row>
    <row r="15" spans="1:58" s="1177" customFormat="1" ht="18" customHeight="1">
      <c r="B15" s="305"/>
      <c r="C15" s="305"/>
      <c r="D15" s="305"/>
      <c r="E15" s="305"/>
      <c r="F15" s="305"/>
      <c r="G15" s="305"/>
      <c r="H15" s="1178"/>
      <c r="J15" s="308"/>
      <c r="K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  <c r="AA15" s="299"/>
      <c r="AB15" s="299"/>
      <c r="AC15" s="299"/>
      <c r="AD15" s="299"/>
      <c r="AE15" s="299"/>
      <c r="AF15" s="299"/>
      <c r="AG15" s="299"/>
      <c r="AH15" s="299"/>
      <c r="AI15" s="299"/>
      <c r="AJ15" s="299"/>
      <c r="AK15" s="299"/>
      <c r="AL15" s="299"/>
      <c r="AM15" s="299"/>
      <c r="AN15" s="299"/>
      <c r="AO15" s="299"/>
      <c r="AP15" s="299"/>
      <c r="AQ15" s="299"/>
      <c r="AR15" s="299"/>
      <c r="AS15" s="299"/>
      <c r="AT15" s="299"/>
      <c r="AU15" s="299"/>
      <c r="AV15" s="299"/>
      <c r="AW15" s="299"/>
      <c r="AX15" s="299"/>
      <c r="AY15" s="299"/>
      <c r="AZ15" s="299"/>
      <c r="BA15" s="299"/>
      <c r="BB15" s="299"/>
      <c r="BC15" s="299"/>
      <c r="BD15" s="299"/>
      <c r="BE15" s="299"/>
      <c r="BF15" s="299"/>
    </row>
    <row r="16" spans="1:58" s="1177" customFormat="1" ht="18" hidden="1" customHeight="1">
      <c r="B16" s="305"/>
      <c r="C16" s="1179"/>
      <c r="D16" s="771"/>
      <c r="E16" s="772"/>
      <c r="F16" s="772"/>
      <c r="G16" s="772"/>
      <c r="H16" s="1178"/>
      <c r="J16" s="308"/>
      <c r="K16" s="299"/>
      <c r="M16" s="299"/>
      <c r="N16" s="299"/>
      <c r="O16" s="299"/>
      <c r="P16" s="299"/>
      <c r="Q16" s="299"/>
      <c r="R16" s="299"/>
      <c r="S16" s="299"/>
      <c r="T16" s="299"/>
      <c r="U16" s="299"/>
      <c r="V16" s="299"/>
      <c r="W16" s="299"/>
      <c r="X16" s="299"/>
      <c r="Y16" s="299"/>
      <c r="Z16" s="299"/>
      <c r="AA16" s="299"/>
      <c r="AB16" s="299"/>
      <c r="AC16" s="299"/>
      <c r="AD16" s="299"/>
      <c r="AE16" s="299"/>
      <c r="AF16" s="299"/>
      <c r="AG16" s="299"/>
      <c r="AH16" s="299"/>
      <c r="AI16" s="299"/>
      <c r="AJ16" s="299"/>
      <c r="AK16" s="299"/>
      <c r="AL16" s="299"/>
      <c r="AM16" s="299"/>
      <c r="AN16" s="299"/>
      <c r="AO16" s="299"/>
      <c r="AP16" s="299"/>
      <c r="AQ16" s="299"/>
      <c r="AR16" s="299"/>
      <c r="AS16" s="299"/>
      <c r="AT16" s="299"/>
      <c r="AU16" s="299"/>
      <c r="AV16" s="299"/>
      <c r="AW16" s="299"/>
      <c r="AX16" s="299"/>
      <c r="AY16" s="299"/>
      <c r="AZ16" s="299"/>
      <c r="BA16" s="299"/>
      <c r="BB16" s="299"/>
      <c r="BC16" s="299"/>
      <c r="BD16" s="299"/>
      <c r="BE16" s="299"/>
      <c r="BF16" s="299"/>
    </row>
    <row r="17" spans="3:58" ht="16.5" hidden="1" customHeight="1" thickBot="1">
      <c r="C17" s="229"/>
      <c r="D17" s="229"/>
      <c r="E17" s="381"/>
      <c r="F17" s="381"/>
      <c r="G17" s="229"/>
      <c r="H17" s="299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AD17" s="299"/>
      <c r="AE17" s="299"/>
      <c r="AO17" s="299"/>
      <c r="AP17" s="299"/>
      <c r="AQ17" s="299"/>
      <c r="AR17" s="299"/>
      <c r="AS17" s="299"/>
      <c r="AT17" s="299"/>
      <c r="AU17" s="299"/>
      <c r="AV17" s="299"/>
      <c r="AW17" s="299"/>
      <c r="AX17" s="299"/>
      <c r="AY17" s="299"/>
      <c r="AZ17" s="299"/>
      <c r="BA17" s="299"/>
      <c r="BB17" s="299"/>
      <c r="BC17" s="299"/>
      <c r="BD17" s="299"/>
      <c r="BE17" s="299"/>
      <c r="BF17" s="299"/>
    </row>
    <row r="18" spans="3:58" ht="30.75" hidden="1" customHeight="1" thickBot="1">
      <c r="C18" s="229"/>
      <c r="D18" s="229"/>
      <c r="E18" s="381"/>
      <c r="F18" s="381"/>
      <c r="G18" s="229"/>
      <c r="H18" s="299"/>
      <c r="I18" s="299"/>
      <c r="J18" s="2670" t="s">
        <v>187</v>
      </c>
      <c r="K18" s="2671"/>
      <c r="L18" s="2671"/>
      <c r="M18" s="2671"/>
      <c r="N18" s="2671"/>
      <c r="O18" s="2671"/>
      <c r="P18" s="2671"/>
      <c r="Q18" s="2671"/>
      <c r="R18" s="2671"/>
      <c r="S18" s="2671"/>
      <c r="T18" s="2671"/>
      <c r="U18" s="2671"/>
      <c r="V18" s="2671"/>
      <c r="W18" s="2671"/>
      <c r="X18" s="2671"/>
      <c r="Y18" s="2671"/>
      <c r="Z18" s="2671"/>
      <c r="AA18" s="2671"/>
      <c r="AB18" s="2671"/>
      <c r="AC18" s="2671"/>
      <c r="AD18" s="2671"/>
      <c r="AE18" s="2671"/>
      <c r="AF18" s="2671"/>
      <c r="AG18" s="2671"/>
      <c r="AH18" s="2671"/>
      <c r="AI18" s="2671"/>
      <c r="AJ18" s="2671"/>
      <c r="AK18" s="2671"/>
      <c r="AL18" s="2671"/>
      <c r="AM18" s="2671"/>
      <c r="AN18" s="2671"/>
      <c r="AO18" s="2671"/>
      <c r="AP18" s="2671"/>
      <c r="AQ18" s="2671"/>
      <c r="AR18" s="2671"/>
      <c r="AS18" s="2671"/>
      <c r="AT18" s="2671"/>
      <c r="AU18" s="2671"/>
      <c r="AV18" s="2671"/>
      <c r="AW18" s="2671"/>
      <c r="AX18" s="2671"/>
      <c r="AY18" s="2671"/>
      <c r="AZ18" s="2672"/>
      <c r="BA18" s="299"/>
      <c r="BB18" s="299"/>
      <c r="BC18" s="299"/>
      <c r="BD18" s="299"/>
      <c r="BE18" s="299"/>
      <c r="BF18" s="299"/>
    </row>
    <row r="19" spans="3:58" ht="14.25" hidden="1" customHeight="1" thickBot="1">
      <c r="J19" s="2675" t="s">
        <v>188</v>
      </c>
      <c r="K19" s="2676"/>
      <c r="L19" s="2676"/>
      <c r="M19" s="2676"/>
      <c r="N19" s="2676"/>
      <c r="O19" s="2676"/>
      <c r="P19" s="2676"/>
      <c r="Q19" s="2676"/>
      <c r="R19" s="2676"/>
      <c r="S19" s="2677"/>
      <c r="T19" s="299"/>
      <c r="V19" s="2675" t="s">
        <v>189</v>
      </c>
      <c r="W19" s="2676"/>
      <c r="X19" s="2676"/>
      <c r="Y19" s="2676"/>
      <c r="Z19" s="2676"/>
      <c r="AA19" s="2676"/>
      <c r="AB19" s="2676"/>
      <c r="AC19" s="2676"/>
      <c r="AD19" s="2676"/>
      <c r="AE19" s="2677"/>
      <c r="AH19" s="2678" t="s">
        <v>188</v>
      </c>
      <c r="AI19" s="2679"/>
      <c r="AJ19" s="2679"/>
      <c r="AK19" s="2679"/>
      <c r="AL19" s="2679"/>
      <c r="AM19" s="2679"/>
      <c r="AN19" s="2679"/>
      <c r="AO19" s="2679"/>
      <c r="AP19" s="2680"/>
      <c r="AR19" s="310" t="s">
        <v>189</v>
      </c>
      <c r="AS19" s="310"/>
      <c r="AT19" s="310"/>
      <c r="AU19" s="310"/>
      <c r="AV19" s="310"/>
      <c r="AW19" s="310"/>
      <c r="AX19" s="310"/>
      <c r="AY19" s="310"/>
      <c r="AZ19" s="310"/>
      <c r="BA19" s="299"/>
      <c r="BB19" s="299"/>
      <c r="BC19" s="299"/>
      <c r="BD19" s="299"/>
      <c r="BE19" s="299"/>
      <c r="BF19" s="299"/>
    </row>
    <row r="20" spans="3:58" ht="14.25" hidden="1" customHeight="1" thickBot="1">
      <c r="J20" s="311" t="s">
        <v>1</v>
      </c>
      <c r="K20" s="2651">
        <v>160</v>
      </c>
      <c r="L20" s="2525">
        <v>200</v>
      </c>
      <c r="M20" s="2525">
        <v>260</v>
      </c>
      <c r="N20" s="2525">
        <v>300</v>
      </c>
      <c r="O20" s="2525"/>
      <c r="P20" s="2667">
        <v>360</v>
      </c>
      <c r="Q20" s="2668"/>
      <c r="R20" s="2525">
        <v>400</v>
      </c>
      <c r="S20" s="2527"/>
      <c r="T20" s="229"/>
      <c r="U20" s="299"/>
      <c r="V20" s="312" t="s">
        <v>1</v>
      </c>
      <c r="W20" s="2651">
        <v>160</v>
      </c>
      <c r="X20" s="2525">
        <v>200</v>
      </c>
      <c r="Y20" s="2525">
        <v>260</v>
      </c>
      <c r="Z20" s="2525">
        <v>300</v>
      </c>
      <c r="AA20" s="2525"/>
      <c r="AB20" s="2667">
        <v>360</v>
      </c>
      <c r="AC20" s="2668"/>
      <c r="AD20" s="2525">
        <v>400</v>
      </c>
      <c r="AE20" s="2527"/>
      <c r="AF20" s="299"/>
      <c r="AG20" s="299"/>
      <c r="AH20" s="313" t="s">
        <v>1</v>
      </c>
      <c r="AI20" s="2657">
        <v>160</v>
      </c>
      <c r="AJ20" s="314">
        <v>200</v>
      </c>
      <c r="AK20" s="2652">
        <v>260</v>
      </c>
      <c r="AL20" s="2650">
        <v>300</v>
      </c>
      <c r="AM20" s="2651"/>
      <c r="AN20" s="2652">
        <v>360</v>
      </c>
      <c r="AO20" s="2650">
        <v>400</v>
      </c>
      <c r="AP20" s="2651"/>
      <c r="AQ20" s="299"/>
      <c r="AR20" s="315" t="s">
        <v>1</v>
      </c>
      <c r="AS20" s="2657">
        <v>160</v>
      </c>
      <c r="AT20" s="314">
        <v>200</v>
      </c>
      <c r="AU20" s="2652">
        <v>260</v>
      </c>
      <c r="AV20" s="2650">
        <v>300</v>
      </c>
      <c r="AW20" s="2651"/>
      <c r="AX20" s="2652">
        <v>360</v>
      </c>
      <c r="AY20" s="2650">
        <v>400</v>
      </c>
      <c r="AZ20" s="2651"/>
      <c r="BA20" s="299"/>
      <c r="BB20" s="299"/>
      <c r="BC20" s="299"/>
      <c r="BD20" s="299"/>
      <c r="BE20" s="299"/>
      <c r="BF20" s="299"/>
    </row>
    <row r="21" spans="3:58" ht="18" hidden="1" customHeight="1" thickBot="1">
      <c r="J21" s="316" t="s">
        <v>0</v>
      </c>
      <c r="K21" s="2666"/>
      <c r="L21" s="2526"/>
      <c r="M21" s="2526"/>
      <c r="N21" s="1004">
        <v>1</v>
      </c>
      <c r="O21" s="1004">
        <v>2</v>
      </c>
      <c r="P21" s="512">
        <v>1</v>
      </c>
      <c r="Q21" s="1004">
        <v>2</v>
      </c>
      <c r="R21" s="1004">
        <v>1</v>
      </c>
      <c r="S21" s="513">
        <v>2</v>
      </c>
      <c r="T21" s="229"/>
      <c r="U21" s="299"/>
      <c r="V21" s="317" t="s">
        <v>0</v>
      </c>
      <c r="W21" s="2669"/>
      <c r="X21" s="2659"/>
      <c r="Y21" s="2659"/>
      <c r="Z21" s="1008">
        <v>1</v>
      </c>
      <c r="AA21" s="1008">
        <v>2</v>
      </c>
      <c r="AB21" s="1008">
        <v>1</v>
      </c>
      <c r="AC21" s="1008">
        <v>2</v>
      </c>
      <c r="AD21" s="1008">
        <v>1</v>
      </c>
      <c r="AE21" s="511">
        <v>2</v>
      </c>
      <c r="AF21" s="299"/>
      <c r="AG21" s="299"/>
      <c r="AH21" s="318" t="s">
        <v>0</v>
      </c>
      <c r="AI21" s="2658"/>
      <c r="AJ21" s="319"/>
      <c r="AK21" s="2653"/>
      <c r="AL21" s="315">
        <v>1</v>
      </c>
      <c r="AM21" s="315">
        <v>2</v>
      </c>
      <c r="AN21" s="2653"/>
      <c r="AO21" s="315">
        <v>1</v>
      </c>
      <c r="AP21" s="315">
        <v>2</v>
      </c>
      <c r="AQ21" s="299"/>
      <c r="AR21" s="315" t="s">
        <v>0</v>
      </c>
      <c r="AS21" s="2658"/>
      <c r="AT21" s="319"/>
      <c r="AU21" s="2653"/>
      <c r="AV21" s="315">
        <v>1</v>
      </c>
      <c r="AW21" s="315">
        <v>2</v>
      </c>
      <c r="AX21" s="2653"/>
      <c r="AY21" s="315">
        <v>1</v>
      </c>
      <c r="AZ21" s="315">
        <v>2</v>
      </c>
      <c r="BA21" s="299"/>
      <c r="BB21" s="299"/>
      <c r="BC21" s="299"/>
      <c r="BD21" s="299"/>
      <c r="BE21" s="299"/>
      <c r="BF21" s="299"/>
    </row>
    <row r="22" spans="3:58" ht="18" hidden="1" customHeight="1" thickBot="1">
      <c r="J22" s="516">
        <v>65</v>
      </c>
      <c r="K22" s="519">
        <f>K24*0.71</f>
        <v>182.38337999999999</v>
      </c>
      <c r="L22" s="519">
        <f t="shared" ref="L22:S23" si="0">L24*0.71</f>
        <v>202.64819999999997</v>
      </c>
      <c r="M22" s="519">
        <f t="shared" si="0"/>
        <v>261.01871999999997</v>
      </c>
      <c r="N22" s="519">
        <f t="shared" si="0"/>
        <v>280.43382555270722</v>
      </c>
      <c r="O22" s="519">
        <f t="shared" si="0"/>
        <v>375.5616</v>
      </c>
      <c r="P22" s="519"/>
      <c r="Q22" s="519">
        <f>Q24*0.71</f>
        <v>403.41262799999993</v>
      </c>
      <c r="R22" s="519">
        <f t="shared" si="0"/>
        <v>415.60485203260788</v>
      </c>
      <c r="S22" s="520">
        <f t="shared" si="0"/>
        <v>541.32671999999991</v>
      </c>
      <c r="T22" s="320"/>
      <c r="U22" s="299"/>
      <c r="V22" s="567">
        <v>65</v>
      </c>
      <c r="W22" s="475">
        <v>1.8</v>
      </c>
      <c r="X22" s="476">
        <v>1.75</v>
      </c>
      <c r="Y22" s="476">
        <v>1.7</v>
      </c>
      <c r="Z22" s="476">
        <v>1.65</v>
      </c>
      <c r="AA22" s="476">
        <v>1.65</v>
      </c>
      <c r="AB22" s="476"/>
      <c r="AC22" s="476">
        <v>1.6</v>
      </c>
      <c r="AD22" s="476">
        <v>1.55</v>
      </c>
      <c r="AE22" s="477">
        <v>1.55</v>
      </c>
      <c r="AF22" s="299"/>
      <c r="AG22" s="299"/>
      <c r="AH22" s="321">
        <v>55</v>
      </c>
      <c r="AI22" s="322">
        <f t="shared" ref="AI22:AP22" si="1">AI23*0.55</f>
        <v>115.85197800000002</v>
      </c>
      <c r="AJ22" s="322">
        <f t="shared" si="1"/>
        <v>128.72441999999998</v>
      </c>
      <c r="AK22" s="322">
        <f t="shared" si="1"/>
        <v>165.802032</v>
      </c>
      <c r="AL22" s="322">
        <f t="shared" si="1"/>
        <v>178.13472580883234</v>
      </c>
      <c r="AM22" s="322">
        <f t="shared" si="1"/>
        <v>238.56095999999999</v>
      </c>
      <c r="AN22" s="322">
        <f t="shared" si="1"/>
        <v>256.25224679999997</v>
      </c>
      <c r="AO22" s="322">
        <f t="shared" si="1"/>
        <v>263.99688488268475</v>
      </c>
      <c r="AP22" s="322">
        <f t="shared" si="1"/>
        <v>343.856832</v>
      </c>
      <c r="AQ22" s="299"/>
      <c r="AR22" s="315">
        <v>55</v>
      </c>
      <c r="AS22" s="323">
        <v>1.85</v>
      </c>
      <c r="AT22" s="323">
        <v>1.8</v>
      </c>
      <c r="AU22" s="323">
        <v>1.75</v>
      </c>
      <c r="AV22" s="323">
        <v>1.7</v>
      </c>
      <c r="AW22" s="323">
        <v>1.7</v>
      </c>
      <c r="AX22" s="323">
        <v>1.65</v>
      </c>
      <c r="AY22" s="323">
        <v>1.6</v>
      </c>
      <c r="AZ22" s="323">
        <v>1.6</v>
      </c>
      <c r="BA22" s="299"/>
      <c r="BB22" s="299"/>
      <c r="BC22" s="299"/>
      <c r="BD22" s="299"/>
      <c r="BE22" s="299"/>
      <c r="BF22" s="299"/>
    </row>
    <row r="23" spans="3:58" ht="14.25" hidden="1" customHeight="1" thickBot="1">
      <c r="J23" s="517">
        <v>70</v>
      </c>
      <c r="K23" s="521">
        <f>K25*0.71</f>
        <v>223.64202760739133</v>
      </c>
      <c r="L23" s="521">
        <f t="shared" si="0"/>
        <v>254.13866773567196</v>
      </c>
      <c r="M23" s="521">
        <f t="shared" si="0"/>
        <v>321.11084986879609</v>
      </c>
      <c r="N23" s="521">
        <f t="shared" si="0"/>
        <v>343.95352294051128</v>
      </c>
      <c r="O23" s="521">
        <f t="shared" si="0"/>
        <v>437.49764734670396</v>
      </c>
      <c r="P23" s="521"/>
      <c r="Q23" s="521">
        <f>Q25*0.71</f>
        <v>475.23930866570652</v>
      </c>
      <c r="R23" s="521">
        <f t="shared" si="0"/>
        <v>496.94875110427813</v>
      </c>
      <c r="S23" s="522">
        <f t="shared" si="0"/>
        <v>568.60214714941435</v>
      </c>
      <c r="T23" s="320"/>
      <c r="U23" s="299"/>
      <c r="V23" s="517">
        <v>70</v>
      </c>
      <c r="W23" s="478">
        <v>1.75</v>
      </c>
      <c r="X23" s="479">
        <v>1.7</v>
      </c>
      <c r="Y23" s="479">
        <v>1.65</v>
      </c>
      <c r="Z23" s="479">
        <v>1.6</v>
      </c>
      <c r="AA23" s="479">
        <v>1.6</v>
      </c>
      <c r="AB23" s="479"/>
      <c r="AC23" s="479">
        <v>1.55</v>
      </c>
      <c r="AD23" s="479">
        <v>1.5</v>
      </c>
      <c r="AE23" s="480">
        <v>1.5</v>
      </c>
      <c r="AF23" s="299"/>
      <c r="AG23" s="299"/>
      <c r="AH23" s="321">
        <v>75</v>
      </c>
      <c r="AI23" s="322">
        <v>210.63996</v>
      </c>
      <c r="AJ23" s="324">
        <v>234.04439999999997</v>
      </c>
      <c r="AK23" s="324">
        <v>301.45823999999999</v>
      </c>
      <c r="AL23" s="324">
        <v>323.88131965242241</v>
      </c>
      <c r="AM23" s="324">
        <v>433.74719999999996</v>
      </c>
      <c r="AN23" s="324">
        <v>465.91317599999985</v>
      </c>
      <c r="AO23" s="324">
        <v>479.99433615033593</v>
      </c>
      <c r="AP23" s="324">
        <v>625.19423999999992</v>
      </c>
      <c r="AR23" s="315">
        <v>75</v>
      </c>
      <c r="AS23" s="325">
        <v>1.7</v>
      </c>
      <c r="AT23" s="325">
        <v>1.65</v>
      </c>
      <c r="AU23" s="325">
        <v>1.6</v>
      </c>
      <c r="AV23" s="325">
        <v>1.55</v>
      </c>
      <c r="AW23" s="325">
        <v>1.55</v>
      </c>
      <c r="AX23" s="325">
        <v>1.5</v>
      </c>
      <c r="AY23" s="325">
        <v>1.45</v>
      </c>
      <c r="AZ23" s="325">
        <v>1.45</v>
      </c>
      <c r="BA23" s="299"/>
      <c r="BB23" s="299"/>
      <c r="BC23" s="299"/>
      <c r="BD23" s="299"/>
      <c r="BE23" s="299"/>
      <c r="BF23" s="299"/>
    </row>
    <row r="24" spans="3:58" ht="14.25" hidden="1" customHeight="1">
      <c r="J24" s="517">
        <v>75</v>
      </c>
      <c r="K24" s="326">
        <f>L24*0.9</f>
        <v>256.87799999999999</v>
      </c>
      <c r="L24" s="327">
        <f>L26*0.71</f>
        <v>285.41999999999996</v>
      </c>
      <c r="M24" s="327">
        <f>M26*0.69</f>
        <v>367.63199999999995</v>
      </c>
      <c r="N24" s="327">
        <f>N26*0.66</f>
        <v>394.97721908832006</v>
      </c>
      <c r="O24" s="327">
        <f>O26*0.76</f>
        <v>528.96</v>
      </c>
      <c r="P24" s="327"/>
      <c r="Q24" s="327">
        <f>Q26*0.74</f>
        <v>568.18679999999995</v>
      </c>
      <c r="R24" s="327">
        <f>R26*0.72</f>
        <v>585.35894652479988</v>
      </c>
      <c r="S24" s="328">
        <f>S26*0.76</f>
        <v>762.4319999999999</v>
      </c>
      <c r="T24" s="329"/>
      <c r="U24" s="299"/>
      <c r="V24" s="517">
        <v>75</v>
      </c>
      <c r="W24" s="481">
        <v>1.7</v>
      </c>
      <c r="X24" s="482">
        <v>1.65</v>
      </c>
      <c r="Y24" s="482">
        <v>1.6</v>
      </c>
      <c r="Z24" s="482">
        <v>1.55</v>
      </c>
      <c r="AA24" s="482">
        <v>1.55</v>
      </c>
      <c r="AB24" s="482"/>
      <c r="AC24" s="482">
        <v>1.5</v>
      </c>
      <c r="AD24" s="482">
        <v>1.45</v>
      </c>
      <c r="AE24" s="483">
        <v>1.45</v>
      </c>
      <c r="AF24" s="299"/>
      <c r="AG24" s="299"/>
      <c r="AQ24" s="299"/>
      <c r="BA24" s="299"/>
      <c r="BB24" s="299"/>
      <c r="BC24" s="299"/>
      <c r="BD24" s="299"/>
      <c r="BE24" s="299"/>
      <c r="BF24" s="299"/>
    </row>
    <row r="25" spans="3:58" ht="14.25" hidden="1" customHeight="1">
      <c r="J25" s="517">
        <v>80</v>
      </c>
      <c r="K25" s="330">
        <f>K27*0.71</f>
        <v>314.98877127801597</v>
      </c>
      <c r="L25" s="330">
        <f t="shared" ref="L25:S25" si="2">L27*0.71</f>
        <v>357.94178554319996</v>
      </c>
      <c r="M25" s="330">
        <f t="shared" si="2"/>
        <v>452.26880263210722</v>
      </c>
      <c r="N25" s="330">
        <f>N27*0.71</f>
        <v>484.44158160635391</v>
      </c>
      <c r="O25" s="330">
        <f t="shared" si="2"/>
        <v>616.19386950239993</v>
      </c>
      <c r="P25" s="330"/>
      <c r="Q25" s="330">
        <f>Q27*0.71</f>
        <v>669.35113896578389</v>
      </c>
      <c r="R25" s="330">
        <f t="shared" si="2"/>
        <v>699.92781845672982</v>
      </c>
      <c r="S25" s="331">
        <f t="shared" si="2"/>
        <v>800.84809457663994</v>
      </c>
      <c r="T25" s="332"/>
      <c r="U25" s="299"/>
      <c r="V25" s="517">
        <v>80</v>
      </c>
      <c r="W25" s="484">
        <v>1.65</v>
      </c>
      <c r="X25" s="485">
        <v>1.6</v>
      </c>
      <c r="Y25" s="485">
        <v>1.55</v>
      </c>
      <c r="Z25" s="485">
        <v>1.5</v>
      </c>
      <c r="AA25" s="485">
        <v>1.5</v>
      </c>
      <c r="AB25" s="485"/>
      <c r="AC25" s="485">
        <v>1.45</v>
      </c>
      <c r="AD25" s="485">
        <v>1.4</v>
      </c>
      <c r="AE25" s="486">
        <v>1.4</v>
      </c>
      <c r="AF25" s="299"/>
      <c r="AG25" s="299"/>
      <c r="AH25" s="299"/>
      <c r="AI25" s="299"/>
      <c r="AJ25" s="299"/>
      <c r="AK25" s="299"/>
      <c r="AL25" s="299"/>
      <c r="AM25" s="299"/>
      <c r="AN25" s="299"/>
      <c r="AO25" s="299"/>
      <c r="AP25" s="299"/>
      <c r="AQ25" s="299"/>
      <c r="AR25" s="299"/>
      <c r="AS25" s="299"/>
      <c r="AT25" s="299"/>
      <c r="AU25" s="299"/>
      <c r="AV25" s="299"/>
      <c r="AW25" s="299"/>
      <c r="AX25" s="299"/>
      <c r="AY25" s="299"/>
      <c r="AZ25" s="299"/>
      <c r="BA25" s="299"/>
      <c r="BB25" s="299"/>
      <c r="BC25" s="299"/>
      <c r="BD25" s="299"/>
      <c r="BE25" s="299"/>
      <c r="BF25" s="299"/>
    </row>
    <row r="26" spans="3:58" ht="14.25" hidden="1" customHeight="1">
      <c r="J26" s="517">
        <v>90</v>
      </c>
      <c r="K26" s="333">
        <f>L26*0.89</f>
        <v>357.78000000000003</v>
      </c>
      <c r="L26" s="335">
        <f>335*1.2</f>
        <v>402</v>
      </c>
      <c r="M26" s="334">
        <f>444*1.2</f>
        <v>532.79999999999995</v>
      </c>
      <c r="N26" s="334">
        <f>M26*1.12321759</f>
        <v>598.45033195200006</v>
      </c>
      <c r="O26" s="335">
        <f>580*1.2</f>
        <v>696</v>
      </c>
      <c r="P26" s="335"/>
      <c r="Q26" s="334">
        <f>L26*1.91</f>
        <v>767.81999999999994</v>
      </c>
      <c r="R26" s="334">
        <f>L26*2.02238442</f>
        <v>812.99853683999993</v>
      </c>
      <c r="S26" s="523">
        <f>836*1.2</f>
        <v>1003.1999999999999</v>
      </c>
      <c r="T26" s="336"/>
      <c r="U26" s="299"/>
      <c r="V26" s="517">
        <v>90</v>
      </c>
      <c r="W26" s="487">
        <v>1.6</v>
      </c>
      <c r="X26" s="488">
        <v>1.55</v>
      </c>
      <c r="Y26" s="488">
        <v>1.5</v>
      </c>
      <c r="Z26" s="488">
        <v>1.45</v>
      </c>
      <c r="AA26" s="488">
        <v>1.45</v>
      </c>
      <c r="AB26" s="488"/>
      <c r="AC26" s="488">
        <v>1.4</v>
      </c>
      <c r="AD26" s="488">
        <v>1.3</v>
      </c>
      <c r="AE26" s="489">
        <v>1.3</v>
      </c>
      <c r="AF26" s="299"/>
      <c r="AG26" s="299"/>
      <c r="AH26" s="299"/>
      <c r="AI26" s="299"/>
      <c r="AJ26" s="299"/>
      <c r="AK26" s="299"/>
      <c r="AL26" s="299"/>
      <c r="AM26" s="299"/>
      <c r="AN26" s="299"/>
      <c r="AO26" s="299"/>
      <c r="AP26" s="299"/>
      <c r="AQ26" s="299"/>
      <c r="AR26" s="299"/>
      <c r="AS26" s="299"/>
      <c r="AT26" s="299"/>
      <c r="AU26" s="299"/>
      <c r="AV26" s="299"/>
      <c r="AW26" s="299"/>
      <c r="AX26" s="299"/>
      <c r="AY26" s="299"/>
      <c r="AZ26" s="299"/>
      <c r="BA26" s="299"/>
      <c r="BB26" s="299"/>
      <c r="BC26" s="299"/>
      <c r="BD26" s="299"/>
      <c r="BE26" s="299"/>
      <c r="BF26" s="299"/>
    </row>
    <row r="27" spans="3:58" ht="15" hidden="1" customHeight="1">
      <c r="J27" s="517">
        <v>110</v>
      </c>
      <c r="K27" s="337">
        <f>L27*0.88</f>
        <v>443.64615672959997</v>
      </c>
      <c r="L27" s="338">
        <f>L26*1.25408796</f>
        <v>504.14335991999997</v>
      </c>
      <c r="M27" s="338">
        <f>L27*1.26352614</f>
        <v>636.9983135663482</v>
      </c>
      <c r="N27" s="338">
        <f>M27*1.07113641</f>
        <v>682.31208676951258</v>
      </c>
      <c r="O27" s="338">
        <f>O26*1.24695214</f>
        <v>867.87868944000002</v>
      </c>
      <c r="P27" s="338"/>
      <c r="Q27" s="338">
        <f>L27*1.87</f>
        <v>942.74808305039994</v>
      </c>
      <c r="R27" s="338">
        <f>L27*1.95542361</f>
        <v>985.81382881229558</v>
      </c>
      <c r="S27" s="339">
        <f>S26*1.12435712</f>
        <v>1127.9550627839999</v>
      </c>
      <c r="T27" s="329"/>
      <c r="U27" s="299"/>
      <c r="V27" s="517">
        <v>110</v>
      </c>
      <c r="W27" s="490">
        <v>1.5</v>
      </c>
      <c r="X27" s="491">
        <v>1.3</v>
      </c>
      <c r="Y27" s="491">
        <v>1.3</v>
      </c>
      <c r="Z27" s="491">
        <v>1.3</v>
      </c>
      <c r="AA27" s="491">
        <v>1.3</v>
      </c>
      <c r="AB27" s="491"/>
      <c r="AC27" s="491">
        <v>1.3</v>
      </c>
      <c r="AD27" s="491">
        <v>1.3</v>
      </c>
      <c r="AE27" s="492">
        <v>1.3</v>
      </c>
      <c r="AF27" s="299"/>
      <c r="AG27" s="299"/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  <c r="AR27" s="299"/>
      <c r="AS27" s="299"/>
      <c r="AT27" s="299"/>
      <c r="AU27" s="299"/>
      <c r="AV27" s="299"/>
      <c r="AW27" s="299"/>
      <c r="AX27" s="299"/>
      <c r="AY27" s="299"/>
      <c r="AZ27" s="299"/>
      <c r="BA27" s="299"/>
      <c r="BB27" s="299"/>
      <c r="BC27" s="299"/>
      <c r="BD27" s="299"/>
      <c r="BE27" s="299"/>
      <c r="BF27" s="299"/>
    </row>
    <row r="28" spans="3:58" ht="15" hidden="1" customHeight="1">
      <c r="J28" s="517">
        <v>140</v>
      </c>
      <c r="K28" s="364">
        <f>K29*0.965</f>
        <v>651.82661999999993</v>
      </c>
      <c r="L28" s="364">
        <f t="shared" ref="L28:S28" si="3">L29*0.965</f>
        <v>749.226</v>
      </c>
      <c r="M28" s="364">
        <f t="shared" si="3"/>
        <v>971.40305141459987</v>
      </c>
      <c r="N28" s="364">
        <f t="shared" si="3"/>
        <v>1068.5560799999998</v>
      </c>
      <c r="O28" s="364">
        <f t="shared" si="3"/>
        <v>1161.4739999999999</v>
      </c>
      <c r="P28" s="364">
        <f t="shared" si="3"/>
        <v>1113.6828024919505</v>
      </c>
      <c r="Q28" s="364">
        <f t="shared" si="3"/>
        <v>1223.8272554856599</v>
      </c>
      <c r="R28" s="364">
        <f t="shared" si="3"/>
        <v>1186.0236</v>
      </c>
      <c r="S28" s="364">
        <f t="shared" si="3"/>
        <v>1317.8039999999999</v>
      </c>
      <c r="T28" s="329"/>
      <c r="U28" s="299"/>
      <c r="V28" s="517">
        <v>140</v>
      </c>
      <c r="W28" s="542">
        <v>1.41</v>
      </c>
      <c r="X28" s="543">
        <v>1.34</v>
      </c>
      <c r="Y28" s="543">
        <v>1.3180000000000001</v>
      </c>
      <c r="Z28" s="543">
        <v>1.3</v>
      </c>
      <c r="AA28" s="543">
        <v>1.3</v>
      </c>
      <c r="AB28" s="543">
        <v>1.28</v>
      </c>
      <c r="AC28" s="543">
        <v>1.28</v>
      </c>
      <c r="AD28" s="543">
        <v>1.25</v>
      </c>
      <c r="AE28" s="544">
        <v>1.25</v>
      </c>
      <c r="AF28" s="299"/>
      <c r="AG28" s="299"/>
      <c r="AH28" s="299"/>
      <c r="AI28" s="299"/>
      <c r="AJ28" s="299"/>
      <c r="AK28" s="299"/>
      <c r="AL28" s="299"/>
      <c r="AM28" s="299"/>
      <c r="AN28" s="299"/>
      <c r="AO28" s="299"/>
      <c r="AP28" s="299"/>
      <c r="AQ28" s="299"/>
      <c r="AR28" s="299"/>
      <c r="AS28" s="299"/>
      <c r="AT28" s="299"/>
      <c r="AU28" s="299"/>
      <c r="AV28" s="299"/>
      <c r="AW28" s="299"/>
      <c r="AX28" s="299"/>
      <c r="AY28" s="299"/>
      <c r="AZ28" s="299"/>
      <c r="BA28" s="299"/>
      <c r="BB28" s="299"/>
      <c r="BC28" s="299"/>
      <c r="BD28" s="299"/>
      <c r="BE28" s="299"/>
      <c r="BF28" s="299"/>
    </row>
    <row r="29" spans="3:58" ht="15" hidden="1" customHeight="1">
      <c r="J29" s="517">
        <v>150</v>
      </c>
      <c r="K29" s="340">
        <f>L29*0.87</f>
        <v>675.46799999999996</v>
      </c>
      <c r="L29" s="343">
        <f>1.2*647</f>
        <v>776.4</v>
      </c>
      <c r="M29" s="341">
        <f>L29*1.2965421</f>
        <v>1006.63528644</v>
      </c>
      <c r="N29" s="342">
        <f>O29*0.92</f>
        <v>1107.3119999999999</v>
      </c>
      <c r="O29" s="343">
        <f>1003*1.2</f>
        <v>1203.5999999999999</v>
      </c>
      <c r="P29" s="342">
        <f>Q29*0.91</f>
        <v>1154.0754429968399</v>
      </c>
      <c r="Q29" s="342">
        <f>O29*1.05368459</f>
        <v>1268.214772524</v>
      </c>
      <c r="R29" s="342">
        <f>S29*0.9</f>
        <v>1229.04</v>
      </c>
      <c r="S29" s="344">
        <f>1138*1.2</f>
        <v>1365.6</v>
      </c>
      <c r="T29" s="345"/>
      <c r="U29" s="299"/>
      <c r="V29" s="517">
        <v>150</v>
      </c>
      <c r="W29" s="493">
        <v>1.4</v>
      </c>
      <c r="X29" s="494">
        <v>1.35</v>
      </c>
      <c r="Y29" s="494">
        <v>1.32</v>
      </c>
      <c r="Z29" s="494">
        <v>1.3</v>
      </c>
      <c r="AA29" s="494">
        <v>1.3</v>
      </c>
      <c r="AB29" s="494">
        <v>1.28</v>
      </c>
      <c r="AC29" s="494">
        <v>1.28</v>
      </c>
      <c r="AD29" s="494">
        <v>1.25</v>
      </c>
      <c r="AE29" s="495">
        <v>1.25</v>
      </c>
      <c r="AF29" s="299"/>
      <c r="AG29" s="299"/>
      <c r="AH29" s="299"/>
      <c r="AI29" s="299"/>
      <c r="AJ29" s="299"/>
      <c r="AK29" s="299"/>
      <c r="AL29" s="299"/>
      <c r="AM29" s="299"/>
      <c r="AN29" s="299"/>
      <c r="AO29" s="299"/>
      <c r="AP29" s="299"/>
      <c r="AQ29" s="299"/>
      <c r="AR29" s="299"/>
      <c r="AS29" s="299"/>
      <c r="AT29" s="299"/>
      <c r="AU29" s="299"/>
      <c r="AV29" s="299"/>
      <c r="AW29" s="299"/>
      <c r="AX29" s="299"/>
      <c r="AY29" s="299"/>
      <c r="AZ29" s="299"/>
      <c r="BA29" s="299"/>
      <c r="BB29" s="299"/>
      <c r="BC29" s="299"/>
      <c r="BD29" s="299"/>
      <c r="BE29" s="299"/>
      <c r="BF29" s="299"/>
    </row>
    <row r="30" spans="3:58" ht="15" hidden="1" customHeight="1">
      <c r="J30" s="517">
        <v>200</v>
      </c>
      <c r="K30" s="524"/>
      <c r="L30" s="346">
        <f>L29*1.15</f>
        <v>892.8599999999999</v>
      </c>
      <c r="M30" s="346">
        <f>M29*1.032</f>
        <v>1038.8476156060799</v>
      </c>
      <c r="N30" s="346">
        <f>M30*1.07113641</f>
        <v>1112.7475055173563</v>
      </c>
      <c r="O30" s="346"/>
      <c r="P30" s="346"/>
      <c r="Q30" s="346">
        <f>1874/1268*Q29</f>
        <v>1874.3174161750599</v>
      </c>
      <c r="R30" s="346"/>
      <c r="S30" s="347"/>
      <c r="T30" s="329"/>
      <c r="U30" s="299"/>
      <c r="V30" s="517">
        <v>200</v>
      </c>
      <c r="W30" s="496">
        <v>1.3</v>
      </c>
      <c r="X30" s="497">
        <v>1.25</v>
      </c>
      <c r="Y30" s="497">
        <v>1.3</v>
      </c>
      <c r="Z30" s="497">
        <v>1.28</v>
      </c>
      <c r="AA30" s="497"/>
      <c r="AB30" s="497"/>
      <c r="AC30" s="497">
        <v>1.26</v>
      </c>
      <c r="AD30" s="497"/>
      <c r="AE30" s="498"/>
      <c r="AF30" s="299"/>
      <c r="AG30" s="299"/>
      <c r="AH30" s="299"/>
      <c r="AI30" s="299">
        <v>856.83302508671989</v>
      </c>
      <c r="AJ30" s="299">
        <v>973.67389214399986</v>
      </c>
      <c r="AK30" s="299">
        <v>1230.2624145594843</v>
      </c>
      <c r="AL30" s="299">
        <v>1317.7788660891779</v>
      </c>
      <c r="AM30" s="299">
        <v>1500.8315957039999</v>
      </c>
      <c r="AN30" s="299">
        <v>1820.7701783092798</v>
      </c>
      <c r="AO30" s="299">
        <v>1903.9449171389708</v>
      </c>
      <c r="AP30" s="299">
        <v>1535.4220830719999</v>
      </c>
      <c r="AQ30" s="299"/>
      <c r="AR30" s="299"/>
      <c r="AS30" s="299"/>
      <c r="AT30" s="299"/>
      <c r="AU30" s="299"/>
      <c r="AV30" s="299"/>
      <c r="AW30" s="299"/>
      <c r="AX30" s="299"/>
      <c r="AY30" s="299"/>
      <c r="AZ30" s="299"/>
      <c r="BA30" s="299"/>
      <c r="BB30" s="299"/>
      <c r="BC30" s="299"/>
      <c r="BD30" s="299"/>
      <c r="BE30" s="299"/>
      <c r="BF30" s="299"/>
    </row>
    <row r="31" spans="3:58" ht="15" hidden="1" customHeight="1">
      <c r="J31" s="517">
        <v>300</v>
      </c>
      <c r="K31" s="525"/>
      <c r="L31" s="348"/>
      <c r="M31" s="348">
        <f>1194/1039*M30</f>
        <v>1193.8248826117992</v>
      </c>
      <c r="N31" s="348">
        <f>M31*1.07113641</f>
        <v>1278.7492989294742</v>
      </c>
      <c r="O31" s="348"/>
      <c r="P31" s="348"/>
      <c r="Q31" s="348">
        <f>2148/1874*Q30</f>
        <v>2148.3638260106877</v>
      </c>
      <c r="R31" s="348"/>
      <c r="S31" s="349"/>
      <c r="T31" s="329"/>
      <c r="U31" s="299"/>
      <c r="V31" s="517">
        <v>300</v>
      </c>
      <c r="W31" s="499">
        <v>1.2</v>
      </c>
      <c r="X31" s="500"/>
      <c r="Y31" s="500">
        <v>1.28</v>
      </c>
      <c r="Z31" s="500">
        <v>1.26</v>
      </c>
      <c r="AA31" s="500"/>
      <c r="AB31" s="500"/>
      <c r="AC31" s="500">
        <v>1.24</v>
      </c>
      <c r="AD31" s="500"/>
      <c r="AE31" s="501"/>
      <c r="AF31" s="299"/>
      <c r="AG31" s="299"/>
      <c r="AH31" s="299"/>
      <c r="AI31" s="299">
        <v>1074.5439804916334</v>
      </c>
      <c r="AJ31" s="299">
        <v>1221.0727051041288</v>
      </c>
      <c r="AK31" s="299">
        <v>1542.8572817395782</v>
      </c>
      <c r="AL31" s="299">
        <v>1652.6106099048905</v>
      </c>
      <c r="AM31" s="299">
        <v>1871.4651700427178</v>
      </c>
      <c r="AN31" s="299">
        <v>2283.4059585447208</v>
      </c>
      <c r="AO31" s="299">
        <v>2387.7143970871807</v>
      </c>
      <c r="AP31" s="299">
        <v>1726.3627513072345</v>
      </c>
      <c r="AQ31" s="299"/>
      <c r="AR31" s="299"/>
      <c r="AS31" s="299"/>
      <c r="AT31" s="299"/>
      <c r="AU31" s="299"/>
      <c r="AV31" s="299"/>
      <c r="AW31" s="299"/>
      <c r="AX31" s="299"/>
      <c r="AY31" s="299"/>
      <c r="AZ31" s="299"/>
      <c r="BA31" s="299"/>
      <c r="BB31" s="299"/>
      <c r="BC31" s="299"/>
      <c r="BD31" s="299"/>
      <c r="BE31" s="299"/>
      <c r="BF31" s="299"/>
    </row>
    <row r="32" spans="3:58" ht="15" hidden="1" customHeight="1">
      <c r="J32" s="517">
        <v>400</v>
      </c>
      <c r="K32" s="526"/>
      <c r="L32" s="350"/>
      <c r="M32" s="351">
        <f>1396/1194*M31</f>
        <v>1395.7952563869949</v>
      </c>
      <c r="N32" s="352">
        <f>M32*1.07113641</f>
        <v>1495.0871200213953</v>
      </c>
      <c r="O32" s="351"/>
      <c r="P32" s="351"/>
      <c r="Q32" s="351">
        <f>2516/2148*Q31</f>
        <v>2516.4261574687571</v>
      </c>
      <c r="R32" s="350"/>
      <c r="S32" s="353"/>
      <c r="T32" s="354"/>
      <c r="U32" s="299"/>
      <c r="V32" s="517">
        <v>400</v>
      </c>
      <c r="W32" s="502">
        <v>1.1000000000000001</v>
      </c>
      <c r="X32" s="503"/>
      <c r="Y32" s="503">
        <v>1.27</v>
      </c>
      <c r="Z32" s="503">
        <v>1.25</v>
      </c>
      <c r="AA32" s="503"/>
      <c r="AB32" s="503"/>
      <c r="AC32" s="503">
        <v>1.22</v>
      </c>
      <c r="AD32" s="503"/>
      <c r="AE32" s="504"/>
      <c r="AF32" s="299"/>
      <c r="AG32" s="299"/>
      <c r="AH32" s="299"/>
      <c r="AI32" s="299">
        <v>1347.5726684250321</v>
      </c>
      <c r="AJ32" s="299">
        <v>1531.3325777557184</v>
      </c>
      <c r="AK32" s="299">
        <v>1934.8787410279326</v>
      </c>
      <c r="AL32" s="299">
        <v>2072.5190684499794</v>
      </c>
      <c r="AM32" s="299">
        <v>2333.627498720231</v>
      </c>
      <c r="AN32" s="299">
        <v>2863.5919204031934</v>
      </c>
      <c r="AO32" s="299">
        <v>2994.4038773056923</v>
      </c>
      <c r="AP32" s="299">
        <v>1941.0482511350783</v>
      </c>
      <c r="AQ32" s="299"/>
      <c r="AR32" s="299"/>
      <c r="AS32" s="299"/>
      <c r="AT32" s="299"/>
      <c r="AU32" s="299"/>
      <c r="AV32" s="299"/>
      <c r="AW32" s="299"/>
      <c r="AX32" s="299"/>
      <c r="AY32" s="299"/>
      <c r="AZ32" s="299"/>
      <c r="BA32" s="299"/>
      <c r="BB32" s="299"/>
      <c r="BC32" s="299"/>
      <c r="BD32" s="299"/>
      <c r="BE32" s="299"/>
      <c r="BF32" s="299"/>
    </row>
    <row r="33" spans="10:58" ht="15" hidden="1" customHeight="1">
      <c r="J33" s="517">
        <v>500</v>
      </c>
      <c r="K33" s="527"/>
      <c r="L33" s="355"/>
      <c r="M33" s="355">
        <f>1606/1396*M32</f>
        <v>1605.7644568463566</v>
      </c>
      <c r="N33" s="355">
        <f>M33*1.07113641</f>
        <v>1719.9927756120064</v>
      </c>
      <c r="O33" s="355"/>
      <c r="P33" s="355"/>
      <c r="Q33" s="355">
        <f>2891/2516*Q32</f>
        <v>2891.4896745795618</v>
      </c>
      <c r="R33" s="355"/>
      <c r="S33" s="356"/>
      <c r="T33" s="329"/>
      <c r="U33" s="299"/>
      <c r="V33" s="517">
        <v>500</v>
      </c>
      <c r="W33" s="505">
        <v>1</v>
      </c>
      <c r="X33" s="506"/>
      <c r="Y33" s="506">
        <v>1.26</v>
      </c>
      <c r="Z33" s="506">
        <v>1.24</v>
      </c>
      <c r="AA33" s="506"/>
      <c r="AB33" s="506"/>
      <c r="AC33" s="506">
        <v>1.2</v>
      </c>
      <c r="AD33" s="506"/>
      <c r="AE33" s="507"/>
      <c r="AF33" s="299"/>
      <c r="AG33" s="299"/>
      <c r="AH33" s="299"/>
      <c r="AI33" s="299">
        <v>1689.974658696905</v>
      </c>
      <c r="AJ33" s="299">
        <v>1920.4257485192102</v>
      </c>
      <c r="AK33" s="299">
        <v>2426.5081331830884</v>
      </c>
      <c r="AL33" s="299">
        <v>2599.1212106135354</v>
      </c>
      <c r="AM33" s="299">
        <v>2909.9218034920395</v>
      </c>
      <c r="AN33" s="299">
        <v>3591.196149730923</v>
      </c>
      <c r="AO33" s="299">
        <v>3755.245849906386</v>
      </c>
      <c r="AP33" s="299">
        <v>2182.4314214272736</v>
      </c>
      <c r="AQ33" s="299"/>
      <c r="AR33" s="299"/>
      <c r="AS33" s="299"/>
      <c r="AT33" s="299"/>
      <c r="AU33" s="299"/>
      <c r="AV33" s="299"/>
      <c r="AW33" s="299"/>
      <c r="AX33" s="299"/>
      <c r="AY33" s="299"/>
      <c r="AZ33" s="299"/>
      <c r="BA33" s="299"/>
      <c r="BB33" s="299"/>
      <c r="BC33" s="299"/>
      <c r="BD33" s="299"/>
      <c r="BE33" s="299"/>
      <c r="BF33" s="299"/>
    </row>
    <row r="34" spans="10:58" ht="15" hidden="1" customHeight="1" thickBot="1">
      <c r="J34" s="518">
        <v>600</v>
      </c>
      <c r="K34" s="528"/>
      <c r="L34" s="357"/>
      <c r="M34" s="357">
        <f>1814/1606*M33</f>
        <v>1813.7339506346768</v>
      </c>
      <c r="N34" s="357">
        <f>M34*1.07113641</f>
        <v>1942.756472577945</v>
      </c>
      <c r="O34" s="357"/>
      <c r="P34" s="357"/>
      <c r="Q34" s="357">
        <f>3296</f>
        <v>3296</v>
      </c>
      <c r="R34" s="357"/>
      <c r="S34" s="358"/>
      <c r="T34" s="329"/>
      <c r="U34" s="299"/>
      <c r="V34" s="518">
        <v>600</v>
      </c>
      <c r="W34" s="508">
        <v>0.9</v>
      </c>
      <c r="X34" s="509"/>
      <c r="Y34" s="509">
        <v>1.25</v>
      </c>
      <c r="Z34" s="509">
        <v>1.23</v>
      </c>
      <c r="AA34" s="509"/>
      <c r="AB34" s="509"/>
      <c r="AC34" s="509">
        <v>1.18</v>
      </c>
      <c r="AD34" s="509"/>
      <c r="AE34" s="510"/>
      <c r="AF34" s="299"/>
      <c r="AG34" s="299"/>
      <c r="AH34" s="299"/>
      <c r="AI34" s="299">
        <v>2119.3768721768975</v>
      </c>
      <c r="AJ34" s="299">
        <v>2408.3828092919289</v>
      </c>
      <c r="AK34" s="299">
        <v>3043.0546346669871</v>
      </c>
      <c r="AL34" s="299">
        <v>3259.5266168110584</v>
      </c>
      <c r="AM34" s="299">
        <v>3628.5332200970583</v>
      </c>
      <c r="AN34" s="299">
        <v>4503.6758533759075</v>
      </c>
      <c r="AO34" s="299">
        <v>4709.4086072075652</v>
      </c>
      <c r="AP34" s="299">
        <v>2453.8323075934754</v>
      </c>
      <c r="AQ34" s="299"/>
      <c r="AR34" s="299"/>
      <c r="AS34" s="299"/>
      <c r="AT34" s="299"/>
      <c r="AU34" s="299"/>
      <c r="AV34" s="299"/>
      <c r="AW34" s="299"/>
      <c r="AX34" s="299"/>
      <c r="AY34" s="299"/>
      <c r="AZ34" s="299"/>
      <c r="BA34" s="299"/>
      <c r="BB34" s="299"/>
      <c r="BC34" s="299"/>
      <c r="BD34" s="299"/>
      <c r="BE34" s="299"/>
      <c r="BF34" s="299"/>
    </row>
    <row r="35" spans="10:58" ht="15" hidden="1" customHeight="1" thickBot="1">
      <c r="J35" s="229"/>
      <c r="K35" s="359"/>
      <c r="L35" s="329"/>
      <c r="M35" s="329"/>
      <c r="N35" s="329"/>
      <c r="O35" s="329"/>
      <c r="P35" s="329"/>
      <c r="Q35" s="329"/>
      <c r="R35" s="329"/>
      <c r="S35" s="329"/>
      <c r="T35" s="329"/>
      <c r="U35" s="299"/>
      <c r="V35" s="229"/>
      <c r="W35" s="133"/>
      <c r="X35" s="133"/>
      <c r="Y35" s="133"/>
      <c r="Z35" s="133"/>
      <c r="AA35" s="133"/>
      <c r="AB35" s="133"/>
      <c r="AC35" s="133"/>
      <c r="AD35" s="133"/>
      <c r="AE35" s="133"/>
      <c r="AF35" s="299"/>
      <c r="AG35" s="299"/>
      <c r="AH35" s="299"/>
      <c r="AI35" s="299"/>
      <c r="AJ35" s="299"/>
      <c r="AK35" s="299"/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299"/>
      <c r="AW35" s="299"/>
      <c r="AX35" s="299"/>
      <c r="AY35" s="299"/>
      <c r="AZ35" s="299"/>
      <c r="BA35" s="299"/>
      <c r="BB35" s="299"/>
      <c r="BC35" s="299"/>
      <c r="BD35" s="299"/>
      <c r="BE35" s="299"/>
      <c r="BF35" s="299"/>
    </row>
    <row r="36" spans="10:58" ht="32.25" hidden="1" customHeight="1" thickBot="1">
      <c r="J36" s="2670" t="s">
        <v>190</v>
      </c>
      <c r="K36" s="2671"/>
      <c r="L36" s="2671"/>
      <c r="M36" s="2671"/>
      <c r="N36" s="2671"/>
      <c r="O36" s="2671"/>
      <c r="P36" s="2671"/>
      <c r="Q36" s="2671"/>
      <c r="R36" s="2671"/>
      <c r="S36" s="2671"/>
      <c r="T36" s="2671"/>
      <c r="U36" s="2671"/>
      <c r="V36" s="2671"/>
      <c r="W36" s="2671"/>
      <c r="X36" s="2671"/>
      <c r="Y36" s="2671"/>
      <c r="Z36" s="2671"/>
      <c r="AA36" s="2671"/>
      <c r="AB36" s="2671"/>
      <c r="AC36" s="2671"/>
      <c r="AD36" s="2671"/>
      <c r="AE36" s="2671"/>
      <c r="AF36" s="2671"/>
      <c r="AG36" s="2671"/>
      <c r="AH36" s="2671"/>
      <c r="AI36" s="2671"/>
      <c r="AJ36" s="2671"/>
      <c r="AK36" s="2671"/>
      <c r="AL36" s="2671"/>
      <c r="AM36" s="2671"/>
      <c r="AN36" s="2671"/>
      <c r="AO36" s="2671"/>
      <c r="AP36" s="2671"/>
      <c r="AQ36" s="2671"/>
      <c r="AR36" s="2671"/>
      <c r="AS36" s="2671"/>
      <c r="AT36" s="2671"/>
      <c r="AU36" s="2671"/>
      <c r="AV36" s="2671"/>
      <c r="AW36" s="2671"/>
      <c r="AX36" s="2671"/>
      <c r="AY36" s="2671"/>
      <c r="AZ36" s="2672"/>
      <c r="BA36" s="299"/>
      <c r="BB36" s="299"/>
      <c r="BC36" s="299"/>
      <c r="BD36" s="299"/>
      <c r="BE36" s="299"/>
      <c r="BF36" s="299"/>
    </row>
    <row r="37" spans="10:58" ht="15" hidden="1" customHeight="1" thickBot="1">
      <c r="J37" s="2660" t="s">
        <v>188</v>
      </c>
      <c r="K37" s="2661"/>
      <c r="L37" s="2661"/>
      <c r="M37" s="2661"/>
      <c r="N37" s="2661"/>
      <c r="O37" s="2661"/>
      <c r="P37" s="2661"/>
      <c r="Q37" s="2661"/>
      <c r="R37" s="2661"/>
      <c r="S37" s="2662"/>
      <c r="T37" s="299"/>
      <c r="V37" s="2660" t="s">
        <v>189</v>
      </c>
      <c r="W37" s="2661"/>
      <c r="X37" s="2661"/>
      <c r="Y37" s="2661"/>
      <c r="Z37" s="2661"/>
      <c r="AA37" s="2661"/>
      <c r="AB37" s="2661"/>
      <c r="AC37" s="2661"/>
      <c r="AD37" s="2661"/>
      <c r="AE37" s="2662"/>
      <c r="AH37" s="2663" t="s">
        <v>188</v>
      </c>
      <c r="AI37" s="2664"/>
      <c r="AJ37" s="2664"/>
      <c r="AK37" s="2664"/>
      <c r="AL37" s="2664"/>
      <c r="AM37" s="2664"/>
      <c r="AN37" s="2664"/>
      <c r="AO37" s="2664"/>
      <c r="AP37" s="2665"/>
      <c r="AR37" s="315" t="s">
        <v>189</v>
      </c>
      <c r="AS37" s="315"/>
      <c r="AT37" s="315"/>
      <c r="AU37" s="315"/>
      <c r="AV37" s="315"/>
      <c r="AW37" s="315"/>
      <c r="AX37" s="315"/>
      <c r="AY37" s="315"/>
      <c r="AZ37" s="315"/>
      <c r="BA37" s="299"/>
      <c r="BB37" s="299"/>
      <c r="BC37" s="299"/>
      <c r="BD37" s="299"/>
      <c r="BE37" s="299"/>
      <c r="BF37" s="299"/>
    </row>
    <row r="38" spans="10:58" ht="15" hidden="1" customHeight="1" thickBot="1">
      <c r="J38" s="561" t="s">
        <v>1</v>
      </c>
      <c r="K38" s="2651">
        <v>160</v>
      </c>
      <c r="L38" s="2525">
        <v>200</v>
      </c>
      <c r="M38" s="2525">
        <v>260</v>
      </c>
      <c r="N38" s="2525">
        <v>300</v>
      </c>
      <c r="O38" s="2525"/>
      <c r="P38" s="2667">
        <v>360</v>
      </c>
      <c r="Q38" s="2668"/>
      <c r="R38" s="2525">
        <v>400</v>
      </c>
      <c r="S38" s="2527"/>
      <c r="T38" s="430"/>
      <c r="U38" s="380"/>
      <c r="V38" s="514" t="s">
        <v>1</v>
      </c>
      <c r="W38" s="2651">
        <v>160</v>
      </c>
      <c r="X38" s="2525">
        <v>200</v>
      </c>
      <c r="Y38" s="2525">
        <v>260</v>
      </c>
      <c r="Z38" s="2525">
        <v>300</v>
      </c>
      <c r="AA38" s="2525"/>
      <c r="AB38" s="2667">
        <v>360</v>
      </c>
      <c r="AC38" s="2668"/>
      <c r="AD38" s="2525">
        <v>400</v>
      </c>
      <c r="AE38" s="2527"/>
      <c r="AF38" s="299"/>
      <c r="AG38" s="299"/>
      <c r="AH38" s="313" t="s">
        <v>1</v>
      </c>
      <c r="AI38" s="2657">
        <v>160</v>
      </c>
      <c r="AJ38" s="314">
        <v>200</v>
      </c>
      <c r="AK38" s="2652">
        <v>260</v>
      </c>
      <c r="AL38" s="2650">
        <v>300</v>
      </c>
      <c r="AM38" s="2651"/>
      <c r="AN38" s="2652">
        <v>360</v>
      </c>
      <c r="AO38" s="2650">
        <v>400</v>
      </c>
      <c r="AP38" s="2651"/>
      <c r="AQ38" s="299"/>
      <c r="AR38" s="315" t="s">
        <v>1</v>
      </c>
      <c r="AS38" s="2657">
        <v>160</v>
      </c>
      <c r="AT38" s="314">
        <v>200</v>
      </c>
      <c r="AU38" s="2652">
        <v>260</v>
      </c>
      <c r="AV38" s="2650">
        <v>300</v>
      </c>
      <c r="AW38" s="2651"/>
      <c r="AX38" s="2652">
        <v>360</v>
      </c>
      <c r="AY38" s="2650">
        <v>400</v>
      </c>
      <c r="AZ38" s="2651"/>
      <c r="BA38" s="299"/>
      <c r="BB38" s="299"/>
      <c r="BC38" s="299"/>
      <c r="BD38" s="299"/>
      <c r="BE38" s="299"/>
      <c r="BF38" s="299"/>
    </row>
    <row r="39" spans="10:58" ht="15" hidden="1" customHeight="1" thickBot="1">
      <c r="J39" s="562" t="s">
        <v>0</v>
      </c>
      <c r="K39" s="2666"/>
      <c r="L39" s="2526"/>
      <c r="M39" s="2526"/>
      <c r="N39" s="1004">
        <v>1</v>
      </c>
      <c r="O39" s="1004">
        <v>2</v>
      </c>
      <c r="P39" s="512">
        <v>1</v>
      </c>
      <c r="Q39" s="1004">
        <v>2</v>
      </c>
      <c r="R39" s="1004">
        <v>1</v>
      </c>
      <c r="S39" s="513">
        <v>2</v>
      </c>
      <c r="T39" s="430"/>
      <c r="U39" s="380"/>
      <c r="V39" s="515" t="s">
        <v>0</v>
      </c>
      <c r="W39" s="2669"/>
      <c r="X39" s="2659"/>
      <c r="Y39" s="2659"/>
      <c r="Z39" s="1008">
        <v>1</v>
      </c>
      <c r="AA39" s="1008">
        <v>2</v>
      </c>
      <c r="AB39" s="1008">
        <v>1</v>
      </c>
      <c r="AC39" s="1008">
        <v>2</v>
      </c>
      <c r="AD39" s="1008">
        <v>1</v>
      </c>
      <c r="AE39" s="511">
        <v>2</v>
      </c>
      <c r="AF39" s="299"/>
      <c r="AG39" s="299"/>
      <c r="AH39" s="318" t="s">
        <v>0</v>
      </c>
      <c r="AI39" s="2658"/>
      <c r="AJ39" s="319"/>
      <c r="AK39" s="2653"/>
      <c r="AL39" s="315">
        <v>1</v>
      </c>
      <c r="AM39" s="315">
        <v>2</v>
      </c>
      <c r="AN39" s="2653"/>
      <c r="AO39" s="315">
        <v>1</v>
      </c>
      <c r="AP39" s="315">
        <v>2</v>
      </c>
      <c r="AQ39" s="299"/>
      <c r="AR39" s="315" t="s">
        <v>0</v>
      </c>
      <c r="AS39" s="2658"/>
      <c r="AT39" s="319"/>
      <c r="AU39" s="2653"/>
      <c r="AV39" s="315">
        <v>1</v>
      </c>
      <c r="AW39" s="315">
        <v>2</v>
      </c>
      <c r="AX39" s="2653"/>
      <c r="AY39" s="315">
        <v>1</v>
      </c>
      <c r="AZ39" s="315">
        <v>2</v>
      </c>
      <c r="BA39" s="299"/>
      <c r="BB39" s="299"/>
      <c r="BC39" s="299"/>
      <c r="BD39" s="299"/>
      <c r="BE39" s="299"/>
      <c r="BF39" s="299"/>
    </row>
    <row r="40" spans="10:58" ht="15" hidden="1" customHeight="1" thickBot="1">
      <c r="J40" s="563">
        <v>65</v>
      </c>
      <c r="K40" s="564"/>
      <c r="L40" s="564"/>
      <c r="M40" s="564"/>
      <c r="N40" s="564"/>
      <c r="O40" s="564"/>
      <c r="P40" s="564"/>
      <c r="Q40" s="564"/>
      <c r="R40" s="564"/>
      <c r="S40" s="565"/>
      <c r="T40" s="529"/>
      <c r="U40" s="380"/>
      <c r="V40" s="567">
        <v>65</v>
      </c>
      <c r="W40" s="530"/>
      <c r="X40" s="531"/>
      <c r="Y40" s="531"/>
      <c r="Z40" s="531"/>
      <c r="AA40" s="531"/>
      <c r="AB40" s="531"/>
      <c r="AC40" s="531"/>
      <c r="AD40" s="531"/>
      <c r="AE40" s="532"/>
      <c r="AF40" s="299"/>
      <c r="AG40" s="299"/>
      <c r="AH40" s="321">
        <v>55</v>
      </c>
      <c r="AI40" s="322">
        <f t="shared" ref="AI40:AP40" si="4">AI41*0.55</f>
        <v>115.85197800000002</v>
      </c>
      <c r="AJ40" s="322">
        <f t="shared" si="4"/>
        <v>128.72441999999998</v>
      </c>
      <c r="AK40" s="322">
        <f t="shared" si="4"/>
        <v>165.802032</v>
      </c>
      <c r="AL40" s="322">
        <f t="shared" si="4"/>
        <v>178.13472580883234</v>
      </c>
      <c r="AM40" s="322">
        <f t="shared" si="4"/>
        <v>238.56095999999999</v>
      </c>
      <c r="AN40" s="322">
        <f t="shared" si="4"/>
        <v>256.25224679999997</v>
      </c>
      <c r="AO40" s="322">
        <f t="shared" si="4"/>
        <v>263.99688488268475</v>
      </c>
      <c r="AP40" s="322">
        <f t="shared" si="4"/>
        <v>343.856832</v>
      </c>
      <c r="AQ40" s="299"/>
      <c r="AR40" s="315">
        <v>55</v>
      </c>
      <c r="AS40" s="323">
        <v>1.85</v>
      </c>
      <c r="AT40" s="323">
        <v>1.8</v>
      </c>
      <c r="AU40" s="323">
        <v>1.75</v>
      </c>
      <c r="AV40" s="323">
        <v>1.7</v>
      </c>
      <c r="AW40" s="323">
        <v>1.7</v>
      </c>
      <c r="AX40" s="323">
        <v>1.65</v>
      </c>
      <c r="AY40" s="323">
        <v>1.6</v>
      </c>
      <c r="AZ40" s="323">
        <v>1.6</v>
      </c>
      <c r="BA40" s="299"/>
      <c r="BB40" s="299"/>
      <c r="BC40" s="299"/>
      <c r="BD40" s="299"/>
      <c r="BE40" s="299"/>
      <c r="BF40" s="299"/>
    </row>
    <row r="41" spans="10:58" ht="15" hidden="1" customHeight="1" thickBot="1">
      <c r="J41" s="516">
        <v>70</v>
      </c>
      <c r="K41" s="360"/>
      <c r="L41" s="360"/>
      <c r="M41" s="360"/>
      <c r="N41" s="360"/>
      <c r="O41" s="360"/>
      <c r="P41" s="360"/>
      <c r="Q41" s="360"/>
      <c r="R41" s="360"/>
      <c r="S41" s="363"/>
      <c r="T41" s="529"/>
      <c r="U41" s="380"/>
      <c r="V41" s="517">
        <v>70</v>
      </c>
      <c r="W41" s="533"/>
      <c r="X41" s="534"/>
      <c r="Y41" s="534"/>
      <c r="Z41" s="534"/>
      <c r="AA41" s="534"/>
      <c r="AB41" s="534"/>
      <c r="AC41" s="534"/>
      <c r="AD41" s="534"/>
      <c r="AE41" s="535"/>
      <c r="AF41" s="299"/>
      <c r="AG41" s="299"/>
      <c r="AH41" s="321">
        <v>75</v>
      </c>
      <c r="AI41" s="322">
        <v>210.63996</v>
      </c>
      <c r="AJ41" s="324">
        <v>234.04439999999997</v>
      </c>
      <c r="AK41" s="324">
        <v>301.45823999999999</v>
      </c>
      <c r="AL41" s="324">
        <v>323.88131965242241</v>
      </c>
      <c r="AM41" s="324">
        <v>433.74719999999996</v>
      </c>
      <c r="AN41" s="324">
        <v>465.91317599999985</v>
      </c>
      <c r="AO41" s="324">
        <v>479.99433615033593</v>
      </c>
      <c r="AP41" s="324">
        <v>625.19423999999992</v>
      </c>
      <c r="AR41" s="315">
        <v>75</v>
      </c>
      <c r="AS41" s="325">
        <v>1.7</v>
      </c>
      <c r="AT41" s="325">
        <v>1.65</v>
      </c>
      <c r="AU41" s="325">
        <v>1.6</v>
      </c>
      <c r="AV41" s="325">
        <v>1.55</v>
      </c>
      <c r="AW41" s="325">
        <v>1.55</v>
      </c>
      <c r="AX41" s="325">
        <v>1.5</v>
      </c>
      <c r="AY41" s="325">
        <v>1.45</v>
      </c>
      <c r="AZ41" s="325">
        <v>1.45</v>
      </c>
      <c r="BA41" s="299"/>
      <c r="BB41" s="299"/>
      <c r="BC41" s="299"/>
      <c r="BD41" s="299"/>
      <c r="BE41" s="299"/>
      <c r="BF41" s="299"/>
    </row>
    <row r="42" spans="10:58" ht="15" hidden="1" customHeight="1">
      <c r="J42" s="517">
        <v>75</v>
      </c>
      <c r="K42" s="360"/>
      <c r="L42" s="361"/>
      <c r="M42" s="361"/>
      <c r="N42" s="361"/>
      <c r="O42" s="361"/>
      <c r="P42" s="361"/>
      <c r="Q42" s="361"/>
      <c r="R42" s="361"/>
      <c r="S42" s="362"/>
      <c r="T42" s="536"/>
      <c r="U42" s="380"/>
      <c r="V42" s="517">
        <v>75</v>
      </c>
      <c r="W42" s="537"/>
      <c r="X42" s="538"/>
      <c r="Y42" s="538"/>
      <c r="Z42" s="538"/>
      <c r="AA42" s="538"/>
      <c r="AB42" s="538"/>
      <c r="AC42" s="538"/>
      <c r="AD42" s="538"/>
      <c r="AE42" s="539"/>
      <c r="AF42" s="299"/>
      <c r="AG42" s="299"/>
      <c r="AQ42" s="299"/>
      <c r="BA42" s="299"/>
      <c r="BB42" s="299"/>
      <c r="BC42" s="299"/>
      <c r="BD42" s="299"/>
      <c r="BE42" s="299"/>
      <c r="BF42" s="299"/>
    </row>
    <row r="43" spans="10:58" ht="15" hidden="1" customHeight="1">
      <c r="J43" s="517">
        <v>80</v>
      </c>
      <c r="K43" s="360"/>
      <c r="L43" s="360"/>
      <c r="M43" s="360"/>
      <c r="N43" s="360"/>
      <c r="O43" s="360"/>
      <c r="P43" s="360"/>
      <c r="Q43" s="360"/>
      <c r="R43" s="360"/>
      <c r="S43" s="363"/>
      <c r="T43" s="529"/>
      <c r="U43" s="380"/>
      <c r="V43" s="517">
        <v>80</v>
      </c>
      <c r="W43" s="540"/>
      <c r="X43" s="538"/>
      <c r="Y43" s="538"/>
      <c r="Z43" s="538"/>
      <c r="AA43" s="538"/>
      <c r="AB43" s="538"/>
      <c r="AC43" s="538"/>
      <c r="AD43" s="538"/>
      <c r="AE43" s="539"/>
      <c r="AF43" s="299"/>
      <c r="AG43" s="299"/>
      <c r="AH43" s="299"/>
      <c r="AI43" s="299"/>
      <c r="AJ43" s="299"/>
      <c r="AK43" s="299"/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299"/>
      <c r="AY43" s="299"/>
      <c r="AZ43" s="299"/>
      <c r="BA43" s="299"/>
      <c r="BB43" s="299"/>
      <c r="BC43" s="299"/>
      <c r="BD43" s="299"/>
      <c r="BE43" s="299"/>
      <c r="BF43" s="299"/>
    </row>
    <row r="44" spans="10:58" ht="14.25" hidden="1" customHeight="1">
      <c r="J44" s="517">
        <v>90</v>
      </c>
      <c r="K44" s="364"/>
      <c r="L44" s="366">
        <f>335*1.2*1.2</f>
        <v>482.4</v>
      </c>
      <c r="M44" s="365">
        <f>444*1.2*1.2</f>
        <v>639.3599999999999</v>
      </c>
      <c r="N44" s="365">
        <f>M44*1.12321759</f>
        <v>718.14039834239998</v>
      </c>
      <c r="O44" s="366">
        <f>580*1.2*1.2</f>
        <v>835.19999999999993</v>
      </c>
      <c r="P44" s="365">
        <f>Q44*0.91</f>
        <v>838.45943999999997</v>
      </c>
      <c r="Q44" s="365">
        <f>L44*1.91</f>
        <v>921.3839999999999</v>
      </c>
      <c r="R44" s="365">
        <f>L44*2.02238442</f>
        <v>975.59824420799987</v>
      </c>
      <c r="S44" s="560">
        <f>836*1.2*1.2</f>
        <v>1203.8399999999999</v>
      </c>
      <c r="T44" s="541"/>
      <c r="U44" s="380"/>
      <c r="V44" s="517">
        <v>90</v>
      </c>
      <c r="W44" s="542"/>
      <c r="X44" s="543">
        <v>1.55</v>
      </c>
      <c r="Y44" s="543">
        <v>1.5</v>
      </c>
      <c r="Z44" s="543">
        <v>1.45</v>
      </c>
      <c r="AA44" s="543">
        <v>1.45</v>
      </c>
      <c r="AB44" s="543">
        <v>1.4</v>
      </c>
      <c r="AC44" s="543">
        <v>1.4</v>
      </c>
      <c r="AD44" s="543">
        <v>1.3</v>
      </c>
      <c r="AE44" s="544">
        <v>1.3</v>
      </c>
      <c r="AF44" s="299"/>
      <c r="AG44" s="299"/>
      <c r="AH44" s="299"/>
      <c r="AI44" s="299"/>
      <c r="AJ44" s="299"/>
      <c r="AK44" s="299"/>
      <c r="AL44" s="299"/>
      <c r="AM44" s="299"/>
      <c r="AN44" s="299"/>
      <c r="AO44" s="299"/>
      <c r="AP44" s="299"/>
      <c r="AQ44" s="299"/>
      <c r="AR44" s="299"/>
      <c r="AS44" s="299"/>
      <c r="AT44" s="299"/>
      <c r="AU44" s="299"/>
      <c r="AV44" s="299"/>
      <c r="AW44" s="299"/>
      <c r="AX44" s="299"/>
      <c r="AY44" s="299"/>
      <c r="AZ44" s="299"/>
      <c r="BA44" s="299"/>
      <c r="BB44" s="299"/>
      <c r="BC44" s="299"/>
      <c r="BD44" s="299"/>
      <c r="BE44" s="299"/>
      <c r="BF44" s="299"/>
    </row>
    <row r="45" spans="10:58" ht="14.25" hidden="1" customHeight="1">
      <c r="J45" s="517">
        <v>110</v>
      </c>
      <c r="K45" s="367"/>
      <c r="L45" s="368">
        <f>L44*1.25408796</f>
        <v>604.97203190399989</v>
      </c>
      <c r="M45" s="368">
        <f>L45*1.26352614</f>
        <v>764.39797627961786</v>
      </c>
      <c r="N45" s="368">
        <f>M45*1.07113641</f>
        <v>818.77450412341511</v>
      </c>
      <c r="O45" s="368">
        <f>O44*1.24695214</f>
        <v>1041.4544273280001</v>
      </c>
      <c r="P45" s="368">
        <f>Q45*0.91</f>
        <v>1029.4809066910366</v>
      </c>
      <c r="Q45" s="368">
        <f>L45*1.87</f>
        <v>1131.2976996604798</v>
      </c>
      <c r="R45" s="368">
        <f>L45*1.95542361</f>
        <v>1182.9765945747547</v>
      </c>
      <c r="S45" s="369">
        <f>S44*1.12435712</f>
        <v>1353.5460753407999</v>
      </c>
      <c r="T45" s="536"/>
      <c r="U45" s="380"/>
      <c r="V45" s="517">
        <v>110</v>
      </c>
      <c r="W45" s="545"/>
      <c r="X45" s="546">
        <v>1.3</v>
      </c>
      <c r="Y45" s="546">
        <v>1.3</v>
      </c>
      <c r="Z45" s="546">
        <v>1.3</v>
      </c>
      <c r="AA45" s="546">
        <v>1.3</v>
      </c>
      <c r="AB45" s="546">
        <v>1.3</v>
      </c>
      <c r="AC45" s="546">
        <v>1.3</v>
      </c>
      <c r="AD45" s="546">
        <v>1.3</v>
      </c>
      <c r="AE45" s="547">
        <v>1.3</v>
      </c>
      <c r="AF45" s="299"/>
      <c r="AG45" s="299"/>
      <c r="AH45" s="299"/>
      <c r="AI45" s="299"/>
      <c r="AJ45" s="299"/>
      <c r="AK45" s="299"/>
      <c r="AL45" s="299"/>
      <c r="AM45" s="299"/>
      <c r="AN45" s="299"/>
      <c r="AO45" s="299"/>
      <c r="AP45" s="299"/>
      <c r="AQ45" s="299"/>
      <c r="AR45" s="299"/>
      <c r="AS45" s="299"/>
      <c r="AT45" s="299"/>
      <c r="AU45" s="299"/>
      <c r="AV45" s="299"/>
      <c r="AW45" s="299"/>
      <c r="AX45" s="299"/>
      <c r="AY45" s="299"/>
      <c r="AZ45" s="299"/>
      <c r="BA45" s="299"/>
      <c r="BB45" s="299"/>
      <c r="BC45" s="299"/>
      <c r="BD45" s="299"/>
      <c r="BE45" s="299"/>
      <c r="BF45" s="299"/>
    </row>
    <row r="46" spans="10:58" ht="14.25" hidden="1" customHeight="1">
      <c r="J46" s="517">
        <v>150</v>
      </c>
      <c r="K46" s="370">
        <f>L46*0.87</f>
        <v>675.46799999999996</v>
      </c>
      <c r="L46" s="373">
        <f>1.2*647</f>
        <v>776.4</v>
      </c>
      <c r="M46" s="371">
        <f>L46*1.2965421</f>
        <v>1006.63528644</v>
      </c>
      <c r="N46" s="372">
        <f>O46*0.92</f>
        <v>1107.3119999999999</v>
      </c>
      <c r="O46" s="373">
        <f>1003*1.2</f>
        <v>1203.5999999999999</v>
      </c>
      <c r="P46" s="372">
        <f>Q46*0.91</f>
        <v>1154.0754429968399</v>
      </c>
      <c r="Q46" s="372">
        <f>O46*1.05368459</f>
        <v>1268.214772524</v>
      </c>
      <c r="R46" s="372">
        <f>S46*0.9</f>
        <v>1229.04</v>
      </c>
      <c r="S46" s="374">
        <f>1138*1.2</f>
        <v>1365.6</v>
      </c>
      <c r="T46" s="541"/>
      <c r="U46" s="380"/>
      <c r="V46" s="517">
        <v>150</v>
      </c>
      <c r="W46" s="548"/>
      <c r="X46" s="549">
        <v>1.35</v>
      </c>
      <c r="Y46" s="549">
        <v>1.32</v>
      </c>
      <c r="Z46" s="549">
        <v>1.3</v>
      </c>
      <c r="AA46" s="549">
        <v>1.3</v>
      </c>
      <c r="AB46" s="549">
        <v>1.28</v>
      </c>
      <c r="AC46" s="549">
        <v>1.28</v>
      </c>
      <c r="AD46" s="549">
        <v>1.25</v>
      </c>
      <c r="AE46" s="550">
        <v>1.25</v>
      </c>
      <c r="AF46" s="299"/>
      <c r="AG46" s="299"/>
      <c r="AH46" s="299"/>
      <c r="AI46" s="299"/>
      <c r="AJ46" s="299"/>
      <c r="AK46" s="299"/>
      <c r="AL46" s="299"/>
      <c r="AM46" s="299"/>
      <c r="AN46" s="299"/>
      <c r="AO46" s="299"/>
      <c r="AP46" s="299"/>
      <c r="AQ46" s="299"/>
      <c r="AR46" s="299"/>
      <c r="AS46" s="299"/>
      <c r="AT46" s="299"/>
      <c r="AU46" s="299"/>
      <c r="AV46" s="299"/>
      <c r="AW46" s="299"/>
      <c r="AX46" s="299"/>
      <c r="AY46" s="299"/>
      <c r="AZ46" s="299"/>
      <c r="BA46" s="299"/>
      <c r="BB46" s="299"/>
      <c r="BC46" s="299"/>
      <c r="BD46" s="299"/>
      <c r="BE46" s="299"/>
      <c r="BF46" s="299"/>
    </row>
    <row r="47" spans="10:58" ht="14.25" hidden="1" customHeight="1">
      <c r="J47" s="517">
        <v>200</v>
      </c>
      <c r="K47" s="375">
        <f>K46*1.032</f>
        <v>697.08297600000003</v>
      </c>
      <c r="L47" s="375">
        <f>M47*0.93</f>
        <v>1383.5836828969723</v>
      </c>
      <c r="M47" s="375">
        <f>1874/1268*M46</f>
        <v>1487.724390211798</v>
      </c>
      <c r="N47" s="375">
        <f>M47*1.07113641</f>
        <v>1593.5557624009045</v>
      </c>
      <c r="O47" s="375">
        <f>1874/1268*O46</f>
        <v>1778.8220820189272</v>
      </c>
      <c r="P47" s="375">
        <f>N47*1.07</f>
        <v>1705.1046657689681</v>
      </c>
      <c r="Q47" s="375">
        <f>1874/1268*Q46</f>
        <v>1874.3174161750599</v>
      </c>
      <c r="R47" s="375">
        <f>1874/1268*R46</f>
        <v>1816.4203154574132</v>
      </c>
      <c r="S47" s="375"/>
      <c r="T47" s="536"/>
      <c r="U47" s="380"/>
      <c r="V47" s="517">
        <v>200</v>
      </c>
      <c r="W47" s="551"/>
      <c r="X47" s="552">
        <v>1.25</v>
      </c>
      <c r="Y47" s="552">
        <v>1.3</v>
      </c>
      <c r="Z47" s="552">
        <v>1.28</v>
      </c>
      <c r="AA47" s="552">
        <v>1.27</v>
      </c>
      <c r="AB47" s="552">
        <v>1.26</v>
      </c>
      <c r="AC47" s="552">
        <v>1.26</v>
      </c>
      <c r="AD47" s="552">
        <v>1.25</v>
      </c>
      <c r="AE47" s="553">
        <v>1.25</v>
      </c>
      <c r="AF47" s="299"/>
      <c r="AG47" s="299"/>
      <c r="AH47" s="299"/>
      <c r="AI47" s="299">
        <v>856.83302508671989</v>
      </c>
      <c r="AJ47" s="299">
        <v>973.67389214399986</v>
      </c>
      <c r="AK47" s="299">
        <v>1230.2624145594843</v>
      </c>
      <c r="AL47" s="299">
        <v>1317.7788660891779</v>
      </c>
      <c r="AM47" s="299">
        <v>1500.8315957039999</v>
      </c>
      <c r="AN47" s="299">
        <v>1820.7701783092798</v>
      </c>
      <c r="AO47" s="299">
        <v>1903.9449171389708</v>
      </c>
      <c r="AP47" s="299">
        <v>1535.4220830719999</v>
      </c>
      <c r="AQ47" s="299"/>
      <c r="AR47" s="299"/>
      <c r="AS47" s="299"/>
      <c r="AT47" s="299"/>
      <c r="AU47" s="299"/>
      <c r="AV47" s="299"/>
      <c r="AW47" s="299"/>
      <c r="AX47" s="299"/>
      <c r="AY47" s="299"/>
      <c r="AZ47" s="299"/>
      <c r="BA47" s="299"/>
      <c r="BB47" s="299"/>
      <c r="BC47" s="299"/>
      <c r="BD47" s="299"/>
      <c r="BE47" s="299"/>
      <c r="BF47" s="299"/>
    </row>
    <row r="48" spans="10:58" ht="14.25" hidden="1" customHeight="1">
      <c r="J48" s="517">
        <v>300</v>
      </c>
      <c r="K48" s="360"/>
      <c r="L48" s="361"/>
      <c r="M48" s="361"/>
      <c r="N48" s="361"/>
      <c r="O48" s="361"/>
      <c r="P48" s="361"/>
      <c r="Q48" s="361"/>
      <c r="R48" s="361"/>
      <c r="S48" s="362"/>
      <c r="T48" s="536"/>
      <c r="U48" s="380"/>
      <c r="V48" s="517">
        <v>300</v>
      </c>
      <c r="W48" s="537"/>
      <c r="X48" s="538"/>
      <c r="Y48" s="538"/>
      <c r="Z48" s="538"/>
      <c r="AA48" s="538"/>
      <c r="AB48" s="538"/>
      <c r="AC48" s="538"/>
      <c r="AD48" s="538"/>
      <c r="AE48" s="539"/>
      <c r="AF48" s="299"/>
      <c r="AG48" s="299"/>
      <c r="AH48" s="299"/>
      <c r="AI48" s="299">
        <v>1074.5439804916334</v>
      </c>
      <c r="AJ48" s="299">
        <v>1221.0727051041288</v>
      </c>
      <c r="AK48" s="299">
        <v>1542.8572817395782</v>
      </c>
      <c r="AL48" s="299">
        <v>1652.6106099048905</v>
      </c>
      <c r="AM48" s="299">
        <v>1871.4651700427178</v>
      </c>
      <c r="AN48" s="299">
        <v>2283.4059585447208</v>
      </c>
      <c r="AO48" s="299">
        <v>2387.7143970871807</v>
      </c>
      <c r="AP48" s="299">
        <v>1726.3627513072345</v>
      </c>
      <c r="AQ48" s="299"/>
      <c r="AR48" s="299"/>
      <c r="AS48" s="299"/>
      <c r="AT48" s="299"/>
      <c r="AU48" s="299"/>
      <c r="AV48" s="299"/>
      <c r="AW48" s="299"/>
      <c r="AX48" s="299"/>
      <c r="AY48" s="299"/>
      <c r="AZ48" s="299"/>
      <c r="BA48" s="299"/>
      <c r="BB48" s="299"/>
      <c r="BC48" s="299"/>
      <c r="BD48" s="299"/>
      <c r="BE48" s="299"/>
      <c r="BF48" s="299"/>
    </row>
    <row r="49" spans="5:58" ht="14.25" hidden="1" customHeight="1">
      <c r="J49" s="517">
        <v>400</v>
      </c>
      <c r="K49" s="566"/>
      <c r="L49" s="376"/>
      <c r="M49" s="377"/>
      <c r="N49" s="361"/>
      <c r="O49" s="377"/>
      <c r="P49" s="377"/>
      <c r="Q49" s="377"/>
      <c r="R49" s="376"/>
      <c r="S49" s="378"/>
      <c r="T49" s="554"/>
      <c r="U49" s="380"/>
      <c r="V49" s="517">
        <v>400</v>
      </c>
      <c r="W49" s="537"/>
      <c r="X49" s="538"/>
      <c r="Y49" s="538"/>
      <c r="Z49" s="538"/>
      <c r="AA49" s="538"/>
      <c r="AB49" s="538"/>
      <c r="AC49" s="538"/>
      <c r="AD49" s="538"/>
      <c r="AE49" s="539"/>
      <c r="AF49" s="299"/>
      <c r="AG49" s="299"/>
      <c r="AH49" s="299"/>
      <c r="AI49" s="299">
        <v>1347.5726684250321</v>
      </c>
      <c r="AJ49" s="299">
        <v>1531.3325777557184</v>
      </c>
      <c r="AK49" s="299">
        <v>1934.8787410279326</v>
      </c>
      <c r="AL49" s="299">
        <v>2072.5190684499794</v>
      </c>
      <c r="AM49" s="299">
        <v>2333.627498720231</v>
      </c>
      <c r="AN49" s="299">
        <v>2863.5919204031934</v>
      </c>
      <c r="AO49" s="299">
        <v>2994.4038773056923</v>
      </c>
      <c r="AP49" s="299">
        <v>1941.0482511350783</v>
      </c>
      <c r="AQ49" s="299"/>
      <c r="AR49" s="299"/>
      <c r="AS49" s="299"/>
      <c r="AT49" s="299"/>
      <c r="AU49" s="299"/>
      <c r="AV49" s="299"/>
      <c r="AW49" s="299"/>
      <c r="AX49" s="299"/>
      <c r="AY49" s="299"/>
      <c r="AZ49" s="299"/>
      <c r="BA49" s="299"/>
      <c r="BB49" s="299"/>
      <c r="BC49" s="299"/>
      <c r="BD49" s="299"/>
      <c r="BE49" s="299"/>
      <c r="BF49" s="299"/>
    </row>
    <row r="50" spans="5:58" ht="14.25" hidden="1" customHeight="1">
      <c r="J50" s="517">
        <v>500</v>
      </c>
      <c r="K50" s="360"/>
      <c r="L50" s="361"/>
      <c r="M50" s="361"/>
      <c r="N50" s="361"/>
      <c r="O50" s="361"/>
      <c r="P50" s="361"/>
      <c r="Q50" s="361"/>
      <c r="R50" s="361"/>
      <c r="S50" s="362"/>
      <c r="T50" s="536"/>
      <c r="U50" s="380"/>
      <c r="V50" s="517">
        <v>500</v>
      </c>
      <c r="W50" s="537"/>
      <c r="X50" s="538"/>
      <c r="Y50" s="538"/>
      <c r="Z50" s="538"/>
      <c r="AA50" s="538"/>
      <c r="AB50" s="538"/>
      <c r="AC50" s="538"/>
      <c r="AD50" s="538"/>
      <c r="AE50" s="539"/>
      <c r="AF50" s="299"/>
      <c r="AG50" s="299"/>
      <c r="AH50" s="299"/>
      <c r="AI50" s="299">
        <v>1689.974658696905</v>
      </c>
      <c r="AJ50" s="299">
        <v>1920.4257485192102</v>
      </c>
      <c r="AK50" s="299">
        <v>2426.5081331830884</v>
      </c>
      <c r="AL50" s="299">
        <v>2599.1212106135354</v>
      </c>
      <c r="AM50" s="299">
        <v>2909.9218034920395</v>
      </c>
      <c r="AN50" s="299">
        <v>3591.196149730923</v>
      </c>
      <c r="AO50" s="299">
        <v>3755.245849906386</v>
      </c>
      <c r="AP50" s="299">
        <v>2182.4314214272736</v>
      </c>
      <c r="AQ50" s="299"/>
      <c r="AR50" s="299"/>
      <c r="AS50" s="299"/>
      <c r="AT50" s="299"/>
      <c r="AU50" s="299"/>
      <c r="AV50" s="299"/>
      <c r="AW50" s="299"/>
      <c r="AX50" s="299"/>
      <c r="AY50" s="299"/>
      <c r="AZ50" s="299"/>
      <c r="BA50" s="299"/>
      <c r="BB50" s="299"/>
      <c r="BC50" s="299"/>
      <c r="BD50" s="299"/>
      <c r="BE50" s="299"/>
      <c r="BF50" s="299"/>
    </row>
    <row r="51" spans="5:58" ht="14.25" hidden="1" customHeight="1" thickBot="1">
      <c r="J51" s="518">
        <v>600</v>
      </c>
      <c r="K51" s="379"/>
      <c r="L51" s="555"/>
      <c r="M51" s="555"/>
      <c r="N51" s="555"/>
      <c r="O51" s="555"/>
      <c r="P51" s="555"/>
      <c r="Q51" s="555"/>
      <c r="R51" s="555"/>
      <c r="S51" s="556"/>
      <c r="T51" s="536"/>
      <c r="U51" s="380"/>
      <c r="V51" s="518">
        <v>600</v>
      </c>
      <c r="W51" s="557"/>
      <c r="X51" s="558"/>
      <c r="Y51" s="558"/>
      <c r="Z51" s="558"/>
      <c r="AA51" s="558"/>
      <c r="AB51" s="558"/>
      <c r="AC51" s="558"/>
      <c r="AD51" s="558"/>
      <c r="AE51" s="559"/>
      <c r="AF51" s="299"/>
      <c r="AG51" s="299"/>
      <c r="AH51" s="299"/>
      <c r="AI51" s="299">
        <v>2119.3768721768975</v>
      </c>
      <c r="AJ51" s="299">
        <v>2408.3828092919289</v>
      </c>
      <c r="AK51" s="299">
        <v>3043.0546346669871</v>
      </c>
      <c r="AL51" s="299">
        <v>3259.5266168110584</v>
      </c>
      <c r="AM51" s="299">
        <v>3628.5332200970583</v>
      </c>
      <c r="AN51" s="299">
        <v>4503.6758533759075</v>
      </c>
      <c r="AO51" s="299">
        <v>4709.4086072075652</v>
      </c>
      <c r="AP51" s="299">
        <v>2453.8323075934754</v>
      </c>
      <c r="AQ51" s="299"/>
      <c r="AR51" s="299"/>
      <c r="AS51" s="299"/>
      <c r="AT51" s="299"/>
      <c r="AU51" s="299"/>
      <c r="AV51" s="299"/>
      <c r="AW51" s="299"/>
      <c r="AX51" s="299"/>
      <c r="AY51" s="299"/>
      <c r="AZ51" s="299"/>
      <c r="BA51" s="299"/>
      <c r="BB51" s="299"/>
      <c r="BC51" s="299"/>
      <c r="BD51" s="299"/>
      <c r="BE51" s="299"/>
      <c r="BF51" s="299"/>
    </row>
    <row r="52" spans="5:58" ht="14.25" hidden="1" customHeight="1" thickBot="1">
      <c r="J52" s="381"/>
      <c r="K52" s="529"/>
      <c r="L52" s="536"/>
      <c r="M52" s="536"/>
      <c r="N52" s="536"/>
      <c r="O52" s="536"/>
      <c r="P52" s="536"/>
      <c r="Q52" s="536"/>
      <c r="R52" s="536"/>
      <c r="S52" s="536"/>
      <c r="T52" s="536"/>
      <c r="U52" s="380"/>
      <c r="V52" s="381"/>
      <c r="W52" s="743"/>
      <c r="X52" s="743"/>
      <c r="Y52" s="743"/>
      <c r="Z52" s="743"/>
      <c r="AA52" s="743"/>
      <c r="AB52" s="743"/>
      <c r="AC52" s="743"/>
      <c r="AD52" s="743"/>
      <c r="AE52" s="743"/>
      <c r="AF52" s="299"/>
      <c r="AG52" s="299"/>
      <c r="AH52" s="299"/>
      <c r="AI52" s="299"/>
      <c r="AJ52" s="299"/>
      <c r="AK52" s="299"/>
      <c r="AL52" s="299"/>
      <c r="AM52" s="299"/>
      <c r="AN52" s="299"/>
      <c r="AO52" s="299"/>
      <c r="AP52" s="299"/>
      <c r="AQ52" s="299"/>
      <c r="AR52" s="299"/>
      <c r="AS52" s="299"/>
      <c r="AT52" s="299"/>
      <c r="AU52" s="299"/>
      <c r="AV52" s="299"/>
      <c r="AW52" s="299"/>
      <c r="AX52" s="299"/>
      <c r="AY52" s="299"/>
      <c r="AZ52" s="299"/>
      <c r="BA52" s="299"/>
      <c r="BB52" s="299"/>
      <c r="BC52" s="299"/>
      <c r="BD52" s="299"/>
      <c r="BE52" s="299"/>
      <c r="BF52" s="299"/>
    </row>
    <row r="53" spans="5:58" ht="32.25" hidden="1" customHeight="1" thickBot="1">
      <c r="E53" s="1007"/>
      <c r="F53" s="1007"/>
      <c r="J53" s="2670" t="s">
        <v>318</v>
      </c>
      <c r="K53" s="2671"/>
      <c r="L53" s="2671"/>
      <c r="M53" s="2671"/>
      <c r="N53" s="2671"/>
      <c r="O53" s="2671"/>
      <c r="P53" s="2671"/>
      <c r="Q53" s="2671"/>
      <c r="R53" s="2671"/>
      <c r="S53" s="2671"/>
      <c r="T53" s="2671"/>
      <c r="U53" s="2671"/>
      <c r="V53" s="2671"/>
      <c r="W53" s="2671"/>
      <c r="X53" s="2671"/>
      <c r="Y53" s="2671"/>
      <c r="Z53" s="2671"/>
      <c r="AA53" s="2671"/>
      <c r="AB53" s="2671"/>
      <c r="AC53" s="2671"/>
      <c r="AD53" s="2671"/>
      <c r="AE53" s="2671"/>
      <c r="AF53" s="2671"/>
      <c r="AG53" s="2671"/>
      <c r="AH53" s="2671"/>
      <c r="AI53" s="2671"/>
      <c r="AJ53" s="2671"/>
      <c r="AK53" s="2671"/>
      <c r="AL53" s="2671"/>
      <c r="AM53" s="2671"/>
      <c r="AN53" s="2671"/>
      <c r="AO53" s="2671"/>
      <c r="AP53" s="2671"/>
      <c r="AQ53" s="2671"/>
      <c r="AR53" s="2671"/>
      <c r="AS53" s="2671"/>
      <c r="AT53" s="2671"/>
      <c r="AU53" s="2671"/>
      <c r="AV53" s="2671"/>
      <c r="AW53" s="2671"/>
      <c r="AX53" s="2671"/>
      <c r="AY53" s="2671"/>
      <c r="AZ53" s="2672"/>
      <c r="BA53" s="299"/>
      <c r="BB53" s="299"/>
      <c r="BC53" s="299"/>
      <c r="BD53" s="299"/>
      <c r="BE53" s="299"/>
      <c r="BF53" s="299"/>
    </row>
    <row r="54" spans="5:58" ht="14.25" hidden="1" customHeight="1" thickBot="1">
      <c r="E54" s="1007"/>
      <c r="F54" s="1007"/>
      <c r="J54" s="2660" t="s">
        <v>188</v>
      </c>
      <c r="K54" s="2661"/>
      <c r="L54" s="2661"/>
      <c r="M54" s="2661"/>
      <c r="N54" s="2661"/>
      <c r="O54" s="2661"/>
      <c r="P54" s="2661"/>
      <c r="Q54" s="2661"/>
      <c r="R54" s="2662"/>
      <c r="S54" s="299"/>
      <c r="V54" s="2660" t="s">
        <v>317</v>
      </c>
      <c r="W54" s="2661"/>
      <c r="X54" s="2661"/>
      <c r="Y54" s="2661"/>
      <c r="Z54" s="2661"/>
      <c r="AA54" s="2661"/>
      <c r="AB54" s="2661"/>
      <c r="AC54" s="2661"/>
      <c r="AD54" s="2662"/>
      <c r="AE54" s="743"/>
      <c r="AF54" s="299"/>
      <c r="AG54" s="299"/>
      <c r="BA54" s="299"/>
      <c r="BB54" s="299"/>
      <c r="BC54" s="299"/>
      <c r="BD54" s="299"/>
      <c r="BE54" s="299"/>
      <c r="BF54" s="299"/>
    </row>
    <row r="55" spans="5:58" ht="14.25" hidden="1" customHeight="1" thickBot="1">
      <c r="E55" s="1007"/>
      <c r="F55" s="1007"/>
      <c r="J55" s="744" t="s">
        <v>1</v>
      </c>
      <c r="K55" s="2537">
        <v>160</v>
      </c>
      <c r="L55" s="2525">
        <v>200</v>
      </c>
      <c r="M55" s="2525">
        <v>260</v>
      </c>
      <c r="N55" s="2525">
        <v>300</v>
      </c>
      <c r="O55" s="2525"/>
      <c r="P55" s="2525">
        <v>360</v>
      </c>
      <c r="Q55" s="2525">
        <v>400</v>
      </c>
      <c r="R55" s="2527"/>
      <c r="S55" s="299"/>
      <c r="V55" s="744" t="s">
        <v>1</v>
      </c>
      <c r="W55" s="2537">
        <v>160</v>
      </c>
      <c r="X55" s="2525">
        <v>200</v>
      </c>
      <c r="Y55" s="2525">
        <v>260</v>
      </c>
      <c r="Z55" s="2525">
        <v>300</v>
      </c>
      <c r="AA55" s="2525"/>
      <c r="AB55" s="2525">
        <v>360</v>
      </c>
      <c r="AC55" s="2525">
        <v>400</v>
      </c>
      <c r="AD55" s="2527"/>
      <c r="AE55" s="743"/>
      <c r="AF55" s="299"/>
      <c r="AG55" s="299"/>
      <c r="BA55" s="299"/>
      <c r="BB55" s="299"/>
      <c r="BC55" s="299"/>
      <c r="BD55" s="299"/>
      <c r="BE55" s="299"/>
      <c r="BF55" s="299"/>
    </row>
    <row r="56" spans="5:58" ht="14.25" hidden="1" customHeight="1" thickBot="1">
      <c r="E56" s="1007"/>
      <c r="F56" s="1007"/>
      <c r="J56" s="311" t="s">
        <v>0</v>
      </c>
      <c r="K56" s="2548"/>
      <c r="L56" s="2549"/>
      <c r="M56" s="2536"/>
      <c r="N56" s="1006">
        <v>1</v>
      </c>
      <c r="O56" s="1006">
        <v>2</v>
      </c>
      <c r="P56" s="2536"/>
      <c r="Q56" s="1006">
        <v>1</v>
      </c>
      <c r="R56" s="752">
        <v>2</v>
      </c>
      <c r="S56" s="299"/>
      <c r="V56" s="311" t="s">
        <v>0</v>
      </c>
      <c r="W56" s="2538"/>
      <c r="X56" s="2539"/>
      <c r="Y56" s="2526"/>
      <c r="Z56" s="1004">
        <v>1</v>
      </c>
      <c r="AA56" s="1004">
        <v>2</v>
      </c>
      <c r="AB56" s="2526"/>
      <c r="AC56" s="1004">
        <v>1</v>
      </c>
      <c r="AD56" s="513">
        <v>2</v>
      </c>
      <c r="AE56" s="743"/>
      <c r="AF56" s="299"/>
      <c r="AG56" s="299"/>
      <c r="BA56" s="299"/>
      <c r="BB56" s="299"/>
      <c r="BC56" s="299"/>
      <c r="BD56" s="299"/>
      <c r="BE56" s="299"/>
      <c r="BF56" s="299"/>
    </row>
    <row r="57" spans="5:58" ht="14.25" hidden="1" customHeight="1">
      <c r="E57" s="1007"/>
      <c r="F57" s="1007"/>
      <c r="J57" s="753">
        <v>75</v>
      </c>
      <c r="K57" s="313">
        <f>L57*0.9</f>
        <v>210.63995999999997</v>
      </c>
      <c r="L57" s="745">
        <f>L58*0.71</f>
        <v>234.04439999999997</v>
      </c>
      <c r="M57" s="1003">
        <f>M58*0.69</f>
        <v>301.45823999999993</v>
      </c>
      <c r="N57" s="1003">
        <f>N58*0.66</f>
        <v>323.88131965242241</v>
      </c>
      <c r="O57" s="1003">
        <f>O58*0.76</f>
        <v>433.74719999999996</v>
      </c>
      <c r="P57" s="1003">
        <f>P58*0.74</f>
        <v>465.91317599999996</v>
      </c>
      <c r="Q57" s="1003">
        <f>Q58*0.72</f>
        <v>479.99433615033593</v>
      </c>
      <c r="R57" s="1005">
        <f>R58*0.76</f>
        <v>625.19423999999992</v>
      </c>
      <c r="S57" s="299"/>
      <c r="V57" s="753">
        <v>75</v>
      </c>
      <c r="W57" s="775">
        <v>1.7</v>
      </c>
      <c r="X57" s="776">
        <v>1.65</v>
      </c>
      <c r="Y57" s="776">
        <v>1.6</v>
      </c>
      <c r="Z57" s="776">
        <v>1.55</v>
      </c>
      <c r="AA57" s="776">
        <v>1.55</v>
      </c>
      <c r="AB57" s="776">
        <v>1.5</v>
      </c>
      <c r="AC57" s="776">
        <v>1.45</v>
      </c>
      <c r="AD57" s="777">
        <v>1.45</v>
      </c>
      <c r="AE57" s="743"/>
      <c r="AF57" s="299"/>
      <c r="AG57" s="299"/>
      <c r="BA57" s="299"/>
      <c r="BB57" s="299"/>
      <c r="BC57" s="299"/>
      <c r="BD57" s="299"/>
      <c r="BE57" s="299"/>
      <c r="BF57" s="299"/>
    </row>
    <row r="58" spans="5:58" ht="14.25" hidden="1" customHeight="1">
      <c r="E58" s="1007"/>
      <c r="F58" s="1007"/>
      <c r="J58" s="754">
        <v>90</v>
      </c>
      <c r="K58" s="318">
        <f>L58*0.89</f>
        <v>293.37959999999998</v>
      </c>
      <c r="L58" s="785">
        <f>335*0.82*1.2</f>
        <v>329.64</v>
      </c>
      <c r="M58" s="746">
        <f>444*0.82*1.2</f>
        <v>436.89599999999996</v>
      </c>
      <c r="N58" s="1008">
        <f>M58*1.12321759</f>
        <v>490.72927220063997</v>
      </c>
      <c r="O58" s="746">
        <f>580*0.82*1.2</f>
        <v>570.71999999999991</v>
      </c>
      <c r="P58" s="1008">
        <f>L58*1.91</f>
        <v>629.61239999999998</v>
      </c>
      <c r="Q58" s="1008">
        <f>L58*2.02238442</f>
        <v>666.6588002087999</v>
      </c>
      <c r="R58" s="786">
        <f>836*0.82*1.2</f>
        <v>822.62399999999991</v>
      </c>
      <c r="S58" s="299"/>
      <c r="V58" s="754">
        <v>90</v>
      </c>
      <c r="W58" s="778">
        <v>1.6</v>
      </c>
      <c r="X58" s="779">
        <v>1.55</v>
      </c>
      <c r="Y58" s="779">
        <v>1.5</v>
      </c>
      <c r="Z58" s="779">
        <v>1.45</v>
      </c>
      <c r="AA58" s="779">
        <v>1.45</v>
      </c>
      <c r="AB58" s="779">
        <v>1.4</v>
      </c>
      <c r="AC58" s="779">
        <v>1.3</v>
      </c>
      <c r="AD58" s="780">
        <v>1.3</v>
      </c>
      <c r="AE58" s="743"/>
      <c r="AF58" s="299"/>
      <c r="AG58" s="299"/>
      <c r="BA58" s="299"/>
      <c r="BB58" s="299"/>
      <c r="BC58" s="299"/>
      <c r="BD58" s="299"/>
      <c r="BE58" s="299"/>
      <c r="BF58" s="299"/>
    </row>
    <row r="59" spans="5:58" ht="14.25" hidden="1" customHeight="1">
      <c r="E59" s="1007"/>
      <c r="F59" s="1007"/>
      <c r="J59" s="754">
        <v>110</v>
      </c>
      <c r="K59" s="318">
        <f>L59*0.88</f>
        <v>363.78984851827198</v>
      </c>
      <c r="L59" s="747">
        <f>L58*1.25408796</f>
        <v>413.39755513439997</v>
      </c>
      <c r="M59" s="1008">
        <f>L59*1.26352614</f>
        <v>522.33861712440557</v>
      </c>
      <c r="N59" s="1008">
        <f>M59*1.07113641</f>
        <v>559.49591115100031</v>
      </c>
      <c r="O59" s="1008">
        <f>O58*1.24695214</f>
        <v>711.66052534079995</v>
      </c>
      <c r="P59" s="1008">
        <f>L59*1.87</f>
        <v>773.053428101328</v>
      </c>
      <c r="Q59" s="1008">
        <f>L59*1.95542361</f>
        <v>808.36733962608241</v>
      </c>
      <c r="R59" s="511">
        <f>R58*1.12435712</f>
        <v>924.92315148287992</v>
      </c>
      <c r="S59" s="299"/>
      <c r="V59" s="754">
        <v>110</v>
      </c>
      <c r="W59" s="778">
        <v>1.5</v>
      </c>
      <c r="X59" s="779">
        <v>1.3</v>
      </c>
      <c r="Y59" s="779">
        <v>1.3</v>
      </c>
      <c r="Z59" s="779">
        <v>1.3</v>
      </c>
      <c r="AA59" s="779">
        <v>1.3</v>
      </c>
      <c r="AB59" s="779">
        <v>1.3</v>
      </c>
      <c r="AC59" s="779">
        <v>1.3</v>
      </c>
      <c r="AD59" s="780">
        <v>1.3</v>
      </c>
      <c r="AE59" s="743"/>
      <c r="AF59" s="299"/>
      <c r="AG59" s="299"/>
      <c r="BA59" s="299"/>
      <c r="BB59" s="299"/>
      <c r="BC59" s="299"/>
      <c r="BD59" s="299"/>
      <c r="BE59" s="299"/>
      <c r="BF59" s="299"/>
    </row>
    <row r="60" spans="5:58" ht="14.25" hidden="1" customHeight="1">
      <c r="E60" s="1007"/>
      <c r="F60" s="1007"/>
      <c r="J60" s="755">
        <v>150</v>
      </c>
      <c r="K60" s="784">
        <f>L60*0.87</f>
        <v>553.88375999999994</v>
      </c>
      <c r="L60" s="787">
        <f>647*0.82*1.2</f>
        <v>636.64799999999991</v>
      </c>
      <c r="M60" s="748">
        <f>L60*1.2965421</f>
        <v>825.44093488079989</v>
      </c>
      <c r="N60" s="1006" t="s">
        <v>296</v>
      </c>
      <c r="O60" s="749">
        <f>1003*0.82*1.2</f>
        <v>986.95199999999988</v>
      </c>
      <c r="P60" s="1006">
        <f>O60*1.05368459</f>
        <v>1039.9361134696799</v>
      </c>
      <c r="Q60" s="1006" t="s">
        <v>296</v>
      </c>
      <c r="R60" s="750">
        <f>1138*0.82*1.2</f>
        <v>1119.7919999999999</v>
      </c>
      <c r="S60" s="299"/>
      <c r="V60" s="755">
        <v>150</v>
      </c>
      <c r="W60" s="778">
        <v>1.4</v>
      </c>
      <c r="X60" s="779">
        <v>1.35</v>
      </c>
      <c r="Y60" s="779">
        <v>1.32</v>
      </c>
      <c r="Z60" s="779"/>
      <c r="AA60" s="779">
        <v>1.3</v>
      </c>
      <c r="AB60" s="779">
        <v>1.28</v>
      </c>
      <c r="AC60" s="779"/>
      <c r="AD60" s="780">
        <v>1.25</v>
      </c>
      <c r="AE60" s="743"/>
      <c r="AF60" s="299"/>
      <c r="AG60" s="299"/>
      <c r="BA60" s="299"/>
      <c r="BB60" s="299"/>
      <c r="BC60" s="299"/>
      <c r="BD60" s="299"/>
      <c r="BE60" s="299"/>
      <c r="BF60" s="299"/>
    </row>
    <row r="61" spans="5:58" ht="14.25" hidden="1" customHeight="1">
      <c r="E61" s="1007"/>
      <c r="F61" s="1007"/>
      <c r="J61" s="747">
        <v>200</v>
      </c>
      <c r="K61" s="318">
        <f>L61*0.88</f>
        <v>702.60308057111024</v>
      </c>
      <c r="L61" s="747">
        <f>L60*1.25408796</f>
        <v>798.41259155807984</v>
      </c>
      <c r="M61" s="1008">
        <f>L61*1.26352614</f>
        <v>1008.8151799387772</v>
      </c>
      <c r="N61" s="1008">
        <f>M61*1.07113641</f>
        <v>1080.5786701931258</v>
      </c>
      <c r="O61" s="1008">
        <f>O60*1.24695214</f>
        <v>1230.6819084772799</v>
      </c>
      <c r="P61" s="1008">
        <f>L61*1.87</f>
        <v>1493.0315462136093</v>
      </c>
      <c r="Q61" s="1008">
        <f>L61*1.95542361</f>
        <v>1561.2348320539561</v>
      </c>
      <c r="R61" s="511">
        <f>R60*1.12435712</f>
        <v>1259.0461081190399</v>
      </c>
      <c r="S61" s="299"/>
      <c r="V61" s="754">
        <v>200</v>
      </c>
      <c r="W61" s="778"/>
      <c r="X61" s="779"/>
      <c r="Y61" s="779"/>
      <c r="Z61" s="779"/>
      <c r="AA61" s="779"/>
      <c r="AB61" s="779"/>
      <c r="AC61" s="779"/>
      <c r="AD61" s="780"/>
      <c r="AE61" s="743"/>
      <c r="AF61" s="299"/>
      <c r="AG61" s="299"/>
      <c r="BA61" s="299"/>
      <c r="BB61" s="299"/>
      <c r="BC61" s="299"/>
      <c r="BD61" s="299"/>
      <c r="BE61" s="299"/>
      <c r="BF61" s="299"/>
    </row>
    <row r="62" spans="5:58" ht="14.25" hidden="1" customHeight="1">
      <c r="E62" s="1007"/>
      <c r="F62" s="1007"/>
      <c r="J62" s="747">
        <v>300</v>
      </c>
      <c r="K62" s="318">
        <f>L62*0.88</f>
        <v>881.12606400313928</v>
      </c>
      <c r="L62" s="747">
        <f>L61*1.25408796</f>
        <v>1001.2796181853855</v>
      </c>
      <c r="M62" s="1008">
        <f>L62*1.26352614</f>
        <v>1265.142971026454</v>
      </c>
      <c r="N62" s="1008">
        <f>M62*1.07113641</f>
        <v>1355.14070012201</v>
      </c>
      <c r="O62" s="1008">
        <f>O61*1.24695214</f>
        <v>1534.6014394350284</v>
      </c>
      <c r="P62" s="1008">
        <f>L62*1.87</f>
        <v>1872.392886006671</v>
      </c>
      <c r="Q62" s="1008">
        <f>L62*1.95542361</f>
        <v>1957.9258056114882</v>
      </c>
      <c r="R62" s="511">
        <f>R61*1.12435712</f>
        <v>1415.6174560719323</v>
      </c>
      <c r="S62" s="299"/>
      <c r="V62" s="754">
        <v>300</v>
      </c>
      <c r="W62" s="778"/>
      <c r="X62" s="779"/>
      <c r="Y62" s="779"/>
      <c r="Z62" s="779"/>
      <c r="AA62" s="779"/>
      <c r="AB62" s="779"/>
      <c r="AC62" s="779"/>
      <c r="AD62" s="780"/>
      <c r="AE62" s="743"/>
      <c r="AF62" s="299"/>
      <c r="AG62" s="299"/>
      <c r="BA62" s="299"/>
      <c r="BB62" s="299"/>
      <c r="BC62" s="299"/>
      <c r="BD62" s="299"/>
      <c r="BE62" s="299"/>
      <c r="BF62" s="299"/>
    </row>
    <row r="63" spans="5:58" ht="14.25" hidden="1" customHeight="1">
      <c r="E63" s="1007"/>
      <c r="F63" s="1007"/>
      <c r="J63" s="747">
        <v>400</v>
      </c>
      <c r="K63" s="318">
        <f>L63*0.88</f>
        <v>1105.0095881085263</v>
      </c>
      <c r="L63" s="747">
        <f>L62*1.25408796</f>
        <v>1255.692713759689</v>
      </c>
      <c r="M63" s="1008">
        <f>L63*1.26352614</f>
        <v>1586.6005676429047</v>
      </c>
      <c r="N63" s="1008">
        <f>M63*1.07113641</f>
        <v>1699.4656361289831</v>
      </c>
      <c r="O63" s="1008">
        <f>O62*1.24695214</f>
        <v>1913.5745489505891</v>
      </c>
      <c r="P63" s="1008">
        <f>L63*1.87</f>
        <v>2348.1453747306186</v>
      </c>
      <c r="Q63" s="1008">
        <f>L63*1.95542361</f>
        <v>2455.4111793906677</v>
      </c>
      <c r="R63" s="511">
        <f>R62*1.12435712</f>
        <v>1591.6595659307643</v>
      </c>
      <c r="S63" s="299"/>
      <c r="V63" s="754">
        <v>400</v>
      </c>
      <c r="W63" s="778"/>
      <c r="X63" s="779"/>
      <c r="Y63" s="779"/>
      <c r="Z63" s="779"/>
      <c r="AA63" s="779"/>
      <c r="AB63" s="779"/>
      <c r="AC63" s="779"/>
      <c r="AD63" s="780"/>
      <c r="AE63" s="743"/>
      <c r="AF63" s="299"/>
      <c r="AG63" s="299"/>
      <c r="BA63" s="299"/>
      <c r="BB63" s="299"/>
      <c r="BC63" s="299"/>
      <c r="BD63" s="299"/>
      <c r="BE63" s="299"/>
      <c r="BF63" s="299"/>
    </row>
    <row r="64" spans="5:58" ht="14.25" hidden="1" customHeight="1">
      <c r="E64" s="1007"/>
      <c r="F64" s="1007"/>
      <c r="J64" s="747">
        <v>500</v>
      </c>
      <c r="K64" s="318">
        <f>L64*0.88</f>
        <v>1385.7792201314619</v>
      </c>
      <c r="L64" s="747">
        <f>L63*1.25408796</f>
        <v>1574.7491137857521</v>
      </c>
      <c r="M64" s="1008">
        <f>L64*1.26352614</f>
        <v>1989.736669210132</v>
      </c>
      <c r="N64" s="1008">
        <f>M64*1.07113641</f>
        <v>2131.2793927030984</v>
      </c>
      <c r="O64" s="1008">
        <f>O63*1.24695214</f>
        <v>2386.135878863472</v>
      </c>
      <c r="P64" s="1008">
        <f>L64*1.87</f>
        <v>2944.7808427793566</v>
      </c>
      <c r="Q64" s="1008">
        <f>L64*1.95542361</f>
        <v>3079.301596923236</v>
      </c>
      <c r="R64" s="511">
        <f>R63*1.12435712</f>
        <v>1789.5937655703642</v>
      </c>
      <c r="S64" s="299"/>
      <c r="V64" s="754">
        <v>500</v>
      </c>
      <c r="W64" s="778"/>
      <c r="X64" s="779"/>
      <c r="Y64" s="779"/>
      <c r="Z64" s="779"/>
      <c r="AA64" s="779"/>
      <c r="AB64" s="779"/>
      <c r="AC64" s="779"/>
      <c r="AD64" s="780"/>
      <c r="AE64" s="743"/>
      <c r="AF64" s="299"/>
      <c r="AG64" s="299"/>
      <c r="BA64" s="299"/>
      <c r="BB64" s="299"/>
      <c r="BC64" s="299"/>
      <c r="BD64" s="299"/>
      <c r="BE64" s="299"/>
      <c r="BF64" s="299"/>
    </row>
    <row r="65" spans="1:58" ht="14.25" hidden="1" customHeight="1" thickBot="1">
      <c r="J65" s="751">
        <v>600</v>
      </c>
      <c r="K65" s="321">
        <f>L65*0.88</f>
        <v>1737.8890351850557</v>
      </c>
      <c r="L65" s="751">
        <f>L64*1.25408796</f>
        <v>1974.8739036193815</v>
      </c>
      <c r="M65" s="1004">
        <f>L65*1.26352614</f>
        <v>2495.304800426929</v>
      </c>
      <c r="N65" s="1004">
        <f>M65*1.07113641</f>
        <v>2672.8118257850674</v>
      </c>
      <c r="O65" s="1004">
        <f>O64*1.24695214</f>
        <v>2975.3972404795873</v>
      </c>
      <c r="P65" s="1004">
        <f>L65*1.87</f>
        <v>3693.0141997682435</v>
      </c>
      <c r="Q65" s="1004">
        <f>L65*1.95542361</f>
        <v>3861.7150579102031</v>
      </c>
      <c r="R65" s="513">
        <f>R64*1.12435712</f>
        <v>2012.1424922266499</v>
      </c>
      <c r="S65" s="299"/>
      <c r="V65" s="756">
        <v>600</v>
      </c>
      <c r="W65" s="781"/>
      <c r="X65" s="782"/>
      <c r="Y65" s="782"/>
      <c r="Z65" s="782"/>
      <c r="AA65" s="782"/>
      <c r="AB65" s="782"/>
      <c r="AC65" s="782"/>
      <c r="AD65" s="783"/>
      <c r="AE65" s="743"/>
      <c r="AF65" s="299"/>
      <c r="AG65" s="299"/>
      <c r="BA65" s="299"/>
      <c r="BB65" s="299"/>
      <c r="BC65" s="299"/>
      <c r="BD65" s="299"/>
      <c r="BE65" s="299"/>
      <c r="BF65" s="299"/>
    </row>
    <row r="66" spans="1:58" ht="31.5" hidden="1" customHeight="1">
      <c r="B66" s="2654" t="s">
        <v>191</v>
      </c>
      <c r="C66" s="229"/>
      <c r="D66" s="229"/>
      <c r="E66" s="381"/>
      <c r="F66" s="381"/>
      <c r="G66" s="229"/>
      <c r="H66" s="380"/>
      <c r="I66" s="381"/>
      <c r="J66" s="381"/>
      <c r="K66" s="381"/>
      <c r="L66" s="381"/>
      <c r="M66" s="381"/>
      <c r="N66" s="381"/>
      <c r="O66" s="381"/>
      <c r="P66" s="299"/>
      <c r="Q66" s="229"/>
      <c r="R66" s="133"/>
      <c r="S66" s="133"/>
      <c r="T66" s="133"/>
      <c r="U66" s="133"/>
      <c r="V66" s="133"/>
      <c r="W66" s="133"/>
      <c r="X66" s="133"/>
      <c r="Y66" s="133"/>
      <c r="Z66" s="299"/>
      <c r="AA66" s="299"/>
      <c r="AB66" s="299"/>
      <c r="AC66" s="299"/>
      <c r="AD66" s="299"/>
      <c r="AE66" s="299"/>
      <c r="AF66" s="299"/>
      <c r="AG66" s="299"/>
      <c r="AH66" s="299"/>
      <c r="AR66" s="299"/>
      <c r="AS66" s="299"/>
      <c r="AT66" s="299"/>
      <c r="AU66" s="299"/>
      <c r="AV66" s="299"/>
      <c r="AW66" s="299"/>
      <c r="AX66" s="299"/>
      <c r="AY66" s="299"/>
      <c r="AZ66" s="299"/>
      <c r="BA66" s="299"/>
      <c r="BB66" s="299"/>
      <c r="BC66" s="299"/>
      <c r="BD66" s="299"/>
      <c r="BE66" s="299"/>
      <c r="BF66" s="299"/>
    </row>
    <row r="67" spans="1:58" s="1177" customFormat="1" ht="31.5" hidden="1" customHeight="1">
      <c r="B67" s="2654"/>
      <c r="C67" s="229"/>
      <c r="D67" s="229"/>
      <c r="E67" s="381"/>
      <c r="F67" s="381"/>
      <c r="G67" s="229"/>
      <c r="H67" s="380"/>
      <c r="I67" s="381"/>
      <c r="J67" s="381"/>
      <c r="K67" s="381"/>
      <c r="L67" s="381"/>
      <c r="M67" s="381"/>
      <c r="N67" s="381"/>
      <c r="O67" s="381"/>
      <c r="P67" s="299"/>
      <c r="Q67" s="229"/>
      <c r="R67" s="133"/>
      <c r="S67" s="133"/>
      <c r="T67" s="133"/>
      <c r="U67" s="133"/>
      <c r="V67" s="133"/>
      <c r="W67" s="133"/>
      <c r="X67" s="133"/>
      <c r="Y67" s="133"/>
      <c r="Z67" s="299"/>
      <c r="AA67" s="299"/>
      <c r="AB67" s="299"/>
      <c r="AC67" s="299"/>
      <c r="AD67" s="299"/>
      <c r="AE67" s="299"/>
      <c r="AF67" s="299"/>
      <c r="AG67" s="299"/>
      <c r="AH67" s="299"/>
      <c r="AR67" s="299"/>
      <c r="AS67" s="299"/>
      <c r="AT67" s="299"/>
      <c r="AU67" s="299"/>
      <c r="AV67" s="299"/>
      <c r="AW67" s="299"/>
      <c r="AX67" s="299"/>
      <c r="AY67" s="299"/>
      <c r="AZ67" s="299"/>
      <c r="BA67" s="299"/>
      <c r="BB67" s="299"/>
      <c r="BC67" s="299"/>
      <c r="BD67" s="299"/>
      <c r="BE67" s="299"/>
      <c r="BF67" s="299"/>
    </row>
    <row r="68" spans="1:58" s="1177" customFormat="1" ht="31.5" customHeight="1">
      <c r="B68" s="2654"/>
      <c r="C68" s="229"/>
      <c r="D68" s="229"/>
      <c r="E68" s="381"/>
      <c r="F68" s="381"/>
      <c r="G68" s="229"/>
      <c r="H68" s="380"/>
      <c r="I68" s="381"/>
      <c r="J68" s="381"/>
      <c r="K68" s="381"/>
      <c r="L68" s="381"/>
      <c r="M68" s="381"/>
      <c r="N68" s="381"/>
      <c r="O68" s="381"/>
      <c r="P68" s="299"/>
      <c r="Q68" s="229"/>
      <c r="R68" s="133"/>
      <c r="S68" s="133"/>
      <c r="T68" s="133"/>
      <c r="U68" s="133"/>
      <c r="V68" s="133"/>
      <c r="W68" s="133"/>
      <c r="X68" s="133"/>
      <c r="Y68" s="133"/>
      <c r="Z68" s="299"/>
      <c r="AA68" s="299"/>
      <c r="AB68" s="299"/>
      <c r="AC68" s="299"/>
      <c r="AD68" s="299"/>
      <c r="AE68" s="299"/>
      <c r="AF68" s="299"/>
      <c r="AG68" s="299"/>
      <c r="AH68" s="299"/>
      <c r="AR68" s="299"/>
      <c r="AS68" s="299"/>
      <c r="AT68" s="299"/>
      <c r="AU68" s="299"/>
      <c r="AV68" s="299"/>
      <c r="AW68" s="299"/>
      <c r="AX68" s="299"/>
      <c r="AY68" s="299"/>
      <c r="AZ68" s="299"/>
      <c r="BA68" s="299"/>
      <c r="BB68" s="299"/>
      <c r="BC68" s="299"/>
      <c r="BD68" s="299"/>
      <c r="BE68" s="299"/>
      <c r="BF68" s="299"/>
    </row>
    <row r="69" spans="1:58" s="1177" customFormat="1" ht="31.5" customHeight="1" thickBot="1">
      <c r="B69" s="2654"/>
      <c r="C69" s="229"/>
      <c r="D69" s="229"/>
      <c r="E69" s="381"/>
      <c r="F69" s="381"/>
      <c r="G69" s="229"/>
      <c r="H69" s="380"/>
      <c r="I69" s="381"/>
      <c r="J69" s="381"/>
      <c r="K69" s="381"/>
      <c r="L69" s="381"/>
      <c r="M69" s="381"/>
      <c r="N69" s="381"/>
      <c r="O69" s="381"/>
      <c r="P69" s="299"/>
      <c r="Q69" s="229"/>
      <c r="R69" s="133"/>
      <c r="S69" s="133"/>
      <c r="T69" s="133"/>
      <c r="U69" s="133"/>
      <c r="V69" s="133"/>
      <c r="W69" s="133"/>
      <c r="X69" s="133"/>
      <c r="Y69" s="133"/>
      <c r="Z69" s="299"/>
      <c r="AA69" s="299"/>
      <c r="AB69" s="299"/>
      <c r="AC69" s="299"/>
      <c r="AD69" s="299"/>
      <c r="AE69" s="299"/>
      <c r="AF69" s="299"/>
      <c r="AG69" s="299"/>
      <c r="AH69" s="299"/>
      <c r="AR69" s="299"/>
      <c r="AS69" s="299"/>
      <c r="AT69" s="299"/>
      <c r="AU69" s="299"/>
      <c r="AV69" s="299"/>
      <c r="AW69" s="299"/>
      <c r="AX69" s="299"/>
      <c r="AY69" s="299"/>
      <c r="AZ69" s="299"/>
      <c r="BA69" s="299"/>
      <c r="BB69" s="299"/>
      <c r="BC69" s="299"/>
      <c r="BD69" s="299"/>
      <c r="BE69" s="299"/>
      <c r="BF69" s="299"/>
    </row>
    <row r="70" spans="1:58" ht="23.25" customHeight="1" thickBot="1">
      <c r="B70" s="2528" t="s">
        <v>343</v>
      </c>
      <c r="C70" s="2529"/>
      <c r="D70" s="2487" t="s">
        <v>192</v>
      </c>
      <c r="E70" s="2489" t="s">
        <v>0</v>
      </c>
      <c r="F70" s="2489" t="s">
        <v>1</v>
      </c>
      <c r="G70" s="2491" t="s">
        <v>153</v>
      </c>
      <c r="H70" s="2655" t="s">
        <v>16</v>
      </c>
      <c r="I70" s="2655"/>
      <c r="J70" s="2655"/>
      <c r="K70" s="2655"/>
      <c r="L70" s="2655"/>
      <c r="M70" s="2655"/>
      <c r="N70" s="2655"/>
      <c r="O70" s="2655"/>
      <c r="P70" s="2655"/>
      <c r="Q70" s="2655"/>
      <c r="R70" s="2655"/>
      <c r="S70" s="2655"/>
      <c r="T70" s="2655"/>
      <c r="U70" s="2655"/>
      <c r="V70" s="2655"/>
      <c r="W70" s="2655"/>
      <c r="X70" s="2655"/>
      <c r="Y70" s="2655"/>
      <c r="Z70" s="2655"/>
      <c r="AA70" s="2655"/>
      <c r="AB70" s="2655"/>
      <c r="AC70" s="2655"/>
      <c r="AD70" s="2655"/>
      <c r="AE70" s="2655"/>
      <c r="AF70" s="2655"/>
      <c r="AG70" s="2655"/>
      <c r="AH70" s="2655"/>
      <c r="AI70" s="2655"/>
      <c r="AJ70" s="2655"/>
      <c r="AK70" s="2655"/>
      <c r="AL70" s="2655"/>
      <c r="AM70" s="2655"/>
      <c r="AN70" s="2655"/>
      <c r="AO70" s="2655"/>
      <c r="AP70" s="2655"/>
      <c r="AQ70" s="2655"/>
      <c r="AR70" s="2655"/>
      <c r="AS70" s="2655"/>
      <c r="AT70" s="2655"/>
      <c r="AU70" s="2655"/>
      <c r="AV70" s="2655"/>
      <c r="AW70" s="2655"/>
      <c r="AX70" s="2655"/>
      <c r="AY70" s="2655"/>
      <c r="AZ70" s="2655"/>
      <c r="BA70" s="2655"/>
      <c r="BB70" s="2655"/>
      <c r="BC70" s="2655"/>
      <c r="BD70" s="2655"/>
      <c r="BE70" s="2655"/>
      <c r="BF70" s="2656"/>
    </row>
    <row r="71" spans="1:58" ht="23.25" customHeight="1" thickBot="1">
      <c r="B71" s="2530"/>
      <c r="C71" s="2531"/>
      <c r="D71" s="2488"/>
      <c r="E71" s="2490"/>
      <c r="F71" s="2490"/>
      <c r="G71" s="2492"/>
      <c r="H71" s="639">
        <v>500</v>
      </c>
      <c r="I71" s="640">
        <v>550</v>
      </c>
      <c r="J71" s="568">
        <v>600</v>
      </c>
      <c r="K71" s="569">
        <v>650</v>
      </c>
      <c r="L71" s="569">
        <v>700</v>
      </c>
      <c r="M71" s="569">
        <v>750</v>
      </c>
      <c r="N71" s="569">
        <v>800</v>
      </c>
      <c r="O71" s="569">
        <v>850</v>
      </c>
      <c r="P71" s="569">
        <v>900</v>
      </c>
      <c r="Q71" s="569">
        <v>950</v>
      </c>
      <c r="R71" s="569">
        <v>1000</v>
      </c>
      <c r="S71" s="569">
        <v>1050</v>
      </c>
      <c r="T71" s="569">
        <v>1100</v>
      </c>
      <c r="U71" s="569">
        <v>1150</v>
      </c>
      <c r="V71" s="569">
        <v>1200</v>
      </c>
      <c r="W71" s="569">
        <v>1250</v>
      </c>
      <c r="X71" s="569">
        <v>1300</v>
      </c>
      <c r="Y71" s="569">
        <v>1350</v>
      </c>
      <c r="Z71" s="569">
        <v>1400</v>
      </c>
      <c r="AA71" s="569">
        <v>1450</v>
      </c>
      <c r="AB71" s="569">
        <v>1500</v>
      </c>
      <c r="AC71" s="569">
        <v>1550</v>
      </c>
      <c r="AD71" s="569">
        <v>1600</v>
      </c>
      <c r="AE71" s="569">
        <v>1650</v>
      </c>
      <c r="AF71" s="569">
        <v>1700</v>
      </c>
      <c r="AG71" s="569">
        <v>1750</v>
      </c>
      <c r="AH71" s="569">
        <v>1800</v>
      </c>
      <c r="AI71" s="569">
        <v>1850</v>
      </c>
      <c r="AJ71" s="569">
        <v>1900</v>
      </c>
      <c r="AK71" s="569">
        <v>1950</v>
      </c>
      <c r="AL71" s="569">
        <v>2000</v>
      </c>
      <c r="AM71" s="569">
        <v>2050</v>
      </c>
      <c r="AN71" s="569">
        <v>2100</v>
      </c>
      <c r="AO71" s="569">
        <v>2150</v>
      </c>
      <c r="AP71" s="569">
        <v>2200</v>
      </c>
      <c r="AQ71" s="569">
        <v>2250</v>
      </c>
      <c r="AR71" s="569">
        <v>2300</v>
      </c>
      <c r="AS71" s="569">
        <v>2350</v>
      </c>
      <c r="AT71" s="569">
        <v>2400</v>
      </c>
      <c r="AU71" s="569">
        <v>2450</v>
      </c>
      <c r="AV71" s="569">
        <v>2500</v>
      </c>
      <c r="AW71" s="569">
        <v>2550</v>
      </c>
      <c r="AX71" s="569">
        <v>2600</v>
      </c>
      <c r="AY71" s="569">
        <v>2650</v>
      </c>
      <c r="AZ71" s="569">
        <v>2700</v>
      </c>
      <c r="BA71" s="569">
        <v>2750</v>
      </c>
      <c r="BB71" s="569">
        <v>2800</v>
      </c>
      <c r="BC71" s="569">
        <v>2850</v>
      </c>
      <c r="BD71" s="569">
        <v>2900</v>
      </c>
      <c r="BE71" s="569">
        <v>2950</v>
      </c>
      <c r="BF71" s="570">
        <v>3000</v>
      </c>
    </row>
    <row r="72" spans="1:58">
      <c r="A72" s="2477" t="s">
        <v>194</v>
      </c>
      <c r="B72" s="2642" t="s">
        <v>193</v>
      </c>
      <c r="C72" s="2643"/>
      <c r="D72" s="382" t="s">
        <v>194</v>
      </c>
      <c r="E72" s="431">
        <v>55</v>
      </c>
      <c r="F72" s="431">
        <v>160</v>
      </c>
      <c r="G72" s="383" t="s">
        <v>195</v>
      </c>
      <c r="H72" s="1016">
        <f t="shared" ref="H72:AM72" si="5">((H$71-$H$4)/1000)*$AI$22*(($C$8/70)^$AS$22)</f>
        <v>17.377796700000001</v>
      </c>
      <c r="I72" s="1016">
        <f t="shared" si="5"/>
        <v>23.170395600000006</v>
      </c>
      <c r="J72" s="1016">
        <f t="shared" si="5"/>
        <v>28.962994500000004</v>
      </c>
      <c r="K72" s="1016">
        <f t="shared" si="5"/>
        <v>34.755593400000002</v>
      </c>
      <c r="L72" s="1016">
        <f t="shared" si="5"/>
        <v>40.548192300000004</v>
      </c>
      <c r="M72" s="1016">
        <f t="shared" si="5"/>
        <v>46.340791200000012</v>
      </c>
      <c r="N72" s="1016">
        <f t="shared" si="5"/>
        <v>52.133390100000007</v>
      </c>
      <c r="O72" s="1016">
        <f t="shared" si="5"/>
        <v>57.925989000000008</v>
      </c>
      <c r="P72" s="1016">
        <f t="shared" si="5"/>
        <v>63.718587900000017</v>
      </c>
      <c r="Q72" s="1016">
        <f t="shared" si="5"/>
        <v>69.511186800000004</v>
      </c>
      <c r="R72" s="1016">
        <f t="shared" si="5"/>
        <v>75.30378570000002</v>
      </c>
      <c r="S72" s="1016">
        <f t="shared" si="5"/>
        <v>81.096384600000007</v>
      </c>
      <c r="T72" s="1016">
        <f t="shared" si="5"/>
        <v>86.888983500000009</v>
      </c>
      <c r="U72" s="1016">
        <f t="shared" si="5"/>
        <v>92.681582400000025</v>
      </c>
      <c r="V72" s="1016">
        <f t="shared" si="5"/>
        <v>98.474181300000012</v>
      </c>
      <c r="W72" s="1016">
        <f t="shared" si="5"/>
        <v>104.26678020000001</v>
      </c>
      <c r="X72" s="1016">
        <f t="shared" si="5"/>
        <v>110.05937910000002</v>
      </c>
      <c r="Y72" s="1016">
        <f t="shared" si="5"/>
        <v>115.85197800000002</v>
      </c>
      <c r="Z72" s="1016">
        <f t="shared" si="5"/>
        <v>121.64457690000002</v>
      </c>
      <c r="AA72" s="1016">
        <f t="shared" si="5"/>
        <v>127.43717580000003</v>
      </c>
      <c r="AB72" s="1016">
        <f t="shared" si="5"/>
        <v>133.22977470000001</v>
      </c>
      <c r="AC72" s="1016">
        <f t="shared" si="5"/>
        <v>139.02237360000001</v>
      </c>
      <c r="AD72" s="1016">
        <f t="shared" si="5"/>
        <v>144.81497250000001</v>
      </c>
      <c r="AE72" s="1016">
        <f t="shared" si="5"/>
        <v>150.60757140000004</v>
      </c>
      <c r="AF72" s="1016">
        <f t="shared" si="5"/>
        <v>156.40017030000004</v>
      </c>
      <c r="AG72" s="1016">
        <f t="shared" si="5"/>
        <v>162.19276920000001</v>
      </c>
      <c r="AH72" s="1016">
        <f t="shared" si="5"/>
        <v>167.98536810000002</v>
      </c>
      <c r="AI72" s="1016">
        <f t="shared" si="5"/>
        <v>173.77796700000002</v>
      </c>
      <c r="AJ72" s="1016">
        <f t="shared" si="5"/>
        <v>179.57056590000002</v>
      </c>
      <c r="AK72" s="1016">
        <f t="shared" si="5"/>
        <v>185.36316480000005</v>
      </c>
      <c r="AL72" s="1016">
        <f t="shared" si="5"/>
        <v>191.15576370000002</v>
      </c>
      <c r="AM72" s="1016">
        <f t="shared" si="5"/>
        <v>196.94836260000002</v>
      </c>
      <c r="AN72" s="1016">
        <f t="shared" ref="AN72:BF72" si="6">((AN$71-$H$4)/1000)*$AI$22*(($C$8/70)^$AS$22)</f>
        <v>202.74096150000003</v>
      </c>
      <c r="AO72" s="1016">
        <f t="shared" si="6"/>
        <v>208.53356040000003</v>
      </c>
      <c r="AP72" s="1016">
        <f t="shared" si="6"/>
        <v>214.32615930000003</v>
      </c>
      <c r="AQ72" s="1016">
        <f t="shared" si="6"/>
        <v>220.11875820000003</v>
      </c>
      <c r="AR72" s="1016">
        <f t="shared" si="6"/>
        <v>225.91135710000003</v>
      </c>
      <c r="AS72" s="1016">
        <f t="shared" si="6"/>
        <v>231.70395600000003</v>
      </c>
      <c r="AT72" s="1016">
        <f t="shared" si="6"/>
        <v>237.49655490000001</v>
      </c>
      <c r="AU72" s="1016">
        <f t="shared" si="6"/>
        <v>243.28915380000004</v>
      </c>
      <c r="AV72" s="1016">
        <f t="shared" si="6"/>
        <v>249.08175270000004</v>
      </c>
      <c r="AW72" s="1016">
        <f t="shared" si="6"/>
        <v>254.87435160000007</v>
      </c>
      <c r="AX72" s="1016">
        <f t="shared" si="6"/>
        <v>260.66695050000004</v>
      </c>
      <c r="AY72" s="1016">
        <f t="shared" si="6"/>
        <v>266.45954940000001</v>
      </c>
      <c r="AZ72" s="1016">
        <f t="shared" si="6"/>
        <v>272.25214830000004</v>
      </c>
      <c r="BA72" s="1016">
        <f t="shared" si="6"/>
        <v>278.04474720000002</v>
      </c>
      <c r="BB72" s="1016">
        <f t="shared" si="6"/>
        <v>283.83734610000005</v>
      </c>
      <c r="BC72" s="1016">
        <f t="shared" si="6"/>
        <v>289.62994500000002</v>
      </c>
      <c r="BD72" s="1016">
        <f t="shared" si="6"/>
        <v>295.42254390000005</v>
      </c>
      <c r="BE72" s="1016">
        <f t="shared" si="6"/>
        <v>301.21514280000008</v>
      </c>
      <c r="BF72" s="1016">
        <f t="shared" si="6"/>
        <v>307.00774170000005</v>
      </c>
    </row>
    <row r="73" spans="1:58">
      <c r="A73" s="2477"/>
      <c r="B73" s="2644" t="s">
        <v>196</v>
      </c>
      <c r="C73" s="2645"/>
      <c r="D73" s="384" t="s">
        <v>194</v>
      </c>
      <c r="E73" s="432">
        <v>55</v>
      </c>
      <c r="F73" s="432">
        <v>200</v>
      </c>
      <c r="G73" s="385" t="s">
        <v>195</v>
      </c>
      <c r="H73" s="1017">
        <f t="shared" ref="H73:AM73" si="7">((H$71-$H$4)/1000)*$AJ$22*(($C$8/70)^$AT$22)</f>
        <v>19.308662999999996</v>
      </c>
      <c r="I73" s="1017">
        <f t="shared" si="7"/>
        <v>25.744883999999999</v>
      </c>
      <c r="J73" s="1017">
        <f t="shared" si="7"/>
        <v>32.181104999999995</v>
      </c>
      <c r="K73" s="1017">
        <f t="shared" si="7"/>
        <v>38.617325999999991</v>
      </c>
      <c r="L73" s="1017">
        <f t="shared" si="7"/>
        <v>45.053546999999988</v>
      </c>
      <c r="M73" s="1017">
        <f t="shared" si="7"/>
        <v>51.489767999999998</v>
      </c>
      <c r="N73" s="1017">
        <f t="shared" si="7"/>
        <v>57.925988999999994</v>
      </c>
      <c r="O73" s="1017">
        <f t="shared" si="7"/>
        <v>64.36220999999999</v>
      </c>
      <c r="P73" s="1017">
        <f t="shared" si="7"/>
        <v>70.798430999999994</v>
      </c>
      <c r="Q73" s="1017">
        <f t="shared" si="7"/>
        <v>77.234651999999983</v>
      </c>
      <c r="R73" s="1017">
        <f t="shared" si="7"/>
        <v>83.670872999999986</v>
      </c>
      <c r="S73" s="1017">
        <f t="shared" si="7"/>
        <v>90.107093999999975</v>
      </c>
      <c r="T73" s="1017">
        <f t="shared" si="7"/>
        <v>96.543314999999978</v>
      </c>
      <c r="U73" s="1017">
        <f t="shared" si="7"/>
        <v>102.979536</v>
      </c>
      <c r="V73" s="1017">
        <f t="shared" si="7"/>
        <v>109.41575699999999</v>
      </c>
      <c r="W73" s="1017">
        <f t="shared" si="7"/>
        <v>115.85197799999999</v>
      </c>
      <c r="X73" s="1017">
        <f t="shared" si="7"/>
        <v>122.28819899999998</v>
      </c>
      <c r="Y73" s="1017">
        <f t="shared" si="7"/>
        <v>128.72441999999998</v>
      </c>
      <c r="Z73" s="1017">
        <f t="shared" si="7"/>
        <v>135.160641</v>
      </c>
      <c r="AA73" s="1017">
        <f t="shared" si="7"/>
        <v>141.59686199999999</v>
      </c>
      <c r="AB73" s="1017">
        <f t="shared" si="7"/>
        <v>148.03308299999998</v>
      </c>
      <c r="AC73" s="1017">
        <f t="shared" si="7"/>
        <v>154.46930399999997</v>
      </c>
      <c r="AD73" s="1017">
        <f t="shared" si="7"/>
        <v>160.90552499999998</v>
      </c>
      <c r="AE73" s="1017">
        <f t="shared" si="7"/>
        <v>167.34174599999997</v>
      </c>
      <c r="AF73" s="1017">
        <f t="shared" si="7"/>
        <v>173.77796699999999</v>
      </c>
      <c r="AG73" s="1017">
        <f t="shared" si="7"/>
        <v>180.21418799999995</v>
      </c>
      <c r="AH73" s="1017">
        <f t="shared" si="7"/>
        <v>186.65040899999997</v>
      </c>
      <c r="AI73" s="1017">
        <f t="shared" si="7"/>
        <v>193.08662999999996</v>
      </c>
      <c r="AJ73" s="1017">
        <f t="shared" si="7"/>
        <v>199.52285099999997</v>
      </c>
      <c r="AK73" s="1017">
        <f t="shared" si="7"/>
        <v>205.95907199999999</v>
      </c>
      <c r="AL73" s="1017">
        <f t="shared" si="7"/>
        <v>212.39529299999995</v>
      </c>
      <c r="AM73" s="1017">
        <f t="shared" si="7"/>
        <v>218.83151399999997</v>
      </c>
      <c r="AN73" s="1017">
        <f t="shared" ref="AN73:BF73" si="8">((AN$71-$H$4)/1000)*$AJ$22*(($C$8/70)^$AT$22)</f>
        <v>225.26773499999996</v>
      </c>
      <c r="AO73" s="1017">
        <f t="shared" si="8"/>
        <v>231.70395599999998</v>
      </c>
      <c r="AP73" s="1017">
        <f t="shared" si="8"/>
        <v>238.14017699999997</v>
      </c>
      <c r="AQ73" s="1017">
        <f t="shared" si="8"/>
        <v>244.57639799999995</v>
      </c>
      <c r="AR73" s="1017">
        <f t="shared" si="8"/>
        <v>251.01261899999994</v>
      </c>
      <c r="AS73" s="1017">
        <f t="shared" si="8"/>
        <v>257.44883999999996</v>
      </c>
      <c r="AT73" s="1017">
        <f t="shared" si="8"/>
        <v>263.88506099999995</v>
      </c>
      <c r="AU73" s="1017">
        <f t="shared" si="8"/>
        <v>270.321282</v>
      </c>
      <c r="AV73" s="1017">
        <f t="shared" si="8"/>
        <v>276.75750299999993</v>
      </c>
      <c r="AW73" s="1017">
        <f t="shared" si="8"/>
        <v>283.19372399999997</v>
      </c>
      <c r="AX73" s="1017">
        <f t="shared" si="8"/>
        <v>289.62994499999996</v>
      </c>
      <c r="AY73" s="1017">
        <f t="shared" si="8"/>
        <v>296.06616599999995</v>
      </c>
      <c r="AZ73" s="1017">
        <f t="shared" si="8"/>
        <v>302.50238699999994</v>
      </c>
      <c r="BA73" s="1017">
        <f t="shared" si="8"/>
        <v>308.93860799999993</v>
      </c>
      <c r="BB73" s="1017">
        <f t="shared" si="8"/>
        <v>315.37482899999998</v>
      </c>
      <c r="BC73" s="1017">
        <f t="shared" si="8"/>
        <v>321.81104999999997</v>
      </c>
      <c r="BD73" s="1017">
        <f t="shared" si="8"/>
        <v>328.24727099999996</v>
      </c>
      <c r="BE73" s="1017">
        <f t="shared" si="8"/>
        <v>334.68349199999994</v>
      </c>
      <c r="BF73" s="1017">
        <f t="shared" si="8"/>
        <v>341.11971299999993</v>
      </c>
    </row>
    <row r="74" spans="1:58">
      <c r="A74" s="2477"/>
      <c r="B74" s="2644" t="s">
        <v>197</v>
      </c>
      <c r="C74" s="2645"/>
      <c r="D74" s="384" t="s">
        <v>194</v>
      </c>
      <c r="E74" s="432">
        <v>55</v>
      </c>
      <c r="F74" s="432">
        <v>260</v>
      </c>
      <c r="G74" s="385" t="s">
        <v>195</v>
      </c>
      <c r="H74" s="1017">
        <f t="shared" ref="H74:AM74" si="9">((H$71-$H$4)/1000)*$AK$22*(($C$8/70)^$AU$22)</f>
        <v>24.8703048</v>
      </c>
      <c r="I74" s="1017">
        <f t="shared" si="9"/>
        <v>33.160406399999999</v>
      </c>
      <c r="J74" s="1017">
        <f t="shared" si="9"/>
        <v>41.450507999999999</v>
      </c>
      <c r="K74" s="1017">
        <f t="shared" si="9"/>
        <v>49.740609599999999</v>
      </c>
      <c r="L74" s="1017">
        <f t="shared" si="9"/>
        <v>58.030711199999992</v>
      </c>
      <c r="M74" s="1017">
        <f t="shared" si="9"/>
        <v>66.320812799999999</v>
      </c>
      <c r="N74" s="1017">
        <f t="shared" si="9"/>
        <v>74.610914399999999</v>
      </c>
      <c r="O74" s="1017">
        <f t="shared" si="9"/>
        <v>82.901015999999998</v>
      </c>
      <c r="P74" s="1017">
        <f t="shared" si="9"/>
        <v>91.191117600000013</v>
      </c>
      <c r="Q74" s="1017">
        <f t="shared" si="9"/>
        <v>99.481219199999998</v>
      </c>
      <c r="R74" s="1017">
        <f t="shared" si="9"/>
        <v>107.7713208</v>
      </c>
      <c r="S74" s="1017">
        <f t="shared" si="9"/>
        <v>116.06142239999998</v>
      </c>
      <c r="T74" s="1017">
        <f t="shared" si="9"/>
        <v>124.351524</v>
      </c>
      <c r="U74" s="1017">
        <f t="shared" si="9"/>
        <v>132.6416256</v>
      </c>
      <c r="V74" s="1017">
        <f t="shared" si="9"/>
        <v>140.93172719999998</v>
      </c>
      <c r="W74" s="1017">
        <f t="shared" si="9"/>
        <v>149.2218288</v>
      </c>
      <c r="X74" s="1017">
        <f t="shared" si="9"/>
        <v>157.51193039999998</v>
      </c>
      <c r="Y74" s="1017">
        <f t="shared" si="9"/>
        <v>165.802032</v>
      </c>
      <c r="Z74" s="1017">
        <f t="shared" si="9"/>
        <v>174.09213360000001</v>
      </c>
      <c r="AA74" s="1017">
        <f t="shared" si="9"/>
        <v>182.38223520000003</v>
      </c>
      <c r="AB74" s="1017">
        <f t="shared" si="9"/>
        <v>190.67233679999998</v>
      </c>
      <c r="AC74" s="1017">
        <f t="shared" si="9"/>
        <v>198.9624384</v>
      </c>
      <c r="AD74" s="1017">
        <f t="shared" si="9"/>
        <v>207.25254000000001</v>
      </c>
      <c r="AE74" s="1017">
        <f t="shared" si="9"/>
        <v>215.5426416</v>
      </c>
      <c r="AF74" s="1017">
        <f t="shared" si="9"/>
        <v>223.83274320000001</v>
      </c>
      <c r="AG74" s="1017">
        <f t="shared" si="9"/>
        <v>232.12284479999997</v>
      </c>
      <c r="AH74" s="1017">
        <f t="shared" si="9"/>
        <v>240.41294639999998</v>
      </c>
      <c r="AI74" s="1017">
        <f t="shared" si="9"/>
        <v>248.703048</v>
      </c>
      <c r="AJ74" s="1017">
        <f t="shared" si="9"/>
        <v>256.99314959999998</v>
      </c>
      <c r="AK74" s="1017">
        <f t="shared" si="9"/>
        <v>265.2832512</v>
      </c>
      <c r="AL74" s="1017">
        <f t="shared" si="9"/>
        <v>273.57335279999995</v>
      </c>
      <c r="AM74" s="1017">
        <f t="shared" si="9"/>
        <v>281.86345439999997</v>
      </c>
      <c r="AN74" s="1017">
        <f t="shared" ref="AN74:BF74" si="10">((AN$71-$H$4)/1000)*$AK$22*(($C$8/70)^$AU$22)</f>
        <v>290.15355599999998</v>
      </c>
      <c r="AO74" s="1017">
        <f t="shared" si="10"/>
        <v>298.44365759999999</v>
      </c>
      <c r="AP74" s="1017">
        <f t="shared" si="10"/>
        <v>306.73375920000001</v>
      </c>
      <c r="AQ74" s="1017">
        <f t="shared" si="10"/>
        <v>315.02386079999997</v>
      </c>
      <c r="AR74" s="1017">
        <f t="shared" si="10"/>
        <v>323.31396239999998</v>
      </c>
      <c r="AS74" s="1017">
        <f t="shared" si="10"/>
        <v>331.60406399999999</v>
      </c>
      <c r="AT74" s="1017">
        <f t="shared" si="10"/>
        <v>339.89416559999995</v>
      </c>
      <c r="AU74" s="1017">
        <f t="shared" si="10"/>
        <v>348.18426720000002</v>
      </c>
      <c r="AV74" s="1017">
        <f t="shared" si="10"/>
        <v>356.47436879999998</v>
      </c>
      <c r="AW74" s="1017">
        <f t="shared" si="10"/>
        <v>364.76447040000005</v>
      </c>
      <c r="AX74" s="1017">
        <f t="shared" si="10"/>
        <v>373.05457200000001</v>
      </c>
      <c r="AY74" s="1017">
        <f t="shared" si="10"/>
        <v>381.34467359999996</v>
      </c>
      <c r="AZ74" s="1017">
        <f t="shared" si="10"/>
        <v>389.63477520000004</v>
      </c>
      <c r="BA74" s="1017">
        <f t="shared" si="10"/>
        <v>397.92487679999999</v>
      </c>
      <c r="BB74" s="1017">
        <f t="shared" si="10"/>
        <v>406.21497840000001</v>
      </c>
      <c r="BC74" s="1017">
        <f t="shared" si="10"/>
        <v>414.50508000000002</v>
      </c>
      <c r="BD74" s="1017">
        <f t="shared" si="10"/>
        <v>422.79518159999998</v>
      </c>
      <c r="BE74" s="1017">
        <f t="shared" si="10"/>
        <v>431.08528319999999</v>
      </c>
      <c r="BF74" s="1017">
        <f t="shared" si="10"/>
        <v>439.37538479999995</v>
      </c>
    </row>
    <row r="75" spans="1:58">
      <c r="A75" s="2477"/>
      <c r="B75" s="2644" t="s">
        <v>198</v>
      </c>
      <c r="C75" s="2645"/>
      <c r="D75" s="384" t="s">
        <v>194</v>
      </c>
      <c r="E75" s="432">
        <v>55</v>
      </c>
      <c r="F75" s="432">
        <v>300</v>
      </c>
      <c r="G75" s="385" t="s">
        <v>195</v>
      </c>
      <c r="H75" s="1017">
        <f t="shared" ref="H75:AM75" si="11">((H$71-$H$4)/1000)*$AL$22*(($C$8/70)^$AV$22)</f>
        <v>26.72020887132485</v>
      </c>
      <c r="I75" s="1017">
        <f t="shared" si="11"/>
        <v>35.626945161766471</v>
      </c>
      <c r="J75" s="1017">
        <f t="shared" si="11"/>
        <v>44.533681452208086</v>
      </c>
      <c r="K75" s="1017">
        <f t="shared" si="11"/>
        <v>53.4404177426497</v>
      </c>
      <c r="L75" s="1017">
        <f t="shared" si="11"/>
        <v>62.347154033091314</v>
      </c>
      <c r="M75" s="1017">
        <f t="shared" si="11"/>
        <v>71.253890323532943</v>
      </c>
      <c r="N75" s="1017">
        <f t="shared" si="11"/>
        <v>80.160626613974557</v>
      </c>
      <c r="O75" s="1017">
        <f t="shared" si="11"/>
        <v>89.067362904416171</v>
      </c>
      <c r="P75" s="1017">
        <f t="shared" si="11"/>
        <v>97.9740991948578</v>
      </c>
      <c r="Q75" s="1017">
        <f t="shared" si="11"/>
        <v>106.8808354852994</v>
      </c>
      <c r="R75" s="1017">
        <f t="shared" si="11"/>
        <v>115.78757177574103</v>
      </c>
      <c r="S75" s="1017">
        <f t="shared" si="11"/>
        <v>124.69430806618263</v>
      </c>
      <c r="T75" s="1017">
        <f t="shared" si="11"/>
        <v>133.60104435662424</v>
      </c>
      <c r="U75" s="1017">
        <f t="shared" si="11"/>
        <v>142.50778064706589</v>
      </c>
      <c r="V75" s="1017">
        <f t="shared" si="11"/>
        <v>151.4145169375075</v>
      </c>
      <c r="W75" s="1017">
        <f t="shared" si="11"/>
        <v>160.32125322794911</v>
      </c>
      <c r="X75" s="1017">
        <f t="shared" si="11"/>
        <v>169.22798951839073</v>
      </c>
      <c r="Y75" s="1017">
        <f t="shared" si="11"/>
        <v>178.13472580883234</v>
      </c>
      <c r="Z75" s="1017">
        <f t="shared" si="11"/>
        <v>187.04146209927396</v>
      </c>
      <c r="AA75" s="1017">
        <f t="shared" si="11"/>
        <v>195.9481983897156</v>
      </c>
      <c r="AB75" s="1017">
        <f t="shared" si="11"/>
        <v>204.85493468015719</v>
      </c>
      <c r="AC75" s="1017">
        <f t="shared" si="11"/>
        <v>213.7616709705988</v>
      </c>
      <c r="AD75" s="1017">
        <f t="shared" si="11"/>
        <v>222.66840726104044</v>
      </c>
      <c r="AE75" s="1017">
        <f t="shared" si="11"/>
        <v>231.57514355148206</v>
      </c>
      <c r="AF75" s="1017">
        <f t="shared" si="11"/>
        <v>240.48187984192367</v>
      </c>
      <c r="AG75" s="1017">
        <f t="shared" si="11"/>
        <v>249.38861613236526</v>
      </c>
      <c r="AH75" s="1017">
        <f t="shared" si="11"/>
        <v>258.2953524228069</v>
      </c>
      <c r="AI75" s="1017">
        <f t="shared" si="11"/>
        <v>267.20208871324849</v>
      </c>
      <c r="AJ75" s="1017">
        <f t="shared" si="11"/>
        <v>276.10882500369013</v>
      </c>
      <c r="AK75" s="1017">
        <f t="shared" si="11"/>
        <v>285.01556129413177</v>
      </c>
      <c r="AL75" s="1017">
        <f t="shared" si="11"/>
        <v>293.92229758457336</v>
      </c>
      <c r="AM75" s="1017">
        <f t="shared" si="11"/>
        <v>302.829033875015</v>
      </c>
      <c r="AN75" s="1017">
        <f t="shared" ref="AN75:BF75" si="12">((AN$71-$H$4)/1000)*$AL$22*(($C$8/70)^$AV$22)</f>
        <v>311.73577016545659</v>
      </c>
      <c r="AO75" s="1017">
        <f t="shared" si="12"/>
        <v>320.64250645589823</v>
      </c>
      <c r="AP75" s="1017">
        <f t="shared" si="12"/>
        <v>329.54924274633987</v>
      </c>
      <c r="AQ75" s="1017">
        <f t="shared" si="12"/>
        <v>338.45597903678146</v>
      </c>
      <c r="AR75" s="1017">
        <f t="shared" si="12"/>
        <v>347.36271532722304</v>
      </c>
      <c r="AS75" s="1017">
        <f t="shared" si="12"/>
        <v>356.26945161766469</v>
      </c>
      <c r="AT75" s="1017">
        <f t="shared" si="12"/>
        <v>365.17618790810627</v>
      </c>
      <c r="AU75" s="1017">
        <f t="shared" si="12"/>
        <v>374.08292419854791</v>
      </c>
      <c r="AV75" s="1017">
        <f t="shared" si="12"/>
        <v>382.9896604889895</v>
      </c>
      <c r="AW75" s="1017">
        <f t="shared" si="12"/>
        <v>391.8963967794312</v>
      </c>
      <c r="AX75" s="1017">
        <f t="shared" si="12"/>
        <v>400.80313306987279</v>
      </c>
      <c r="AY75" s="1017">
        <f t="shared" si="12"/>
        <v>409.70986936031437</v>
      </c>
      <c r="AZ75" s="1017">
        <f t="shared" si="12"/>
        <v>418.61660565075601</v>
      </c>
      <c r="BA75" s="1017">
        <f t="shared" si="12"/>
        <v>427.5233419411976</v>
      </c>
      <c r="BB75" s="1017">
        <f t="shared" si="12"/>
        <v>436.4300782316393</v>
      </c>
      <c r="BC75" s="1017">
        <f t="shared" si="12"/>
        <v>445.33681452208089</v>
      </c>
      <c r="BD75" s="1017">
        <f t="shared" si="12"/>
        <v>454.24355081252241</v>
      </c>
      <c r="BE75" s="1017">
        <f t="shared" si="12"/>
        <v>463.15028710296411</v>
      </c>
      <c r="BF75" s="1017">
        <f t="shared" si="12"/>
        <v>472.0570233934057</v>
      </c>
    </row>
    <row r="76" spans="1:58" ht="15.75" thickBot="1">
      <c r="A76" s="2477"/>
      <c r="B76" s="2646" t="s">
        <v>199</v>
      </c>
      <c r="C76" s="2647"/>
      <c r="D76" s="386" t="s">
        <v>194</v>
      </c>
      <c r="E76" s="433">
        <v>55</v>
      </c>
      <c r="F76" s="433">
        <v>300</v>
      </c>
      <c r="G76" s="387" t="s">
        <v>200</v>
      </c>
      <c r="H76" s="1018">
        <f t="shared" ref="H76:AM76" si="13">((H$71-$H$4)/1000)*$AM$22*(($C$8/70)^$AW$22)</f>
        <v>35.784143999999998</v>
      </c>
      <c r="I76" s="1018">
        <f t="shared" si="13"/>
        <v>47.712192000000002</v>
      </c>
      <c r="J76" s="1018">
        <f t="shared" si="13"/>
        <v>59.640239999999999</v>
      </c>
      <c r="K76" s="1018">
        <f t="shared" si="13"/>
        <v>71.568287999999995</v>
      </c>
      <c r="L76" s="1018">
        <f t="shared" si="13"/>
        <v>83.496335999999999</v>
      </c>
      <c r="M76" s="1018">
        <f t="shared" si="13"/>
        <v>95.424384000000003</v>
      </c>
      <c r="N76" s="1018">
        <f t="shared" si="13"/>
        <v>107.35243199999999</v>
      </c>
      <c r="O76" s="1018">
        <f t="shared" si="13"/>
        <v>119.28048</v>
      </c>
      <c r="P76" s="1018">
        <f t="shared" si="13"/>
        <v>131.208528</v>
      </c>
      <c r="Q76" s="1018">
        <f t="shared" si="13"/>
        <v>143.13657599999999</v>
      </c>
      <c r="R76" s="1018">
        <f t="shared" si="13"/>
        <v>155.06462400000001</v>
      </c>
      <c r="S76" s="1018">
        <f t="shared" si="13"/>
        <v>166.992672</v>
      </c>
      <c r="T76" s="1018">
        <f t="shared" si="13"/>
        <v>178.92071999999999</v>
      </c>
      <c r="U76" s="1018">
        <f t="shared" si="13"/>
        <v>190.84876800000001</v>
      </c>
      <c r="V76" s="1018">
        <f t="shared" si="13"/>
        <v>202.776816</v>
      </c>
      <c r="W76" s="1018">
        <f t="shared" si="13"/>
        <v>214.70486399999999</v>
      </c>
      <c r="X76" s="1018">
        <f t="shared" si="13"/>
        <v>226.63291199999998</v>
      </c>
      <c r="Y76" s="1018">
        <f t="shared" si="13"/>
        <v>238.56095999999999</v>
      </c>
      <c r="Z76" s="1018">
        <f t="shared" si="13"/>
        <v>250.48900800000001</v>
      </c>
      <c r="AA76" s="1018">
        <f t="shared" si="13"/>
        <v>262.417056</v>
      </c>
      <c r="AB76" s="1018">
        <f t="shared" si="13"/>
        <v>274.34510399999999</v>
      </c>
      <c r="AC76" s="1018">
        <f t="shared" si="13"/>
        <v>286.27315199999998</v>
      </c>
      <c r="AD76" s="1018">
        <f t="shared" si="13"/>
        <v>298.20119999999997</v>
      </c>
      <c r="AE76" s="1018">
        <f t="shared" si="13"/>
        <v>310.12924800000002</v>
      </c>
      <c r="AF76" s="1018">
        <f t="shared" si="13"/>
        <v>322.05729600000001</v>
      </c>
      <c r="AG76" s="1018">
        <f t="shared" si="13"/>
        <v>333.985344</v>
      </c>
      <c r="AH76" s="1018">
        <f t="shared" si="13"/>
        <v>345.91339199999999</v>
      </c>
      <c r="AI76" s="1018">
        <f t="shared" si="13"/>
        <v>357.84143999999998</v>
      </c>
      <c r="AJ76" s="1018">
        <f t="shared" si="13"/>
        <v>369.76948800000002</v>
      </c>
      <c r="AK76" s="1018">
        <f t="shared" si="13"/>
        <v>381.69753600000001</v>
      </c>
      <c r="AL76" s="1018">
        <f t="shared" si="13"/>
        <v>393.62558399999995</v>
      </c>
      <c r="AM76" s="1018">
        <f t="shared" si="13"/>
        <v>405.55363199999999</v>
      </c>
      <c r="AN76" s="1018">
        <f t="shared" ref="AN76:BF76" si="14">((AN$71-$H$4)/1000)*$AM$22*(($C$8/70)^$AW$22)</f>
        <v>417.48167999999998</v>
      </c>
      <c r="AO76" s="1018">
        <f t="shared" si="14"/>
        <v>429.40972799999997</v>
      </c>
      <c r="AP76" s="1018">
        <f t="shared" si="14"/>
        <v>441.33777600000002</v>
      </c>
      <c r="AQ76" s="1018">
        <f t="shared" si="14"/>
        <v>453.26582399999995</v>
      </c>
      <c r="AR76" s="1018">
        <f t="shared" si="14"/>
        <v>465.193872</v>
      </c>
      <c r="AS76" s="1018">
        <f t="shared" si="14"/>
        <v>477.12191999999999</v>
      </c>
      <c r="AT76" s="1018">
        <f t="shared" si="14"/>
        <v>489.04996799999992</v>
      </c>
      <c r="AU76" s="1018">
        <f t="shared" si="14"/>
        <v>500.97801600000003</v>
      </c>
      <c r="AV76" s="1018">
        <f t="shared" si="14"/>
        <v>512.90606400000001</v>
      </c>
      <c r="AW76" s="1018">
        <f t="shared" si="14"/>
        <v>524.834112</v>
      </c>
      <c r="AX76" s="1018">
        <f t="shared" si="14"/>
        <v>536.76215999999999</v>
      </c>
      <c r="AY76" s="1018">
        <f t="shared" si="14"/>
        <v>548.69020799999998</v>
      </c>
      <c r="AZ76" s="1018">
        <f t="shared" si="14"/>
        <v>560.61825599999997</v>
      </c>
      <c r="BA76" s="1018">
        <f t="shared" si="14"/>
        <v>572.54630399999996</v>
      </c>
      <c r="BB76" s="1018">
        <f t="shared" si="14"/>
        <v>584.47435200000007</v>
      </c>
      <c r="BC76" s="1018">
        <f t="shared" si="14"/>
        <v>596.40239999999994</v>
      </c>
      <c r="BD76" s="1018">
        <f t="shared" si="14"/>
        <v>608.33044799999993</v>
      </c>
      <c r="BE76" s="1018">
        <f t="shared" si="14"/>
        <v>620.25849600000004</v>
      </c>
      <c r="BF76" s="1018">
        <f t="shared" si="14"/>
        <v>632.18654399999991</v>
      </c>
    </row>
    <row r="77" spans="1:58" ht="15.75" hidden="1" customHeight="1" thickBot="1">
      <c r="A77" s="2477"/>
      <c r="B77" s="2648" t="s">
        <v>201</v>
      </c>
      <c r="C77" s="2649"/>
      <c r="D77" s="383"/>
      <c r="E77" s="431"/>
      <c r="F77" s="431"/>
      <c r="G77" s="383"/>
      <c r="H77" s="1019">
        <f t="shared" ref="H77:AM77" si="15">((H$71-$H$4)/1000)*$AN$22*(($C$8/70)^$AX$22)</f>
        <v>38.437837019999996</v>
      </c>
      <c r="I77" s="1019">
        <f t="shared" si="15"/>
        <v>51.250449359999998</v>
      </c>
      <c r="J77" s="1019">
        <f t="shared" si="15"/>
        <v>64.063061699999992</v>
      </c>
      <c r="K77" s="1019">
        <f t="shared" si="15"/>
        <v>76.875674039999993</v>
      </c>
      <c r="L77" s="1019">
        <f t="shared" si="15"/>
        <v>89.68828637999998</v>
      </c>
      <c r="M77" s="1019">
        <f t="shared" si="15"/>
        <v>102.50089872</v>
      </c>
      <c r="N77" s="1019">
        <f t="shared" si="15"/>
        <v>115.31351105999998</v>
      </c>
      <c r="O77" s="1019">
        <f t="shared" si="15"/>
        <v>128.12612339999998</v>
      </c>
      <c r="P77" s="1019">
        <f t="shared" si="15"/>
        <v>140.93873574</v>
      </c>
      <c r="Q77" s="1019">
        <f t="shared" si="15"/>
        <v>153.75134807999999</v>
      </c>
      <c r="R77" s="1019">
        <f t="shared" si="15"/>
        <v>166.56396041999997</v>
      </c>
      <c r="S77" s="1019">
        <f t="shared" si="15"/>
        <v>179.37657275999996</v>
      </c>
      <c r="T77" s="1019">
        <f t="shared" si="15"/>
        <v>192.18918509999997</v>
      </c>
      <c r="U77" s="1019">
        <f t="shared" si="15"/>
        <v>205.00179743999999</v>
      </c>
      <c r="V77" s="1019">
        <f t="shared" si="15"/>
        <v>217.81440977999998</v>
      </c>
      <c r="W77" s="1019">
        <f t="shared" si="15"/>
        <v>230.62702211999996</v>
      </c>
      <c r="X77" s="1019">
        <f t="shared" si="15"/>
        <v>243.43963445999995</v>
      </c>
      <c r="Y77" s="1019">
        <f t="shared" si="15"/>
        <v>256.25224679999997</v>
      </c>
      <c r="Z77" s="1019">
        <f t="shared" si="15"/>
        <v>269.06485913999995</v>
      </c>
      <c r="AA77" s="1019">
        <f t="shared" si="15"/>
        <v>281.87747148</v>
      </c>
      <c r="AB77" s="1019">
        <f t="shared" si="15"/>
        <v>294.69008381999993</v>
      </c>
      <c r="AC77" s="1019">
        <f t="shared" si="15"/>
        <v>307.50269615999997</v>
      </c>
      <c r="AD77" s="1019">
        <f t="shared" si="15"/>
        <v>320.31530849999996</v>
      </c>
      <c r="AE77" s="1019">
        <f t="shared" si="15"/>
        <v>333.12792083999994</v>
      </c>
      <c r="AF77" s="1019">
        <f t="shared" si="15"/>
        <v>345.94053317999999</v>
      </c>
      <c r="AG77" s="1019">
        <f t="shared" si="15"/>
        <v>358.75314551999992</v>
      </c>
      <c r="AH77" s="1019">
        <f t="shared" si="15"/>
        <v>371.56575785999996</v>
      </c>
      <c r="AI77" s="1019">
        <f t="shared" si="15"/>
        <v>384.37837019999995</v>
      </c>
      <c r="AJ77" s="1019">
        <f t="shared" si="15"/>
        <v>397.19098253999994</v>
      </c>
      <c r="AK77" s="1019">
        <f t="shared" si="15"/>
        <v>410.00359487999998</v>
      </c>
      <c r="AL77" s="1019">
        <f t="shared" si="15"/>
        <v>422.81620721999991</v>
      </c>
      <c r="AM77" s="1019">
        <f t="shared" si="15"/>
        <v>435.62881955999995</v>
      </c>
      <c r="AN77" s="1019">
        <f t="shared" ref="AN77:BF77" si="16">((AN$71-$H$4)/1000)*$AN$22*(($C$8/70)^$AX$22)</f>
        <v>448.44143189999994</v>
      </c>
      <c r="AO77" s="1019">
        <f t="shared" si="16"/>
        <v>461.25404423999993</v>
      </c>
      <c r="AP77" s="1019">
        <f t="shared" si="16"/>
        <v>474.06665657999997</v>
      </c>
      <c r="AQ77" s="1019">
        <f t="shared" si="16"/>
        <v>486.8792689199999</v>
      </c>
      <c r="AR77" s="1019">
        <f t="shared" si="16"/>
        <v>499.69188125999995</v>
      </c>
      <c r="AS77" s="1019">
        <f t="shared" si="16"/>
        <v>512.50449359999993</v>
      </c>
      <c r="AT77" s="1019">
        <f t="shared" si="16"/>
        <v>525.31710593999992</v>
      </c>
      <c r="AU77" s="1019">
        <f t="shared" si="16"/>
        <v>538.12971827999991</v>
      </c>
      <c r="AV77" s="1019">
        <f t="shared" si="16"/>
        <v>550.94233061999989</v>
      </c>
      <c r="AW77" s="1019">
        <f t="shared" si="16"/>
        <v>563.75494295999999</v>
      </c>
      <c r="AX77" s="1019">
        <f t="shared" si="16"/>
        <v>576.56755529999987</v>
      </c>
      <c r="AY77" s="1019">
        <f t="shared" si="16"/>
        <v>589.38016763999985</v>
      </c>
      <c r="AZ77" s="1019">
        <f t="shared" si="16"/>
        <v>602.19277997999995</v>
      </c>
      <c r="BA77" s="1019">
        <f t="shared" si="16"/>
        <v>615.00539231999994</v>
      </c>
      <c r="BB77" s="1019">
        <f t="shared" si="16"/>
        <v>627.81800465999993</v>
      </c>
      <c r="BC77" s="1019">
        <f t="shared" si="16"/>
        <v>640.63061699999992</v>
      </c>
      <c r="BD77" s="1019">
        <f t="shared" si="16"/>
        <v>653.4432293399999</v>
      </c>
      <c r="BE77" s="1019">
        <f t="shared" si="16"/>
        <v>666.25584167999989</v>
      </c>
      <c r="BF77" s="1019">
        <f t="shared" si="16"/>
        <v>679.06845401999988</v>
      </c>
    </row>
    <row r="78" spans="1:58" ht="15.75" hidden="1" customHeight="1" thickBot="1">
      <c r="A78" s="2477"/>
      <c r="B78" s="2634" t="s">
        <v>202</v>
      </c>
      <c r="C78" s="2635"/>
      <c r="D78" s="385"/>
      <c r="E78" s="432"/>
      <c r="F78" s="432"/>
      <c r="G78" s="385"/>
      <c r="H78" s="1017">
        <f t="shared" ref="H78:AM78" si="17">((H$71-$H$4)/1000)*$AO$22*(($C$8/70)^$AY$22)</f>
        <v>39.599532732402714</v>
      </c>
      <c r="I78" s="1017">
        <f t="shared" si="17"/>
        <v>52.799376976536955</v>
      </c>
      <c r="J78" s="1017">
        <f t="shared" si="17"/>
        <v>65.999221220671188</v>
      </c>
      <c r="K78" s="1017">
        <f t="shared" si="17"/>
        <v>79.199065464805429</v>
      </c>
      <c r="L78" s="1017">
        <f t="shared" si="17"/>
        <v>92.398909708939655</v>
      </c>
      <c r="M78" s="1017">
        <f t="shared" si="17"/>
        <v>105.59875395307391</v>
      </c>
      <c r="N78" s="1017">
        <f t="shared" si="17"/>
        <v>118.79859819720814</v>
      </c>
      <c r="O78" s="1017">
        <f t="shared" si="17"/>
        <v>131.99844244134238</v>
      </c>
      <c r="P78" s="1017">
        <f t="shared" si="17"/>
        <v>145.19828668547663</v>
      </c>
      <c r="Q78" s="1017">
        <f t="shared" si="17"/>
        <v>158.39813092961086</v>
      </c>
      <c r="R78" s="1017">
        <f t="shared" si="17"/>
        <v>171.59797517374508</v>
      </c>
      <c r="S78" s="1017">
        <f t="shared" si="17"/>
        <v>184.79781941787931</v>
      </c>
      <c r="T78" s="1017">
        <f t="shared" si="17"/>
        <v>197.99766366201357</v>
      </c>
      <c r="U78" s="1017">
        <f t="shared" si="17"/>
        <v>211.19750790614782</v>
      </c>
      <c r="V78" s="1017">
        <f t="shared" si="17"/>
        <v>224.39735215028205</v>
      </c>
      <c r="W78" s="1017">
        <f t="shared" si="17"/>
        <v>237.59719639441627</v>
      </c>
      <c r="X78" s="1017">
        <f t="shared" si="17"/>
        <v>250.7970406385505</v>
      </c>
      <c r="Y78" s="1017">
        <f t="shared" si="17"/>
        <v>263.99688488268475</v>
      </c>
      <c r="Z78" s="1017">
        <f t="shared" si="17"/>
        <v>277.19672912681898</v>
      </c>
      <c r="AA78" s="1017">
        <f t="shared" si="17"/>
        <v>290.39657337095326</v>
      </c>
      <c r="AB78" s="1017">
        <f t="shared" si="17"/>
        <v>303.59641761508743</v>
      </c>
      <c r="AC78" s="1017">
        <f t="shared" si="17"/>
        <v>316.79626185922172</v>
      </c>
      <c r="AD78" s="1017">
        <f t="shared" si="17"/>
        <v>329.99610610335594</v>
      </c>
      <c r="AE78" s="1017">
        <f t="shared" si="17"/>
        <v>343.19595034749017</v>
      </c>
      <c r="AF78" s="1017">
        <f t="shared" si="17"/>
        <v>356.39579459162445</v>
      </c>
      <c r="AG78" s="1017">
        <f t="shared" si="17"/>
        <v>369.59563883575862</v>
      </c>
      <c r="AH78" s="1017">
        <f t="shared" si="17"/>
        <v>382.7954830798929</v>
      </c>
      <c r="AI78" s="1017">
        <f t="shared" si="17"/>
        <v>395.99532732402713</v>
      </c>
      <c r="AJ78" s="1017">
        <f t="shared" si="17"/>
        <v>409.19517156816136</v>
      </c>
      <c r="AK78" s="1017">
        <f t="shared" si="17"/>
        <v>422.39501581229564</v>
      </c>
      <c r="AL78" s="1017">
        <f t="shared" si="17"/>
        <v>435.59486005642981</v>
      </c>
      <c r="AM78" s="1017">
        <f t="shared" si="17"/>
        <v>448.79470430056409</v>
      </c>
      <c r="AN78" s="1017">
        <f t="shared" ref="AN78:BF78" si="18">((AN$71-$H$4)/1000)*$AO$22*(($C$8/70)^$AY$22)</f>
        <v>461.99454854469832</v>
      </c>
      <c r="AO78" s="1017">
        <f t="shared" si="18"/>
        <v>475.19439278883254</v>
      </c>
      <c r="AP78" s="1017">
        <f t="shared" si="18"/>
        <v>488.39423703296683</v>
      </c>
      <c r="AQ78" s="1017">
        <f t="shared" si="18"/>
        <v>501.594081277101</v>
      </c>
      <c r="AR78" s="1017">
        <f t="shared" si="18"/>
        <v>514.79392552123522</v>
      </c>
      <c r="AS78" s="1017">
        <f t="shared" si="18"/>
        <v>527.99376976536951</v>
      </c>
      <c r="AT78" s="1017">
        <f t="shared" si="18"/>
        <v>541.19361400950368</v>
      </c>
      <c r="AU78" s="1017">
        <f t="shared" si="18"/>
        <v>554.39345825363796</v>
      </c>
      <c r="AV78" s="1017">
        <f t="shared" si="18"/>
        <v>567.59330249777224</v>
      </c>
      <c r="AW78" s="1017">
        <f t="shared" si="18"/>
        <v>580.79314674190653</v>
      </c>
      <c r="AX78" s="1017">
        <f t="shared" si="18"/>
        <v>593.9929909860407</v>
      </c>
      <c r="AY78" s="1017">
        <f t="shared" si="18"/>
        <v>607.19283523017486</v>
      </c>
      <c r="AZ78" s="1017">
        <f t="shared" si="18"/>
        <v>620.39267947430915</v>
      </c>
      <c r="BA78" s="1017">
        <f t="shared" si="18"/>
        <v>633.59252371844343</v>
      </c>
      <c r="BB78" s="1017">
        <f t="shared" si="18"/>
        <v>646.79236796257771</v>
      </c>
      <c r="BC78" s="1017">
        <f t="shared" si="18"/>
        <v>659.99221220671188</v>
      </c>
      <c r="BD78" s="1017">
        <f t="shared" si="18"/>
        <v>673.19205645084605</v>
      </c>
      <c r="BE78" s="1017">
        <f t="shared" si="18"/>
        <v>686.39190069498034</v>
      </c>
      <c r="BF78" s="1017">
        <f t="shared" si="18"/>
        <v>699.59174493911462</v>
      </c>
    </row>
    <row r="79" spans="1:58" ht="15.75" hidden="1" customHeight="1" thickBot="1">
      <c r="A79" s="2477"/>
      <c r="B79" s="2636" t="s">
        <v>203</v>
      </c>
      <c r="C79" s="2637"/>
      <c r="D79" s="387"/>
      <c r="E79" s="433"/>
      <c r="F79" s="433"/>
      <c r="G79" s="387"/>
      <c r="H79" s="1018">
        <f t="shared" ref="H79:AM79" si="19">((H$71-$H$4)/1000)*$AP$22*(($C$8/70)^$AZ$22)</f>
        <v>51.578524799999997</v>
      </c>
      <c r="I79" s="1018">
        <f t="shared" si="19"/>
        <v>68.771366400000005</v>
      </c>
      <c r="J79" s="1018">
        <f t="shared" si="19"/>
        <v>85.964207999999999</v>
      </c>
      <c r="K79" s="1018">
        <f t="shared" si="19"/>
        <v>103.15704959999999</v>
      </c>
      <c r="L79" s="1018">
        <f t="shared" si="19"/>
        <v>120.34989119999999</v>
      </c>
      <c r="M79" s="1018">
        <f t="shared" si="19"/>
        <v>137.54273280000001</v>
      </c>
      <c r="N79" s="1018">
        <f t="shared" si="19"/>
        <v>154.73557439999999</v>
      </c>
      <c r="O79" s="1018">
        <f t="shared" si="19"/>
        <v>171.928416</v>
      </c>
      <c r="P79" s="1018">
        <f t="shared" si="19"/>
        <v>189.12125760000001</v>
      </c>
      <c r="Q79" s="1018">
        <f t="shared" si="19"/>
        <v>206.31409919999999</v>
      </c>
      <c r="R79" s="1018">
        <f t="shared" si="19"/>
        <v>223.5069408</v>
      </c>
      <c r="S79" s="1018">
        <f t="shared" si="19"/>
        <v>240.69978239999998</v>
      </c>
      <c r="T79" s="1018">
        <f t="shared" si="19"/>
        <v>257.89262400000001</v>
      </c>
      <c r="U79" s="1018">
        <f t="shared" si="19"/>
        <v>275.08546560000002</v>
      </c>
      <c r="V79" s="1018">
        <f t="shared" si="19"/>
        <v>292.27830719999997</v>
      </c>
      <c r="W79" s="1018">
        <f t="shared" si="19"/>
        <v>309.47114879999998</v>
      </c>
      <c r="X79" s="1018">
        <f t="shared" si="19"/>
        <v>326.66399039999999</v>
      </c>
      <c r="Y79" s="1018">
        <f t="shared" si="19"/>
        <v>343.856832</v>
      </c>
      <c r="Z79" s="1018">
        <f t="shared" si="19"/>
        <v>361.04967360000001</v>
      </c>
      <c r="AA79" s="1018">
        <f t="shared" si="19"/>
        <v>378.24251520000001</v>
      </c>
      <c r="AB79" s="1018">
        <f t="shared" si="19"/>
        <v>395.43535679999997</v>
      </c>
      <c r="AC79" s="1018">
        <f t="shared" si="19"/>
        <v>412.62819839999997</v>
      </c>
      <c r="AD79" s="1018">
        <f t="shared" si="19"/>
        <v>429.82103999999998</v>
      </c>
      <c r="AE79" s="1018">
        <f t="shared" si="19"/>
        <v>447.01388159999999</v>
      </c>
      <c r="AF79" s="1018">
        <f t="shared" si="19"/>
        <v>464.2067232</v>
      </c>
      <c r="AG79" s="1018">
        <f t="shared" si="19"/>
        <v>481.39956479999995</v>
      </c>
      <c r="AH79" s="1018">
        <f t="shared" si="19"/>
        <v>498.59240639999996</v>
      </c>
      <c r="AI79" s="1018">
        <f t="shared" si="19"/>
        <v>515.78524800000002</v>
      </c>
      <c r="AJ79" s="1018">
        <f t="shared" si="19"/>
        <v>532.97808959999998</v>
      </c>
      <c r="AK79" s="1018">
        <f t="shared" si="19"/>
        <v>550.17093120000004</v>
      </c>
      <c r="AL79" s="1018">
        <f t="shared" si="19"/>
        <v>567.36377279999999</v>
      </c>
      <c r="AM79" s="1018">
        <f t="shared" si="19"/>
        <v>584.55661439999994</v>
      </c>
      <c r="AN79" s="1018">
        <f t="shared" ref="AN79:BF79" si="20">((AN$71-$H$4)/1000)*$AP$22*(($C$8/70)^$AZ$22)</f>
        <v>601.74945600000001</v>
      </c>
      <c r="AO79" s="1018">
        <f t="shared" si="20"/>
        <v>618.94229759999996</v>
      </c>
      <c r="AP79" s="1018">
        <f t="shared" si="20"/>
        <v>636.13513920000003</v>
      </c>
      <c r="AQ79" s="1018">
        <f t="shared" si="20"/>
        <v>653.32798079999998</v>
      </c>
      <c r="AR79" s="1018">
        <f t="shared" si="20"/>
        <v>670.52082239999993</v>
      </c>
      <c r="AS79" s="1018">
        <f t="shared" si="20"/>
        <v>687.71366399999999</v>
      </c>
      <c r="AT79" s="1018">
        <f t="shared" si="20"/>
        <v>704.90650559999995</v>
      </c>
      <c r="AU79" s="1018">
        <f t="shared" si="20"/>
        <v>722.09934720000001</v>
      </c>
      <c r="AV79" s="1018">
        <f t="shared" si="20"/>
        <v>739.29218879999996</v>
      </c>
      <c r="AW79" s="1018">
        <f t="shared" si="20"/>
        <v>756.48503040000003</v>
      </c>
      <c r="AX79" s="1018">
        <f t="shared" si="20"/>
        <v>773.67787199999998</v>
      </c>
      <c r="AY79" s="1018">
        <f t="shared" si="20"/>
        <v>790.87071359999993</v>
      </c>
      <c r="AZ79" s="1018">
        <f t="shared" si="20"/>
        <v>808.0635552</v>
      </c>
      <c r="BA79" s="1018">
        <f t="shared" si="20"/>
        <v>825.25639679999995</v>
      </c>
      <c r="BB79" s="1018">
        <f t="shared" si="20"/>
        <v>842.44923840000001</v>
      </c>
      <c r="BC79" s="1018">
        <f t="shared" si="20"/>
        <v>859.64207999999996</v>
      </c>
      <c r="BD79" s="1018">
        <f t="shared" si="20"/>
        <v>876.83492159999992</v>
      </c>
      <c r="BE79" s="1018">
        <f t="shared" si="20"/>
        <v>894.02776319999998</v>
      </c>
      <c r="BF79" s="1018">
        <f t="shared" si="20"/>
        <v>911.22060479999993</v>
      </c>
    </row>
    <row r="80" spans="1:58">
      <c r="A80" s="2477"/>
      <c r="B80" s="2638" t="s">
        <v>204</v>
      </c>
      <c r="C80" s="2639"/>
      <c r="D80" s="741" t="s">
        <v>194</v>
      </c>
      <c r="E80" s="742">
        <v>65</v>
      </c>
      <c r="F80" s="742">
        <v>160</v>
      </c>
      <c r="G80" s="741" t="s">
        <v>195</v>
      </c>
      <c r="H80" s="1020">
        <f t="shared" ref="H80:AM80" si="21">((H$71-$H$4)/1000)*$K$22*(($C$8/70)^$W$22)</f>
        <v>27.357506999999998</v>
      </c>
      <c r="I80" s="1020">
        <f t="shared" si="21"/>
        <v>36.476675999999998</v>
      </c>
      <c r="J80" s="1020">
        <f t="shared" si="21"/>
        <v>45.595844999999997</v>
      </c>
      <c r="K80" s="1020">
        <f t="shared" si="21"/>
        <v>54.715013999999996</v>
      </c>
      <c r="L80" s="1020">
        <f t="shared" si="21"/>
        <v>63.834182999999989</v>
      </c>
      <c r="M80" s="1020">
        <f t="shared" si="21"/>
        <v>72.953351999999995</v>
      </c>
      <c r="N80" s="1020">
        <f t="shared" si="21"/>
        <v>82.072520999999995</v>
      </c>
      <c r="O80" s="1020">
        <f t="shared" si="21"/>
        <v>91.191689999999994</v>
      </c>
      <c r="P80" s="1020">
        <f t="shared" si="21"/>
        <v>100.31085900000001</v>
      </c>
      <c r="Q80" s="1020">
        <f t="shared" si="21"/>
        <v>109.43002799999999</v>
      </c>
      <c r="R80" s="1020">
        <f t="shared" si="21"/>
        <v>118.54919699999999</v>
      </c>
      <c r="S80" s="1020">
        <f t="shared" si="21"/>
        <v>127.66836599999998</v>
      </c>
      <c r="T80" s="1020">
        <f t="shared" si="21"/>
        <v>136.78753499999999</v>
      </c>
      <c r="U80" s="1020">
        <f t="shared" si="21"/>
        <v>145.90670399999999</v>
      </c>
      <c r="V80" s="1020">
        <f t="shared" si="21"/>
        <v>155.02587299999999</v>
      </c>
      <c r="W80" s="1020">
        <f t="shared" si="21"/>
        <v>164.14504199999999</v>
      </c>
      <c r="X80" s="1020">
        <f t="shared" si="21"/>
        <v>173.26421099999999</v>
      </c>
      <c r="Y80" s="1020">
        <f t="shared" si="21"/>
        <v>182.38337999999999</v>
      </c>
      <c r="Z80" s="1020">
        <f t="shared" si="21"/>
        <v>191.50254899999999</v>
      </c>
      <c r="AA80" s="1020">
        <f t="shared" si="21"/>
        <v>200.62171800000002</v>
      </c>
      <c r="AB80" s="1020">
        <f t="shared" si="21"/>
        <v>209.74088699999996</v>
      </c>
      <c r="AC80" s="1020">
        <f t="shared" si="21"/>
        <v>218.86005599999999</v>
      </c>
      <c r="AD80" s="1020">
        <f t="shared" si="21"/>
        <v>227.97922499999999</v>
      </c>
      <c r="AE80" s="1020">
        <f t="shared" si="21"/>
        <v>237.09839399999998</v>
      </c>
      <c r="AF80" s="1020">
        <f t="shared" si="21"/>
        <v>246.21756300000001</v>
      </c>
      <c r="AG80" s="1020">
        <f t="shared" si="21"/>
        <v>255.33673199999996</v>
      </c>
      <c r="AH80" s="1020">
        <f t="shared" si="21"/>
        <v>264.45590099999998</v>
      </c>
      <c r="AI80" s="1020">
        <f t="shared" si="21"/>
        <v>273.57506999999998</v>
      </c>
      <c r="AJ80" s="1020">
        <f t="shared" si="21"/>
        <v>282.69423899999998</v>
      </c>
      <c r="AK80" s="1020">
        <f t="shared" si="21"/>
        <v>291.81340799999998</v>
      </c>
      <c r="AL80" s="1020">
        <f t="shared" si="21"/>
        <v>300.93257699999998</v>
      </c>
      <c r="AM80" s="1020">
        <f t="shared" si="21"/>
        <v>310.05174599999998</v>
      </c>
      <c r="AN80" s="1020">
        <f t="shared" ref="AN80:BF80" si="22">((AN$71-$H$4)/1000)*$K$22*(($C$8/70)^$W$22)</f>
        <v>319.17091499999998</v>
      </c>
      <c r="AO80" s="1020">
        <f t="shared" si="22"/>
        <v>328.29008399999998</v>
      </c>
      <c r="AP80" s="1020">
        <f t="shared" si="22"/>
        <v>337.40925299999998</v>
      </c>
      <c r="AQ80" s="1020">
        <f t="shared" si="22"/>
        <v>346.52842199999998</v>
      </c>
      <c r="AR80" s="1020">
        <f t="shared" si="22"/>
        <v>355.64759099999998</v>
      </c>
      <c r="AS80" s="1020">
        <f t="shared" si="22"/>
        <v>364.76675999999998</v>
      </c>
      <c r="AT80" s="1020">
        <f t="shared" si="22"/>
        <v>373.88592899999992</v>
      </c>
      <c r="AU80" s="1020">
        <f t="shared" si="22"/>
        <v>383.00509799999998</v>
      </c>
      <c r="AV80" s="1020">
        <f t="shared" si="22"/>
        <v>392.12426699999997</v>
      </c>
      <c r="AW80" s="1020">
        <f t="shared" si="22"/>
        <v>401.24343600000003</v>
      </c>
      <c r="AX80" s="1020">
        <f t="shared" si="22"/>
        <v>410.36260499999997</v>
      </c>
      <c r="AY80" s="1020">
        <f t="shared" si="22"/>
        <v>419.48177399999992</v>
      </c>
      <c r="AZ80" s="1020">
        <f t="shared" si="22"/>
        <v>428.60094299999997</v>
      </c>
      <c r="BA80" s="1020">
        <f t="shared" si="22"/>
        <v>437.72011199999997</v>
      </c>
      <c r="BB80" s="1020">
        <f t="shared" si="22"/>
        <v>446.83928100000003</v>
      </c>
      <c r="BC80" s="1020">
        <f t="shared" si="22"/>
        <v>455.95844999999997</v>
      </c>
      <c r="BD80" s="1020">
        <f t="shared" si="22"/>
        <v>465.07761899999991</v>
      </c>
      <c r="BE80" s="1020">
        <f t="shared" si="22"/>
        <v>474.19678799999997</v>
      </c>
      <c r="BF80" s="1020">
        <f t="shared" si="22"/>
        <v>483.31595699999997</v>
      </c>
    </row>
    <row r="81" spans="1:58">
      <c r="A81" s="2477"/>
      <c r="B81" s="2640" t="s">
        <v>205</v>
      </c>
      <c r="C81" s="2641"/>
      <c r="D81" s="389" t="s">
        <v>194</v>
      </c>
      <c r="E81" s="435">
        <v>65</v>
      </c>
      <c r="F81" s="435">
        <v>200</v>
      </c>
      <c r="G81" s="389" t="s">
        <v>195</v>
      </c>
      <c r="H81" s="1021">
        <f t="shared" ref="H81:AM81" si="23">((H$71-$H$4)/1000)*$L$22*(($C$8/70)^$X$22)</f>
        <v>30.397229999999993</v>
      </c>
      <c r="I81" s="1021">
        <f t="shared" si="23"/>
        <v>40.529640000000001</v>
      </c>
      <c r="J81" s="1021">
        <f t="shared" si="23"/>
        <v>50.662049999999994</v>
      </c>
      <c r="K81" s="1021">
        <f t="shared" si="23"/>
        <v>60.794459999999987</v>
      </c>
      <c r="L81" s="1021">
        <f t="shared" si="23"/>
        <v>70.92686999999998</v>
      </c>
      <c r="M81" s="1021">
        <f t="shared" si="23"/>
        <v>81.059280000000001</v>
      </c>
      <c r="N81" s="1021">
        <f t="shared" si="23"/>
        <v>91.191689999999994</v>
      </c>
      <c r="O81" s="1021">
        <f t="shared" si="23"/>
        <v>101.32409999999999</v>
      </c>
      <c r="P81" s="1021">
        <f t="shared" si="23"/>
        <v>111.45650999999999</v>
      </c>
      <c r="Q81" s="1021">
        <f t="shared" si="23"/>
        <v>121.58891999999997</v>
      </c>
      <c r="R81" s="1021">
        <f t="shared" si="23"/>
        <v>131.72132999999999</v>
      </c>
      <c r="S81" s="1021">
        <f t="shared" si="23"/>
        <v>141.85373999999996</v>
      </c>
      <c r="T81" s="1021">
        <f t="shared" si="23"/>
        <v>151.98614999999998</v>
      </c>
      <c r="U81" s="1021">
        <f t="shared" si="23"/>
        <v>162.11856</v>
      </c>
      <c r="V81" s="1021">
        <f t="shared" si="23"/>
        <v>172.25096999999997</v>
      </c>
      <c r="W81" s="1021">
        <f t="shared" si="23"/>
        <v>182.38337999999999</v>
      </c>
      <c r="X81" s="1021">
        <f t="shared" si="23"/>
        <v>192.51578999999995</v>
      </c>
      <c r="Y81" s="1021">
        <f t="shared" si="23"/>
        <v>202.64819999999997</v>
      </c>
      <c r="Z81" s="1021">
        <f t="shared" si="23"/>
        <v>212.78061</v>
      </c>
      <c r="AA81" s="1021">
        <f t="shared" si="23"/>
        <v>222.91301999999999</v>
      </c>
      <c r="AB81" s="1021">
        <f t="shared" si="23"/>
        <v>233.04542999999995</v>
      </c>
      <c r="AC81" s="1021">
        <f t="shared" si="23"/>
        <v>243.17783999999995</v>
      </c>
      <c r="AD81" s="1021">
        <f t="shared" si="23"/>
        <v>253.31024999999997</v>
      </c>
      <c r="AE81" s="1021">
        <f t="shared" si="23"/>
        <v>263.44265999999999</v>
      </c>
      <c r="AF81" s="1021">
        <f t="shared" si="23"/>
        <v>273.57506999999998</v>
      </c>
      <c r="AG81" s="1021">
        <f t="shared" si="23"/>
        <v>283.70747999999992</v>
      </c>
      <c r="AH81" s="1021">
        <f t="shared" si="23"/>
        <v>293.83988999999997</v>
      </c>
      <c r="AI81" s="1021">
        <f t="shared" si="23"/>
        <v>303.97229999999996</v>
      </c>
      <c r="AJ81" s="1021">
        <f t="shared" si="23"/>
        <v>314.10470999999995</v>
      </c>
      <c r="AK81" s="1021">
        <f t="shared" si="23"/>
        <v>324.23712</v>
      </c>
      <c r="AL81" s="1021">
        <f t="shared" si="23"/>
        <v>334.36952999999994</v>
      </c>
      <c r="AM81" s="1021">
        <f t="shared" si="23"/>
        <v>344.50193999999993</v>
      </c>
      <c r="AN81" s="1021">
        <f t="shared" ref="AN81:BF81" si="24">((AN$71-$H$4)/1000)*$L$22*(($C$8/70)^$X$22)</f>
        <v>354.63434999999993</v>
      </c>
      <c r="AO81" s="1021">
        <f t="shared" si="24"/>
        <v>364.76675999999998</v>
      </c>
      <c r="AP81" s="1021">
        <f t="shared" si="24"/>
        <v>374.89916999999997</v>
      </c>
      <c r="AQ81" s="1021">
        <f t="shared" si="24"/>
        <v>385.03157999999991</v>
      </c>
      <c r="AR81" s="1021">
        <f t="shared" si="24"/>
        <v>395.16398999999996</v>
      </c>
      <c r="AS81" s="1021">
        <f t="shared" si="24"/>
        <v>405.29639999999995</v>
      </c>
      <c r="AT81" s="1021">
        <f t="shared" si="24"/>
        <v>415.42880999999988</v>
      </c>
      <c r="AU81" s="1021">
        <f t="shared" si="24"/>
        <v>425.56121999999999</v>
      </c>
      <c r="AV81" s="1021">
        <f t="shared" si="24"/>
        <v>435.69362999999993</v>
      </c>
      <c r="AW81" s="1021">
        <f t="shared" si="24"/>
        <v>445.82603999999998</v>
      </c>
      <c r="AX81" s="1021">
        <f t="shared" si="24"/>
        <v>455.95844999999997</v>
      </c>
      <c r="AY81" s="1021">
        <f t="shared" si="24"/>
        <v>466.09085999999991</v>
      </c>
      <c r="AZ81" s="1021">
        <f t="shared" si="24"/>
        <v>476.22326999999996</v>
      </c>
      <c r="BA81" s="1021">
        <f t="shared" si="24"/>
        <v>486.35567999999989</v>
      </c>
      <c r="BB81" s="1021">
        <f t="shared" si="24"/>
        <v>496.48809</v>
      </c>
      <c r="BC81" s="1021">
        <f t="shared" si="24"/>
        <v>506.62049999999994</v>
      </c>
      <c r="BD81" s="1021">
        <f t="shared" si="24"/>
        <v>516.75290999999993</v>
      </c>
      <c r="BE81" s="1021">
        <f t="shared" si="24"/>
        <v>526.88531999999998</v>
      </c>
      <c r="BF81" s="1021">
        <f t="shared" si="24"/>
        <v>537.01772999999991</v>
      </c>
    </row>
    <row r="82" spans="1:58">
      <c r="A82" s="2477"/>
      <c r="B82" s="2640" t="s">
        <v>206</v>
      </c>
      <c r="C82" s="2641"/>
      <c r="D82" s="389" t="s">
        <v>194</v>
      </c>
      <c r="E82" s="435">
        <v>65</v>
      </c>
      <c r="F82" s="435">
        <v>260</v>
      </c>
      <c r="G82" s="389" t="s">
        <v>195</v>
      </c>
      <c r="H82" s="1021">
        <f t="shared" ref="H82:AM82" si="25">((H$71-$H$4)/1000)*$M$22*(($C$8/70)^$Y$22)</f>
        <v>39.152807999999993</v>
      </c>
      <c r="I82" s="1021">
        <f t="shared" si="25"/>
        <v>52.203744</v>
      </c>
      <c r="J82" s="1021">
        <f t="shared" si="25"/>
        <v>65.254679999999993</v>
      </c>
      <c r="K82" s="1021">
        <f t="shared" si="25"/>
        <v>78.305615999999986</v>
      </c>
      <c r="L82" s="1021">
        <f t="shared" si="25"/>
        <v>91.356551999999979</v>
      </c>
      <c r="M82" s="1021">
        <f t="shared" si="25"/>
        <v>104.407488</v>
      </c>
      <c r="N82" s="1021">
        <f t="shared" si="25"/>
        <v>117.45842399999999</v>
      </c>
      <c r="O82" s="1021">
        <f t="shared" si="25"/>
        <v>130.50935999999999</v>
      </c>
      <c r="P82" s="1021">
        <f t="shared" si="25"/>
        <v>143.56029599999999</v>
      </c>
      <c r="Q82" s="1021">
        <f t="shared" si="25"/>
        <v>156.61123199999997</v>
      </c>
      <c r="R82" s="1021">
        <f t="shared" si="25"/>
        <v>169.66216799999998</v>
      </c>
      <c r="S82" s="1021">
        <f t="shared" si="25"/>
        <v>182.71310399999996</v>
      </c>
      <c r="T82" s="1021">
        <f t="shared" si="25"/>
        <v>195.76403999999997</v>
      </c>
      <c r="U82" s="1021">
        <f t="shared" si="25"/>
        <v>208.814976</v>
      </c>
      <c r="V82" s="1021">
        <f t="shared" si="25"/>
        <v>221.86591199999998</v>
      </c>
      <c r="W82" s="1021">
        <f t="shared" si="25"/>
        <v>234.91684799999999</v>
      </c>
      <c r="X82" s="1021">
        <f t="shared" si="25"/>
        <v>247.96778399999997</v>
      </c>
      <c r="Y82" s="1021">
        <f t="shared" si="25"/>
        <v>261.01871999999997</v>
      </c>
      <c r="Z82" s="1021">
        <f t="shared" si="25"/>
        <v>274.06965600000001</v>
      </c>
      <c r="AA82" s="1021">
        <f t="shared" si="25"/>
        <v>287.12059199999999</v>
      </c>
      <c r="AB82" s="1021">
        <f t="shared" si="25"/>
        <v>300.17152799999997</v>
      </c>
      <c r="AC82" s="1021">
        <f t="shared" si="25"/>
        <v>313.22246399999995</v>
      </c>
      <c r="AD82" s="1021">
        <f t="shared" si="25"/>
        <v>326.27339999999998</v>
      </c>
      <c r="AE82" s="1021">
        <f t="shared" si="25"/>
        <v>339.32433599999996</v>
      </c>
      <c r="AF82" s="1021">
        <f t="shared" si="25"/>
        <v>352.375272</v>
      </c>
      <c r="AG82" s="1021">
        <f t="shared" si="25"/>
        <v>365.42620799999992</v>
      </c>
      <c r="AH82" s="1021">
        <f t="shared" si="25"/>
        <v>378.47714399999995</v>
      </c>
      <c r="AI82" s="1021">
        <f t="shared" si="25"/>
        <v>391.52807999999993</v>
      </c>
      <c r="AJ82" s="1021">
        <f t="shared" si="25"/>
        <v>404.57901599999997</v>
      </c>
      <c r="AK82" s="1021">
        <f t="shared" si="25"/>
        <v>417.629952</v>
      </c>
      <c r="AL82" s="1021">
        <f t="shared" si="25"/>
        <v>430.68088799999992</v>
      </c>
      <c r="AM82" s="1021">
        <f t="shared" si="25"/>
        <v>443.73182399999996</v>
      </c>
      <c r="AN82" s="1021">
        <f t="shared" ref="AN82:BF82" si="26">((AN$71-$H$4)/1000)*$M$22*(($C$8/70)^$Y$22)</f>
        <v>456.78275999999994</v>
      </c>
      <c r="AO82" s="1021">
        <f t="shared" si="26"/>
        <v>469.83369599999997</v>
      </c>
      <c r="AP82" s="1021">
        <f t="shared" si="26"/>
        <v>482.88463199999995</v>
      </c>
      <c r="AQ82" s="1021">
        <f t="shared" si="26"/>
        <v>495.93556799999993</v>
      </c>
      <c r="AR82" s="1021">
        <f t="shared" si="26"/>
        <v>508.98650399999991</v>
      </c>
      <c r="AS82" s="1021">
        <f t="shared" si="26"/>
        <v>522.03743999999995</v>
      </c>
      <c r="AT82" s="1021">
        <f t="shared" si="26"/>
        <v>535.08837599999993</v>
      </c>
      <c r="AU82" s="1021">
        <f t="shared" si="26"/>
        <v>548.13931200000002</v>
      </c>
      <c r="AV82" s="1021">
        <f t="shared" si="26"/>
        <v>561.19024799999988</v>
      </c>
      <c r="AW82" s="1021">
        <f t="shared" si="26"/>
        <v>574.24118399999998</v>
      </c>
      <c r="AX82" s="1021">
        <f t="shared" si="26"/>
        <v>587.29211999999995</v>
      </c>
      <c r="AY82" s="1021">
        <f t="shared" si="26"/>
        <v>600.34305599999993</v>
      </c>
      <c r="AZ82" s="1021">
        <f t="shared" si="26"/>
        <v>613.39399199999991</v>
      </c>
      <c r="BA82" s="1021">
        <f t="shared" si="26"/>
        <v>626.44492799999989</v>
      </c>
      <c r="BB82" s="1021">
        <f t="shared" si="26"/>
        <v>639.49586399999998</v>
      </c>
      <c r="BC82" s="1021">
        <f t="shared" si="26"/>
        <v>652.54679999999996</v>
      </c>
      <c r="BD82" s="1021">
        <f t="shared" si="26"/>
        <v>665.59773599999994</v>
      </c>
      <c r="BE82" s="1021">
        <f t="shared" si="26"/>
        <v>678.64867199999992</v>
      </c>
      <c r="BF82" s="1021">
        <f t="shared" si="26"/>
        <v>691.6996079999999</v>
      </c>
    </row>
    <row r="83" spans="1:58">
      <c r="A83" s="2477"/>
      <c r="B83" s="2640" t="s">
        <v>207</v>
      </c>
      <c r="C83" s="2641"/>
      <c r="D83" s="389" t="s">
        <v>194</v>
      </c>
      <c r="E83" s="435">
        <v>65</v>
      </c>
      <c r="F83" s="435">
        <v>300</v>
      </c>
      <c r="G83" s="389" t="s">
        <v>195</v>
      </c>
      <c r="H83" s="1021">
        <f t="shared" ref="H83:AM83" si="27">((H$71-$H$4)/1000)*$N$22*(($C$8/70)^$Z$22)</f>
        <v>42.06507383290608</v>
      </c>
      <c r="I83" s="1021">
        <f t="shared" si="27"/>
        <v>56.08676511054145</v>
      </c>
      <c r="J83" s="1021">
        <f t="shared" si="27"/>
        <v>70.108456388176805</v>
      </c>
      <c r="K83" s="1021">
        <f t="shared" si="27"/>
        <v>84.13014766581216</v>
      </c>
      <c r="L83" s="1021">
        <f t="shared" si="27"/>
        <v>98.151838943447515</v>
      </c>
      <c r="M83" s="1021">
        <f t="shared" si="27"/>
        <v>112.1735302210829</v>
      </c>
      <c r="N83" s="1021">
        <f t="shared" si="27"/>
        <v>126.19522149871825</v>
      </c>
      <c r="O83" s="1021">
        <f t="shared" si="27"/>
        <v>140.21691277635361</v>
      </c>
      <c r="P83" s="1021">
        <f t="shared" si="27"/>
        <v>154.23860405398898</v>
      </c>
      <c r="Q83" s="1021">
        <f t="shared" si="27"/>
        <v>168.26029533162432</v>
      </c>
      <c r="R83" s="1021">
        <f t="shared" si="27"/>
        <v>182.28198660925969</v>
      </c>
      <c r="S83" s="1021">
        <f t="shared" si="27"/>
        <v>196.30367788689503</v>
      </c>
      <c r="T83" s="1021">
        <f t="shared" si="27"/>
        <v>210.3253691645304</v>
      </c>
      <c r="U83" s="1021">
        <f t="shared" si="27"/>
        <v>224.3470604421658</v>
      </c>
      <c r="V83" s="1021">
        <f t="shared" si="27"/>
        <v>238.36875171980114</v>
      </c>
      <c r="W83" s="1021">
        <f t="shared" si="27"/>
        <v>252.39044299743651</v>
      </c>
      <c r="X83" s="1021">
        <f t="shared" si="27"/>
        <v>266.41213427507182</v>
      </c>
      <c r="Y83" s="1021">
        <f t="shared" si="27"/>
        <v>280.43382555270722</v>
      </c>
      <c r="Z83" s="1021">
        <f t="shared" si="27"/>
        <v>294.45551683034262</v>
      </c>
      <c r="AA83" s="1021">
        <f t="shared" si="27"/>
        <v>308.47720810797796</v>
      </c>
      <c r="AB83" s="1021">
        <f t="shared" si="27"/>
        <v>322.4988993856133</v>
      </c>
      <c r="AC83" s="1021">
        <f t="shared" si="27"/>
        <v>336.52059066324864</v>
      </c>
      <c r="AD83" s="1021">
        <f t="shared" si="27"/>
        <v>350.54228194088404</v>
      </c>
      <c r="AE83" s="1021">
        <f t="shared" si="27"/>
        <v>364.56397321851938</v>
      </c>
      <c r="AF83" s="1021">
        <f t="shared" si="27"/>
        <v>378.58566449615478</v>
      </c>
      <c r="AG83" s="1021">
        <f t="shared" si="27"/>
        <v>392.60735577379006</v>
      </c>
      <c r="AH83" s="1021">
        <f t="shared" si="27"/>
        <v>406.62904705142546</v>
      </c>
      <c r="AI83" s="1021">
        <f t="shared" si="27"/>
        <v>420.6507383290608</v>
      </c>
      <c r="AJ83" s="1021">
        <f t="shared" si="27"/>
        <v>434.6724296066962</v>
      </c>
      <c r="AK83" s="1021">
        <f t="shared" si="27"/>
        <v>448.6941208843316</v>
      </c>
      <c r="AL83" s="1021">
        <f t="shared" si="27"/>
        <v>462.71581216196688</v>
      </c>
      <c r="AM83" s="1021">
        <f t="shared" si="27"/>
        <v>476.73750343960228</v>
      </c>
      <c r="AN83" s="1021">
        <f t="shared" ref="AN83:BF83" si="28">((AN$71-$H$4)/1000)*$N$22*(($C$8/70)^$Z$22)</f>
        <v>490.75919471723762</v>
      </c>
      <c r="AO83" s="1021">
        <f t="shared" si="28"/>
        <v>504.78088599487302</v>
      </c>
      <c r="AP83" s="1021">
        <f t="shared" si="28"/>
        <v>518.80257727250842</v>
      </c>
      <c r="AQ83" s="1021">
        <f t="shared" si="28"/>
        <v>532.82426855014364</v>
      </c>
      <c r="AR83" s="1021">
        <f t="shared" si="28"/>
        <v>546.8459598277791</v>
      </c>
      <c r="AS83" s="1021">
        <f t="shared" si="28"/>
        <v>560.86765110541444</v>
      </c>
      <c r="AT83" s="1021">
        <f t="shared" si="28"/>
        <v>574.88934238304978</v>
      </c>
      <c r="AU83" s="1021">
        <f t="shared" si="28"/>
        <v>588.91103366068523</v>
      </c>
      <c r="AV83" s="1021">
        <f t="shared" si="28"/>
        <v>602.93272493832046</v>
      </c>
      <c r="AW83" s="1021">
        <f t="shared" si="28"/>
        <v>616.95441621595592</v>
      </c>
      <c r="AX83" s="1021">
        <f t="shared" si="28"/>
        <v>630.97610749359126</v>
      </c>
      <c r="AY83" s="1021">
        <f t="shared" si="28"/>
        <v>644.9977987712266</v>
      </c>
      <c r="AZ83" s="1021">
        <f t="shared" si="28"/>
        <v>659.01949004886194</v>
      </c>
      <c r="BA83" s="1021">
        <f t="shared" si="28"/>
        <v>673.04118132649728</v>
      </c>
      <c r="BB83" s="1021">
        <f t="shared" si="28"/>
        <v>687.06287260413274</v>
      </c>
      <c r="BC83" s="1021">
        <f t="shared" si="28"/>
        <v>701.08456388176808</v>
      </c>
      <c r="BD83" s="1021">
        <f t="shared" si="28"/>
        <v>715.1062551594033</v>
      </c>
      <c r="BE83" s="1021">
        <f t="shared" si="28"/>
        <v>729.12794643703876</v>
      </c>
      <c r="BF83" s="1021">
        <f t="shared" si="28"/>
        <v>743.1496377146741</v>
      </c>
    </row>
    <row r="84" spans="1:58" ht="15" customHeight="1" thickBot="1">
      <c r="A84" s="2477"/>
      <c r="B84" s="2624" t="s">
        <v>208</v>
      </c>
      <c r="C84" s="2625"/>
      <c r="D84" s="390" t="s">
        <v>194</v>
      </c>
      <c r="E84" s="436">
        <v>65</v>
      </c>
      <c r="F84" s="436">
        <v>300</v>
      </c>
      <c r="G84" s="390" t="s">
        <v>200</v>
      </c>
      <c r="H84" s="1022">
        <f t="shared" ref="H84:AM84" si="29">((H$71-$H$4)/1000)*$O$22*(($C$8/70)^$AA$22)</f>
        <v>56.334240000000001</v>
      </c>
      <c r="I84" s="1022">
        <f t="shared" si="29"/>
        <v>75.112319999999997</v>
      </c>
      <c r="J84" s="1022">
        <f t="shared" si="29"/>
        <v>93.8904</v>
      </c>
      <c r="K84" s="1022">
        <f t="shared" si="29"/>
        <v>112.66848</v>
      </c>
      <c r="L84" s="1022">
        <f t="shared" si="29"/>
        <v>131.44656000000001</v>
      </c>
      <c r="M84" s="1022">
        <f t="shared" si="29"/>
        <v>150.22463999999999</v>
      </c>
      <c r="N84" s="1022">
        <f t="shared" si="29"/>
        <v>169.00272000000001</v>
      </c>
      <c r="O84" s="1022">
        <f t="shared" si="29"/>
        <v>187.7808</v>
      </c>
      <c r="P84" s="1022">
        <f t="shared" si="29"/>
        <v>206.55888000000002</v>
      </c>
      <c r="Q84" s="1022">
        <f t="shared" si="29"/>
        <v>225.33696</v>
      </c>
      <c r="R84" s="1022">
        <f t="shared" si="29"/>
        <v>244.11503999999999</v>
      </c>
      <c r="S84" s="1022">
        <f t="shared" si="29"/>
        <v>262.89312000000001</v>
      </c>
      <c r="T84" s="1022">
        <f t="shared" si="29"/>
        <v>281.6712</v>
      </c>
      <c r="U84" s="1022">
        <f t="shared" si="29"/>
        <v>300.44927999999999</v>
      </c>
      <c r="V84" s="1022">
        <f t="shared" si="29"/>
        <v>319.22735999999998</v>
      </c>
      <c r="W84" s="1022">
        <f t="shared" si="29"/>
        <v>338.00544000000002</v>
      </c>
      <c r="X84" s="1022">
        <f t="shared" si="29"/>
        <v>356.78352000000001</v>
      </c>
      <c r="Y84" s="1022">
        <f t="shared" si="29"/>
        <v>375.5616</v>
      </c>
      <c r="Z84" s="1022">
        <f t="shared" si="29"/>
        <v>394.33967999999999</v>
      </c>
      <c r="AA84" s="1022">
        <f t="shared" si="29"/>
        <v>413.11776000000003</v>
      </c>
      <c r="AB84" s="1022">
        <f t="shared" si="29"/>
        <v>431.89583999999996</v>
      </c>
      <c r="AC84" s="1022">
        <f t="shared" si="29"/>
        <v>450.67392000000001</v>
      </c>
      <c r="AD84" s="1022">
        <f t="shared" si="29"/>
        <v>469.452</v>
      </c>
      <c r="AE84" s="1022">
        <f t="shared" si="29"/>
        <v>488.23007999999999</v>
      </c>
      <c r="AF84" s="1022">
        <f t="shared" si="29"/>
        <v>507.00816000000003</v>
      </c>
      <c r="AG84" s="1022">
        <f t="shared" si="29"/>
        <v>525.78624000000002</v>
      </c>
      <c r="AH84" s="1022">
        <f t="shared" si="29"/>
        <v>544.56431999999995</v>
      </c>
      <c r="AI84" s="1022">
        <f t="shared" si="29"/>
        <v>563.3424</v>
      </c>
      <c r="AJ84" s="1022">
        <f t="shared" si="29"/>
        <v>582.12048000000004</v>
      </c>
      <c r="AK84" s="1022">
        <f t="shared" si="29"/>
        <v>600.89855999999997</v>
      </c>
      <c r="AL84" s="1022">
        <f t="shared" si="29"/>
        <v>619.67664000000002</v>
      </c>
      <c r="AM84" s="1022">
        <f t="shared" si="29"/>
        <v>638.45471999999995</v>
      </c>
      <c r="AN84" s="1022">
        <f t="shared" ref="AN84:BF84" si="30">((AN$71-$H$4)/1000)*$O$22*(($C$8/70)^$AA$22)</f>
        <v>657.2328</v>
      </c>
      <c r="AO84" s="1022">
        <f t="shared" si="30"/>
        <v>676.01088000000004</v>
      </c>
      <c r="AP84" s="1022">
        <f t="shared" si="30"/>
        <v>694.78895999999997</v>
      </c>
      <c r="AQ84" s="1022">
        <f t="shared" si="30"/>
        <v>713.56704000000002</v>
      </c>
      <c r="AR84" s="1022">
        <f t="shared" si="30"/>
        <v>732.34511999999995</v>
      </c>
      <c r="AS84" s="1022">
        <f t="shared" si="30"/>
        <v>751.1232</v>
      </c>
      <c r="AT84" s="1022">
        <f t="shared" si="30"/>
        <v>769.90127999999993</v>
      </c>
      <c r="AU84" s="1022">
        <f t="shared" si="30"/>
        <v>788.67935999999997</v>
      </c>
      <c r="AV84" s="1022">
        <f t="shared" si="30"/>
        <v>807.45744000000002</v>
      </c>
      <c r="AW84" s="1022">
        <f t="shared" si="30"/>
        <v>826.23552000000007</v>
      </c>
      <c r="AX84" s="1022">
        <f t="shared" si="30"/>
        <v>845.0136</v>
      </c>
      <c r="AY84" s="1022">
        <f t="shared" si="30"/>
        <v>863.79167999999993</v>
      </c>
      <c r="AZ84" s="1022">
        <f t="shared" si="30"/>
        <v>882.56975999999997</v>
      </c>
      <c r="BA84" s="1022">
        <f t="shared" si="30"/>
        <v>901.34784000000002</v>
      </c>
      <c r="BB84" s="1022">
        <f t="shared" si="30"/>
        <v>920.12592000000006</v>
      </c>
      <c r="BC84" s="1022">
        <f t="shared" si="30"/>
        <v>938.904</v>
      </c>
      <c r="BD84" s="1022">
        <f t="shared" si="30"/>
        <v>957.68207999999993</v>
      </c>
      <c r="BE84" s="1022">
        <f t="shared" si="30"/>
        <v>976.46015999999997</v>
      </c>
      <c r="BF84" s="1022">
        <f t="shared" si="30"/>
        <v>995.23824000000002</v>
      </c>
    </row>
    <row r="85" spans="1:58" ht="15" hidden="1" customHeight="1">
      <c r="A85" s="2477"/>
      <c r="B85" s="2626" t="s">
        <v>209</v>
      </c>
      <c r="C85" s="2627"/>
      <c r="D85" s="388"/>
      <c r="E85" s="434"/>
      <c r="F85" s="434"/>
      <c r="G85" s="388"/>
      <c r="H85" s="1023">
        <f t="shared" ref="H85:AM85" si="31">((H$71-$H$4)/1000)*$Q$22*(($C$8/70)^$AC$22)</f>
        <v>60.511894199999986</v>
      </c>
      <c r="I85" s="1023">
        <f t="shared" si="31"/>
        <v>80.682525599999991</v>
      </c>
      <c r="J85" s="1023">
        <f t="shared" si="31"/>
        <v>100.85315699999998</v>
      </c>
      <c r="K85" s="1023">
        <f t="shared" si="31"/>
        <v>121.02378839999997</v>
      </c>
      <c r="L85" s="1023">
        <f t="shared" si="31"/>
        <v>141.19441979999996</v>
      </c>
      <c r="M85" s="1023">
        <f t="shared" si="31"/>
        <v>161.36505119999998</v>
      </c>
      <c r="N85" s="1023">
        <f t="shared" si="31"/>
        <v>181.53568259999997</v>
      </c>
      <c r="O85" s="1023">
        <f t="shared" si="31"/>
        <v>201.70631399999996</v>
      </c>
      <c r="P85" s="1023">
        <f t="shared" si="31"/>
        <v>221.87694539999998</v>
      </c>
      <c r="Q85" s="1023">
        <f t="shared" si="31"/>
        <v>242.04757679999994</v>
      </c>
      <c r="R85" s="1023">
        <f t="shared" si="31"/>
        <v>262.21820819999994</v>
      </c>
      <c r="S85" s="1023">
        <f t="shared" si="31"/>
        <v>282.38883959999993</v>
      </c>
      <c r="T85" s="1023">
        <f t="shared" si="31"/>
        <v>302.55947099999992</v>
      </c>
      <c r="U85" s="1023">
        <f t="shared" si="31"/>
        <v>322.73010239999996</v>
      </c>
      <c r="V85" s="1023">
        <f t="shared" si="31"/>
        <v>342.90073379999995</v>
      </c>
      <c r="W85" s="1023">
        <f t="shared" si="31"/>
        <v>363.07136519999995</v>
      </c>
      <c r="X85" s="1023">
        <f t="shared" si="31"/>
        <v>383.24199659999994</v>
      </c>
      <c r="Y85" s="1023">
        <f t="shared" si="31"/>
        <v>403.41262799999993</v>
      </c>
      <c r="Z85" s="1023">
        <f t="shared" si="31"/>
        <v>423.58325939999992</v>
      </c>
      <c r="AA85" s="1023">
        <f t="shared" si="31"/>
        <v>443.75389079999997</v>
      </c>
      <c r="AB85" s="1023">
        <f t="shared" si="31"/>
        <v>463.9245221999999</v>
      </c>
      <c r="AC85" s="1023">
        <f t="shared" si="31"/>
        <v>484.09515359999989</v>
      </c>
      <c r="AD85" s="1023">
        <f t="shared" si="31"/>
        <v>504.26578499999994</v>
      </c>
      <c r="AE85" s="1023">
        <f t="shared" si="31"/>
        <v>524.43641639999987</v>
      </c>
      <c r="AF85" s="1023">
        <f t="shared" si="31"/>
        <v>544.60704779999992</v>
      </c>
      <c r="AG85" s="1023">
        <f t="shared" si="31"/>
        <v>564.77767919999985</v>
      </c>
      <c r="AH85" s="1023">
        <f t="shared" si="31"/>
        <v>584.9483105999999</v>
      </c>
      <c r="AI85" s="1023">
        <f t="shared" si="31"/>
        <v>605.11894199999983</v>
      </c>
      <c r="AJ85" s="1023">
        <f t="shared" si="31"/>
        <v>625.28957339999988</v>
      </c>
      <c r="AK85" s="1023">
        <f t="shared" si="31"/>
        <v>645.46020479999993</v>
      </c>
      <c r="AL85" s="1023">
        <f t="shared" si="31"/>
        <v>665.63083619999986</v>
      </c>
      <c r="AM85" s="1023">
        <f t="shared" si="31"/>
        <v>685.80146759999991</v>
      </c>
      <c r="AN85" s="1023">
        <f t="shared" ref="AN85:BF85" si="32">((AN$71-$H$4)/1000)*$Q$22*(($C$8/70)^$AC$22)</f>
        <v>705.97209899999984</v>
      </c>
      <c r="AO85" s="1023">
        <f t="shared" si="32"/>
        <v>726.14273039999989</v>
      </c>
      <c r="AP85" s="1023">
        <f t="shared" si="32"/>
        <v>746.31336179999994</v>
      </c>
      <c r="AQ85" s="1023">
        <f t="shared" si="32"/>
        <v>766.48399319999987</v>
      </c>
      <c r="AR85" s="1023">
        <f t="shared" si="32"/>
        <v>786.65462459999981</v>
      </c>
      <c r="AS85" s="1023">
        <f t="shared" si="32"/>
        <v>806.82525599999985</v>
      </c>
      <c r="AT85" s="1023">
        <f t="shared" si="32"/>
        <v>826.99588739999979</v>
      </c>
      <c r="AU85" s="1023">
        <f t="shared" si="32"/>
        <v>847.16651879999984</v>
      </c>
      <c r="AV85" s="1023">
        <f t="shared" si="32"/>
        <v>867.33715019999977</v>
      </c>
      <c r="AW85" s="1023">
        <f t="shared" si="32"/>
        <v>887.50778159999993</v>
      </c>
      <c r="AX85" s="1023">
        <f t="shared" si="32"/>
        <v>907.67841299999986</v>
      </c>
      <c r="AY85" s="1023">
        <f t="shared" si="32"/>
        <v>927.8490443999998</v>
      </c>
      <c r="AZ85" s="1023">
        <f t="shared" si="32"/>
        <v>948.01967579999985</v>
      </c>
      <c r="BA85" s="1023">
        <f t="shared" si="32"/>
        <v>968.19030719999978</v>
      </c>
      <c r="BB85" s="1023">
        <f t="shared" si="32"/>
        <v>988.36093859999994</v>
      </c>
      <c r="BC85" s="1023">
        <f t="shared" si="32"/>
        <v>1008.5315699999999</v>
      </c>
      <c r="BD85" s="1023">
        <f t="shared" si="32"/>
        <v>1028.7022013999997</v>
      </c>
      <c r="BE85" s="1023">
        <f t="shared" si="32"/>
        <v>1048.8728327999997</v>
      </c>
      <c r="BF85" s="1023">
        <f t="shared" si="32"/>
        <v>1069.0434641999998</v>
      </c>
    </row>
    <row r="86" spans="1:58" ht="15" hidden="1" customHeight="1">
      <c r="A86" s="2477"/>
      <c r="B86" s="2628" t="s">
        <v>210</v>
      </c>
      <c r="C86" s="2629"/>
      <c r="D86" s="389"/>
      <c r="E86" s="435"/>
      <c r="F86" s="435"/>
      <c r="G86" s="389"/>
      <c r="H86" s="1021">
        <f t="shared" ref="H86:AM86" si="33">((H$71-$H$4)/1000)*$R$22*(($C$8/70)^$AD$22)</f>
        <v>62.340727804891181</v>
      </c>
      <c r="I86" s="1021">
        <f t="shared" si="33"/>
        <v>83.120970406521579</v>
      </c>
      <c r="J86" s="1021">
        <f t="shared" si="33"/>
        <v>103.90121300815197</v>
      </c>
      <c r="K86" s="1021">
        <f t="shared" si="33"/>
        <v>124.68145560978236</v>
      </c>
      <c r="L86" s="1021">
        <f t="shared" si="33"/>
        <v>145.46169821141274</v>
      </c>
      <c r="M86" s="1021">
        <f t="shared" si="33"/>
        <v>166.24194081304316</v>
      </c>
      <c r="N86" s="1021">
        <f t="shared" si="33"/>
        <v>187.02218341467355</v>
      </c>
      <c r="O86" s="1021">
        <f t="shared" si="33"/>
        <v>207.80242601630394</v>
      </c>
      <c r="P86" s="1021">
        <f t="shared" si="33"/>
        <v>228.58266861793436</v>
      </c>
      <c r="Q86" s="1021">
        <f t="shared" si="33"/>
        <v>249.36291121956472</v>
      </c>
      <c r="R86" s="1021">
        <f t="shared" si="33"/>
        <v>270.14315382119514</v>
      </c>
      <c r="S86" s="1021">
        <f t="shared" si="33"/>
        <v>290.92339642282548</v>
      </c>
      <c r="T86" s="1021">
        <f t="shared" si="33"/>
        <v>311.70363902445592</v>
      </c>
      <c r="U86" s="1021">
        <f t="shared" si="33"/>
        <v>332.48388162608632</v>
      </c>
      <c r="V86" s="1021">
        <f t="shared" si="33"/>
        <v>353.26412422771671</v>
      </c>
      <c r="W86" s="1021">
        <f t="shared" si="33"/>
        <v>374.0443668293471</v>
      </c>
      <c r="X86" s="1021">
        <f t="shared" si="33"/>
        <v>394.82460943097749</v>
      </c>
      <c r="Y86" s="1021">
        <f t="shared" si="33"/>
        <v>415.60485203260788</v>
      </c>
      <c r="Z86" s="1021">
        <f t="shared" si="33"/>
        <v>436.38509463423827</v>
      </c>
      <c r="AA86" s="1021">
        <f t="shared" si="33"/>
        <v>457.16533723586872</v>
      </c>
      <c r="AB86" s="1021">
        <f t="shared" si="33"/>
        <v>477.94557983749905</v>
      </c>
      <c r="AC86" s="1021">
        <f t="shared" si="33"/>
        <v>498.72582243912944</v>
      </c>
      <c r="AD86" s="1021">
        <f t="shared" si="33"/>
        <v>519.50606504075984</v>
      </c>
      <c r="AE86" s="1021">
        <f t="shared" si="33"/>
        <v>540.28630764239028</v>
      </c>
      <c r="AF86" s="1021">
        <f t="shared" si="33"/>
        <v>561.06655024402062</v>
      </c>
      <c r="AG86" s="1021">
        <f t="shared" si="33"/>
        <v>581.84679284565095</v>
      </c>
      <c r="AH86" s="1021">
        <f t="shared" si="33"/>
        <v>602.6270354472814</v>
      </c>
      <c r="AI86" s="1021">
        <f t="shared" si="33"/>
        <v>623.40727804891185</v>
      </c>
      <c r="AJ86" s="1021">
        <f t="shared" si="33"/>
        <v>644.18752065054218</v>
      </c>
      <c r="AK86" s="1021">
        <f t="shared" si="33"/>
        <v>664.96776325217263</v>
      </c>
      <c r="AL86" s="1021">
        <f t="shared" si="33"/>
        <v>685.74800585380297</v>
      </c>
      <c r="AM86" s="1021">
        <f t="shared" si="33"/>
        <v>706.52824845543341</v>
      </c>
      <c r="AN86" s="1021">
        <f t="shared" ref="AN86:BF86" si="34">((AN$71-$H$4)/1000)*$R$22*(($C$8/70)^$AD$22)</f>
        <v>727.30849105706375</v>
      </c>
      <c r="AO86" s="1021">
        <f t="shared" si="34"/>
        <v>748.0887336586942</v>
      </c>
      <c r="AP86" s="1021">
        <f t="shared" si="34"/>
        <v>768.86897626032464</v>
      </c>
      <c r="AQ86" s="1021">
        <f t="shared" si="34"/>
        <v>789.64921886195498</v>
      </c>
      <c r="AR86" s="1021">
        <f t="shared" si="34"/>
        <v>810.42946146358531</v>
      </c>
      <c r="AS86" s="1021">
        <f t="shared" si="34"/>
        <v>831.20970406521576</v>
      </c>
      <c r="AT86" s="1021">
        <f t="shared" si="34"/>
        <v>851.98994666684609</v>
      </c>
      <c r="AU86" s="1021">
        <f t="shared" si="34"/>
        <v>872.77018926847654</v>
      </c>
      <c r="AV86" s="1021">
        <f t="shared" si="34"/>
        <v>893.55043187010688</v>
      </c>
      <c r="AW86" s="1021">
        <f t="shared" si="34"/>
        <v>914.33067447173744</v>
      </c>
      <c r="AX86" s="1021">
        <f t="shared" si="34"/>
        <v>935.11091707336777</v>
      </c>
      <c r="AY86" s="1021">
        <f t="shared" si="34"/>
        <v>955.89115967499811</v>
      </c>
      <c r="AZ86" s="1021">
        <f t="shared" si="34"/>
        <v>976.67140227662856</v>
      </c>
      <c r="BA86" s="1021">
        <f t="shared" si="34"/>
        <v>997.45164487825889</v>
      </c>
      <c r="BB86" s="1021">
        <f t="shared" si="34"/>
        <v>1018.2318874798893</v>
      </c>
      <c r="BC86" s="1021">
        <f t="shared" si="34"/>
        <v>1039.0121300815197</v>
      </c>
      <c r="BD86" s="1021">
        <f t="shared" si="34"/>
        <v>1059.79237268315</v>
      </c>
      <c r="BE86" s="1021">
        <f t="shared" si="34"/>
        <v>1080.5726152847806</v>
      </c>
      <c r="BF86" s="1021">
        <f t="shared" si="34"/>
        <v>1101.3528578864109</v>
      </c>
    </row>
    <row r="87" spans="1:58" ht="15.75" hidden="1" customHeight="1" thickBot="1">
      <c r="A87" s="2477"/>
      <c r="B87" s="2630" t="s">
        <v>211</v>
      </c>
      <c r="C87" s="2631"/>
      <c r="D87" s="390"/>
      <c r="E87" s="436"/>
      <c r="F87" s="436"/>
      <c r="G87" s="390"/>
      <c r="H87" s="1022">
        <f t="shared" ref="H87:AM87" si="35">((H$71-$H$4)/1000)*$S$22*(($C$8/70)^$AE$22)</f>
        <v>81.199007999999978</v>
      </c>
      <c r="I87" s="1022">
        <f t="shared" si="35"/>
        <v>108.26534399999998</v>
      </c>
      <c r="J87" s="1022">
        <f t="shared" si="35"/>
        <v>135.33167999999998</v>
      </c>
      <c r="K87" s="1022">
        <f t="shared" si="35"/>
        <v>162.39801599999996</v>
      </c>
      <c r="L87" s="1022">
        <f t="shared" si="35"/>
        <v>189.46435199999996</v>
      </c>
      <c r="M87" s="1022">
        <f t="shared" si="35"/>
        <v>216.53068799999997</v>
      </c>
      <c r="N87" s="1022">
        <f t="shared" si="35"/>
        <v>243.59702399999998</v>
      </c>
      <c r="O87" s="1022">
        <f t="shared" si="35"/>
        <v>270.66335999999995</v>
      </c>
      <c r="P87" s="1022">
        <f t="shared" si="35"/>
        <v>297.72969599999999</v>
      </c>
      <c r="Q87" s="1022">
        <f t="shared" si="35"/>
        <v>324.79603199999991</v>
      </c>
      <c r="R87" s="1022">
        <f t="shared" si="35"/>
        <v>351.86236799999995</v>
      </c>
      <c r="S87" s="1022">
        <f t="shared" si="35"/>
        <v>378.92870399999993</v>
      </c>
      <c r="T87" s="1022">
        <f t="shared" si="35"/>
        <v>405.9950399999999</v>
      </c>
      <c r="U87" s="1022">
        <f t="shared" si="35"/>
        <v>433.06137599999994</v>
      </c>
      <c r="V87" s="1022">
        <f t="shared" si="35"/>
        <v>460.12771199999992</v>
      </c>
      <c r="W87" s="1022">
        <f t="shared" si="35"/>
        <v>487.19404799999995</v>
      </c>
      <c r="X87" s="1022">
        <f t="shared" si="35"/>
        <v>514.26038399999993</v>
      </c>
      <c r="Y87" s="1022">
        <f t="shared" si="35"/>
        <v>541.32671999999991</v>
      </c>
      <c r="Z87" s="1022">
        <f t="shared" si="35"/>
        <v>568.39305599999989</v>
      </c>
      <c r="AA87" s="1022">
        <f t="shared" si="35"/>
        <v>595.45939199999998</v>
      </c>
      <c r="AB87" s="1022">
        <f t="shared" si="35"/>
        <v>622.52572799999984</v>
      </c>
      <c r="AC87" s="1022">
        <f t="shared" si="35"/>
        <v>649.59206399999982</v>
      </c>
      <c r="AD87" s="1022">
        <f t="shared" si="35"/>
        <v>676.65839999999992</v>
      </c>
      <c r="AE87" s="1022">
        <f t="shared" si="35"/>
        <v>703.72473599999989</v>
      </c>
      <c r="AF87" s="1022">
        <f t="shared" si="35"/>
        <v>730.79107199999987</v>
      </c>
      <c r="AG87" s="1022">
        <f t="shared" si="35"/>
        <v>757.85740799999985</v>
      </c>
      <c r="AH87" s="1022">
        <f t="shared" si="35"/>
        <v>784.92374399999983</v>
      </c>
      <c r="AI87" s="1022">
        <f t="shared" si="35"/>
        <v>811.99007999999981</v>
      </c>
      <c r="AJ87" s="1022">
        <f t="shared" si="35"/>
        <v>839.0564159999999</v>
      </c>
      <c r="AK87" s="1022">
        <f t="shared" si="35"/>
        <v>866.12275199999988</v>
      </c>
      <c r="AL87" s="1022">
        <f t="shared" si="35"/>
        <v>893.18908799999986</v>
      </c>
      <c r="AM87" s="1022">
        <f t="shared" si="35"/>
        <v>920.25542399999983</v>
      </c>
      <c r="AN87" s="1022">
        <f t="shared" ref="AN87:BF87" si="36">((AN$71-$H$4)/1000)*$S$22*(($C$8/70)^$AE$22)</f>
        <v>947.32175999999981</v>
      </c>
      <c r="AO87" s="1022">
        <f t="shared" si="36"/>
        <v>974.3880959999999</v>
      </c>
      <c r="AP87" s="1022">
        <f t="shared" si="36"/>
        <v>1001.4544319999999</v>
      </c>
      <c r="AQ87" s="1022">
        <f t="shared" si="36"/>
        <v>1028.5207679999999</v>
      </c>
      <c r="AR87" s="1022">
        <f t="shared" si="36"/>
        <v>1055.5871039999997</v>
      </c>
      <c r="AS87" s="1022">
        <f t="shared" si="36"/>
        <v>1082.6534399999998</v>
      </c>
      <c r="AT87" s="1022">
        <f t="shared" si="36"/>
        <v>1109.7197759999997</v>
      </c>
      <c r="AU87" s="1022">
        <f t="shared" si="36"/>
        <v>1136.7861119999998</v>
      </c>
      <c r="AV87" s="1022">
        <f t="shared" si="36"/>
        <v>1163.8524479999999</v>
      </c>
      <c r="AW87" s="1022">
        <f t="shared" si="36"/>
        <v>1190.918784</v>
      </c>
      <c r="AX87" s="1022">
        <f t="shared" si="36"/>
        <v>1217.9851199999998</v>
      </c>
      <c r="AY87" s="1022">
        <f t="shared" si="36"/>
        <v>1245.0514559999997</v>
      </c>
      <c r="AZ87" s="1022">
        <f t="shared" si="36"/>
        <v>1272.1177919999998</v>
      </c>
      <c r="BA87" s="1022">
        <f t="shared" si="36"/>
        <v>1299.1841279999996</v>
      </c>
      <c r="BB87" s="1022">
        <f t="shared" si="36"/>
        <v>1326.250464</v>
      </c>
      <c r="BC87" s="1022">
        <f t="shared" si="36"/>
        <v>1353.3167999999998</v>
      </c>
      <c r="BD87" s="1022">
        <f t="shared" si="36"/>
        <v>1380.3831359999997</v>
      </c>
      <c r="BE87" s="1022">
        <f t="shared" si="36"/>
        <v>1407.4494719999998</v>
      </c>
      <c r="BF87" s="1022">
        <f t="shared" si="36"/>
        <v>1434.5158079999997</v>
      </c>
    </row>
    <row r="88" spans="1:58" ht="15" customHeight="1">
      <c r="A88" s="2477"/>
      <c r="B88" s="2632" t="s">
        <v>212</v>
      </c>
      <c r="C88" s="2633"/>
      <c r="D88" s="391" t="s">
        <v>194</v>
      </c>
      <c r="E88" s="437">
        <v>70</v>
      </c>
      <c r="F88" s="437">
        <v>160</v>
      </c>
      <c r="G88" s="391" t="s">
        <v>195</v>
      </c>
      <c r="H88" s="1024">
        <f t="shared" ref="H88:AM88" si="37">((H$71-$H$4)/1000)*$K23*(($C$8/70)^$W$23)</f>
        <v>33.546304141108699</v>
      </c>
      <c r="I88" s="1024">
        <f t="shared" si="37"/>
        <v>44.728405521478265</v>
      </c>
      <c r="J88" s="1024">
        <f t="shared" si="37"/>
        <v>55.910506901847832</v>
      </c>
      <c r="K88" s="1024">
        <f t="shared" si="37"/>
        <v>67.092608282217398</v>
      </c>
      <c r="L88" s="1024">
        <f t="shared" si="37"/>
        <v>78.274709662586957</v>
      </c>
      <c r="M88" s="1024">
        <f t="shared" si="37"/>
        <v>89.456811042956531</v>
      </c>
      <c r="N88" s="1024">
        <f t="shared" si="37"/>
        <v>100.6389124233261</v>
      </c>
      <c r="O88" s="1024">
        <f t="shared" si="37"/>
        <v>111.82101380369566</v>
      </c>
      <c r="P88" s="1024">
        <f t="shared" si="37"/>
        <v>123.00311518406524</v>
      </c>
      <c r="Q88" s="1024">
        <f t="shared" si="37"/>
        <v>134.1852165644348</v>
      </c>
      <c r="R88" s="1024">
        <f t="shared" si="37"/>
        <v>145.36731794480437</v>
      </c>
      <c r="S88" s="1024">
        <f t="shared" si="37"/>
        <v>156.54941932517391</v>
      </c>
      <c r="T88" s="1024">
        <f t="shared" si="37"/>
        <v>167.73152070554349</v>
      </c>
      <c r="U88" s="1024">
        <f t="shared" si="37"/>
        <v>178.91362208591306</v>
      </c>
      <c r="V88" s="1024">
        <f t="shared" si="37"/>
        <v>190.09572346628264</v>
      </c>
      <c r="W88" s="1024">
        <f t="shared" si="37"/>
        <v>201.27782484665221</v>
      </c>
      <c r="X88" s="1024">
        <f t="shared" si="37"/>
        <v>212.45992622702175</v>
      </c>
      <c r="Y88" s="1024">
        <f t="shared" si="37"/>
        <v>223.64202760739133</v>
      </c>
      <c r="Z88" s="1024">
        <f t="shared" si="37"/>
        <v>234.8241289877609</v>
      </c>
      <c r="AA88" s="1024">
        <f t="shared" si="37"/>
        <v>246.00623036813047</v>
      </c>
      <c r="AB88" s="1024">
        <f t="shared" si="37"/>
        <v>257.18833174849999</v>
      </c>
      <c r="AC88" s="1024">
        <f t="shared" si="37"/>
        <v>268.37043312886959</v>
      </c>
      <c r="AD88" s="1024">
        <f t="shared" si="37"/>
        <v>279.55253450923914</v>
      </c>
      <c r="AE88" s="1024">
        <f t="shared" si="37"/>
        <v>290.73463588960874</v>
      </c>
      <c r="AF88" s="1024">
        <f t="shared" si="37"/>
        <v>301.91673726997828</v>
      </c>
      <c r="AG88" s="1024">
        <f t="shared" si="37"/>
        <v>313.09883865034783</v>
      </c>
      <c r="AH88" s="1024">
        <f t="shared" si="37"/>
        <v>324.28094003071743</v>
      </c>
      <c r="AI88" s="1024">
        <f t="shared" si="37"/>
        <v>335.46304141108698</v>
      </c>
      <c r="AJ88" s="1024">
        <f t="shared" si="37"/>
        <v>346.64514279145658</v>
      </c>
      <c r="AK88" s="1024">
        <f t="shared" si="37"/>
        <v>357.82724417182612</v>
      </c>
      <c r="AL88" s="1024">
        <f t="shared" si="37"/>
        <v>369.00934555219567</v>
      </c>
      <c r="AM88" s="1024">
        <f t="shared" si="37"/>
        <v>380.19144693256527</v>
      </c>
      <c r="AN88" s="1024">
        <f t="shared" ref="AN88:BF88" si="38">((AN$71-$H$4)/1000)*$K23*(($C$8/70)^$W$23)</f>
        <v>391.37354831293482</v>
      </c>
      <c r="AO88" s="1024">
        <f t="shared" si="38"/>
        <v>402.55564969330442</v>
      </c>
      <c r="AP88" s="1024">
        <f t="shared" si="38"/>
        <v>413.73775107367396</v>
      </c>
      <c r="AQ88" s="1024">
        <f t="shared" si="38"/>
        <v>424.91985245404351</v>
      </c>
      <c r="AR88" s="1024">
        <f t="shared" si="38"/>
        <v>436.10195383441305</v>
      </c>
      <c r="AS88" s="1024">
        <f t="shared" si="38"/>
        <v>447.28405521478265</v>
      </c>
      <c r="AT88" s="1024">
        <f t="shared" si="38"/>
        <v>458.4661565951522</v>
      </c>
      <c r="AU88" s="1024">
        <f t="shared" si="38"/>
        <v>469.6482579755218</v>
      </c>
      <c r="AV88" s="1024">
        <f t="shared" si="38"/>
        <v>480.83035935589135</v>
      </c>
      <c r="AW88" s="1024">
        <f t="shared" si="38"/>
        <v>492.01246073626095</v>
      </c>
      <c r="AX88" s="1024">
        <f t="shared" si="38"/>
        <v>503.19456211663049</v>
      </c>
      <c r="AY88" s="1024">
        <f t="shared" si="38"/>
        <v>514.37666349699998</v>
      </c>
      <c r="AZ88" s="1024">
        <f t="shared" si="38"/>
        <v>525.55876487736964</v>
      </c>
      <c r="BA88" s="1024">
        <f t="shared" si="38"/>
        <v>536.74086625773919</v>
      </c>
      <c r="BB88" s="1024">
        <f t="shared" si="38"/>
        <v>547.92296763810884</v>
      </c>
      <c r="BC88" s="1024">
        <f t="shared" si="38"/>
        <v>559.10506901847828</v>
      </c>
      <c r="BD88" s="1024">
        <f t="shared" si="38"/>
        <v>570.28717039884782</v>
      </c>
      <c r="BE88" s="1024">
        <f t="shared" si="38"/>
        <v>581.46927177921748</v>
      </c>
      <c r="BF88" s="1024">
        <f t="shared" si="38"/>
        <v>592.65137315958702</v>
      </c>
    </row>
    <row r="89" spans="1:58">
      <c r="A89" s="2477"/>
      <c r="B89" s="2618" t="s">
        <v>213</v>
      </c>
      <c r="C89" s="2619"/>
      <c r="D89" s="392" t="s">
        <v>194</v>
      </c>
      <c r="E89" s="438">
        <v>70</v>
      </c>
      <c r="F89" s="438">
        <v>200</v>
      </c>
      <c r="G89" s="392" t="s">
        <v>195</v>
      </c>
      <c r="H89" s="1025">
        <f t="shared" ref="H89:AM89" si="39">((H$71-$H$4)/1000)*$L$23*(($C$8/70)^$X$23)</f>
        <v>38.12080016035079</v>
      </c>
      <c r="I89" s="1025">
        <f t="shared" si="39"/>
        <v>50.827733547134393</v>
      </c>
      <c r="J89" s="1025">
        <f t="shared" si="39"/>
        <v>63.53466693391799</v>
      </c>
      <c r="K89" s="1025">
        <f t="shared" si="39"/>
        <v>76.241600320701579</v>
      </c>
      <c r="L89" s="1025">
        <f t="shared" si="39"/>
        <v>88.948533707485183</v>
      </c>
      <c r="M89" s="1025">
        <f t="shared" si="39"/>
        <v>101.65546709426879</v>
      </c>
      <c r="N89" s="1025">
        <f t="shared" si="39"/>
        <v>114.36240048105239</v>
      </c>
      <c r="O89" s="1025">
        <f t="shared" si="39"/>
        <v>127.06933386783598</v>
      </c>
      <c r="P89" s="1025">
        <f t="shared" si="39"/>
        <v>139.7762672546196</v>
      </c>
      <c r="Q89" s="1025">
        <f t="shared" si="39"/>
        <v>152.48320064140316</v>
      </c>
      <c r="R89" s="1025">
        <f t="shared" si="39"/>
        <v>165.19013402818678</v>
      </c>
      <c r="S89" s="1025">
        <f t="shared" si="39"/>
        <v>177.89706741497037</v>
      </c>
      <c r="T89" s="1025">
        <f t="shared" si="39"/>
        <v>190.60400080175395</v>
      </c>
      <c r="U89" s="1025">
        <f t="shared" si="39"/>
        <v>203.31093418853757</v>
      </c>
      <c r="V89" s="1025">
        <f t="shared" si="39"/>
        <v>216.01786757532116</v>
      </c>
      <c r="W89" s="1025">
        <f t="shared" si="39"/>
        <v>228.72480096210478</v>
      </c>
      <c r="X89" s="1025">
        <f t="shared" si="39"/>
        <v>241.43173434888834</v>
      </c>
      <c r="Y89" s="1025">
        <f t="shared" si="39"/>
        <v>254.13866773567196</v>
      </c>
      <c r="Z89" s="1025">
        <f t="shared" si="39"/>
        <v>266.84560112245555</v>
      </c>
      <c r="AA89" s="1025">
        <f t="shared" si="39"/>
        <v>279.55253450923919</v>
      </c>
      <c r="AB89" s="1025">
        <f t="shared" si="39"/>
        <v>292.25946789602273</v>
      </c>
      <c r="AC89" s="1025">
        <f t="shared" si="39"/>
        <v>304.96640128280632</v>
      </c>
      <c r="AD89" s="1025">
        <f t="shared" si="39"/>
        <v>317.67333466958996</v>
      </c>
      <c r="AE89" s="1025">
        <f t="shared" si="39"/>
        <v>330.38026805637355</v>
      </c>
      <c r="AF89" s="1025">
        <f t="shared" si="39"/>
        <v>343.08720144315714</v>
      </c>
      <c r="AG89" s="1025">
        <f t="shared" si="39"/>
        <v>355.79413482994073</v>
      </c>
      <c r="AH89" s="1025">
        <f t="shared" si="39"/>
        <v>368.50106821672432</v>
      </c>
      <c r="AI89" s="1025">
        <f t="shared" si="39"/>
        <v>381.20800160350791</v>
      </c>
      <c r="AJ89" s="1025">
        <f t="shared" si="39"/>
        <v>393.91493499029156</v>
      </c>
      <c r="AK89" s="1025">
        <f t="shared" si="39"/>
        <v>406.62186837707515</v>
      </c>
      <c r="AL89" s="1025">
        <f t="shared" si="39"/>
        <v>419.32880176385873</v>
      </c>
      <c r="AM89" s="1025">
        <f t="shared" si="39"/>
        <v>432.03573515064232</v>
      </c>
      <c r="AN89" s="1025">
        <f t="shared" ref="AN89:BF89" si="40">((AN$71-$H$4)/1000)*$L$23*(($C$8/70)^$X$23)</f>
        <v>444.74266853742591</v>
      </c>
      <c r="AO89" s="1025">
        <f t="shared" si="40"/>
        <v>457.44960192420956</v>
      </c>
      <c r="AP89" s="1025">
        <f t="shared" si="40"/>
        <v>470.15653531099315</v>
      </c>
      <c r="AQ89" s="1025">
        <f t="shared" si="40"/>
        <v>482.86346869777668</v>
      </c>
      <c r="AR89" s="1025">
        <f t="shared" si="40"/>
        <v>495.57040208456033</v>
      </c>
      <c r="AS89" s="1025">
        <f t="shared" si="40"/>
        <v>508.27733547134392</v>
      </c>
      <c r="AT89" s="1025">
        <f t="shared" si="40"/>
        <v>520.98426885812751</v>
      </c>
      <c r="AU89" s="1025">
        <f t="shared" si="40"/>
        <v>533.6912022449111</v>
      </c>
      <c r="AV89" s="1025">
        <f t="shared" si="40"/>
        <v>546.39813563169469</v>
      </c>
      <c r="AW89" s="1025">
        <f t="shared" si="40"/>
        <v>559.10506901847839</v>
      </c>
      <c r="AX89" s="1025">
        <f t="shared" si="40"/>
        <v>571.81200240526186</v>
      </c>
      <c r="AY89" s="1025">
        <f t="shared" si="40"/>
        <v>584.51893579204545</v>
      </c>
      <c r="AZ89" s="1025">
        <f t="shared" si="40"/>
        <v>597.22586917882916</v>
      </c>
      <c r="BA89" s="1025">
        <f t="shared" si="40"/>
        <v>609.93280256561263</v>
      </c>
      <c r="BB89" s="1025">
        <f t="shared" si="40"/>
        <v>622.63973595239634</v>
      </c>
      <c r="BC89" s="1025">
        <f t="shared" si="40"/>
        <v>635.34666933917993</v>
      </c>
      <c r="BD89" s="1025">
        <f t="shared" si="40"/>
        <v>648.0536027259634</v>
      </c>
      <c r="BE89" s="1025">
        <f t="shared" si="40"/>
        <v>660.7605361127471</v>
      </c>
      <c r="BF89" s="1025">
        <f t="shared" si="40"/>
        <v>673.46746949953069</v>
      </c>
    </row>
    <row r="90" spans="1:58">
      <c r="A90" s="2477"/>
      <c r="B90" s="2618" t="s">
        <v>214</v>
      </c>
      <c r="C90" s="2619"/>
      <c r="D90" s="392" t="s">
        <v>194</v>
      </c>
      <c r="E90" s="438">
        <v>70</v>
      </c>
      <c r="F90" s="438">
        <v>260</v>
      </c>
      <c r="G90" s="392" t="s">
        <v>195</v>
      </c>
      <c r="H90" s="1025">
        <f t="shared" ref="H90:AM90" si="41">((H$71-$H$4)/1000)*$M$23*(($C$8/70)^$Y$23)</f>
        <v>48.166627480319413</v>
      </c>
      <c r="I90" s="1025">
        <f t="shared" si="41"/>
        <v>64.222169973759222</v>
      </c>
      <c r="J90" s="1025">
        <f t="shared" si="41"/>
        <v>80.277712467199024</v>
      </c>
      <c r="K90" s="1025">
        <f t="shared" si="41"/>
        <v>96.333254960638826</v>
      </c>
      <c r="L90" s="1025">
        <f t="shared" si="41"/>
        <v>112.38879745407863</v>
      </c>
      <c r="M90" s="1025">
        <f t="shared" si="41"/>
        <v>128.44433994751844</v>
      </c>
      <c r="N90" s="1025">
        <f t="shared" si="41"/>
        <v>144.49988244095826</v>
      </c>
      <c r="O90" s="1025">
        <f t="shared" si="41"/>
        <v>160.55542493439805</v>
      </c>
      <c r="P90" s="1025">
        <f t="shared" si="41"/>
        <v>176.61096742783786</v>
      </c>
      <c r="Q90" s="1025">
        <f t="shared" si="41"/>
        <v>192.66650992127765</v>
      </c>
      <c r="R90" s="1025">
        <f t="shared" si="41"/>
        <v>208.72205241471747</v>
      </c>
      <c r="S90" s="1025">
        <f t="shared" si="41"/>
        <v>224.77759490815725</v>
      </c>
      <c r="T90" s="1025">
        <f t="shared" si="41"/>
        <v>240.83313740159707</v>
      </c>
      <c r="U90" s="1025">
        <f t="shared" si="41"/>
        <v>256.88867989503689</v>
      </c>
      <c r="V90" s="1025">
        <f t="shared" si="41"/>
        <v>272.94422238847665</v>
      </c>
      <c r="W90" s="1025">
        <f t="shared" si="41"/>
        <v>288.99976488191652</v>
      </c>
      <c r="X90" s="1025">
        <f t="shared" si="41"/>
        <v>305.05530737535628</v>
      </c>
      <c r="Y90" s="1025">
        <f t="shared" si="41"/>
        <v>321.11084986879609</v>
      </c>
      <c r="Z90" s="1025">
        <f t="shared" si="41"/>
        <v>337.16639236223591</v>
      </c>
      <c r="AA90" s="1025">
        <f t="shared" si="41"/>
        <v>353.22193485567573</v>
      </c>
      <c r="AB90" s="1025">
        <f t="shared" si="41"/>
        <v>369.27747734911549</v>
      </c>
      <c r="AC90" s="1025">
        <f t="shared" si="41"/>
        <v>385.3330198425553</v>
      </c>
      <c r="AD90" s="1025">
        <f t="shared" si="41"/>
        <v>401.38856233599512</v>
      </c>
      <c r="AE90" s="1025">
        <f t="shared" si="41"/>
        <v>417.44410482943493</v>
      </c>
      <c r="AF90" s="1025">
        <f t="shared" si="41"/>
        <v>433.49964732287475</v>
      </c>
      <c r="AG90" s="1025">
        <f t="shared" si="41"/>
        <v>449.55518981631451</v>
      </c>
      <c r="AH90" s="1025">
        <f t="shared" si="41"/>
        <v>465.61073230975433</v>
      </c>
      <c r="AI90" s="1025">
        <f t="shared" si="41"/>
        <v>481.66627480319414</v>
      </c>
      <c r="AJ90" s="1025">
        <f t="shared" si="41"/>
        <v>497.72181729663396</v>
      </c>
      <c r="AK90" s="1025">
        <f t="shared" si="41"/>
        <v>513.77735979007377</v>
      </c>
      <c r="AL90" s="1025">
        <f t="shared" si="41"/>
        <v>529.83290228351348</v>
      </c>
      <c r="AM90" s="1025">
        <f t="shared" si="41"/>
        <v>545.88844477695329</v>
      </c>
      <c r="AN90" s="1025">
        <f t="shared" ref="AN90:BF90" si="42">((AN$71-$H$4)/1000)*$M$23*(($C$8/70)^$Y$23)</f>
        <v>561.94398727039311</v>
      </c>
      <c r="AO90" s="1025">
        <f t="shared" si="42"/>
        <v>577.99952976383304</v>
      </c>
      <c r="AP90" s="1025">
        <f t="shared" si="42"/>
        <v>594.05507225727285</v>
      </c>
      <c r="AQ90" s="1025">
        <f t="shared" si="42"/>
        <v>610.11061475071256</v>
      </c>
      <c r="AR90" s="1025">
        <f t="shared" si="42"/>
        <v>626.16615724415237</v>
      </c>
      <c r="AS90" s="1025">
        <f t="shared" si="42"/>
        <v>642.22169973759219</v>
      </c>
      <c r="AT90" s="1025">
        <f t="shared" si="42"/>
        <v>658.27724223103189</v>
      </c>
      <c r="AU90" s="1025">
        <f t="shared" si="42"/>
        <v>674.33278472447182</v>
      </c>
      <c r="AV90" s="1025">
        <f t="shared" si="42"/>
        <v>690.38832721791152</v>
      </c>
      <c r="AW90" s="1025">
        <f t="shared" si="42"/>
        <v>706.44386971135145</v>
      </c>
      <c r="AX90" s="1025">
        <f t="shared" si="42"/>
        <v>722.49941220479127</v>
      </c>
      <c r="AY90" s="1025">
        <f t="shared" si="42"/>
        <v>738.55495469823097</v>
      </c>
      <c r="AZ90" s="1025">
        <f t="shared" si="42"/>
        <v>754.6104971916709</v>
      </c>
      <c r="BA90" s="1025">
        <f t="shared" si="42"/>
        <v>770.6660396851106</v>
      </c>
      <c r="BB90" s="1025">
        <f t="shared" si="42"/>
        <v>786.72158217855053</v>
      </c>
      <c r="BC90" s="1025">
        <f t="shared" si="42"/>
        <v>802.77712467199024</v>
      </c>
      <c r="BD90" s="1025">
        <f t="shared" si="42"/>
        <v>818.83266716542994</v>
      </c>
      <c r="BE90" s="1025">
        <f t="shared" si="42"/>
        <v>834.88820965886987</v>
      </c>
      <c r="BF90" s="1025">
        <f t="shared" si="42"/>
        <v>850.94375215230957</v>
      </c>
    </row>
    <row r="91" spans="1:58">
      <c r="A91" s="2477"/>
      <c r="B91" s="2618" t="s">
        <v>215</v>
      </c>
      <c r="C91" s="2619"/>
      <c r="D91" s="392" t="s">
        <v>194</v>
      </c>
      <c r="E91" s="438">
        <v>70</v>
      </c>
      <c r="F91" s="438">
        <v>300</v>
      </c>
      <c r="G91" s="392" t="s">
        <v>195</v>
      </c>
      <c r="H91" s="1025">
        <f t="shared" ref="H91:AM91" si="43">((H$71-$H$4)/1000)*$N$23*(($C$8/70)^$Z$23)</f>
        <v>51.59302844107669</v>
      </c>
      <c r="I91" s="1025">
        <f t="shared" si="43"/>
        <v>68.790704588102258</v>
      </c>
      <c r="J91" s="1025">
        <f t="shared" si="43"/>
        <v>85.988380735127819</v>
      </c>
      <c r="K91" s="1025">
        <f t="shared" si="43"/>
        <v>103.18605688215338</v>
      </c>
      <c r="L91" s="1025">
        <f t="shared" si="43"/>
        <v>120.38373302917894</v>
      </c>
      <c r="M91" s="1025">
        <f t="shared" si="43"/>
        <v>137.58140917620452</v>
      </c>
      <c r="N91" s="1025">
        <f t="shared" si="43"/>
        <v>154.77908532323008</v>
      </c>
      <c r="O91" s="1025">
        <f t="shared" si="43"/>
        <v>171.97676147025564</v>
      </c>
      <c r="P91" s="1025">
        <f t="shared" si="43"/>
        <v>189.17443761728123</v>
      </c>
      <c r="Q91" s="1025">
        <f t="shared" si="43"/>
        <v>206.37211376430676</v>
      </c>
      <c r="R91" s="1025">
        <f t="shared" si="43"/>
        <v>223.56978991133235</v>
      </c>
      <c r="S91" s="1025">
        <f t="shared" si="43"/>
        <v>240.76746605835788</v>
      </c>
      <c r="T91" s="1025">
        <f t="shared" si="43"/>
        <v>257.96514220538347</v>
      </c>
      <c r="U91" s="1025">
        <f t="shared" si="43"/>
        <v>275.16281835240903</v>
      </c>
      <c r="V91" s="1025">
        <f t="shared" si="43"/>
        <v>292.36049449943459</v>
      </c>
      <c r="W91" s="1025">
        <f t="shared" si="43"/>
        <v>309.55817064646016</v>
      </c>
      <c r="X91" s="1025">
        <f t="shared" si="43"/>
        <v>326.75584679348572</v>
      </c>
      <c r="Y91" s="1025">
        <f t="shared" si="43"/>
        <v>343.95352294051128</v>
      </c>
      <c r="Z91" s="1025">
        <f t="shared" si="43"/>
        <v>361.15119908753684</v>
      </c>
      <c r="AA91" s="1025">
        <f t="shared" si="43"/>
        <v>378.34887523456246</v>
      </c>
      <c r="AB91" s="1025">
        <f t="shared" si="43"/>
        <v>395.54655138158796</v>
      </c>
      <c r="AC91" s="1025">
        <f t="shared" si="43"/>
        <v>412.74422752861352</v>
      </c>
      <c r="AD91" s="1025">
        <f t="shared" si="43"/>
        <v>429.94190367563908</v>
      </c>
      <c r="AE91" s="1025">
        <f t="shared" si="43"/>
        <v>447.1395798226647</v>
      </c>
      <c r="AF91" s="1025">
        <f t="shared" si="43"/>
        <v>464.33725596969026</v>
      </c>
      <c r="AG91" s="1025">
        <f t="shared" si="43"/>
        <v>481.53493211671577</v>
      </c>
      <c r="AH91" s="1025">
        <f t="shared" si="43"/>
        <v>498.73260826374133</v>
      </c>
      <c r="AI91" s="1025">
        <f t="shared" si="43"/>
        <v>515.93028441076694</v>
      </c>
      <c r="AJ91" s="1025">
        <f t="shared" si="43"/>
        <v>533.12796055779245</v>
      </c>
      <c r="AK91" s="1025">
        <f t="shared" si="43"/>
        <v>550.32563670481807</v>
      </c>
      <c r="AL91" s="1025">
        <f t="shared" si="43"/>
        <v>567.52331285184357</v>
      </c>
      <c r="AM91" s="1025">
        <f t="shared" si="43"/>
        <v>584.72098899886919</v>
      </c>
      <c r="AN91" s="1025">
        <f t="shared" ref="AN91:BF91" si="44">((AN$71-$H$4)/1000)*$N$23*(($C$8/70)^$Z$23)</f>
        <v>601.91866514589469</v>
      </c>
      <c r="AO91" s="1025">
        <f t="shared" si="44"/>
        <v>619.11634129292031</v>
      </c>
      <c r="AP91" s="1025">
        <f t="shared" si="44"/>
        <v>636.31401743994593</v>
      </c>
      <c r="AQ91" s="1025">
        <f t="shared" si="44"/>
        <v>653.51169358697143</v>
      </c>
      <c r="AR91" s="1025">
        <f t="shared" si="44"/>
        <v>670.70936973399694</v>
      </c>
      <c r="AS91" s="1025">
        <f t="shared" si="44"/>
        <v>687.90704588102255</v>
      </c>
      <c r="AT91" s="1025">
        <f t="shared" si="44"/>
        <v>705.10472202804806</v>
      </c>
      <c r="AU91" s="1025">
        <f t="shared" si="44"/>
        <v>722.30239817507368</v>
      </c>
      <c r="AV91" s="1025">
        <f t="shared" si="44"/>
        <v>739.50007432209918</v>
      </c>
      <c r="AW91" s="1025">
        <f t="shared" si="44"/>
        <v>756.69775046912491</v>
      </c>
      <c r="AX91" s="1025">
        <f t="shared" si="44"/>
        <v>773.89542661615042</v>
      </c>
      <c r="AY91" s="1025">
        <f t="shared" si="44"/>
        <v>791.09310276317592</v>
      </c>
      <c r="AZ91" s="1025">
        <f t="shared" si="44"/>
        <v>808.29077891020154</v>
      </c>
      <c r="BA91" s="1025">
        <f t="shared" si="44"/>
        <v>825.48845505722704</v>
      </c>
      <c r="BB91" s="1025">
        <f t="shared" si="44"/>
        <v>842.68613120425266</v>
      </c>
      <c r="BC91" s="1025">
        <f t="shared" si="44"/>
        <v>859.88380735127816</v>
      </c>
      <c r="BD91" s="1025">
        <f t="shared" si="44"/>
        <v>877.08148349830367</v>
      </c>
      <c r="BE91" s="1025">
        <f t="shared" si="44"/>
        <v>894.2791596453294</v>
      </c>
      <c r="BF91" s="1025">
        <f t="shared" si="44"/>
        <v>911.4768357923549</v>
      </c>
    </row>
    <row r="92" spans="1:58" ht="15.75" thickBot="1">
      <c r="A92" s="2477"/>
      <c r="B92" s="2620" t="s">
        <v>216</v>
      </c>
      <c r="C92" s="2621"/>
      <c r="D92" s="393" t="s">
        <v>194</v>
      </c>
      <c r="E92" s="439">
        <v>70</v>
      </c>
      <c r="F92" s="439">
        <v>300</v>
      </c>
      <c r="G92" s="393" t="s">
        <v>200</v>
      </c>
      <c r="H92" s="1026">
        <f t="shared" ref="H92:AM92" si="45">((H$71-$H$4)/1000)*$O$23*(($C$8/70)^$AA$23)</f>
        <v>65.624647102005596</v>
      </c>
      <c r="I92" s="1026">
        <f t="shared" si="45"/>
        <v>87.4995294693408</v>
      </c>
      <c r="J92" s="1026">
        <f t="shared" si="45"/>
        <v>109.37441183667599</v>
      </c>
      <c r="K92" s="1026">
        <f t="shared" si="45"/>
        <v>131.24929420401119</v>
      </c>
      <c r="L92" s="1026">
        <f t="shared" si="45"/>
        <v>153.12417657134637</v>
      </c>
      <c r="M92" s="1026">
        <f t="shared" si="45"/>
        <v>174.9990589386816</v>
      </c>
      <c r="N92" s="1026">
        <f t="shared" si="45"/>
        <v>196.87394130601677</v>
      </c>
      <c r="O92" s="1026">
        <f t="shared" si="45"/>
        <v>218.74882367335198</v>
      </c>
      <c r="P92" s="1026">
        <f t="shared" si="45"/>
        <v>240.62370604068718</v>
      </c>
      <c r="Q92" s="1026">
        <f t="shared" si="45"/>
        <v>262.49858840802239</v>
      </c>
      <c r="R92" s="1026">
        <f t="shared" si="45"/>
        <v>284.37347077535759</v>
      </c>
      <c r="S92" s="1026">
        <f t="shared" si="45"/>
        <v>306.24835314269274</v>
      </c>
      <c r="T92" s="1026">
        <f t="shared" si="45"/>
        <v>328.12323551002794</v>
      </c>
      <c r="U92" s="1026">
        <f t="shared" si="45"/>
        <v>349.9981178773632</v>
      </c>
      <c r="V92" s="1026">
        <f t="shared" si="45"/>
        <v>371.87300024469835</v>
      </c>
      <c r="W92" s="1026">
        <f t="shared" si="45"/>
        <v>393.74788261203355</v>
      </c>
      <c r="X92" s="1026">
        <f t="shared" si="45"/>
        <v>415.62276497936875</v>
      </c>
      <c r="Y92" s="1026">
        <f t="shared" si="45"/>
        <v>437.49764734670396</v>
      </c>
      <c r="Z92" s="1026">
        <f t="shared" si="45"/>
        <v>459.37252971403916</v>
      </c>
      <c r="AA92" s="1026">
        <f t="shared" si="45"/>
        <v>481.24741208137436</v>
      </c>
      <c r="AB92" s="1026">
        <f t="shared" si="45"/>
        <v>503.12229444870951</v>
      </c>
      <c r="AC92" s="1026">
        <f t="shared" si="45"/>
        <v>524.99717681604477</v>
      </c>
      <c r="AD92" s="1026">
        <f t="shared" si="45"/>
        <v>546.87205918337997</v>
      </c>
      <c r="AE92" s="1026">
        <f t="shared" si="45"/>
        <v>568.74694155071518</v>
      </c>
      <c r="AF92" s="1026">
        <f t="shared" si="45"/>
        <v>590.62182391805038</v>
      </c>
      <c r="AG92" s="1026">
        <f t="shared" si="45"/>
        <v>612.49670628538547</v>
      </c>
      <c r="AH92" s="1026">
        <f t="shared" si="45"/>
        <v>634.37158865272067</v>
      </c>
      <c r="AI92" s="1026">
        <f t="shared" si="45"/>
        <v>656.24647102005588</v>
      </c>
      <c r="AJ92" s="1026">
        <f t="shared" si="45"/>
        <v>678.1213533873912</v>
      </c>
      <c r="AK92" s="1026">
        <f t="shared" si="45"/>
        <v>699.9962357547264</v>
      </c>
      <c r="AL92" s="1026">
        <f t="shared" si="45"/>
        <v>721.87111812206149</v>
      </c>
      <c r="AM92" s="1026">
        <f t="shared" si="45"/>
        <v>743.74600048939669</v>
      </c>
      <c r="AN92" s="1026">
        <f t="shared" ref="AN92:BF92" si="46">((AN$71-$H$4)/1000)*$O$23*(($C$8/70)^$AA$23)</f>
        <v>765.6208828567319</v>
      </c>
      <c r="AO92" s="1026">
        <f t="shared" si="46"/>
        <v>787.4957652240671</v>
      </c>
      <c r="AP92" s="1026">
        <f t="shared" si="46"/>
        <v>809.3706475914023</v>
      </c>
      <c r="AQ92" s="1026">
        <f t="shared" si="46"/>
        <v>831.24552995873751</v>
      </c>
      <c r="AR92" s="1026">
        <f t="shared" si="46"/>
        <v>853.12041232607271</v>
      </c>
      <c r="AS92" s="1026">
        <f t="shared" si="46"/>
        <v>874.99529469340791</v>
      </c>
      <c r="AT92" s="1026">
        <f t="shared" si="46"/>
        <v>896.870177060743</v>
      </c>
      <c r="AU92" s="1026">
        <f t="shared" si="46"/>
        <v>918.74505942807832</v>
      </c>
      <c r="AV92" s="1026">
        <f t="shared" si="46"/>
        <v>940.61994179541352</v>
      </c>
      <c r="AW92" s="1026">
        <f t="shared" si="46"/>
        <v>962.49482416274873</v>
      </c>
      <c r="AX92" s="1026">
        <f t="shared" si="46"/>
        <v>984.36970653008393</v>
      </c>
      <c r="AY92" s="1026">
        <f t="shared" si="46"/>
        <v>1006.244588897419</v>
      </c>
      <c r="AZ92" s="1026">
        <f t="shared" si="46"/>
        <v>1028.1194712647543</v>
      </c>
      <c r="BA92" s="1026">
        <f t="shared" si="46"/>
        <v>1049.9943536320895</v>
      </c>
      <c r="BB92" s="1026">
        <f t="shared" si="46"/>
        <v>1071.8692359994247</v>
      </c>
      <c r="BC92" s="1026">
        <f t="shared" si="46"/>
        <v>1093.7441183667599</v>
      </c>
      <c r="BD92" s="1026">
        <f t="shared" si="46"/>
        <v>1115.6190007340949</v>
      </c>
      <c r="BE92" s="1026">
        <f t="shared" si="46"/>
        <v>1137.4938831014304</v>
      </c>
      <c r="BF92" s="1026">
        <f t="shared" si="46"/>
        <v>1159.3687654687656</v>
      </c>
    </row>
    <row r="93" spans="1:58" ht="15.75" hidden="1" thickBot="1">
      <c r="A93" s="2477"/>
      <c r="B93" s="2622" t="s">
        <v>217</v>
      </c>
      <c r="C93" s="2623"/>
      <c r="D93" s="944" t="s">
        <v>194</v>
      </c>
      <c r="E93" s="945">
        <v>70</v>
      </c>
      <c r="F93" s="945">
        <v>360</v>
      </c>
      <c r="G93" s="944" t="s">
        <v>200</v>
      </c>
      <c r="H93" s="1027">
        <f t="shared" ref="H93:AM93" si="47">((H$71-$H$4)/1000)*$Q$23*(($C$8/70)^$AC$23)</f>
        <v>71.285896299855978</v>
      </c>
      <c r="I93" s="1027">
        <f t="shared" si="47"/>
        <v>95.047861733141303</v>
      </c>
      <c r="J93" s="1027">
        <f t="shared" si="47"/>
        <v>118.80982716642663</v>
      </c>
      <c r="K93" s="1027">
        <f t="shared" si="47"/>
        <v>142.57179259971196</v>
      </c>
      <c r="L93" s="1027">
        <f t="shared" si="47"/>
        <v>166.33375803299728</v>
      </c>
      <c r="M93" s="1027">
        <f t="shared" si="47"/>
        <v>190.09572346628261</v>
      </c>
      <c r="N93" s="1027">
        <f t="shared" si="47"/>
        <v>213.85768889956793</v>
      </c>
      <c r="O93" s="1027">
        <f t="shared" si="47"/>
        <v>237.61965433285326</v>
      </c>
      <c r="P93" s="1027">
        <f t="shared" si="47"/>
        <v>261.38161976613861</v>
      </c>
      <c r="Q93" s="1027">
        <f t="shared" si="47"/>
        <v>285.14358519942391</v>
      </c>
      <c r="R93" s="1027">
        <f t="shared" si="47"/>
        <v>308.90555063270926</v>
      </c>
      <c r="S93" s="1027">
        <f t="shared" si="47"/>
        <v>332.66751606599456</v>
      </c>
      <c r="T93" s="1027">
        <f t="shared" si="47"/>
        <v>356.42948149927986</v>
      </c>
      <c r="U93" s="1027">
        <f t="shared" si="47"/>
        <v>380.19144693256521</v>
      </c>
      <c r="V93" s="1027">
        <f t="shared" si="47"/>
        <v>403.95341236585051</v>
      </c>
      <c r="W93" s="1027">
        <f t="shared" si="47"/>
        <v>427.71537779913587</v>
      </c>
      <c r="X93" s="1027">
        <f t="shared" si="47"/>
        <v>451.47734323242116</v>
      </c>
      <c r="Y93" s="1027">
        <f t="shared" si="47"/>
        <v>475.23930866570652</v>
      </c>
      <c r="Z93" s="1027">
        <f t="shared" si="47"/>
        <v>499.00127409899187</v>
      </c>
      <c r="AA93" s="1027">
        <f t="shared" si="47"/>
        <v>522.76323953227723</v>
      </c>
      <c r="AB93" s="1027">
        <f t="shared" si="47"/>
        <v>546.52520496556247</v>
      </c>
      <c r="AC93" s="1027">
        <f t="shared" si="47"/>
        <v>570.28717039884782</v>
      </c>
      <c r="AD93" s="1027">
        <f t="shared" si="47"/>
        <v>594.04913583213317</v>
      </c>
      <c r="AE93" s="1027">
        <f t="shared" si="47"/>
        <v>617.81110126541853</v>
      </c>
      <c r="AF93" s="1027">
        <f t="shared" si="47"/>
        <v>641.57306669870388</v>
      </c>
      <c r="AG93" s="1027">
        <f t="shared" si="47"/>
        <v>665.33503213198912</v>
      </c>
      <c r="AH93" s="1027">
        <f t="shared" si="47"/>
        <v>689.09699756527448</v>
      </c>
      <c r="AI93" s="1027">
        <f t="shared" si="47"/>
        <v>712.85896299855972</v>
      </c>
      <c r="AJ93" s="1027">
        <f t="shared" si="47"/>
        <v>736.62092843184507</v>
      </c>
      <c r="AK93" s="1027">
        <f t="shared" si="47"/>
        <v>760.38289386513043</v>
      </c>
      <c r="AL93" s="1027">
        <f t="shared" si="47"/>
        <v>784.14485929841567</v>
      </c>
      <c r="AM93" s="1027">
        <f t="shared" si="47"/>
        <v>807.90682473170102</v>
      </c>
      <c r="AN93" s="1027">
        <f t="shared" ref="AN93:BF93" si="48">((AN$71-$H$4)/1000)*$Q$23*(($C$8/70)^$AC$23)</f>
        <v>831.66879016498638</v>
      </c>
      <c r="AO93" s="1027">
        <f t="shared" si="48"/>
        <v>855.43075559827173</v>
      </c>
      <c r="AP93" s="1027">
        <f t="shared" si="48"/>
        <v>879.19272103155708</v>
      </c>
      <c r="AQ93" s="1027">
        <f t="shared" si="48"/>
        <v>902.95468646484233</v>
      </c>
      <c r="AR93" s="1027">
        <f t="shared" si="48"/>
        <v>926.71665189812768</v>
      </c>
      <c r="AS93" s="1027">
        <f t="shared" si="48"/>
        <v>950.47861733141303</v>
      </c>
      <c r="AT93" s="1027">
        <f t="shared" si="48"/>
        <v>974.24058276469827</v>
      </c>
      <c r="AU93" s="1027">
        <f t="shared" si="48"/>
        <v>998.00254819798374</v>
      </c>
      <c r="AV93" s="1027">
        <f t="shared" si="48"/>
        <v>1021.764513631269</v>
      </c>
      <c r="AW93" s="1027">
        <f t="shared" si="48"/>
        <v>1045.5264790645545</v>
      </c>
      <c r="AX93" s="1027">
        <f t="shared" si="48"/>
        <v>1069.2884444978397</v>
      </c>
      <c r="AY93" s="1027">
        <f t="shared" si="48"/>
        <v>1093.0504099311249</v>
      </c>
      <c r="AZ93" s="1027">
        <f t="shared" si="48"/>
        <v>1116.8123753644104</v>
      </c>
      <c r="BA93" s="1027">
        <f t="shared" si="48"/>
        <v>1140.5743407976956</v>
      </c>
      <c r="BB93" s="1027">
        <f t="shared" si="48"/>
        <v>1164.3363062309811</v>
      </c>
      <c r="BC93" s="1027">
        <f t="shared" si="48"/>
        <v>1188.0982716642663</v>
      </c>
      <c r="BD93" s="1027">
        <f t="shared" si="48"/>
        <v>1211.8602370975516</v>
      </c>
      <c r="BE93" s="1027">
        <f t="shared" si="48"/>
        <v>1235.6222025308371</v>
      </c>
      <c r="BF93" s="1027">
        <f t="shared" si="48"/>
        <v>1259.3841679641223</v>
      </c>
    </row>
    <row r="94" spans="1:58" ht="15.75" hidden="1" thickBot="1">
      <c r="A94" s="2477"/>
      <c r="B94" s="2618" t="s">
        <v>218</v>
      </c>
      <c r="C94" s="2619"/>
      <c r="D94" s="392" t="s">
        <v>194</v>
      </c>
      <c r="E94" s="438">
        <v>70</v>
      </c>
      <c r="F94" s="438">
        <v>400</v>
      </c>
      <c r="G94" s="392" t="s">
        <v>200</v>
      </c>
      <c r="H94" s="1025">
        <f t="shared" ref="H94:AM94" si="49">((H$71-$H$4)/1000)*$R$23*(($C$8/70)^$AD$23)</f>
        <v>74.542312665641717</v>
      </c>
      <c r="I94" s="1025">
        <f t="shared" si="49"/>
        <v>99.389750220855632</v>
      </c>
      <c r="J94" s="1025">
        <f t="shared" si="49"/>
        <v>124.23718777606953</v>
      </c>
      <c r="K94" s="1025">
        <f t="shared" si="49"/>
        <v>149.08462533128343</v>
      </c>
      <c r="L94" s="1025">
        <f t="shared" si="49"/>
        <v>173.93206288649733</v>
      </c>
      <c r="M94" s="1025">
        <f t="shared" si="49"/>
        <v>198.77950044171126</v>
      </c>
      <c r="N94" s="1025">
        <f t="shared" si="49"/>
        <v>223.62693799692516</v>
      </c>
      <c r="O94" s="1025">
        <f t="shared" si="49"/>
        <v>248.47437555213907</v>
      </c>
      <c r="P94" s="1025">
        <f t="shared" si="49"/>
        <v>273.32181310735297</v>
      </c>
      <c r="Q94" s="1025">
        <f t="shared" si="49"/>
        <v>298.16925066256687</v>
      </c>
      <c r="R94" s="1025">
        <f t="shared" si="49"/>
        <v>323.01668821778077</v>
      </c>
      <c r="S94" s="1025">
        <f t="shared" si="49"/>
        <v>347.86412577299467</v>
      </c>
      <c r="T94" s="1025">
        <f t="shared" si="49"/>
        <v>372.71156332820863</v>
      </c>
      <c r="U94" s="1025">
        <f t="shared" si="49"/>
        <v>397.55900088342253</v>
      </c>
      <c r="V94" s="1025">
        <f t="shared" si="49"/>
        <v>422.40643843863643</v>
      </c>
      <c r="W94" s="1025">
        <f t="shared" si="49"/>
        <v>447.25387599385033</v>
      </c>
      <c r="X94" s="1025">
        <f t="shared" si="49"/>
        <v>472.10131354906423</v>
      </c>
      <c r="Y94" s="1025">
        <f t="shared" si="49"/>
        <v>496.94875110427813</v>
      </c>
      <c r="Z94" s="1025">
        <f t="shared" si="49"/>
        <v>521.79618865949203</v>
      </c>
      <c r="AA94" s="1025">
        <f t="shared" si="49"/>
        <v>546.64362621470593</v>
      </c>
      <c r="AB94" s="1025">
        <f t="shared" si="49"/>
        <v>571.49106376991983</v>
      </c>
      <c r="AC94" s="1025">
        <f t="shared" si="49"/>
        <v>596.33850132513373</v>
      </c>
      <c r="AD94" s="1025">
        <f t="shared" si="49"/>
        <v>621.18593888034763</v>
      </c>
      <c r="AE94" s="1025">
        <f t="shared" si="49"/>
        <v>646.03337643556154</v>
      </c>
      <c r="AF94" s="1025">
        <f t="shared" si="49"/>
        <v>670.88081399077555</v>
      </c>
      <c r="AG94" s="1025">
        <f t="shared" si="49"/>
        <v>695.72825154598934</v>
      </c>
      <c r="AH94" s="1025">
        <f t="shared" si="49"/>
        <v>720.57568910120324</v>
      </c>
      <c r="AI94" s="1025">
        <f t="shared" si="49"/>
        <v>745.42312665641725</v>
      </c>
      <c r="AJ94" s="1025">
        <f t="shared" si="49"/>
        <v>770.27056421163115</v>
      </c>
      <c r="AK94" s="1025">
        <f t="shared" si="49"/>
        <v>795.11800176684505</v>
      </c>
      <c r="AL94" s="1025">
        <f t="shared" si="49"/>
        <v>819.96543932205884</v>
      </c>
      <c r="AM94" s="1025">
        <f t="shared" si="49"/>
        <v>844.81287687727286</v>
      </c>
      <c r="AN94" s="1025">
        <f t="shared" ref="AN94:BF94" si="50">((AN$71-$H$4)/1000)*$R$23*(($C$8/70)^$AD$23)</f>
        <v>869.66031443248676</v>
      </c>
      <c r="AO94" s="1025">
        <f t="shared" si="50"/>
        <v>894.50775198770066</v>
      </c>
      <c r="AP94" s="1025">
        <f t="shared" si="50"/>
        <v>919.35518954291456</v>
      </c>
      <c r="AQ94" s="1025">
        <f t="shared" si="50"/>
        <v>944.20262709812846</v>
      </c>
      <c r="AR94" s="1025">
        <f t="shared" si="50"/>
        <v>969.05006465334236</v>
      </c>
      <c r="AS94" s="1025">
        <f t="shared" si="50"/>
        <v>993.89750220855626</v>
      </c>
      <c r="AT94" s="1025">
        <f t="shared" si="50"/>
        <v>1018.74493976377</v>
      </c>
      <c r="AU94" s="1025">
        <f t="shared" si="50"/>
        <v>1043.5923773189841</v>
      </c>
      <c r="AV94" s="1025">
        <f t="shared" si="50"/>
        <v>1068.439814874198</v>
      </c>
      <c r="AW94" s="1025">
        <f t="shared" si="50"/>
        <v>1093.2872524294119</v>
      </c>
      <c r="AX94" s="1025">
        <f t="shared" si="50"/>
        <v>1118.1346899846258</v>
      </c>
      <c r="AY94" s="1025">
        <f t="shared" si="50"/>
        <v>1142.9821275398397</v>
      </c>
      <c r="AZ94" s="1025">
        <f t="shared" si="50"/>
        <v>1167.8295650950536</v>
      </c>
      <c r="BA94" s="1025">
        <f t="shared" si="50"/>
        <v>1192.6770026502675</v>
      </c>
      <c r="BB94" s="1025">
        <f t="shared" si="50"/>
        <v>1217.5244402054816</v>
      </c>
      <c r="BC94" s="1025">
        <f t="shared" si="50"/>
        <v>1242.3718777606953</v>
      </c>
      <c r="BD94" s="1025">
        <f t="shared" si="50"/>
        <v>1267.2193153159092</v>
      </c>
      <c r="BE94" s="1025">
        <f t="shared" si="50"/>
        <v>1292.0667528711231</v>
      </c>
      <c r="BF94" s="1025">
        <f t="shared" si="50"/>
        <v>1316.914190426337</v>
      </c>
    </row>
    <row r="95" spans="1:58" ht="15.75" hidden="1" thickBot="1">
      <c r="A95" s="2477"/>
      <c r="B95" s="2620" t="s">
        <v>219</v>
      </c>
      <c r="C95" s="2621"/>
      <c r="D95" s="393" t="s">
        <v>194</v>
      </c>
      <c r="E95" s="439">
        <v>70</v>
      </c>
      <c r="F95" s="439">
        <v>400</v>
      </c>
      <c r="G95" s="392" t="s">
        <v>220</v>
      </c>
      <c r="H95" s="1026">
        <f t="shared" ref="H95:AM95" si="51">((H$71-$H$4)/1000)*$S$23*(($C$8/70)^$AE$23)</f>
        <v>85.290322072412152</v>
      </c>
      <c r="I95" s="1026">
        <f t="shared" si="51"/>
        <v>113.72042942988287</v>
      </c>
      <c r="J95" s="1026">
        <f t="shared" si="51"/>
        <v>142.15053678735359</v>
      </c>
      <c r="K95" s="1026">
        <f t="shared" si="51"/>
        <v>170.5806441448243</v>
      </c>
      <c r="L95" s="1026">
        <f t="shared" si="51"/>
        <v>199.01075150229502</v>
      </c>
      <c r="M95" s="1026">
        <f t="shared" si="51"/>
        <v>227.44085885976574</v>
      </c>
      <c r="N95" s="1026">
        <f t="shared" si="51"/>
        <v>255.87096621723646</v>
      </c>
      <c r="O95" s="1026">
        <f t="shared" si="51"/>
        <v>284.30107357470717</v>
      </c>
      <c r="P95" s="1026">
        <f t="shared" si="51"/>
        <v>312.73118093217789</v>
      </c>
      <c r="Q95" s="1026">
        <f t="shared" si="51"/>
        <v>341.16128828964861</v>
      </c>
      <c r="R95" s="1026">
        <f t="shared" si="51"/>
        <v>369.59139564711933</v>
      </c>
      <c r="S95" s="1026">
        <f t="shared" si="51"/>
        <v>398.02150300459004</v>
      </c>
      <c r="T95" s="1026">
        <f t="shared" si="51"/>
        <v>426.45161036206076</v>
      </c>
      <c r="U95" s="1026">
        <f t="shared" si="51"/>
        <v>454.88171771953148</v>
      </c>
      <c r="V95" s="1026">
        <f t="shared" si="51"/>
        <v>483.3118250770022</v>
      </c>
      <c r="W95" s="1026">
        <f t="shared" si="51"/>
        <v>511.74193243447291</v>
      </c>
      <c r="X95" s="1026">
        <f t="shared" si="51"/>
        <v>540.17203979194358</v>
      </c>
      <c r="Y95" s="1026">
        <f t="shared" si="51"/>
        <v>568.60214714941435</v>
      </c>
      <c r="Z95" s="1026">
        <f t="shared" si="51"/>
        <v>597.03225450688512</v>
      </c>
      <c r="AA95" s="1026">
        <f t="shared" si="51"/>
        <v>625.46236186435578</v>
      </c>
      <c r="AB95" s="1026">
        <f t="shared" si="51"/>
        <v>653.89246922182645</v>
      </c>
      <c r="AC95" s="1026">
        <f t="shared" si="51"/>
        <v>682.32257657929722</v>
      </c>
      <c r="AD95" s="1026">
        <f t="shared" si="51"/>
        <v>710.75268393676788</v>
      </c>
      <c r="AE95" s="1026">
        <f t="shared" si="51"/>
        <v>739.18279129423865</v>
      </c>
      <c r="AF95" s="1026">
        <f t="shared" si="51"/>
        <v>767.61289865170943</v>
      </c>
      <c r="AG95" s="1026">
        <f t="shared" si="51"/>
        <v>796.04300600918009</v>
      </c>
      <c r="AH95" s="1026">
        <f t="shared" si="51"/>
        <v>824.47311336665075</v>
      </c>
      <c r="AI95" s="1026">
        <f t="shared" si="51"/>
        <v>852.90322072412152</v>
      </c>
      <c r="AJ95" s="1026">
        <f t="shared" si="51"/>
        <v>881.3333280815923</v>
      </c>
      <c r="AK95" s="1026">
        <f t="shared" si="51"/>
        <v>909.76343543906296</v>
      </c>
      <c r="AL95" s="1026">
        <f t="shared" si="51"/>
        <v>938.19354279653362</v>
      </c>
      <c r="AM95" s="1026">
        <f t="shared" si="51"/>
        <v>966.62365015400439</v>
      </c>
      <c r="AN95" s="1026">
        <f t="shared" ref="AN95:BF95" si="52">((AN$71-$H$4)/1000)*$S$23*(($C$8/70)^$AE$23)</f>
        <v>995.05375751147517</v>
      </c>
      <c r="AO95" s="1026">
        <f t="shared" si="52"/>
        <v>1023.4838648689458</v>
      </c>
      <c r="AP95" s="1026">
        <f t="shared" si="52"/>
        <v>1051.9139722264165</v>
      </c>
      <c r="AQ95" s="1026">
        <f t="shared" si="52"/>
        <v>1080.3440795838872</v>
      </c>
      <c r="AR95" s="1026">
        <f t="shared" si="52"/>
        <v>1108.774186941358</v>
      </c>
      <c r="AS95" s="1026">
        <f t="shared" si="52"/>
        <v>1137.2042942988287</v>
      </c>
      <c r="AT95" s="1026">
        <f t="shared" si="52"/>
        <v>1165.6344016562994</v>
      </c>
      <c r="AU95" s="1026">
        <f t="shared" si="52"/>
        <v>1194.0645090137702</v>
      </c>
      <c r="AV95" s="1026">
        <f t="shared" si="52"/>
        <v>1222.4946163712409</v>
      </c>
      <c r="AW95" s="1026">
        <f t="shared" si="52"/>
        <v>1250.9247237287116</v>
      </c>
      <c r="AX95" s="1026">
        <f t="shared" si="52"/>
        <v>1279.3548310861822</v>
      </c>
      <c r="AY95" s="1026">
        <f t="shared" si="52"/>
        <v>1307.7849384436529</v>
      </c>
      <c r="AZ95" s="1026">
        <f t="shared" si="52"/>
        <v>1336.2150458011238</v>
      </c>
      <c r="BA95" s="1026">
        <f t="shared" si="52"/>
        <v>1364.6451531585944</v>
      </c>
      <c r="BB95" s="1026">
        <f t="shared" si="52"/>
        <v>1393.0752605160653</v>
      </c>
      <c r="BC95" s="1026">
        <f t="shared" si="52"/>
        <v>1421.5053678735358</v>
      </c>
      <c r="BD95" s="1026">
        <f t="shared" si="52"/>
        <v>1449.9354752310064</v>
      </c>
      <c r="BE95" s="1026">
        <f t="shared" si="52"/>
        <v>1478.3655825884773</v>
      </c>
      <c r="BF95" s="1026">
        <f t="shared" si="52"/>
        <v>1506.795689945948</v>
      </c>
    </row>
    <row r="96" spans="1:58">
      <c r="A96" s="2477"/>
      <c r="B96" s="2616" t="s">
        <v>221</v>
      </c>
      <c r="C96" s="2617"/>
      <c r="D96" s="394" t="s">
        <v>194</v>
      </c>
      <c r="E96" s="440">
        <v>75</v>
      </c>
      <c r="F96" s="441">
        <v>160</v>
      </c>
      <c r="G96" s="394" t="s">
        <v>195</v>
      </c>
      <c r="H96" s="1028">
        <f t="shared" ref="H96:AM96" si="53">((H$71-$H$4)/1000)*$K24*(($C$8/70)^$W$24)</f>
        <v>38.531699999999994</v>
      </c>
      <c r="I96" s="1028">
        <f t="shared" si="53"/>
        <v>51.375599999999999</v>
      </c>
      <c r="J96" s="1028">
        <f t="shared" si="53"/>
        <v>64.219499999999996</v>
      </c>
      <c r="K96" s="1028">
        <f t="shared" si="53"/>
        <v>77.063399999999987</v>
      </c>
      <c r="L96" s="1028">
        <f t="shared" si="53"/>
        <v>89.907299999999992</v>
      </c>
      <c r="M96" s="1028">
        <f t="shared" si="53"/>
        <v>102.7512</v>
      </c>
      <c r="N96" s="1028">
        <f t="shared" si="53"/>
        <v>115.5951</v>
      </c>
      <c r="O96" s="1028">
        <f t="shared" si="53"/>
        <v>128.43899999999999</v>
      </c>
      <c r="P96" s="1028">
        <f t="shared" si="53"/>
        <v>141.28290000000001</v>
      </c>
      <c r="Q96" s="1028">
        <f t="shared" si="53"/>
        <v>154.12679999999997</v>
      </c>
      <c r="R96" s="1028">
        <f t="shared" si="53"/>
        <v>166.97069999999999</v>
      </c>
      <c r="S96" s="1028">
        <f t="shared" si="53"/>
        <v>179.81459999999998</v>
      </c>
      <c r="T96" s="1028">
        <f t="shared" si="53"/>
        <v>192.6585</v>
      </c>
      <c r="U96" s="1028">
        <f t="shared" si="53"/>
        <v>205.50239999999999</v>
      </c>
      <c r="V96" s="1028">
        <f t="shared" si="53"/>
        <v>218.34629999999999</v>
      </c>
      <c r="W96" s="1028">
        <f t="shared" si="53"/>
        <v>231.1902</v>
      </c>
      <c r="X96" s="1028">
        <f t="shared" si="53"/>
        <v>244.03409999999997</v>
      </c>
      <c r="Y96" s="1028">
        <f t="shared" si="53"/>
        <v>256.87799999999999</v>
      </c>
      <c r="Z96" s="1028">
        <f t="shared" si="53"/>
        <v>269.72190000000001</v>
      </c>
      <c r="AA96" s="1028">
        <f t="shared" si="53"/>
        <v>282.56580000000002</v>
      </c>
      <c r="AB96" s="1028">
        <f t="shared" si="53"/>
        <v>295.40969999999999</v>
      </c>
      <c r="AC96" s="1028">
        <f t="shared" si="53"/>
        <v>308.25359999999995</v>
      </c>
      <c r="AD96" s="1028">
        <f t="shared" si="53"/>
        <v>321.09749999999997</v>
      </c>
      <c r="AE96" s="1028">
        <f t="shared" si="53"/>
        <v>333.94139999999999</v>
      </c>
      <c r="AF96" s="1028">
        <f t="shared" si="53"/>
        <v>346.78530000000001</v>
      </c>
      <c r="AG96" s="1028">
        <f t="shared" si="53"/>
        <v>359.62919999999997</v>
      </c>
      <c r="AH96" s="1028">
        <f t="shared" si="53"/>
        <v>372.47309999999999</v>
      </c>
      <c r="AI96" s="1028">
        <f t="shared" si="53"/>
        <v>385.31700000000001</v>
      </c>
      <c r="AJ96" s="1028">
        <f t="shared" si="53"/>
        <v>398.16089999999997</v>
      </c>
      <c r="AK96" s="1028">
        <f t="shared" si="53"/>
        <v>411.00479999999999</v>
      </c>
      <c r="AL96" s="1028">
        <f t="shared" si="53"/>
        <v>423.84869999999995</v>
      </c>
      <c r="AM96" s="1028">
        <f t="shared" si="53"/>
        <v>436.69259999999997</v>
      </c>
      <c r="AN96" s="1028">
        <f t="shared" ref="AN96:BF96" si="54">((AN$71-$H$4)/1000)*$K24*(($C$8/70)^$W$24)</f>
        <v>449.53649999999999</v>
      </c>
      <c r="AO96" s="1028">
        <f t="shared" si="54"/>
        <v>462.38040000000001</v>
      </c>
      <c r="AP96" s="1028">
        <f t="shared" si="54"/>
        <v>475.22429999999997</v>
      </c>
      <c r="AQ96" s="1028">
        <f t="shared" si="54"/>
        <v>488.06819999999993</v>
      </c>
      <c r="AR96" s="1028">
        <f t="shared" si="54"/>
        <v>500.91209999999995</v>
      </c>
      <c r="AS96" s="1028">
        <f t="shared" si="54"/>
        <v>513.75599999999997</v>
      </c>
      <c r="AT96" s="1028">
        <f t="shared" si="54"/>
        <v>526.59989999999993</v>
      </c>
      <c r="AU96" s="1028">
        <f t="shared" si="54"/>
        <v>539.44380000000001</v>
      </c>
      <c r="AV96" s="1028">
        <f t="shared" si="54"/>
        <v>552.28769999999997</v>
      </c>
      <c r="AW96" s="1028">
        <f t="shared" si="54"/>
        <v>565.13160000000005</v>
      </c>
      <c r="AX96" s="1028">
        <f t="shared" si="54"/>
        <v>577.97550000000001</v>
      </c>
      <c r="AY96" s="1028">
        <f t="shared" si="54"/>
        <v>590.81939999999997</v>
      </c>
      <c r="AZ96" s="1028">
        <f t="shared" si="54"/>
        <v>603.66329999999994</v>
      </c>
      <c r="BA96" s="1028">
        <f t="shared" si="54"/>
        <v>616.5071999999999</v>
      </c>
      <c r="BB96" s="1028">
        <f t="shared" si="54"/>
        <v>629.35109999999997</v>
      </c>
      <c r="BC96" s="1028">
        <f t="shared" si="54"/>
        <v>642.19499999999994</v>
      </c>
      <c r="BD96" s="1028">
        <f t="shared" si="54"/>
        <v>655.0388999999999</v>
      </c>
      <c r="BE96" s="1028">
        <f t="shared" si="54"/>
        <v>667.88279999999997</v>
      </c>
      <c r="BF96" s="1028">
        <f t="shared" si="54"/>
        <v>680.72669999999994</v>
      </c>
    </row>
    <row r="97" spans="1:58">
      <c r="A97" s="2477"/>
      <c r="B97" s="2610" t="s">
        <v>222</v>
      </c>
      <c r="C97" s="2611"/>
      <c r="D97" s="395" t="s">
        <v>194</v>
      </c>
      <c r="E97" s="440">
        <v>75</v>
      </c>
      <c r="F97" s="440">
        <v>200</v>
      </c>
      <c r="G97" s="395" t="s">
        <v>195</v>
      </c>
      <c r="H97" s="1029">
        <f t="shared" ref="H97:AM97" si="55">((H$71-$H$4)/1000)*$L$24*(($C$8/70)^$X$24)</f>
        <v>42.812999999999995</v>
      </c>
      <c r="I97" s="1029">
        <f t="shared" si="55"/>
        <v>57.083999999999996</v>
      </c>
      <c r="J97" s="1029">
        <f t="shared" si="55"/>
        <v>71.35499999999999</v>
      </c>
      <c r="K97" s="1029">
        <f t="shared" si="55"/>
        <v>85.625999999999991</v>
      </c>
      <c r="L97" s="1029">
        <f t="shared" si="55"/>
        <v>99.896999999999977</v>
      </c>
      <c r="M97" s="1029">
        <f t="shared" si="55"/>
        <v>114.16799999999999</v>
      </c>
      <c r="N97" s="1029">
        <f t="shared" si="55"/>
        <v>128.43899999999999</v>
      </c>
      <c r="O97" s="1029">
        <f t="shared" si="55"/>
        <v>142.70999999999998</v>
      </c>
      <c r="P97" s="1029">
        <f t="shared" si="55"/>
        <v>156.98099999999999</v>
      </c>
      <c r="Q97" s="1029">
        <f t="shared" si="55"/>
        <v>171.25199999999998</v>
      </c>
      <c r="R97" s="1029">
        <f t="shared" si="55"/>
        <v>185.52299999999997</v>
      </c>
      <c r="S97" s="1029">
        <f t="shared" si="55"/>
        <v>199.79399999999995</v>
      </c>
      <c r="T97" s="1029">
        <f t="shared" si="55"/>
        <v>214.06499999999997</v>
      </c>
      <c r="U97" s="1029">
        <f t="shared" si="55"/>
        <v>228.33599999999998</v>
      </c>
      <c r="V97" s="1029">
        <f t="shared" si="55"/>
        <v>242.60699999999997</v>
      </c>
      <c r="W97" s="1029">
        <f t="shared" si="55"/>
        <v>256.87799999999999</v>
      </c>
      <c r="X97" s="1029">
        <f t="shared" si="55"/>
        <v>271.14899999999994</v>
      </c>
      <c r="Y97" s="1029">
        <f t="shared" si="55"/>
        <v>285.41999999999996</v>
      </c>
      <c r="Z97" s="1029">
        <f t="shared" si="55"/>
        <v>299.69099999999997</v>
      </c>
      <c r="AA97" s="1029">
        <f t="shared" si="55"/>
        <v>313.96199999999999</v>
      </c>
      <c r="AB97" s="1029">
        <f t="shared" si="55"/>
        <v>328.23299999999995</v>
      </c>
      <c r="AC97" s="1029">
        <f t="shared" si="55"/>
        <v>342.50399999999996</v>
      </c>
      <c r="AD97" s="1029">
        <f t="shared" si="55"/>
        <v>356.77499999999998</v>
      </c>
      <c r="AE97" s="1029">
        <f t="shared" si="55"/>
        <v>371.04599999999994</v>
      </c>
      <c r="AF97" s="1029">
        <f t="shared" si="55"/>
        <v>385.31699999999995</v>
      </c>
      <c r="AG97" s="1029">
        <f t="shared" si="55"/>
        <v>399.58799999999991</v>
      </c>
      <c r="AH97" s="1029">
        <f t="shared" si="55"/>
        <v>413.85899999999992</v>
      </c>
      <c r="AI97" s="1029">
        <f t="shared" si="55"/>
        <v>428.12999999999994</v>
      </c>
      <c r="AJ97" s="1029">
        <f t="shared" si="55"/>
        <v>442.40099999999995</v>
      </c>
      <c r="AK97" s="1029">
        <f t="shared" si="55"/>
        <v>456.67199999999997</v>
      </c>
      <c r="AL97" s="1029">
        <f t="shared" si="55"/>
        <v>470.94299999999993</v>
      </c>
      <c r="AM97" s="1029">
        <f t="shared" si="55"/>
        <v>485.21399999999994</v>
      </c>
      <c r="AN97" s="1029">
        <f t="shared" ref="AN97:BF97" si="56">((AN$71-$H$4)/1000)*$L$24*(($C$8/70)^$X$24)</f>
        <v>499.4849999999999</v>
      </c>
      <c r="AO97" s="1029">
        <f t="shared" si="56"/>
        <v>513.75599999999997</v>
      </c>
      <c r="AP97" s="1029">
        <f t="shared" si="56"/>
        <v>528.02699999999993</v>
      </c>
      <c r="AQ97" s="1029">
        <f t="shared" si="56"/>
        <v>542.29799999999989</v>
      </c>
      <c r="AR97" s="1029">
        <f t="shared" si="56"/>
        <v>556.56899999999996</v>
      </c>
      <c r="AS97" s="1029">
        <f t="shared" si="56"/>
        <v>570.83999999999992</v>
      </c>
      <c r="AT97" s="1029">
        <f t="shared" si="56"/>
        <v>585.11099999999988</v>
      </c>
      <c r="AU97" s="1029">
        <f t="shared" si="56"/>
        <v>599.38199999999995</v>
      </c>
      <c r="AV97" s="1029">
        <f t="shared" si="56"/>
        <v>613.65299999999991</v>
      </c>
      <c r="AW97" s="1029">
        <f t="shared" si="56"/>
        <v>627.92399999999998</v>
      </c>
      <c r="AX97" s="1029">
        <f t="shared" si="56"/>
        <v>642.19499999999994</v>
      </c>
      <c r="AY97" s="1029">
        <f t="shared" si="56"/>
        <v>656.46599999999989</v>
      </c>
      <c r="AZ97" s="1029">
        <f t="shared" si="56"/>
        <v>670.73699999999997</v>
      </c>
      <c r="BA97" s="1029">
        <f t="shared" si="56"/>
        <v>685.00799999999992</v>
      </c>
      <c r="BB97" s="1029">
        <f t="shared" si="56"/>
        <v>699.279</v>
      </c>
      <c r="BC97" s="1029">
        <f t="shared" si="56"/>
        <v>713.55</v>
      </c>
      <c r="BD97" s="1029">
        <f t="shared" si="56"/>
        <v>727.8209999999998</v>
      </c>
      <c r="BE97" s="1029">
        <f t="shared" si="56"/>
        <v>742.09199999999987</v>
      </c>
      <c r="BF97" s="1029">
        <f t="shared" si="56"/>
        <v>756.36299999999983</v>
      </c>
    </row>
    <row r="98" spans="1:58">
      <c r="A98" s="2477"/>
      <c r="B98" s="2610" t="s">
        <v>223</v>
      </c>
      <c r="C98" s="2611"/>
      <c r="D98" s="395" t="s">
        <v>194</v>
      </c>
      <c r="E98" s="440">
        <v>75</v>
      </c>
      <c r="F98" s="440">
        <v>260</v>
      </c>
      <c r="G98" s="395" t="s">
        <v>195</v>
      </c>
      <c r="H98" s="1029">
        <f t="shared" ref="H98:AM98" si="57">((H$71-$H$4)/1000)*$M$24*(($C$8/70)^$Y$24)</f>
        <v>55.144799999999989</v>
      </c>
      <c r="I98" s="1029">
        <f t="shared" si="57"/>
        <v>73.526399999999995</v>
      </c>
      <c r="J98" s="1029">
        <f t="shared" si="57"/>
        <v>91.907999999999987</v>
      </c>
      <c r="K98" s="1029">
        <f t="shared" si="57"/>
        <v>110.28959999999998</v>
      </c>
      <c r="L98" s="1029">
        <f t="shared" si="57"/>
        <v>128.67119999999997</v>
      </c>
      <c r="M98" s="1029">
        <f t="shared" si="57"/>
        <v>147.05279999999999</v>
      </c>
      <c r="N98" s="1029">
        <f t="shared" si="57"/>
        <v>165.43439999999998</v>
      </c>
      <c r="O98" s="1029">
        <f t="shared" si="57"/>
        <v>183.81599999999997</v>
      </c>
      <c r="P98" s="1029">
        <f t="shared" si="57"/>
        <v>202.19759999999999</v>
      </c>
      <c r="Q98" s="1029">
        <f t="shared" si="57"/>
        <v>220.57919999999996</v>
      </c>
      <c r="R98" s="1029">
        <f t="shared" si="57"/>
        <v>238.96079999999998</v>
      </c>
      <c r="S98" s="1029">
        <f t="shared" si="57"/>
        <v>257.34239999999994</v>
      </c>
      <c r="T98" s="1029">
        <f t="shared" si="57"/>
        <v>275.72399999999993</v>
      </c>
      <c r="U98" s="1029">
        <f t="shared" si="57"/>
        <v>294.10559999999998</v>
      </c>
      <c r="V98" s="1029">
        <f t="shared" si="57"/>
        <v>312.48719999999997</v>
      </c>
      <c r="W98" s="1029">
        <f t="shared" si="57"/>
        <v>330.86879999999996</v>
      </c>
      <c r="X98" s="1029">
        <f t="shared" si="57"/>
        <v>349.25039999999996</v>
      </c>
      <c r="Y98" s="1029">
        <f t="shared" si="57"/>
        <v>367.63199999999995</v>
      </c>
      <c r="Z98" s="1029">
        <f t="shared" si="57"/>
        <v>386.01359999999994</v>
      </c>
      <c r="AA98" s="1029">
        <f t="shared" si="57"/>
        <v>404.39519999999999</v>
      </c>
      <c r="AB98" s="1029">
        <f t="shared" si="57"/>
        <v>422.77679999999992</v>
      </c>
      <c r="AC98" s="1029">
        <f t="shared" si="57"/>
        <v>441.15839999999992</v>
      </c>
      <c r="AD98" s="1029">
        <f t="shared" si="57"/>
        <v>459.53999999999996</v>
      </c>
      <c r="AE98" s="1029">
        <f t="shared" si="57"/>
        <v>477.92159999999996</v>
      </c>
      <c r="AF98" s="1029">
        <f t="shared" si="57"/>
        <v>496.30319999999995</v>
      </c>
      <c r="AG98" s="1029">
        <f t="shared" si="57"/>
        <v>514.68479999999988</v>
      </c>
      <c r="AH98" s="1029">
        <f t="shared" si="57"/>
        <v>533.06639999999993</v>
      </c>
      <c r="AI98" s="1029">
        <f t="shared" si="57"/>
        <v>551.44799999999987</v>
      </c>
      <c r="AJ98" s="1029">
        <f t="shared" si="57"/>
        <v>569.82959999999991</v>
      </c>
      <c r="AK98" s="1029">
        <f t="shared" si="57"/>
        <v>588.21119999999996</v>
      </c>
      <c r="AL98" s="1029">
        <f t="shared" si="57"/>
        <v>606.5927999999999</v>
      </c>
      <c r="AM98" s="1029">
        <f t="shared" si="57"/>
        <v>624.97439999999995</v>
      </c>
      <c r="AN98" s="1029">
        <f t="shared" ref="AN98:BF98" si="58">((AN$71-$H$4)/1000)*$M$24*(($C$8/70)^$Y$24)</f>
        <v>643.35599999999988</v>
      </c>
      <c r="AO98" s="1029">
        <f t="shared" si="58"/>
        <v>661.73759999999993</v>
      </c>
      <c r="AP98" s="1029">
        <f t="shared" si="58"/>
        <v>680.11919999999998</v>
      </c>
      <c r="AQ98" s="1029">
        <f t="shared" si="58"/>
        <v>698.50079999999991</v>
      </c>
      <c r="AR98" s="1029">
        <f t="shared" si="58"/>
        <v>716.88239999999985</v>
      </c>
      <c r="AS98" s="1029">
        <f t="shared" si="58"/>
        <v>735.2639999999999</v>
      </c>
      <c r="AT98" s="1029">
        <f t="shared" si="58"/>
        <v>753.64559999999983</v>
      </c>
      <c r="AU98" s="1029">
        <f t="shared" si="58"/>
        <v>772.02719999999988</v>
      </c>
      <c r="AV98" s="1029">
        <f t="shared" si="58"/>
        <v>790.40879999999981</v>
      </c>
      <c r="AW98" s="1029">
        <f t="shared" si="58"/>
        <v>808.79039999999998</v>
      </c>
      <c r="AX98" s="1029">
        <f t="shared" si="58"/>
        <v>827.17199999999991</v>
      </c>
      <c r="AY98" s="1029">
        <f t="shared" si="58"/>
        <v>845.55359999999985</v>
      </c>
      <c r="AZ98" s="1029">
        <f t="shared" si="58"/>
        <v>863.9351999999999</v>
      </c>
      <c r="BA98" s="1029">
        <f t="shared" si="58"/>
        <v>882.31679999999983</v>
      </c>
      <c r="BB98" s="1029">
        <f t="shared" si="58"/>
        <v>900.69839999999999</v>
      </c>
      <c r="BC98" s="1029">
        <f t="shared" si="58"/>
        <v>919.07999999999993</v>
      </c>
      <c r="BD98" s="1029">
        <f t="shared" si="58"/>
        <v>937.46159999999975</v>
      </c>
      <c r="BE98" s="1029">
        <f t="shared" si="58"/>
        <v>955.84319999999991</v>
      </c>
      <c r="BF98" s="1029">
        <f t="shared" si="58"/>
        <v>974.22479999999985</v>
      </c>
    </row>
    <row r="99" spans="1:58">
      <c r="A99" s="2477"/>
      <c r="B99" s="2610" t="s">
        <v>224</v>
      </c>
      <c r="C99" s="2611"/>
      <c r="D99" s="395" t="s">
        <v>194</v>
      </c>
      <c r="E99" s="440">
        <v>75</v>
      </c>
      <c r="F99" s="440">
        <v>300</v>
      </c>
      <c r="G99" s="395" t="s">
        <v>195</v>
      </c>
      <c r="H99" s="1029">
        <f t="shared" ref="H99:AM99" si="59">((H$71-$H$4)/1000)*$N$24*(($C$8/70)^$Z$24)</f>
        <v>59.246582863248008</v>
      </c>
      <c r="I99" s="1029">
        <f t="shared" si="59"/>
        <v>78.995443817664011</v>
      </c>
      <c r="J99" s="1029">
        <f t="shared" si="59"/>
        <v>98.744304772080014</v>
      </c>
      <c r="K99" s="1029">
        <f t="shared" si="59"/>
        <v>118.49316572649602</v>
      </c>
      <c r="L99" s="1029">
        <f t="shared" si="59"/>
        <v>138.24202668091201</v>
      </c>
      <c r="M99" s="1029">
        <f t="shared" si="59"/>
        <v>157.99088763532802</v>
      </c>
      <c r="N99" s="1029">
        <f t="shared" si="59"/>
        <v>177.73974858974404</v>
      </c>
      <c r="O99" s="1029">
        <f t="shared" si="59"/>
        <v>197.48860954416003</v>
      </c>
      <c r="P99" s="1029">
        <f t="shared" si="59"/>
        <v>217.23747049857604</v>
      </c>
      <c r="Q99" s="1029">
        <f t="shared" si="59"/>
        <v>236.98633145299203</v>
      </c>
      <c r="R99" s="1029">
        <f t="shared" si="59"/>
        <v>256.73519240740802</v>
      </c>
      <c r="S99" s="1029">
        <f t="shared" si="59"/>
        <v>276.48405336182401</v>
      </c>
      <c r="T99" s="1029">
        <f t="shared" si="59"/>
        <v>296.23291431624006</v>
      </c>
      <c r="U99" s="1029">
        <f t="shared" si="59"/>
        <v>315.98177527065604</v>
      </c>
      <c r="V99" s="1029">
        <f t="shared" si="59"/>
        <v>335.73063622507203</v>
      </c>
      <c r="W99" s="1029">
        <f t="shared" si="59"/>
        <v>355.47949717948808</v>
      </c>
      <c r="X99" s="1029">
        <f t="shared" si="59"/>
        <v>375.22835813390401</v>
      </c>
      <c r="Y99" s="1029">
        <f t="shared" si="59"/>
        <v>394.97721908832006</v>
      </c>
      <c r="Z99" s="1029">
        <f t="shared" si="59"/>
        <v>414.7260800427361</v>
      </c>
      <c r="AA99" s="1029">
        <f t="shared" si="59"/>
        <v>434.47494099715209</v>
      </c>
      <c r="AB99" s="1029">
        <f t="shared" si="59"/>
        <v>454.22380195156802</v>
      </c>
      <c r="AC99" s="1029">
        <f t="shared" si="59"/>
        <v>473.97266290598407</v>
      </c>
      <c r="AD99" s="1029">
        <f t="shared" si="59"/>
        <v>493.72152386040005</v>
      </c>
      <c r="AE99" s="1029">
        <f t="shared" si="59"/>
        <v>513.47038481481604</v>
      </c>
      <c r="AF99" s="1029">
        <f t="shared" si="59"/>
        <v>533.21924576923209</v>
      </c>
      <c r="AG99" s="1029">
        <f t="shared" si="59"/>
        <v>552.96810672364802</v>
      </c>
      <c r="AH99" s="1029">
        <f t="shared" si="59"/>
        <v>572.71696767806407</v>
      </c>
      <c r="AI99" s="1029">
        <f t="shared" si="59"/>
        <v>592.46582863248011</v>
      </c>
      <c r="AJ99" s="1029">
        <f t="shared" si="59"/>
        <v>612.21468958689616</v>
      </c>
      <c r="AK99" s="1029">
        <f t="shared" si="59"/>
        <v>631.96355054131209</v>
      </c>
      <c r="AL99" s="1029">
        <f t="shared" si="59"/>
        <v>651.71241149572802</v>
      </c>
      <c r="AM99" s="1029">
        <f t="shared" si="59"/>
        <v>671.46127245014407</v>
      </c>
      <c r="AN99" s="1029">
        <f t="shared" ref="AN99:BF99" si="60">((AN$71-$H$4)/1000)*$N$24*(($C$8/70)^$Z$24)</f>
        <v>691.21013340456011</v>
      </c>
      <c r="AO99" s="1029">
        <f t="shared" si="60"/>
        <v>710.95899435897616</v>
      </c>
      <c r="AP99" s="1029">
        <f t="shared" si="60"/>
        <v>730.70785531339209</v>
      </c>
      <c r="AQ99" s="1029">
        <f t="shared" si="60"/>
        <v>750.45671626780802</v>
      </c>
      <c r="AR99" s="1029">
        <f t="shared" si="60"/>
        <v>770.20557722222406</v>
      </c>
      <c r="AS99" s="1029">
        <f t="shared" si="60"/>
        <v>789.95443817664011</v>
      </c>
      <c r="AT99" s="1029">
        <f t="shared" si="60"/>
        <v>809.70329913105604</v>
      </c>
      <c r="AU99" s="1029">
        <f t="shared" si="60"/>
        <v>829.4521600854722</v>
      </c>
      <c r="AV99" s="1029">
        <f t="shared" si="60"/>
        <v>849.20102103988813</v>
      </c>
      <c r="AW99" s="1029">
        <f t="shared" si="60"/>
        <v>868.94988199430418</v>
      </c>
      <c r="AX99" s="1029">
        <f t="shared" si="60"/>
        <v>888.69874294872011</v>
      </c>
      <c r="AY99" s="1029">
        <f t="shared" si="60"/>
        <v>908.44760390313604</v>
      </c>
      <c r="AZ99" s="1029">
        <f t="shared" si="60"/>
        <v>928.1964648575522</v>
      </c>
      <c r="BA99" s="1029">
        <f t="shared" si="60"/>
        <v>947.94532581196813</v>
      </c>
      <c r="BB99" s="1029">
        <f t="shared" si="60"/>
        <v>967.69418676638418</v>
      </c>
      <c r="BC99" s="1029">
        <f t="shared" si="60"/>
        <v>987.44304772080011</v>
      </c>
      <c r="BD99" s="1029">
        <f t="shared" si="60"/>
        <v>1007.191908675216</v>
      </c>
      <c r="BE99" s="1029">
        <f t="shared" si="60"/>
        <v>1026.9407696296321</v>
      </c>
      <c r="BF99" s="1029">
        <f t="shared" si="60"/>
        <v>1046.689630584048</v>
      </c>
    </row>
    <row r="100" spans="1:58">
      <c r="A100" s="2477"/>
      <c r="B100" s="2610" t="s">
        <v>225</v>
      </c>
      <c r="C100" s="2611"/>
      <c r="D100" s="395" t="s">
        <v>194</v>
      </c>
      <c r="E100" s="440">
        <v>75</v>
      </c>
      <c r="F100" s="440">
        <v>300</v>
      </c>
      <c r="G100" s="395" t="s">
        <v>200</v>
      </c>
      <c r="H100" s="1029">
        <f t="shared" ref="H100:AM100" si="61">((H$71-$H$4)/1000)*$O$24*(($C$8/70)^$AA24)</f>
        <v>79.344000000000008</v>
      </c>
      <c r="I100" s="1029">
        <f t="shared" si="61"/>
        <v>105.79200000000002</v>
      </c>
      <c r="J100" s="1029">
        <f t="shared" si="61"/>
        <v>132.24</v>
      </c>
      <c r="K100" s="1029">
        <f t="shared" si="61"/>
        <v>158.68800000000002</v>
      </c>
      <c r="L100" s="1029">
        <f t="shared" si="61"/>
        <v>185.136</v>
      </c>
      <c r="M100" s="1029">
        <f t="shared" si="61"/>
        <v>211.58400000000003</v>
      </c>
      <c r="N100" s="1029">
        <f t="shared" si="61"/>
        <v>238.03200000000001</v>
      </c>
      <c r="O100" s="1029">
        <f t="shared" si="61"/>
        <v>264.48</v>
      </c>
      <c r="P100" s="1029">
        <f t="shared" si="61"/>
        <v>290.92800000000005</v>
      </c>
      <c r="Q100" s="1029">
        <f t="shared" si="61"/>
        <v>317.37600000000003</v>
      </c>
      <c r="R100" s="1029">
        <f t="shared" si="61"/>
        <v>343.82400000000001</v>
      </c>
      <c r="S100" s="1029">
        <f t="shared" si="61"/>
        <v>370.27199999999999</v>
      </c>
      <c r="T100" s="1029">
        <f t="shared" si="61"/>
        <v>396.72</v>
      </c>
      <c r="U100" s="1029">
        <f t="shared" si="61"/>
        <v>423.16800000000006</v>
      </c>
      <c r="V100" s="1029">
        <f t="shared" si="61"/>
        <v>449.61600000000004</v>
      </c>
      <c r="W100" s="1029">
        <f t="shared" si="61"/>
        <v>476.06400000000002</v>
      </c>
      <c r="X100" s="1029">
        <f t="shared" si="61"/>
        <v>502.512</v>
      </c>
      <c r="Y100" s="1029">
        <f t="shared" si="61"/>
        <v>528.96</v>
      </c>
      <c r="Z100" s="1029">
        <f t="shared" si="61"/>
        <v>555.40800000000002</v>
      </c>
      <c r="AA100" s="1029">
        <f t="shared" si="61"/>
        <v>581.85600000000011</v>
      </c>
      <c r="AB100" s="1029">
        <f t="shared" si="61"/>
        <v>608.30399999999997</v>
      </c>
      <c r="AC100" s="1029">
        <f t="shared" si="61"/>
        <v>634.75200000000007</v>
      </c>
      <c r="AD100" s="1029">
        <f t="shared" si="61"/>
        <v>661.2</v>
      </c>
      <c r="AE100" s="1029">
        <f t="shared" si="61"/>
        <v>687.64800000000002</v>
      </c>
      <c r="AF100" s="1029">
        <f t="shared" si="61"/>
        <v>714.09600000000012</v>
      </c>
      <c r="AG100" s="1029">
        <f t="shared" si="61"/>
        <v>740.54399999999998</v>
      </c>
      <c r="AH100" s="1029">
        <f t="shared" si="61"/>
        <v>766.99200000000008</v>
      </c>
      <c r="AI100" s="1029">
        <f t="shared" si="61"/>
        <v>793.44</v>
      </c>
      <c r="AJ100" s="1029">
        <f t="shared" si="61"/>
        <v>819.88800000000003</v>
      </c>
      <c r="AK100" s="1029">
        <f t="shared" si="61"/>
        <v>846.33600000000013</v>
      </c>
      <c r="AL100" s="1029">
        <f t="shared" si="61"/>
        <v>872.78399999999999</v>
      </c>
      <c r="AM100" s="1029">
        <f t="shared" si="61"/>
        <v>899.23200000000008</v>
      </c>
      <c r="AN100" s="1029">
        <f t="shared" ref="AN100:BF100" si="62">((AN$71-$H$4)/1000)*$O$24*(($C$8/70)^$AA24)</f>
        <v>925.68000000000006</v>
      </c>
      <c r="AO100" s="1029">
        <f t="shared" si="62"/>
        <v>952.12800000000004</v>
      </c>
      <c r="AP100" s="1029">
        <f t="shared" si="62"/>
        <v>978.57600000000014</v>
      </c>
      <c r="AQ100" s="1029">
        <f t="shared" si="62"/>
        <v>1005.024</v>
      </c>
      <c r="AR100" s="1029">
        <f t="shared" si="62"/>
        <v>1031.472</v>
      </c>
      <c r="AS100" s="1029">
        <f t="shared" si="62"/>
        <v>1057.92</v>
      </c>
      <c r="AT100" s="1029">
        <f t="shared" si="62"/>
        <v>1084.3679999999999</v>
      </c>
      <c r="AU100" s="1029">
        <f t="shared" si="62"/>
        <v>1110.816</v>
      </c>
      <c r="AV100" s="1029">
        <f t="shared" si="62"/>
        <v>1137.2640000000001</v>
      </c>
      <c r="AW100" s="1029">
        <f t="shared" si="62"/>
        <v>1163.7120000000002</v>
      </c>
      <c r="AX100" s="1029">
        <f t="shared" si="62"/>
        <v>1190.1600000000001</v>
      </c>
      <c r="AY100" s="1029">
        <f t="shared" si="62"/>
        <v>1216.6079999999999</v>
      </c>
      <c r="AZ100" s="1029">
        <f t="shared" si="62"/>
        <v>1243.056</v>
      </c>
      <c r="BA100" s="1029">
        <f t="shared" si="62"/>
        <v>1269.5040000000001</v>
      </c>
      <c r="BB100" s="1029">
        <f t="shared" si="62"/>
        <v>1295.9520000000002</v>
      </c>
      <c r="BC100" s="1029">
        <f t="shared" si="62"/>
        <v>1322.4</v>
      </c>
      <c r="BD100" s="1029">
        <f t="shared" si="62"/>
        <v>1348.848</v>
      </c>
      <c r="BE100" s="1029">
        <f t="shared" si="62"/>
        <v>1375.296</v>
      </c>
      <c r="BF100" s="1029">
        <f t="shared" si="62"/>
        <v>1401.7440000000001</v>
      </c>
    </row>
    <row r="101" spans="1:58">
      <c r="A101" s="2477"/>
      <c r="B101" s="2610" t="s">
        <v>226</v>
      </c>
      <c r="C101" s="2611"/>
      <c r="D101" s="395" t="s">
        <v>194</v>
      </c>
      <c r="E101" s="440">
        <v>75</v>
      </c>
      <c r="F101" s="440">
        <v>360</v>
      </c>
      <c r="G101" s="395" t="s">
        <v>200</v>
      </c>
      <c r="H101" s="1029">
        <f t="shared" ref="H101:AM101" si="63">((H$71-$H$4)/1000)*$Q$24*(($C$8/70)^$AC$24)</f>
        <v>85.228019999999987</v>
      </c>
      <c r="I101" s="1029">
        <f t="shared" si="63"/>
        <v>113.63736</v>
      </c>
      <c r="J101" s="1029">
        <f t="shared" si="63"/>
        <v>142.04669999999999</v>
      </c>
      <c r="K101" s="1029">
        <f t="shared" si="63"/>
        <v>170.45603999999997</v>
      </c>
      <c r="L101" s="1029">
        <f t="shared" si="63"/>
        <v>198.86537999999996</v>
      </c>
      <c r="M101" s="1029">
        <f t="shared" si="63"/>
        <v>227.27472</v>
      </c>
      <c r="N101" s="1029">
        <f t="shared" si="63"/>
        <v>255.68405999999999</v>
      </c>
      <c r="O101" s="1029">
        <f t="shared" si="63"/>
        <v>284.09339999999997</v>
      </c>
      <c r="P101" s="1029">
        <f t="shared" si="63"/>
        <v>312.50274000000002</v>
      </c>
      <c r="Q101" s="1029">
        <f t="shared" si="63"/>
        <v>340.91207999999995</v>
      </c>
      <c r="R101" s="1029">
        <f t="shared" si="63"/>
        <v>369.32141999999999</v>
      </c>
      <c r="S101" s="1029">
        <f t="shared" si="63"/>
        <v>397.73075999999992</v>
      </c>
      <c r="T101" s="1029">
        <f t="shared" si="63"/>
        <v>426.14009999999996</v>
      </c>
      <c r="U101" s="1029">
        <f t="shared" si="63"/>
        <v>454.54944</v>
      </c>
      <c r="V101" s="1029">
        <f t="shared" si="63"/>
        <v>482.95877999999993</v>
      </c>
      <c r="W101" s="1029">
        <f t="shared" si="63"/>
        <v>511.36811999999998</v>
      </c>
      <c r="X101" s="1029">
        <f t="shared" si="63"/>
        <v>539.77745999999991</v>
      </c>
      <c r="Y101" s="1029">
        <f t="shared" si="63"/>
        <v>568.18679999999995</v>
      </c>
      <c r="Z101" s="1029">
        <f t="shared" si="63"/>
        <v>596.59613999999999</v>
      </c>
      <c r="AA101" s="1029">
        <f t="shared" si="63"/>
        <v>625.00548000000003</v>
      </c>
      <c r="AB101" s="1029">
        <f t="shared" si="63"/>
        <v>653.41481999999985</v>
      </c>
      <c r="AC101" s="1029">
        <f t="shared" si="63"/>
        <v>681.82415999999989</v>
      </c>
      <c r="AD101" s="1029">
        <f t="shared" si="63"/>
        <v>710.23349999999994</v>
      </c>
      <c r="AE101" s="1029">
        <f t="shared" si="63"/>
        <v>738.64283999999998</v>
      </c>
      <c r="AF101" s="1029">
        <f t="shared" si="63"/>
        <v>767.05218000000002</v>
      </c>
      <c r="AG101" s="1029">
        <f t="shared" si="63"/>
        <v>795.46151999999984</v>
      </c>
      <c r="AH101" s="1029">
        <f t="shared" si="63"/>
        <v>823.87085999999988</v>
      </c>
      <c r="AI101" s="1029">
        <f t="shared" si="63"/>
        <v>852.28019999999992</v>
      </c>
      <c r="AJ101" s="1029">
        <f t="shared" si="63"/>
        <v>880.68953999999997</v>
      </c>
      <c r="AK101" s="1029">
        <f t="shared" si="63"/>
        <v>909.09888000000001</v>
      </c>
      <c r="AL101" s="1029">
        <f t="shared" si="63"/>
        <v>937.50821999999982</v>
      </c>
      <c r="AM101" s="1029">
        <f t="shared" si="63"/>
        <v>965.91755999999987</v>
      </c>
      <c r="AN101" s="1029">
        <f t="shared" ref="AN101:BF101" si="64">((AN$71-$H$4)/1000)*$Q$24*(($C$8/70)^$AC$24)</f>
        <v>994.32689999999991</v>
      </c>
      <c r="AO101" s="1029">
        <f t="shared" si="64"/>
        <v>1022.73624</v>
      </c>
      <c r="AP101" s="1029">
        <f t="shared" si="64"/>
        <v>1051.1455799999999</v>
      </c>
      <c r="AQ101" s="1029">
        <f t="shared" si="64"/>
        <v>1079.5549199999998</v>
      </c>
      <c r="AR101" s="1029">
        <f t="shared" si="64"/>
        <v>1107.96426</v>
      </c>
      <c r="AS101" s="1029">
        <f t="shared" si="64"/>
        <v>1136.3735999999999</v>
      </c>
      <c r="AT101" s="1029">
        <f t="shared" si="64"/>
        <v>1164.7829399999998</v>
      </c>
      <c r="AU101" s="1029">
        <f t="shared" si="64"/>
        <v>1193.19228</v>
      </c>
      <c r="AV101" s="1029">
        <f t="shared" si="64"/>
        <v>1221.6016199999999</v>
      </c>
      <c r="AW101" s="1029">
        <f t="shared" si="64"/>
        <v>1250.0109600000001</v>
      </c>
      <c r="AX101" s="1029">
        <f t="shared" si="64"/>
        <v>1278.4202999999998</v>
      </c>
      <c r="AY101" s="1029">
        <f t="shared" si="64"/>
        <v>1306.8296399999997</v>
      </c>
      <c r="AZ101" s="1029">
        <f t="shared" si="64"/>
        <v>1335.2389799999999</v>
      </c>
      <c r="BA101" s="1029">
        <f t="shared" si="64"/>
        <v>1363.6483199999998</v>
      </c>
      <c r="BB101" s="1029">
        <f t="shared" si="64"/>
        <v>1392.0576599999999</v>
      </c>
      <c r="BC101" s="1029">
        <f t="shared" si="64"/>
        <v>1420.4669999999999</v>
      </c>
      <c r="BD101" s="1029">
        <f t="shared" si="64"/>
        <v>1448.8763399999998</v>
      </c>
      <c r="BE101" s="1029">
        <f t="shared" si="64"/>
        <v>1477.28568</v>
      </c>
      <c r="BF101" s="1029">
        <f t="shared" si="64"/>
        <v>1505.6950199999999</v>
      </c>
    </row>
    <row r="102" spans="1:58">
      <c r="A102" s="2477"/>
      <c r="B102" s="2610" t="s">
        <v>227</v>
      </c>
      <c r="C102" s="2611"/>
      <c r="D102" s="395" t="s">
        <v>194</v>
      </c>
      <c r="E102" s="440">
        <v>75</v>
      </c>
      <c r="F102" s="440">
        <v>400</v>
      </c>
      <c r="G102" s="395" t="s">
        <v>200</v>
      </c>
      <c r="H102" s="1029">
        <f t="shared" ref="H102:AM102" si="65">((H$71-$H$4)/1000)*$R$24*(($C$8/70)^$AD$24)</f>
        <v>87.803841978719973</v>
      </c>
      <c r="I102" s="1029">
        <f t="shared" si="65"/>
        <v>117.07178930495998</v>
      </c>
      <c r="J102" s="1029">
        <f t="shared" si="65"/>
        <v>146.33973663119997</v>
      </c>
      <c r="K102" s="1029">
        <f t="shared" si="65"/>
        <v>175.60768395743995</v>
      </c>
      <c r="L102" s="1029">
        <f t="shared" si="65"/>
        <v>204.87563128367995</v>
      </c>
      <c r="M102" s="1029">
        <f t="shared" si="65"/>
        <v>234.14357860991996</v>
      </c>
      <c r="N102" s="1029">
        <f t="shared" si="65"/>
        <v>263.41152593615993</v>
      </c>
      <c r="O102" s="1029">
        <f t="shared" si="65"/>
        <v>292.67947326239994</v>
      </c>
      <c r="P102" s="1029">
        <f t="shared" si="65"/>
        <v>321.94742058863994</v>
      </c>
      <c r="Q102" s="1029">
        <f t="shared" si="65"/>
        <v>351.21536791487989</v>
      </c>
      <c r="R102" s="1029">
        <f t="shared" si="65"/>
        <v>380.48331524111995</v>
      </c>
      <c r="S102" s="1029">
        <f t="shared" si="65"/>
        <v>409.7512625673599</v>
      </c>
      <c r="T102" s="1029">
        <f t="shared" si="65"/>
        <v>439.01920989359991</v>
      </c>
      <c r="U102" s="1029">
        <f t="shared" si="65"/>
        <v>468.28715721983991</v>
      </c>
      <c r="V102" s="1029">
        <f t="shared" si="65"/>
        <v>497.55510454607986</v>
      </c>
      <c r="W102" s="1029">
        <f t="shared" si="65"/>
        <v>526.82305187231987</v>
      </c>
      <c r="X102" s="1029">
        <f t="shared" si="65"/>
        <v>556.09099919855987</v>
      </c>
      <c r="Y102" s="1029">
        <f t="shared" si="65"/>
        <v>585.35894652479988</v>
      </c>
      <c r="Z102" s="1029">
        <f t="shared" si="65"/>
        <v>614.62689385103988</v>
      </c>
      <c r="AA102" s="1029">
        <f t="shared" si="65"/>
        <v>643.89484117727989</v>
      </c>
      <c r="AB102" s="1029">
        <f t="shared" si="65"/>
        <v>673.16278850351978</v>
      </c>
      <c r="AC102" s="1029">
        <f t="shared" si="65"/>
        <v>702.43073582975978</v>
      </c>
      <c r="AD102" s="1029">
        <f t="shared" si="65"/>
        <v>731.69868315599979</v>
      </c>
      <c r="AE102" s="1029">
        <f t="shared" si="65"/>
        <v>760.96663048223991</v>
      </c>
      <c r="AF102" s="1029">
        <f t="shared" si="65"/>
        <v>790.23457780847991</v>
      </c>
      <c r="AG102" s="1029">
        <f t="shared" si="65"/>
        <v>819.5025251347198</v>
      </c>
      <c r="AH102" s="1029">
        <f t="shared" si="65"/>
        <v>848.77047246095981</v>
      </c>
      <c r="AI102" s="1029">
        <f t="shared" si="65"/>
        <v>878.03841978719981</v>
      </c>
      <c r="AJ102" s="1029">
        <f t="shared" si="65"/>
        <v>907.30636711343982</v>
      </c>
      <c r="AK102" s="1029">
        <f t="shared" si="65"/>
        <v>936.57431443967982</v>
      </c>
      <c r="AL102" s="1029">
        <f t="shared" si="65"/>
        <v>965.84226176591972</v>
      </c>
      <c r="AM102" s="1029">
        <f t="shared" si="65"/>
        <v>995.11020909215972</v>
      </c>
      <c r="AN102" s="1029">
        <f t="shared" ref="AN102:BF102" si="66">((AN$71-$H$4)/1000)*$R$24*(($C$8/70)^$AD$24)</f>
        <v>1024.3781564183998</v>
      </c>
      <c r="AO102" s="1029">
        <f t="shared" si="66"/>
        <v>1053.6461037446397</v>
      </c>
      <c r="AP102" s="1029">
        <f t="shared" si="66"/>
        <v>1082.9140510708799</v>
      </c>
      <c r="AQ102" s="1029">
        <f t="shared" si="66"/>
        <v>1112.1819983971197</v>
      </c>
      <c r="AR102" s="1029">
        <f t="shared" si="66"/>
        <v>1141.4499457233596</v>
      </c>
      <c r="AS102" s="1029">
        <f t="shared" si="66"/>
        <v>1170.7178930495998</v>
      </c>
      <c r="AT102" s="1029">
        <f t="shared" si="66"/>
        <v>1199.9858403758396</v>
      </c>
      <c r="AU102" s="1029">
        <f t="shared" si="66"/>
        <v>1229.2537877020798</v>
      </c>
      <c r="AV102" s="1029">
        <f t="shared" si="66"/>
        <v>1258.5217350283197</v>
      </c>
      <c r="AW102" s="1029">
        <f t="shared" si="66"/>
        <v>1287.7896823545598</v>
      </c>
      <c r="AX102" s="1029">
        <f t="shared" si="66"/>
        <v>1317.0576296807997</v>
      </c>
      <c r="AY102" s="1029">
        <f t="shared" si="66"/>
        <v>1346.3255770070396</v>
      </c>
      <c r="AZ102" s="1029">
        <f t="shared" si="66"/>
        <v>1375.5935243332797</v>
      </c>
      <c r="BA102" s="1029">
        <f t="shared" si="66"/>
        <v>1404.8614716595196</v>
      </c>
      <c r="BB102" s="1029">
        <f t="shared" si="66"/>
        <v>1434.1294189857599</v>
      </c>
      <c r="BC102" s="1029">
        <f t="shared" si="66"/>
        <v>1463.3973663119996</v>
      </c>
      <c r="BD102" s="1029">
        <f t="shared" si="66"/>
        <v>1492.6653136382395</v>
      </c>
      <c r="BE102" s="1029">
        <f t="shared" si="66"/>
        <v>1521.9332609644798</v>
      </c>
      <c r="BF102" s="1029">
        <f t="shared" si="66"/>
        <v>1551.2012082907197</v>
      </c>
    </row>
    <row r="103" spans="1:58" ht="15.75" thickBot="1">
      <c r="A103" s="2477"/>
      <c r="B103" s="2612" t="s">
        <v>228</v>
      </c>
      <c r="C103" s="2613"/>
      <c r="D103" s="396" t="s">
        <v>194</v>
      </c>
      <c r="E103" s="442">
        <v>75</v>
      </c>
      <c r="F103" s="442">
        <v>400</v>
      </c>
      <c r="G103" s="396" t="s">
        <v>220</v>
      </c>
      <c r="H103" s="1030">
        <f t="shared" ref="H103:AM103" si="67">((H$71-$H$4)/1000)*$S$24*(($C$8/70)^$AE$24)</f>
        <v>114.36479999999999</v>
      </c>
      <c r="I103" s="1030">
        <f t="shared" si="67"/>
        <v>152.48639999999997</v>
      </c>
      <c r="J103" s="1030">
        <f t="shared" si="67"/>
        <v>190.60799999999998</v>
      </c>
      <c r="K103" s="1030">
        <f t="shared" si="67"/>
        <v>228.72959999999998</v>
      </c>
      <c r="L103" s="1030">
        <f t="shared" si="67"/>
        <v>266.85119999999995</v>
      </c>
      <c r="M103" s="1030">
        <f t="shared" si="67"/>
        <v>304.97279999999995</v>
      </c>
      <c r="N103" s="1030">
        <f t="shared" si="67"/>
        <v>343.09439999999995</v>
      </c>
      <c r="O103" s="1030">
        <f t="shared" si="67"/>
        <v>381.21599999999995</v>
      </c>
      <c r="P103" s="1030">
        <f t="shared" si="67"/>
        <v>419.33759999999995</v>
      </c>
      <c r="Q103" s="1030">
        <f t="shared" si="67"/>
        <v>457.45919999999995</v>
      </c>
      <c r="R103" s="1030">
        <f t="shared" si="67"/>
        <v>495.58079999999995</v>
      </c>
      <c r="S103" s="1030">
        <f t="shared" si="67"/>
        <v>533.7023999999999</v>
      </c>
      <c r="T103" s="1030">
        <f t="shared" si="67"/>
        <v>571.82399999999996</v>
      </c>
      <c r="U103" s="1030">
        <f t="shared" si="67"/>
        <v>609.9455999999999</v>
      </c>
      <c r="V103" s="1030">
        <f t="shared" si="67"/>
        <v>648.06719999999996</v>
      </c>
      <c r="W103" s="1030">
        <f t="shared" si="67"/>
        <v>686.1887999999999</v>
      </c>
      <c r="X103" s="1030">
        <f t="shared" si="67"/>
        <v>724.31039999999985</v>
      </c>
      <c r="Y103" s="1030">
        <f t="shared" si="67"/>
        <v>762.4319999999999</v>
      </c>
      <c r="Z103" s="1030">
        <f t="shared" si="67"/>
        <v>800.55359999999996</v>
      </c>
      <c r="AA103" s="1030">
        <f t="shared" si="67"/>
        <v>838.6751999999999</v>
      </c>
      <c r="AB103" s="1030">
        <f t="shared" si="67"/>
        <v>876.79679999999985</v>
      </c>
      <c r="AC103" s="1030">
        <f t="shared" si="67"/>
        <v>914.91839999999991</v>
      </c>
      <c r="AD103" s="1030">
        <f t="shared" si="67"/>
        <v>953.03999999999985</v>
      </c>
      <c r="AE103" s="1030">
        <f t="shared" si="67"/>
        <v>991.16159999999991</v>
      </c>
      <c r="AF103" s="1030">
        <f t="shared" si="67"/>
        <v>1029.2831999999999</v>
      </c>
      <c r="AG103" s="1030">
        <f t="shared" si="67"/>
        <v>1067.4047999999998</v>
      </c>
      <c r="AH103" s="1030">
        <f t="shared" si="67"/>
        <v>1105.5263999999997</v>
      </c>
      <c r="AI103" s="1030">
        <f t="shared" si="67"/>
        <v>1143.6479999999999</v>
      </c>
      <c r="AJ103" s="1030">
        <f t="shared" si="67"/>
        <v>1181.7695999999999</v>
      </c>
      <c r="AK103" s="1030">
        <f t="shared" si="67"/>
        <v>1219.8911999999998</v>
      </c>
      <c r="AL103" s="1030">
        <f t="shared" si="67"/>
        <v>1258.0127999999997</v>
      </c>
      <c r="AM103" s="1030">
        <f t="shared" si="67"/>
        <v>1296.1343999999999</v>
      </c>
      <c r="AN103" s="1030">
        <f t="shared" ref="AN103:BF103" si="68">((AN$71-$H$4)/1000)*$S$24*(($C$8/70)^$AE$24)</f>
        <v>1334.2559999999999</v>
      </c>
      <c r="AO103" s="1030">
        <f t="shared" si="68"/>
        <v>1372.3775999999998</v>
      </c>
      <c r="AP103" s="1030">
        <f t="shared" si="68"/>
        <v>1410.4992</v>
      </c>
      <c r="AQ103" s="1030">
        <f t="shared" si="68"/>
        <v>1448.6207999999997</v>
      </c>
      <c r="AR103" s="1030">
        <f t="shared" si="68"/>
        <v>1486.7423999999999</v>
      </c>
      <c r="AS103" s="1030">
        <f t="shared" si="68"/>
        <v>1524.8639999999998</v>
      </c>
      <c r="AT103" s="1030">
        <f t="shared" si="68"/>
        <v>1562.9855999999997</v>
      </c>
      <c r="AU103" s="1030">
        <f t="shared" si="68"/>
        <v>1601.1071999999999</v>
      </c>
      <c r="AV103" s="1030">
        <f t="shared" si="68"/>
        <v>1639.2287999999996</v>
      </c>
      <c r="AW103" s="1030">
        <f t="shared" si="68"/>
        <v>1677.3503999999998</v>
      </c>
      <c r="AX103" s="1030">
        <f t="shared" si="68"/>
        <v>1715.4719999999998</v>
      </c>
      <c r="AY103" s="1030">
        <f t="shared" si="68"/>
        <v>1753.5935999999997</v>
      </c>
      <c r="AZ103" s="1030">
        <f t="shared" si="68"/>
        <v>1791.7151999999999</v>
      </c>
      <c r="BA103" s="1030">
        <f t="shared" si="68"/>
        <v>1829.8367999999998</v>
      </c>
      <c r="BB103" s="1030">
        <f t="shared" si="68"/>
        <v>1867.9584</v>
      </c>
      <c r="BC103" s="1030">
        <f t="shared" si="68"/>
        <v>1906.0799999999997</v>
      </c>
      <c r="BD103" s="1030">
        <f t="shared" si="68"/>
        <v>1944.2015999999996</v>
      </c>
      <c r="BE103" s="1030">
        <f t="shared" si="68"/>
        <v>1982.3231999999998</v>
      </c>
      <c r="BF103" s="1030">
        <f t="shared" si="68"/>
        <v>2020.4447999999998</v>
      </c>
    </row>
    <row r="104" spans="1:58">
      <c r="A104" s="2477"/>
      <c r="B104" s="2614" t="s">
        <v>229</v>
      </c>
      <c r="C104" s="2615"/>
      <c r="D104" s="397" t="s">
        <v>194</v>
      </c>
      <c r="E104" s="443">
        <v>80</v>
      </c>
      <c r="F104" s="443">
        <v>160</v>
      </c>
      <c r="G104" s="398" t="s">
        <v>195</v>
      </c>
      <c r="H104" s="1031">
        <f t="shared" ref="H104:AM104" si="69">((H$71-$H$4)/1000)*$K25*(($C$8/70)^$W$25)</f>
        <v>47.248315691702395</v>
      </c>
      <c r="I104" s="1031">
        <f t="shared" si="69"/>
        <v>62.997754255603198</v>
      </c>
      <c r="J104" s="1031">
        <f t="shared" si="69"/>
        <v>78.747192819503994</v>
      </c>
      <c r="K104" s="1031">
        <f t="shared" si="69"/>
        <v>94.49663138340479</v>
      </c>
      <c r="L104" s="1031">
        <f t="shared" si="69"/>
        <v>110.24606994730559</v>
      </c>
      <c r="M104" s="1031">
        <f t="shared" si="69"/>
        <v>125.9955085112064</v>
      </c>
      <c r="N104" s="1031">
        <f t="shared" si="69"/>
        <v>141.74494707510721</v>
      </c>
      <c r="O104" s="1031">
        <f t="shared" si="69"/>
        <v>157.49438563900799</v>
      </c>
      <c r="P104" s="1031">
        <f t="shared" si="69"/>
        <v>173.2438242029088</v>
      </c>
      <c r="Q104" s="1031">
        <f t="shared" si="69"/>
        <v>188.99326276680958</v>
      </c>
      <c r="R104" s="1031">
        <f t="shared" si="69"/>
        <v>204.74270133071039</v>
      </c>
      <c r="S104" s="1031">
        <f t="shared" si="69"/>
        <v>220.49213989461117</v>
      </c>
      <c r="T104" s="1031">
        <f t="shared" si="69"/>
        <v>236.24157845851198</v>
      </c>
      <c r="U104" s="1031">
        <f t="shared" si="69"/>
        <v>251.99101702241279</v>
      </c>
      <c r="V104" s="1031">
        <f t="shared" si="69"/>
        <v>267.74045558631354</v>
      </c>
      <c r="W104" s="1031">
        <f t="shared" si="69"/>
        <v>283.48989415021441</v>
      </c>
      <c r="X104" s="1031">
        <f t="shared" si="69"/>
        <v>299.23933271411516</v>
      </c>
      <c r="Y104" s="1031">
        <f t="shared" si="69"/>
        <v>314.98877127801597</v>
      </c>
      <c r="Z104" s="1031">
        <f t="shared" si="69"/>
        <v>330.73820984191678</v>
      </c>
      <c r="AA104" s="1031">
        <f t="shared" si="69"/>
        <v>346.48764840581759</v>
      </c>
      <c r="AB104" s="1031">
        <f t="shared" si="69"/>
        <v>362.23708696971835</v>
      </c>
      <c r="AC104" s="1031">
        <f t="shared" si="69"/>
        <v>377.98652553361916</v>
      </c>
      <c r="AD104" s="1031">
        <f t="shared" si="69"/>
        <v>393.73596409751997</v>
      </c>
      <c r="AE104" s="1031">
        <f t="shared" si="69"/>
        <v>409.48540266142078</v>
      </c>
      <c r="AF104" s="1031">
        <f t="shared" si="69"/>
        <v>425.23484122532159</v>
      </c>
      <c r="AG104" s="1031">
        <f t="shared" si="69"/>
        <v>440.98427978922234</v>
      </c>
      <c r="AH104" s="1031">
        <f t="shared" si="69"/>
        <v>456.73371835312315</v>
      </c>
      <c r="AI104" s="1031">
        <f t="shared" si="69"/>
        <v>472.48315691702396</v>
      </c>
      <c r="AJ104" s="1031">
        <f t="shared" si="69"/>
        <v>488.23259548092477</v>
      </c>
      <c r="AK104" s="1031">
        <f t="shared" si="69"/>
        <v>503.98203404482558</v>
      </c>
      <c r="AL104" s="1031">
        <f t="shared" si="69"/>
        <v>519.73147260872634</v>
      </c>
      <c r="AM104" s="1031">
        <f t="shared" si="69"/>
        <v>535.48091117262709</v>
      </c>
      <c r="AN104" s="1031">
        <f t="shared" ref="AN104:BF104" si="70">((AN$71-$H$4)/1000)*$K25*(($C$8/70)^$W$25)</f>
        <v>551.23034973652796</v>
      </c>
      <c r="AO104" s="1031">
        <f t="shared" si="70"/>
        <v>566.97978830042882</v>
      </c>
      <c r="AP104" s="1031">
        <f t="shared" si="70"/>
        <v>582.72922686432958</v>
      </c>
      <c r="AQ104" s="1031">
        <f t="shared" si="70"/>
        <v>598.47866542823033</v>
      </c>
      <c r="AR104" s="1031">
        <f t="shared" si="70"/>
        <v>614.22810399213108</v>
      </c>
      <c r="AS104" s="1031">
        <f t="shared" si="70"/>
        <v>629.97754255603195</v>
      </c>
      <c r="AT104" s="1031">
        <f t="shared" si="70"/>
        <v>645.7269811199327</v>
      </c>
      <c r="AU104" s="1031">
        <f t="shared" si="70"/>
        <v>661.47641968383357</v>
      </c>
      <c r="AV104" s="1031">
        <f t="shared" si="70"/>
        <v>677.22585824773432</v>
      </c>
      <c r="AW104" s="1031">
        <f t="shared" si="70"/>
        <v>692.97529681163519</v>
      </c>
      <c r="AX104" s="1031">
        <f t="shared" si="70"/>
        <v>708.72473537553594</v>
      </c>
      <c r="AY104" s="1031">
        <f t="shared" si="70"/>
        <v>724.4741739394367</v>
      </c>
      <c r="AZ104" s="1031">
        <f t="shared" si="70"/>
        <v>740.22361250333756</v>
      </c>
      <c r="BA104" s="1031">
        <f t="shared" si="70"/>
        <v>755.97305106723832</v>
      </c>
      <c r="BB104" s="1031">
        <f t="shared" si="70"/>
        <v>771.72248963113918</v>
      </c>
      <c r="BC104" s="1031">
        <f t="shared" si="70"/>
        <v>787.47192819503994</v>
      </c>
      <c r="BD104" s="1031">
        <f t="shared" si="70"/>
        <v>803.22136675894069</v>
      </c>
      <c r="BE104" s="1031">
        <f t="shared" si="70"/>
        <v>818.97080532284156</v>
      </c>
      <c r="BF104" s="1031">
        <f t="shared" si="70"/>
        <v>834.72024388674231</v>
      </c>
    </row>
    <row r="105" spans="1:58">
      <c r="A105" s="2477"/>
      <c r="B105" s="2604" t="s">
        <v>230</v>
      </c>
      <c r="C105" s="2605"/>
      <c r="D105" s="399" t="s">
        <v>194</v>
      </c>
      <c r="E105" s="444">
        <v>80</v>
      </c>
      <c r="F105" s="444">
        <v>200</v>
      </c>
      <c r="G105" s="400" t="s">
        <v>195</v>
      </c>
      <c r="H105" s="1032">
        <f t="shared" ref="H105:AM105" si="71">((H$71-$H$4)/1000)*$L$25*(($C$8/70)^$X$25)</f>
        <v>53.69126783147999</v>
      </c>
      <c r="I105" s="1032">
        <f t="shared" si="71"/>
        <v>71.588357108639997</v>
      </c>
      <c r="J105" s="1032">
        <f t="shared" si="71"/>
        <v>89.485446385799989</v>
      </c>
      <c r="K105" s="1032">
        <f t="shared" si="71"/>
        <v>107.38253566295998</v>
      </c>
      <c r="L105" s="1032">
        <f t="shared" si="71"/>
        <v>125.27962494011997</v>
      </c>
      <c r="M105" s="1032">
        <f t="shared" si="71"/>
        <v>143.17671421727999</v>
      </c>
      <c r="N105" s="1032">
        <f t="shared" si="71"/>
        <v>161.07380349443997</v>
      </c>
      <c r="O105" s="1032">
        <f t="shared" si="71"/>
        <v>178.97089277159998</v>
      </c>
      <c r="P105" s="1032">
        <f t="shared" si="71"/>
        <v>196.86798204875998</v>
      </c>
      <c r="Q105" s="1032">
        <f t="shared" si="71"/>
        <v>214.76507132591996</v>
      </c>
      <c r="R105" s="1032">
        <f t="shared" si="71"/>
        <v>232.66216060307997</v>
      </c>
      <c r="S105" s="1032">
        <f t="shared" si="71"/>
        <v>250.55924988023995</v>
      </c>
      <c r="T105" s="1032">
        <f t="shared" si="71"/>
        <v>268.45633915739995</v>
      </c>
      <c r="U105" s="1032">
        <f t="shared" si="71"/>
        <v>286.35342843455999</v>
      </c>
      <c r="V105" s="1032">
        <f t="shared" si="71"/>
        <v>304.25051771171997</v>
      </c>
      <c r="W105" s="1032">
        <f t="shared" si="71"/>
        <v>322.14760698887994</v>
      </c>
      <c r="X105" s="1032">
        <f t="shared" si="71"/>
        <v>340.04469626603992</v>
      </c>
      <c r="Y105" s="1032">
        <f t="shared" si="71"/>
        <v>357.94178554319996</v>
      </c>
      <c r="Z105" s="1032">
        <f t="shared" si="71"/>
        <v>375.83887482035999</v>
      </c>
      <c r="AA105" s="1032">
        <f t="shared" si="71"/>
        <v>393.73596409751997</v>
      </c>
      <c r="AB105" s="1032">
        <f t="shared" si="71"/>
        <v>411.63305337467989</v>
      </c>
      <c r="AC105" s="1032">
        <f t="shared" si="71"/>
        <v>429.53014265183992</v>
      </c>
      <c r="AD105" s="1032">
        <f t="shared" si="71"/>
        <v>447.42723192899996</v>
      </c>
      <c r="AE105" s="1032">
        <f t="shared" si="71"/>
        <v>465.32432120615994</v>
      </c>
      <c r="AF105" s="1032">
        <f t="shared" si="71"/>
        <v>483.22141048331997</v>
      </c>
      <c r="AG105" s="1032">
        <f t="shared" si="71"/>
        <v>501.11849976047989</v>
      </c>
      <c r="AH105" s="1032">
        <f t="shared" si="71"/>
        <v>519.01558903763987</v>
      </c>
      <c r="AI105" s="1032">
        <f t="shared" si="71"/>
        <v>536.9126783147999</v>
      </c>
      <c r="AJ105" s="1032">
        <f t="shared" si="71"/>
        <v>554.80976759195994</v>
      </c>
      <c r="AK105" s="1032">
        <f t="shared" si="71"/>
        <v>572.70685686911997</v>
      </c>
      <c r="AL105" s="1032">
        <f t="shared" si="71"/>
        <v>590.6039461462799</v>
      </c>
      <c r="AM105" s="1032">
        <f t="shared" si="71"/>
        <v>608.50103542343993</v>
      </c>
      <c r="AN105" s="1032">
        <f t="shared" ref="AN105:BF105" si="72">((AN$71-$H$4)/1000)*$L$25*(($C$8/70)^$X$25)</f>
        <v>626.39812470059996</v>
      </c>
      <c r="AO105" s="1032">
        <f t="shared" si="72"/>
        <v>644.29521397775989</v>
      </c>
      <c r="AP105" s="1032">
        <f t="shared" si="72"/>
        <v>662.19230325491992</v>
      </c>
      <c r="AQ105" s="1032">
        <f t="shared" si="72"/>
        <v>680.08939253207984</v>
      </c>
      <c r="AR105" s="1032">
        <f t="shared" si="72"/>
        <v>697.98648180923988</v>
      </c>
      <c r="AS105" s="1032">
        <f t="shared" si="72"/>
        <v>715.88357108639991</v>
      </c>
      <c r="AT105" s="1032">
        <f t="shared" si="72"/>
        <v>733.78066036355983</v>
      </c>
      <c r="AU105" s="1032">
        <f t="shared" si="72"/>
        <v>751.67774964071998</v>
      </c>
      <c r="AV105" s="1032">
        <f t="shared" si="72"/>
        <v>769.5748389178799</v>
      </c>
      <c r="AW105" s="1032">
        <f t="shared" si="72"/>
        <v>787.47192819503994</v>
      </c>
      <c r="AX105" s="1032">
        <f t="shared" si="72"/>
        <v>805.36901747219986</v>
      </c>
      <c r="AY105" s="1032">
        <f t="shared" si="72"/>
        <v>823.26610674935978</v>
      </c>
      <c r="AZ105" s="1032">
        <f t="shared" si="72"/>
        <v>841.16319602651993</v>
      </c>
      <c r="BA105" s="1032">
        <f t="shared" si="72"/>
        <v>859.06028530367985</v>
      </c>
      <c r="BB105" s="1032">
        <f t="shared" si="72"/>
        <v>876.95737458084</v>
      </c>
      <c r="BC105" s="1032">
        <f t="shared" si="72"/>
        <v>894.85446385799992</v>
      </c>
      <c r="BD105" s="1032">
        <f t="shared" si="72"/>
        <v>912.75155313515984</v>
      </c>
      <c r="BE105" s="1032">
        <f t="shared" si="72"/>
        <v>930.64864241231987</v>
      </c>
      <c r="BF105" s="1032">
        <f t="shared" si="72"/>
        <v>948.54573168947979</v>
      </c>
    </row>
    <row r="106" spans="1:58">
      <c r="A106" s="2477"/>
      <c r="B106" s="2604" t="s">
        <v>231</v>
      </c>
      <c r="C106" s="2605"/>
      <c r="D106" s="399" t="s">
        <v>194</v>
      </c>
      <c r="E106" s="444">
        <v>80</v>
      </c>
      <c r="F106" s="444">
        <v>260</v>
      </c>
      <c r="G106" s="400" t="s">
        <v>195</v>
      </c>
      <c r="H106" s="1032">
        <f t="shared" ref="H106:AM106" si="73">((H$71-$H$4)/1000)*$M$25*(($C$8/70)^$Y$25)</f>
        <v>67.840320394816075</v>
      </c>
      <c r="I106" s="1032">
        <f t="shared" si="73"/>
        <v>90.453760526421448</v>
      </c>
      <c r="J106" s="1032">
        <f t="shared" si="73"/>
        <v>113.06720065802681</v>
      </c>
      <c r="K106" s="1032">
        <f t="shared" si="73"/>
        <v>135.68064078963215</v>
      </c>
      <c r="L106" s="1032">
        <f t="shared" si="73"/>
        <v>158.29408092123751</v>
      </c>
      <c r="M106" s="1032">
        <f t="shared" si="73"/>
        <v>180.9075210528429</v>
      </c>
      <c r="N106" s="1032">
        <f t="shared" si="73"/>
        <v>203.52096118444825</v>
      </c>
      <c r="O106" s="1032">
        <f t="shared" si="73"/>
        <v>226.13440131605361</v>
      </c>
      <c r="P106" s="1032">
        <f t="shared" si="73"/>
        <v>248.747841447659</v>
      </c>
      <c r="Q106" s="1032">
        <f t="shared" si="73"/>
        <v>271.3612815792643</v>
      </c>
      <c r="R106" s="1032">
        <f t="shared" si="73"/>
        <v>293.97472171086969</v>
      </c>
      <c r="S106" s="1032">
        <f t="shared" si="73"/>
        <v>316.58816184247502</v>
      </c>
      <c r="T106" s="1032">
        <f t="shared" si="73"/>
        <v>339.2016019740804</v>
      </c>
      <c r="U106" s="1032">
        <f t="shared" si="73"/>
        <v>361.81504210568579</v>
      </c>
      <c r="V106" s="1032">
        <f t="shared" si="73"/>
        <v>384.42848223729112</v>
      </c>
      <c r="W106" s="1032">
        <f t="shared" si="73"/>
        <v>407.04192236889651</v>
      </c>
      <c r="X106" s="1032">
        <f t="shared" si="73"/>
        <v>429.65536250050184</v>
      </c>
      <c r="Y106" s="1032">
        <f t="shared" si="73"/>
        <v>452.26880263210722</v>
      </c>
      <c r="Z106" s="1032">
        <f t="shared" si="73"/>
        <v>474.88224276371261</v>
      </c>
      <c r="AA106" s="1032">
        <f t="shared" si="73"/>
        <v>497.495682895318</v>
      </c>
      <c r="AB106" s="1032">
        <f t="shared" si="73"/>
        <v>520.10912302692327</v>
      </c>
      <c r="AC106" s="1032">
        <f t="shared" si="73"/>
        <v>542.7225631585286</v>
      </c>
      <c r="AD106" s="1032">
        <f t="shared" si="73"/>
        <v>565.33600329013404</v>
      </c>
      <c r="AE106" s="1032">
        <f t="shared" si="73"/>
        <v>587.94944342173937</v>
      </c>
      <c r="AF106" s="1032">
        <f t="shared" si="73"/>
        <v>610.56288355334482</v>
      </c>
      <c r="AG106" s="1032">
        <f t="shared" si="73"/>
        <v>633.17632368495003</v>
      </c>
      <c r="AH106" s="1032">
        <f t="shared" si="73"/>
        <v>655.78976381655548</v>
      </c>
      <c r="AI106" s="1032">
        <f t="shared" si="73"/>
        <v>678.40320394816081</v>
      </c>
      <c r="AJ106" s="1032">
        <f t="shared" si="73"/>
        <v>701.01664407976625</v>
      </c>
      <c r="AK106" s="1032">
        <f t="shared" si="73"/>
        <v>723.63008421137158</v>
      </c>
      <c r="AL106" s="1032">
        <f t="shared" si="73"/>
        <v>746.24352434297691</v>
      </c>
      <c r="AM106" s="1032">
        <f t="shared" si="73"/>
        <v>768.85696447458224</v>
      </c>
      <c r="AN106" s="1032">
        <f t="shared" ref="AN106:BF106" si="74">((AN$71-$H$4)/1000)*$M$25*(($C$8/70)^$Y$25)</f>
        <v>791.47040460618769</v>
      </c>
      <c r="AO106" s="1032">
        <f t="shared" si="74"/>
        <v>814.08384473779302</v>
      </c>
      <c r="AP106" s="1032">
        <f t="shared" si="74"/>
        <v>836.69728486939846</v>
      </c>
      <c r="AQ106" s="1032">
        <f t="shared" si="74"/>
        <v>859.31072500100368</v>
      </c>
      <c r="AR106" s="1032">
        <f t="shared" si="74"/>
        <v>881.92416513260912</v>
      </c>
      <c r="AS106" s="1032">
        <f t="shared" si="74"/>
        <v>904.53760526421445</v>
      </c>
      <c r="AT106" s="1032">
        <f t="shared" si="74"/>
        <v>927.15104539581978</v>
      </c>
      <c r="AU106" s="1032">
        <f t="shared" si="74"/>
        <v>949.76448552742522</v>
      </c>
      <c r="AV106" s="1032">
        <f t="shared" si="74"/>
        <v>972.37792565903044</v>
      </c>
      <c r="AW106" s="1032">
        <f t="shared" si="74"/>
        <v>994.991365790636</v>
      </c>
      <c r="AX106" s="1032">
        <f t="shared" si="74"/>
        <v>1017.6048059222412</v>
      </c>
      <c r="AY106" s="1032">
        <f t="shared" si="74"/>
        <v>1040.2182460538465</v>
      </c>
      <c r="AZ106" s="1032">
        <f t="shared" si="74"/>
        <v>1062.8316861854521</v>
      </c>
      <c r="BA106" s="1032">
        <f t="shared" si="74"/>
        <v>1085.4451263170572</v>
      </c>
      <c r="BB106" s="1032">
        <f t="shared" si="74"/>
        <v>1108.0585664486628</v>
      </c>
      <c r="BC106" s="1032">
        <f t="shared" si="74"/>
        <v>1130.6720065802681</v>
      </c>
      <c r="BD106" s="1032">
        <f t="shared" si="74"/>
        <v>1153.2854467118734</v>
      </c>
      <c r="BE106" s="1032">
        <f t="shared" si="74"/>
        <v>1175.8988868434787</v>
      </c>
      <c r="BF106" s="1032">
        <f t="shared" si="74"/>
        <v>1198.5123269750841</v>
      </c>
    </row>
    <row r="107" spans="1:58">
      <c r="A107" s="2477"/>
      <c r="B107" s="2604" t="s">
        <v>232</v>
      </c>
      <c r="C107" s="2605"/>
      <c r="D107" s="399" t="s">
        <v>194</v>
      </c>
      <c r="E107" s="444">
        <v>80</v>
      </c>
      <c r="F107" s="444">
        <v>300</v>
      </c>
      <c r="G107" s="400" t="s">
        <v>195</v>
      </c>
      <c r="H107" s="1032">
        <f t="shared" ref="H107:AM107" si="75">((H$71-$H$4)/1000)*$N$25*(($C$8/70)^$Z$25)</f>
        <v>72.66623724095308</v>
      </c>
      <c r="I107" s="1032">
        <f t="shared" si="75"/>
        <v>96.888316321270793</v>
      </c>
      <c r="J107" s="1032">
        <f t="shared" si="75"/>
        <v>121.11039540158848</v>
      </c>
      <c r="K107" s="1032">
        <f t="shared" si="75"/>
        <v>145.33247448190616</v>
      </c>
      <c r="L107" s="1032">
        <f t="shared" si="75"/>
        <v>169.55455356222384</v>
      </c>
      <c r="M107" s="1032">
        <f t="shared" si="75"/>
        <v>193.77663264254159</v>
      </c>
      <c r="N107" s="1032">
        <f t="shared" si="75"/>
        <v>217.99871172285927</v>
      </c>
      <c r="O107" s="1032">
        <f t="shared" si="75"/>
        <v>242.22079080317695</v>
      </c>
      <c r="P107" s="1032">
        <f t="shared" si="75"/>
        <v>266.44286988349467</v>
      </c>
      <c r="Q107" s="1032">
        <f t="shared" si="75"/>
        <v>290.66494896381232</v>
      </c>
      <c r="R107" s="1032">
        <f t="shared" si="75"/>
        <v>314.88702804413003</v>
      </c>
      <c r="S107" s="1032">
        <f t="shared" si="75"/>
        <v>339.10910712444769</v>
      </c>
      <c r="T107" s="1032">
        <f t="shared" si="75"/>
        <v>363.33118620476546</v>
      </c>
      <c r="U107" s="1032">
        <f t="shared" si="75"/>
        <v>387.55326528508317</v>
      </c>
      <c r="V107" s="1032">
        <f t="shared" si="75"/>
        <v>411.77534436540083</v>
      </c>
      <c r="W107" s="1032">
        <f t="shared" si="75"/>
        <v>435.99742344571854</v>
      </c>
      <c r="X107" s="1032">
        <f t="shared" si="75"/>
        <v>460.21950252603619</v>
      </c>
      <c r="Y107" s="1032">
        <f t="shared" si="75"/>
        <v>484.44158160635391</v>
      </c>
      <c r="Z107" s="1032">
        <f t="shared" si="75"/>
        <v>508.66366068667162</v>
      </c>
      <c r="AA107" s="1032">
        <f t="shared" si="75"/>
        <v>532.88573976698933</v>
      </c>
      <c r="AB107" s="1032">
        <f t="shared" si="75"/>
        <v>557.10781884730693</v>
      </c>
      <c r="AC107" s="1032">
        <f t="shared" si="75"/>
        <v>581.32989792762464</v>
      </c>
      <c r="AD107" s="1032">
        <f t="shared" si="75"/>
        <v>605.55197700794236</v>
      </c>
      <c r="AE107" s="1032">
        <f t="shared" si="75"/>
        <v>629.77405608826007</v>
      </c>
      <c r="AF107" s="1032">
        <f t="shared" si="75"/>
        <v>653.99613516857778</v>
      </c>
      <c r="AG107" s="1032">
        <f t="shared" si="75"/>
        <v>678.21821424889538</v>
      </c>
      <c r="AH107" s="1032">
        <f t="shared" si="75"/>
        <v>702.44029332921309</v>
      </c>
      <c r="AI107" s="1032">
        <f t="shared" si="75"/>
        <v>726.66237240953092</v>
      </c>
      <c r="AJ107" s="1032">
        <f t="shared" si="75"/>
        <v>750.88445148984863</v>
      </c>
      <c r="AK107" s="1032">
        <f t="shared" si="75"/>
        <v>775.10653057016634</v>
      </c>
      <c r="AL107" s="1032">
        <f t="shared" si="75"/>
        <v>799.32860965048394</v>
      </c>
      <c r="AM107" s="1032">
        <f t="shared" si="75"/>
        <v>823.55068873080165</v>
      </c>
      <c r="AN107" s="1032">
        <f t="shared" ref="AN107:BF107" si="76">((AN$71-$H$4)/1000)*$N$25*(($C$8/70)^$Z$25)</f>
        <v>847.77276781111937</v>
      </c>
      <c r="AO107" s="1032">
        <f t="shared" si="76"/>
        <v>871.99484689143708</v>
      </c>
      <c r="AP107" s="1032">
        <f t="shared" si="76"/>
        <v>896.21692597175479</v>
      </c>
      <c r="AQ107" s="1032">
        <f t="shared" si="76"/>
        <v>920.43900505207239</v>
      </c>
      <c r="AR107" s="1032">
        <f t="shared" si="76"/>
        <v>944.6610841323901</v>
      </c>
      <c r="AS107" s="1032">
        <f t="shared" si="76"/>
        <v>968.88316321270781</v>
      </c>
      <c r="AT107" s="1032">
        <f t="shared" si="76"/>
        <v>993.10524229302541</v>
      </c>
      <c r="AU107" s="1032">
        <f t="shared" si="76"/>
        <v>1017.3273213733432</v>
      </c>
      <c r="AV107" s="1032">
        <f t="shared" si="76"/>
        <v>1041.5494004536608</v>
      </c>
      <c r="AW107" s="1032">
        <f t="shared" si="76"/>
        <v>1065.7714795339787</v>
      </c>
      <c r="AX107" s="1032">
        <f t="shared" si="76"/>
        <v>1089.9935586142963</v>
      </c>
      <c r="AY107" s="1032">
        <f t="shared" si="76"/>
        <v>1114.2156376946139</v>
      </c>
      <c r="AZ107" s="1032">
        <f t="shared" si="76"/>
        <v>1138.4377167749317</v>
      </c>
      <c r="BA107" s="1032">
        <f t="shared" si="76"/>
        <v>1162.6597958552493</v>
      </c>
      <c r="BB107" s="1032">
        <f t="shared" si="76"/>
        <v>1186.8818749355671</v>
      </c>
      <c r="BC107" s="1032">
        <f t="shared" si="76"/>
        <v>1211.1039540158847</v>
      </c>
      <c r="BD107" s="1032">
        <f t="shared" si="76"/>
        <v>1235.3260330962023</v>
      </c>
      <c r="BE107" s="1032">
        <f t="shared" si="76"/>
        <v>1259.5481121765201</v>
      </c>
      <c r="BF107" s="1032">
        <f t="shared" si="76"/>
        <v>1283.7701912568377</v>
      </c>
    </row>
    <row r="108" spans="1:58">
      <c r="A108" s="2477"/>
      <c r="B108" s="2604" t="s">
        <v>233</v>
      </c>
      <c r="C108" s="2605"/>
      <c r="D108" s="399" t="s">
        <v>194</v>
      </c>
      <c r="E108" s="444">
        <v>80</v>
      </c>
      <c r="F108" s="444">
        <v>300</v>
      </c>
      <c r="G108" s="400" t="s">
        <v>200</v>
      </c>
      <c r="H108" s="1032">
        <f t="shared" ref="H108:AM108" si="77">((H$71-$H$4)/1000)*$O$25*(($C$8/70)^$AA$25)</f>
        <v>92.429080425359984</v>
      </c>
      <c r="I108" s="1032">
        <f t="shared" si="77"/>
        <v>123.23877390048</v>
      </c>
      <c r="J108" s="1032">
        <f t="shared" si="77"/>
        <v>154.04846737559998</v>
      </c>
      <c r="K108" s="1032">
        <f t="shared" si="77"/>
        <v>184.85816085071997</v>
      </c>
      <c r="L108" s="1032">
        <f t="shared" si="77"/>
        <v>215.66785432583995</v>
      </c>
      <c r="M108" s="1032">
        <f t="shared" si="77"/>
        <v>246.47754780096</v>
      </c>
      <c r="N108" s="1032">
        <f t="shared" si="77"/>
        <v>277.28724127607995</v>
      </c>
      <c r="O108" s="1032">
        <f t="shared" si="77"/>
        <v>308.09693475119997</v>
      </c>
      <c r="P108" s="1032">
        <f t="shared" si="77"/>
        <v>338.90662822631998</v>
      </c>
      <c r="Q108" s="1032">
        <f t="shared" si="77"/>
        <v>369.71632170143994</v>
      </c>
      <c r="R108" s="1032">
        <f t="shared" si="77"/>
        <v>400.52601517655995</v>
      </c>
      <c r="S108" s="1032">
        <f t="shared" si="77"/>
        <v>431.33570865167991</v>
      </c>
      <c r="T108" s="1032">
        <f t="shared" si="77"/>
        <v>462.14540212679992</v>
      </c>
      <c r="U108" s="1032">
        <f t="shared" si="77"/>
        <v>492.95509560191999</v>
      </c>
      <c r="V108" s="1032">
        <f t="shared" si="77"/>
        <v>523.76478907703995</v>
      </c>
      <c r="W108" s="1032">
        <f t="shared" si="77"/>
        <v>554.57448255215991</v>
      </c>
      <c r="X108" s="1032">
        <f t="shared" si="77"/>
        <v>585.38417602727986</v>
      </c>
      <c r="Y108" s="1032">
        <f t="shared" si="77"/>
        <v>616.19386950239993</v>
      </c>
      <c r="Z108" s="1032">
        <f t="shared" si="77"/>
        <v>647.00356297752001</v>
      </c>
      <c r="AA108" s="1032">
        <f t="shared" si="77"/>
        <v>677.81325645263996</v>
      </c>
      <c r="AB108" s="1032">
        <f t="shared" si="77"/>
        <v>708.62294992775992</v>
      </c>
      <c r="AC108" s="1032">
        <f t="shared" si="77"/>
        <v>739.43264340287988</v>
      </c>
      <c r="AD108" s="1032">
        <f t="shared" si="77"/>
        <v>770.24233687799995</v>
      </c>
      <c r="AE108" s="1032">
        <f t="shared" si="77"/>
        <v>801.0520303531199</v>
      </c>
      <c r="AF108" s="1032">
        <f t="shared" si="77"/>
        <v>831.86172382823997</v>
      </c>
      <c r="AG108" s="1032">
        <f t="shared" si="77"/>
        <v>862.67141730335982</v>
      </c>
      <c r="AH108" s="1032">
        <f t="shared" si="77"/>
        <v>893.48111077847989</v>
      </c>
      <c r="AI108" s="1032">
        <f t="shared" si="77"/>
        <v>924.29080425359984</v>
      </c>
      <c r="AJ108" s="1032">
        <f t="shared" si="77"/>
        <v>955.10049772871992</v>
      </c>
      <c r="AK108" s="1032">
        <f t="shared" si="77"/>
        <v>985.91019120383999</v>
      </c>
      <c r="AL108" s="1032">
        <f t="shared" si="77"/>
        <v>1016.7198846789598</v>
      </c>
      <c r="AM108" s="1032">
        <f t="shared" si="77"/>
        <v>1047.5295781540799</v>
      </c>
      <c r="AN108" s="1032">
        <f t="shared" ref="AN108:BF108" si="78">((AN$71-$H$4)/1000)*$O$25*(($C$8/70)^$AA$25)</f>
        <v>1078.3392716291999</v>
      </c>
      <c r="AO108" s="1032">
        <f t="shared" si="78"/>
        <v>1109.1489651043198</v>
      </c>
      <c r="AP108" s="1032">
        <f t="shared" si="78"/>
        <v>1139.95865857944</v>
      </c>
      <c r="AQ108" s="1032">
        <f t="shared" si="78"/>
        <v>1170.7683520545597</v>
      </c>
      <c r="AR108" s="1032">
        <f t="shared" si="78"/>
        <v>1201.5780455296799</v>
      </c>
      <c r="AS108" s="1032">
        <f t="shared" si="78"/>
        <v>1232.3877390047999</v>
      </c>
      <c r="AT108" s="1032">
        <f t="shared" si="78"/>
        <v>1263.1974324799198</v>
      </c>
      <c r="AU108" s="1032">
        <f t="shared" si="78"/>
        <v>1294.00712595504</v>
      </c>
      <c r="AV108" s="1032">
        <f t="shared" si="78"/>
        <v>1324.8168194301597</v>
      </c>
      <c r="AW108" s="1032">
        <f t="shared" si="78"/>
        <v>1355.6265129052799</v>
      </c>
      <c r="AX108" s="1032">
        <f t="shared" si="78"/>
        <v>1386.4362063803999</v>
      </c>
      <c r="AY108" s="1032">
        <f t="shared" si="78"/>
        <v>1417.2458998555198</v>
      </c>
      <c r="AZ108" s="1032">
        <f t="shared" si="78"/>
        <v>1448.0555933306398</v>
      </c>
      <c r="BA108" s="1032">
        <f t="shared" si="78"/>
        <v>1478.8652868057598</v>
      </c>
      <c r="BB108" s="1032">
        <f t="shared" si="78"/>
        <v>1509.6749802808799</v>
      </c>
      <c r="BC108" s="1032">
        <f t="shared" si="78"/>
        <v>1540.4846737559999</v>
      </c>
      <c r="BD108" s="1032">
        <f t="shared" si="78"/>
        <v>1571.2943672311196</v>
      </c>
      <c r="BE108" s="1032">
        <f t="shared" si="78"/>
        <v>1602.1040607062398</v>
      </c>
      <c r="BF108" s="1032">
        <f t="shared" si="78"/>
        <v>1632.9137541813598</v>
      </c>
    </row>
    <row r="109" spans="1:58">
      <c r="A109" s="2477"/>
      <c r="B109" s="2604" t="s">
        <v>234</v>
      </c>
      <c r="C109" s="2605"/>
      <c r="D109" s="399" t="s">
        <v>194</v>
      </c>
      <c r="E109" s="444">
        <v>80</v>
      </c>
      <c r="F109" s="444">
        <v>360</v>
      </c>
      <c r="G109" s="400" t="s">
        <v>200</v>
      </c>
      <c r="H109" s="1032">
        <f t="shared" ref="H109:AM109" si="79">((H$71-$H$4)/1000)*$Q$25*(($C$8/70)^$AC$25)</f>
        <v>100.40267084486759</v>
      </c>
      <c r="I109" s="1032">
        <f t="shared" si="79"/>
        <v>133.87022779315677</v>
      </c>
      <c r="J109" s="1032">
        <f t="shared" si="79"/>
        <v>167.33778474144597</v>
      </c>
      <c r="K109" s="1032">
        <f t="shared" si="79"/>
        <v>200.80534168973517</v>
      </c>
      <c r="L109" s="1032">
        <f t="shared" si="79"/>
        <v>234.27289863802434</v>
      </c>
      <c r="M109" s="1032">
        <f t="shared" si="79"/>
        <v>267.74045558631354</v>
      </c>
      <c r="N109" s="1032">
        <f t="shared" si="79"/>
        <v>301.20801253460274</v>
      </c>
      <c r="O109" s="1032">
        <f t="shared" si="79"/>
        <v>334.67556948289194</v>
      </c>
      <c r="P109" s="1032">
        <f t="shared" si="79"/>
        <v>368.14312643118114</v>
      </c>
      <c r="Q109" s="1032">
        <f t="shared" si="79"/>
        <v>401.61068337947034</v>
      </c>
      <c r="R109" s="1032">
        <f t="shared" si="79"/>
        <v>435.07824032775954</v>
      </c>
      <c r="S109" s="1032">
        <f t="shared" si="79"/>
        <v>468.54579727604869</v>
      </c>
      <c r="T109" s="1032">
        <f t="shared" si="79"/>
        <v>502.01335422433795</v>
      </c>
      <c r="U109" s="1032">
        <f t="shared" si="79"/>
        <v>535.48091117262709</v>
      </c>
      <c r="V109" s="1032">
        <f t="shared" si="79"/>
        <v>568.94846812091635</v>
      </c>
      <c r="W109" s="1032">
        <f t="shared" si="79"/>
        <v>602.41602506920549</v>
      </c>
      <c r="X109" s="1032">
        <f t="shared" si="79"/>
        <v>635.88358201749463</v>
      </c>
      <c r="Y109" s="1032">
        <f t="shared" si="79"/>
        <v>669.35113896578389</v>
      </c>
      <c r="Z109" s="1032">
        <f t="shared" si="79"/>
        <v>702.81869591407315</v>
      </c>
      <c r="AA109" s="1032">
        <f t="shared" si="79"/>
        <v>736.28625286236229</v>
      </c>
      <c r="AB109" s="1032">
        <f t="shared" si="79"/>
        <v>769.75380981065143</v>
      </c>
      <c r="AC109" s="1032">
        <f t="shared" si="79"/>
        <v>803.22136675894069</v>
      </c>
      <c r="AD109" s="1032">
        <f t="shared" si="79"/>
        <v>836.68892370722983</v>
      </c>
      <c r="AE109" s="1032">
        <f t="shared" si="79"/>
        <v>870.15648065551909</v>
      </c>
      <c r="AF109" s="1032">
        <f t="shared" si="79"/>
        <v>903.62403760380835</v>
      </c>
      <c r="AG109" s="1032">
        <f t="shared" si="79"/>
        <v>937.09159455209738</v>
      </c>
      <c r="AH109" s="1032">
        <f t="shared" si="79"/>
        <v>970.55915150038663</v>
      </c>
      <c r="AI109" s="1032">
        <f t="shared" si="79"/>
        <v>1004.0267084486759</v>
      </c>
      <c r="AJ109" s="1032">
        <f t="shared" si="79"/>
        <v>1037.4942653969651</v>
      </c>
      <c r="AK109" s="1032">
        <f t="shared" si="79"/>
        <v>1070.9618223452542</v>
      </c>
      <c r="AL109" s="1032">
        <f t="shared" si="79"/>
        <v>1104.4293792935434</v>
      </c>
      <c r="AM109" s="1032">
        <f t="shared" si="79"/>
        <v>1137.8969362418327</v>
      </c>
      <c r="AN109" s="1032">
        <f t="shared" ref="AN109:BF109" si="80">((AN$71-$H$4)/1000)*$Q$25*(($C$8/70)^$AC$25)</f>
        <v>1171.3644931901217</v>
      </c>
      <c r="AO109" s="1032">
        <f t="shared" si="80"/>
        <v>1204.832050138411</v>
      </c>
      <c r="AP109" s="1032">
        <f t="shared" si="80"/>
        <v>1238.2996070867002</v>
      </c>
      <c r="AQ109" s="1032">
        <f t="shared" si="80"/>
        <v>1271.7671640349893</v>
      </c>
      <c r="AR109" s="1032">
        <f t="shared" si="80"/>
        <v>1305.2347209832785</v>
      </c>
      <c r="AS109" s="1032">
        <f t="shared" si="80"/>
        <v>1338.7022779315678</v>
      </c>
      <c r="AT109" s="1032">
        <f t="shared" si="80"/>
        <v>1372.1698348798568</v>
      </c>
      <c r="AU109" s="1032">
        <f t="shared" si="80"/>
        <v>1405.6373918281463</v>
      </c>
      <c r="AV109" s="1032">
        <f t="shared" si="80"/>
        <v>1439.1049487764353</v>
      </c>
      <c r="AW109" s="1032">
        <f t="shared" si="80"/>
        <v>1472.5725057247246</v>
      </c>
      <c r="AX109" s="1032">
        <f t="shared" si="80"/>
        <v>1506.0400626730138</v>
      </c>
      <c r="AY109" s="1032">
        <f t="shared" si="80"/>
        <v>1539.5076196213029</v>
      </c>
      <c r="AZ109" s="1032">
        <f t="shared" si="80"/>
        <v>1572.9751765695921</v>
      </c>
      <c r="BA109" s="1032">
        <f t="shared" si="80"/>
        <v>1606.4427335178814</v>
      </c>
      <c r="BB109" s="1032">
        <f t="shared" si="80"/>
        <v>1639.9102904661706</v>
      </c>
      <c r="BC109" s="1032">
        <f t="shared" si="80"/>
        <v>1673.3778474144597</v>
      </c>
      <c r="BD109" s="1032">
        <f t="shared" si="80"/>
        <v>1706.8454043627487</v>
      </c>
      <c r="BE109" s="1032">
        <f t="shared" si="80"/>
        <v>1740.3129613110382</v>
      </c>
      <c r="BF109" s="1032">
        <f t="shared" si="80"/>
        <v>1773.7805182593272</v>
      </c>
    </row>
    <row r="110" spans="1:58">
      <c r="A110" s="2477"/>
      <c r="B110" s="2604" t="s">
        <v>235</v>
      </c>
      <c r="C110" s="2605"/>
      <c r="D110" s="399" t="s">
        <v>194</v>
      </c>
      <c r="E110" s="444">
        <v>80</v>
      </c>
      <c r="F110" s="444">
        <v>400</v>
      </c>
      <c r="G110" s="400" t="s">
        <v>200</v>
      </c>
      <c r="H110" s="1032">
        <f t="shared" ref="H110:AM110" si="81">((H$71-$H$4)/1000)*$R$25*(($C$8/70)^$AD$25)</f>
        <v>104.98917276850948</v>
      </c>
      <c r="I110" s="1032">
        <f t="shared" si="81"/>
        <v>139.98556369134596</v>
      </c>
      <c r="J110" s="1032">
        <f t="shared" si="81"/>
        <v>174.98195461418246</v>
      </c>
      <c r="K110" s="1032">
        <f t="shared" si="81"/>
        <v>209.97834553701895</v>
      </c>
      <c r="L110" s="1032">
        <f t="shared" si="81"/>
        <v>244.97473645985542</v>
      </c>
      <c r="M110" s="1032">
        <f t="shared" si="81"/>
        <v>279.97112738269192</v>
      </c>
      <c r="N110" s="1032">
        <f t="shared" si="81"/>
        <v>314.96751830552842</v>
      </c>
      <c r="O110" s="1032">
        <f t="shared" si="81"/>
        <v>349.96390922836491</v>
      </c>
      <c r="P110" s="1032">
        <f t="shared" si="81"/>
        <v>384.96030015120141</v>
      </c>
      <c r="Q110" s="1032">
        <f t="shared" si="81"/>
        <v>419.95669107403791</v>
      </c>
      <c r="R110" s="1032">
        <f t="shared" si="81"/>
        <v>454.9530819968744</v>
      </c>
      <c r="S110" s="1032">
        <f t="shared" si="81"/>
        <v>489.94947291971084</v>
      </c>
      <c r="T110" s="1032">
        <f t="shared" si="81"/>
        <v>524.9458638425474</v>
      </c>
      <c r="U110" s="1032">
        <f t="shared" si="81"/>
        <v>559.94225476538384</v>
      </c>
      <c r="V110" s="1032">
        <f t="shared" si="81"/>
        <v>594.93864568822039</v>
      </c>
      <c r="W110" s="1032">
        <f t="shared" si="81"/>
        <v>629.93503661105683</v>
      </c>
      <c r="X110" s="1032">
        <f t="shared" si="81"/>
        <v>664.93142753389327</v>
      </c>
      <c r="Y110" s="1032">
        <f t="shared" si="81"/>
        <v>699.92781845672982</v>
      </c>
      <c r="Z110" s="1032">
        <f t="shared" si="81"/>
        <v>734.92420937956638</v>
      </c>
      <c r="AA110" s="1032">
        <f t="shared" si="81"/>
        <v>769.92060030240282</v>
      </c>
      <c r="AB110" s="1032">
        <f t="shared" si="81"/>
        <v>804.91699122523926</v>
      </c>
      <c r="AC110" s="1032">
        <f t="shared" si="81"/>
        <v>839.91338214807581</v>
      </c>
      <c r="AD110" s="1032">
        <f t="shared" si="81"/>
        <v>874.90977307091225</v>
      </c>
      <c r="AE110" s="1032">
        <f t="shared" si="81"/>
        <v>909.90616399374881</v>
      </c>
      <c r="AF110" s="1032">
        <f t="shared" si="81"/>
        <v>944.90255491658536</v>
      </c>
      <c r="AG110" s="1032">
        <f t="shared" si="81"/>
        <v>979.89894583942169</v>
      </c>
      <c r="AH110" s="1032">
        <f t="shared" si="81"/>
        <v>1014.8953367622582</v>
      </c>
      <c r="AI110" s="1032">
        <f t="shared" si="81"/>
        <v>1049.8917276850948</v>
      </c>
      <c r="AJ110" s="1032">
        <f t="shared" si="81"/>
        <v>1084.8881186079313</v>
      </c>
      <c r="AK110" s="1032">
        <f t="shared" si="81"/>
        <v>1119.8845095307677</v>
      </c>
      <c r="AL110" s="1032">
        <f t="shared" si="81"/>
        <v>1154.8809004536042</v>
      </c>
      <c r="AM110" s="1032">
        <f t="shared" si="81"/>
        <v>1189.8772913764408</v>
      </c>
      <c r="AN110" s="1032">
        <f t="shared" ref="AN110:BF110" si="82">((AN$71-$H$4)/1000)*$R$25*(($C$8/70)^$AD$25)</f>
        <v>1224.8736822992771</v>
      </c>
      <c r="AO110" s="1032">
        <f t="shared" si="82"/>
        <v>1259.8700732221137</v>
      </c>
      <c r="AP110" s="1032">
        <f t="shared" si="82"/>
        <v>1294.8664641449502</v>
      </c>
      <c r="AQ110" s="1032">
        <f t="shared" si="82"/>
        <v>1329.8628550677865</v>
      </c>
      <c r="AR110" s="1032">
        <f t="shared" si="82"/>
        <v>1364.8592459906231</v>
      </c>
      <c r="AS110" s="1032">
        <f t="shared" si="82"/>
        <v>1399.8556369134596</v>
      </c>
      <c r="AT110" s="1032">
        <f t="shared" si="82"/>
        <v>1434.852027836296</v>
      </c>
      <c r="AU110" s="1032">
        <f t="shared" si="82"/>
        <v>1469.8484187591328</v>
      </c>
      <c r="AV110" s="1032">
        <f t="shared" si="82"/>
        <v>1504.8448096819691</v>
      </c>
      <c r="AW110" s="1032">
        <f t="shared" si="82"/>
        <v>1539.8412006048056</v>
      </c>
      <c r="AX110" s="1032">
        <f t="shared" si="82"/>
        <v>1574.8375915276422</v>
      </c>
      <c r="AY110" s="1032">
        <f t="shared" si="82"/>
        <v>1609.8339824504785</v>
      </c>
      <c r="AZ110" s="1032">
        <f t="shared" si="82"/>
        <v>1644.8303733733151</v>
      </c>
      <c r="BA110" s="1032">
        <f t="shared" si="82"/>
        <v>1679.8267642961516</v>
      </c>
      <c r="BB110" s="1032">
        <f t="shared" si="82"/>
        <v>1714.8231552189882</v>
      </c>
      <c r="BC110" s="1032">
        <f t="shared" si="82"/>
        <v>1749.8195461418245</v>
      </c>
      <c r="BD110" s="1032">
        <f t="shared" si="82"/>
        <v>1784.8159370646608</v>
      </c>
      <c r="BE110" s="1032">
        <f t="shared" si="82"/>
        <v>1819.8123279874976</v>
      </c>
      <c r="BF110" s="1032">
        <f t="shared" si="82"/>
        <v>1854.8087189103339</v>
      </c>
    </row>
    <row r="111" spans="1:58" ht="15.75" thickBot="1">
      <c r="A111" s="2477"/>
      <c r="B111" s="2606" t="s">
        <v>236</v>
      </c>
      <c r="C111" s="2607"/>
      <c r="D111" s="401" t="s">
        <v>194</v>
      </c>
      <c r="E111" s="445">
        <v>80</v>
      </c>
      <c r="F111" s="445">
        <v>400</v>
      </c>
      <c r="G111" s="402" t="s">
        <v>220</v>
      </c>
      <c r="H111" s="1033">
        <f t="shared" ref="H111:AM111" si="83">((H$71-$H$4)/1000)*$S$25*(($C$8/70)^$AE$25)</f>
        <v>120.12721418649599</v>
      </c>
      <c r="I111" s="1033">
        <f t="shared" si="83"/>
        <v>160.16961891532799</v>
      </c>
      <c r="J111" s="1033">
        <f t="shared" si="83"/>
        <v>200.21202364415998</v>
      </c>
      <c r="K111" s="1033">
        <f t="shared" si="83"/>
        <v>240.25442837299198</v>
      </c>
      <c r="L111" s="1033">
        <f t="shared" si="83"/>
        <v>280.29683310182395</v>
      </c>
      <c r="M111" s="1033">
        <f t="shared" si="83"/>
        <v>320.33923783065597</v>
      </c>
      <c r="N111" s="1033">
        <f t="shared" si="83"/>
        <v>360.381642559488</v>
      </c>
      <c r="O111" s="1033">
        <f t="shared" si="83"/>
        <v>400.42404728831997</v>
      </c>
      <c r="P111" s="1033">
        <f t="shared" si="83"/>
        <v>440.46645201715199</v>
      </c>
      <c r="Q111" s="1033">
        <f t="shared" si="83"/>
        <v>480.50885674598396</v>
      </c>
      <c r="R111" s="1033">
        <f t="shared" si="83"/>
        <v>520.55126147481599</v>
      </c>
      <c r="S111" s="1033">
        <f t="shared" si="83"/>
        <v>560.5936662036479</v>
      </c>
      <c r="T111" s="1033">
        <f t="shared" si="83"/>
        <v>600.63607093247992</v>
      </c>
      <c r="U111" s="1033">
        <f t="shared" si="83"/>
        <v>640.67847566131195</v>
      </c>
      <c r="V111" s="1033">
        <f t="shared" si="83"/>
        <v>680.72088039014398</v>
      </c>
      <c r="W111" s="1033">
        <f t="shared" si="83"/>
        <v>720.763285118976</v>
      </c>
      <c r="X111" s="1033">
        <f t="shared" si="83"/>
        <v>760.80568984780791</v>
      </c>
      <c r="Y111" s="1033">
        <f t="shared" si="83"/>
        <v>800.84809457663994</v>
      </c>
      <c r="Z111" s="1033">
        <f t="shared" si="83"/>
        <v>840.89049930547196</v>
      </c>
      <c r="AA111" s="1033">
        <f t="shared" si="83"/>
        <v>880.93290403430399</v>
      </c>
      <c r="AB111" s="1033">
        <f t="shared" si="83"/>
        <v>920.9753087631359</v>
      </c>
      <c r="AC111" s="1033">
        <f t="shared" si="83"/>
        <v>961.01771349196792</v>
      </c>
      <c r="AD111" s="1033">
        <f t="shared" si="83"/>
        <v>1001.0601182207999</v>
      </c>
      <c r="AE111" s="1033">
        <f t="shared" si="83"/>
        <v>1041.102522949632</v>
      </c>
      <c r="AF111" s="1033">
        <f t="shared" si="83"/>
        <v>1081.144927678464</v>
      </c>
      <c r="AG111" s="1033">
        <f t="shared" si="83"/>
        <v>1121.1873324072958</v>
      </c>
      <c r="AH111" s="1033">
        <f t="shared" si="83"/>
        <v>1161.2297371361278</v>
      </c>
      <c r="AI111" s="1033">
        <f t="shared" si="83"/>
        <v>1201.2721418649598</v>
      </c>
      <c r="AJ111" s="1033">
        <f t="shared" si="83"/>
        <v>1241.3145465937919</v>
      </c>
      <c r="AK111" s="1033">
        <f t="shared" si="83"/>
        <v>1281.3569513226239</v>
      </c>
      <c r="AL111" s="1033">
        <f t="shared" si="83"/>
        <v>1321.3993560514559</v>
      </c>
      <c r="AM111" s="1033">
        <f t="shared" si="83"/>
        <v>1361.441760780288</v>
      </c>
      <c r="AN111" s="1033">
        <f t="shared" ref="AN111:BF111" si="84">((AN$71-$H$4)/1000)*$S$25*(($C$8/70)^$AE$25)</f>
        <v>1401.48416550912</v>
      </c>
      <c r="AO111" s="1033">
        <f t="shared" si="84"/>
        <v>1441.526570237952</v>
      </c>
      <c r="AP111" s="1033">
        <f t="shared" si="84"/>
        <v>1481.568974966784</v>
      </c>
      <c r="AQ111" s="1033">
        <f t="shared" si="84"/>
        <v>1521.6113796956158</v>
      </c>
      <c r="AR111" s="1033">
        <f t="shared" si="84"/>
        <v>1561.6537844244478</v>
      </c>
      <c r="AS111" s="1033">
        <f t="shared" si="84"/>
        <v>1601.6961891532799</v>
      </c>
      <c r="AT111" s="1033">
        <f t="shared" si="84"/>
        <v>1641.7385938821117</v>
      </c>
      <c r="AU111" s="1033">
        <f t="shared" si="84"/>
        <v>1681.7809986109439</v>
      </c>
      <c r="AV111" s="1033">
        <f t="shared" si="84"/>
        <v>1721.8234033397757</v>
      </c>
      <c r="AW111" s="1033">
        <f t="shared" si="84"/>
        <v>1761.865808068608</v>
      </c>
      <c r="AX111" s="1033">
        <f t="shared" si="84"/>
        <v>1801.9082127974398</v>
      </c>
      <c r="AY111" s="1033">
        <f t="shared" si="84"/>
        <v>1841.9506175262718</v>
      </c>
      <c r="AZ111" s="1033">
        <f t="shared" si="84"/>
        <v>1881.9930222551038</v>
      </c>
      <c r="BA111" s="1033">
        <f t="shared" si="84"/>
        <v>1922.0354269839358</v>
      </c>
      <c r="BB111" s="1033">
        <f t="shared" si="84"/>
        <v>1962.0778317127681</v>
      </c>
      <c r="BC111" s="1033">
        <f t="shared" si="84"/>
        <v>2002.1202364415999</v>
      </c>
      <c r="BD111" s="1033">
        <f t="shared" si="84"/>
        <v>2042.1626411704317</v>
      </c>
      <c r="BE111" s="1033">
        <f t="shared" si="84"/>
        <v>2082.205045899264</v>
      </c>
      <c r="BF111" s="1033">
        <f t="shared" si="84"/>
        <v>2122.247450628096</v>
      </c>
    </row>
    <row r="112" spans="1:58">
      <c r="A112" s="2477"/>
      <c r="B112" s="2608" t="s">
        <v>237</v>
      </c>
      <c r="C112" s="2609"/>
      <c r="D112" s="403" t="s">
        <v>194</v>
      </c>
      <c r="E112" s="446">
        <v>90</v>
      </c>
      <c r="F112" s="446">
        <v>160</v>
      </c>
      <c r="G112" s="403" t="s">
        <v>195</v>
      </c>
      <c r="H112" s="1034">
        <f t="shared" ref="H112:AM112" si="85">((H$71-$H$4)/1000)*$K$26*(($C$8/70)^$W$26)</f>
        <v>53.667000000000002</v>
      </c>
      <c r="I112" s="1035">
        <f t="shared" si="85"/>
        <v>71.556000000000012</v>
      </c>
      <c r="J112" s="1035">
        <f t="shared" si="85"/>
        <v>89.445000000000007</v>
      </c>
      <c r="K112" s="1035">
        <f t="shared" si="85"/>
        <v>107.334</v>
      </c>
      <c r="L112" s="1035">
        <f t="shared" si="85"/>
        <v>125.223</v>
      </c>
      <c r="M112" s="1035">
        <f t="shared" si="85"/>
        <v>143.11200000000002</v>
      </c>
      <c r="N112" s="1035">
        <f t="shared" si="85"/>
        <v>161.001</v>
      </c>
      <c r="O112" s="1035">
        <f t="shared" si="85"/>
        <v>178.89000000000001</v>
      </c>
      <c r="P112" s="1035">
        <f t="shared" si="85"/>
        <v>196.77900000000002</v>
      </c>
      <c r="Q112" s="1035">
        <f t="shared" si="85"/>
        <v>214.66800000000001</v>
      </c>
      <c r="R112" s="1035">
        <f t="shared" si="85"/>
        <v>232.55700000000002</v>
      </c>
      <c r="S112" s="1035">
        <f t="shared" si="85"/>
        <v>250.446</v>
      </c>
      <c r="T112" s="1035">
        <f t="shared" si="85"/>
        <v>268.33500000000004</v>
      </c>
      <c r="U112" s="1035">
        <f t="shared" si="85"/>
        <v>286.22400000000005</v>
      </c>
      <c r="V112" s="1035">
        <f t="shared" si="85"/>
        <v>304.113</v>
      </c>
      <c r="W112" s="1035">
        <f t="shared" si="85"/>
        <v>322.00200000000001</v>
      </c>
      <c r="X112" s="1035">
        <f t="shared" si="85"/>
        <v>339.89100000000002</v>
      </c>
      <c r="Y112" s="1035">
        <f t="shared" si="85"/>
        <v>357.78000000000003</v>
      </c>
      <c r="Z112" s="1035">
        <f t="shared" si="85"/>
        <v>375.66900000000004</v>
      </c>
      <c r="AA112" s="1035">
        <f t="shared" si="85"/>
        <v>393.55800000000005</v>
      </c>
      <c r="AB112" s="1035">
        <f t="shared" si="85"/>
        <v>411.447</v>
      </c>
      <c r="AC112" s="1035">
        <f t="shared" si="85"/>
        <v>429.33600000000001</v>
      </c>
      <c r="AD112" s="1035">
        <f t="shared" si="85"/>
        <v>447.22500000000002</v>
      </c>
      <c r="AE112" s="1035">
        <f t="shared" si="85"/>
        <v>465.11400000000003</v>
      </c>
      <c r="AF112" s="1035">
        <f t="shared" si="85"/>
        <v>483.0030000000001</v>
      </c>
      <c r="AG112" s="1035">
        <f t="shared" si="85"/>
        <v>500.892</v>
      </c>
      <c r="AH112" s="1035">
        <f t="shared" si="85"/>
        <v>518.78100000000006</v>
      </c>
      <c r="AI112" s="1035">
        <f t="shared" si="85"/>
        <v>536.67000000000007</v>
      </c>
      <c r="AJ112" s="1035">
        <f t="shared" si="85"/>
        <v>554.55900000000008</v>
      </c>
      <c r="AK112" s="1035">
        <f t="shared" si="85"/>
        <v>572.44800000000009</v>
      </c>
      <c r="AL112" s="1035">
        <f t="shared" si="85"/>
        <v>590.33699999999999</v>
      </c>
      <c r="AM112" s="1035">
        <f t="shared" si="85"/>
        <v>608.226</v>
      </c>
      <c r="AN112" s="1035">
        <f t="shared" ref="AN112:BF112" si="86">((AN$71-$H$4)/1000)*$K$26*(($C$8/70)^$W$26)</f>
        <v>626.11500000000001</v>
      </c>
      <c r="AO112" s="1035">
        <f t="shared" si="86"/>
        <v>644.00400000000002</v>
      </c>
      <c r="AP112" s="1035">
        <f t="shared" si="86"/>
        <v>661.89300000000014</v>
      </c>
      <c r="AQ112" s="1035">
        <f t="shared" si="86"/>
        <v>679.78200000000004</v>
      </c>
      <c r="AR112" s="1035">
        <f t="shared" si="86"/>
        <v>697.67100000000005</v>
      </c>
      <c r="AS112" s="1035">
        <f t="shared" si="86"/>
        <v>715.56000000000006</v>
      </c>
      <c r="AT112" s="1035">
        <f t="shared" si="86"/>
        <v>733.44899999999996</v>
      </c>
      <c r="AU112" s="1035">
        <f t="shared" si="86"/>
        <v>751.33800000000008</v>
      </c>
      <c r="AV112" s="1035">
        <f t="shared" si="86"/>
        <v>769.22699999999998</v>
      </c>
      <c r="AW112" s="1035">
        <f t="shared" si="86"/>
        <v>787.1160000000001</v>
      </c>
      <c r="AX112" s="1035">
        <f t="shared" si="86"/>
        <v>805.00500000000011</v>
      </c>
      <c r="AY112" s="1035">
        <f t="shared" si="86"/>
        <v>822.89400000000001</v>
      </c>
      <c r="AZ112" s="1035">
        <f t="shared" si="86"/>
        <v>840.78300000000013</v>
      </c>
      <c r="BA112" s="1035">
        <f t="shared" si="86"/>
        <v>858.67200000000003</v>
      </c>
      <c r="BB112" s="1035">
        <f t="shared" si="86"/>
        <v>876.56100000000015</v>
      </c>
      <c r="BC112" s="1035">
        <f t="shared" si="86"/>
        <v>894.45</v>
      </c>
      <c r="BD112" s="1035">
        <f t="shared" si="86"/>
        <v>912.33900000000006</v>
      </c>
      <c r="BE112" s="1035">
        <f t="shared" si="86"/>
        <v>930.22800000000007</v>
      </c>
      <c r="BF112" s="1036">
        <f t="shared" si="86"/>
        <v>948.11700000000008</v>
      </c>
    </row>
    <row r="113" spans="1:58">
      <c r="A113" s="2477"/>
      <c r="B113" s="2600" t="s">
        <v>238</v>
      </c>
      <c r="C113" s="2601"/>
      <c r="D113" s="404" t="s">
        <v>194</v>
      </c>
      <c r="E113" s="447">
        <v>90</v>
      </c>
      <c r="F113" s="447">
        <v>200</v>
      </c>
      <c r="G113" s="404" t="s">
        <v>195</v>
      </c>
      <c r="H113" s="598">
        <f t="shared" ref="H113:AM113" si="87">((H$71-$H$4)/1000)*$L$26*(($C$8/70)^$X$26)</f>
        <v>60.3</v>
      </c>
      <c r="I113" s="1037">
        <f t="shared" si="87"/>
        <v>80.400000000000006</v>
      </c>
      <c r="J113" s="1037">
        <f t="shared" si="87"/>
        <v>100.5</v>
      </c>
      <c r="K113" s="1037">
        <f t="shared" si="87"/>
        <v>120.6</v>
      </c>
      <c r="L113" s="1037">
        <f t="shared" si="87"/>
        <v>140.69999999999999</v>
      </c>
      <c r="M113" s="1037">
        <f t="shared" si="87"/>
        <v>160.80000000000001</v>
      </c>
      <c r="N113" s="1037">
        <f t="shared" si="87"/>
        <v>180.9</v>
      </c>
      <c r="O113" s="1037">
        <f t="shared" si="87"/>
        <v>201</v>
      </c>
      <c r="P113" s="1037">
        <f t="shared" si="87"/>
        <v>221.10000000000002</v>
      </c>
      <c r="Q113" s="1037">
        <f t="shared" si="87"/>
        <v>241.2</v>
      </c>
      <c r="R113" s="1037">
        <f t="shared" si="87"/>
        <v>261.3</v>
      </c>
      <c r="S113" s="1037">
        <f t="shared" si="87"/>
        <v>281.39999999999998</v>
      </c>
      <c r="T113" s="1037">
        <f t="shared" si="87"/>
        <v>301.5</v>
      </c>
      <c r="U113" s="1037">
        <f t="shared" si="87"/>
        <v>321.60000000000002</v>
      </c>
      <c r="V113" s="1037">
        <f t="shared" si="87"/>
        <v>341.7</v>
      </c>
      <c r="W113" s="1037">
        <f t="shared" si="87"/>
        <v>361.8</v>
      </c>
      <c r="X113" s="1037">
        <f t="shared" si="87"/>
        <v>381.9</v>
      </c>
      <c r="Y113" s="1037">
        <f t="shared" si="87"/>
        <v>402</v>
      </c>
      <c r="Z113" s="1037">
        <f t="shared" si="87"/>
        <v>422.1</v>
      </c>
      <c r="AA113" s="1037">
        <f t="shared" si="87"/>
        <v>442.20000000000005</v>
      </c>
      <c r="AB113" s="1037">
        <f t="shared" si="87"/>
        <v>462.29999999999995</v>
      </c>
      <c r="AC113" s="1037">
        <f t="shared" si="87"/>
        <v>482.4</v>
      </c>
      <c r="AD113" s="1037">
        <f t="shared" si="87"/>
        <v>502.5</v>
      </c>
      <c r="AE113" s="1037">
        <f t="shared" si="87"/>
        <v>522.6</v>
      </c>
      <c r="AF113" s="1037">
        <f t="shared" si="87"/>
        <v>542.70000000000005</v>
      </c>
      <c r="AG113" s="1037">
        <f t="shared" si="87"/>
        <v>562.79999999999995</v>
      </c>
      <c r="AH113" s="1037">
        <f t="shared" si="87"/>
        <v>582.9</v>
      </c>
      <c r="AI113" s="1037">
        <f t="shared" si="87"/>
        <v>603</v>
      </c>
      <c r="AJ113" s="1037">
        <f t="shared" si="87"/>
        <v>623.1</v>
      </c>
      <c r="AK113" s="1037">
        <f t="shared" si="87"/>
        <v>643.20000000000005</v>
      </c>
      <c r="AL113" s="1037">
        <f t="shared" si="87"/>
        <v>663.3</v>
      </c>
      <c r="AM113" s="1037">
        <f t="shared" si="87"/>
        <v>683.4</v>
      </c>
      <c r="AN113" s="1037">
        <f t="shared" ref="AN113:BF113" si="88">((AN$71-$H$4)/1000)*$L$26*(($C$8/70)^$X$26)</f>
        <v>703.5</v>
      </c>
      <c r="AO113" s="1037">
        <f t="shared" si="88"/>
        <v>723.6</v>
      </c>
      <c r="AP113" s="1037">
        <f t="shared" si="88"/>
        <v>743.7</v>
      </c>
      <c r="AQ113" s="1037">
        <f t="shared" si="88"/>
        <v>763.8</v>
      </c>
      <c r="AR113" s="1037">
        <f t="shared" si="88"/>
        <v>783.9</v>
      </c>
      <c r="AS113" s="1037">
        <f t="shared" si="88"/>
        <v>804</v>
      </c>
      <c r="AT113" s="1037">
        <f t="shared" si="88"/>
        <v>824.09999999999991</v>
      </c>
      <c r="AU113" s="1037">
        <f t="shared" si="88"/>
        <v>844.2</v>
      </c>
      <c r="AV113" s="1037">
        <f t="shared" si="88"/>
        <v>864.3</v>
      </c>
      <c r="AW113" s="1037">
        <f t="shared" si="88"/>
        <v>884.40000000000009</v>
      </c>
      <c r="AX113" s="1037">
        <f t="shared" si="88"/>
        <v>904.5</v>
      </c>
      <c r="AY113" s="1037">
        <f t="shared" si="88"/>
        <v>924.59999999999991</v>
      </c>
      <c r="AZ113" s="1037">
        <f t="shared" si="88"/>
        <v>944.7</v>
      </c>
      <c r="BA113" s="1037">
        <f t="shared" si="88"/>
        <v>964.8</v>
      </c>
      <c r="BB113" s="1037">
        <f t="shared" si="88"/>
        <v>984.90000000000009</v>
      </c>
      <c r="BC113" s="1037">
        <f t="shared" si="88"/>
        <v>1005</v>
      </c>
      <c r="BD113" s="1037">
        <f t="shared" si="88"/>
        <v>1025.0999999999999</v>
      </c>
      <c r="BE113" s="1037">
        <f t="shared" si="88"/>
        <v>1045.2</v>
      </c>
      <c r="BF113" s="1038">
        <f t="shared" si="88"/>
        <v>1065.3</v>
      </c>
    </row>
    <row r="114" spans="1:58">
      <c r="A114" s="2477"/>
      <c r="B114" s="2600" t="s">
        <v>239</v>
      </c>
      <c r="C114" s="2601"/>
      <c r="D114" s="404" t="s">
        <v>194</v>
      </c>
      <c r="E114" s="447">
        <v>90</v>
      </c>
      <c r="F114" s="447">
        <v>260</v>
      </c>
      <c r="G114" s="404" t="s">
        <v>195</v>
      </c>
      <c r="H114" s="598">
        <f t="shared" ref="H114:AM114" si="89">((H$71-$H$4)/1000)*$M$26*(($C$8/70)^$Y$26)</f>
        <v>79.919999999999987</v>
      </c>
      <c r="I114" s="1037">
        <f t="shared" si="89"/>
        <v>106.56</v>
      </c>
      <c r="J114" s="1037">
        <f t="shared" si="89"/>
        <v>133.19999999999999</v>
      </c>
      <c r="K114" s="1037">
        <f t="shared" si="89"/>
        <v>159.83999999999997</v>
      </c>
      <c r="L114" s="1037">
        <f t="shared" si="89"/>
        <v>186.47999999999996</v>
      </c>
      <c r="M114" s="1037">
        <f t="shared" si="89"/>
        <v>213.12</v>
      </c>
      <c r="N114" s="1037">
        <f t="shared" si="89"/>
        <v>239.76</v>
      </c>
      <c r="O114" s="1037">
        <f t="shared" si="89"/>
        <v>266.39999999999998</v>
      </c>
      <c r="P114" s="1037">
        <f t="shared" si="89"/>
        <v>293.04000000000002</v>
      </c>
      <c r="Q114" s="1037">
        <f t="shared" si="89"/>
        <v>319.67999999999995</v>
      </c>
      <c r="R114" s="1037">
        <f t="shared" si="89"/>
        <v>346.32</v>
      </c>
      <c r="S114" s="1037">
        <f t="shared" si="89"/>
        <v>372.95999999999992</v>
      </c>
      <c r="T114" s="1037">
        <f t="shared" si="89"/>
        <v>399.59999999999997</v>
      </c>
      <c r="U114" s="1037">
        <f t="shared" si="89"/>
        <v>426.24</v>
      </c>
      <c r="V114" s="1037">
        <f t="shared" si="89"/>
        <v>452.87999999999994</v>
      </c>
      <c r="W114" s="1037">
        <f t="shared" si="89"/>
        <v>479.52</v>
      </c>
      <c r="X114" s="1037">
        <f t="shared" si="89"/>
        <v>506.15999999999991</v>
      </c>
      <c r="Y114" s="1037">
        <f t="shared" si="89"/>
        <v>532.79999999999995</v>
      </c>
      <c r="Z114" s="1037">
        <f t="shared" si="89"/>
        <v>559.43999999999994</v>
      </c>
      <c r="AA114" s="1037">
        <f t="shared" si="89"/>
        <v>586.08000000000004</v>
      </c>
      <c r="AB114" s="1037">
        <f t="shared" si="89"/>
        <v>612.71999999999991</v>
      </c>
      <c r="AC114" s="1037">
        <f t="shared" si="89"/>
        <v>639.3599999999999</v>
      </c>
      <c r="AD114" s="1037">
        <f t="shared" si="89"/>
        <v>666</v>
      </c>
      <c r="AE114" s="1037">
        <f t="shared" si="89"/>
        <v>692.64</v>
      </c>
      <c r="AF114" s="1037">
        <f t="shared" si="89"/>
        <v>719.28</v>
      </c>
      <c r="AG114" s="1037">
        <f t="shared" si="89"/>
        <v>745.91999999999985</v>
      </c>
      <c r="AH114" s="1037">
        <f t="shared" si="89"/>
        <v>772.56</v>
      </c>
      <c r="AI114" s="1037">
        <f t="shared" si="89"/>
        <v>799.19999999999993</v>
      </c>
      <c r="AJ114" s="1037">
        <f t="shared" si="89"/>
        <v>825.83999999999992</v>
      </c>
      <c r="AK114" s="1037">
        <f t="shared" si="89"/>
        <v>852.48</v>
      </c>
      <c r="AL114" s="1037">
        <f t="shared" si="89"/>
        <v>879.11999999999989</v>
      </c>
      <c r="AM114" s="1037">
        <f t="shared" si="89"/>
        <v>905.75999999999988</v>
      </c>
      <c r="AN114" s="1037">
        <f t="shared" ref="AN114:BF114" si="90">((AN$71-$H$4)/1000)*$M$26*(($C$8/70)^$Y$26)</f>
        <v>932.39999999999986</v>
      </c>
      <c r="AO114" s="1037">
        <f t="shared" si="90"/>
        <v>959.04</v>
      </c>
      <c r="AP114" s="1037">
        <f t="shared" si="90"/>
        <v>985.68</v>
      </c>
      <c r="AQ114" s="1037">
        <f t="shared" si="90"/>
        <v>1012.3199999999998</v>
      </c>
      <c r="AR114" s="1037">
        <f t="shared" si="90"/>
        <v>1038.9599999999998</v>
      </c>
      <c r="AS114" s="1037">
        <f t="shared" si="90"/>
        <v>1065.5999999999999</v>
      </c>
      <c r="AT114" s="1037">
        <f t="shared" si="90"/>
        <v>1092.2399999999998</v>
      </c>
      <c r="AU114" s="1037">
        <f t="shared" si="90"/>
        <v>1118.8799999999999</v>
      </c>
      <c r="AV114" s="1037">
        <f t="shared" si="90"/>
        <v>1145.5199999999998</v>
      </c>
      <c r="AW114" s="1037">
        <f t="shared" si="90"/>
        <v>1172.1600000000001</v>
      </c>
      <c r="AX114" s="1037">
        <f t="shared" si="90"/>
        <v>1198.8</v>
      </c>
      <c r="AY114" s="1037">
        <f t="shared" si="90"/>
        <v>1225.4399999999998</v>
      </c>
      <c r="AZ114" s="1037">
        <f t="shared" si="90"/>
        <v>1252.08</v>
      </c>
      <c r="BA114" s="1037">
        <f t="shared" si="90"/>
        <v>1278.7199999999998</v>
      </c>
      <c r="BB114" s="1037">
        <f t="shared" si="90"/>
        <v>1305.3599999999999</v>
      </c>
      <c r="BC114" s="1037">
        <f t="shared" si="90"/>
        <v>1332</v>
      </c>
      <c r="BD114" s="1037">
        <f t="shared" si="90"/>
        <v>1358.6399999999999</v>
      </c>
      <c r="BE114" s="1037">
        <f t="shared" si="90"/>
        <v>1385.28</v>
      </c>
      <c r="BF114" s="1038">
        <f t="shared" si="90"/>
        <v>1411.9199999999998</v>
      </c>
    </row>
    <row r="115" spans="1:58">
      <c r="A115" s="2477"/>
      <c r="B115" s="2600" t="s">
        <v>240</v>
      </c>
      <c r="C115" s="2601"/>
      <c r="D115" s="404" t="s">
        <v>194</v>
      </c>
      <c r="E115" s="447">
        <v>90</v>
      </c>
      <c r="F115" s="447">
        <v>300</v>
      </c>
      <c r="G115" s="404" t="s">
        <v>195</v>
      </c>
      <c r="H115" s="598">
        <f t="shared" ref="H115:AM115" si="91">((H$71-$H$4)/1000)*$N$26*(($C$8/70)^$Z$26)</f>
        <v>89.767549792800011</v>
      </c>
      <c r="I115" s="1037">
        <f t="shared" si="91"/>
        <v>119.69006639040002</v>
      </c>
      <c r="J115" s="1037">
        <f t="shared" si="91"/>
        <v>149.61258298800001</v>
      </c>
      <c r="K115" s="1037">
        <f t="shared" si="91"/>
        <v>179.53509958560002</v>
      </c>
      <c r="L115" s="1037">
        <f t="shared" si="91"/>
        <v>209.4576161832</v>
      </c>
      <c r="M115" s="1037">
        <f t="shared" si="91"/>
        <v>239.38013278080004</v>
      </c>
      <c r="N115" s="1037">
        <f t="shared" si="91"/>
        <v>269.30264937840002</v>
      </c>
      <c r="O115" s="1037">
        <f t="shared" si="91"/>
        <v>299.22516597600003</v>
      </c>
      <c r="P115" s="1037">
        <f t="shared" si="91"/>
        <v>329.14768257360004</v>
      </c>
      <c r="Q115" s="1037">
        <f t="shared" si="91"/>
        <v>359.07019917120004</v>
      </c>
      <c r="R115" s="1037">
        <f t="shared" si="91"/>
        <v>388.99271576880005</v>
      </c>
      <c r="S115" s="1037">
        <f t="shared" si="91"/>
        <v>418.91523236640001</v>
      </c>
      <c r="T115" s="1037">
        <f t="shared" si="91"/>
        <v>448.83774896400007</v>
      </c>
      <c r="U115" s="1037">
        <f t="shared" si="91"/>
        <v>478.76026556160008</v>
      </c>
      <c r="V115" s="1037">
        <f t="shared" si="91"/>
        <v>508.68278215920003</v>
      </c>
      <c r="W115" s="1037">
        <f t="shared" si="91"/>
        <v>538.60529875680004</v>
      </c>
      <c r="X115" s="1037">
        <f t="shared" si="91"/>
        <v>568.52781535439999</v>
      </c>
      <c r="Y115" s="1037">
        <f t="shared" si="91"/>
        <v>598.45033195200006</v>
      </c>
      <c r="Z115" s="1037">
        <f t="shared" si="91"/>
        <v>628.37284854960012</v>
      </c>
      <c r="AA115" s="1037">
        <f t="shared" si="91"/>
        <v>658.29536514720007</v>
      </c>
      <c r="AB115" s="1037">
        <f t="shared" si="91"/>
        <v>688.21788174480002</v>
      </c>
      <c r="AC115" s="1037">
        <f t="shared" si="91"/>
        <v>718.14039834240009</v>
      </c>
      <c r="AD115" s="1037">
        <f t="shared" si="91"/>
        <v>748.06291494000004</v>
      </c>
      <c r="AE115" s="1037">
        <f t="shared" si="91"/>
        <v>777.98543153760011</v>
      </c>
      <c r="AF115" s="1037">
        <f t="shared" si="91"/>
        <v>807.90794813520017</v>
      </c>
      <c r="AG115" s="1037">
        <f t="shared" si="91"/>
        <v>837.83046473280001</v>
      </c>
      <c r="AH115" s="1037">
        <f t="shared" si="91"/>
        <v>867.75298133040008</v>
      </c>
      <c r="AI115" s="1037">
        <f t="shared" si="91"/>
        <v>897.67549792800014</v>
      </c>
      <c r="AJ115" s="1037">
        <f t="shared" si="91"/>
        <v>927.59801452560009</v>
      </c>
      <c r="AK115" s="1037">
        <f t="shared" si="91"/>
        <v>957.52053112320016</v>
      </c>
      <c r="AL115" s="1037">
        <f t="shared" si="91"/>
        <v>987.4430477208</v>
      </c>
      <c r="AM115" s="1037">
        <f t="shared" si="91"/>
        <v>1017.3655643184001</v>
      </c>
      <c r="AN115" s="1037">
        <f t="shared" ref="AN115:BF115" si="92">((AN$71-$H$4)/1000)*$N$26*(($C$8/70)^$Z$26)</f>
        <v>1047.2880809160001</v>
      </c>
      <c r="AO115" s="1037">
        <f t="shared" si="92"/>
        <v>1077.2105975136001</v>
      </c>
      <c r="AP115" s="1037">
        <f t="shared" si="92"/>
        <v>1107.1331141112003</v>
      </c>
      <c r="AQ115" s="1037">
        <f t="shared" si="92"/>
        <v>1137.0556307088</v>
      </c>
      <c r="AR115" s="1037">
        <f t="shared" si="92"/>
        <v>1166.9781473064002</v>
      </c>
      <c r="AS115" s="1037">
        <f t="shared" si="92"/>
        <v>1196.9006639040001</v>
      </c>
      <c r="AT115" s="1037">
        <f t="shared" si="92"/>
        <v>1226.8231805016001</v>
      </c>
      <c r="AU115" s="1037">
        <f t="shared" si="92"/>
        <v>1256.7456970992002</v>
      </c>
      <c r="AV115" s="1037">
        <f t="shared" si="92"/>
        <v>1286.6682136968</v>
      </c>
      <c r="AW115" s="1037">
        <f t="shared" si="92"/>
        <v>1316.5907302944001</v>
      </c>
      <c r="AX115" s="1037">
        <f t="shared" si="92"/>
        <v>1346.5132468920001</v>
      </c>
      <c r="AY115" s="1037">
        <f t="shared" si="92"/>
        <v>1376.4357634896</v>
      </c>
      <c r="AZ115" s="1037">
        <f t="shared" si="92"/>
        <v>1406.3582800872002</v>
      </c>
      <c r="BA115" s="1037">
        <f t="shared" si="92"/>
        <v>1436.2807966848002</v>
      </c>
      <c r="BB115" s="1037">
        <f t="shared" si="92"/>
        <v>1466.2033132824001</v>
      </c>
      <c r="BC115" s="1037">
        <f t="shared" si="92"/>
        <v>1496.1258298800001</v>
      </c>
      <c r="BD115" s="1037">
        <f t="shared" si="92"/>
        <v>1526.0483464776</v>
      </c>
      <c r="BE115" s="1037">
        <f t="shared" si="92"/>
        <v>1555.9708630752002</v>
      </c>
      <c r="BF115" s="1038">
        <f t="shared" si="92"/>
        <v>1585.8933796728002</v>
      </c>
    </row>
    <row r="116" spans="1:58">
      <c r="A116" s="2477"/>
      <c r="B116" s="2600" t="s">
        <v>241</v>
      </c>
      <c r="C116" s="2601"/>
      <c r="D116" s="404" t="s">
        <v>194</v>
      </c>
      <c r="E116" s="447">
        <v>90</v>
      </c>
      <c r="F116" s="447">
        <v>300</v>
      </c>
      <c r="G116" s="404" t="s">
        <v>200</v>
      </c>
      <c r="H116" s="598">
        <f>((H$71-$H$4)/1000)*$O$26*(($C$8/70)^$AA$26)</f>
        <v>104.39999999999999</v>
      </c>
      <c r="I116" s="1037">
        <f t="shared" ref="I116:AN116" si="93">((I$71-$H$4)/1000)*$O$26*(($C$8/70)^$AA26)</f>
        <v>139.20000000000002</v>
      </c>
      <c r="J116" s="1037">
        <f t="shared" si="93"/>
        <v>174</v>
      </c>
      <c r="K116" s="1037">
        <f t="shared" si="93"/>
        <v>208.79999999999998</v>
      </c>
      <c r="L116" s="1037">
        <f t="shared" si="93"/>
        <v>243.6</v>
      </c>
      <c r="M116" s="1037">
        <f t="shared" si="93"/>
        <v>278.40000000000003</v>
      </c>
      <c r="N116" s="1037">
        <f t="shared" si="93"/>
        <v>313.2</v>
      </c>
      <c r="O116" s="1037">
        <f t="shared" si="93"/>
        <v>348</v>
      </c>
      <c r="P116" s="1037">
        <f t="shared" si="93"/>
        <v>382.8</v>
      </c>
      <c r="Q116" s="1037">
        <f t="shared" si="93"/>
        <v>417.59999999999997</v>
      </c>
      <c r="R116" s="1037">
        <f t="shared" si="93"/>
        <v>452.40000000000003</v>
      </c>
      <c r="S116" s="1037">
        <f t="shared" si="93"/>
        <v>487.2</v>
      </c>
      <c r="T116" s="1037">
        <f t="shared" si="93"/>
        <v>522</v>
      </c>
      <c r="U116" s="1037">
        <f t="shared" si="93"/>
        <v>556.80000000000007</v>
      </c>
      <c r="V116" s="1037">
        <f t="shared" si="93"/>
        <v>591.6</v>
      </c>
      <c r="W116" s="1037">
        <f t="shared" si="93"/>
        <v>626.4</v>
      </c>
      <c r="X116" s="1037">
        <f t="shared" si="93"/>
        <v>661.19999999999993</v>
      </c>
      <c r="Y116" s="1037">
        <f t="shared" si="93"/>
        <v>696</v>
      </c>
      <c r="Z116" s="1037">
        <f t="shared" si="93"/>
        <v>730.80000000000007</v>
      </c>
      <c r="AA116" s="1037">
        <f t="shared" si="93"/>
        <v>765.6</v>
      </c>
      <c r="AB116" s="1037">
        <f t="shared" si="93"/>
        <v>800.4</v>
      </c>
      <c r="AC116" s="1037">
        <f t="shared" si="93"/>
        <v>835.19999999999993</v>
      </c>
      <c r="AD116" s="1037">
        <f t="shared" si="93"/>
        <v>870</v>
      </c>
      <c r="AE116" s="1037">
        <f t="shared" si="93"/>
        <v>904.80000000000007</v>
      </c>
      <c r="AF116" s="1037">
        <f t="shared" si="93"/>
        <v>939.6</v>
      </c>
      <c r="AG116" s="1037">
        <f t="shared" si="93"/>
        <v>974.4</v>
      </c>
      <c r="AH116" s="1037">
        <f t="shared" si="93"/>
        <v>1009.1999999999999</v>
      </c>
      <c r="AI116" s="1037">
        <f t="shared" si="93"/>
        <v>1044</v>
      </c>
      <c r="AJ116" s="1037">
        <f t="shared" si="93"/>
        <v>1078.8</v>
      </c>
      <c r="AK116" s="1037">
        <f t="shared" si="93"/>
        <v>1113.6000000000001</v>
      </c>
      <c r="AL116" s="1037">
        <f t="shared" si="93"/>
        <v>1148.3999999999999</v>
      </c>
      <c r="AM116" s="1037">
        <f t="shared" si="93"/>
        <v>1183.2</v>
      </c>
      <c r="AN116" s="1037">
        <f t="shared" si="93"/>
        <v>1218</v>
      </c>
      <c r="AO116" s="1037">
        <f t="shared" ref="AO116:BF116" si="94">((AO$71-$H$4)/1000)*$O$26*(($C$8/70)^$AA26)</f>
        <v>1252.8</v>
      </c>
      <c r="AP116" s="1037">
        <f t="shared" si="94"/>
        <v>1287.6000000000001</v>
      </c>
      <c r="AQ116" s="1037">
        <f t="shared" si="94"/>
        <v>1322.3999999999999</v>
      </c>
      <c r="AR116" s="1037">
        <f t="shared" si="94"/>
        <v>1357.2</v>
      </c>
      <c r="AS116" s="1037">
        <f t="shared" si="94"/>
        <v>1392</v>
      </c>
      <c r="AT116" s="1037">
        <f t="shared" si="94"/>
        <v>1426.8</v>
      </c>
      <c r="AU116" s="1037">
        <f t="shared" si="94"/>
        <v>1461.6000000000001</v>
      </c>
      <c r="AV116" s="1037">
        <f t="shared" si="94"/>
        <v>1496.3999999999999</v>
      </c>
      <c r="AW116" s="1037">
        <f t="shared" si="94"/>
        <v>1531.2</v>
      </c>
      <c r="AX116" s="1037">
        <f t="shared" si="94"/>
        <v>1566</v>
      </c>
      <c r="AY116" s="1037">
        <f t="shared" si="94"/>
        <v>1600.8</v>
      </c>
      <c r="AZ116" s="1037">
        <f t="shared" si="94"/>
        <v>1635.6000000000001</v>
      </c>
      <c r="BA116" s="1037">
        <f t="shared" si="94"/>
        <v>1670.3999999999999</v>
      </c>
      <c r="BB116" s="1037">
        <f t="shared" si="94"/>
        <v>1705.2</v>
      </c>
      <c r="BC116" s="1037">
        <f t="shared" si="94"/>
        <v>1740</v>
      </c>
      <c r="BD116" s="1037">
        <f t="shared" si="94"/>
        <v>1774.8</v>
      </c>
      <c r="BE116" s="1037">
        <f t="shared" si="94"/>
        <v>1809.6000000000001</v>
      </c>
      <c r="BF116" s="1038">
        <f t="shared" si="94"/>
        <v>1844.3999999999999</v>
      </c>
    </row>
    <row r="117" spans="1:58">
      <c r="A117" s="2477"/>
      <c r="B117" s="2600" t="s">
        <v>242</v>
      </c>
      <c r="C117" s="2601"/>
      <c r="D117" s="404" t="s">
        <v>194</v>
      </c>
      <c r="E117" s="447">
        <v>90</v>
      </c>
      <c r="F117" s="447">
        <v>360</v>
      </c>
      <c r="G117" s="404" t="s">
        <v>200</v>
      </c>
      <c r="H117" s="598">
        <f t="shared" ref="H117:AM117" si="95">((H$71-$H$4)/1000)*$Q$26*(($C$8/70)^$AC$26)</f>
        <v>115.17299999999999</v>
      </c>
      <c r="I117" s="1037">
        <f t="shared" si="95"/>
        <v>153.56399999999999</v>
      </c>
      <c r="J117" s="1037">
        <f t="shared" si="95"/>
        <v>191.95499999999998</v>
      </c>
      <c r="K117" s="1037">
        <f t="shared" si="95"/>
        <v>230.34599999999998</v>
      </c>
      <c r="L117" s="1037">
        <f t="shared" si="95"/>
        <v>268.73699999999997</v>
      </c>
      <c r="M117" s="1037">
        <f t="shared" si="95"/>
        <v>307.12799999999999</v>
      </c>
      <c r="N117" s="1037">
        <f t="shared" si="95"/>
        <v>345.51900000000001</v>
      </c>
      <c r="O117" s="1037">
        <f t="shared" si="95"/>
        <v>383.90999999999997</v>
      </c>
      <c r="P117" s="1037">
        <f t="shared" si="95"/>
        <v>422.30099999999999</v>
      </c>
      <c r="Q117" s="1037">
        <f t="shared" si="95"/>
        <v>460.69199999999995</v>
      </c>
      <c r="R117" s="1037">
        <f t="shared" si="95"/>
        <v>499.08299999999997</v>
      </c>
      <c r="S117" s="1037">
        <f t="shared" si="95"/>
        <v>537.47399999999993</v>
      </c>
      <c r="T117" s="1037">
        <f t="shared" si="95"/>
        <v>575.86500000000001</v>
      </c>
      <c r="U117" s="1037">
        <f t="shared" si="95"/>
        <v>614.25599999999997</v>
      </c>
      <c r="V117" s="1037">
        <f t="shared" si="95"/>
        <v>652.64699999999993</v>
      </c>
      <c r="W117" s="1037">
        <f t="shared" si="95"/>
        <v>691.03800000000001</v>
      </c>
      <c r="X117" s="1037">
        <f t="shared" si="95"/>
        <v>729.42899999999986</v>
      </c>
      <c r="Y117" s="1037">
        <f t="shared" si="95"/>
        <v>767.81999999999994</v>
      </c>
      <c r="Z117" s="1037">
        <f t="shared" si="95"/>
        <v>806.21100000000001</v>
      </c>
      <c r="AA117" s="1037">
        <f t="shared" si="95"/>
        <v>844.60199999999998</v>
      </c>
      <c r="AB117" s="1037">
        <f t="shared" si="95"/>
        <v>882.99299999999982</v>
      </c>
      <c r="AC117" s="1037">
        <f t="shared" si="95"/>
        <v>921.3839999999999</v>
      </c>
      <c r="AD117" s="1037">
        <f t="shared" si="95"/>
        <v>959.77499999999986</v>
      </c>
      <c r="AE117" s="1037">
        <f t="shared" si="95"/>
        <v>998.16599999999994</v>
      </c>
      <c r="AF117" s="1037">
        <f t="shared" si="95"/>
        <v>1036.557</v>
      </c>
      <c r="AG117" s="1037">
        <f t="shared" si="95"/>
        <v>1074.9479999999999</v>
      </c>
      <c r="AH117" s="1037">
        <f t="shared" si="95"/>
        <v>1113.3389999999999</v>
      </c>
      <c r="AI117" s="1037">
        <f t="shared" si="95"/>
        <v>1151.73</v>
      </c>
      <c r="AJ117" s="1037">
        <f t="shared" si="95"/>
        <v>1190.1209999999999</v>
      </c>
      <c r="AK117" s="1037">
        <f t="shared" si="95"/>
        <v>1228.5119999999999</v>
      </c>
      <c r="AL117" s="1037">
        <f t="shared" si="95"/>
        <v>1266.9029999999998</v>
      </c>
      <c r="AM117" s="1037">
        <f t="shared" si="95"/>
        <v>1305.2939999999999</v>
      </c>
      <c r="AN117" s="1037">
        <f t="shared" ref="AN117:BF117" si="96">((AN$71-$H$4)/1000)*$Q$26*(($C$8/70)^$AC$26)</f>
        <v>1343.6849999999999</v>
      </c>
      <c r="AO117" s="1037">
        <f t="shared" si="96"/>
        <v>1382.076</v>
      </c>
      <c r="AP117" s="1037">
        <f t="shared" si="96"/>
        <v>1420.4669999999999</v>
      </c>
      <c r="AQ117" s="1037">
        <f t="shared" si="96"/>
        <v>1458.8579999999997</v>
      </c>
      <c r="AR117" s="1037">
        <f t="shared" si="96"/>
        <v>1497.2489999999998</v>
      </c>
      <c r="AS117" s="1037">
        <f t="shared" si="96"/>
        <v>1535.6399999999999</v>
      </c>
      <c r="AT117" s="1037">
        <f t="shared" si="96"/>
        <v>1574.0309999999997</v>
      </c>
      <c r="AU117" s="1037">
        <f t="shared" si="96"/>
        <v>1612.422</v>
      </c>
      <c r="AV117" s="1037">
        <f t="shared" si="96"/>
        <v>1650.8129999999999</v>
      </c>
      <c r="AW117" s="1037">
        <f t="shared" si="96"/>
        <v>1689.204</v>
      </c>
      <c r="AX117" s="1037">
        <f t="shared" si="96"/>
        <v>1727.5949999999998</v>
      </c>
      <c r="AY117" s="1037">
        <f t="shared" si="96"/>
        <v>1765.9859999999996</v>
      </c>
      <c r="AZ117" s="1037">
        <f t="shared" si="96"/>
        <v>1804.377</v>
      </c>
      <c r="BA117" s="1037">
        <f t="shared" si="96"/>
        <v>1842.7679999999998</v>
      </c>
      <c r="BB117" s="1037">
        <f t="shared" si="96"/>
        <v>1881.1589999999999</v>
      </c>
      <c r="BC117" s="1037">
        <f t="shared" si="96"/>
        <v>1919.5499999999997</v>
      </c>
      <c r="BD117" s="1037">
        <f t="shared" si="96"/>
        <v>1957.9409999999998</v>
      </c>
      <c r="BE117" s="1037">
        <f t="shared" si="96"/>
        <v>1996.3319999999999</v>
      </c>
      <c r="BF117" s="1038">
        <f t="shared" si="96"/>
        <v>2034.7229999999997</v>
      </c>
    </row>
    <row r="118" spans="1:58">
      <c r="A118" s="2477"/>
      <c r="B118" s="2600" t="s">
        <v>243</v>
      </c>
      <c r="C118" s="2601"/>
      <c r="D118" s="404" t="s">
        <v>194</v>
      </c>
      <c r="E118" s="447">
        <v>90</v>
      </c>
      <c r="F118" s="447">
        <v>400</v>
      </c>
      <c r="G118" s="404" t="s">
        <v>200</v>
      </c>
      <c r="H118" s="598">
        <f t="shared" ref="H118:AM118" si="97">((H$71-$H$4)/1000)*$R$26*(($C$8/70)^$AD$26)</f>
        <v>121.94978052599998</v>
      </c>
      <c r="I118" s="1037">
        <f t="shared" si="97"/>
        <v>162.599707368</v>
      </c>
      <c r="J118" s="1037">
        <f t="shared" si="97"/>
        <v>203.24963420999998</v>
      </c>
      <c r="K118" s="1037">
        <f t="shared" si="97"/>
        <v>243.89956105199997</v>
      </c>
      <c r="L118" s="1037">
        <f t="shared" si="97"/>
        <v>284.54948789399998</v>
      </c>
      <c r="M118" s="1037">
        <f t="shared" si="97"/>
        <v>325.19941473599999</v>
      </c>
      <c r="N118" s="1037">
        <f t="shared" si="97"/>
        <v>365.84934157799995</v>
      </c>
      <c r="O118" s="1037">
        <f t="shared" si="97"/>
        <v>406.49926841999996</v>
      </c>
      <c r="P118" s="1037">
        <f t="shared" si="97"/>
        <v>447.14919526199998</v>
      </c>
      <c r="Q118" s="1037">
        <f t="shared" si="97"/>
        <v>487.79912210399993</v>
      </c>
      <c r="R118" s="1037">
        <f t="shared" si="97"/>
        <v>528.44904894599995</v>
      </c>
      <c r="S118" s="1037">
        <f t="shared" si="97"/>
        <v>569.09897578799996</v>
      </c>
      <c r="T118" s="1037">
        <f t="shared" si="97"/>
        <v>609.74890262999998</v>
      </c>
      <c r="U118" s="1037">
        <f t="shared" si="97"/>
        <v>650.39882947199999</v>
      </c>
      <c r="V118" s="1037">
        <f t="shared" si="97"/>
        <v>691.04875631399989</v>
      </c>
      <c r="W118" s="1037">
        <f t="shared" si="97"/>
        <v>731.6986831559999</v>
      </c>
      <c r="X118" s="1037">
        <f t="shared" si="97"/>
        <v>772.34860999799992</v>
      </c>
      <c r="Y118" s="1037">
        <f t="shared" si="97"/>
        <v>812.99853683999993</v>
      </c>
      <c r="Z118" s="1037">
        <f t="shared" si="97"/>
        <v>853.64846368199994</v>
      </c>
      <c r="AA118" s="1037">
        <f t="shared" si="97"/>
        <v>894.29839052399996</v>
      </c>
      <c r="AB118" s="1037">
        <f t="shared" si="97"/>
        <v>934.94831736599986</v>
      </c>
      <c r="AC118" s="1037">
        <f t="shared" si="97"/>
        <v>975.59824420799987</v>
      </c>
      <c r="AD118" s="1037">
        <f t="shared" si="97"/>
        <v>1016.2481710499999</v>
      </c>
      <c r="AE118" s="1037">
        <f t="shared" si="97"/>
        <v>1056.8980978919999</v>
      </c>
      <c r="AF118" s="1037">
        <f t="shared" si="97"/>
        <v>1097.5480247339999</v>
      </c>
      <c r="AG118" s="1037">
        <f t="shared" si="97"/>
        <v>1138.1979515759999</v>
      </c>
      <c r="AH118" s="1037">
        <f t="shared" si="97"/>
        <v>1178.8478784179999</v>
      </c>
      <c r="AI118" s="1037">
        <f t="shared" si="97"/>
        <v>1219.49780526</v>
      </c>
      <c r="AJ118" s="1037">
        <f t="shared" si="97"/>
        <v>1260.147732102</v>
      </c>
      <c r="AK118" s="1037">
        <f t="shared" si="97"/>
        <v>1300.797658944</v>
      </c>
      <c r="AL118" s="1037">
        <f t="shared" si="97"/>
        <v>1341.4475857859998</v>
      </c>
      <c r="AM118" s="1037">
        <f t="shared" si="97"/>
        <v>1382.0975126279998</v>
      </c>
      <c r="AN118" s="1037">
        <f t="shared" ref="AN118:BF118" si="98">((AN$71-$H$4)/1000)*$R$26*(($C$8/70)^$AD$26)</f>
        <v>1422.7474394699998</v>
      </c>
      <c r="AO118" s="1037">
        <f t="shared" si="98"/>
        <v>1463.3973663119998</v>
      </c>
      <c r="AP118" s="1037">
        <f t="shared" si="98"/>
        <v>1504.047293154</v>
      </c>
      <c r="AQ118" s="1037">
        <f t="shared" si="98"/>
        <v>1544.6972199959998</v>
      </c>
      <c r="AR118" s="1037">
        <f t="shared" si="98"/>
        <v>1585.3471468379998</v>
      </c>
      <c r="AS118" s="1037">
        <f t="shared" si="98"/>
        <v>1625.9970736799999</v>
      </c>
      <c r="AT118" s="1037">
        <f t="shared" si="98"/>
        <v>1666.6470005219996</v>
      </c>
      <c r="AU118" s="1037">
        <f t="shared" si="98"/>
        <v>1707.2969273639999</v>
      </c>
      <c r="AV118" s="1037">
        <f t="shared" si="98"/>
        <v>1747.9468542059997</v>
      </c>
      <c r="AW118" s="1037">
        <f t="shared" si="98"/>
        <v>1788.5967810479999</v>
      </c>
      <c r="AX118" s="1037">
        <f t="shared" si="98"/>
        <v>1829.2467078899999</v>
      </c>
      <c r="AY118" s="1037">
        <f t="shared" si="98"/>
        <v>1869.8966347319997</v>
      </c>
      <c r="AZ118" s="1037">
        <f t="shared" si="98"/>
        <v>1910.546561574</v>
      </c>
      <c r="BA118" s="1037">
        <f t="shared" si="98"/>
        <v>1951.1964884159997</v>
      </c>
      <c r="BB118" s="1037">
        <f t="shared" si="98"/>
        <v>1991.846415258</v>
      </c>
      <c r="BC118" s="1037">
        <f t="shared" si="98"/>
        <v>2032.4963420999998</v>
      </c>
      <c r="BD118" s="1037">
        <f t="shared" si="98"/>
        <v>2073.1462689419996</v>
      </c>
      <c r="BE118" s="1037">
        <f t="shared" si="98"/>
        <v>2113.7961957839998</v>
      </c>
      <c r="BF118" s="1038">
        <f t="shared" si="98"/>
        <v>2154.4461226259996</v>
      </c>
    </row>
    <row r="119" spans="1:58" ht="15.75" thickBot="1">
      <c r="A119" s="2477"/>
      <c r="B119" s="2602" t="s">
        <v>244</v>
      </c>
      <c r="C119" s="2603"/>
      <c r="D119" s="405" t="s">
        <v>194</v>
      </c>
      <c r="E119" s="448">
        <v>90</v>
      </c>
      <c r="F119" s="448">
        <v>400</v>
      </c>
      <c r="G119" s="405" t="s">
        <v>220</v>
      </c>
      <c r="H119" s="1039">
        <f t="shared" ref="H119:AM119" si="99">((H$71-$H$4)/1000)*$S$26*(($C$8/70)^$AE$26)</f>
        <v>150.47999999999999</v>
      </c>
      <c r="I119" s="1040">
        <f t="shared" si="99"/>
        <v>200.64</v>
      </c>
      <c r="J119" s="1040">
        <f t="shared" si="99"/>
        <v>250.79999999999998</v>
      </c>
      <c r="K119" s="1040">
        <f t="shared" si="99"/>
        <v>300.95999999999998</v>
      </c>
      <c r="L119" s="1040">
        <f t="shared" si="99"/>
        <v>351.11999999999995</v>
      </c>
      <c r="M119" s="1040">
        <f t="shared" si="99"/>
        <v>401.28</v>
      </c>
      <c r="N119" s="1040">
        <f t="shared" si="99"/>
        <v>451.44</v>
      </c>
      <c r="O119" s="1040">
        <f t="shared" si="99"/>
        <v>501.59999999999997</v>
      </c>
      <c r="P119" s="1040">
        <f t="shared" si="99"/>
        <v>551.76</v>
      </c>
      <c r="Q119" s="1040">
        <f t="shared" si="99"/>
        <v>601.91999999999996</v>
      </c>
      <c r="R119" s="1040">
        <f t="shared" si="99"/>
        <v>652.07999999999993</v>
      </c>
      <c r="S119" s="1040">
        <f t="shared" si="99"/>
        <v>702.2399999999999</v>
      </c>
      <c r="T119" s="1040">
        <f t="shared" si="99"/>
        <v>752.4</v>
      </c>
      <c r="U119" s="1040">
        <f t="shared" si="99"/>
        <v>802.56</v>
      </c>
      <c r="V119" s="1040">
        <f t="shared" si="99"/>
        <v>852.71999999999991</v>
      </c>
      <c r="W119" s="1040">
        <f t="shared" si="99"/>
        <v>902.88</v>
      </c>
      <c r="X119" s="1040">
        <f t="shared" si="99"/>
        <v>953.03999999999985</v>
      </c>
      <c r="Y119" s="1040">
        <f t="shared" si="99"/>
        <v>1003.1999999999999</v>
      </c>
      <c r="Z119" s="1040">
        <f t="shared" si="99"/>
        <v>1053.3599999999999</v>
      </c>
      <c r="AA119" s="1040">
        <f t="shared" si="99"/>
        <v>1103.52</v>
      </c>
      <c r="AB119" s="1040">
        <f t="shared" si="99"/>
        <v>1153.6799999999998</v>
      </c>
      <c r="AC119" s="1040">
        <f t="shared" si="99"/>
        <v>1203.8399999999999</v>
      </c>
      <c r="AD119" s="1040">
        <f t="shared" si="99"/>
        <v>1254</v>
      </c>
      <c r="AE119" s="1040">
        <f t="shared" si="99"/>
        <v>1304.1599999999999</v>
      </c>
      <c r="AF119" s="1040">
        <f t="shared" si="99"/>
        <v>1354.32</v>
      </c>
      <c r="AG119" s="1040">
        <f t="shared" si="99"/>
        <v>1404.4799999999998</v>
      </c>
      <c r="AH119" s="1040">
        <f t="shared" si="99"/>
        <v>1454.6399999999999</v>
      </c>
      <c r="AI119" s="1040">
        <f t="shared" si="99"/>
        <v>1504.8</v>
      </c>
      <c r="AJ119" s="1040">
        <f t="shared" si="99"/>
        <v>1554.96</v>
      </c>
      <c r="AK119" s="1040">
        <f t="shared" si="99"/>
        <v>1605.12</v>
      </c>
      <c r="AL119" s="1040">
        <f t="shared" si="99"/>
        <v>1655.2799999999997</v>
      </c>
      <c r="AM119" s="1040">
        <f t="shared" si="99"/>
        <v>1705.4399999999998</v>
      </c>
      <c r="AN119" s="1040">
        <f t="shared" ref="AN119:BF119" si="100">((AN$71-$H$4)/1000)*$S$26*(($C$8/70)^$AE$26)</f>
        <v>1755.6</v>
      </c>
      <c r="AO119" s="1040">
        <f t="shared" si="100"/>
        <v>1805.76</v>
      </c>
      <c r="AP119" s="1040">
        <f t="shared" si="100"/>
        <v>1855.92</v>
      </c>
      <c r="AQ119" s="1040">
        <f t="shared" si="100"/>
        <v>1906.0799999999997</v>
      </c>
      <c r="AR119" s="1040">
        <f t="shared" si="100"/>
        <v>1956.2399999999998</v>
      </c>
      <c r="AS119" s="1040">
        <f t="shared" si="100"/>
        <v>2006.3999999999999</v>
      </c>
      <c r="AT119" s="1040">
        <f t="shared" si="100"/>
        <v>2056.5599999999995</v>
      </c>
      <c r="AU119" s="1040">
        <f t="shared" si="100"/>
        <v>2106.7199999999998</v>
      </c>
      <c r="AV119" s="1040">
        <f t="shared" si="100"/>
        <v>2156.8799999999997</v>
      </c>
      <c r="AW119" s="1040">
        <f t="shared" si="100"/>
        <v>2207.04</v>
      </c>
      <c r="AX119" s="1040">
        <f t="shared" si="100"/>
        <v>2257.1999999999998</v>
      </c>
      <c r="AY119" s="1040">
        <f t="shared" si="100"/>
        <v>2307.3599999999997</v>
      </c>
      <c r="AZ119" s="1040">
        <f t="shared" si="100"/>
        <v>2357.52</v>
      </c>
      <c r="BA119" s="1040">
        <f t="shared" si="100"/>
        <v>2407.6799999999998</v>
      </c>
      <c r="BB119" s="1040">
        <f t="shared" si="100"/>
        <v>2457.84</v>
      </c>
      <c r="BC119" s="1040">
        <f t="shared" si="100"/>
        <v>2508</v>
      </c>
      <c r="BD119" s="1040">
        <f t="shared" si="100"/>
        <v>2558.16</v>
      </c>
      <c r="BE119" s="1040">
        <f t="shared" si="100"/>
        <v>2608.3199999999997</v>
      </c>
      <c r="BF119" s="1041">
        <f t="shared" si="100"/>
        <v>2658.4799999999996</v>
      </c>
    </row>
    <row r="120" spans="1:58">
      <c r="A120" s="2477"/>
      <c r="B120" s="2598" t="s">
        <v>245</v>
      </c>
      <c r="C120" s="2599"/>
      <c r="D120" s="406" t="s">
        <v>194</v>
      </c>
      <c r="E120" s="449">
        <v>110</v>
      </c>
      <c r="F120" s="449">
        <v>160</v>
      </c>
      <c r="G120" s="406" t="s">
        <v>195</v>
      </c>
      <c r="H120" s="1042">
        <f t="shared" ref="H120:AM120" si="101">((H$71-$H$4)/1000)*$K$27*(($C$8/70)^$W$27)</f>
        <v>66.546923509439992</v>
      </c>
      <c r="I120" s="1042">
        <f t="shared" si="101"/>
        <v>88.729231345919999</v>
      </c>
      <c r="J120" s="1042">
        <f t="shared" si="101"/>
        <v>110.91153918239999</v>
      </c>
      <c r="K120" s="1042">
        <f t="shared" si="101"/>
        <v>133.09384701887998</v>
      </c>
      <c r="L120" s="1042">
        <f t="shared" si="101"/>
        <v>155.27615485535998</v>
      </c>
      <c r="M120" s="1042">
        <f t="shared" si="101"/>
        <v>177.45846269184</v>
      </c>
      <c r="N120" s="1042">
        <f t="shared" si="101"/>
        <v>199.64077052831999</v>
      </c>
      <c r="O120" s="1042">
        <f t="shared" si="101"/>
        <v>221.82307836479998</v>
      </c>
      <c r="P120" s="1042">
        <f t="shared" si="101"/>
        <v>244.00538620128</v>
      </c>
      <c r="Q120" s="1042">
        <f t="shared" si="101"/>
        <v>266.18769403775997</v>
      </c>
      <c r="R120" s="1042">
        <f t="shared" si="101"/>
        <v>288.37000187423996</v>
      </c>
      <c r="S120" s="1042">
        <f t="shared" si="101"/>
        <v>310.55230971071995</v>
      </c>
      <c r="T120" s="1042">
        <f t="shared" si="101"/>
        <v>332.73461754719995</v>
      </c>
      <c r="U120" s="1042">
        <f t="shared" si="101"/>
        <v>354.91692538368</v>
      </c>
      <c r="V120" s="1042">
        <f t="shared" si="101"/>
        <v>377.09923322015999</v>
      </c>
      <c r="W120" s="1042">
        <f t="shared" si="101"/>
        <v>399.28154105663998</v>
      </c>
      <c r="X120" s="1042">
        <f t="shared" si="101"/>
        <v>421.46384889311997</v>
      </c>
      <c r="Y120" s="1042">
        <f t="shared" si="101"/>
        <v>443.64615672959997</v>
      </c>
      <c r="Z120" s="1042">
        <f t="shared" si="101"/>
        <v>465.82846456607996</v>
      </c>
      <c r="AA120" s="1042">
        <f t="shared" si="101"/>
        <v>488.01077240256001</v>
      </c>
      <c r="AB120" s="1042">
        <f t="shared" si="101"/>
        <v>510.19308023903994</v>
      </c>
      <c r="AC120" s="1042">
        <f t="shared" si="101"/>
        <v>532.37538807551994</v>
      </c>
      <c r="AD120" s="1042">
        <f t="shared" si="101"/>
        <v>554.55769591199999</v>
      </c>
      <c r="AE120" s="1042">
        <f t="shared" si="101"/>
        <v>576.74000374847992</v>
      </c>
      <c r="AF120" s="1042">
        <f t="shared" si="101"/>
        <v>598.92231158495997</v>
      </c>
      <c r="AG120" s="1042">
        <f t="shared" si="101"/>
        <v>621.10461942143991</v>
      </c>
      <c r="AH120" s="1042">
        <f t="shared" si="101"/>
        <v>643.28692725791996</v>
      </c>
      <c r="AI120" s="1042">
        <f t="shared" si="101"/>
        <v>665.46923509439989</v>
      </c>
      <c r="AJ120" s="1042">
        <f t="shared" si="101"/>
        <v>687.65154293087994</v>
      </c>
      <c r="AK120" s="1042">
        <f t="shared" si="101"/>
        <v>709.83385076735999</v>
      </c>
      <c r="AL120" s="1042">
        <f t="shared" si="101"/>
        <v>732.01615860383993</v>
      </c>
      <c r="AM120" s="1042">
        <f t="shared" si="101"/>
        <v>754.19846644031998</v>
      </c>
      <c r="AN120" s="1042">
        <f t="shared" ref="AN120:BF120" si="102">((AN$71-$H$4)/1000)*$K$27*(($C$8/70)^$W$27)</f>
        <v>776.38077427679991</v>
      </c>
      <c r="AO120" s="1042">
        <f t="shared" si="102"/>
        <v>798.56308211327996</v>
      </c>
      <c r="AP120" s="1042">
        <f t="shared" si="102"/>
        <v>820.74538994976001</v>
      </c>
      <c r="AQ120" s="1042">
        <f t="shared" si="102"/>
        <v>842.92769778623995</v>
      </c>
      <c r="AR120" s="1042">
        <f t="shared" si="102"/>
        <v>865.11000562271988</v>
      </c>
      <c r="AS120" s="1042">
        <f t="shared" si="102"/>
        <v>887.29231345919993</v>
      </c>
      <c r="AT120" s="1042">
        <f t="shared" si="102"/>
        <v>909.47462129567987</v>
      </c>
      <c r="AU120" s="1042">
        <f t="shared" si="102"/>
        <v>931.65692913215992</v>
      </c>
      <c r="AV120" s="1042">
        <f t="shared" si="102"/>
        <v>953.83923696863985</v>
      </c>
      <c r="AW120" s="1042">
        <f t="shared" si="102"/>
        <v>976.02154480512002</v>
      </c>
      <c r="AX120" s="1042">
        <f t="shared" si="102"/>
        <v>998.20385264159995</v>
      </c>
      <c r="AY120" s="1042">
        <f t="shared" si="102"/>
        <v>1020.3861604780799</v>
      </c>
      <c r="AZ120" s="1042">
        <f t="shared" si="102"/>
        <v>1042.5684683145601</v>
      </c>
      <c r="BA120" s="1042">
        <f t="shared" si="102"/>
        <v>1064.7507761510399</v>
      </c>
      <c r="BB120" s="1042">
        <f t="shared" si="102"/>
        <v>1086.9330839875199</v>
      </c>
      <c r="BC120" s="1042">
        <f t="shared" si="102"/>
        <v>1109.115391824</v>
      </c>
      <c r="BD120" s="1042">
        <f t="shared" si="102"/>
        <v>1131.2976996604798</v>
      </c>
      <c r="BE120" s="1042">
        <f t="shared" si="102"/>
        <v>1153.4800074969598</v>
      </c>
      <c r="BF120" s="1043">
        <f t="shared" si="102"/>
        <v>1175.6623153334399</v>
      </c>
    </row>
    <row r="121" spans="1:58">
      <c r="A121" s="2477"/>
      <c r="B121" s="2588" t="s">
        <v>246</v>
      </c>
      <c r="C121" s="2589"/>
      <c r="D121" s="407" t="s">
        <v>194</v>
      </c>
      <c r="E121" s="450">
        <v>110</v>
      </c>
      <c r="F121" s="450">
        <v>200</v>
      </c>
      <c r="G121" s="407" t="s">
        <v>195</v>
      </c>
      <c r="H121" s="1044">
        <f t="shared" ref="H121:AM121" si="103">((H$71-$H$4)/1000)*$L$27*(($C$8/70)^$X$27)</f>
        <v>75.621503987999986</v>
      </c>
      <c r="I121" s="1044">
        <f t="shared" si="103"/>
        <v>100.828671984</v>
      </c>
      <c r="J121" s="1044">
        <f t="shared" si="103"/>
        <v>126.03583997999999</v>
      </c>
      <c r="K121" s="1044">
        <f t="shared" si="103"/>
        <v>151.24300797599997</v>
      </c>
      <c r="L121" s="1044">
        <f t="shared" si="103"/>
        <v>176.45017597199998</v>
      </c>
      <c r="M121" s="1044">
        <f t="shared" si="103"/>
        <v>201.65734396799999</v>
      </c>
      <c r="N121" s="1044">
        <f t="shared" si="103"/>
        <v>226.864511964</v>
      </c>
      <c r="O121" s="1044">
        <f t="shared" si="103"/>
        <v>252.07167995999998</v>
      </c>
      <c r="P121" s="1044">
        <f t="shared" si="103"/>
        <v>277.27884795599999</v>
      </c>
      <c r="Q121" s="1044">
        <f t="shared" si="103"/>
        <v>302.48601595199995</v>
      </c>
      <c r="R121" s="1044">
        <f t="shared" si="103"/>
        <v>327.69318394800001</v>
      </c>
      <c r="S121" s="1044">
        <f t="shared" si="103"/>
        <v>352.90035194399996</v>
      </c>
      <c r="T121" s="1044">
        <f t="shared" si="103"/>
        <v>378.10751993999997</v>
      </c>
      <c r="U121" s="1044">
        <f t="shared" si="103"/>
        <v>403.31468793599998</v>
      </c>
      <c r="V121" s="1044">
        <f t="shared" si="103"/>
        <v>428.52185593199994</v>
      </c>
      <c r="W121" s="1044">
        <f t="shared" si="103"/>
        <v>453.729023928</v>
      </c>
      <c r="X121" s="1044">
        <f t="shared" si="103"/>
        <v>478.93619192399996</v>
      </c>
      <c r="Y121" s="1044">
        <f t="shared" si="103"/>
        <v>504.14335991999997</v>
      </c>
      <c r="Z121" s="1044">
        <f t="shared" si="103"/>
        <v>529.35052791600003</v>
      </c>
      <c r="AA121" s="1044">
        <f t="shared" si="103"/>
        <v>554.55769591199999</v>
      </c>
      <c r="AB121" s="1044">
        <f t="shared" si="103"/>
        <v>579.76486390799994</v>
      </c>
      <c r="AC121" s="1044">
        <f t="shared" si="103"/>
        <v>604.97203190399989</v>
      </c>
      <c r="AD121" s="1044">
        <f t="shared" si="103"/>
        <v>630.17919989999996</v>
      </c>
      <c r="AE121" s="1044">
        <f t="shared" si="103"/>
        <v>655.38636789600002</v>
      </c>
      <c r="AF121" s="1044">
        <f t="shared" si="103"/>
        <v>680.59353589199998</v>
      </c>
      <c r="AG121" s="1044">
        <f t="shared" si="103"/>
        <v>705.80070388799993</v>
      </c>
      <c r="AH121" s="1044">
        <f t="shared" si="103"/>
        <v>731.00787188399988</v>
      </c>
      <c r="AI121" s="1044">
        <f t="shared" si="103"/>
        <v>756.21503987999995</v>
      </c>
      <c r="AJ121" s="1044">
        <f t="shared" si="103"/>
        <v>781.42220787600002</v>
      </c>
      <c r="AK121" s="1044">
        <f t="shared" si="103"/>
        <v>806.62937587199997</v>
      </c>
      <c r="AL121" s="1044">
        <f t="shared" si="103"/>
        <v>831.83654386799992</v>
      </c>
      <c r="AM121" s="1044">
        <f t="shared" si="103"/>
        <v>857.04371186399987</v>
      </c>
      <c r="AN121" s="1044">
        <f t="shared" ref="AN121:BF121" si="104">((AN$71-$H$4)/1000)*$L$27*(($C$8/70)^$X$27)</f>
        <v>882.25087985999994</v>
      </c>
      <c r="AO121" s="1044">
        <f t="shared" si="104"/>
        <v>907.45804785600001</v>
      </c>
      <c r="AP121" s="1044">
        <f t="shared" si="104"/>
        <v>932.66521585199996</v>
      </c>
      <c r="AQ121" s="1044">
        <f t="shared" si="104"/>
        <v>957.87238384799991</v>
      </c>
      <c r="AR121" s="1044">
        <f t="shared" si="104"/>
        <v>983.07955184399987</v>
      </c>
      <c r="AS121" s="1044">
        <f t="shared" si="104"/>
        <v>1008.2867198399999</v>
      </c>
      <c r="AT121" s="1044">
        <f t="shared" si="104"/>
        <v>1033.4938878359999</v>
      </c>
      <c r="AU121" s="1044">
        <f t="shared" si="104"/>
        <v>1058.7010558320001</v>
      </c>
      <c r="AV121" s="1044">
        <f t="shared" si="104"/>
        <v>1083.9082238279998</v>
      </c>
      <c r="AW121" s="1044">
        <f t="shared" si="104"/>
        <v>1109.115391824</v>
      </c>
      <c r="AX121" s="1044">
        <f t="shared" si="104"/>
        <v>1134.3225598199999</v>
      </c>
      <c r="AY121" s="1044">
        <f t="shared" si="104"/>
        <v>1159.5297278159999</v>
      </c>
      <c r="AZ121" s="1044">
        <f t="shared" si="104"/>
        <v>1184.7368958120001</v>
      </c>
      <c r="BA121" s="1044">
        <f t="shared" si="104"/>
        <v>1209.9440638079998</v>
      </c>
      <c r="BB121" s="1044">
        <f t="shared" si="104"/>
        <v>1235.151231804</v>
      </c>
      <c r="BC121" s="1044">
        <f t="shared" si="104"/>
        <v>1260.3583997999999</v>
      </c>
      <c r="BD121" s="1044">
        <f t="shared" si="104"/>
        <v>1285.5655677959999</v>
      </c>
      <c r="BE121" s="1044">
        <f t="shared" si="104"/>
        <v>1310.772735792</v>
      </c>
      <c r="BF121" s="1045">
        <f t="shared" si="104"/>
        <v>1335.9799037879998</v>
      </c>
    </row>
    <row r="122" spans="1:58">
      <c r="A122" s="2477"/>
      <c r="B122" s="2588" t="s">
        <v>247</v>
      </c>
      <c r="C122" s="2589"/>
      <c r="D122" s="407" t="s">
        <v>194</v>
      </c>
      <c r="E122" s="450">
        <v>110</v>
      </c>
      <c r="F122" s="450">
        <v>260</v>
      </c>
      <c r="G122" s="407" t="s">
        <v>195</v>
      </c>
      <c r="H122" s="1044">
        <f t="shared" ref="H122:AM122" si="105">((H$71-$H$4)/1000)*$M$27*(($C$8/70)^$Y$27)</f>
        <v>95.549747034952233</v>
      </c>
      <c r="I122" s="1044">
        <f t="shared" si="105"/>
        <v>127.39966271326965</v>
      </c>
      <c r="J122" s="1044">
        <f t="shared" si="105"/>
        <v>159.24957839158705</v>
      </c>
      <c r="K122" s="1044">
        <f t="shared" si="105"/>
        <v>191.09949406990447</v>
      </c>
      <c r="L122" s="1044">
        <f t="shared" si="105"/>
        <v>222.94940974822185</v>
      </c>
      <c r="M122" s="1044">
        <f t="shared" si="105"/>
        <v>254.7993254265393</v>
      </c>
      <c r="N122" s="1044">
        <f t="shared" si="105"/>
        <v>286.64924110485669</v>
      </c>
      <c r="O122" s="1044">
        <f t="shared" si="105"/>
        <v>318.4991567831741</v>
      </c>
      <c r="P122" s="1044">
        <f t="shared" si="105"/>
        <v>350.34907246149152</v>
      </c>
      <c r="Q122" s="1044">
        <f t="shared" si="105"/>
        <v>382.19898813980893</v>
      </c>
      <c r="R122" s="1044">
        <f t="shared" si="105"/>
        <v>414.04890381812635</v>
      </c>
      <c r="S122" s="1044">
        <f t="shared" si="105"/>
        <v>445.89881949644371</v>
      </c>
      <c r="T122" s="1044">
        <f t="shared" si="105"/>
        <v>477.74873517476112</v>
      </c>
      <c r="U122" s="1044">
        <f t="shared" si="105"/>
        <v>509.5986508530786</v>
      </c>
      <c r="V122" s="1044">
        <f t="shared" si="105"/>
        <v>541.44856653139595</v>
      </c>
      <c r="W122" s="1044">
        <f t="shared" si="105"/>
        <v>573.29848220971337</v>
      </c>
      <c r="X122" s="1044">
        <f t="shared" si="105"/>
        <v>605.14839788803079</v>
      </c>
      <c r="Y122" s="1044">
        <f t="shared" si="105"/>
        <v>636.9983135663482</v>
      </c>
      <c r="Z122" s="1044">
        <f t="shared" si="105"/>
        <v>668.84822924466562</v>
      </c>
      <c r="AA122" s="1044">
        <f t="shared" si="105"/>
        <v>700.69814492298303</v>
      </c>
      <c r="AB122" s="1044">
        <f t="shared" si="105"/>
        <v>732.54806060130034</v>
      </c>
      <c r="AC122" s="1044">
        <f t="shared" si="105"/>
        <v>764.39797627961786</v>
      </c>
      <c r="AD122" s="1044">
        <f t="shared" si="105"/>
        <v>796.24789195793528</v>
      </c>
      <c r="AE122" s="1044">
        <f t="shared" si="105"/>
        <v>828.0978076362527</v>
      </c>
      <c r="AF122" s="1044">
        <f t="shared" si="105"/>
        <v>859.94772331457011</v>
      </c>
      <c r="AG122" s="1044">
        <f t="shared" si="105"/>
        <v>891.79763899288741</v>
      </c>
      <c r="AH122" s="1044">
        <f t="shared" si="105"/>
        <v>923.64755467120483</v>
      </c>
      <c r="AI122" s="1044">
        <f t="shared" si="105"/>
        <v>955.49747034952225</v>
      </c>
      <c r="AJ122" s="1044">
        <f t="shared" si="105"/>
        <v>987.34738602783978</v>
      </c>
      <c r="AK122" s="1044">
        <f t="shared" si="105"/>
        <v>1019.1973017061572</v>
      </c>
      <c r="AL122" s="1044">
        <f t="shared" si="105"/>
        <v>1051.0472173844744</v>
      </c>
      <c r="AM122" s="1044">
        <f t="shared" si="105"/>
        <v>1082.8971330627919</v>
      </c>
      <c r="AN122" s="1044">
        <f t="shared" ref="AN122:BF122" si="106">((AN$71-$H$4)/1000)*$M$27*(($C$8/70)^$Y$27)</f>
        <v>1114.7470487411094</v>
      </c>
      <c r="AO122" s="1044">
        <f t="shared" si="106"/>
        <v>1146.5969644194267</v>
      </c>
      <c r="AP122" s="1044">
        <f t="shared" si="106"/>
        <v>1178.4468800977443</v>
      </c>
      <c r="AQ122" s="1044">
        <f t="shared" si="106"/>
        <v>1210.2967957760616</v>
      </c>
      <c r="AR122" s="1044">
        <f t="shared" si="106"/>
        <v>1242.1467114543789</v>
      </c>
      <c r="AS122" s="1044">
        <f t="shared" si="106"/>
        <v>1273.9966271326964</v>
      </c>
      <c r="AT122" s="1044">
        <f t="shared" si="106"/>
        <v>1305.8465428110137</v>
      </c>
      <c r="AU122" s="1044">
        <f t="shared" si="106"/>
        <v>1337.6964584893312</v>
      </c>
      <c r="AV122" s="1044">
        <f t="shared" si="106"/>
        <v>1369.5463741676485</v>
      </c>
      <c r="AW122" s="1044">
        <f t="shared" si="106"/>
        <v>1401.3962898459661</v>
      </c>
      <c r="AX122" s="1044">
        <f t="shared" si="106"/>
        <v>1433.2462055242834</v>
      </c>
      <c r="AY122" s="1044">
        <f t="shared" si="106"/>
        <v>1465.0961212026007</v>
      </c>
      <c r="AZ122" s="1044">
        <f t="shared" si="106"/>
        <v>1496.9460368809184</v>
      </c>
      <c r="BA122" s="1044">
        <f t="shared" si="106"/>
        <v>1528.7959525592357</v>
      </c>
      <c r="BB122" s="1044">
        <f t="shared" si="106"/>
        <v>1560.6458682375533</v>
      </c>
      <c r="BC122" s="1044">
        <f t="shared" si="106"/>
        <v>1592.4957839158706</v>
      </c>
      <c r="BD122" s="1044">
        <f t="shared" si="106"/>
        <v>1624.3456995941879</v>
      </c>
      <c r="BE122" s="1044">
        <f t="shared" si="106"/>
        <v>1656.1956152725054</v>
      </c>
      <c r="BF122" s="1045">
        <f t="shared" si="106"/>
        <v>1688.0455309508227</v>
      </c>
    </row>
    <row r="123" spans="1:58">
      <c r="A123" s="2477"/>
      <c r="B123" s="2588" t="s">
        <v>248</v>
      </c>
      <c r="C123" s="2589"/>
      <c r="D123" s="407" t="s">
        <v>194</v>
      </c>
      <c r="E123" s="450">
        <v>110</v>
      </c>
      <c r="F123" s="450">
        <v>300</v>
      </c>
      <c r="G123" s="407" t="s">
        <v>195</v>
      </c>
      <c r="H123" s="1044">
        <f t="shared" ref="H123:AM123" si="107">((H$71-$H$4)/1000)*$N$27*(($C$8/70)^$Z$27)</f>
        <v>102.34681301542689</v>
      </c>
      <c r="I123" s="1044">
        <f t="shared" si="107"/>
        <v>136.46241735390251</v>
      </c>
      <c r="J123" s="1044">
        <f t="shared" si="107"/>
        <v>170.57802169237814</v>
      </c>
      <c r="K123" s="1044">
        <f t="shared" si="107"/>
        <v>204.69362603085378</v>
      </c>
      <c r="L123" s="1044">
        <f t="shared" si="107"/>
        <v>238.80923036932938</v>
      </c>
      <c r="M123" s="1044">
        <f t="shared" si="107"/>
        <v>272.92483470780502</v>
      </c>
      <c r="N123" s="1044">
        <f t="shared" si="107"/>
        <v>307.04043904628065</v>
      </c>
      <c r="O123" s="1044">
        <f t="shared" si="107"/>
        <v>341.15604338475629</v>
      </c>
      <c r="P123" s="1044">
        <f t="shared" si="107"/>
        <v>375.27164772323192</v>
      </c>
      <c r="Q123" s="1044">
        <f t="shared" si="107"/>
        <v>409.38725206170756</v>
      </c>
      <c r="R123" s="1044">
        <f t="shared" si="107"/>
        <v>443.50285640018319</v>
      </c>
      <c r="S123" s="1044">
        <f t="shared" si="107"/>
        <v>477.61846073865877</v>
      </c>
      <c r="T123" s="1044">
        <f t="shared" si="107"/>
        <v>511.73406507713446</v>
      </c>
      <c r="U123" s="1044">
        <f t="shared" si="107"/>
        <v>545.84966941561004</v>
      </c>
      <c r="V123" s="1044">
        <f t="shared" si="107"/>
        <v>579.96527375408573</v>
      </c>
      <c r="W123" s="1044">
        <f t="shared" si="107"/>
        <v>614.08087809256131</v>
      </c>
      <c r="X123" s="1044">
        <f t="shared" si="107"/>
        <v>648.19648243103688</v>
      </c>
      <c r="Y123" s="1044">
        <f t="shared" si="107"/>
        <v>682.31208676951258</v>
      </c>
      <c r="Z123" s="1044">
        <f t="shared" si="107"/>
        <v>716.42769110798827</v>
      </c>
      <c r="AA123" s="1044">
        <f t="shared" si="107"/>
        <v>750.54329544646384</v>
      </c>
      <c r="AB123" s="1044">
        <f t="shared" si="107"/>
        <v>784.65889978493942</v>
      </c>
      <c r="AC123" s="1044">
        <f t="shared" si="107"/>
        <v>818.77450412341511</v>
      </c>
      <c r="AD123" s="1044">
        <f t="shared" si="107"/>
        <v>852.89010846189069</v>
      </c>
      <c r="AE123" s="1044">
        <f t="shared" si="107"/>
        <v>887.00571280036638</v>
      </c>
      <c r="AF123" s="1044">
        <f t="shared" si="107"/>
        <v>921.12131713884207</v>
      </c>
      <c r="AG123" s="1044">
        <f t="shared" si="107"/>
        <v>955.23692147731754</v>
      </c>
      <c r="AH123" s="1044">
        <f t="shared" si="107"/>
        <v>989.35252581579323</v>
      </c>
      <c r="AI123" s="1044">
        <f t="shared" si="107"/>
        <v>1023.4681301542689</v>
      </c>
      <c r="AJ123" s="1044">
        <f t="shared" si="107"/>
        <v>1057.5837344927445</v>
      </c>
      <c r="AK123" s="1044">
        <f t="shared" si="107"/>
        <v>1091.6993388312201</v>
      </c>
      <c r="AL123" s="1044">
        <f t="shared" si="107"/>
        <v>1125.8149431696957</v>
      </c>
      <c r="AM123" s="1044">
        <f t="shared" si="107"/>
        <v>1159.9305475081715</v>
      </c>
      <c r="AN123" s="1044">
        <f t="shared" ref="AN123:BF123" si="108">((AN$71-$H$4)/1000)*$N$27*(($C$8/70)^$Z$27)</f>
        <v>1194.046151846647</v>
      </c>
      <c r="AO123" s="1044">
        <f t="shared" si="108"/>
        <v>1228.1617561851226</v>
      </c>
      <c r="AP123" s="1044">
        <f t="shared" si="108"/>
        <v>1262.2773605235984</v>
      </c>
      <c r="AQ123" s="1044">
        <f t="shared" si="108"/>
        <v>1296.3929648620738</v>
      </c>
      <c r="AR123" s="1044">
        <f t="shared" si="108"/>
        <v>1330.5085692005496</v>
      </c>
      <c r="AS123" s="1044">
        <f t="shared" si="108"/>
        <v>1364.6241735390252</v>
      </c>
      <c r="AT123" s="1044">
        <f t="shared" si="108"/>
        <v>1398.7397778775007</v>
      </c>
      <c r="AU123" s="1044">
        <f t="shared" si="108"/>
        <v>1432.8553822159765</v>
      </c>
      <c r="AV123" s="1044">
        <f t="shared" si="108"/>
        <v>1466.9709865544519</v>
      </c>
      <c r="AW123" s="1044">
        <f t="shared" si="108"/>
        <v>1501.0865908929277</v>
      </c>
      <c r="AX123" s="1044">
        <f t="shared" si="108"/>
        <v>1535.2021952314033</v>
      </c>
      <c r="AY123" s="1044">
        <f t="shared" si="108"/>
        <v>1569.3177995698788</v>
      </c>
      <c r="AZ123" s="1044">
        <f t="shared" si="108"/>
        <v>1603.4334039083546</v>
      </c>
      <c r="BA123" s="1044">
        <f t="shared" si="108"/>
        <v>1637.5490082468302</v>
      </c>
      <c r="BB123" s="1044">
        <f t="shared" si="108"/>
        <v>1671.664612585306</v>
      </c>
      <c r="BC123" s="1044">
        <f t="shared" si="108"/>
        <v>1705.7802169237814</v>
      </c>
      <c r="BD123" s="1044">
        <f t="shared" si="108"/>
        <v>1739.895821262257</v>
      </c>
      <c r="BE123" s="1044">
        <f t="shared" si="108"/>
        <v>1774.0114256007328</v>
      </c>
      <c r="BF123" s="1045">
        <f t="shared" si="108"/>
        <v>1808.1270299392083</v>
      </c>
    </row>
    <row r="124" spans="1:58">
      <c r="A124" s="2477"/>
      <c r="B124" s="2588" t="s">
        <v>249</v>
      </c>
      <c r="C124" s="2589"/>
      <c r="D124" s="407" t="s">
        <v>194</v>
      </c>
      <c r="E124" s="450">
        <v>110</v>
      </c>
      <c r="F124" s="450">
        <v>300</v>
      </c>
      <c r="G124" s="407" t="s">
        <v>200</v>
      </c>
      <c r="H124" s="1044">
        <f>((H$71-$H$4)/1000)*$O$27*(($C$8/70)^$AA$27)</f>
        <v>130.18180341600001</v>
      </c>
      <c r="I124" s="1044">
        <f t="shared" ref="I124:AN124" si="109">((I$71-$H$4)/1000)*$O$27*(($C$8/70)^$AA27)</f>
        <v>173.57573788800002</v>
      </c>
      <c r="J124" s="1044">
        <f t="shared" si="109"/>
        <v>216.96967236</v>
      </c>
      <c r="K124" s="1044">
        <f t="shared" si="109"/>
        <v>260.36360683200002</v>
      </c>
      <c r="L124" s="1044">
        <f t="shared" si="109"/>
        <v>303.75754130399997</v>
      </c>
      <c r="M124" s="1044">
        <f t="shared" si="109"/>
        <v>347.15147577600004</v>
      </c>
      <c r="N124" s="1044">
        <f t="shared" si="109"/>
        <v>390.545410248</v>
      </c>
      <c r="O124" s="1044">
        <f t="shared" si="109"/>
        <v>433.93934472000001</v>
      </c>
      <c r="P124" s="1044">
        <f t="shared" si="109"/>
        <v>477.33327919200002</v>
      </c>
      <c r="Q124" s="1044">
        <f t="shared" si="109"/>
        <v>520.72721366400003</v>
      </c>
      <c r="R124" s="1044">
        <f t="shared" si="109"/>
        <v>564.12114813599999</v>
      </c>
      <c r="S124" s="1044">
        <f t="shared" si="109"/>
        <v>607.51508260799994</v>
      </c>
      <c r="T124" s="1044">
        <f t="shared" si="109"/>
        <v>650.90901708000001</v>
      </c>
      <c r="U124" s="1044">
        <f t="shared" si="109"/>
        <v>694.30295155200008</v>
      </c>
      <c r="V124" s="1044">
        <f t="shared" si="109"/>
        <v>737.69688602400004</v>
      </c>
      <c r="W124" s="1044">
        <f t="shared" si="109"/>
        <v>781.09082049599999</v>
      </c>
      <c r="X124" s="1044">
        <f t="shared" si="109"/>
        <v>824.48475496799995</v>
      </c>
      <c r="Y124" s="1044">
        <f t="shared" si="109"/>
        <v>867.87868944000002</v>
      </c>
      <c r="Z124" s="1044">
        <f t="shared" si="109"/>
        <v>911.27262391200009</v>
      </c>
      <c r="AA124" s="1044">
        <f t="shared" si="109"/>
        <v>954.66655838400004</v>
      </c>
      <c r="AB124" s="1044">
        <f t="shared" si="109"/>
        <v>998.060492856</v>
      </c>
      <c r="AC124" s="1044">
        <f t="shared" si="109"/>
        <v>1041.4544273280001</v>
      </c>
      <c r="AD124" s="1044">
        <f t="shared" si="109"/>
        <v>1084.8483618</v>
      </c>
      <c r="AE124" s="1044">
        <f t="shared" si="109"/>
        <v>1128.242296272</v>
      </c>
      <c r="AF124" s="1044">
        <f t="shared" si="109"/>
        <v>1171.6362307440002</v>
      </c>
      <c r="AG124" s="1044">
        <f t="shared" si="109"/>
        <v>1215.0301652159999</v>
      </c>
      <c r="AH124" s="1044">
        <f t="shared" si="109"/>
        <v>1258.4240996880001</v>
      </c>
      <c r="AI124" s="1044">
        <f t="shared" si="109"/>
        <v>1301.81803416</v>
      </c>
      <c r="AJ124" s="1044">
        <f t="shared" si="109"/>
        <v>1345.211968632</v>
      </c>
      <c r="AK124" s="1044">
        <f t="shared" si="109"/>
        <v>1388.6059031040002</v>
      </c>
      <c r="AL124" s="1044">
        <f t="shared" si="109"/>
        <v>1431.9998375759999</v>
      </c>
      <c r="AM124" s="1044">
        <f t="shared" si="109"/>
        <v>1475.3937720480001</v>
      </c>
      <c r="AN124" s="1044">
        <f t="shared" si="109"/>
        <v>1518.78770652</v>
      </c>
      <c r="AO124" s="1044">
        <f t="shared" ref="AO124:BF124" si="110">((AO$71-$H$4)/1000)*$O$27*(($C$8/70)^$AA27)</f>
        <v>1562.181640992</v>
      </c>
      <c r="AP124" s="1044">
        <f t="shared" si="110"/>
        <v>1605.5755754640002</v>
      </c>
      <c r="AQ124" s="1044">
        <f t="shared" si="110"/>
        <v>1648.9695099359999</v>
      </c>
      <c r="AR124" s="1044">
        <f t="shared" si="110"/>
        <v>1692.3634444080001</v>
      </c>
      <c r="AS124" s="1044">
        <f t="shared" si="110"/>
        <v>1735.75737888</v>
      </c>
      <c r="AT124" s="1044">
        <f t="shared" si="110"/>
        <v>1779.151313352</v>
      </c>
      <c r="AU124" s="1044">
        <f t="shared" si="110"/>
        <v>1822.5452478240002</v>
      </c>
      <c r="AV124" s="1044">
        <f t="shared" si="110"/>
        <v>1865.9391822959999</v>
      </c>
      <c r="AW124" s="1044">
        <f t="shared" si="110"/>
        <v>1909.3331167680001</v>
      </c>
      <c r="AX124" s="1044">
        <f t="shared" si="110"/>
        <v>1952.72705124</v>
      </c>
      <c r="AY124" s="1044">
        <f t="shared" si="110"/>
        <v>1996.120985712</v>
      </c>
      <c r="AZ124" s="1044">
        <f t="shared" si="110"/>
        <v>2039.5149201840002</v>
      </c>
      <c r="BA124" s="1044">
        <f t="shared" si="110"/>
        <v>2082.9088546560001</v>
      </c>
      <c r="BB124" s="1044">
        <f t="shared" si="110"/>
        <v>2126.3027891280003</v>
      </c>
      <c r="BC124" s="1044">
        <f t="shared" si="110"/>
        <v>2169.6967236</v>
      </c>
      <c r="BD124" s="1044">
        <f t="shared" si="110"/>
        <v>2213.0906580719998</v>
      </c>
      <c r="BE124" s="1044">
        <f t="shared" si="110"/>
        <v>2256.484592544</v>
      </c>
      <c r="BF124" s="1045">
        <f t="shared" si="110"/>
        <v>2299.8785270160001</v>
      </c>
    </row>
    <row r="125" spans="1:58">
      <c r="A125" s="2477"/>
      <c r="B125" s="2588" t="s">
        <v>250</v>
      </c>
      <c r="C125" s="2589"/>
      <c r="D125" s="407" t="s">
        <v>194</v>
      </c>
      <c r="E125" s="450">
        <v>110</v>
      </c>
      <c r="F125" s="450">
        <v>360</v>
      </c>
      <c r="G125" s="407" t="s">
        <v>200</v>
      </c>
      <c r="H125" s="1044">
        <f t="shared" ref="H125:AM125" si="111">((H$71-$H$4)/1000)*$Q$27*(($C$8/70)^$AC$27)</f>
        <v>141.41221245755997</v>
      </c>
      <c r="I125" s="1044">
        <f t="shared" si="111"/>
        <v>188.54961661007999</v>
      </c>
      <c r="J125" s="1044">
        <f t="shared" si="111"/>
        <v>235.68702076259999</v>
      </c>
      <c r="K125" s="1044">
        <f t="shared" si="111"/>
        <v>282.82442491511995</v>
      </c>
      <c r="L125" s="1044">
        <f t="shared" si="111"/>
        <v>329.96182906763994</v>
      </c>
      <c r="M125" s="1044">
        <f t="shared" si="111"/>
        <v>377.09923322015999</v>
      </c>
      <c r="N125" s="1044">
        <f t="shared" si="111"/>
        <v>424.23663737267998</v>
      </c>
      <c r="O125" s="1044">
        <f t="shared" si="111"/>
        <v>471.37404152519997</v>
      </c>
      <c r="P125" s="1044">
        <f t="shared" si="111"/>
        <v>518.51144567771996</v>
      </c>
      <c r="Q125" s="1044">
        <f t="shared" si="111"/>
        <v>565.6488498302399</v>
      </c>
      <c r="R125" s="1044">
        <f t="shared" si="111"/>
        <v>612.78625398275994</v>
      </c>
      <c r="S125" s="1044">
        <f t="shared" si="111"/>
        <v>659.92365813527988</v>
      </c>
      <c r="T125" s="1044">
        <f t="shared" si="111"/>
        <v>707.06106228779993</v>
      </c>
      <c r="U125" s="1044">
        <f t="shared" si="111"/>
        <v>754.19846644031998</v>
      </c>
      <c r="V125" s="1044">
        <f t="shared" si="111"/>
        <v>801.33587059283991</v>
      </c>
      <c r="W125" s="1044">
        <f t="shared" si="111"/>
        <v>848.47327474535996</v>
      </c>
      <c r="X125" s="1044">
        <f t="shared" si="111"/>
        <v>895.61067889787989</v>
      </c>
      <c r="Y125" s="1044">
        <f t="shared" si="111"/>
        <v>942.74808305039994</v>
      </c>
      <c r="Z125" s="1044">
        <f t="shared" si="111"/>
        <v>989.88548720291999</v>
      </c>
      <c r="AA125" s="1044">
        <f t="shared" si="111"/>
        <v>1037.0228913554399</v>
      </c>
      <c r="AB125" s="1044">
        <f t="shared" si="111"/>
        <v>1084.1602955079597</v>
      </c>
      <c r="AC125" s="1044">
        <f t="shared" si="111"/>
        <v>1131.2976996604798</v>
      </c>
      <c r="AD125" s="1044">
        <f t="shared" si="111"/>
        <v>1178.4351038129998</v>
      </c>
      <c r="AE125" s="1044">
        <f t="shared" si="111"/>
        <v>1225.5725079655199</v>
      </c>
      <c r="AF125" s="1044">
        <f t="shared" si="111"/>
        <v>1272.7099121180399</v>
      </c>
      <c r="AG125" s="1044">
        <f t="shared" si="111"/>
        <v>1319.8473162705598</v>
      </c>
      <c r="AH125" s="1044">
        <f t="shared" si="111"/>
        <v>1366.9847204230798</v>
      </c>
      <c r="AI125" s="1044">
        <f t="shared" si="111"/>
        <v>1414.1221245755999</v>
      </c>
      <c r="AJ125" s="1044">
        <f t="shared" si="111"/>
        <v>1461.2595287281199</v>
      </c>
      <c r="AK125" s="1044">
        <f t="shared" si="111"/>
        <v>1508.39693288064</v>
      </c>
      <c r="AL125" s="1044">
        <f t="shared" si="111"/>
        <v>1555.5343370331598</v>
      </c>
      <c r="AM125" s="1044">
        <f t="shared" si="111"/>
        <v>1602.6717411856798</v>
      </c>
      <c r="AN125" s="1044">
        <f t="shared" ref="AN125:BF125" si="112">((AN$71-$H$4)/1000)*$Q$27*(($C$8/70)^$AC$27)</f>
        <v>1649.8091453381999</v>
      </c>
      <c r="AO125" s="1044">
        <f t="shared" si="112"/>
        <v>1696.9465494907199</v>
      </c>
      <c r="AP125" s="1044">
        <f t="shared" si="112"/>
        <v>1744.08395364324</v>
      </c>
      <c r="AQ125" s="1044">
        <f t="shared" si="112"/>
        <v>1791.2213577957598</v>
      </c>
      <c r="AR125" s="1044">
        <f t="shared" si="112"/>
        <v>1838.3587619482798</v>
      </c>
      <c r="AS125" s="1044">
        <f t="shared" si="112"/>
        <v>1885.4961661007999</v>
      </c>
      <c r="AT125" s="1044">
        <f t="shared" si="112"/>
        <v>1932.6335702533197</v>
      </c>
      <c r="AU125" s="1044">
        <f t="shared" si="112"/>
        <v>1979.77097440584</v>
      </c>
      <c r="AV125" s="1044">
        <f t="shared" si="112"/>
        <v>2026.9083785583598</v>
      </c>
      <c r="AW125" s="1044">
        <f t="shared" si="112"/>
        <v>2074.0457827108798</v>
      </c>
      <c r="AX125" s="1044">
        <f t="shared" si="112"/>
        <v>2121.1831868633999</v>
      </c>
      <c r="AY125" s="1044">
        <f t="shared" si="112"/>
        <v>2168.3205910159195</v>
      </c>
      <c r="AZ125" s="1044">
        <f t="shared" si="112"/>
        <v>2215.45799516844</v>
      </c>
      <c r="BA125" s="1044">
        <f t="shared" si="112"/>
        <v>2262.5953993209596</v>
      </c>
      <c r="BB125" s="1044">
        <f t="shared" si="112"/>
        <v>2309.7328034734801</v>
      </c>
      <c r="BC125" s="1044">
        <f t="shared" si="112"/>
        <v>2356.8702076259997</v>
      </c>
      <c r="BD125" s="1044">
        <f t="shared" si="112"/>
        <v>2404.0076117785197</v>
      </c>
      <c r="BE125" s="1044">
        <f t="shared" si="112"/>
        <v>2451.1450159310398</v>
      </c>
      <c r="BF125" s="1045">
        <f t="shared" si="112"/>
        <v>2498.2824200835598</v>
      </c>
    </row>
    <row r="126" spans="1:58">
      <c r="A126" s="2477"/>
      <c r="B126" s="2588" t="s">
        <v>251</v>
      </c>
      <c r="C126" s="2589"/>
      <c r="D126" s="407" t="s">
        <v>194</v>
      </c>
      <c r="E126" s="450">
        <v>110</v>
      </c>
      <c r="F126" s="450">
        <v>400</v>
      </c>
      <c r="G126" s="407" t="s">
        <v>200</v>
      </c>
      <c r="H126" s="1044">
        <f t="shared" ref="H126:AM126" si="113">((H$71-$H$4)/1000)*$R$27*(($C$8/70)^$AD$27)</f>
        <v>147.87207432184434</v>
      </c>
      <c r="I126" s="1044">
        <f t="shared" si="113"/>
        <v>197.16276576245912</v>
      </c>
      <c r="J126" s="1044">
        <f t="shared" si="113"/>
        <v>246.4534572030739</v>
      </c>
      <c r="K126" s="1044">
        <f t="shared" si="113"/>
        <v>295.74414864368867</v>
      </c>
      <c r="L126" s="1044">
        <f t="shared" si="113"/>
        <v>345.03484008430343</v>
      </c>
      <c r="M126" s="1044">
        <f t="shared" si="113"/>
        <v>394.32553152491823</v>
      </c>
      <c r="N126" s="1044">
        <f t="shared" si="113"/>
        <v>443.61622296553304</v>
      </c>
      <c r="O126" s="1044">
        <f t="shared" si="113"/>
        <v>492.90691440614779</v>
      </c>
      <c r="P126" s="1044">
        <f t="shared" si="113"/>
        <v>542.1976058467626</v>
      </c>
      <c r="Q126" s="1044">
        <f t="shared" si="113"/>
        <v>591.48829728737735</v>
      </c>
      <c r="R126" s="1044">
        <f t="shared" si="113"/>
        <v>640.7789887279921</v>
      </c>
      <c r="S126" s="1044">
        <f t="shared" si="113"/>
        <v>690.06968016860685</v>
      </c>
      <c r="T126" s="1044">
        <f t="shared" si="113"/>
        <v>739.36037160922172</v>
      </c>
      <c r="U126" s="1044">
        <f t="shared" si="113"/>
        <v>788.65106304983647</v>
      </c>
      <c r="V126" s="1044">
        <f t="shared" si="113"/>
        <v>837.94175449045122</v>
      </c>
      <c r="W126" s="1044">
        <f t="shared" si="113"/>
        <v>887.23244593106608</v>
      </c>
      <c r="X126" s="1044">
        <f t="shared" si="113"/>
        <v>936.52313737168072</v>
      </c>
      <c r="Y126" s="1044">
        <f t="shared" si="113"/>
        <v>985.81382881229558</v>
      </c>
      <c r="Z126" s="1044">
        <f t="shared" si="113"/>
        <v>1035.1045202529103</v>
      </c>
      <c r="AA126" s="1044">
        <f t="shared" si="113"/>
        <v>1084.3952116935252</v>
      </c>
      <c r="AB126" s="1044">
        <f t="shared" si="113"/>
        <v>1133.6859031341398</v>
      </c>
      <c r="AC126" s="1044">
        <f t="shared" si="113"/>
        <v>1182.9765945747547</v>
      </c>
      <c r="AD126" s="1044">
        <f t="shared" si="113"/>
        <v>1232.2672860153696</v>
      </c>
      <c r="AE126" s="1044">
        <f t="shared" si="113"/>
        <v>1281.5579774559842</v>
      </c>
      <c r="AF126" s="1044">
        <f t="shared" si="113"/>
        <v>1330.8486688965991</v>
      </c>
      <c r="AG126" s="1044">
        <f t="shared" si="113"/>
        <v>1380.1393603372137</v>
      </c>
      <c r="AH126" s="1044">
        <f t="shared" si="113"/>
        <v>1429.4300517778286</v>
      </c>
      <c r="AI126" s="1044">
        <f t="shared" si="113"/>
        <v>1478.7207432184434</v>
      </c>
      <c r="AJ126" s="1044">
        <f t="shared" si="113"/>
        <v>1528.0114346590583</v>
      </c>
      <c r="AK126" s="1044">
        <f t="shared" si="113"/>
        <v>1577.3021260996729</v>
      </c>
      <c r="AL126" s="1044">
        <f t="shared" si="113"/>
        <v>1626.5928175402876</v>
      </c>
      <c r="AM126" s="1044">
        <f t="shared" si="113"/>
        <v>1675.8835089809024</v>
      </c>
      <c r="AN126" s="1044">
        <f t="shared" ref="AN126:BF126" si="114">((AN$71-$H$4)/1000)*$R$27*(($C$8/70)^$AD$27)</f>
        <v>1725.1742004215173</v>
      </c>
      <c r="AO126" s="1044">
        <f t="shared" si="114"/>
        <v>1774.4648918621322</v>
      </c>
      <c r="AP126" s="1044">
        <f t="shared" si="114"/>
        <v>1823.755583302747</v>
      </c>
      <c r="AQ126" s="1044">
        <f t="shared" si="114"/>
        <v>1873.0462747433614</v>
      </c>
      <c r="AR126" s="1044">
        <f t="shared" si="114"/>
        <v>1922.3369661839763</v>
      </c>
      <c r="AS126" s="1044">
        <f t="shared" si="114"/>
        <v>1971.6276576245912</v>
      </c>
      <c r="AT126" s="1044">
        <f t="shared" si="114"/>
        <v>2020.9183490652058</v>
      </c>
      <c r="AU126" s="1044">
        <f t="shared" si="114"/>
        <v>2070.2090405058207</v>
      </c>
      <c r="AV126" s="1044">
        <f t="shared" si="114"/>
        <v>2119.4997319464355</v>
      </c>
      <c r="AW126" s="1044">
        <f t="shared" si="114"/>
        <v>2168.7904233870504</v>
      </c>
      <c r="AX126" s="1044">
        <f t="shared" si="114"/>
        <v>2218.0811148276653</v>
      </c>
      <c r="AY126" s="1044">
        <f t="shared" si="114"/>
        <v>2267.3718062682797</v>
      </c>
      <c r="AZ126" s="1044">
        <f t="shared" si="114"/>
        <v>2316.6624977088945</v>
      </c>
      <c r="BA126" s="1044">
        <f t="shared" si="114"/>
        <v>2365.9531891495094</v>
      </c>
      <c r="BB126" s="1044">
        <f t="shared" si="114"/>
        <v>2415.2438805901243</v>
      </c>
      <c r="BC126" s="1044">
        <f t="shared" si="114"/>
        <v>2464.5345720307391</v>
      </c>
      <c r="BD126" s="1044">
        <f t="shared" si="114"/>
        <v>2513.8252634713535</v>
      </c>
      <c r="BE126" s="1044">
        <f t="shared" si="114"/>
        <v>2563.1159549119684</v>
      </c>
      <c r="BF126" s="1045">
        <f t="shared" si="114"/>
        <v>2612.4066463525833</v>
      </c>
    </row>
    <row r="127" spans="1:58" ht="15.75" thickBot="1">
      <c r="A127" s="2477"/>
      <c r="B127" s="2590" t="s">
        <v>252</v>
      </c>
      <c r="C127" s="2591"/>
      <c r="D127" s="408" t="s">
        <v>194</v>
      </c>
      <c r="E127" s="450">
        <v>110</v>
      </c>
      <c r="F127" s="451">
        <v>400</v>
      </c>
      <c r="G127" s="408" t="s">
        <v>220</v>
      </c>
      <c r="H127" s="1046">
        <f t="shared" ref="H127:AM127" si="115">((H$71-$H$4)/1000)*$S$27*(($C$8/70)^$AE$27)</f>
        <v>169.19325941759999</v>
      </c>
      <c r="I127" s="1046">
        <f t="shared" si="115"/>
        <v>225.5910125568</v>
      </c>
      <c r="J127" s="1046">
        <f t="shared" si="115"/>
        <v>281.98876569599997</v>
      </c>
      <c r="K127" s="1046">
        <f t="shared" si="115"/>
        <v>338.38651883519998</v>
      </c>
      <c r="L127" s="1046">
        <f t="shared" si="115"/>
        <v>394.78427197439993</v>
      </c>
      <c r="M127" s="1046">
        <f t="shared" si="115"/>
        <v>451.18202511359999</v>
      </c>
      <c r="N127" s="1046">
        <f t="shared" si="115"/>
        <v>507.57977825279994</v>
      </c>
      <c r="O127" s="1046">
        <f t="shared" si="115"/>
        <v>563.97753139199995</v>
      </c>
      <c r="P127" s="1046">
        <f t="shared" si="115"/>
        <v>620.37528453120001</v>
      </c>
      <c r="Q127" s="1046">
        <f t="shared" si="115"/>
        <v>676.77303767039996</v>
      </c>
      <c r="R127" s="1046">
        <f t="shared" si="115"/>
        <v>733.17079080959991</v>
      </c>
      <c r="S127" s="1046">
        <f t="shared" si="115"/>
        <v>789.56854394879986</v>
      </c>
      <c r="T127" s="1046">
        <f t="shared" si="115"/>
        <v>845.96629708799992</v>
      </c>
      <c r="U127" s="1046">
        <f t="shared" si="115"/>
        <v>902.36405022719998</v>
      </c>
      <c r="V127" s="1046">
        <f t="shared" si="115"/>
        <v>958.76180336639993</v>
      </c>
      <c r="W127" s="1046">
        <f t="shared" si="115"/>
        <v>1015.1595565055999</v>
      </c>
      <c r="X127" s="1046">
        <f t="shared" si="115"/>
        <v>1071.5573096447999</v>
      </c>
      <c r="Y127" s="1046">
        <f t="shared" si="115"/>
        <v>1127.9550627839999</v>
      </c>
      <c r="Z127" s="1046">
        <f t="shared" si="115"/>
        <v>1184.3528159231998</v>
      </c>
      <c r="AA127" s="1046">
        <f t="shared" si="115"/>
        <v>1240.7505690624</v>
      </c>
      <c r="AB127" s="1046">
        <f t="shared" si="115"/>
        <v>1297.1483222015997</v>
      </c>
      <c r="AC127" s="1046">
        <f t="shared" si="115"/>
        <v>1353.5460753407999</v>
      </c>
      <c r="AD127" s="1046">
        <f t="shared" si="115"/>
        <v>1409.9438284799999</v>
      </c>
      <c r="AE127" s="1046">
        <f t="shared" si="115"/>
        <v>1466.3415816191998</v>
      </c>
      <c r="AF127" s="1046">
        <f t="shared" si="115"/>
        <v>1522.7393347584</v>
      </c>
      <c r="AG127" s="1046">
        <f t="shared" si="115"/>
        <v>1579.1370878975997</v>
      </c>
      <c r="AH127" s="1046">
        <f t="shared" si="115"/>
        <v>1635.5348410367999</v>
      </c>
      <c r="AI127" s="1046">
        <f t="shared" si="115"/>
        <v>1691.9325941759998</v>
      </c>
      <c r="AJ127" s="1046">
        <f t="shared" si="115"/>
        <v>1748.3303473151998</v>
      </c>
      <c r="AK127" s="1046">
        <f t="shared" si="115"/>
        <v>1804.7281004544</v>
      </c>
      <c r="AL127" s="1046">
        <f t="shared" si="115"/>
        <v>1861.1258535935997</v>
      </c>
      <c r="AM127" s="1046">
        <f t="shared" si="115"/>
        <v>1917.5236067327999</v>
      </c>
      <c r="AN127" s="1046">
        <f t="shared" ref="AN127:BF127" si="116">((AN$71-$H$4)/1000)*$S$27*(($C$8/70)^$AE$27)</f>
        <v>1973.9213598719998</v>
      </c>
      <c r="AO127" s="1046">
        <f t="shared" si="116"/>
        <v>2030.3191130111998</v>
      </c>
      <c r="AP127" s="1046">
        <f t="shared" si="116"/>
        <v>2086.7168661503997</v>
      </c>
      <c r="AQ127" s="1046">
        <f t="shared" si="116"/>
        <v>2143.1146192895999</v>
      </c>
      <c r="AR127" s="1046">
        <f t="shared" si="116"/>
        <v>2199.5123724287996</v>
      </c>
      <c r="AS127" s="1046">
        <f t="shared" si="116"/>
        <v>2255.9101255679998</v>
      </c>
      <c r="AT127" s="1046">
        <f t="shared" si="116"/>
        <v>2312.3078787071995</v>
      </c>
      <c r="AU127" s="1046">
        <f t="shared" si="116"/>
        <v>2368.7056318463997</v>
      </c>
      <c r="AV127" s="1046">
        <f t="shared" si="116"/>
        <v>2425.1033849855999</v>
      </c>
      <c r="AW127" s="1046">
        <f t="shared" si="116"/>
        <v>2481.5011381248</v>
      </c>
      <c r="AX127" s="1046">
        <f t="shared" si="116"/>
        <v>2537.8988912639998</v>
      </c>
      <c r="AY127" s="1046">
        <f t="shared" si="116"/>
        <v>2594.2966444031995</v>
      </c>
      <c r="AZ127" s="1046">
        <f t="shared" si="116"/>
        <v>2650.6943975423997</v>
      </c>
      <c r="BA127" s="1046">
        <f t="shared" si="116"/>
        <v>2707.0921506815998</v>
      </c>
      <c r="BB127" s="1046">
        <f t="shared" si="116"/>
        <v>2763.4899038208</v>
      </c>
      <c r="BC127" s="1046">
        <f t="shared" si="116"/>
        <v>2819.8876569599997</v>
      </c>
      <c r="BD127" s="1046">
        <f t="shared" si="116"/>
        <v>2876.2854100991995</v>
      </c>
      <c r="BE127" s="1046">
        <f t="shared" si="116"/>
        <v>2932.6831632383996</v>
      </c>
      <c r="BF127" s="1047">
        <f t="shared" si="116"/>
        <v>2989.0809163775998</v>
      </c>
    </row>
    <row r="128" spans="1:58">
      <c r="A128" s="2477"/>
      <c r="B128" s="2593" t="s">
        <v>380</v>
      </c>
      <c r="C128" s="2593"/>
      <c r="D128" s="427" t="s">
        <v>194</v>
      </c>
      <c r="E128" s="469">
        <v>140</v>
      </c>
      <c r="F128" s="469">
        <v>160</v>
      </c>
      <c r="G128" s="427" t="s">
        <v>254</v>
      </c>
      <c r="H128" s="1048">
        <f t="shared" ref="H128:AM128" si="117">((H$71-$H$4)/1000)*$K$28*(($C$8/70)^$W$28)</f>
        <v>97.77399299999999</v>
      </c>
      <c r="I128" s="1048">
        <f t="shared" si="117"/>
        <v>130.36532399999999</v>
      </c>
      <c r="J128" s="1048">
        <f t="shared" si="117"/>
        <v>162.95665499999998</v>
      </c>
      <c r="K128" s="1048">
        <f t="shared" si="117"/>
        <v>195.54798599999998</v>
      </c>
      <c r="L128" s="1048">
        <f t="shared" si="117"/>
        <v>228.13931699999995</v>
      </c>
      <c r="M128" s="1048">
        <f t="shared" si="117"/>
        <v>260.73064799999997</v>
      </c>
      <c r="N128" s="1048">
        <f t="shared" si="117"/>
        <v>293.321979</v>
      </c>
      <c r="O128" s="1048">
        <f t="shared" si="117"/>
        <v>325.91330999999997</v>
      </c>
      <c r="P128" s="1048">
        <f t="shared" si="117"/>
        <v>358.50464099999999</v>
      </c>
      <c r="Q128" s="1048">
        <f t="shared" si="117"/>
        <v>391.09597199999996</v>
      </c>
      <c r="R128" s="1048">
        <f t="shared" si="117"/>
        <v>423.68730299999999</v>
      </c>
      <c r="S128" s="1048">
        <f t="shared" si="117"/>
        <v>456.2786339999999</v>
      </c>
      <c r="T128" s="1048">
        <f t="shared" si="117"/>
        <v>488.86996499999998</v>
      </c>
      <c r="U128" s="1048">
        <f t="shared" si="117"/>
        <v>521.46129599999995</v>
      </c>
      <c r="V128" s="1048">
        <f t="shared" si="117"/>
        <v>554.05262699999992</v>
      </c>
      <c r="W128" s="1048">
        <f t="shared" si="117"/>
        <v>586.643958</v>
      </c>
      <c r="X128" s="1048">
        <f t="shared" si="117"/>
        <v>619.23528899999985</v>
      </c>
      <c r="Y128" s="1048">
        <f t="shared" si="117"/>
        <v>651.82661999999993</v>
      </c>
      <c r="Z128" s="1048">
        <f t="shared" si="117"/>
        <v>684.41795100000002</v>
      </c>
      <c r="AA128" s="1048">
        <f t="shared" si="117"/>
        <v>717.00928199999998</v>
      </c>
      <c r="AB128" s="1048">
        <f t="shared" si="117"/>
        <v>749.60061299999984</v>
      </c>
      <c r="AC128" s="1048">
        <f t="shared" si="117"/>
        <v>782.19194399999992</v>
      </c>
      <c r="AD128" s="1048">
        <f t="shared" si="117"/>
        <v>814.78327499999989</v>
      </c>
      <c r="AE128" s="1048">
        <f t="shared" si="117"/>
        <v>847.37460599999997</v>
      </c>
      <c r="AF128" s="1048">
        <f t="shared" si="117"/>
        <v>879.96593699999994</v>
      </c>
      <c r="AG128" s="1048">
        <f t="shared" si="117"/>
        <v>912.55726799999979</v>
      </c>
      <c r="AH128" s="1048">
        <f t="shared" si="117"/>
        <v>945.14859899999988</v>
      </c>
      <c r="AI128" s="1048">
        <f t="shared" si="117"/>
        <v>977.73992999999996</v>
      </c>
      <c r="AJ128" s="1048">
        <f t="shared" si="117"/>
        <v>1010.3312609999999</v>
      </c>
      <c r="AK128" s="1048">
        <f t="shared" si="117"/>
        <v>1042.9225919999999</v>
      </c>
      <c r="AL128" s="1048">
        <f t="shared" si="117"/>
        <v>1075.5139229999997</v>
      </c>
      <c r="AM128" s="1048">
        <f t="shared" si="117"/>
        <v>1108.1052539999998</v>
      </c>
      <c r="AN128" s="1048">
        <f t="shared" ref="AN128:BF128" si="118">((AN$71-$H$4)/1000)*$K$28*(($C$8/70)^$W$28)</f>
        <v>1140.6965849999999</v>
      </c>
      <c r="AO128" s="1048">
        <f t="shared" si="118"/>
        <v>1173.287916</v>
      </c>
      <c r="AP128" s="1048">
        <f t="shared" si="118"/>
        <v>1205.8792469999999</v>
      </c>
      <c r="AQ128" s="1048">
        <f t="shared" si="118"/>
        <v>1238.4705779999997</v>
      </c>
      <c r="AR128" s="1048">
        <f t="shared" si="118"/>
        <v>1271.0619089999998</v>
      </c>
      <c r="AS128" s="1048">
        <f t="shared" si="118"/>
        <v>1303.6532399999999</v>
      </c>
      <c r="AT128" s="1048">
        <f t="shared" si="118"/>
        <v>1336.2445709999997</v>
      </c>
      <c r="AU128" s="1048">
        <f t="shared" si="118"/>
        <v>1368.835902</v>
      </c>
      <c r="AV128" s="1048">
        <f t="shared" si="118"/>
        <v>1401.4272329999999</v>
      </c>
      <c r="AW128" s="1048">
        <f t="shared" si="118"/>
        <v>1434.018564</v>
      </c>
      <c r="AX128" s="1048">
        <f t="shared" si="118"/>
        <v>1466.6098949999998</v>
      </c>
      <c r="AY128" s="1048">
        <f t="shared" si="118"/>
        <v>1499.2012259999997</v>
      </c>
      <c r="AZ128" s="1048">
        <f t="shared" si="118"/>
        <v>1531.792557</v>
      </c>
      <c r="BA128" s="1048">
        <f t="shared" si="118"/>
        <v>1564.3838879999998</v>
      </c>
      <c r="BB128" s="1048">
        <f t="shared" si="118"/>
        <v>1596.9752189999999</v>
      </c>
      <c r="BC128" s="1048">
        <f t="shared" si="118"/>
        <v>1629.5665499999998</v>
      </c>
      <c r="BD128" s="1048">
        <f t="shared" si="118"/>
        <v>1662.1578809999996</v>
      </c>
      <c r="BE128" s="1048">
        <f t="shared" si="118"/>
        <v>1694.7492119999999</v>
      </c>
      <c r="BF128" s="1048">
        <f t="shared" si="118"/>
        <v>1727.3405429999998</v>
      </c>
    </row>
    <row r="129" spans="1:58">
      <c r="A129" s="2477"/>
      <c r="B129" s="2594" t="s">
        <v>381</v>
      </c>
      <c r="C129" s="2594"/>
      <c r="D129" s="428" t="s">
        <v>194</v>
      </c>
      <c r="E129" s="470">
        <v>140</v>
      </c>
      <c r="F129" s="470">
        <v>200</v>
      </c>
      <c r="G129" s="428" t="s">
        <v>254</v>
      </c>
      <c r="H129" s="1049">
        <f t="shared" ref="H129:AM129" si="119">((H$71-$H$4)/1000)*$L$28*(($C$8/70)^$X$28)</f>
        <v>112.3839</v>
      </c>
      <c r="I129" s="1049">
        <f t="shared" si="119"/>
        <v>149.84520000000001</v>
      </c>
      <c r="J129" s="1049">
        <f t="shared" si="119"/>
        <v>187.3065</v>
      </c>
      <c r="K129" s="1049">
        <f t="shared" si="119"/>
        <v>224.76779999999999</v>
      </c>
      <c r="L129" s="1049">
        <f t="shared" si="119"/>
        <v>262.22909999999996</v>
      </c>
      <c r="M129" s="1049">
        <f t="shared" si="119"/>
        <v>299.69040000000001</v>
      </c>
      <c r="N129" s="1049">
        <f t="shared" si="119"/>
        <v>337.15170000000001</v>
      </c>
      <c r="O129" s="1049">
        <f t="shared" si="119"/>
        <v>374.613</v>
      </c>
      <c r="P129" s="1049">
        <f t="shared" si="119"/>
        <v>412.07430000000005</v>
      </c>
      <c r="Q129" s="1049">
        <f t="shared" si="119"/>
        <v>449.53559999999999</v>
      </c>
      <c r="R129" s="1049">
        <f t="shared" si="119"/>
        <v>486.99690000000004</v>
      </c>
      <c r="S129" s="1049">
        <f t="shared" si="119"/>
        <v>524.45819999999992</v>
      </c>
      <c r="T129" s="1049">
        <f t="shared" si="119"/>
        <v>561.91949999999997</v>
      </c>
      <c r="U129" s="1049">
        <f t="shared" si="119"/>
        <v>599.38080000000002</v>
      </c>
      <c r="V129" s="1049">
        <f t="shared" si="119"/>
        <v>636.84209999999996</v>
      </c>
      <c r="W129" s="1049">
        <f t="shared" si="119"/>
        <v>674.30340000000001</v>
      </c>
      <c r="X129" s="1049">
        <f t="shared" si="119"/>
        <v>711.76469999999995</v>
      </c>
      <c r="Y129" s="1049">
        <f t="shared" si="119"/>
        <v>749.226</v>
      </c>
      <c r="Z129" s="1049">
        <f t="shared" si="119"/>
        <v>786.68730000000005</v>
      </c>
      <c r="AA129" s="1049">
        <f t="shared" si="119"/>
        <v>824.1486000000001</v>
      </c>
      <c r="AB129" s="1049">
        <f t="shared" si="119"/>
        <v>861.60989999999993</v>
      </c>
      <c r="AC129" s="1049">
        <f t="shared" si="119"/>
        <v>899.07119999999998</v>
      </c>
      <c r="AD129" s="1049">
        <f t="shared" si="119"/>
        <v>936.53250000000003</v>
      </c>
      <c r="AE129" s="1049">
        <f t="shared" si="119"/>
        <v>973.99380000000008</v>
      </c>
      <c r="AF129" s="1049">
        <f t="shared" si="119"/>
        <v>1011.4551</v>
      </c>
      <c r="AG129" s="1049">
        <f t="shared" si="119"/>
        <v>1048.9163999999998</v>
      </c>
      <c r="AH129" s="1049">
        <f t="shared" si="119"/>
        <v>1086.3777</v>
      </c>
      <c r="AI129" s="1049">
        <f t="shared" si="119"/>
        <v>1123.8389999999999</v>
      </c>
      <c r="AJ129" s="1049">
        <f t="shared" si="119"/>
        <v>1161.3003000000001</v>
      </c>
      <c r="AK129" s="1049">
        <f t="shared" si="119"/>
        <v>1198.7616</v>
      </c>
      <c r="AL129" s="1049">
        <f t="shared" si="119"/>
        <v>1236.2229</v>
      </c>
      <c r="AM129" s="1049">
        <f t="shared" si="119"/>
        <v>1273.6841999999999</v>
      </c>
      <c r="AN129" s="1049">
        <f t="shared" ref="AN129:BF129" si="120">((AN$71-$H$4)/1000)*$L$28*(($C$8/70)^$X$28)</f>
        <v>1311.1455000000001</v>
      </c>
      <c r="AO129" s="1049">
        <f t="shared" si="120"/>
        <v>1348.6068</v>
      </c>
      <c r="AP129" s="1049">
        <f t="shared" si="120"/>
        <v>1386.0681</v>
      </c>
      <c r="AQ129" s="1049">
        <f t="shared" si="120"/>
        <v>1423.5293999999999</v>
      </c>
      <c r="AR129" s="1049">
        <f t="shared" si="120"/>
        <v>1460.9907000000001</v>
      </c>
      <c r="AS129" s="1049">
        <f t="shared" si="120"/>
        <v>1498.452</v>
      </c>
      <c r="AT129" s="1049">
        <f t="shared" si="120"/>
        <v>1535.9132999999999</v>
      </c>
      <c r="AU129" s="1049">
        <f t="shared" si="120"/>
        <v>1573.3746000000001</v>
      </c>
      <c r="AV129" s="1049">
        <f t="shared" si="120"/>
        <v>1610.8359</v>
      </c>
      <c r="AW129" s="1049">
        <f t="shared" si="120"/>
        <v>1648.2972000000002</v>
      </c>
      <c r="AX129" s="1049">
        <f t="shared" si="120"/>
        <v>1685.7584999999999</v>
      </c>
      <c r="AY129" s="1049">
        <f t="shared" si="120"/>
        <v>1723.2197999999999</v>
      </c>
      <c r="AZ129" s="1049">
        <f t="shared" si="120"/>
        <v>1760.6811</v>
      </c>
      <c r="BA129" s="1049">
        <f t="shared" si="120"/>
        <v>1798.1424</v>
      </c>
      <c r="BB129" s="1049">
        <f t="shared" si="120"/>
        <v>1835.6037000000001</v>
      </c>
      <c r="BC129" s="1049">
        <f t="shared" si="120"/>
        <v>1873.0650000000001</v>
      </c>
      <c r="BD129" s="1049">
        <f t="shared" si="120"/>
        <v>1910.5262999999998</v>
      </c>
      <c r="BE129" s="1049">
        <f t="shared" si="120"/>
        <v>1947.9876000000002</v>
      </c>
      <c r="BF129" s="1049">
        <f t="shared" si="120"/>
        <v>1985.4488999999999</v>
      </c>
    </row>
    <row r="130" spans="1:58">
      <c r="A130" s="2477"/>
      <c r="B130" s="2594" t="s">
        <v>382</v>
      </c>
      <c r="C130" s="2594"/>
      <c r="D130" s="428" t="s">
        <v>194</v>
      </c>
      <c r="E130" s="470">
        <v>140</v>
      </c>
      <c r="F130" s="470">
        <v>260</v>
      </c>
      <c r="G130" s="428" t="s">
        <v>254</v>
      </c>
      <c r="H130" s="1049">
        <f t="shared" ref="H130:AM130" si="121">((H$71-$H$4)/1000)*$M$28*(($C$8/70)^$Y$28)</f>
        <v>145.71045771218996</v>
      </c>
      <c r="I130" s="1049">
        <f t="shared" si="121"/>
        <v>194.28061028291998</v>
      </c>
      <c r="J130" s="1049">
        <f t="shared" si="121"/>
        <v>242.85076285364997</v>
      </c>
      <c r="K130" s="1049">
        <f t="shared" si="121"/>
        <v>291.42091542437993</v>
      </c>
      <c r="L130" s="1049">
        <f t="shared" si="121"/>
        <v>339.99106799510992</v>
      </c>
      <c r="M130" s="1049">
        <f t="shared" si="121"/>
        <v>388.56122056583996</v>
      </c>
      <c r="N130" s="1049">
        <f t="shared" si="121"/>
        <v>437.13137313656995</v>
      </c>
      <c r="O130" s="1049">
        <f t="shared" si="121"/>
        <v>485.70152570729994</v>
      </c>
      <c r="P130" s="1049">
        <f t="shared" si="121"/>
        <v>534.27167827802998</v>
      </c>
      <c r="Q130" s="1049">
        <f t="shared" si="121"/>
        <v>582.84183084875986</v>
      </c>
      <c r="R130" s="1049">
        <f t="shared" si="121"/>
        <v>631.41198341948996</v>
      </c>
      <c r="S130" s="1049">
        <f t="shared" si="121"/>
        <v>679.98213599021983</v>
      </c>
      <c r="T130" s="1049">
        <f t="shared" si="121"/>
        <v>728.55228856094993</v>
      </c>
      <c r="U130" s="1049">
        <f t="shared" si="121"/>
        <v>777.12244113167992</v>
      </c>
      <c r="V130" s="1049">
        <f t="shared" si="121"/>
        <v>825.69259370240991</v>
      </c>
      <c r="W130" s="1049">
        <f t="shared" si="121"/>
        <v>874.2627462731399</v>
      </c>
      <c r="X130" s="1049">
        <f t="shared" si="121"/>
        <v>922.83289884386988</v>
      </c>
      <c r="Y130" s="1049">
        <f t="shared" si="121"/>
        <v>971.40305141459987</v>
      </c>
      <c r="Z130" s="1049">
        <f t="shared" si="121"/>
        <v>1019.9732039853299</v>
      </c>
      <c r="AA130" s="1049">
        <f t="shared" si="121"/>
        <v>1068.54335655606</v>
      </c>
      <c r="AB130" s="1049">
        <f t="shared" si="121"/>
        <v>1117.1135091267897</v>
      </c>
      <c r="AC130" s="1049">
        <f t="shared" si="121"/>
        <v>1165.6836616975197</v>
      </c>
      <c r="AD130" s="1049">
        <f t="shared" si="121"/>
        <v>1214.2538142682499</v>
      </c>
      <c r="AE130" s="1049">
        <f t="shared" si="121"/>
        <v>1262.8239668389799</v>
      </c>
      <c r="AF130" s="1049">
        <f t="shared" si="121"/>
        <v>1311.3941194097099</v>
      </c>
      <c r="AG130" s="1049">
        <f t="shared" si="121"/>
        <v>1359.9642719804397</v>
      </c>
      <c r="AH130" s="1049">
        <f t="shared" si="121"/>
        <v>1408.5344245511699</v>
      </c>
      <c r="AI130" s="1049">
        <f t="shared" si="121"/>
        <v>1457.1045771218999</v>
      </c>
      <c r="AJ130" s="1049">
        <f t="shared" si="121"/>
        <v>1505.6747296926299</v>
      </c>
      <c r="AK130" s="1049">
        <f t="shared" si="121"/>
        <v>1554.2448822633598</v>
      </c>
      <c r="AL130" s="1049">
        <f t="shared" si="121"/>
        <v>1602.8150348340896</v>
      </c>
      <c r="AM130" s="1049">
        <f t="shared" si="121"/>
        <v>1651.3851874048198</v>
      </c>
      <c r="AN130" s="1049">
        <f t="shared" ref="AN130:BF130" si="122">((AN$71-$H$4)/1000)*$M$28*(($C$8/70)^$Y$28)</f>
        <v>1699.9553399755498</v>
      </c>
      <c r="AO130" s="1049">
        <f t="shared" si="122"/>
        <v>1748.5254925462798</v>
      </c>
      <c r="AP130" s="1049">
        <f t="shared" si="122"/>
        <v>1797.0956451170098</v>
      </c>
      <c r="AQ130" s="1049">
        <f t="shared" si="122"/>
        <v>1845.6657976877398</v>
      </c>
      <c r="AR130" s="1049">
        <f t="shared" si="122"/>
        <v>1894.2359502584698</v>
      </c>
      <c r="AS130" s="1049">
        <f t="shared" si="122"/>
        <v>1942.8061028291997</v>
      </c>
      <c r="AT130" s="1049">
        <f t="shared" si="122"/>
        <v>1991.3762553999295</v>
      </c>
      <c r="AU130" s="1049">
        <f t="shared" si="122"/>
        <v>2039.9464079706597</v>
      </c>
      <c r="AV130" s="1049">
        <f t="shared" si="122"/>
        <v>2088.5165605413895</v>
      </c>
      <c r="AW130" s="1049">
        <f t="shared" si="122"/>
        <v>2137.0867131121199</v>
      </c>
      <c r="AX130" s="1049">
        <f t="shared" si="122"/>
        <v>2185.6568656828499</v>
      </c>
      <c r="AY130" s="1049">
        <f t="shared" si="122"/>
        <v>2234.2270182535794</v>
      </c>
      <c r="AZ130" s="1049">
        <f t="shared" si="122"/>
        <v>2282.7971708243099</v>
      </c>
      <c r="BA130" s="1049">
        <f t="shared" si="122"/>
        <v>2331.3673233950394</v>
      </c>
      <c r="BB130" s="1049">
        <f t="shared" si="122"/>
        <v>2379.9374759657699</v>
      </c>
      <c r="BC130" s="1049">
        <f t="shared" si="122"/>
        <v>2428.5076285364999</v>
      </c>
      <c r="BD130" s="1049">
        <f t="shared" si="122"/>
        <v>2477.0777811072294</v>
      </c>
      <c r="BE130" s="1049">
        <f t="shared" si="122"/>
        <v>2525.6479336779598</v>
      </c>
      <c r="BF130" s="1049">
        <f t="shared" si="122"/>
        <v>2574.2180862486894</v>
      </c>
    </row>
    <row r="131" spans="1:58">
      <c r="A131" s="2477"/>
      <c r="B131" s="2594" t="s">
        <v>383</v>
      </c>
      <c r="C131" s="2594"/>
      <c r="D131" s="428" t="s">
        <v>194</v>
      </c>
      <c r="E131" s="470">
        <v>140</v>
      </c>
      <c r="F131" s="470">
        <v>300</v>
      </c>
      <c r="G131" s="428" t="s">
        <v>258</v>
      </c>
      <c r="H131" s="1049">
        <f t="shared" ref="H131:AM131" si="123">((H$71-$H$4)/1000)*$N$28*(($C$8/70)^$Z$28)</f>
        <v>160.28341199999997</v>
      </c>
      <c r="I131" s="1049">
        <f t="shared" si="123"/>
        <v>213.71121599999998</v>
      </c>
      <c r="J131" s="1049">
        <f t="shared" si="123"/>
        <v>267.13901999999996</v>
      </c>
      <c r="K131" s="1049">
        <f t="shared" si="123"/>
        <v>320.56682399999994</v>
      </c>
      <c r="L131" s="1049">
        <f t="shared" si="123"/>
        <v>373.99462799999992</v>
      </c>
      <c r="M131" s="1049">
        <f t="shared" si="123"/>
        <v>427.42243199999996</v>
      </c>
      <c r="N131" s="1049">
        <f t="shared" si="123"/>
        <v>480.85023599999994</v>
      </c>
      <c r="O131" s="1049">
        <f t="shared" si="123"/>
        <v>534.27803999999992</v>
      </c>
      <c r="P131" s="1049">
        <f t="shared" si="123"/>
        <v>587.70584399999996</v>
      </c>
      <c r="Q131" s="1049">
        <f t="shared" si="123"/>
        <v>641.13364799999988</v>
      </c>
      <c r="R131" s="1049">
        <f t="shared" si="123"/>
        <v>694.56145199999992</v>
      </c>
      <c r="S131" s="1049">
        <f t="shared" si="123"/>
        <v>747.98925599999984</v>
      </c>
      <c r="T131" s="1049">
        <f t="shared" si="123"/>
        <v>801.41705999999988</v>
      </c>
      <c r="U131" s="1049">
        <f t="shared" si="123"/>
        <v>854.84486399999992</v>
      </c>
      <c r="V131" s="1049">
        <f t="shared" si="123"/>
        <v>908.27266799999984</v>
      </c>
      <c r="W131" s="1049">
        <f t="shared" si="123"/>
        <v>961.70047199999988</v>
      </c>
      <c r="X131" s="1049">
        <f t="shared" si="123"/>
        <v>1015.1282759999998</v>
      </c>
      <c r="Y131" s="1049">
        <f t="shared" si="123"/>
        <v>1068.5560799999998</v>
      </c>
      <c r="Z131" s="1049">
        <f t="shared" si="123"/>
        <v>1121.983884</v>
      </c>
      <c r="AA131" s="1049">
        <f t="shared" si="123"/>
        <v>1175.4116879999999</v>
      </c>
      <c r="AB131" s="1049">
        <f t="shared" si="123"/>
        <v>1228.8394919999996</v>
      </c>
      <c r="AC131" s="1049">
        <f t="shared" si="123"/>
        <v>1282.2672959999998</v>
      </c>
      <c r="AD131" s="1049">
        <f t="shared" si="123"/>
        <v>1335.6950999999999</v>
      </c>
      <c r="AE131" s="1049">
        <f t="shared" si="123"/>
        <v>1389.1229039999998</v>
      </c>
      <c r="AF131" s="1049">
        <f t="shared" si="123"/>
        <v>1442.550708</v>
      </c>
      <c r="AG131" s="1049">
        <f t="shared" si="123"/>
        <v>1495.9785119999997</v>
      </c>
      <c r="AH131" s="1049">
        <f t="shared" si="123"/>
        <v>1549.4063159999996</v>
      </c>
      <c r="AI131" s="1049">
        <f t="shared" si="123"/>
        <v>1602.8341199999998</v>
      </c>
      <c r="AJ131" s="1049">
        <f t="shared" si="123"/>
        <v>1656.2619239999999</v>
      </c>
      <c r="AK131" s="1049">
        <f t="shared" si="123"/>
        <v>1709.6897279999998</v>
      </c>
      <c r="AL131" s="1049">
        <f t="shared" si="123"/>
        <v>1763.1175319999995</v>
      </c>
      <c r="AM131" s="1049">
        <f t="shared" si="123"/>
        <v>1816.5453359999997</v>
      </c>
      <c r="AN131" s="1049">
        <f t="shared" ref="AN131:BF131" si="124">((AN$71-$H$4)/1000)*$N$28*(($C$8/70)^$Z$28)</f>
        <v>1869.9731399999996</v>
      </c>
      <c r="AO131" s="1049">
        <f t="shared" si="124"/>
        <v>1923.4009439999998</v>
      </c>
      <c r="AP131" s="1049">
        <f t="shared" si="124"/>
        <v>1976.8287479999999</v>
      </c>
      <c r="AQ131" s="1049">
        <f t="shared" si="124"/>
        <v>2030.2565519999996</v>
      </c>
      <c r="AR131" s="1049">
        <f t="shared" si="124"/>
        <v>2083.6843559999998</v>
      </c>
      <c r="AS131" s="1049">
        <f t="shared" si="124"/>
        <v>2137.1121599999997</v>
      </c>
      <c r="AT131" s="1049">
        <f t="shared" si="124"/>
        <v>2190.5399639999996</v>
      </c>
      <c r="AU131" s="1049">
        <f t="shared" si="124"/>
        <v>2243.967768</v>
      </c>
      <c r="AV131" s="1049">
        <f t="shared" si="124"/>
        <v>2297.3955719999994</v>
      </c>
      <c r="AW131" s="1049">
        <f t="shared" si="124"/>
        <v>2350.8233759999998</v>
      </c>
      <c r="AX131" s="1049">
        <f t="shared" si="124"/>
        <v>2404.2511799999997</v>
      </c>
      <c r="AY131" s="1049">
        <f t="shared" si="124"/>
        <v>2457.6789839999992</v>
      </c>
      <c r="AZ131" s="1049">
        <f t="shared" si="124"/>
        <v>2511.1067879999996</v>
      </c>
      <c r="BA131" s="1049">
        <f t="shared" si="124"/>
        <v>2564.5345919999995</v>
      </c>
      <c r="BB131" s="1049">
        <f t="shared" si="124"/>
        <v>2617.9623959999999</v>
      </c>
      <c r="BC131" s="1049">
        <f t="shared" si="124"/>
        <v>2671.3901999999998</v>
      </c>
      <c r="BD131" s="1049">
        <f t="shared" si="124"/>
        <v>2724.8180039999993</v>
      </c>
      <c r="BE131" s="1049">
        <f t="shared" si="124"/>
        <v>2778.2458079999997</v>
      </c>
      <c r="BF131" s="1049">
        <f t="shared" si="124"/>
        <v>2831.6736119999996</v>
      </c>
    </row>
    <row r="132" spans="1:58">
      <c r="A132" s="2477"/>
      <c r="B132" s="2594" t="s">
        <v>384</v>
      </c>
      <c r="C132" s="2594"/>
      <c r="D132" s="428" t="s">
        <v>194</v>
      </c>
      <c r="E132" s="470">
        <v>140</v>
      </c>
      <c r="F132" s="470">
        <v>300</v>
      </c>
      <c r="G132" s="428" t="s">
        <v>260</v>
      </c>
      <c r="H132" s="1049">
        <f t="shared" ref="H132:AM132" si="125">((H$71-$H$4)/1000)*$O$28*(($C$8/70)^$AA$28)</f>
        <v>174.22109999999998</v>
      </c>
      <c r="I132" s="1049">
        <f t="shared" si="125"/>
        <v>232.29480000000001</v>
      </c>
      <c r="J132" s="1049">
        <f t="shared" si="125"/>
        <v>290.36849999999998</v>
      </c>
      <c r="K132" s="1049">
        <f t="shared" si="125"/>
        <v>348.44219999999996</v>
      </c>
      <c r="L132" s="1049">
        <f t="shared" si="125"/>
        <v>406.51589999999993</v>
      </c>
      <c r="M132" s="1049">
        <f t="shared" si="125"/>
        <v>464.58960000000002</v>
      </c>
      <c r="N132" s="1049">
        <f t="shared" si="125"/>
        <v>522.66329999999994</v>
      </c>
      <c r="O132" s="1049">
        <f t="shared" si="125"/>
        <v>580.73699999999997</v>
      </c>
      <c r="P132" s="1049">
        <f t="shared" si="125"/>
        <v>638.8107</v>
      </c>
      <c r="Q132" s="1049">
        <f t="shared" si="125"/>
        <v>696.88439999999991</v>
      </c>
      <c r="R132" s="1049">
        <f t="shared" si="125"/>
        <v>754.95809999999994</v>
      </c>
      <c r="S132" s="1049">
        <f t="shared" si="125"/>
        <v>813.03179999999986</v>
      </c>
      <c r="T132" s="1049">
        <f t="shared" si="125"/>
        <v>871.10549999999989</v>
      </c>
      <c r="U132" s="1049">
        <f t="shared" si="125"/>
        <v>929.17920000000004</v>
      </c>
      <c r="V132" s="1049">
        <f t="shared" si="125"/>
        <v>987.25289999999995</v>
      </c>
      <c r="W132" s="1049">
        <f t="shared" si="125"/>
        <v>1045.3265999999999</v>
      </c>
      <c r="X132" s="1049">
        <f t="shared" si="125"/>
        <v>1103.4002999999998</v>
      </c>
      <c r="Y132" s="1049">
        <f t="shared" si="125"/>
        <v>1161.4739999999999</v>
      </c>
      <c r="Z132" s="1049">
        <f t="shared" si="125"/>
        <v>1219.5477000000001</v>
      </c>
      <c r="AA132" s="1049">
        <f t="shared" si="125"/>
        <v>1277.6214</v>
      </c>
      <c r="AB132" s="1049">
        <f t="shared" si="125"/>
        <v>1335.6950999999999</v>
      </c>
      <c r="AC132" s="1049">
        <f t="shared" si="125"/>
        <v>1393.7687999999998</v>
      </c>
      <c r="AD132" s="1049">
        <f t="shared" si="125"/>
        <v>1451.8425</v>
      </c>
      <c r="AE132" s="1049">
        <f t="shared" si="125"/>
        <v>1509.9161999999999</v>
      </c>
      <c r="AF132" s="1049">
        <f t="shared" si="125"/>
        <v>1567.9899</v>
      </c>
      <c r="AG132" s="1049">
        <f t="shared" si="125"/>
        <v>1626.0635999999997</v>
      </c>
      <c r="AH132" s="1049">
        <f t="shared" si="125"/>
        <v>1684.1372999999999</v>
      </c>
      <c r="AI132" s="1049">
        <f t="shared" si="125"/>
        <v>1742.2109999999998</v>
      </c>
      <c r="AJ132" s="1049">
        <f t="shared" si="125"/>
        <v>1800.2846999999999</v>
      </c>
      <c r="AK132" s="1049">
        <f t="shared" si="125"/>
        <v>1858.3584000000001</v>
      </c>
      <c r="AL132" s="1049">
        <f t="shared" si="125"/>
        <v>1916.4320999999998</v>
      </c>
      <c r="AM132" s="1049">
        <f t="shared" si="125"/>
        <v>1974.5057999999999</v>
      </c>
      <c r="AN132" s="1049">
        <f t="shared" ref="AN132:BF132" si="126">((AN$71-$H$4)/1000)*$O$28*(($C$8/70)^$AA$28)</f>
        <v>2032.5794999999998</v>
      </c>
      <c r="AO132" s="1049">
        <f t="shared" si="126"/>
        <v>2090.6531999999997</v>
      </c>
      <c r="AP132" s="1049">
        <f t="shared" si="126"/>
        <v>2148.7269000000001</v>
      </c>
      <c r="AQ132" s="1049">
        <f t="shared" si="126"/>
        <v>2206.8005999999996</v>
      </c>
      <c r="AR132" s="1049">
        <f t="shared" si="126"/>
        <v>2264.8742999999999</v>
      </c>
      <c r="AS132" s="1049">
        <f t="shared" si="126"/>
        <v>2322.9479999999999</v>
      </c>
      <c r="AT132" s="1049">
        <f t="shared" si="126"/>
        <v>2381.0216999999998</v>
      </c>
      <c r="AU132" s="1049">
        <f t="shared" si="126"/>
        <v>2439.0954000000002</v>
      </c>
      <c r="AV132" s="1049">
        <f t="shared" si="126"/>
        <v>2497.1690999999996</v>
      </c>
      <c r="AW132" s="1049">
        <f t="shared" si="126"/>
        <v>2555.2428</v>
      </c>
      <c r="AX132" s="1049">
        <f t="shared" si="126"/>
        <v>2613.3164999999999</v>
      </c>
      <c r="AY132" s="1049">
        <f t="shared" si="126"/>
        <v>2671.3901999999998</v>
      </c>
      <c r="AZ132" s="1049">
        <f t="shared" si="126"/>
        <v>2729.4638999999997</v>
      </c>
      <c r="BA132" s="1049">
        <f t="shared" si="126"/>
        <v>2787.5375999999997</v>
      </c>
      <c r="BB132" s="1049">
        <f t="shared" si="126"/>
        <v>2845.6113</v>
      </c>
      <c r="BC132" s="1049">
        <f t="shared" si="126"/>
        <v>2903.6849999999999</v>
      </c>
      <c r="BD132" s="1049">
        <f t="shared" si="126"/>
        <v>2961.7586999999994</v>
      </c>
      <c r="BE132" s="1049">
        <f t="shared" si="126"/>
        <v>3019.8323999999998</v>
      </c>
      <c r="BF132" s="1049">
        <f t="shared" si="126"/>
        <v>3077.9060999999997</v>
      </c>
    </row>
    <row r="133" spans="1:58">
      <c r="A133" s="2477"/>
      <c r="B133" s="2594" t="s">
        <v>385</v>
      </c>
      <c r="C133" s="2594"/>
      <c r="D133" s="428" t="s">
        <v>194</v>
      </c>
      <c r="E133" s="470">
        <v>140</v>
      </c>
      <c r="F133" s="470">
        <v>360</v>
      </c>
      <c r="G133" s="428" t="s">
        <v>258</v>
      </c>
      <c r="H133" s="1049">
        <f t="shared" ref="H133:AM133" si="127">((H$71-$H$4)/1000)*$P$28*(($C$8/70)^$AB$28)</f>
        <v>167.05242037379256</v>
      </c>
      <c r="I133" s="1049">
        <f t="shared" si="127"/>
        <v>222.73656049839011</v>
      </c>
      <c r="J133" s="1049">
        <f t="shared" si="127"/>
        <v>278.42070062298762</v>
      </c>
      <c r="K133" s="1049">
        <f t="shared" si="127"/>
        <v>334.10484074758511</v>
      </c>
      <c r="L133" s="1049">
        <f t="shared" si="127"/>
        <v>389.78898087218266</v>
      </c>
      <c r="M133" s="1049">
        <f t="shared" si="127"/>
        <v>445.47312099678021</v>
      </c>
      <c r="N133" s="1049">
        <f t="shared" si="127"/>
        <v>501.15726112137776</v>
      </c>
      <c r="O133" s="1049">
        <f t="shared" si="127"/>
        <v>556.84140124597525</v>
      </c>
      <c r="P133" s="1049">
        <f t="shared" si="127"/>
        <v>612.5255413705728</v>
      </c>
      <c r="Q133" s="1049">
        <f t="shared" si="127"/>
        <v>668.20968149517023</v>
      </c>
      <c r="R133" s="1049">
        <f t="shared" si="127"/>
        <v>723.89382161976789</v>
      </c>
      <c r="S133" s="1049">
        <f t="shared" si="127"/>
        <v>779.57796174436533</v>
      </c>
      <c r="T133" s="1049">
        <f t="shared" si="127"/>
        <v>835.26210186896287</v>
      </c>
      <c r="U133" s="1049">
        <f t="shared" si="127"/>
        <v>890.94624199356042</v>
      </c>
      <c r="V133" s="1049">
        <f t="shared" si="127"/>
        <v>946.63038211815785</v>
      </c>
      <c r="W133" s="1049">
        <f t="shared" si="127"/>
        <v>1002.3145222427555</v>
      </c>
      <c r="X133" s="1049">
        <f t="shared" si="127"/>
        <v>1057.9986623673528</v>
      </c>
      <c r="Y133" s="1049">
        <f t="shared" si="127"/>
        <v>1113.6828024919505</v>
      </c>
      <c r="Z133" s="1049">
        <f t="shared" si="127"/>
        <v>1169.3669426165482</v>
      </c>
      <c r="AA133" s="1049">
        <f t="shared" si="127"/>
        <v>1225.0510827411456</v>
      </c>
      <c r="AB133" s="1049">
        <f t="shared" si="127"/>
        <v>1280.735222865743</v>
      </c>
      <c r="AC133" s="1049">
        <f t="shared" si="127"/>
        <v>1336.4193629903405</v>
      </c>
      <c r="AD133" s="1049">
        <f t="shared" si="127"/>
        <v>1392.1035031149381</v>
      </c>
      <c r="AE133" s="1049">
        <f t="shared" si="127"/>
        <v>1447.7876432395358</v>
      </c>
      <c r="AF133" s="1049">
        <f t="shared" si="127"/>
        <v>1503.4717833641332</v>
      </c>
      <c r="AG133" s="1049">
        <f t="shared" si="127"/>
        <v>1559.1559234887307</v>
      </c>
      <c r="AH133" s="1049">
        <f t="shared" si="127"/>
        <v>1614.8400636133281</v>
      </c>
      <c r="AI133" s="1049">
        <f t="shared" si="127"/>
        <v>1670.5242037379257</v>
      </c>
      <c r="AJ133" s="1049">
        <f t="shared" si="127"/>
        <v>1726.2083438625234</v>
      </c>
      <c r="AK133" s="1049">
        <f t="shared" si="127"/>
        <v>1781.8924839871208</v>
      </c>
      <c r="AL133" s="1049">
        <f t="shared" si="127"/>
        <v>1837.5766241117183</v>
      </c>
      <c r="AM133" s="1049">
        <f t="shared" si="127"/>
        <v>1893.2607642363157</v>
      </c>
      <c r="AN133" s="1049">
        <f t="shared" ref="AN133:BF133" si="128">((AN$71-$H$4)/1000)*$P$28*(($C$8/70)^$AB$28)</f>
        <v>1948.9449043609134</v>
      </c>
      <c r="AO133" s="1049">
        <f t="shared" si="128"/>
        <v>2004.629044485511</v>
      </c>
      <c r="AP133" s="1049">
        <f t="shared" si="128"/>
        <v>2060.3131846101087</v>
      </c>
      <c r="AQ133" s="1049">
        <f t="shared" si="128"/>
        <v>2115.9973247347057</v>
      </c>
      <c r="AR133" s="1049">
        <f t="shared" si="128"/>
        <v>2171.6814648593036</v>
      </c>
      <c r="AS133" s="1049">
        <f t="shared" si="128"/>
        <v>2227.365604983901</v>
      </c>
      <c r="AT133" s="1049">
        <f t="shared" si="128"/>
        <v>2283.0497451084984</v>
      </c>
      <c r="AU133" s="1049">
        <f t="shared" si="128"/>
        <v>2338.7338852330963</v>
      </c>
      <c r="AV133" s="1049">
        <f t="shared" si="128"/>
        <v>2394.4180253576933</v>
      </c>
      <c r="AW133" s="1049">
        <f t="shared" si="128"/>
        <v>2450.1021654822912</v>
      </c>
      <c r="AX133" s="1049">
        <f t="shared" si="128"/>
        <v>2505.7863056068886</v>
      </c>
      <c r="AY133" s="1049">
        <f t="shared" si="128"/>
        <v>2561.4704457314861</v>
      </c>
      <c r="AZ133" s="1049">
        <f t="shared" si="128"/>
        <v>2617.1545858560839</v>
      </c>
      <c r="BA133" s="1049">
        <f t="shared" si="128"/>
        <v>2672.8387259806809</v>
      </c>
      <c r="BB133" s="1049">
        <f t="shared" si="128"/>
        <v>2728.5228661052788</v>
      </c>
      <c r="BC133" s="1049">
        <f t="shared" si="128"/>
        <v>2784.2070062298762</v>
      </c>
      <c r="BD133" s="1049">
        <f t="shared" si="128"/>
        <v>2839.8911463544737</v>
      </c>
      <c r="BE133" s="1049">
        <f t="shared" si="128"/>
        <v>2895.5752864790716</v>
      </c>
      <c r="BF133" s="1049">
        <f t="shared" si="128"/>
        <v>2951.2594266036685</v>
      </c>
    </row>
    <row r="134" spans="1:58">
      <c r="A134" s="2477"/>
      <c r="B134" s="2594" t="s">
        <v>386</v>
      </c>
      <c r="C134" s="2594"/>
      <c r="D134" s="428" t="s">
        <v>194</v>
      </c>
      <c r="E134" s="470">
        <v>140</v>
      </c>
      <c r="F134" s="470">
        <v>360</v>
      </c>
      <c r="G134" s="428" t="s">
        <v>260</v>
      </c>
      <c r="H134" s="1049">
        <f t="shared" ref="H134:AM134" si="129">((H$71-$H$4)/1000)*$Q$28*(($C$8/70)^$AC$28)</f>
        <v>183.57408832284898</v>
      </c>
      <c r="I134" s="1049">
        <f t="shared" si="129"/>
        <v>244.76545109713197</v>
      </c>
      <c r="J134" s="1049">
        <f t="shared" si="129"/>
        <v>305.95681387141497</v>
      </c>
      <c r="K134" s="1049">
        <f t="shared" si="129"/>
        <v>367.14817664569796</v>
      </c>
      <c r="L134" s="1049">
        <f t="shared" si="129"/>
        <v>428.33953941998095</v>
      </c>
      <c r="M134" s="1049">
        <f t="shared" si="129"/>
        <v>489.53090219426394</v>
      </c>
      <c r="N134" s="1049">
        <f t="shared" si="129"/>
        <v>550.72226496854694</v>
      </c>
      <c r="O134" s="1049">
        <f t="shared" si="129"/>
        <v>611.91362774282993</v>
      </c>
      <c r="P134" s="1049">
        <f t="shared" si="129"/>
        <v>673.10499051711292</v>
      </c>
      <c r="Q134" s="1049">
        <f t="shared" si="129"/>
        <v>734.29635329139592</v>
      </c>
      <c r="R134" s="1049">
        <f t="shared" si="129"/>
        <v>795.48771606567891</v>
      </c>
      <c r="S134" s="1049">
        <f t="shared" si="129"/>
        <v>856.6790788399619</v>
      </c>
      <c r="T134" s="1049">
        <f t="shared" si="129"/>
        <v>917.8704416142449</v>
      </c>
      <c r="U134" s="1049">
        <f t="shared" si="129"/>
        <v>979.06180438852789</v>
      </c>
      <c r="V134" s="1049">
        <f t="shared" si="129"/>
        <v>1040.2531671628108</v>
      </c>
      <c r="W134" s="1049">
        <f t="shared" si="129"/>
        <v>1101.4445299370939</v>
      </c>
      <c r="X134" s="1049">
        <f t="shared" si="129"/>
        <v>1162.6358927113768</v>
      </c>
      <c r="Y134" s="1049">
        <f t="shared" si="129"/>
        <v>1223.8272554856599</v>
      </c>
      <c r="Z134" s="1049">
        <f t="shared" si="129"/>
        <v>1285.018618259943</v>
      </c>
      <c r="AA134" s="1049">
        <f t="shared" si="129"/>
        <v>1346.2099810342258</v>
      </c>
      <c r="AB134" s="1049">
        <f t="shared" si="129"/>
        <v>1407.4013438085087</v>
      </c>
      <c r="AC134" s="1049">
        <f t="shared" si="129"/>
        <v>1468.5927065827918</v>
      </c>
      <c r="AD134" s="1049">
        <f t="shared" si="129"/>
        <v>1529.7840693570747</v>
      </c>
      <c r="AE134" s="1049">
        <f t="shared" si="129"/>
        <v>1590.9754321313578</v>
      </c>
      <c r="AF134" s="1049">
        <f t="shared" si="129"/>
        <v>1652.1667949056409</v>
      </c>
      <c r="AG134" s="1049">
        <f t="shared" si="129"/>
        <v>1713.3581576799238</v>
      </c>
      <c r="AH134" s="1049">
        <f t="shared" si="129"/>
        <v>1774.5495204542067</v>
      </c>
      <c r="AI134" s="1049">
        <f t="shared" si="129"/>
        <v>1835.7408832284898</v>
      </c>
      <c r="AJ134" s="1049">
        <f t="shared" si="129"/>
        <v>1896.9322460027729</v>
      </c>
      <c r="AK134" s="1049">
        <f t="shared" si="129"/>
        <v>1958.1236087770558</v>
      </c>
      <c r="AL134" s="1049">
        <f t="shared" si="129"/>
        <v>2019.3149715513387</v>
      </c>
      <c r="AM134" s="1049">
        <f t="shared" si="129"/>
        <v>2080.5063343256215</v>
      </c>
      <c r="AN134" s="1049">
        <f t="shared" ref="AN134:BF134" si="130">((AN$71-$H$4)/1000)*$Q$28*(($C$8/70)^$AC$28)</f>
        <v>2141.6976970999049</v>
      </c>
      <c r="AO134" s="1049">
        <f t="shared" si="130"/>
        <v>2202.8890598741878</v>
      </c>
      <c r="AP134" s="1049">
        <f t="shared" si="130"/>
        <v>2264.0804226484706</v>
      </c>
      <c r="AQ134" s="1049">
        <f t="shared" si="130"/>
        <v>2325.2717854227535</v>
      </c>
      <c r="AR134" s="1049">
        <f t="shared" si="130"/>
        <v>2386.4631481970368</v>
      </c>
      <c r="AS134" s="1049">
        <f t="shared" si="130"/>
        <v>2447.6545109713197</v>
      </c>
      <c r="AT134" s="1049">
        <f t="shared" si="130"/>
        <v>2508.8458737456026</v>
      </c>
      <c r="AU134" s="1049">
        <f t="shared" si="130"/>
        <v>2570.0372365198859</v>
      </c>
      <c r="AV134" s="1049">
        <f t="shared" si="130"/>
        <v>2631.2285992941688</v>
      </c>
      <c r="AW134" s="1049">
        <f t="shared" si="130"/>
        <v>2692.4199620684517</v>
      </c>
      <c r="AX134" s="1049">
        <f t="shared" si="130"/>
        <v>2753.6113248427346</v>
      </c>
      <c r="AY134" s="1049">
        <f t="shared" si="130"/>
        <v>2814.8026876170175</v>
      </c>
      <c r="AZ134" s="1049">
        <f t="shared" si="130"/>
        <v>2875.9940503913008</v>
      </c>
      <c r="BA134" s="1049">
        <f t="shared" si="130"/>
        <v>2937.1854131655837</v>
      </c>
      <c r="BB134" s="1049">
        <f t="shared" si="130"/>
        <v>2998.376775939867</v>
      </c>
      <c r="BC134" s="1049">
        <f t="shared" si="130"/>
        <v>3059.5681387141494</v>
      </c>
      <c r="BD134" s="1049">
        <f t="shared" si="130"/>
        <v>3120.7595014884323</v>
      </c>
      <c r="BE134" s="1049">
        <f t="shared" si="130"/>
        <v>3181.9508642627156</v>
      </c>
      <c r="BF134" s="1049">
        <f t="shared" si="130"/>
        <v>3243.1422270369985</v>
      </c>
    </row>
    <row r="135" spans="1:58">
      <c r="A135" s="2477"/>
      <c r="B135" s="2594" t="s">
        <v>387</v>
      </c>
      <c r="C135" s="2594"/>
      <c r="D135" s="428" t="s">
        <v>194</v>
      </c>
      <c r="E135" s="470">
        <v>140</v>
      </c>
      <c r="F135" s="470">
        <v>400</v>
      </c>
      <c r="G135" s="428" t="s">
        <v>258</v>
      </c>
      <c r="H135" s="1049">
        <f t="shared" ref="H135:AM135" si="131">((H$71-$H$4)/1000)*$R$28*(($C$8/70)^$AE$28)</f>
        <v>177.90353999999999</v>
      </c>
      <c r="I135" s="1049">
        <f t="shared" si="131"/>
        <v>237.20472000000001</v>
      </c>
      <c r="J135" s="1049">
        <f t="shared" si="131"/>
        <v>296.5059</v>
      </c>
      <c r="K135" s="1049">
        <f t="shared" si="131"/>
        <v>355.80707999999998</v>
      </c>
      <c r="L135" s="1049">
        <f t="shared" si="131"/>
        <v>415.10825999999997</v>
      </c>
      <c r="M135" s="1049">
        <f t="shared" si="131"/>
        <v>474.40944000000002</v>
      </c>
      <c r="N135" s="1049">
        <f t="shared" si="131"/>
        <v>533.71062000000006</v>
      </c>
      <c r="O135" s="1049">
        <f t="shared" si="131"/>
        <v>593.01179999999999</v>
      </c>
      <c r="P135" s="1049">
        <f t="shared" si="131"/>
        <v>652.31298000000004</v>
      </c>
      <c r="Q135" s="1049">
        <f t="shared" si="131"/>
        <v>711.61415999999997</v>
      </c>
      <c r="R135" s="1049">
        <f t="shared" si="131"/>
        <v>770.91534000000001</v>
      </c>
      <c r="S135" s="1049">
        <f t="shared" si="131"/>
        <v>830.21651999999995</v>
      </c>
      <c r="T135" s="1049">
        <f t="shared" si="131"/>
        <v>889.51769999999999</v>
      </c>
      <c r="U135" s="1049">
        <f t="shared" si="131"/>
        <v>948.81888000000004</v>
      </c>
      <c r="V135" s="1049">
        <f t="shared" si="131"/>
        <v>1008.12006</v>
      </c>
      <c r="W135" s="1049">
        <f t="shared" si="131"/>
        <v>1067.4212400000001</v>
      </c>
      <c r="X135" s="1049">
        <f t="shared" si="131"/>
        <v>1126.7224199999998</v>
      </c>
      <c r="Y135" s="1049">
        <f t="shared" si="131"/>
        <v>1186.0236</v>
      </c>
      <c r="Z135" s="1049">
        <f t="shared" si="131"/>
        <v>1245.3247800000001</v>
      </c>
      <c r="AA135" s="1049">
        <f t="shared" si="131"/>
        <v>1304.6259600000001</v>
      </c>
      <c r="AB135" s="1049">
        <f t="shared" si="131"/>
        <v>1363.9271399999998</v>
      </c>
      <c r="AC135" s="1049">
        <f t="shared" si="131"/>
        <v>1423.2283199999999</v>
      </c>
      <c r="AD135" s="1049">
        <f t="shared" si="131"/>
        <v>1482.5295000000001</v>
      </c>
      <c r="AE135" s="1049">
        <f t="shared" si="131"/>
        <v>1541.83068</v>
      </c>
      <c r="AF135" s="1049">
        <f t="shared" si="131"/>
        <v>1601.1318600000002</v>
      </c>
      <c r="AG135" s="1049">
        <f t="shared" si="131"/>
        <v>1660.4330399999999</v>
      </c>
      <c r="AH135" s="1049">
        <f t="shared" si="131"/>
        <v>1719.7342199999998</v>
      </c>
      <c r="AI135" s="1049">
        <f t="shared" si="131"/>
        <v>1779.0354</v>
      </c>
      <c r="AJ135" s="1049">
        <f t="shared" si="131"/>
        <v>1838.3365800000001</v>
      </c>
      <c r="AK135" s="1049">
        <f t="shared" si="131"/>
        <v>1897.6377600000001</v>
      </c>
      <c r="AL135" s="1049">
        <f t="shared" si="131"/>
        <v>1956.9389399999998</v>
      </c>
      <c r="AM135" s="1049">
        <f t="shared" si="131"/>
        <v>2016.2401199999999</v>
      </c>
      <c r="AN135" s="1049">
        <f t="shared" ref="AN135:BF135" si="132">((AN$71-$H$4)/1000)*$R$28*(($C$8/70)^$AE$28)</f>
        <v>2075.5412999999999</v>
      </c>
      <c r="AO135" s="1049">
        <f t="shared" si="132"/>
        <v>2134.8424800000003</v>
      </c>
      <c r="AP135" s="1049">
        <f t="shared" si="132"/>
        <v>2194.1436600000002</v>
      </c>
      <c r="AQ135" s="1049">
        <f t="shared" si="132"/>
        <v>2253.4448399999997</v>
      </c>
      <c r="AR135" s="1049">
        <f t="shared" si="132"/>
        <v>2312.74602</v>
      </c>
      <c r="AS135" s="1049">
        <f t="shared" si="132"/>
        <v>2372.0472</v>
      </c>
      <c r="AT135" s="1049">
        <f t="shared" si="132"/>
        <v>2431.3483799999999</v>
      </c>
      <c r="AU135" s="1049">
        <f t="shared" si="132"/>
        <v>2490.6495600000003</v>
      </c>
      <c r="AV135" s="1049">
        <f t="shared" si="132"/>
        <v>2549.9507399999998</v>
      </c>
      <c r="AW135" s="1049">
        <f t="shared" si="132"/>
        <v>2609.2519200000002</v>
      </c>
      <c r="AX135" s="1049">
        <f t="shared" si="132"/>
        <v>2668.5531000000001</v>
      </c>
      <c r="AY135" s="1049">
        <f t="shared" si="132"/>
        <v>2727.8542799999996</v>
      </c>
      <c r="AZ135" s="1049">
        <f t="shared" si="132"/>
        <v>2787.1554599999999</v>
      </c>
      <c r="BA135" s="1049">
        <f t="shared" si="132"/>
        <v>2846.4566399999999</v>
      </c>
      <c r="BB135" s="1049">
        <f t="shared" si="132"/>
        <v>2905.7578200000003</v>
      </c>
      <c r="BC135" s="1049">
        <f t="shared" si="132"/>
        <v>2965.0590000000002</v>
      </c>
      <c r="BD135" s="1049">
        <f t="shared" si="132"/>
        <v>3024.3601799999997</v>
      </c>
      <c r="BE135" s="1049">
        <f t="shared" si="132"/>
        <v>3083.6613600000001</v>
      </c>
      <c r="BF135" s="1049">
        <f t="shared" si="132"/>
        <v>3142.96254</v>
      </c>
    </row>
    <row r="136" spans="1:58" ht="15.75" thickBot="1">
      <c r="A136" s="2477"/>
      <c r="B136" s="2595" t="s">
        <v>388</v>
      </c>
      <c r="C136" s="2595"/>
      <c r="D136" s="428" t="s">
        <v>194</v>
      </c>
      <c r="E136" s="470">
        <v>140</v>
      </c>
      <c r="F136" s="470">
        <v>400</v>
      </c>
      <c r="G136" s="429" t="s">
        <v>260</v>
      </c>
      <c r="H136" s="1050">
        <f t="shared" ref="H136:AM136" si="133">((H$71-$H$4)/1000)*$S$28*(($C$8/70)^$AE$28)</f>
        <v>197.67059999999998</v>
      </c>
      <c r="I136" s="1050">
        <f t="shared" si="133"/>
        <v>263.56079999999997</v>
      </c>
      <c r="J136" s="1050">
        <f t="shared" si="133"/>
        <v>329.45099999999996</v>
      </c>
      <c r="K136" s="1050">
        <f t="shared" si="133"/>
        <v>395.34119999999996</v>
      </c>
      <c r="L136" s="1050">
        <f t="shared" si="133"/>
        <v>461.23139999999989</v>
      </c>
      <c r="M136" s="1050">
        <f t="shared" si="133"/>
        <v>527.12159999999994</v>
      </c>
      <c r="N136" s="1050">
        <f t="shared" si="133"/>
        <v>593.01179999999999</v>
      </c>
      <c r="O136" s="1050">
        <f t="shared" si="133"/>
        <v>658.90199999999993</v>
      </c>
      <c r="P136" s="1050">
        <f t="shared" si="133"/>
        <v>724.79219999999998</v>
      </c>
      <c r="Q136" s="1050">
        <f t="shared" si="133"/>
        <v>790.68239999999992</v>
      </c>
      <c r="R136" s="1050">
        <f t="shared" si="133"/>
        <v>856.57259999999997</v>
      </c>
      <c r="S136" s="1050">
        <f t="shared" si="133"/>
        <v>922.46279999999979</v>
      </c>
      <c r="T136" s="1050">
        <f t="shared" si="133"/>
        <v>988.35299999999984</v>
      </c>
      <c r="U136" s="1050">
        <f t="shared" si="133"/>
        <v>1054.2431999999999</v>
      </c>
      <c r="V136" s="1050">
        <f t="shared" si="133"/>
        <v>1120.1333999999999</v>
      </c>
      <c r="W136" s="1050">
        <f t="shared" si="133"/>
        <v>1186.0236</v>
      </c>
      <c r="X136" s="1050">
        <f t="shared" si="133"/>
        <v>1251.9137999999998</v>
      </c>
      <c r="Y136" s="1050">
        <f t="shared" si="133"/>
        <v>1317.8039999999999</v>
      </c>
      <c r="Z136" s="1050">
        <f t="shared" si="133"/>
        <v>1383.6941999999999</v>
      </c>
      <c r="AA136" s="1050">
        <f t="shared" si="133"/>
        <v>1449.5844</v>
      </c>
      <c r="AB136" s="1050">
        <f t="shared" si="133"/>
        <v>1515.4745999999998</v>
      </c>
      <c r="AC136" s="1050">
        <f t="shared" si="133"/>
        <v>1581.3647999999998</v>
      </c>
      <c r="AD136" s="1050">
        <f t="shared" si="133"/>
        <v>1647.2549999999999</v>
      </c>
      <c r="AE136" s="1050">
        <f t="shared" si="133"/>
        <v>1713.1451999999999</v>
      </c>
      <c r="AF136" s="1050">
        <f t="shared" si="133"/>
        <v>1779.0354</v>
      </c>
      <c r="AG136" s="1050">
        <f t="shared" si="133"/>
        <v>1844.9255999999996</v>
      </c>
      <c r="AH136" s="1050">
        <f t="shared" si="133"/>
        <v>1910.8157999999996</v>
      </c>
      <c r="AI136" s="1050">
        <f t="shared" si="133"/>
        <v>1976.7059999999997</v>
      </c>
      <c r="AJ136" s="1050">
        <f t="shared" si="133"/>
        <v>2042.5962</v>
      </c>
      <c r="AK136" s="1050">
        <f t="shared" si="133"/>
        <v>2108.4863999999998</v>
      </c>
      <c r="AL136" s="1050">
        <f t="shared" si="133"/>
        <v>2174.3765999999996</v>
      </c>
      <c r="AM136" s="1050">
        <f t="shared" si="133"/>
        <v>2240.2667999999999</v>
      </c>
      <c r="AN136" s="1050">
        <f t="shared" ref="AN136:BF136" si="134">((AN$71-$H$4)/1000)*$S$28*(($C$8/70)^$AE$28)</f>
        <v>2306.1569999999997</v>
      </c>
      <c r="AO136" s="1050">
        <f t="shared" si="134"/>
        <v>2372.0472</v>
      </c>
      <c r="AP136" s="1050">
        <f t="shared" si="134"/>
        <v>2437.9373999999998</v>
      </c>
      <c r="AQ136" s="1050">
        <f t="shared" si="134"/>
        <v>2503.8275999999996</v>
      </c>
      <c r="AR136" s="1050">
        <f t="shared" si="134"/>
        <v>2569.7177999999994</v>
      </c>
      <c r="AS136" s="1050">
        <f t="shared" si="134"/>
        <v>2635.6079999999997</v>
      </c>
      <c r="AT136" s="1050">
        <f t="shared" si="134"/>
        <v>2701.4981999999995</v>
      </c>
      <c r="AU136" s="1050">
        <f t="shared" si="134"/>
        <v>2767.3883999999998</v>
      </c>
      <c r="AV136" s="1050">
        <f t="shared" si="134"/>
        <v>2833.2785999999996</v>
      </c>
      <c r="AW136" s="1050">
        <f t="shared" si="134"/>
        <v>2899.1687999999999</v>
      </c>
      <c r="AX136" s="1050">
        <f t="shared" si="134"/>
        <v>2965.0589999999997</v>
      </c>
      <c r="AY136" s="1050">
        <f t="shared" si="134"/>
        <v>3030.9491999999996</v>
      </c>
      <c r="AZ136" s="1050">
        <f t="shared" si="134"/>
        <v>3096.8393999999998</v>
      </c>
      <c r="BA136" s="1050">
        <f t="shared" si="134"/>
        <v>3162.7295999999997</v>
      </c>
      <c r="BB136" s="1050">
        <f t="shared" si="134"/>
        <v>3228.6197999999999</v>
      </c>
      <c r="BC136" s="1050">
        <f t="shared" si="134"/>
        <v>3294.5099999999998</v>
      </c>
      <c r="BD136" s="1050">
        <f t="shared" si="134"/>
        <v>3360.4001999999996</v>
      </c>
      <c r="BE136" s="1050">
        <f t="shared" si="134"/>
        <v>3426.2903999999999</v>
      </c>
      <c r="BF136" s="1050">
        <f t="shared" si="134"/>
        <v>3492.1805999999997</v>
      </c>
    </row>
    <row r="137" spans="1:58">
      <c r="A137" s="2477"/>
      <c r="B137" s="2592" t="s">
        <v>253</v>
      </c>
      <c r="C137" s="2592"/>
      <c r="D137" s="409" t="s">
        <v>194</v>
      </c>
      <c r="E137" s="452">
        <v>150</v>
      </c>
      <c r="F137" s="452">
        <v>160</v>
      </c>
      <c r="G137" s="409" t="s">
        <v>254</v>
      </c>
      <c r="H137" s="919">
        <f t="shared" ref="H137:AM137" si="135">((H$71-$H$4)/1000)*$K$29*(($C$8/70)^$W$29)</f>
        <v>101.32019999999999</v>
      </c>
      <c r="I137" s="919">
        <f t="shared" si="135"/>
        <v>135.09360000000001</v>
      </c>
      <c r="J137" s="919">
        <f t="shared" si="135"/>
        <v>168.86699999999999</v>
      </c>
      <c r="K137" s="919">
        <f t="shared" si="135"/>
        <v>202.64039999999997</v>
      </c>
      <c r="L137" s="919">
        <f t="shared" si="135"/>
        <v>236.41379999999998</v>
      </c>
      <c r="M137" s="919">
        <f t="shared" si="135"/>
        <v>270.18720000000002</v>
      </c>
      <c r="N137" s="919">
        <f t="shared" si="135"/>
        <v>303.9606</v>
      </c>
      <c r="O137" s="919">
        <f t="shared" si="135"/>
        <v>337.73399999999998</v>
      </c>
      <c r="P137" s="919">
        <f t="shared" si="135"/>
        <v>371.50740000000002</v>
      </c>
      <c r="Q137" s="919">
        <f t="shared" si="135"/>
        <v>405.28079999999994</v>
      </c>
      <c r="R137" s="919">
        <f t="shared" si="135"/>
        <v>439.05419999999998</v>
      </c>
      <c r="S137" s="919">
        <f t="shared" si="135"/>
        <v>472.82759999999996</v>
      </c>
      <c r="T137" s="919">
        <f t="shared" si="135"/>
        <v>506.601</v>
      </c>
      <c r="U137" s="919">
        <f t="shared" si="135"/>
        <v>540.37440000000004</v>
      </c>
      <c r="V137" s="919">
        <f t="shared" si="135"/>
        <v>574.14779999999996</v>
      </c>
      <c r="W137" s="919">
        <f t="shared" si="135"/>
        <v>607.9212</v>
      </c>
      <c r="X137" s="919">
        <f t="shared" si="135"/>
        <v>641.69459999999992</v>
      </c>
      <c r="Y137" s="919">
        <f t="shared" si="135"/>
        <v>675.46799999999996</v>
      </c>
      <c r="Z137" s="919">
        <f t="shared" si="135"/>
        <v>709.2414</v>
      </c>
      <c r="AA137" s="919">
        <f t="shared" si="135"/>
        <v>743.01480000000004</v>
      </c>
      <c r="AB137" s="919">
        <f t="shared" si="135"/>
        <v>776.78819999999985</v>
      </c>
      <c r="AC137" s="919">
        <f t="shared" si="135"/>
        <v>810.56159999999988</v>
      </c>
      <c r="AD137" s="919">
        <f t="shared" si="135"/>
        <v>844.33499999999992</v>
      </c>
      <c r="AE137" s="919">
        <f t="shared" si="135"/>
        <v>878.10839999999996</v>
      </c>
      <c r="AF137" s="919">
        <f t="shared" si="135"/>
        <v>911.8818</v>
      </c>
      <c r="AG137" s="919">
        <f t="shared" si="135"/>
        <v>945.65519999999992</v>
      </c>
      <c r="AH137" s="919">
        <f t="shared" si="135"/>
        <v>979.42859999999996</v>
      </c>
      <c r="AI137" s="919">
        <f t="shared" si="135"/>
        <v>1013.202</v>
      </c>
      <c r="AJ137" s="919">
        <f t="shared" si="135"/>
        <v>1046.9754</v>
      </c>
      <c r="AK137" s="919">
        <f t="shared" si="135"/>
        <v>1080.7488000000001</v>
      </c>
      <c r="AL137" s="919">
        <f t="shared" si="135"/>
        <v>1114.5221999999999</v>
      </c>
      <c r="AM137" s="919">
        <f t="shared" si="135"/>
        <v>1148.2955999999999</v>
      </c>
      <c r="AN137" s="919">
        <f t="shared" ref="AN137:BF137" si="136">((AN$71-$H$4)/1000)*$K$29*(($C$8/70)^$W$29)</f>
        <v>1182.069</v>
      </c>
      <c r="AO137" s="919">
        <f t="shared" si="136"/>
        <v>1215.8424</v>
      </c>
      <c r="AP137" s="919">
        <f t="shared" si="136"/>
        <v>1249.6158</v>
      </c>
      <c r="AQ137" s="919">
        <f t="shared" si="136"/>
        <v>1283.3891999999998</v>
      </c>
      <c r="AR137" s="919">
        <f t="shared" si="136"/>
        <v>1317.1625999999999</v>
      </c>
      <c r="AS137" s="919">
        <f t="shared" si="136"/>
        <v>1350.9359999999999</v>
      </c>
      <c r="AT137" s="919">
        <f t="shared" si="136"/>
        <v>1384.7093999999997</v>
      </c>
      <c r="AU137" s="919">
        <f t="shared" si="136"/>
        <v>1418.4828</v>
      </c>
      <c r="AV137" s="919">
        <f t="shared" si="136"/>
        <v>1452.2561999999998</v>
      </c>
      <c r="AW137" s="919">
        <f t="shared" si="136"/>
        <v>1486.0296000000001</v>
      </c>
      <c r="AX137" s="919">
        <f t="shared" si="136"/>
        <v>1519.8029999999999</v>
      </c>
      <c r="AY137" s="919">
        <f t="shared" si="136"/>
        <v>1553.5763999999997</v>
      </c>
      <c r="AZ137" s="919">
        <f t="shared" si="136"/>
        <v>1587.3498</v>
      </c>
      <c r="BA137" s="919">
        <f t="shared" si="136"/>
        <v>1621.1231999999998</v>
      </c>
      <c r="BB137" s="919">
        <f t="shared" si="136"/>
        <v>1654.8966</v>
      </c>
      <c r="BC137" s="919">
        <f t="shared" si="136"/>
        <v>1688.6699999999998</v>
      </c>
      <c r="BD137" s="919">
        <f t="shared" si="136"/>
        <v>1722.4433999999999</v>
      </c>
      <c r="BE137" s="919">
        <f t="shared" si="136"/>
        <v>1756.2167999999999</v>
      </c>
      <c r="BF137" s="919">
        <f t="shared" si="136"/>
        <v>1789.9901999999997</v>
      </c>
    </row>
    <row r="138" spans="1:58">
      <c r="A138" s="2477"/>
      <c r="B138" s="2586" t="s">
        <v>255</v>
      </c>
      <c r="C138" s="2586"/>
      <c r="D138" s="410" t="s">
        <v>194</v>
      </c>
      <c r="E138" s="453">
        <v>150</v>
      </c>
      <c r="F138" s="453">
        <v>200</v>
      </c>
      <c r="G138" s="410" t="s">
        <v>254</v>
      </c>
      <c r="H138" s="1051">
        <f t="shared" ref="H138:AM138" si="137">((H$71-$H$4)/1000)*$L$29*(($C$8/70)^$X$29)</f>
        <v>116.46</v>
      </c>
      <c r="I138" s="1051">
        <f t="shared" si="137"/>
        <v>155.28</v>
      </c>
      <c r="J138" s="1051">
        <f t="shared" si="137"/>
        <v>194.1</v>
      </c>
      <c r="K138" s="1051">
        <f t="shared" si="137"/>
        <v>232.92</v>
      </c>
      <c r="L138" s="1051">
        <f t="shared" si="137"/>
        <v>271.73999999999995</v>
      </c>
      <c r="M138" s="1051">
        <f t="shared" si="137"/>
        <v>310.56</v>
      </c>
      <c r="N138" s="1051">
        <f t="shared" si="137"/>
        <v>349.38</v>
      </c>
      <c r="O138" s="1051">
        <f t="shared" si="137"/>
        <v>388.2</v>
      </c>
      <c r="P138" s="1051">
        <f t="shared" si="137"/>
        <v>427.02000000000004</v>
      </c>
      <c r="Q138" s="1051">
        <f t="shared" si="137"/>
        <v>465.84</v>
      </c>
      <c r="R138" s="1051">
        <f t="shared" si="137"/>
        <v>504.66</v>
      </c>
      <c r="S138" s="1051">
        <f t="shared" si="137"/>
        <v>543.4799999999999</v>
      </c>
      <c r="T138" s="1051">
        <f t="shared" si="137"/>
        <v>582.29999999999995</v>
      </c>
      <c r="U138" s="1051">
        <f t="shared" si="137"/>
        <v>621.12</v>
      </c>
      <c r="V138" s="1051">
        <f t="shared" si="137"/>
        <v>659.93999999999994</v>
      </c>
      <c r="W138" s="1051">
        <f t="shared" si="137"/>
        <v>698.76</v>
      </c>
      <c r="X138" s="1051">
        <f t="shared" si="137"/>
        <v>737.57999999999993</v>
      </c>
      <c r="Y138" s="1051">
        <f t="shared" si="137"/>
        <v>776.4</v>
      </c>
      <c r="Z138" s="1051">
        <f t="shared" si="137"/>
        <v>815.22</v>
      </c>
      <c r="AA138" s="1051">
        <f t="shared" si="137"/>
        <v>854.04000000000008</v>
      </c>
      <c r="AB138" s="1051">
        <f t="shared" si="137"/>
        <v>892.8599999999999</v>
      </c>
      <c r="AC138" s="1051">
        <f t="shared" si="137"/>
        <v>931.68</v>
      </c>
      <c r="AD138" s="1051">
        <f t="shared" si="137"/>
        <v>970.5</v>
      </c>
      <c r="AE138" s="1051">
        <f t="shared" si="137"/>
        <v>1009.32</v>
      </c>
      <c r="AF138" s="1051">
        <f t="shared" si="137"/>
        <v>1048.1400000000001</v>
      </c>
      <c r="AG138" s="1051">
        <f t="shared" si="137"/>
        <v>1086.9599999999998</v>
      </c>
      <c r="AH138" s="1051">
        <f t="shared" si="137"/>
        <v>1125.78</v>
      </c>
      <c r="AI138" s="1051">
        <f t="shared" si="137"/>
        <v>1164.5999999999999</v>
      </c>
      <c r="AJ138" s="1051">
        <f t="shared" si="137"/>
        <v>1203.42</v>
      </c>
      <c r="AK138" s="1051">
        <f t="shared" si="137"/>
        <v>1242.24</v>
      </c>
      <c r="AL138" s="1051">
        <f t="shared" si="137"/>
        <v>1281.06</v>
      </c>
      <c r="AM138" s="1051">
        <f t="shared" si="137"/>
        <v>1319.8799999999999</v>
      </c>
      <c r="AN138" s="1051">
        <f t="shared" ref="AN138:BF138" si="138">((AN$71-$H$4)/1000)*$L$29*(($C$8/70)^$X$29)</f>
        <v>1358.7</v>
      </c>
      <c r="AO138" s="1051">
        <f t="shared" si="138"/>
        <v>1397.52</v>
      </c>
      <c r="AP138" s="1051">
        <f t="shared" si="138"/>
        <v>1436.34</v>
      </c>
      <c r="AQ138" s="1051">
        <f t="shared" si="138"/>
        <v>1475.1599999999999</v>
      </c>
      <c r="AR138" s="1051">
        <f t="shared" si="138"/>
        <v>1513.98</v>
      </c>
      <c r="AS138" s="1051">
        <f t="shared" si="138"/>
        <v>1552.8</v>
      </c>
      <c r="AT138" s="1051">
        <f t="shared" si="138"/>
        <v>1591.62</v>
      </c>
      <c r="AU138" s="1051">
        <f t="shared" si="138"/>
        <v>1630.44</v>
      </c>
      <c r="AV138" s="1051">
        <f t="shared" si="138"/>
        <v>1669.26</v>
      </c>
      <c r="AW138" s="1051">
        <f t="shared" si="138"/>
        <v>1708.0800000000002</v>
      </c>
      <c r="AX138" s="1051">
        <f t="shared" si="138"/>
        <v>1746.8999999999999</v>
      </c>
      <c r="AY138" s="1051">
        <f t="shared" si="138"/>
        <v>1785.7199999999998</v>
      </c>
      <c r="AZ138" s="1051">
        <f t="shared" si="138"/>
        <v>1824.54</v>
      </c>
      <c r="BA138" s="1051">
        <f t="shared" si="138"/>
        <v>1863.36</v>
      </c>
      <c r="BB138" s="1051">
        <f t="shared" si="138"/>
        <v>1902.18</v>
      </c>
      <c r="BC138" s="1051">
        <f t="shared" si="138"/>
        <v>1941</v>
      </c>
      <c r="BD138" s="1051">
        <f t="shared" si="138"/>
        <v>1979.8199999999997</v>
      </c>
      <c r="BE138" s="1051">
        <f t="shared" si="138"/>
        <v>2018.64</v>
      </c>
      <c r="BF138" s="1051">
        <f t="shared" si="138"/>
        <v>2057.46</v>
      </c>
    </row>
    <row r="139" spans="1:58">
      <c r="A139" s="2477"/>
      <c r="B139" s="2586" t="s">
        <v>256</v>
      </c>
      <c r="C139" s="2586"/>
      <c r="D139" s="410" t="s">
        <v>194</v>
      </c>
      <c r="E139" s="453">
        <v>150</v>
      </c>
      <c r="F139" s="453">
        <v>260</v>
      </c>
      <c r="G139" s="410" t="s">
        <v>254</v>
      </c>
      <c r="H139" s="1051">
        <f t="shared" ref="H139:AM139" si="139">((H$71-$H$4)/1000)*$M$29*(($C$8/70)^$Y$29)</f>
        <v>150.99529296599999</v>
      </c>
      <c r="I139" s="1051">
        <f t="shared" si="139"/>
        <v>201.32705728799999</v>
      </c>
      <c r="J139" s="1051">
        <f t="shared" si="139"/>
        <v>251.65882160999999</v>
      </c>
      <c r="K139" s="1051">
        <f t="shared" si="139"/>
        <v>301.99058593199999</v>
      </c>
      <c r="L139" s="1051">
        <f t="shared" si="139"/>
        <v>352.32235025399996</v>
      </c>
      <c r="M139" s="1051">
        <f t="shared" si="139"/>
        <v>402.65411457599998</v>
      </c>
      <c r="N139" s="1051">
        <f t="shared" si="139"/>
        <v>452.98587889800001</v>
      </c>
      <c r="O139" s="1051">
        <f t="shared" si="139"/>
        <v>503.31764321999998</v>
      </c>
      <c r="P139" s="1051">
        <f t="shared" si="139"/>
        <v>553.64940754200006</v>
      </c>
      <c r="Q139" s="1051">
        <f t="shared" si="139"/>
        <v>603.98117186399998</v>
      </c>
      <c r="R139" s="1051">
        <f t="shared" si="139"/>
        <v>654.312936186</v>
      </c>
      <c r="S139" s="1051">
        <f t="shared" si="139"/>
        <v>704.64470050799991</v>
      </c>
      <c r="T139" s="1051">
        <f t="shared" si="139"/>
        <v>754.97646482999994</v>
      </c>
      <c r="U139" s="1051">
        <f t="shared" si="139"/>
        <v>805.30822915199997</v>
      </c>
      <c r="V139" s="1051">
        <f t="shared" si="139"/>
        <v>855.63999347399999</v>
      </c>
      <c r="W139" s="1051">
        <f t="shared" si="139"/>
        <v>905.97175779600002</v>
      </c>
      <c r="X139" s="1051">
        <f t="shared" si="139"/>
        <v>956.30352211799993</v>
      </c>
      <c r="Y139" s="1051">
        <f t="shared" si="139"/>
        <v>1006.63528644</v>
      </c>
      <c r="Z139" s="1051">
        <f t="shared" si="139"/>
        <v>1056.9670507620001</v>
      </c>
      <c r="AA139" s="1051">
        <f t="shared" si="139"/>
        <v>1107.2988150840001</v>
      </c>
      <c r="AB139" s="1051">
        <f t="shared" si="139"/>
        <v>1157.6305794059999</v>
      </c>
      <c r="AC139" s="1051">
        <f t="shared" si="139"/>
        <v>1207.962343728</v>
      </c>
      <c r="AD139" s="1051">
        <f t="shared" si="139"/>
        <v>1258.29410805</v>
      </c>
      <c r="AE139" s="1051">
        <f t="shared" si="139"/>
        <v>1308.625872372</v>
      </c>
      <c r="AF139" s="1051">
        <f t="shared" si="139"/>
        <v>1358.957636694</v>
      </c>
      <c r="AG139" s="1051">
        <f t="shared" si="139"/>
        <v>1409.2894010159998</v>
      </c>
      <c r="AH139" s="1051">
        <f t="shared" si="139"/>
        <v>1459.6211653379999</v>
      </c>
      <c r="AI139" s="1051">
        <f t="shared" si="139"/>
        <v>1509.9529296599999</v>
      </c>
      <c r="AJ139" s="1051">
        <f t="shared" si="139"/>
        <v>1560.2846939819999</v>
      </c>
      <c r="AK139" s="1051">
        <f t="shared" si="139"/>
        <v>1610.6164583039999</v>
      </c>
      <c r="AL139" s="1051">
        <f t="shared" si="139"/>
        <v>1660.9482226259997</v>
      </c>
      <c r="AM139" s="1051">
        <f t="shared" si="139"/>
        <v>1711.279986948</v>
      </c>
      <c r="AN139" s="1051">
        <f t="shared" ref="AN139:BF139" si="140">((AN$71-$H$4)/1000)*$M$29*(($C$8/70)^$Y$29)</f>
        <v>1761.61175127</v>
      </c>
      <c r="AO139" s="1051">
        <f t="shared" si="140"/>
        <v>1811.943515592</v>
      </c>
      <c r="AP139" s="1051">
        <f t="shared" si="140"/>
        <v>1862.2752799140001</v>
      </c>
      <c r="AQ139" s="1051">
        <f t="shared" si="140"/>
        <v>1912.6070442359999</v>
      </c>
      <c r="AR139" s="1051">
        <f t="shared" si="140"/>
        <v>1962.9388085579999</v>
      </c>
      <c r="AS139" s="1051">
        <f t="shared" si="140"/>
        <v>2013.2705728799999</v>
      </c>
      <c r="AT139" s="1051">
        <f t="shared" si="140"/>
        <v>2063.6023372019999</v>
      </c>
      <c r="AU139" s="1051">
        <f t="shared" si="140"/>
        <v>2113.9341015240002</v>
      </c>
      <c r="AV139" s="1051">
        <f t="shared" si="140"/>
        <v>2164.265865846</v>
      </c>
      <c r="AW139" s="1051">
        <f t="shared" si="140"/>
        <v>2214.5976301680003</v>
      </c>
      <c r="AX139" s="1051">
        <f t="shared" si="140"/>
        <v>2264.92939449</v>
      </c>
      <c r="AY139" s="1051">
        <f t="shared" si="140"/>
        <v>2315.2611588119998</v>
      </c>
      <c r="AZ139" s="1051">
        <f t="shared" si="140"/>
        <v>2365.5929231340001</v>
      </c>
      <c r="BA139" s="1051">
        <f t="shared" si="140"/>
        <v>2415.9246874559999</v>
      </c>
      <c r="BB139" s="1051">
        <f t="shared" si="140"/>
        <v>2466.2564517780002</v>
      </c>
      <c r="BC139" s="1051">
        <f t="shared" si="140"/>
        <v>2516.5882161</v>
      </c>
      <c r="BD139" s="1051">
        <f t="shared" si="140"/>
        <v>2566.9199804219998</v>
      </c>
      <c r="BE139" s="1051">
        <f t="shared" si="140"/>
        <v>2617.251744744</v>
      </c>
      <c r="BF139" s="1051">
        <f t="shared" si="140"/>
        <v>2667.5835090659998</v>
      </c>
    </row>
    <row r="140" spans="1:58">
      <c r="A140" s="2477"/>
      <c r="B140" s="2586" t="s">
        <v>257</v>
      </c>
      <c r="C140" s="2586"/>
      <c r="D140" s="410" t="s">
        <v>194</v>
      </c>
      <c r="E140" s="453">
        <v>150</v>
      </c>
      <c r="F140" s="453">
        <v>300</v>
      </c>
      <c r="G140" s="410" t="s">
        <v>258</v>
      </c>
      <c r="H140" s="1051">
        <f>((H$71-$H$4)/1000)*$O$29*(($C$8/70)^$AA$29)</f>
        <v>180.54</v>
      </c>
      <c r="I140" s="1051">
        <f>((I$71-$H$4)/1000)*$O$29*(($C$8/70)^$AA$29)</f>
        <v>240.72</v>
      </c>
      <c r="J140" s="1051">
        <f t="shared" ref="J140:AO140" si="141">((J$71-$H$4)/1000)*$N$29*(($C$8/70)^$AA$29)</f>
        <v>276.82799999999997</v>
      </c>
      <c r="K140" s="1051">
        <f t="shared" si="141"/>
        <v>332.19359999999995</v>
      </c>
      <c r="L140" s="1051">
        <f t="shared" si="141"/>
        <v>387.55919999999992</v>
      </c>
      <c r="M140" s="1051">
        <f t="shared" si="141"/>
        <v>442.9248</v>
      </c>
      <c r="N140" s="1051">
        <f t="shared" si="141"/>
        <v>498.29039999999998</v>
      </c>
      <c r="O140" s="1051">
        <f t="shared" si="141"/>
        <v>553.65599999999995</v>
      </c>
      <c r="P140" s="1051">
        <f t="shared" si="141"/>
        <v>609.02160000000003</v>
      </c>
      <c r="Q140" s="1051">
        <f t="shared" si="141"/>
        <v>664.38719999999989</v>
      </c>
      <c r="R140" s="1051">
        <f t="shared" si="141"/>
        <v>719.75279999999998</v>
      </c>
      <c r="S140" s="1051">
        <f t="shared" si="141"/>
        <v>775.11839999999984</v>
      </c>
      <c r="T140" s="1051">
        <f t="shared" si="141"/>
        <v>830.48399999999992</v>
      </c>
      <c r="U140" s="1051">
        <f t="shared" si="141"/>
        <v>885.84960000000001</v>
      </c>
      <c r="V140" s="1051">
        <f t="shared" si="141"/>
        <v>941.21519999999987</v>
      </c>
      <c r="W140" s="1051">
        <f t="shared" si="141"/>
        <v>996.58079999999995</v>
      </c>
      <c r="X140" s="1051">
        <f t="shared" si="141"/>
        <v>1051.9463999999998</v>
      </c>
      <c r="Y140" s="1051">
        <f t="shared" si="141"/>
        <v>1107.3119999999999</v>
      </c>
      <c r="Z140" s="1051">
        <f t="shared" si="141"/>
        <v>1162.6776</v>
      </c>
      <c r="AA140" s="1051">
        <f t="shared" si="141"/>
        <v>1218.0432000000001</v>
      </c>
      <c r="AB140" s="1051">
        <f t="shared" si="141"/>
        <v>1273.4087999999997</v>
      </c>
      <c r="AC140" s="1051">
        <f t="shared" si="141"/>
        <v>1328.7743999999998</v>
      </c>
      <c r="AD140" s="1051">
        <f t="shared" si="141"/>
        <v>1384.1399999999999</v>
      </c>
      <c r="AE140" s="1051">
        <f t="shared" si="141"/>
        <v>1439.5056</v>
      </c>
      <c r="AF140" s="1051">
        <f t="shared" si="141"/>
        <v>1494.8712</v>
      </c>
      <c r="AG140" s="1051">
        <f t="shared" si="141"/>
        <v>1550.2367999999997</v>
      </c>
      <c r="AH140" s="1051">
        <f t="shared" si="141"/>
        <v>1605.6023999999998</v>
      </c>
      <c r="AI140" s="1051">
        <f t="shared" si="141"/>
        <v>1660.9679999999998</v>
      </c>
      <c r="AJ140" s="1051">
        <f t="shared" si="141"/>
        <v>1716.3335999999999</v>
      </c>
      <c r="AK140" s="1051">
        <f t="shared" si="141"/>
        <v>1771.6992</v>
      </c>
      <c r="AL140" s="1051">
        <f t="shared" si="141"/>
        <v>1827.0647999999997</v>
      </c>
      <c r="AM140" s="1051">
        <f t="shared" si="141"/>
        <v>1882.4303999999997</v>
      </c>
      <c r="AN140" s="1051">
        <f t="shared" si="141"/>
        <v>1937.7959999999998</v>
      </c>
      <c r="AO140" s="1051">
        <f t="shared" si="141"/>
        <v>1993.1615999999999</v>
      </c>
      <c r="AP140" s="1051">
        <f t="shared" ref="AP140:BF140" si="142">((AP$71-$H$4)/1000)*$N$29*(($C$8/70)^$AA$29)</f>
        <v>2048.5272</v>
      </c>
      <c r="AQ140" s="1051">
        <f t="shared" si="142"/>
        <v>2103.8927999999996</v>
      </c>
      <c r="AR140" s="1051">
        <f t="shared" si="142"/>
        <v>2159.2583999999997</v>
      </c>
      <c r="AS140" s="1051">
        <f t="shared" si="142"/>
        <v>2214.6239999999998</v>
      </c>
      <c r="AT140" s="1051">
        <f t="shared" si="142"/>
        <v>2269.9895999999994</v>
      </c>
      <c r="AU140" s="1051">
        <f t="shared" si="142"/>
        <v>2325.3552</v>
      </c>
      <c r="AV140" s="1051">
        <f t="shared" si="142"/>
        <v>2380.7207999999996</v>
      </c>
      <c r="AW140" s="1051">
        <f t="shared" si="142"/>
        <v>2436.0864000000001</v>
      </c>
      <c r="AX140" s="1051">
        <f t="shared" si="142"/>
        <v>2491.4519999999998</v>
      </c>
      <c r="AY140" s="1051">
        <f t="shared" si="142"/>
        <v>2546.8175999999994</v>
      </c>
      <c r="AZ140" s="1051">
        <f t="shared" si="142"/>
        <v>2602.1831999999999</v>
      </c>
      <c r="BA140" s="1051">
        <f t="shared" si="142"/>
        <v>2657.5487999999996</v>
      </c>
      <c r="BB140" s="1051">
        <f t="shared" si="142"/>
        <v>2712.9144000000001</v>
      </c>
      <c r="BC140" s="1051">
        <f t="shared" si="142"/>
        <v>2768.2799999999997</v>
      </c>
      <c r="BD140" s="1051">
        <f t="shared" si="142"/>
        <v>2823.6455999999994</v>
      </c>
      <c r="BE140" s="1051">
        <f t="shared" si="142"/>
        <v>2879.0111999999999</v>
      </c>
      <c r="BF140" s="1051">
        <f t="shared" si="142"/>
        <v>2934.3767999999995</v>
      </c>
    </row>
    <row r="141" spans="1:58">
      <c r="A141" s="2477"/>
      <c r="B141" s="2586" t="s">
        <v>259</v>
      </c>
      <c r="C141" s="2586"/>
      <c r="D141" s="410" t="s">
        <v>194</v>
      </c>
      <c r="E141" s="453">
        <v>150</v>
      </c>
      <c r="F141" s="453">
        <v>300</v>
      </c>
      <c r="G141" s="410" t="s">
        <v>260</v>
      </c>
      <c r="H141" s="1051">
        <f>((H$71-$H$4)/1000)*$O$29*(($C$8/70)^$AA$29)</f>
        <v>180.54</v>
      </c>
      <c r="I141" s="1051">
        <f>((I$71-$H$4)/1000)*$O$29*(($C$8/70)^$AA$29)</f>
        <v>240.72</v>
      </c>
      <c r="J141" s="1051">
        <f t="shared" ref="J141:AO141" si="143">((J$71-$H$4)/1000)*$O$29*(($C$8/70)^$AA$29)</f>
        <v>300.89999999999998</v>
      </c>
      <c r="K141" s="1051">
        <f t="shared" si="143"/>
        <v>361.08</v>
      </c>
      <c r="L141" s="1051">
        <f t="shared" si="143"/>
        <v>421.25999999999993</v>
      </c>
      <c r="M141" s="1051">
        <f t="shared" si="143"/>
        <v>481.44</v>
      </c>
      <c r="N141" s="1051">
        <f t="shared" si="143"/>
        <v>541.62</v>
      </c>
      <c r="O141" s="1051">
        <f t="shared" si="143"/>
        <v>601.79999999999995</v>
      </c>
      <c r="P141" s="1051">
        <f t="shared" si="143"/>
        <v>661.98</v>
      </c>
      <c r="Q141" s="1051">
        <f t="shared" si="143"/>
        <v>722.16</v>
      </c>
      <c r="R141" s="1051">
        <f t="shared" si="143"/>
        <v>782.33999999999992</v>
      </c>
      <c r="S141" s="1051">
        <f t="shared" si="143"/>
        <v>842.51999999999987</v>
      </c>
      <c r="T141" s="1051">
        <f t="shared" si="143"/>
        <v>902.69999999999993</v>
      </c>
      <c r="U141" s="1051">
        <f t="shared" si="143"/>
        <v>962.88</v>
      </c>
      <c r="V141" s="1051">
        <f t="shared" si="143"/>
        <v>1023.06</v>
      </c>
      <c r="W141" s="1051">
        <f t="shared" si="143"/>
        <v>1083.24</v>
      </c>
      <c r="X141" s="1051">
        <f t="shared" si="143"/>
        <v>1143.4199999999998</v>
      </c>
      <c r="Y141" s="1051">
        <f t="shared" si="143"/>
        <v>1203.5999999999999</v>
      </c>
      <c r="Z141" s="1051">
        <f t="shared" si="143"/>
        <v>1263.78</v>
      </c>
      <c r="AA141" s="1051">
        <f t="shared" si="143"/>
        <v>1323.96</v>
      </c>
      <c r="AB141" s="1051">
        <f t="shared" si="143"/>
        <v>1384.1399999999999</v>
      </c>
      <c r="AC141" s="1051">
        <f t="shared" si="143"/>
        <v>1444.32</v>
      </c>
      <c r="AD141" s="1051">
        <f t="shared" si="143"/>
        <v>1504.5</v>
      </c>
      <c r="AE141" s="1051">
        <f t="shared" si="143"/>
        <v>1564.6799999999998</v>
      </c>
      <c r="AF141" s="1051">
        <f t="shared" si="143"/>
        <v>1624.86</v>
      </c>
      <c r="AG141" s="1051">
        <f t="shared" si="143"/>
        <v>1685.0399999999997</v>
      </c>
      <c r="AH141" s="1051">
        <f t="shared" si="143"/>
        <v>1745.2199999999998</v>
      </c>
      <c r="AI141" s="1051">
        <f t="shared" si="143"/>
        <v>1805.3999999999999</v>
      </c>
      <c r="AJ141" s="1051">
        <f t="shared" si="143"/>
        <v>1865.58</v>
      </c>
      <c r="AK141" s="1051">
        <f t="shared" si="143"/>
        <v>1925.76</v>
      </c>
      <c r="AL141" s="1051">
        <f t="shared" si="143"/>
        <v>1985.9399999999998</v>
      </c>
      <c r="AM141" s="1051">
        <f t="shared" si="143"/>
        <v>2046.12</v>
      </c>
      <c r="AN141" s="1051">
        <f t="shared" si="143"/>
        <v>2106.2999999999997</v>
      </c>
      <c r="AO141" s="1051">
        <f t="shared" si="143"/>
        <v>2166.48</v>
      </c>
      <c r="AP141" s="1051">
        <f t="shared" ref="AP141:BF141" si="144">((AP$71-$H$4)/1000)*$O$29*(($C$8/70)^$AA$29)</f>
        <v>2226.66</v>
      </c>
      <c r="AQ141" s="1051">
        <f t="shared" si="144"/>
        <v>2286.8399999999997</v>
      </c>
      <c r="AR141" s="1051">
        <f t="shared" si="144"/>
        <v>2347.02</v>
      </c>
      <c r="AS141" s="1051">
        <f t="shared" si="144"/>
        <v>2407.1999999999998</v>
      </c>
      <c r="AT141" s="1051">
        <f t="shared" si="144"/>
        <v>2467.3799999999997</v>
      </c>
      <c r="AU141" s="1051">
        <f t="shared" si="144"/>
        <v>2527.56</v>
      </c>
      <c r="AV141" s="1051">
        <f t="shared" si="144"/>
        <v>2587.7399999999998</v>
      </c>
      <c r="AW141" s="1051">
        <f t="shared" si="144"/>
        <v>2647.92</v>
      </c>
      <c r="AX141" s="1051">
        <f t="shared" si="144"/>
        <v>2708.1</v>
      </c>
      <c r="AY141" s="1051">
        <f t="shared" si="144"/>
        <v>2768.2799999999997</v>
      </c>
      <c r="AZ141" s="1051">
        <f t="shared" si="144"/>
        <v>2828.46</v>
      </c>
      <c r="BA141" s="1051">
        <f t="shared" si="144"/>
        <v>2888.64</v>
      </c>
      <c r="BB141" s="1051">
        <f t="shared" si="144"/>
        <v>2948.82</v>
      </c>
      <c r="BC141" s="1051">
        <f t="shared" si="144"/>
        <v>3009</v>
      </c>
      <c r="BD141" s="1051">
        <f t="shared" si="144"/>
        <v>3069.1799999999994</v>
      </c>
      <c r="BE141" s="1051">
        <f t="shared" si="144"/>
        <v>3129.3599999999997</v>
      </c>
      <c r="BF141" s="1051">
        <f t="shared" si="144"/>
        <v>3189.5399999999995</v>
      </c>
    </row>
    <row r="142" spans="1:58">
      <c r="A142" s="2477"/>
      <c r="B142" s="2586" t="s">
        <v>261</v>
      </c>
      <c r="C142" s="2586"/>
      <c r="D142" s="410" t="s">
        <v>194</v>
      </c>
      <c r="E142" s="453">
        <v>150</v>
      </c>
      <c r="F142" s="453">
        <v>360</v>
      </c>
      <c r="G142" s="410" t="s">
        <v>258</v>
      </c>
      <c r="H142" s="1051">
        <f>((H$71-$H$4)/1000)*$Q$29*(($C$8/70)^$AC$29)</f>
        <v>190.23221587859999</v>
      </c>
      <c r="I142" s="1051">
        <f>((I$71-$H$4)/1000)*$Q$29*(($C$8/70)^$AC27)</f>
        <v>253.6429545048</v>
      </c>
      <c r="J142" s="1051">
        <f t="shared" ref="J142:AO142" si="145">((J$71-$H$4)/1000)*$P$29*(($C$8/70)^$AC27)</f>
        <v>288.51886074920998</v>
      </c>
      <c r="K142" s="1051">
        <f t="shared" si="145"/>
        <v>346.22263289905197</v>
      </c>
      <c r="L142" s="1051">
        <f t="shared" si="145"/>
        <v>403.92640504889397</v>
      </c>
      <c r="M142" s="1051">
        <f t="shared" si="145"/>
        <v>461.63017719873596</v>
      </c>
      <c r="N142" s="1051">
        <f t="shared" si="145"/>
        <v>519.33394934857802</v>
      </c>
      <c r="O142" s="1051">
        <f t="shared" si="145"/>
        <v>577.03772149841996</v>
      </c>
      <c r="P142" s="1051">
        <f t="shared" si="145"/>
        <v>634.74149364826201</v>
      </c>
      <c r="Q142" s="1051">
        <f t="shared" si="145"/>
        <v>692.44526579810395</v>
      </c>
      <c r="R142" s="1051">
        <f t="shared" si="145"/>
        <v>750.149037947946</v>
      </c>
      <c r="S142" s="1051">
        <f t="shared" si="145"/>
        <v>807.85281009778794</v>
      </c>
      <c r="T142" s="1051">
        <f t="shared" si="145"/>
        <v>865.55658224762988</v>
      </c>
      <c r="U142" s="1051">
        <f t="shared" si="145"/>
        <v>923.26035439747193</v>
      </c>
      <c r="V142" s="1051">
        <f t="shared" si="145"/>
        <v>980.96412654731387</v>
      </c>
      <c r="W142" s="1051">
        <f t="shared" si="145"/>
        <v>1038.667898697156</v>
      </c>
      <c r="X142" s="1051">
        <f t="shared" si="145"/>
        <v>1096.3716708469979</v>
      </c>
      <c r="Y142" s="1051">
        <f t="shared" si="145"/>
        <v>1154.0754429968399</v>
      </c>
      <c r="Z142" s="1051">
        <f t="shared" si="145"/>
        <v>1211.779215146682</v>
      </c>
      <c r="AA142" s="1051">
        <f t="shared" si="145"/>
        <v>1269.482987296524</v>
      </c>
      <c r="AB142" s="1051">
        <f t="shared" si="145"/>
        <v>1327.1867594463658</v>
      </c>
      <c r="AC142" s="1051">
        <f t="shared" si="145"/>
        <v>1384.8905315962079</v>
      </c>
      <c r="AD142" s="1051">
        <f t="shared" si="145"/>
        <v>1442.5943037460499</v>
      </c>
      <c r="AE142" s="1051">
        <f t="shared" si="145"/>
        <v>1500.298075895892</v>
      </c>
      <c r="AF142" s="1051">
        <f t="shared" si="145"/>
        <v>1558.0018480457341</v>
      </c>
      <c r="AG142" s="1051">
        <f t="shared" si="145"/>
        <v>1615.7056201955759</v>
      </c>
      <c r="AH142" s="1051">
        <f t="shared" si="145"/>
        <v>1673.4093923454179</v>
      </c>
      <c r="AI142" s="1051">
        <f t="shared" si="145"/>
        <v>1731.1131644952598</v>
      </c>
      <c r="AJ142" s="1051">
        <f t="shared" si="145"/>
        <v>1788.8169366451018</v>
      </c>
      <c r="AK142" s="1051">
        <f t="shared" si="145"/>
        <v>1846.5207087949439</v>
      </c>
      <c r="AL142" s="1051">
        <f t="shared" si="145"/>
        <v>1904.2244809447857</v>
      </c>
      <c r="AM142" s="1051">
        <f t="shared" si="145"/>
        <v>1961.9282530946277</v>
      </c>
      <c r="AN142" s="1051">
        <f t="shared" si="145"/>
        <v>2019.6320252444698</v>
      </c>
      <c r="AO142" s="1051">
        <f t="shared" si="145"/>
        <v>2077.3357973943121</v>
      </c>
      <c r="AP142" s="1051">
        <f t="shared" ref="AP142:BF142" si="146">((AP$71-$H$4)/1000)*$P$29*(($C$8/70)^$AC27)</f>
        <v>2135.0395695441539</v>
      </c>
      <c r="AQ142" s="1051">
        <f t="shared" si="146"/>
        <v>2192.7433416939957</v>
      </c>
      <c r="AR142" s="1051">
        <f t="shared" si="146"/>
        <v>2250.447113843838</v>
      </c>
      <c r="AS142" s="1051">
        <f t="shared" si="146"/>
        <v>2308.1508859936798</v>
      </c>
      <c r="AT142" s="1051">
        <f t="shared" si="146"/>
        <v>2365.8546581435216</v>
      </c>
      <c r="AU142" s="1051">
        <f t="shared" si="146"/>
        <v>2423.5584302933639</v>
      </c>
      <c r="AV142" s="1051">
        <f t="shared" si="146"/>
        <v>2481.2622024432058</v>
      </c>
      <c r="AW142" s="1051">
        <f t="shared" si="146"/>
        <v>2538.965974593048</v>
      </c>
      <c r="AX142" s="1051">
        <f t="shared" si="146"/>
        <v>2596.6697467428899</v>
      </c>
      <c r="AY142" s="1051">
        <f t="shared" si="146"/>
        <v>2654.3735188927317</v>
      </c>
      <c r="AZ142" s="1051">
        <f t="shared" si="146"/>
        <v>2712.077291042574</v>
      </c>
      <c r="BA142" s="1051">
        <f t="shared" si="146"/>
        <v>2769.7810631924158</v>
      </c>
      <c r="BB142" s="1051">
        <f t="shared" si="146"/>
        <v>2827.4848353422581</v>
      </c>
      <c r="BC142" s="1051">
        <f t="shared" si="146"/>
        <v>2885.1886074920999</v>
      </c>
      <c r="BD142" s="1051">
        <f t="shared" si="146"/>
        <v>2942.8923796419417</v>
      </c>
      <c r="BE142" s="1051">
        <f t="shared" si="146"/>
        <v>3000.596151791784</v>
      </c>
      <c r="BF142" s="1051">
        <f t="shared" si="146"/>
        <v>3058.2999239416258</v>
      </c>
    </row>
    <row r="143" spans="1:58">
      <c r="A143" s="2477"/>
      <c r="B143" s="2586" t="s">
        <v>262</v>
      </c>
      <c r="C143" s="2586"/>
      <c r="D143" s="410" t="s">
        <v>194</v>
      </c>
      <c r="E143" s="453">
        <v>150</v>
      </c>
      <c r="F143" s="453">
        <v>360</v>
      </c>
      <c r="G143" s="410" t="s">
        <v>260</v>
      </c>
      <c r="H143" s="1051">
        <f>((H$71-$H$4)/1000)*$Q$29*(($C$8/70)^$AC$29)</f>
        <v>190.23221587859999</v>
      </c>
      <c r="I143" s="1051">
        <f t="shared" ref="I143:AN143" si="147">((I$71-$H$4)/1000)*$Q$29*(($C$8/70)^$AC29)</f>
        <v>253.6429545048</v>
      </c>
      <c r="J143" s="1051">
        <f t="shared" si="147"/>
        <v>317.05369313099999</v>
      </c>
      <c r="K143" s="1051">
        <f t="shared" si="147"/>
        <v>380.46443175719997</v>
      </c>
      <c r="L143" s="1051">
        <f t="shared" si="147"/>
        <v>443.87517038339996</v>
      </c>
      <c r="M143" s="1051">
        <f t="shared" si="147"/>
        <v>507.2859090096</v>
      </c>
      <c r="N143" s="1051">
        <f t="shared" si="147"/>
        <v>570.69664763579999</v>
      </c>
      <c r="O143" s="1051">
        <f t="shared" si="147"/>
        <v>634.10738626199998</v>
      </c>
      <c r="P143" s="1051">
        <f t="shared" si="147"/>
        <v>697.51812488820008</v>
      </c>
      <c r="Q143" s="1051">
        <f t="shared" si="147"/>
        <v>760.92886351439995</v>
      </c>
      <c r="R143" s="1051">
        <f t="shared" si="147"/>
        <v>824.33960214060005</v>
      </c>
      <c r="S143" s="1051">
        <f t="shared" si="147"/>
        <v>887.75034076679992</v>
      </c>
      <c r="T143" s="1051">
        <f t="shared" si="147"/>
        <v>951.16107939299991</v>
      </c>
      <c r="U143" s="1051">
        <f t="shared" si="147"/>
        <v>1014.5718180192</v>
      </c>
      <c r="V143" s="1051">
        <f t="shared" si="147"/>
        <v>1077.9825566453999</v>
      </c>
      <c r="W143" s="1051">
        <f t="shared" si="147"/>
        <v>1141.3932952716</v>
      </c>
      <c r="X143" s="1051">
        <f t="shared" si="147"/>
        <v>1204.8040338977999</v>
      </c>
      <c r="Y143" s="1051">
        <f t="shared" si="147"/>
        <v>1268.214772524</v>
      </c>
      <c r="Z143" s="1051">
        <f t="shared" si="147"/>
        <v>1331.6255111502001</v>
      </c>
      <c r="AA143" s="1051">
        <f t="shared" si="147"/>
        <v>1395.0362497764002</v>
      </c>
      <c r="AB143" s="1051">
        <f t="shared" si="147"/>
        <v>1458.4469884025998</v>
      </c>
      <c r="AC143" s="1051">
        <f t="shared" si="147"/>
        <v>1521.8577270287999</v>
      </c>
      <c r="AD143" s="1051">
        <f t="shared" si="147"/>
        <v>1585.268465655</v>
      </c>
      <c r="AE143" s="1051">
        <f t="shared" si="147"/>
        <v>1648.6792042812001</v>
      </c>
      <c r="AF143" s="1051">
        <f t="shared" si="147"/>
        <v>1712.0899429074</v>
      </c>
      <c r="AG143" s="1051">
        <f t="shared" si="147"/>
        <v>1775.5006815335998</v>
      </c>
      <c r="AH143" s="1051">
        <f t="shared" si="147"/>
        <v>1838.9114201597999</v>
      </c>
      <c r="AI143" s="1051">
        <f t="shared" si="147"/>
        <v>1902.3221587859998</v>
      </c>
      <c r="AJ143" s="1051">
        <f t="shared" si="147"/>
        <v>1965.7328974121999</v>
      </c>
      <c r="AK143" s="1051">
        <f t="shared" si="147"/>
        <v>2029.1436360384</v>
      </c>
      <c r="AL143" s="1051">
        <f t="shared" si="147"/>
        <v>2092.5543746645999</v>
      </c>
      <c r="AM143" s="1051">
        <f t="shared" si="147"/>
        <v>2155.9651132907998</v>
      </c>
      <c r="AN143" s="1051">
        <f t="shared" si="147"/>
        <v>2219.3758519170001</v>
      </c>
      <c r="AO143" s="1051">
        <f t="shared" ref="AO143:BF143" si="148">((AO$71-$H$4)/1000)*$Q$29*(($C$8/70)^$AC29)</f>
        <v>2282.7865905432</v>
      </c>
      <c r="AP143" s="1051">
        <f t="shared" si="148"/>
        <v>2346.1973291693998</v>
      </c>
      <c r="AQ143" s="1051">
        <f t="shared" si="148"/>
        <v>2409.6080677955997</v>
      </c>
      <c r="AR143" s="1051">
        <f t="shared" si="148"/>
        <v>2473.0188064218</v>
      </c>
      <c r="AS143" s="1051">
        <f t="shared" si="148"/>
        <v>2536.4295450479999</v>
      </c>
      <c r="AT143" s="1051">
        <f t="shared" si="148"/>
        <v>2599.8402836741998</v>
      </c>
      <c r="AU143" s="1051">
        <f t="shared" si="148"/>
        <v>2663.2510223004001</v>
      </c>
      <c r="AV143" s="1051">
        <f t="shared" si="148"/>
        <v>2726.6617609266</v>
      </c>
      <c r="AW143" s="1051">
        <f t="shared" si="148"/>
        <v>2790.0724995528003</v>
      </c>
      <c r="AX143" s="1051">
        <f t="shared" si="148"/>
        <v>2853.4832381789997</v>
      </c>
      <c r="AY143" s="1051">
        <f t="shared" si="148"/>
        <v>2916.8939768051996</v>
      </c>
      <c r="AZ143" s="1051">
        <f t="shared" si="148"/>
        <v>2980.3047154313999</v>
      </c>
      <c r="BA143" s="1051">
        <f t="shared" si="148"/>
        <v>3043.7154540575998</v>
      </c>
      <c r="BB143" s="1051">
        <f t="shared" si="148"/>
        <v>3107.1261926838001</v>
      </c>
      <c r="BC143" s="1051">
        <f t="shared" si="148"/>
        <v>3170.53693131</v>
      </c>
      <c r="BD143" s="1051">
        <f t="shared" si="148"/>
        <v>3233.9476699361999</v>
      </c>
      <c r="BE143" s="1051">
        <f t="shared" si="148"/>
        <v>3297.3584085624002</v>
      </c>
      <c r="BF143" s="1051">
        <f t="shared" si="148"/>
        <v>3360.7691471885996</v>
      </c>
    </row>
    <row r="144" spans="1:58">
      <c r="A144" s="2477"/>
      <c r="B144" s="2586" t="s">
        <v>263</v>
      </c>
      <c r="C144" s="2586"/>
      <c r="D144" s="410" t="s">
        <v>194</v>
      </c>
      <c r="E144" s="453">
        <v>150</v>
      </c>
      <c r="F144" s="453">
        <v>400</v>
      </c>
      <c r="G144" s="410" t="s">
        <v>258</v>
      </c>
      <c r="H144" s="1051">
        <f t="shared" ref="H144:AM144" si="149">((H$71-$H$4)/1000)*$R$29*(($C$8/70)^$AE$29)</f>
        <v>184.35599999999999</v>
      </c>
      <c r="I144" s="1051">
        <f t="shared" si="149"/>
        <v>245.80799999999999</v>
      </c>
      <c r="J144" s="1051">
        <f t="shared" si="149"/>
        <v>307.26</v>
      </c>
      <c r="K144" s="1051">
        <f t="shared" si="149"/>
        <v>368.71199999999999</v>
      </c>
      <c r="L144" s="1051">
        <f t="shared" si="149"/>
        <v>430.16399999999999</v>
      </c>
      <c r="M144" s="1051">
        <f t="shared" si="149"/>
        <v>491.61599999999999</v>
      </c>
      <c r="N144" s="1051">
        <f t="shared" si="149"/>
        <v>553.06799999999998</v>
      </c>
      <c r="O144" s="1051">
        <f t="shared" si="149"/>
        <v>614.52</v>
      </c>
      <c r="P144" s="1051">
        <f t="shared" si="149"/>
        <v>675.97199999999998</v>
      </c>
      <c r="Q144" s="1051">
        <f t="shared" si="149"/>
        <v>737.42399999999998</v>
      </c>
      <c r="R144" s="1051">
        <f t="shared" si="149"/>
        <v>798.87599999999998</v>
      </c>
      <c r="S144" s="1051">
        <f t="shared" si="149"/>
        <v>860.32799999999997</v>
      </c>
      <c r="T144" s="1051">
        <f t="shared" si="149"/>
        <v>921.78</v>
      </c>
      <c r="U144" s="1051">
        <f t="shared" si="149"/>
        <v>983.23199999999997</v>
      </c>
      <c r="V144" s="1051">
        <f t="shared" si="149"/>
        <v>1044.684</v>
      </c>
      <c r="W144" s="1051">
        <f t="shared" si="149"/>
        <v>1106.136</v>
      </c>
      <c r="X144" s="1051">
        <f t="shared" si="149"/>
        <v>1167.588</v>
      </c>
      <c r="Y144" s="1051">
        <f t="shared" si="149"/>
        <v>1229.04</v>
      </c>
      <c r="Z144" s="1051">
        <f t="shared" si="149"/>
        <v>1290.492</v>
      </c>
      <c r="AA144" s="1051">
        <f t="shared" si="149"/>
        <v>1351.944</v>
      </c>
      <c r="AB144" s="1051">
        <f t="shared" si="149"/>
        <v>1413.396</v>
      </c>
      <c r="AC144" s="1051">
        <f t="shared" si="149"/>
        <v>1474.848</v>
      </c>
      <c r="AD144" s="1051">
        <f t="shared" si="149"/>
        <v>1536.3</v>
      </c>
      <c r="AE144" s="1051">
        <f t="shared" si="149"/>
        <v>1597.752</v>
      </c>
      <c r="AF144" s="1051">
        <f t="shared" si="149"/>
        <v>1659.204</v>
      </c>
      <c r="AG144" s="1051">
        <f t="shared" si="149"/>
        <v>1720.6559999999999</v>
      </c>
      <c r="AH144" s="1051">
        <f t="shared" si="149"/>
        <v>1782.1079999999999</v>
      </c>
      <c r="AI144" s="1051">
        <f t="shared" si="149"/>
        <v>1843.56</v>
      </c>
      <c r="AJ144" s="1051">
        <f t="shared" si="149"/>
        <v>1905.0119999999999</v>
      </c>
      <c r="AK144" s="1051">
        <f t="shared" si="149"/>
        <v>1966.4639999999999</v>
      </c>
      <c r="AL144" s="1051">
        <f t="shared" si="149"/>
        <v>2027.9159999999999</v>
      </c>
      <c r="AM144" s="1051">
        <f t="shared" si="149"/>
        <v>2089.3679999999999</v>
      </c>
      <c r="AN144" s="1051">
        <f t="shared" ref="AN144:BF144" si="150">((AN$71-$H$4)/1000)*$R$29*(($C$8/70)^$AE$29)</f>
        <v>2150.8199999999997</v>
      </c>
      <c r="AO144" s="1051">
        <f t="shared" si="150"/>
        <v>2212.2719999999999</v>
      </c>
      <c r="AP144" s="1051">
        <f t="shared" si="150"/>
        <v>2273.7240000000002</v>
      </c>
      <c r="AQ144" s="1051">
        <f t="shared" si="150"/>
        <v>2335.1759999999999</v>
      </c>
      <c r="AR144" s="1051">
        <f t="shared" si="150"/>
        <v>2396.6279999999997</v>
      </c>
      <c r="AS144" s="1051">
        <f t="shared" si="150"/>
        <v>2458.08</v>
      </c>
      <c r="AT144" s="1051">
        <f t="shared" si="150"/>
        <v>2519.5319999999997</v>
      </c>
      <c r="AU144" s="1051">
        <f t="shared" si="150"/>
        <v>2580.9839999999999</v>
      </c>
      <c r="AV144" s="1051">
        <f t="shared" si="150"/>
        <v>2642.4359999999997</v>
      </c>
      <c r="AW144" s="1051">
        <f t="shared" si="150"/>
        <v>2703.8879999999999</v>
      </c>
      <c r="AX144" s="1051">
        <f t="shared" si="150"/>
        <v>2765.34</v>
      </c>
      <c r="AY144" s="1051">
        <f t="shared" si="150"/>
        <v>2826.7919999999999</v>
      </c>
      <c r="AZ144" s="1051">
        <f t="shared" si="150"/>
        <v>2888.2440000000001</v>
      </c>
      <c r="BA144" s="1051">
        <f t="shared" si="150"/>
        <v>2949.6959999999999</v>
      </c>
      <c r="BB144" s="1051">
        <f t="shared" si="150"/>
        <v>3011.1480000000001</v>
      </c>
      <c r="BC144" s="1051">
        <f t="shared" si="150"/>
        <v>3072.6</v>
      </c>
      <c r="BD144" s="1051">
        <f t="shared" si="150"/>
        <v>3134.0519999999997</v>
      </c>
      <c r="BE144" s="1051">
        <f t="shared" si="150"/>
        <v>3195.5039999999999</v>
      </c>
      <c r="BF144" s="1051">
        <f t="shared" si="150"/>
        <v>3256.9559999999997</v>
      </c>
    </row>
    <row r="145" spans="1:58" ht="15.75" thickBot="1">
      <c r="A145" s="2477"/>
      <c r="B145" s="2587" t="s">
        <v>264</v>
      </c>
      <c r="C145" s="2587"/>
      <c r="D145" s="410" t="s">
        <v>194</v>
      </c>
      <c r="E145" s="453">
        <v>150</v>
      </c>
      <c r="F145" s="453">
        <v>400</v>
      </c>
      <c r="G145" s="411" t="s">
        <v>260</v>
      </c>
      <c r="H145" s="1052">
        <f t="shared" ref="H145:AM145" si="151">((H$71-$H$4)/1000)*$S$29*(($C$8/70)^$AE$29)</f>
        <v>204.83999999999997</v>
      </c>
      <c r="I145" s="1052">
        <f t="shared" si="151"/>
        <v>273.12</v>
      </c>
      <c r="J145" s="1052">
        <f t="shared" si="151"/>
        <v>341.4</v>
      </c>
      <c r="K145" s="1052">
        <f t="shared" si="151"/>
        <v>409.67999999999995</v>
      </c>
      <c r="L145" s="1052">
        <f t="shared" si="151"/>
        <v>477.95999999999992</v>
      </c>
      <c r="M145" s="1052">
        <f t="shared" si="151"/>
        <v>546.24</v>
      </c>
      <c r="N145" s="1052">
        <f t="shared" si="151"/>
        <v>614.52</v>
      </c>
      <c r="O145" s="1052">
        <f t="shared" si="151"/>
        <v>682.8</v>
      </c>
      <c r="P145" s="1052">
        <f t="shared" si="151"/>
        <v>751.08</v>
      </c>
      <c r="Q145" s="1052">
        <f t="shared" si="151"/>
        <v>819.3599999999999</v>
      </c>
      <c r="R145" s="1052">
        <f t="shared" si="151"/>
        <v>887.64</v>
      </c>
      <c r="S145" s="1052">
        <f t="shared" si="151"/>
        <v>955.91999999999985</v>
      </c>
      <c r="T145" s="1052">
        <f t="shared" si="151"/>
        <v>1024.1999999999998</v>
      </c>
      <c r="U145" s="1052">
        <f t="shared" si="151"/>
        <v>1092.48</v>
      </c>
      <c r="V145" s="1052">
        <f t="shared" si="151"/>
        <v>1160.76</v>
      </c>
      <c r="W145" s="1052">
        <f t="shared" si="151"/>
        <v>1229.04</v>
      </c>
      <c r="X145" s="1052">
        <f t="shared" si="151"/>
        <v>1297.32</v>
      </c>
      <c r="Y145" s="1052">
        <f t="shared" si="151"/>
        <v>1365.6</v>
      </c>
      <c r="Z145" s="1052">
        <f t="shared" si="151"/>
        <v>1433.8799999999999</v>
      </c>
      <c r="AA145" s="1052">
        <f t="shared" si="151"/>
        <v>1502.16</v>
      </c>
      <c r="AB145" s="1052">
        <f t="shared" si="151"/>
        <v>1570.4399999999998</v>
      </c>
      <c r="AC145" s="1052">
        <f t="shared" si="151"/>
        <v>1638.7199999999998</v>
      </c>
      <c r="AD145" s="1052">
        <f t="shared" si="151"/>
        <v>1707</v>
      </c>
      <c r="AE145" s="1052">
        <f t="shared" si="151"/>
        <v>1775.28</v>
      </c>
      <c r="AF145" s="1052">
        <f t="shared" si="151"/>
        <v>1843.56</v>
      </c>
      <c r="AG145" s="1052">
        <f t="shared" si="151"/>
        <v>1911.8399999999997</v>
      </c>
      <c r="AH145" s="1052">
        <f t="shared" si="151"/>
        <v>1980.12</v>
      </c>
      <c r="AI145" s="1052">
        <f t="shared" si="151"/>
        <v>2048.3999999999996</v>
      </c>
      <c r="AJ145" s="1052">
        <f t="shared" si="151"/>
        <v>2116.6799999999998</v>
      </c>
      <c r="AK145" s="1052">
        <f t="shared" si="151"/>
        <v>2184.96</v>
      </c>
      <c r="AL145" s="1052">
        <f t="shared" si="151"/>
        <v>2253.2399999999998</v>
      </c>
      <c r="AM145" s="1052">
        <f t="shared" si="151"/>
        <v>2321.52</v>
      </c>
      <c r="AN145" s="1052">
        <f t="shared" ref="AN145:BF145" si="152">((AN$71-$H$4)/1000)*$S$29*(($C$8/70)^$AE$29)</f>
        <v>2389.7999999999997</v>
      </c>
      <c r="AO145" s="1052">
        <f t="shared" si="152"/>
        <v>2458.08</v>
      </c>
      <c r="AP145" s="1052">
        <f t="shared" si="152"/>
        <v>2526.36</v>
      </c>
      <c r="AQ145" s="1052">
        <f t="shared" si="152"/>
        <v>2594.64</v>
      </c>
      <c r="AR145" s="1052">
        <f t="shared" si="152"/>
        <v>2662.9199999999996</v>
      </c>
      <c r="AS145" s="1052">
        <f t="shared" si="152"/>
        <v>2731.2</v>
      </c>
      <c r="AT145" s="1052">
        <f t="shared" si="152"/>
        <v>2799.4799999999996</v>
      </c>
      <c r="AU145" s="1052">
        <f t="shared" si="152"/>
        <v>2867.7599999999998</v>
      </c>
      <c r="AV145" s="1052">
        <f t="shared" si="152"/>
        <v>2936.0399999999995</v>
      </c>
      <c r="AW145" s="1052">
        <f t="shared" si="152"/>
        <v>3004.32</v>
      </c>
      <c r="AX145" s="1052">
        <f t="shared" si="152"/>
        <v>3072.6</v>
      </c>
      <c r="AY145" s="1052">
        <f t="shared" si="152"/>
        <v>3140.8799999999997</v>
      </c>
      <c r="AZ145" s="1052">
        <f t="shared" si="152"/>
        <v>3209.16</v>
      </c>
      <c r="BA145" s="1052">
        <f t="shared" si="152"/>
        <v>3277.4399999999996</v>
      </c>
      <c r="BB145" s="1052">
        <f t="shared" si="152"/>
        <v>3345.72</v>
      </c>
      <c r="BC145" s="1052">
        <f t="shared" si="152"/>
        <v>3414</v>
      </c>
      <c r="BD145" s="1052">
        <f t="shared" si="152"/>
        <v>3482.2799999999997</v>
      </c>
      <c r="BE145" s="1052">
        <f t="shared" si="152"/>
        <v>3550.56</v>
      </c>
      <c r="BF145" s="1052">
        <f t="shared" si="152"/>
        <v>3618.8399999999997</v>
      </c>
    </row>
    <row r="146" spans="1:58" s="1177" customFormat="1">
      <c r="A146" s="2477"/>
      <c r="B146" s="2596" t="s">
        <v>558</v>
      </c>
      <c r="C146" s="2597"/>
      <c r="D146" s="412" t="s">
        <v>194</v>
      </c>
      <c r="E146" s="454">
        <v>200</v>
      </c>
      <c r="F146" s="454">
        <v>200</v>
      </c>
      <c r="G146" s="412" t="s">
        <v>254</v>
      </c>
      <c r="H146" s="1053">
        <f>((H$71-$H$4)/1000)*$L$30*(($C$8/70)^$X$30)</f>
        <v>133.92899999999997</v>
      </c>
      <c r="I146" s="1053">
        <f t="shared" ref="I146:BF146" si="153">((I$71-$H$4)/1000)*$L$30*(($C$8/70)^$X$30)</f>
        <v>178.572</v>
      </c>
      <c r="J146" s="1053">
        <f t="shared" si="153"/>
        <v>223.21499999999997</v>
      </c>
      <c r="K146" s="1053">
        <f t="shared" si="153"/>
        <v>267.85799999999995</v>
      </c>
      <c r="L146" s="1053">
        <f t="shared" si="153"/>
        <v>312.50099999999992</v>
      </c>
      <c r="M146" s="1053">
        <f t="shared" si="153"/>
        <v>357.14400000000001</v>
      </c>
      <c r="N146" s="1053">
        <f t="shared" si="153"/>
        <v>401.78699999999998</v>
      </c>
      <c r="O146" s="1053">
        <f t="shared" si="153"/>
        <v>446.42999999999995</v>
      </c>
      <c r="P146" s="1053">
        <f t="shared" si="153"/>
        <v>491.07299999999998</v>
      </c>
      <c r="Q146" s="1053">
        <f t="shared" si="153"/>
        <v>535.71599999999989</v>
      </c>
      <c r="R146" s="1053">
        <f t="shared" si="153"/>
        <v>580.35899999999992</v>
      </c>
      <c r="S146" s="1053">
        <f t="shared" si="153"/>
        <v>625.00199999999984</v>
      </c>
      <c r="T146" s="1053">
        <f t="shared" si="153"/>
        <v>669.64499999999998</v>
      </c>
      <c r="U146" s="1053">
        <f t="shared" si="153"/>
        <v>714.28800000000001</v>
      </c>
      <c r="V146" s="1053">
        <f t="shared" si="153"/>
        <v>758.93099999999993</v>
      </c>
      <c r="W146" s="1053">
        <f t="shared" si="153"/>
        <v>803.57399999999996</v>
      </c>
      <c r="X146" s="1053">
        <f t="shared" si="153"/>
        <v>848.21699999999987</v>
      </c>
      <c r="Y146" s="1053">
        <f t="shared" si="153"/>
        <v>892.8599999999999</v>
      </c>
      <c r="Z146" s="1053">
        <f t="shared" si="153"/>
        <v>937.50299999999993</v>
      </c>
      <c r="AA146" s="1053">
        <f t="shared" si="153"/>
        <v>982.14599999999996</v>
      </c>
      <c r="AB146" s="1053">
        <f t="shared" si="153"/>
        <v>1026.7889999999998</v>
      </c>
      <c r="AC146" s="1053">
        <f t="shared" si="153"/>
        <v>1071.4319999999998</v>
      </c>
      <c r="AD146" s="1053">
        <f t="shared" si="153"/>
        <v>1116.0749999999998</v>
      </c>
      <c r="AE146" s="1053">
        <f t="shared" si="153"/>
        <v>1160.7179999999998</v>
      </c>
      <c r="AF146" s="1053">
        <f t="shared" si="153"/>
        <v>1205.3609999999999</v>
      </c>
      <c r="AG146" s="1053">
        <f t="shared" si="153"/>
        <v>1250.0039999999997</v>
      </c>
      <c r="AH146" s="1053">
        <f t="shared" si="153"/>
        <v>1294.6469999999997</v>
      </c>
      <c r="AI146" s="1053">
        <f t="shared" si="153"/>
        <v>1339.29</v>
      </c>
      <c r="AJ146" s="1053">
        <f t="shared" si="153"/>
        <v>1383.933</v>
      </c>
      <c r="AK146" s="1053">
        <f t="shared" si="153"/>
        <v>1428.576</v>
      </c>
      <c r="AL146" s="1053">
        <f t="shared" si="153"/>
        <v>1473.2189999999998</v>
      </c>
      <c r="AM146" s="1053">
        <f t="shared" si="153"/>
        <v>1517.8619999999999</v>
      </c>
      <c r="AN146" s="1053">
        <f t="shared" si="153"/>
        <v>1562.5049999999999</v>
      </c>
      <c r="AO146" s="1053">
        <f t="shared" si="153"/>
        <v>1607.1479999999999</v>
      </c>
      <c r="AP146" s="1053">
        <f t="shared" si="153"/>
        <v>1651.7909999999999</v>
      </c>
      <c r="AQ146" s="1053">
        <f t="shared" si="153"/>
        <v>1696.4339999999997</v>
      </c>
      <c r="AR146" s="1053">
        <f t="shared" si="153"/>
        <v>1741.0769999999998</v>
      </c>
      <c r="AS146" s="1053">
        <f t="shared" si="153"/>
        <v>1785.7199999999998</v>
      </c>
      <c r="AT146" s="1053">
        <f t="shared" si="153"/>
        <v>1830.3629999999996</v>
      </c>
      <c r="AU146" s="1053">
        <f t="shared" si="153"/>
        <v>1875.0059999999999</v>
      </c>
      <c r="AV146" s="1053">
        <f t="shared" si="153"/>
        <v>1919.6489999999997</v>
      </c>
      <c r="AW146" s="1053">
        <f t="shared" si="153"/>
        <v>1964.2919999999999</v>
      </c>
      <c r="AX146" s="1053">
        <f t="shared" si="153"/>
        <v>2008.9349999999997</v>
      </c>
      <c r="AY146" s="1053">
        <f t="shared" si="153"/>
        <v>2053.5779999999995</v>
      </c>
      <c r="AZ146" s="1053">
        <f t="shared" si="153"/>
        <v>2098.221</v>
      </c>
      <c r="BA146" s="1053">
        <f t="shared" si="153"/>
        <v>2142.8639999999996</v>
      </c>
      <c r="BB146" s="1053">
        <f t="shared" si="153"/>
        <v>2187.5070000000001</v>
      </c>
      <c r="BC146" s="1053">
        <f t="shared" si="153"/>
        <v>2232.1499999999996</v>
      </c>
      <c r="BD146" s="1053">
        <f t="shared" si="153"/>
        <v>2276.7929999999997</v>
      </c>
      <c r="BE146" s="1053">
        <f t="shared" si="153"/>
        <v>2321.4359999999997</v>
      </c>
      <c r="BF146" s="1053">
        <f t="shared" si="153"/>
        <v>2366.0789999999997</v>
      </c>
    </row>
    <row r="147" spans="1:58">
      <c r="A147" s="2477"/>
      <c r="B147" s="2550" t="s">
        <v>265</v>
      </c>
      <c r="C147" s="2551"/>
      <c r="D147" s="413" t="s">
        <v>194</v>
      </c>
      <c r="E147" s="455">
        <v>200</v>
      </c>
      <c r="F147" s="455">
        <v>260</v>
      </c>
      <c r="G147" s="413" t="s">
        <v>254</v>
      </c>
      <c r="H147" s="1054">
        <f t="shared" ref="H147:AM147" si="154">((H$71-$H$4)/1000)*$M$30*(($C$8/70)^$Y$30)</f>
        <v>155.82714234091199</v>
      </c>
      <c r="I147" s="1054">
        <f t="shared" si="154"/>
        <v>207.769523121216</v>
      </c>
      <c r="J147" s="1054">
        <f t="shared" si="154"/>
        <v>259.71190390151997</v>
      </c>
      <c r="K147" s="1054">
        <f t="shared" si="154"/>
        <v>311.65428468182398</v>
      </c>
      <c r="L147" s="1054">
        <f t="shared" si="154"/>
        <v>363.59666546212793</v>
      </c>
      <c r="M147" s="1054">
        <f t="shared" si="154"/>
        <v>415.53904624243199</v>
      </c>
      <c r="N147" s="1054">
        <f t="shared" si="154"/>
        <v>467.48142702273594</v>
      </c>
      <c r="O147" s="1054">
        <f t="shared" si="154"/>
        <v>519.42380780303995</v>
      </c>
      <c r="P147" s="1054">
        <f t="shared" si="154"/>
        <v>571.36618858334396</v>
      </c>
      <c r="Q147" s="1054">
        <f t="shared" si="154"/>
        <v>623.30856936364796</v>
      </c>
      <c r="R147" s="1054">
        <f t="shared" si="154"/>
        <v>675.25095014395197</v>
      </c>
      <c r="S147" s="1054">
        <f t="shared" si="154"/>
        <v>727.19333092425586</v>
      </c>
      <c r="T147" s="1054">
        <f t="shared" si="154"/>
        <v>779.13571170455998</v>
      </c>
      <c r="U147" s="1054">
        <f t="shared" si="154"/>
        <v>831.07809248486399</v>
      </c>
      <c r="V147" s="1054">
        <f t="shared" si="154"/>
        <v>883.02047326516788</v>
      </c>
      <c r="W147" s="1054">
        <f t="shared" si="154"/>
        <v>934.96285404547189</v>
      </c>
      <c r="X147" s="1054">
        <f t="shared" si="154"/>
        <v>986.90523482577589</v>
      </c>
      <c r="Y147" s="1054">
        <f t="shared" si="154"/>
        <v>1038.8476156060799</v>
      </c>
      <c r="Z147" s="1054">
        <f t="shared" si="154"/>
        <v>1090.789996386384</v>
      </c>
      <c r="AA147" s="1054">
        <f t="shared" si="154"/>
        <v>1142.7323771666879</v>
      </c>
      <c r="AB147" s="1054">
        <f t="shared" si="154"/>
        <v>1194.6747579469918</v>
      </c>
      <c r="AC147" s="1054">
        <f t="shared" si="154"/>
        <v>1246.6171387272959</v>
      </c>
      <c r="AD147" s="1054">
        <f t="shared" si="154"/>
        <v>1298.5595195075998</v>
      </c>
      <c r="AE147" s="1054">
        <f t="shared" si="154"/>
        <v>1350.5019002879039</v>
      </c>
      <c r="AF147" s="1054">
        <f t="shared" si="154"/>
        <v>1402.4442810682081</v>
      </c>
      <c r="AG147" s="1054">
        <f t="shared" si="154"/>
        <v>1454.3866618485117</v>
      </c>
      <c r="AH147" s="1054">
        <f t="shared" si="154"/>
        <v>1506.3290426288158</v>
      </c>
      <c r="AI147" s="1054">
        <f t="shared" si="154"/>
        <v>1558.27142340912</v>
      </c>
      <c r="AJ147" s="1054">
        <f t="shared" si="154"/>
        <v>1610.2138041894239</v>
      </c>
      <c r="AK147" s="1054">
        <f t="shared" si="154"/>
        <v>1662.156184969728</v>
      </c>
      <c r="AL147" s="1054">
        <f t="shared" si="154"/>
        <v>1714.0985657500316</v>
      </c>
      <c r="AM147" s="1054">
        <f t="shared" si="154"/>
        <v>1766.0409465303358</v>
      </c>
      <c r="AN147" s="1054">
        <f t="shared" ref="AN147:BF147" si="155">((AN$71-$H$4)/1000)*$M$30*(($C$8/70)^$Y$30)</f>
        <v>1817.9833273106399</v>
      </c>
      <c r="AO147" s="1054">
        <f t="shared" si="155"/>
        <v>1869.9257080909438</v>
      </c>
      <c r="AP147" s="1054">
        <f t="shared" si="155"/>
        <v>1921.8680888712479</v>
      </c>
      <c r="AQ147" s="1054">
        <f t="shared" si="155"/>
        <v>1973.8104696515518</v>
      </c>
      <c r="AR147" s="1054">
        <f t="shared" si="155"/>
        <v>2025.7528504318557</v>
      </c>
      <c r="AS147" s="1054">
        <f t="shared" si="155"/>
        <v>2077.6952312121598</v>
      </c>
      <c r="AT147" s="1054">
        <f t="shared" si="155"/>
        <v>2129.6376119924635</v>
      </c>
      <c r="AU147" s="1054">
        <f t="shared" si="155"/>
        <v>2181.579992772768</v>
      </c>
      <c r="AV147" s="1054">
        <f t="shared" si="155"/>
        <v>2233.5223735530717</v>
      </c>
      <c r="AW147" s="1054">
        <f t="shared" si="155"/>
        <v>2285.4647543333758</v>
      </c>
      <c r="AX147" s="1054">
        <f t="shared" si="155"/>
        <v>2337.4071351136799</v>
      </c>
      <c r="AY147" s="1054">
        <f t="shared" si="155"/>
        <v>2389.3495158939836</v>
      </c>
      <c r="AZ147" s="1054">
        <f t="shared" si="155"/>
        <v>2441.2918966742877</v>
      </c>
      <c r="BA147" s="1054">
        <f t="shared" si="155"/>
        <v>2493.2342774545918</v>
      </c>
      <c r="BB147" s="1054">
        <f t="shared" si="155"/>
        <v>2545.176658234896</v>
      </c>
      <c r="BC147" s="1054">
        <f t="shared" si="155"/>
        <v>2597.1190390151996</v>
      </c>
      <c r="BD147" s="1054">
        <f t="shared" si="155"/>
        <v>2649.0614197955038</v>
      </c>
      <c r="BE147" s="1054">
        <f t="shared" si="155"/>
        <v>2701.0038005758079</v>
      </c>
      <c r="BF147" s="1055">
        <f t="shared" si="155"/>
        <v>2752.9461813561115</v>
      </c>
    </row>
    <row r="148" spans="1:58">
      <c r="A148" s="2477"/>
      <c r="B148" s="2550" t="s">
        <v>266</v>
      </c>
      <c r="C148" s="2551"/>
      <c r="D148" s="413" t="s">
        <v>194</v>
      </c>
      <c r="E148" s="455">
        <v>200</v>
      </c>
      <c r="F148" s="455">
        <v>300</v>
      </c>
      <c r="G148" s="413" t="s">
        <v>254</v>
      </c>
      <c r="H148" s="1054">
        <f t="shared" ref="H148:AM148" si="156">((H$71-$H$4)/1000)*$N$30*(($C$8/70)^$Z$30)</f>
        <v>166.91212582760343</v>
      </c>
      <c r="I148" s="1054">
        <f t="shared" si="156"/>
        <v>222.54950110347127</v>
      </c>
      <c r="J148" s="1054">
        <f t="shared" si="156"/>
        <v>278.18687637933908</v>
      </c>
      <c r="K148" s="1054">
        <f t="shared" si="156"/>
        <v>333.82425165520687</v>
      </c>
      <c r="L148" s="1054">
        <f t="shared" si="156"/>
        <v>389.4616269310747</v>
      </c>
      <c r="M148" s="1054">
        <f t="shared" si="156"/>
        <v>445.09900220694254</v>
      </c>
      <c r="N148" s="1054">
        <f t="shared" si="156"/>
        <v>500.73637748281038</v>
      </c>
      <c r="O148" s="1054">
        <f t="shared" si="156"/>
        <v>556.37375275867817</v>
      </c>
      <c r="P148" s="1054">
        <f t="shared" si="156"/>
        <v>612.011128034546</v>
      </c>
      <c r="Q148" s="1054">
        <f t="shared" si="156"/>
        <v>667.64850331041373</v>
      </c>
      <c r="R148" s="1054">
        <f t="shared" si="156"/>
        <v>723.28587858628168</v>
      </c>
      <c r="S148" s="1054">
        <f t="shared" si="156"/>
        <v>778.92325386214941</v>
      </c>
      <c r="T148" s="1054">
        <f t="shared" si="156"/>
        <v>834.56062913801725</v>
      </c>
      <c r="U148" s="1054">
        <f t="shared" si="156"/>
        <v>890.19800441388509</v>
      </c>
      <c r="V148" s="1054">
        <f t="shared" si="156"/>
        <v>945.83537968975281</v>
      </c>
      <c r="W148" s="1054">
        <f t="shared" si="156"/>
        <v>1001.4727549656208</v>
      </c>
      <c r="X148" s="1054">
        <f t="shared" si="156"/>
        <v>1057.1101302414884</v>
      </c>
      <c r="Y148" s="1054">
        <f t="shared" si="156"/>
        <v>1112.7475055173563</v>
      </c>
      <c r="Z148" s="1054">
        <f t="shared" si="156"/>
        <v>1168.3848807932243</v>
      </c>
      <c r="AA148" s="1054">
        <f t="shared" si="156"/>
        <v>1224.022256069092</v>
      </c>
      <c r="AB148" s="1054">
        <f t="shared" si="156"/>
        <v>1279.6596313449597</v>
      </c>
      <c r="AC148" s="1054">
        <f t="shared" si="156"/>
        <v>1335.2970066208275</v>
      </c>
      <c r="AD148" s="1054">
        <f t="shared" si="156"/>
        <v>1390.9343818966954</v>
      </c>
      <c r="AE148" s="1054">
        <f t="shared" si="156"/>
        <v>1446.5717571725634</v>
      </c>
      <c r="AF148" s="1054">
        <f t="shared" si="156"/>
        <v>1502.2091324484311</v>
      </c>
      <c r="AG148" s="1054">
        <f t="shared" si="156"/>
        <v>1557.8465077242988</v>
      </c>
      <c r="AH148" s="1054">
        <f t="shared" si="156"/>
        <v>1613.4838830001665</v>
      </c>
      <c r="AI148" s="1054">
        <f t="shared" si="156"/>
        <v>1669.1212582760345</v>
      </c>
      <c r="AJ148" s="1054">
        <f t="shared" si="156"/>
        <v>1724.7586335519024</v>
      </c>
      <c r="AK148" s="1054">
        <f t="shared" si="156"/>
        <v>1780.3960088277702</v>
      </c>
      <c r="AL148" s="1054">
        <f t="shared" si="156"/>
        <v>1836.0333841036379</v>
      </c>
      <c r="AM148" s="1054">
        <f t="shared" si="156"/>
        <v>1891.6707593795056</v>
      </c>
      <c r="AN148" s="1054">
        <f t="shared" ref="AN148:BF148" si="157">((AN$71-$H$4)/1000)*$N$30*(($C$8/70)^$Z$30)</f>
        <v>1947.3081346553736</v>
      </c>
      <c r="AO148" s="1054">
        <f t="shared" si="157"/>
        <v>2002.9455099312415</v>
      </c>
      <c r="AP148" s="1054">
        <f t="shared" si="157"/>
        <v>2058.5828852071095</v>
      </c>
      <c r="AQ148" s="1054">
        <f t="shared" si="157"/>
        <v>2114.2202604829768</v>
      </c>
      <c r="AR148" s="1054">
        <f t="shared" si="157"/>
        <v>2169.8576357588449</v>
      </c>
      <c r="AS148" s="1054">
        <f t="shared" si="157"/>
        <v>2225.4950110347127</v>
      </c>
      <c r="AT148" s="1054">
        <f t="shared" si="157"/>
        <v>2281.1323863105804</v>
      </c>
      <c r="AU148" s="1054">
        <f t="shared" si="157"/>
        <v>2336.7697615864486</v>
      </c>
      <c r="AV148" s="1054">
        <f t="shared" si="157"/>
        <v>2392.4071368623158</v>
      </c>
      <c r="AW148" s="1054">
        <f t="shared" si="157"/>
        <v>2448.044512138184</v>
      </c>
      <c r="AX148" s="1054">
        <f t="shared" si="157"/>
        <v>2503.6818874140517</v>
      </c>
      <c r="AY148" s="1054">
        <f t="shared" si="157"/>
        <v>2559.3192626899195</v>
      </c>
      <c r="AZ148" s="1054">
        <f t="shared" si="157"/>
        <v>2614.9566379657876</v>
      </c>
      <c r="BA148" s="1054">
        <f t="shared" si="157"/>
        <v>2670.5940132416549</v>
      </c>
      <c r="BB148" s="1054">
        <f t="shared" si="157"/>
        <v>2726.2313885175231</v>
      </c>
      <c r="BC148" s="1054">
        <f t="shared" si="157"/>
        <v>2781.8687637933908</v>
      </c>
      <c r="BD148" s="1054">
        <f t="shared" si="157"/>
        <v>2837.5061390692586</v>
      </c>
      <c r="BE148" s="1054">
        <f t="shared" si="157"/>
        <v>2893.1435143451267</v>
      </c>
      <c r="BF148" s="1055">
        <f t="shared" si="157"/>
        <v>2948.780889620994</v>
      </c>
    </row>
    <row r="149" spans="1:58" ht="15.75" thickBot="1">
      <c r="A149" s="2477"/>
      <c r="B149" s="2552" t="s">
        <v>267</v>
      </c>
      <c r="C149" s="2553"/>
      <c r="D149" s="414" t="s">
        <v>194</v>
      </c>
      <c r="E149" s="456">
        <v>200</v>
      </c>
      <c r="F149" s="456">
        <v>360</v>
      </c>
      <c r="G149" s="414" t="s">
        <v>260</v>
      </c>
      <c r="H149" s="1056">
        <f t="shared" ref="H149:AM149" si="158">((H$71-$H$4)/1000)*$Q$30*(($C$8/70)^$AC$30)</f>
        <v>281.14761242625895</v>
      </c>
      <c r="I149" s="1056">
        <f t="shared" si="158"/>
        <v>374.86348323501198</v>
      </c>
      <c r="J149" s="1056">
        <f t="shared" si="158"/>
        <v>468.57935404376497</v>
      </c>
      <c r="K149" s="1056">
        <f t="shared" si="158"/>
        <v>562.29522485251789</v>
      </c>
      <c r="L149" s="1056">
        <f t="shared" si="158"/>
        <v>656.01109566127093</v>
      </c>
      <c r="M149" s="1056">
        <f t="shared" si="158"/>
        <v>749.72696647002397</v>
      </c>
      <c r="N149" s="1056">
        <f t="shared" si="158"/>
        <v>843.44283727877701</v>
      </c>
      <c r="O149" s="1056">
        <f t="shared" si="158"/>
        <v>937.15870808752993</v>
      </c>
      <c r="P149" s="1056">
        <f t="shared" si="158"/>
        <v>1030.8745788962831</v>
      </c>
      <c r="Q149" s="1056">
        <f t="shared" si="158"/>
        <v>1124.5904497050358</v>
      </c>
      <c r="R149" s="1056">
        <f t="shared" si="158"/>
        <v>1218.3063205137889</v>
      </c>
      <c r="S149" s="1056">
        <f t="shared" si="158"/>
        <v>1312.0221913225419</v>
      </c>
      <c r="T149" s="1056">
        <f t="shared" si="158"/>
        <v>1405.738062131295</v>
      </c>
      <c r="U149" s="1056">
        <f t="shared" si="158"/>
        <v>1499.4539329400479</v>
      </c>
      <c r="V149" s="1056">
        <f t="shared" si="158"/>
        <v>1593.1698037488009</v>
      </c>
      <c r="W149" s="1056">
        <f t="shared" si="158"/>
        <v>1686.885674557554</v>
      </c>
      <c r="X149" s="1056">
        <f t="shared" si="158"/>
        <v>1780.6015453663067</v>
      </c>
      <c r="Y149" s="1056">
        <f t="shared" si="158"/>
        <v>1874.3174161750599</v>
      </c>
      <c r="Z149" s="1056">
        <f t="shared" si="158"/>
        <v>1968.033286983813</v>
      </c>
      <c r="AA149" s="1056">
        <f t="shared" si="158"/>
        <v>2061.7491577925662</v>
      </c>
      <c r="AB149" s="1056">
        <f t="shared" si="158"/>
        <v>2155.4650286013189</v>
      </c>
      <c r="AC149" s="1056">
        <f t="shared" si="158"/>
        <v>2249.1808994100716</v>
      </c>
      <c r="AD149" s="1056">
        <f t="shared" si="158"/>
        <v>2342.8967702188247</v>
      </c>
      <c r="AE149" s="1056">
        <f t="shared" si="158"/>
        <v>2436.6126410275779</v>
      </c>
      <c r="AF149" s="1056">
        <f t="shared" si="158"/>
        <v>2530.328511836331</v>
      </c>
      <c r="AG149" s="1056">
        <f t="shared" si="158"/>
        <v>2624.0443826450837</v>
      </c>
      <c r="AH149" s="1056">
        <f t="shared" si="158"/>
        <v>2717.7602534538369</v>
      </c>
      <c r="AI149" s="1056">
        <f t="shared" si="158"/>
        <v>2811.47612426259</v>
      </c>
      <c r="AJ149" s="1056">
        <f t="shared" si="158"/>
        <v>2905.1919950713427</v>
      </c>
      <c r="AK149" s="1056">
        <f t="shared" si="158"/>
        <v>2998.9078658800959</v>
      </c>
      <c r="AL149" s="1056">
        <f t="shared" si="158"/>
        <v>3092.6237366888486</v>
      </c>
      <c r="AM149" s="1056">
        <f t="shared" si="158"/>
        <v>3186.3396074976017</v>
      </c>
      <c r="AN149" s="1056">
        <f t="shared" ref="AN149:BF149" si="159">((AN$71-$H$4)/1000)*$Q$30*(($C$8/70)^$AC$30)</f>
        <v>3280.0554783063549</v>
      </c>
      <c r="AO149" s="1056">
        <f t="shared" si="159"/>
        <v>3373.771349115108</v>
      </c>
      <c r="AP149" s="1056">
        <f t="shared" si="159"/>
        <v>3467.4872199238607</v>
      </c>
      <c r="AQ149" s="1056">
        <f t="shared" si="159"/>
        <v>3561.2030907326134</v>
      </c>
      <c r="AR149" s="1056">
        <f t="shared" si="159"/>
        <v>3654.9189615413666</v>
      </c>
      <c r="AS149" s="1056">
        <f t="shared" si="159"/>
        <v>3748.6348323501197</v>
      </c>
      <c r="AT149" s="1056">
        <f t="shared" si="159"/>
        <v>3842.3507031588724</v>
      </c>
      <c r="AU149" s="1056">
        <f t="shared" si="159"/>
        <v>3936.066573967626</v>
      </c>
      <c r="AV149" s="1056">
        <f t="shared" si="159"/>
        <v>4029.7824447763787</v>
      </c>
      <c r="AW149" s="1056">
        <f t="shared" si="159"/>
        <v>4123.4983155851323</v>
      </c>
      <c r="AX149" s="1056">
        <f t="shared" si="159"/>
        <v>4217.214186393885</v>
      </c>
      <c r="AY149" s="1056">
        <f t="shared" si="159"/>
        <v>4310.9300572026377</v>
      </c>
      <c r="AZ149" s="1056">
        <f t="shared" si="159"/>
        <v>4404.6459280113904</v>
      </c>
      <c r="BA149" s="1056">
        <f t="shared" si="159"/>
        <v>4498.3617988201431</v>
      </c>
      <c r="BB149" s="1056">
        <f t="shared" si="159"/>
        <v>4592.0776696288967</v>
      </c>
      <c r="BC149" s="1056">
        <f t="shared" si="159"/>
        <v>4685.7935404376494</v>
      </c>
      <c r="BD149" s="1056">
        <f t="shared" si="159"/>
        <v>4779.5094112464021</v>
      </c>
      <c r="BE149" s="1056">
        <f t="shared" si="159"/>
        <v>4873.2252820551557</v>
      </c>
      <c r="BF149" s="1057">
        <f t="shared" si="159"/>
        <v>4966.9411528639084</v>
      </c>
    </row>
    <row r="150" spans="1:58">
      <c r="A150" s="2477"/>
      <c r="B150" s="2554" t="s">
        <v>268</v>
      </c>
      <c r="C150" s="2555"/>
      <c r="D150" s="415" t="s">
        <v>194</v>
      </c>
      <c r="E150" s="457">
        <v>300</v>
      </c>
      <c r="F150" s="457">
        <v>260</v>
      </c>
      <c r="G150" s="415" t="s">
        <v>254</v>
      </c>
      <c r="H150" s="1058">
        <f t="shared" ref="H150:AM150" si="160">((H$71-$H$4)/1000)*$M$31*(($C$8/70)^$Y$31)</f>
        <v>179.07373239176988</v>
      </c>
      <c r="I150" s="1058">
        <f t="shared" si="160"/>
        <v>238.76497652235986</v>
      </c>
      <c r="J150" s="1058">
        <f t="shared" si="160"/>
        <v>298.45622065294981</v>
      </c>
      <c r="K150" s="1058">
        <f t="shared" si="160"/>
        <v>358.14746478353976</v>
      </c>
      <c r="L150" s="1058">
        <f t="shared" si="160"/>
        <v>417.83870891412971</v>
      </c>
      <c r="M150" s="1058">
        <f t="shared" si="160"/>
        <v>477.52995304471972</v>
      </c>
      <c r="N150" s="1058">
        <f t="shared" si="160"/>
        <v>537.22119717530973</v>
      </c>
      <c r="O150" s="1058">
        <f t="shared" si="160"/>
        <v>596.91244130589962</v>
      </c>
      <c r="P150" s="1058">
        <f t="shared" si="160"/>
        <v>656.60368543648963</v>
      </c>
      <c r="Q150" s="1058">
        <f t="shared" si="160"/>
        <v>716.29492956707952</v>
      </c>
      <c r="R150" s="1058">
        <f t="shared" si="160"/>
        <v>775.98617369766953</v>
      </c>
      <c r="S150" s="1058">
        <f t="shared" si="160"/>
        <v>835.67741782825942</v>
      </c>
      <c r="T150" s="1058">
        <f t="shared" si="160"/>
        <v>895.36866195884943</v>
      </c>
      <c r="U150" s="1058">
        <f t="shared" si="160"/>
        <v>955.05990608943944</v>
      </c>
      <c r="V150" s="1058">
        <f t="shared" si="160"/>
        <v>1014.7511502200293</v>
      </c>
      <c r="W150" s="1058">
        <f t="shared" si="160"/>
        <v>1074.4423943506195</v>
      </c>
      <c r="X150" s="1058">
        <f t="shared" si="160"/>
        <v>1134.1336384812091</v>
      </c>
      <c r="Y150" s="1058">
        <f t="shared" si="160"/>
        <v>1193.8248826117992</v>
      </c>
      <c r="Z150" s="1058">
        <f t="shared" si="160"/>
        <v>1253.5161267423894</v>
      </c>
      <c r="AA150" s="1058">
        <f t="shared" si="160"/>
        <v>1313.2073708729793</v>
      </c>
      <c r="AB150" s="1058">
        <f t="shared" si="160"/>
        <v>1372.8986150035689</v>
      </c>
      <c r="AC150" s="1058">
        <f t="shared" si="160"/>
        <v>1432.589859134159</v>
      </c>
      <c r="AD150" s="1058">
        <f t="shared" si="160"/>
        <v>1492.2811032647492</v>
      </c>
      <c r="AE150" s="1058">
        <f t="shared" si="160"/>
        <v>1551.9723473953391</v>
      </c>
      <c r="AF150" s="1058">
        <f t="shared" si="160"/>
        <v>1611.6635915259292</v>
      </c>
      <c r="AG150" s="1058">
        <f t="shared" si="160"/>
        <v>1671.3548356565188</v>
      </c>
      <c r="AH150" s="1058">
        <f t="shared" si="160"/>
        <v>1731.0460797871087</v>
      </c>
      <c r="AI150" s="1058">
        <f t="shared" si="160"/>
        <v>1790.7373239176989</v>
      </c>
      <c r="AJ150" s="1058">
        <f t="shared" si="160"/>
        <v>1850.428568048289</v>
      </c>
      <c r="AK150" s="1058">
        <f t="shared" si="160"/>
        <v>1910.1198121788789</v>
      </c>
      <c r="AL150" s="1058">
        <f t="shared" si="160"/>
        <v>1969.8110563094685</v>
      </c>
      <c r="AM150" s="1058">
        <f t="shared" si="160"/>
        <v>2029.5023004400587</v>
      </c>
      <c r="AN150" s="1058">
        <f t="shared" ref="AN150:BF150" si="161">((AN$71-$H$4)/1000)*$M$31*(($C$8/70)^$Y$31)</f>
        <v>2089.1935445706486</v>
      </c>
      <c r="AO150" s="1058">
        <f t="shared" si="161"/>
        <v>2148.8847887012389</v>
      </c>
      <c r="AP150" s="1058">
        <f t="shared" si="161"/>
        <v>2208.5760328318288</v>
      </c>
      <c r="AQ150" s="1058">
        <f t="shared" si="161"/>
        <v>2268.2672769624182</v>
      </c>
      <c r="AR150" s="1058">
        <f t="shared" si="161"/>
        <v>2327.9585210930086</v>
      </c>
      <c r="AS150" s="1058">
        <f t="shared" si="161"/>
        <v>2387.6497652235985</v>
      </c>
      <c r="AT150" s="1058">
        <f t="shared" si="161"/>
        <v>2447.3410093541884</v>
      </c>
      <c r="AU150" s="1058">
        <f t="shared" si="161"/>
        <v>2507.0322534847787</v>
      </c>
      <c r="AV150" s="1058">
        <f t="shared" si="161"/>
        <v>2566.7234976153682</v>
      </c>
      <c r="AW150" s="1058">
        <f t="shared" si="161"/>
        <v>2626.4147417459585</v>
      </c>
      <c r="AX150" s="1058">
        <f t="shared" si="161"/>
        <v>2686.1059858765484</v>
      </c>
      <c r="AY150" s="1058">
        <f t="shared" si="161"/>
        <v>2745.7972300071378</v>
      </c>
      <c r="AZ150" s="1058">
        <f t="shared" si="161"/>
        <v>2805.4884741377282</v>
      </c>
      <c r="BA150" s="1058">
        <f t="shared" si="161"/>
        <v>2865.1797182683181</v>
      </c>
      <c r="BB150" s="1058">
        <f t="shared" si="161"/>
        <v>2924.8709623989084</v>
      </c>
      <c r="BC150" s="1058">
        <f t="shared" si="161"/>
        <v>2984.5622065294983</v>
      </c>
      <c r="BD150" s="1058">
        <f t="shared" si="161"/>
        <v>3044.2534506600878</v>
      </c>
      <c r="BE150" s="1058">
        <f t="shared" si="161"/>
        <v>3103.9446947906781</v>
      </c>
      <c r="BF150" s="1059">
        <f t="shared" si="161"/>
        <v>3163.635938921268</v>
      </c>
    </row>
    <row r="151" spans="1:58">
      <c r="A151" s="2477"/>
      <c r="B151" s="2556" t="s">
        <v>269</v>
      </c>
      <c r="C151" s="2557"/>
      <c r="D151" s="416" t="s">
        <v>194</v>
      </c>
      <c r="E151" s="458">
        <v>300</v>
      </c>
      <c r="F151" s="458">
        <v>300</v>
      </c>
      <c r="G151" s="416" t="s">
        <v>254</v>
      </c>
      <c r="H151" s="1060">
        <f t="shared" ref="H151:AM151" si="162">((H$71-$H$4)/1000)*$N$31*(($C$8/70)^$Z$31)</f>
        <v>191.81239483942113</v>
      </c>
      <c r="I151" s="1060">
        <f t="shared" si="162"/>
        <v>255.74985978589484</v>
      </c>
      <c r="J151" s="1060">
        <f t="shared" si="162"/>
        <v>319.68732473236855</v>
      </c>
      <c r="K151" s="1060">
        <f t="shared" si="162"/>
        <v>383.62478967884226</v>
      </c>
      <c r="L151" s="1060">
        <f t="shared" si="162"/>
        <v>447.56225462531597</v>
      </c>
      <c r="M151" s="1060">
        <f t="shared" si="162"/>
        <v>511.49971957178968</v>
      </c>
      <c r="N151" s="1060">
        <f t="shared" si="162"/>
        <v>575.43718451826339</v>
      </c>
      <c r="O151" s="1060">
        <f t="shared" si="162"/>
        <v>639.3746494647371</v>
      </c>
      <c r="P151" s="1060">
        <f t="shared" si="162"/>
        <v>703.31211441121081</v>
      </c>
      <c r="Q151" s="1060">
        <f t="shared" si="162"/>
        <v>767.24957935768452</v>
      </c>
      <c r="R151" s="1060">
        <f t="shared" si="162"/>
        <v>831.18704430415823</v>
      </c>
      <c r="S151" s="1060">
        <f t="shared" si="162"/>
        <v>895.12450925063195</v>
      </c>
      <c r="T151" s="1060">
        <f t="shared" si="162"/>
        <v>959.06197419710566</v>
      </c>
      <c r="U151" s="1060">
        <f t="shared" si="162"/>
        <v>1022.9994391435794</v>
      </c>
      <c r="V151" s="1060">
        <f t="shared" si="162"/>
        <v>1086.9369040900531</v>
      </c>
      <c r="W151" s="1060">
        <f t="shared" si="162"/>
        <v>1150.8743690365268</v>
      </c>
      <c r="X151" s="1060">
        <f t="shared" si="162"/>
        <v>1214.8118339830005</v>
      </c>
      <c r="Y151" s="1060">
        <f t="shared" si="162"/>
        <v>1278.7492989294742</v>
      </c>
      <c r="Z151" s="1060">
        <f t="shared" si="162"/>
        <v>1342.6867638759479</v>
      </c>
      <c r="AA151" s="1060">
        <f t="shared" si="162"/>
        <v>1406.6242288224216</v>
      </c>
      <c r="AB151" s="1060">
        <f t="shared" si="162"/>
        <v>1470.5616937688953</v>
      </c>
      <c r="AC151" s="1060">
        <f t="shared" si="162"/>
        <v>1534.499158715369</v>
      </c>
      <c r="AD151" s="1060">
        <f t="shared" si="162"/>
        <v>1598.4366236618428</v>
      </c>
      <c r="AE151" s="1060">
        <f t="shared" si="162"/>
        <v>1662.3740886083165</v>
      </c>
      <c r="AF151" s="1060">
        <f t="shared" si="162"/>
        <v>1726.3115535547902</v>
      </c>
      <c r="AG151" s="1060">
        <f t="shared" si="162"/>
        <v>1790.2490185012639</v>
      </c>
      <c r="AH151" s="1060">
        <f t="shared" si="162"/>
        <v>1854.1864834477376</v>
      </c>
      <c r="AI151" s="1060">
        <f t="shared" si="162"/>
        <v>1918.1239483942113</v>
      </c>
      <c r="AJ151" s="1060">
        <f t="shared" si="162"/>
        <v>1982.061413340685</v>
      </c>
      <c r="AK151" s="1060">
        <f t="shared" si="162"/>
        <v>2045.9988782871587</v>
      </c>
      <c r="AL151" s="1060">
        <f t="shared" si="162"/>
        <v>2109.9363432336322</v>
      </c>
      <c r="AM151" s="1060">
        <f t="shared" si="162"/>
        <v>2173.8738081801062</v>
      </c>
      <c r="AN151" s="1060">
        <f t="shared" ref="AN151:BF151" si="163">((AN$71-$H$4)/1000)*$N$31*(($C$8/70)^$Z$31)</f>
        <v>2237.8112731265801</v>
      </c>
      <c r="AO151" s="1060">
        <f t="shared" si="163"/>
        <v>2301.7487380730536</v>
      </c>
      <c r="AP151" s="1060">
        <f t="shared" si="163"/>
        <v>2365.6862030195275</v>
      </c>
      <c r="AQ151" s="1060">
        <f t="shared" si="163"/>
        <v>2429.623667966001</v>
      </c>
      <c r="AR151" s="1060">
        <f t="shared" si="163"/>
        <v>2493.5611329124745</v>
      </c>
      <c r="AS151" s="1060">
        <f t="shared" si="163"/>
        <v>2557.4985978589484</v>
      </c>
      <c r="AT151" s="1060">
        <f t="shared" si="163"/>
        <v>2621.4360628054219</v>
      </c>
      <c r="AU151" s="1060">
        <f t="shared" si="163"/>
        <v>2685.3735277518958</v>
      </c>
      <c r="AV151" s="1060">
        <f t="shared" si="163"/>
        <v>2749.3109926983693</v>
      </c>
      <c r="AW151" s="1060">
        <f t="shared" si="163"/>
        <v>2813.2484576448433</v>
      </c>
      <c r="AX151" s="1060">
        <f t="shared" si="163"/>
        <v>2877.1859225913167</v>
      </c>
      <c r="AY151" s="1060">
        <f t="shared" si="163"/>
        <v>2941.1233875377907</v>
      </c>
      <c r="AZ151" s="1060">
        <f t="shared" si="163"/>
        <v>3005.0608524842646</v>
      </c>
      <c r="BA151" s="1060">
        <f t="shared" si="163"/>
        <v>3068.9983174307381</v>
      </c>
      <c r="BB151" s="1060">
        <f t="shared" si="163"/>
        <v>3132.935782377212</v>
      </c>
      <c r="BC151" s="1060">
        <f t="shared" si="163"/>
        <v>3196.8732473236855</v>
      </c>
      <c r="BD151" s="1060">
        <f t="shared" si="163"/>
        <v>3260.810712270159</v>
      </c>
      <c r="BE151" s="1060">
        <f t="shared" si="163"/>
        <v>3324.7481772166329</v>
      </c>
      <c r="BF151" s="1061">
        <f t="shared" si="163"/>
        <v>3388.6856421631064</v>
      </c>
    </row>
    <row r="152" spans="1:58" ht="15.75" thickBot="1">
      <c r="A152" s="2477"/>
      <c r="B152" s="2558" t="s">
        <v>270</v>
      </c>
      <c r="C152" s="2559"/>
      <c r="D152" s="417" t="s">
        <v>194</v>
      </c>
      <c r="E152" s="459">
        <v>300</v>
      </c>
      <c r="F152" s="459">
        <v>360</v>
      </c>
      <c r="G152" s="417" t="s">
        <v>260</v>
      </c>
      <c r="H152" s="1062">
        <f t="shared" ref="H152:AM152" si="164">((H$71-$H$4)/1000)*$Q$31*(($C$8/70)^$AC$31)</f>
        <v>322.25457390160312</v>
      </c>
      <c r="I152" s="1062">
        <f t="shared" si="164"/>
        <v>429.67276520213755</v>
      </c>
      <c r="J152" s="1062">
        <f t="shared" si="164"/>
        <v>537.09095650267193</v>
      </c>
      <c r="K152" s="1062">
        <f t="shared" si="164"/>
        <v>644.50914780320625</v>
      </c>
      <c r="L152" s="1062">
        <f t="shared" si="164"/>
        <v>751.92733910374068</v>
      </c>
      <c r="M152" s="1062">
        <f t="shared" si="164"/>
        <v>859.34553040427511</v>
      </c>
      <c r="N152" s="1062">
        <f t="shared" si="164"/>
        <v>966.76372170480954</v>
      </c>
      <c r="O152" s="1062">
        <f t="shared" si="164"/>
        <v>1074.1819130053439</v>
      </c>
      <c r="P152" s="1062">
        <f t="shared" si="164"/>
        <v>1181.6001043058784</v>
      </c>
      <c r="Q152" s="1062">
        <f t="shared" si="164"/>
        <v>1289.0182956064125</v>
      </c>
      <c r="R152" s="1062">
        <f t="shared" si="164"/>
        <v>1396.436486906947</v>
      </c>
      <c r="S152" s="1062">
        <f t="shared" si="164"/>
        <v>1503.8546782074814</v>
      </c>
      <c r="T152" s="1062">
        <f t="shared" si="164"/>
        <v>1611.2728695080159</v>
      </c>
      <c r="U152" s="1062">
        <f t="shared" si="164"/>
        <v>1718.6910608085502</v>
      </c>
      <c r="V152" s="1062">
        <f t="shared" si="164"/>
        <v>1826.1092521090845</v>
      </c>
      <c r="W152" s="1062">
        <f t="shared" si="164"/>
        <v>1933.5274434096191</v>
      </c>
      <c r="X152" s="1062">
        <f t="shared" si="164"/>
        <v>2040.9456347101532</v>
      </c>
      <c r="Y152" s="1062">
        <f t="shared" si="164"/>
        <v>2148.3638260106877</v>
      </c>
      <c r="Z152" s="1062">
        <f t="shared" si="164"/>
        <v>2255.7820173112223</v>
      </c>
      <c r="AA152" s="1062">
        <f t="shared" si="164"/>
        <v>2363.2002086117568</v>
      </c>
      <c r="AB152" s="1062">
        <f t="shared" si="164"/>
        <v>2470.6183999122909</v>
      </c>
      <c r="AC152" s="1062">
        <f t="shared" si="164"/>
        <v>2578.036591212825</v>
      </c>
      <c r="AD152" s="1062">
        <f t="shared" si="164"/>
        <v>2685.4547825133595</v>
      </c>
      <c r="AE152" s="1062">
        <f t="shared" si="164"/>
        <v>2792.8729738138941</v>
      </c>
      <c r="AF152" s="1062">
        <f t="shared" si="164"/>
        <v>2900.2911651144286</v>
      </c>
      <c r="AG152" s="1062">
        <f t="shared" si="164"/>
        <v>3007.7093564149627</v>
      </c>
      <c r="AH152" s="1062">
        <f t="shared" si="164"/>
        <v>3115.1275477154973</v>
      </c>
      <c r="AI152" s="1062">
        <f t="shared" si="164"/>
        <v>3222.5457390160318</v>
      </c>
      <c r="AJ152" s="1062">
        <f t="shared" si="164"/>
        <v>3329.9639303165659</v>
      </c>
      <c r="AK152" s="1062">
        <f t="shared" si="164"/>
        <v>3437.3821216171004</v>
      </c>
      <c r="AL152" s="1062">
        <f t="shared" si="164"/>
        <v>3544.8003129176345</v>
      </c>
      <c r="AM152" s="1062">
        <f t="shared" si="164"/>
        <v>3652.2185042181691</v>
      </c>
      <c r="AN152" s="1062">
        <f t="shared" ref="AN152:BF152" si="165">((AN$71-$H$4)/1000)*$Q$31*(($C$8/70)^$AC$31)</f>
        <v>3759.6366955187036</v>
      </c>
      <c r="AO152" s="1062">
        <f t="shared" si="165"/>
        <v>3867.0548868192382</v>
      </c>
      <c r="AP152" s="1062">
        <f t="shared" si="165"/>
        <v>3974.4730781197723</v>
      </c>
      <c r="AQ152" s="1062">
        <f t="shared" si="165"/>
        <v>4081.8912694203063</v>
      </c>
      <c r="AR152" s="1062">
        <f t="shared" si="165"/>
        <v>4189.3094607208413</v>
      </c>
      <c r="AS152" s="1062">
        <f t="shared" si="165"/>
        <v>4296.7276520213754</v>
      </c>
      <c r="AT152" s="1062">
        <f t="shared" si="165"/>
        <v>4404.1458433219095</v>
      </c>
      <c r="AU152" s="1062">
        <f t="shared" si="165"/>
        <v>4511.5640346224445</v>
      </c>
      <c r="AV152" s="1062">
        <f t="shared" si="165"/>
        <v>4618.9822259229786</v>
      </c>
      <c r="AW152" s="1062">
        <f t="shared" si="165"/>
        <v>4726.4004172235136</v>
      </c>
      <c r="AX152" s="1062">
        <f t="shared" si="165"/>
        <v>4833.8186085240477</v>
      </c>
      <c r="AY152" s="1062">
        <f t="shared" si="165"/>
        <v>4941.2367998245818</v>
      </c>
      <c r="AZ152" s="1062">
        <f t="shared" si="165"/>
        <v>5048.6549911251159</v>
      </c>
      <c r="BA152" s="1062">
        <f t="shared" si="165"/>
        <v>5156.07318242565</v>
      </c>
      <c r="BB152" s="1062">
        <f t="shared" si="165"/>
        <v>5263.491373726185</v>
      </c>
      <c r="BC152" s="1062">
        <f t="shared" si="165"/>
        <v>5370.9095650267191</v>
      </c>
      <c r="BD152" s="1062">
        <f t="shared" si="165"/>
        <v>5478.3277563272532</v>
      </c>
      <c r="BE152" s="1062">
        <f t="shared" si="165"/>
        <v>5585.7459476277882</v>
      </c>
      <c r="BF152" s="1063">
        <f t="shared" si="165"/>
        <v>5693.1641389283222</v>
      </c>
    </row>
    <row r="153" spans="1:58">
      <c r="A153" s="2477"/>
      <c r="B153" s="2561" t="s">
        <v>271</v>
      </c>
      <c r="C153" s="2562"/>
      <c r="D153" s="418" t="s">
        <v>194</v>
      </c>
      <c r="E153" s="460">
        <v>400</v>
      </c>
      <c r="F153" s="460">
        <v>260</v>
      </c>
      <c r="G153" s="418" t="s">
        <v>254</v>
      </c>
      <c r="H153" s="1064">
        <f t="shared" ref="H153:AM153" si="166">((H$71-$H$4)/1000)*$M$32*(($C$8/70)^$Y$32)</f>
        <v>209.36928845804923</v>
      </c>
      <c r="I153" s="1064">
        <f t="shared" si="166"/>
        <v>279.15905127739899</v>
      </c>
      <c r="J153" s="1064">
        <f t="shared" si="166"/>
        <v>348.94881409674872</v>
      </c>
      <c r="K153" s="1064">
        <f t="shared" si="166"/>
        <v>418.73857691609845</v>
      </c>
      <c r="L153" s="1064">
        <f t="shared" si="166"/>
        <v>488.52833973544818</v>
      </c>
      <c r="M153" s="1064">
        <f t="shared" si="166"/>
        <v>558.31810255479797</v>
      </c>
      <c r="N153" s="1064">
        <f t="shared" si="166"/>
        <v>628.10786537414776</v>
      </c>
      <c r="O153" s="1064">
        <f t="shared" si="166"/>
        <v>697.89762819349744</v>
      </c>
      <c r="P153" s="1064">
        <f t="shared" si="166"/>
        <v>767.68739101284723</v>
      </c>
      <c r="Q153" s="1064">
        <f t="shared" si="166"/>
        <v>837.4771538321969</v>
      </c>
      <c r="R153" s="1064">
        <f t="shared" si="166"/>
        <v>907.26691665154669</v>
      </c>
      <c r="S153" s="1064">
        <f t="shared" si="166"/>
        <v>977.05667947089637</v>
      </c>
      <c r="T153" s="1064">
        <f t="shared" si="166"/>
        <v>1046.8464422902462</v>
      </c>
      <c r="U153" s="1064">
        <f t="shared" si="166"/>
        <v>1116.6362051095959</v>
      </c>
      <c r="V153" s="1064">
        <f t="shared" si="166"/>
        <v>1186.4259679289455</v>
      </c>
      <c r="W153" s="1064">
        <f t="shared" si="166"/>
        <v>1256.2157307482955</v>
      </c>
      <c r="X153" s="1064">
        <f t="shared" si="166"/>
        <v>1326.0054935676451</v>
      </c>
      <c r="Y153" s="1064">
        <f t="shared" si="166"/>
        <v>1395.7952563869949</v>
      </c>
      <c r="Z153" s="1064">
        <f t="shared" si="166"/>
        <v>1465.5850192063447</v>
      </c>
      <c r="AA153" s="1064">
        <f t="shared" si="166"/>
        <v>1535.3747820256945</v>
      </c>
      <c r="AB153" s="1064">
        <f t="shared" si="166"/>
        <v>1605.164544845044</v>
      </c>
      <c r="AC153" s="1064">
        <f t="shared" si="166"/>
        <v>1674.9543076643938</v>
      </c>
      <c r="AD153" s="1064">
        <f t="shared" si="166"/>
        <v>1744.7440704837436</v>
      </c>
      <c r="AE153" s="1064">
        <f t="shared" si="166"/>
        <v>1814.5338333030934</v>
      </c>
      <c r="AF153" s="1064">
        <f t="shared" si="166"/>
        <v>1884.3235961224432</v>
      </c>
      <c r="AG153" s="1064">
        <f t="shared" si="166"/>
        <v>1954.1133589417927</v>
      </c>
      <c r="AH153" s="1064">
        <f t="shared" si="166"/>
        <v>2023.9031217611425</v>
      </c>
      <c r="AI153" s="1064">
        <f t="shared" si="166"/>
        <v>2093.6928845804923</v>
      </c>
      <c r="AJ153" s="1064">
        <f t="shared" si="166"/>
        <v>2163.4826473998423</v>
      </c>
      <c r="AK153" s="1064">
        <f t="shared" si="166"/>
        <v>2233.2724102191919</v>
      </c>
      <c r="AL153" s="1064">
        <f t="shared" si="166"/>
        <v>2303.0621730385415</v>
      </c>
      <c r="AM153" s="1064">
        <f t="shared" si="166"/>
        <v>2372.851935857891</v>
      </c>
      <c r="AN153" s="1064">
        <f t="shared" ref="AN153:BF153" si="167">((AN$71-$H$4)/1000)*$M$32*(($C$8/70)^$Y$32)</f>
        <v>2442.641698677241</v>
      </c>
      <c r="AO153" s="1064">
        <f t="shared" si="167"/>
        <v>2512.4314614965911</v>
      </c>
      <c r="AP153" s="1064">
        <f t="shared" si="167"/>
        <v>2582.2212243159406</v>
      </c>
      <c r="AQ153" s="1064">
        <f t="shared" si="167"/>
        <v>2652.0109871352902</v>
      </c>
      <c r="AR153" s="1064">
        <f t="shared" si="167"/>
        <v>2721.8007499546397</v>
      </c>
      <c r="AS153" s="1064">
        <f t="shared" si="167"/>
        <v>2791.5905127739898</v>
      </c>
      <c r="AT153" s="1064">
        <f t="shared" si="167"/>
        <v>2861.3802755933393</v>
      </c>
      <c r="AU153" s="1064">
        <f t="shared" si="167"/>
        <v>2931.1700384126893</v>
      </c>
      <c r="AV153" s="1064">
        <f t="shared" si="167"/>
        <v>3000.9598012320389</v>
      </c>
      <c r="AW153" s="1064">
        <f t="shared" si="167"/>
        <v>3070.7495640513889</v>
      </c>
      <c r="AX153" s="1064">
        <f t="shared" si="167"/>
        <v>3140.5393268707385</v>
      </c>
      <c r="AY153" s="1064">
        <f t="shared" si="167"/>
        <v>3210.329089690088</v>
      </c>
      <c r="AZ153" s="1064">
        <f t="shared" si="167"/>
        <v>3280.1188525094381</v>
      </c>
      <c r="BA153" s="1064">
        <f t="shared" si="167"/>
        <v>3349.9086153287876</v>
      </c>
      <c r="BB153" s="1064">
        <f t="shared" si="167"/>
        <v>3419.6983781481376</v>
      </c>
      <c r="BC153" s="1064">
        <f t="shared" si="167"/>
        <v>3489.4881409674872</v>
      </c>
      <c r="BD153" s="1064">
        <f t="shared" si="167"/>
        <v>3559.2779037868368</v>
      </c>
      <c r="BE153" s="1064">
        <f t="shared" si="167"/>
        <v>3629.0676666061868</v>
      </c>
      <c r="BF153" s="1065">
        <f t="shared" si="167"/>
        <v>3698.8574294255363</v>
      </c>
    </row>
    <row r="154" spans="1:58">
      <c r="A154" s="2477"/>
      <c r="B154" s="2571" t="s">
        <v>272</v>
      </c>
      <c r="C154" s="2572"/>
      <c r="D154" s="419" t="s">
        <v>194</v>
      </c>
      <c r="E154" s="461">
        <v>400</v>
      </c>
      <c r="F154" s="461">
        <v>300</v>
      </c>
      <c r="G154" s="419" t="s">
        <v>254</v>
      </c>
      <c r="H154" s="1066">
        <f t="shared" ref="H154:AM154" si="168">((H$71-$H$4)/1000)*$N$32*(($C$8/70)^$Z$32)</f>
        <v>224.2630680032093</v>
      </c>
      <c r="I154" s="1066">
        <f t="shared" si="168"/>
        <v>299.01742400427906</v>
      </c>
      <c r="J154" s="1066">
        <f t="shared" si="168"/>
        <v>373.77178000534883</v>
      </c>
      <c r="K154" s="1066">
        <f t="shared" si="168"/>
        <v>448.5261360064186</v>
      </c>
      <c r="L154" s="1066">
        <f t="shared" si="168"/>
        <v>523.28049200748831</v>
      </c>
      <c r="M154" s="1066">
        <f t="shared" si="168"/>
        <v>598.03484800855813</v>
      </c>
      <c r="N154" s="1066">
        <f t="shared" si="168"/>
        <v>672.78920400962795</v>
      </c>
      <c r="O154" s="1066">
        <f t="shared" si="168"/>
        <v>747.54356001069766</v>
      </c>
      <c r="P154" s="1066">
        <f t="shared" si="168"/>
        <v>822.29791601176748</v>
      </c>
      <c r="Q154" s="1066">
        <f t="shared" si="168"/>
        <v>897.05227201283719</v>
      </c>
      <c r="R154" s="1066">
        <f t="shared" si="168"/>
        <v>971.80662801390702</v>
      </c>
      <c r="S154" s="1066">
        <f t="shared" si="168"/>
        <v>1046.5609840149766</v>
      </c>
      <c r="T154" s="1066">
        <f t="shared" si="168"/>
        <v>1121.3153400160465</v>
      </c>
      <c r="U154" s="1066">
        <f t="shared" si="168"/>
        <v>1196.0696960171163</v>
      </c>
      <c r="V154" s="1066">
        <f t="shared" si="168"/>
        <v>1270.824052018186</v>
      </c>
      <c r="W154" s="1066">
        <f t="shared" si="168"/>
        <v>1345.5784080192559</v>
      </c>
      <c r="X154" s="1066">
        <f t="shared" si="168"/>
        <v>1420.3327640203254</v>
      </c>
      <c r="Y154" s="1066">
        <f t="shared" si="168"/>
        <v>1495.0871200213953</v>
      </c>
      <c r="Z154" s="1066">
        <f t="shared" si="168"/>
        <v>1569.8414760224653</v>
      </c>
      <c r="AA154" s="1066">
        <f t="shared" si="168"/>
        <v>1644.595832023535</v>
      </c>
      <c r="AB154" s="1066">
        <f t="shared" si="168"/>
        <v>1719.3501880246044</v>
      </c>
      <c r="AC154" s="1066">
        <f t="shared" si="168"/>
        <v>1794.1045440256744</v>
      </c>
      <c r="AD154" s="1066">
        <f t="shared" si="168"/>
        <v>1868.8589000267441</v>
      </c>
      <c r="AE154" s="1066">
        <f t="shared" si="168"/>
        <v>1943.613256027814</v>
      </c>
      <c r="AF154" s="1066">
        <f t="shared" si="168"/>
        <v>2018.3676120288837</v>
      </c>
      <c r="AG154" s="1066">
        <f t="shared" si="168"/>
        <v>2093.1219680299532</v>
      </c>
      <c r="AH154" s="1066">
        <f t="shared" si="168"/>
        <v>2167.8763240310232</v>
      </c>
      <c r="AI154" s="1066">
        <f t="shared" si="168"/>
        <v>2242.6306800320931</v>
      </c>
      <c r="AJ154" s="1066">
        <f t="shared" si="168"/>
        <v>2317.385036033163</v>
      </c>
      <c r="AK154" s="1066">
        <f t="shared" si="168"/>
        <v>2392.1393920342325</v>
      </c>
      <c r="AL154" s="1066">
        <f t="shared" si="168"/>
        <v>2466.893748035302</v>
      </c>
      <c r="AM154" s="1066">
        <f t="shared" si="168"/>
        <v>2541.6481040363719</v>
      </c>
      <c r="AN154" s="1066">
        <f t="shared" ref="AN154:BF154" si="169">((AN$71-$H$4)/1000)*$N$32*(($C$8/70)^$Z$32)</f>
        <v>2616.4024600374419</v>
      </c>
      <c r="AO154" s="1066">
        <f t="shared" si="169"/>
        <v>2691.1568160385118</v>
      </c>
      <c r="AP154" s="1066">
        <f t="shared" si="169"/>
        <v>2765.9111720395813</v>
      </c>
      <c r="AQ154" s="1066">
        <f t="shared" si="169"/>
        <v>2840.6655280406508</v>
      </c>
      <c r="AR154" s="1066">
        <f t="shared" si="169"/>
        <v>2915.4198840417207</v>
      </c>
      <c r="AS154" s="1066">
        <f t="shared" si="169"/>
        <v>2990.1742400427906</v>
      </c>
      <c r="AT154" s="1066">
        <f t="shared" si="169"/>
        <v>3064.9285960438601</v>
      </c>
      <c r="AU154" s="1066">
        <f t="shared" si="169"/>
        <v>3139.6829520449305</v>
      </c>
      <c r="AV154" s="1066">
        <f t="shared" si="169"/>
        <v>3214.437308046</v>
      </c>
      <c r="AW154" s="1066">
        <f t="shared" si="169"/>
        <v>3289.1916640470699</v>
      </c>
      <c r="AX154" s="1066">
        <f t="shared" si="169"/>
        <v>3363.9460200481394</v>
      </c>
      <c r="AY154" s="1066">
        <f t="shared" si="169"/>
        <v>3438.7003760492089</v>
      </c>
      <c r="AZ154" s="1066">
        <f t="shared" si="169"/>
        <v>3513.4547320502793</v>
      </c>
      <c r="BA154" s="1066">
        <f t="shared" si="169"/>
        <v>3588.2090880513488</v>
      </c>
      <c r="BB154" s="1066">
        <f t="shared" si="169"/>
        <v>3662.9634440524187</v>
      </c>
      <c r="BC154" s="1066">
        <f t="shared" si="169"/>
        <v>3737.7178000534882</v>
      </c>
      <c r="BD154" s="1066">
        <f t="shared" si="169"/>
        <v>3812.4721560545577</v>
      </c>
      <c r="BE154" s="1066">
        <f t="shared" si="169"/>
        <v>3887.2265120556281</v>
      </c>
      <c r="BF154" s="1067">
        <f t="shared" si="169"/>
        <v>3961.9808680566975</v>
      </c>
    </row>
    <row r="155" spans="1:58" ht="15.75" thickBot="1">
      <c r="A155" s="2477"/>
      <c r="B155" s="2573" t="s">
        <v>273</v>
      </c>
      <c r="C155" s="2574"/>
      <c r="D155" s="420" t="s">
        <v>194</v>
      </c>
      <c r="E155" s="462">
        <v>400</v>
      </c>
      <c r="F155" s="462">
        <v>360</v>
      </c>
      <c r="G155" s="420" t="s">
        <v>260</v>
      </c>
      <c r="H155" s="1068">
        <f t="shared" ref="H155:AM155" si="170">((H$71-$H$4)/1000)*$Q$32*(($C$8/70)^$AC$32)</f>
        <v>377.46392362031355</v>
      </c>
      <c r="I155" s="1068">
        <f t="shared" si="170"/>
        <v>503.28523149375144</v>
      </c>
      <c r="J155" s="1068">
        <f t="shared" si="170"/>
        <v>629.10653936718927</v>
      </c>
      <c r="K155" s="1068">
        <f t="shared" si="170"/>
        <v>754.9278472406271</v>
      </c>
      <c r="L155" s="1068">
        <f t="shared" si="170"/>
        <v>880.74915511406493</v>
      </c>
      <c r="M155" s="1068">
        <f t="shared" si="170"/>
        <v>1006.5704629875029</v>
      </c>
      <c r="N155" s="1068">
        <f t="shared" si="170"/>
        <v>1132.3917708609408</v>
      </c>
      <c r="O155" s="1068">
        <f t="shared" si="170"/>
        <v>1258.2130787343785</v>
      </c>
      <c r="P155" s="1068">
        <f t="shared" si="170"/>
        <v>1384.0343866078165</v>
      </c>
      <c r="Q155" s="1068">
        <f t="shared" si="170"/>
        <v>1509.8556944812542</v>
      </c>
      <c r="R155" s="1068">
        <f t="shared" si="170"/>
        <v>1635.6770023546921</v>
      </c>
      <c r="S155" s="1068">
        <f t="shared" si="170"/>
        <v>1761.4983102281299</v>
      </c>
      <c r="T155" s="1068">
        <f t="shared" si="170"/>
        <v>1887.3196181015678</v>
      </c>
      <c r="U155" s="1068">
        <f t="shared" si="170"/>
        <v>2013.1409259750058</v>
      </c>
      <c r="V155" s="1068">
        <f t="shared" si="170"/>
        <v>2138.9622338484432</v>
      </c>
      <c r="W155" s="1068">
        <f t="shared" si="170"/>
        <v>2264.7835417218816</v>
      </c>
      <c r="X155" s="1068">
        <f t="shared" si="170"/>
        <v>2390.6048495953191</v>
      </c>
      <c r="Y155" s="1068">
        <f t="shared" si="170"/>
        <v>2516.4261574687571</v>
      </c>
      <c r="Z155" s="1068">
        <f t="shared" si="170"/>
        <v>2642.247465342195</v>
      </c>
      <c r="AA155" s="1068">
        <f t="shared" si="170"/>
        <v>2768.068773215633</v>
      </c>
      <c r="AB155" s="1068">
        <f t="shared" si="170"/>
        <v>2893.8900810890705</v>
      </c>
      <c r="AC155" s="1068">
        <f t="shared" si="170"/>
        <v>3019.7113889625084</v>
      </c>
      <c r="AD155" s="1068">
        <f t="shared" si="170"/>
        <v>3145.5326968359464</v>
      </c>
      <c r="AE155" s="1068">
        <f t="shared" si="170"/>
        <v>3271.3540047093843</v>
      </c>
      <c r="AF155" s="1068">
        <f t="shared" si="170"/>
        <v>3397.1753125828222</v>
      </c>
      <c r="AG155" s="1068">
        <f t="shared" si="170"/>
        <v>3522.9966204562597</v>
      </c>
      <c r="AH155" s="1068">
        <f t="shared" si="170"/>
        <v>3648.8179283296977</v>
      </c>
      <c r="AI155" s="1068">
        <f t="shared" si="170"/>
        <v>3774.6392362031356</v>
      </c>
      <c r="AJ155" s="1068">
        <f t="shared" si="170"/>
        <v>3900.4605440765736</v>
      </c>
      <c r="AK155" s="1068">
        <f t="shared" si="170"/>
        <v>4026.2818519500115</v>
      </c>
      <c r="AL155" s="1068">
        <f t="shared" si="170"/>
        <v>4152.1031598234486</v>
      </c>
      <c r="AM155" s="1068">
        <f t="shared" si="170"/>
        <v>4277.9244676968865</v>
      </c>
      <c r="AN155" s="1068">
        <f t="shared" ref="AN155:BF155" si="171">((AN$71-$H$4)/1000)*$Q$32*(($C$8/70)^$AC$32)</f>
        <v>4403.7457755703253</v>
      </c>
      <c r="AO155" s="1068">
        <f t="shared" si="171"/>
        <v>4529.5670834437633</v>
      </c>
      <c r="AP155" s="1068">
        <f t="shared" si="171"/>
        <v>4655.3883913172012</v>
      </c>
      <c r="AQ155" s="1068">
        <f t="shared" si="171"/>
        <v>4781.2096991906383</v>
      </c>
      <c r="AR155" s="1068">
        <f t="shared" si="171"/>
        <v>4907.0310070640762</v>
      </c>
      <c r="AS155" s="1068">
        <f t="shared" si="171"/>
        <v>5032.8523149375142</v>
      </c>
      <c r="AT155" s="1068">
        <f t="shared" si="171"/>
        <v>5158.6736228109512</v>
      </c>
      <c r="AU155" s="1068">
        <f t="shared" si="171"/>
        <v>5284.4949306843901</v>
      </c>
      <c r="AV155" s="1068">
        <f t="shared" si="171"/>
        <v>5410.3162385578271</v>
      </c>
      <c r="AW155" s="1068">
        <f t="shared" si="171"/>
        <v>5536.1375464312659</v>
      </c>
      <c r="AX155" s="1068">
        <f t="shared" si="171"/>
        <v>5661.958854304703</v>
      </c>
      <c r="AY155" s="1068">
        <f t="shared" si="171"/>
        <v>5787.7801621781409</v>
      </c>
      <c r="AZ155" s="1068">
        <f t="shared" si="171"/>
        <v>5913.6014700515798</v>
      </c>
      <c r="BA155" s="1068">
        <f t="shared" si="171"/>
        <v>6039.4227779250168</v>
      </c>
      <c r="BB155" s="1068">
        <f t="shared" si="171"/>
        <v>6165.2440857984557</v>
      </c>
      <c r="BC155" s="1068">
        <f t="shared" si="171"/>
        <v>6291.0653936718927</v>
      </c>
      <c r="BD155" s="1068">
        <f t="shared" si="171"/>
        <v>6416.8867015453297</v>
      </c>
      <c r="BE155" s="1068">
        <f t="shared" si="171"/>
        <v>6542.7080094187686</v>
      </c>
      <c r="BF155" s="1069">
        <f t="shared" si="171"/>
        <v>6668.5293172922056</v>
      </c>
    </row>
    <row r="156" spans="1:58">
      <c r="A156" s="2477"/>
      <c r="B156" s="2575" t="s">
        <v>274</v>
      </c>
      <c r="C156" s="2576"/>
      <c r="D156" s="421" t="s">
        <v>194</v>
      </c>
      <c r="E156" s="463">
        <v>500</v>
      </c>
      <c r="F156" s="463">
        <v>260</v>
      </c>
      <c r="G156" s="421" t="s">
        <v>254</v>
      </c>
      <c r="H156" s="1070">
        <f t="shared" ref="H156:AM156" si="172">((H$71-$H$4)/1000)*$M$33*(($C$8/70)^$Y$33)</f>
        <v>240.86466852695347</v>
      </c>
      <c r="I156" s="1070">
        <f t="shared" si="172"/>
        <v>321.15289136927134</v>
      </c>
      <c r="J156" s="1070">
        <f t="shared" si="172"/>
        <v>401.44111421158914</v>
      </c>
      <c r="K156" s="1070">
        <f t="shared" si="172"/>
        <v>481.72933705390693</v>
      </c>
      <c r="L156" s="1070">
        <f t="shared" si="172"/>
        <v>562.01755989622472</v>
      </c>
      <c r="M156" s="1070">
        <f t="shared" si="172"/>
        <v>642.30578273854269</v>
      </c>
      <c r="N156" s="1070">
        <f t="shared" si="172"/>
        <v>722.59400558086043</v>
      </c>
      <c r="O156" s="1070">
        <f t="shared" si="172"/>
        <v>802.88222842317828</v>
      </c>
      <c r="P156" s="1070">
        <f t="shared" si="172"/>
        <v>883.17045126549613</v>
      </c>
      <c r="Q156" s="1070">
        <f t="shared" si="172"/>
        <v>963.45867410781386</v>
      </c>
      <c r="R156" s="1070">
        <f t="shared" si="172"/>
        <v>1043.7468969501317</v>
      </c>
      <c r="S156" s="1070">
        <f t="shared" si="172"/>
        <v>1124.0351197924494</v>
      </c>
      <c r="T156" s="1070">
        <f t="shared" si="172"/>
        <v>1204.3233426347674</v>
      </c>
      <c r="U156" s="1070">
        <f t="shared" si="172"/>
        <v>1284.6115654770854</v>
      </c>
      <c r="V156" s="1070">
        <f t="shared" si="172"/>
        <v>1364.8997883194031</v>
      </c>
      <c r="W156" s="1070">
        <f t="shared" si="172"/>
        <v>1445.1880111617209</v>
      </c>
      <c r="X156" s="1070">
        <f t="shared" si="172"/>
        <v>1525.4762340040386</v>
      </c>
      <c r="Y156" s="1070">
        <f t="shared" si="172"/>
        <v>1605.7644568463566</v>
      </c>
      <c r="Z156" s="1070">
        <f t="shared" si="172"/>
        <v>1686.0526796886745</v>
      </c>
      <c r="AA156" s="1070">
        <f t="shared" si="172"/>
        <v>1766.3409025309923</v>
      </c>
      <c r="AB156" s="1070">
        <f t="shared" si="172"/>
        <v>1846.62912537331</v>
      </c>
      <c r="AC156" s="1070">
        <f t="shared" si="172"/>
        <v>1926.9173482156277</v>
      </c>
      <c r="AD156" s="1070">
        <f t="shared" si="172"/>
        <v>2007.2055710579457</v>
      </c>
      <c r="AE156" s="1070">
        <f t="shared" si="172"/>
        <v>2087.4937939002634</v>
      </c>
      <c r="AF156" s="1070">
        <f t="shared" si="172"/>
        <v>2167.7820167425816</v>
      </c>
      <c r="AG156" s="1070">
        <f t="shared" si="172"/>
        <v>2248.0702395848989</v>
      </c>
      <c r="AH156" s="1070">
        <f t="shared" si="172"/>
        <v>2328.3584624272171</v>
      </c>
      <c r="AI156" s="1070">
        <f t="shared" si="172"/>
        <v>2408.6466852695348</v>
      </c>
      <c r="AJ156" s="1070">
        <f t="shared" si="172"/>
        <v>2488.9349081118526</v>
      </c>
      <c r="AK156" s="1070">
        <f t="shared" si="172"/>
        <v>2569.2231309541708</v>
      </c>
      <c r="AL156" s="1070">
        <f t="shared" si="172"/>
        <v>2649.511353796488</v>
      </c>
      <c r="AM156" s="1070">
        <f t="shared" si="172"/>
        <v>2729.7995766388062</v>
      </c>
      <c r="AN156" s="1070">
        <f t="shared" ref="AN156:BF156" si="173">((AN$71-$H$4)/1000)*$M$33*(($C$8/70)^$Y$33)</f>
        <v>2810.087799481124</v>
      </c>
      <c r="AO156" s="1070">
        <f t="shared" si="173"/>
        <v>2890.3760223234417</v>
      </c>
      <c r="AP156" s="1070">
        <f t="shared" si="173"/>
        <v>2970.6642451657599</v>
      </c>
      <c r="AQ156" s="1070">
        <f t="shared" si="173"/>
        <v>3050.9524680080772</v>
      </c>
      <c r="AR156" s="1070">
        <f t="shared" si="173"/>
        <v>3131.2406908503954</v>
      </c>
      <c r="AS156" s="1070">
        <f t="shared" si="173"/>
        <v>3211.5289136927131</v>
      </c>
      <c r="AT156" s="1070">
        <f t="shared" si="173"/>
        <v>3291.8171365350308</v>
      </c>
      <c r="AU156" s="1070">
        <f t="shared" si="173"/>
        <v>3372.105359377349</v>
      </c>
      <c r="AV156" s="1070">
        <f t="shared" si="173"/>
        <v>3452.3935822196663</v>
      </c>
      <c r="AW156" s="1070">
        <f t="shared" si="173"/>
        <v>3532.6818050619845</v>
      </c>
      <c r="AX156" s="1070">
        <f t="shared" si="173"/>
        <v>3612.9700279043022</v>
      </c>
      <c r="AY156" s="1070">
        <f t="shared" si="173"/>
        <v>3693.25825074662</v>
      </c>
      <c r="AZ156" s="1070">
        <f t="shared" si="173"/>
        <v>3773.5464735889382</v>
      </c>
      <c r="BA156" s="1070">
        <f t="shared" si="173"/>
        <v>3853.8346964312555</v>
      </c>
      <c r="BB156" s="1070">
        <f t="shared" si="173"/>
        <v>3934.1229192735736</v>
      </c>
      <c r="BC156" s="1070">
        <f t="shared" si="173"/>
        <v>4014.4111421158914</v>
      </c>
      <c r="BD156" s="1070">
        <f t="shared" si="173"/>
        <v>4094.6993649582091</v>
      </c>
      <c r="BE156" s="1070">
        <f t="shared" si="173"/>
        <v>4174.9875878005269</v>
      </c>
      <c r="BF156" s="1071">
        <f t="shared" si="173"/>
        <v>4255.2758106428446</v>
      </c>
    </row>
    <row r="157" spans="1:58">
      <c r="A157" s="2477"/>
      <c r="B157" s="2577" t="s">
        <v>275</v>
      </c>
      <c r="C157" s="2578"/>
      <c r="D157" s="422" t="s">
        <v>194</v>
      </c>
      <c r="E157" s="464">
        <v>500</v>
      </c>
      <c r="F157" s="464">
        <v>300</v>
      </c>
      <c r="G157" s="422" t="s">
        <v>254</v>
      </c>
      <c r="H157" s="1072">
        <f t="shared" ref="H157:AM157" si="174">((H$71-$H$4)/1000)*$N$33*(($C$8/70)^$Z$33)</f>
        <v>257.99891634180096</v>
      </c>
      <c r="I157" s="1072">
        <f t="shared" si="174"/>
        <v>343.99855512240129</v>
      </c>
      <c r="J157" s="1072">
        <f t="shared" si="174"/>
        <v>429.99819390300161</v>
      </c>
      <c r="K157" s="1072">
        <f t="shared" si="174"/>
        <v>515.99783268360193</v>
      </c>
      <c r="L157" s="1072">
        <f t="shared" si="174"/>
        <v>601.99747146420225</v>
      </c>
      <c r="M157" s="1072">
        <f t="shared" si="174"/>
        <v>687.99711024480257</v>
      </c>
      <c r="N157" s="1072">
        <f t="shared" si="174"/>
        <v>773.99674902540289</v>
      </c>
      <c r="O157" s="1072">
        <f t="shared" si="174"/>
        <v>859.99638780600321</v>
      </c>
      <c r="P157" s="1072">
        <f t="shared" si="174"/>
        <v>945.99602658660365</v>
      </c>
      <c r="Q157" s="1072">
        <f t="shared" si="174"/>
        <v>1031.9956653672039</v>
      </c>
      <c r="R157" s="1072">
        <f t="shared" si="174"/>
        <v>1117.9953041478043</v>
      </c>
      <c r="S157" s="1072">
        <f t="shared" si="174"/>
        <v>1203.9949429284045</v>
      </c>
      <c r="T157" s="1072">
        <f t="shared" si="174"/>
        <v>1289.9945817090047</v>
      </c>
      <c r="U157" s="1072">
        <f t="shared" si="174"/>
        <v>1375.9942204896051</v>
      </c>
      <c r="V157" s="1072">
        <f t="shared" si="174"/>
        <v>1461.9938592702053</v>
      </c>
      <c r="W157" s="1072">
        <f t="shared" si="174"/>
        <v>1547.9934980508058</v>
      </c>
      <c r="X157" s="1072">
        <f t="shared" si="174"/>
        <v>1633.993136831406</v>
      </c>
      <c r="Y157" s="1072">
        <f t="shared" si="174"/>
        <v>1719.9927756120064</v>
      </c>
      <c r="Z157" s="1072">
        <f t="shared" si="174"/>
        <v>1805.9924143926069</v>
      </c>
      <c r="AA157" s="1072">
        <f t="shared" si="174"/>
        <v>1891.9920531732073</v>
      </c>
      <c r="AB157" s="1072">
        <f t="shared" si="174"/>
        <v>1977.9916919538073</v>
      </c>
      <c r="AC157" s="1072">
        <f t="shared" si="174"/>
        <v>2063.9913307344077</v>
      </c>
      <c r="AD157" s="1072">
        <f t="shared" si="174"/>
        <v>2149.9909695150081</v>
      </c>
      <c r="AE157" s="1072">
        <f t="shared" si="174"/>
        <v>2235.9906082956086</v>
      </c>
      <c r="AF157" s="1072">
        <f t="shared" si="174"/>
        <v>2321.990247076209</v>
      </c>
      <c r="AG157" s="1072">
        <f t="shared" si="174"/>
        <v>2407.989885856809</v>
      </c>
      <c r="AH157" s="1072">
        <f t="shared" si="174"/>
        <v>2493.9895246374094</v>
      </c>
      <c r="AI157" s="1072">
        <f t="shared" si="174"/>
        <v>2579.9891634180094</v>
      </c>
      <c r="AJ157" s="1072">
        <f t="shared" si="174"/>
        <v>2665.9888021986098</v>
      </c>
      <c r="AK157" s="1072">
        <f t="shared" si="174"/>
        <v>2751.9884409792103</v>
      </c>
      <c r="AL157" s="1072">
        <f t="shared" si="174"/>
        <v>2837.9880797598103</v>
      </c>
      <c r="AM157" s="1072">
        <f t="shared" si="174"/>
        <v>2923.9877185404107</v>
      </c>
      <c r="AN157" s="1072">
        <f t="shared" ref="AN157:BF157" si="175">((AN$71-$H$4)/1000)*$N$33*(($C$8/70)^$Z$33)</f>
        <v>3009.9873573210111</v>
      </c>
      <c r="AO157" s="1072">
        <f t="shared" si="175"/>
        <v>3095.9869961016116</v>
      </c>
      <c r="AP157" s="1072">
        <f t="shared" si="175"/>
        <v>3181.986634882212</v>
      </c>
      <c r="AQ157" s="1072">
        <f t="shared" si="175"/>
        <v>3267.986273662812</v>
      </c>
      <c r="AR157" s="1072">
        <f t="shared" si="175"/>
        <v>3353.9859124434124</v>
      </c>
      <c r="AS157" s="1072">
        <f t="shared" si="175"/>
        <v>3439.9855512240129</v>
      </c>
      <c r="AT157" s="1072">
        <f t="shared" si="175"/>
        <v>3525.9851900046128</v>
      </c>
      <c r="AU157" s="1072">
        <f t="shared" si="175"/>
        <v>3611.9848287852137</v>
      </c>
      <c r="AV157" s="1072">
        <f t="shared" si="175"/>
        <v>3697.9844675658137</v>
      </c>
      <c r="AW157" s="1072">
        <f t="shared" si="175"/>
        <v>3783.9841063464146</v>
      </c>
      <c r="AX157" s="1072">
        <f t="shared" si="175"/>
        <v>3869.9837451270146</v>
      </c>
      <c r="AY157" s="1072">
        <f t="shared" si="175"/>
        <v>3955.9833839076146</v>
      </c>
      <c r="AZ157" s="1072">
        <f t="shared" si="175"/>
        <v>4041.9830226882154</v>
      </c>
      <c r="BA157" s="1072">
        <f t="shared" si="175"/>
        <v>4127.9826614688154</v>
      </c>
      <c r="BB157" s="1072">
        <f t="shared" si="175"/>
        <v>4213.9823002494159</v>
      </c>
      <c r="BC157" s="1072">
        <f t="shared" si="175"/>
        <v>4299.9819390300163</v>
      </c>
      <c r="BD157" s="1072">
        <f t="shared" si="175"/>
        <v>4385.9815778106158</v>
      </c>
      <c r="BE157" s="1072">
        <f t="shared" si="175"/>
        <v>4471.9812165912172</v>
      </c>
      <c r="BF157" s="1073">
        <f t="shared" si="175"/>
        <v>4557.9808553718167</v>
      </c>
    </row>
    <row r="158" spans="1:58" ht="15.75" thickBot="1">
      <c r="A158" s="2477"/>
      <c r="B158" s="2579" t="s">
        <v>276</v>
      </c>
      <c r="C158" s="2580"/>
      <c r="D158" s="423" t="s">
        <v>194</v>
      </c>
      <c r="E158" s="465">
        <v>500</v>
      </c>
      <c r="F158" s="465">
        <v>360</v>
      </c>
      <c r="G158" s="423" t="s">
        <v>260</v>
      </c>
      <c r="H158" s="1074">
        <f t="shared" ref="H158:AM158" si="176">((H$71-$H$4)/1000)*$Q$33*(($C$8/70)^$AC$33)</f>
        <v>433.72345118693426</v>
      </c>
      <c r="I158" s="1074">
        <f t="shared" si="176"/>
        <v>578.29793491591238</v>
      </c>
      <c r="J158" s="1074">
        <f t="shared" si="176"/>
        <v>722.87241864489044</v>
      </c>
      <c r="K158" s="1074">
        <f t="shared" si="176"/>
        <v>867.44690237386851</v>
      </c>
      <c r="L158" s="1074">
        <f t="shared" si="176"/>
        <v>1012.0213861028466</v>
      </c>
      <c r="M158" s="1074">
        <f t="shared" si="176"/>
        <v>1156.5958698318248</v>
      </c>
      <c r="N158" s="1074">
        <f t="shared" si="176"/>
        <v>1301.1703535608028</v>
      </c>
      <c r="O158" s="1074">
        <f t="shared" si="176"/>
        <v>1445.7448372897809</v>
      </c>
      <c r="P158" s="1074">
        <f t="shared" si="176"/>
        <v>1590.3193210187592</v>
      </c>
      <c r="Q158" s="1074">
        <f t="shared" si="176"/>
        <v>1734.893804747737</v>
      </c>
      <c r="R158" s="1074">
        <f t="shared" si="176"/>
        <v>1879.4682884767153</v>
      </c>
      <c r="S158" s="1074">
        <f t="shared" si="176"/>
        <v>2024.0427722056932</v>
      </c>
      <c r="T158" s="1074">
        <f t="shared" si="176"/>
        <v>2168.6172559346714</v>
      </c>
      <c r="U158" s="1074">
        <f t="shared" si="176"/>
        <v>2313.1917396636495</v>
      </c>
      <c r="V158" s="1074">
        <f t="shared" si="176"/>
        <v>2457.7662233926276</v>
      </c>
      <c r="W158" s="1074">
        <f t="shared" si="176"/>
        <v>2602.3407071216056</v>
      </c>
      <c r="X158" s="1074">
        <f t="shared" si="176"/>
        <v>2746.9151908505837</v>
      </c>
      <c r="Y158" s="1074">
        <f t="shared" si="176"/>
        <v>2891.4896745795618</v>
      </c>
      <c r="Z158" s="1074">
        <f t="shared" si="176"/>
        <v>3036.0641583085398</v>
      </c>
      <c r="AA158" s="1074">
        <f t="shared" si="176"/>
        <v>3180.6386420375184</v>
      </c>
      <c r="AB158" s="1074">
        <f t="shared" si="176"/>
        <v>3325.213125766496</v>
      </c>
      <c r="AC158" s="1074">
        <f t="shared" si="176"/>
        <v>3469.787609495474</v>
      </c>
      <c r="AD158" s="1074">
        <f t="shared" si="176"/>
        <v>3614.3620932244521</v>
      </c>
      <c r="AE158" s="1074">
        <f t="shared" si="176"/>
        <v>3758.9365769534306</v>
      </c>
      <c r="AF158" s="1074">
        <f t="shared" si="176"/>
        <v>3903.5110606824087</v>
      </c>
      <c r="AG158" s="1074">
        <f t="shared" si="176"/>
        <v>4048.0855444113863</v>
      </c>
      <c r="AH158" s="1074">
        <f t="shared" si="176"/>
        <v>4192.6600281403644</v>
      </c>
      <c r="AI158" s="1074">
        <f t="shared" si="176"/>
        <v>4337.2345118693429</v>
      </c>
      <c r="AJ158" s="1074">
        <f t="shared" si="176"/>
        <v>4481.8089955983205</v>
      </c>
      <c r="AK158" s="1074">
        <f t="shared" si="176"/>
        <v>4626.383479327299</v>
      </c>
      <c r="AL158" s="1074">
        <f t="shared" si="176"/>
        <v>4770.9579630562766</v>
      </c>
      <c r="AM158" s="1074">
        <f t="shared" si="176"/>
        <v>4915.5324467852552</v>
      </c>
      <c r="AN158" s="1074">
        <f t="shared" ref="AN158:BF158" si="177">((AN$71-$H$4)/1000)*$Q$33*(($C$8/70)^$AC$33)</f>
        <v>5060.1069305142328</v>
      </c>
      <c r="AO158" s="1074">
        <f t="shared" si="177"/>
        <v>5204.6814142432113</v>
      </c>
      <c r="AP158" s="1074">
        <f t="shared" si="177"/>
        <v>5349.2558979721898</v>
      </c>
      <c r="AQ158" s="1074">
        <f t="shared" si="177"/>
        <v>5493.8303817011674</v>
      </c>
      <c r="AR158" s="1074">
        <f t="shared" si="177"/>
        <v>5638.404865430145</v>
      </c>
      <c r="AS158" s="1074">
        <f t="shared" si="177"/>
        <v>5782.9793491591236</v>
      </c>
      <c r="AT158" s="1074">
        <f t="shared" si="177"/>
        <v>5927.5538328881012</v>
      </c>
      <c r="AU158" s="1074">
        <f t="shared" si="177"/>
        <v>6072.1283166170797</v>
      </c>
      <c r="AV158" s="1074">
        <f t="shared" si="177"/>
        <v>6216.7028003460573</v>
      </c>
      <c r="AW158" s="1074">
        <f t="shared" si="177"/>
        <v>6361.2772840750367</v>
      </c>
      <c r="AX158" s="1074">
        <f t="shared" si="177"/>
        <v>6505.8517678040143</v>
      </c>
      <c r="AY158" s="1074">
        <f t="shared" si="177"/>
        <v>6650.426251532992</v>
      </c>
      <c r="AZ158" s="1074">
        <f t="shared" si="177"/>
        <v>6795.0007352619705</v>
      </c>
      <c r="BA158" s="1074">
        <f t="shared" si="177"/>
        <v>6939.5752189909481</v>
      </c>
      <c r="BB158" s="1074">
        <f t="shared" si="177"/>
        <v>7084.1497027199266</v>
      </c>
      <c r="BC158" s="1074">
        <f t="shared" si="177"/>
        <v>7228.7241864489042</v>
      </c>
      <c r="BD158" s="1074">
        <f t="shared" si="177"/>
        <v>7373.2986701778818</v>
      </c>
      <c r="BE158" s="1074">
        <f t="shared" si="177"/>
        <v>7517.8731539068613</v>
      </c>
      <c r="BF158" s="1075">
        <f t="shared" si="177"/>
        <v>7662.4476376358389</v>
      </c>
    </row>
    <row r="159" spans="1:58">
      <c r="A159" s="2477"/>
      <c r="B159" s="2581" t="s">
        <v>277</v>
      </c>
      <c r="C159" s="2582"/>
      <c r="D159" s="424" t="s">
        <v>194</v>
      </c>
      <c r="E159" s="466">
        <v>600</v>
      </c>
      <c r="F159" s="466">
        <v>260</v>
      </c>
      <c r="G159" s="424" t="s">
        <v>254</v>
      </c>
      <c r="H159" s="1076">
        <f t="shared" ref="H159:AM159" si="178">((H$71-$H$4)/1000)*$M$34*(($C$8/70)^$Y$34)</f>
        <v>272.06009259520152</v>
      </c>
      <c r="I159" s="1076">
        <f t="shared" si="178"/>
        <v>362.74679012693537</v>
      </c>
      <c r="J159" s="1076">
        <f t="shared" si="178"/>
        <v>453.43348765866921</v>
      </c>
      <c r="K159" s="1076">
        <f t="shared" si="178"/>
        <v>544.12018519040305</v>
      </c>
      <c r="L159" s="1076">
        <f t="shared" si="178"/>
        <v>634.80688272213683</v>
      </c>
      <c r="M159" s="1076">
        <f t="shared" si="178"/>
        <v>725.49358025387073</v>
      </c>
      <c r="N159" s="1076">
        <f t="shared" si="178"/>
        <v>816.18027778560463</v>
      </c>
      <c r="O159" s="1076">
        <f t="shared" si="178"/>
        <v>906.86697531733842</v>
      </c>
      <c r="P159" s="1076">
        <f t="shared" si="178"/>
        <v>997.55367284907231</v>
      </c>
      <c r="Q159" s="1076">
        <f t="shared" si="178"/>
        <v>1088.2403703808061</v>
      </c>
      <c r="R159" s="1076">
        <f t="shared" si="178"/>
        <v>1178.92706791254</v>
      </c>
      <c r="S159" s="1076">
        <f t="shared" si="178"/>
        <v>1269.6137654442737</v>
      </c>
      <c r="T159" s="1076">
        <f t="shared" si="178"/>
        <v>1360.3004629760076</v>
      </c>
      <c r="U159" s="1076">
        <f t="shared" si="178"/>
        <v>1450.9871605077415</v>
      </c>
      <c r="V159" s="1076">
        <f t="shared" si="178"/>
        <v>1541.6738580394754</v>
      </c>
      <c r="W159" s="1076">
        <f t="shared" si="178"/>
        <v>1632.3605555712093</v>
      </c>
      <c r="X159" s="1076">
        <f t="shared" si="178"/>
        <v>1723.0472531029429</v>
      </c>
      <c r="Y159" s="1076">
        <f t="shared" si="178"/>
        <v>1813.7339506346768</v>
      </c>
      <c r="Z159" s="1076">
        <f t="shared" si="178"/>
        <v>1904.4206481664107</v>
      </c>
      <c r="AA159" s="1076">
        <f t="shared" si="178"/>
        <v>1995.1073456981446</v>
      </c>
      <c r="AB159" s="1076">
        <f t="shared" si="178"/>
        <v>2085.7940432298783</v>
      </c>
      <c r="AC159" s="1076">
        <f t="shared" si="178"/>
        <v>2176.4807407616122</v>
      </c>
      <c r="AD159" s="1076">
        <f t="shared" si="178"/>
        <v>2267.1674382933461</v>
      </c>
      <c r="AE159" s="1076">
        <f t="shared" si="178"/>
        <v>2357.85413582508</v>
      </c>
      <c r="AF159" s="1076">
        <f t="shared" si="178"/>
        <v>2448.5408333568139</v>
      </c>
      <c r="AG159" s="1076">
        <f t="shared" si="178"/>
        <v>2539.2275308885473</v>
      </c>
      <c r="AH159" s="1076">
        <f t="shared" si="178"/>
        <v>2629.9142284202812</v>
      </c>
      <c r="AI159" s="1076">
        <f t="shared" si="178"/>
        <v>2720.6009259520151</v>
      </c>
      <c r="AJ159" s="1076">
        <f t="shared" si="178"/>
        <v>2811.287623483749</v>
      </c>
      <c r="AK159" s="1076">
        <f t="shared" si="178"/>
        <v>2901.9743210154829</v>
      </c>
      <c r="AL159" s="1076">
        <f t="shared" si="178"/>
        <v>2992.6610185472168</v>
      </c>
      <c r="AM159" s="1076">
        <f t="shared" si="178"/>
        <v>3083.3477160789507</v>
      </c>
      <c r="AN159" s="1076">
        <f t="shared" ref="AN159:BF159" si="179">((AN$71-$H$4)/1000)*$M$34*(($C$8/70)^$Y$34)</f>
        <v>3174.0344136106846</v>
      </c>
      <c r="AO159" s="1076">
        <f t="shared" si="179"/>
        <v>3264.7211111424185</v>
      </c>
      <c r="AP159" s="1076">
        <f t="shared" si="179"/>
        <v>3355.4078086741524</v>
      </c>
      <c r="AQ159" s="1076">
        <f t="shared" si="179"/>
        <v>3446.0945062058859</v>
      </c>
      <c r="AR159" s="1076">
        <f t="shared" si="179"/>
        <v>3536.7812037376198</v>
      </c>
      <c r="AS159" s="1076">
        <f t="shared" si="179"/>
        <v>3627.4679012693537</v>
      </c>
      <c r="AT159" s="1076">
        <f t="shared" si="179"/>
        <v>3718.1545988010871</v>
      </c>
      <c r="AU159" s="1076">
        <f t="shared" si="179"/>
        <v>3808.8412963328215</v>
      </c>
      <c r="AV159" s="1076">
        <f t="shared" si="179"/>
        <v>3899.5279938645549</v>
      </c>
      <c r="AW159" s="1076">
        <f t="shared" si="179"/>
        <v>3990.2146913962893</v>
      </c>
      <c r="AX159" s="1076">
        <f t="shared" si="179"/>
        <v>4080.9013889280227</v>
      </c>
      <c r="AY159" s="1076">
        <f t="shared" si="179"/>
        <v>4171.5880864597566</v>
      </c>
      <c r="AZ159" s="1076">
        <f t="shared" si="179"/>
        <v>4262.2747839914909</v>
      </c>
      <c r="BA159" s="1076">
        <f t="shared" si="179"/>
        <v>4352.9614815232244</v>
      </c>
      <c r="BB159" s="1076">
        <f t="shared" si="179"/>
        <v>4443.6481790549587</v>
      </c>
      <c r="BC159" s="1076">
        <f t="shared" si="179"/>
        <v>4534.3348765866922</v>
      </c>
      <c r="BD159" s="1076">
        <f t="shared" si="179"/>
        <v>4625.0215741184256</v>
      </c>
      <c r="BE159" s="1076">
        <f t="shared" si="179"/>
        <v>4715.70827165016</v>
      </c>
      <c r="BF159" s="1077">
        <f t="shared" si="179"/>
        <v>4806.3949691818934</v>
      </c>
    </row>
    <row r="160" spans="1:58">
      <c r="A160" s="2477"/>
      <c r="B160" s="2544" t="s">
        <v>278</v>
      </c>
      <c r="C160" s="2545"/>
      <c r="D160" s="425" t="s">
        <v>194</v>
      </c>
      <c r="E160" s="467">
        <v>600</v>
      </c>
      <c r="F160" s="467">
        <v>300</v>
      </c>
      <c r="G160" s="425" t="s">
        <v>254</v>
      </c>
      <c r="H160" s="1078">
        <f t="shared" ref="H160:AM160" si="180">((H$71-$H$4)/1000)*$N$34*(($C$8/70)^$Z$34)</f>
        <v>291.41347088669175</v>
      </c>
      <c r="I160" s="1078">
        <f t="shared" si="180"/>
        <v>388.55129451558901</v>
      </c>
      <c r="J160" s="1078">
        <f t="shared" si="180"/>
        <v>485.68911814448626</v>
      </c>
      <c r="K160" s="1078">
        <f t="shared" si="180"/>
        <v>582.82694177338351</v>
      </c>
      <c r="L160" s="1078">
        <f t="shared" si="180"/>
        <v>679.9647654022807</v>
      </c>
      <c r="M160" s="1078">
        <f t="shared" si="180"/>
        <v>777.10258903117801</v>
      </c>
      <c r="N160" s="1078">
        <f t="shared" si="180"/>
        <v>874.24041266007532</v>
      </c>
      <c r="O160" s="1078">
        <f t="shared" si="180"/>
        <v>971.37823628897252</v>
      </c>
      <c r="P160" s="1078">
        <f t="shared" si="180"/>
        <v>1068.5160599178698</v>
      </c>
      <c r="Q160" s="1078">
        <f t="shared" si="180"/>
        <v>1165.653883546767</v>
      </c>
      <c r="R160" s="1078">
        <f t="shared" si="180"/>
        <v>1262.7917071756642</v>
      </c>
      <c r="S160" s="1078">
        <f t="shared" si="180"/>
        <v>1359.9295308045614</v>
      </c>
      <c r="T160" s="1078">
        <f t="shared" si="180"/>
        <v>1457.0673544334588</v>
      </c>
      <c r="U160" s="1078">
        <f t="shared" si="180"/>
        <v>1554.205178062356</v>
      </c>
      <c r="V160" s="1078">
        <f t="shared" si="180"/>
        <v>1651.3430016912532</v>
      </c>
      <c r="W160" s="1078">
        <f t="shared" si="180"/>
        <v>1748.4808253201506</v>
      </c>
      <c r="X160" s="1078">
        <f t="shared" si="180"/>
        <v>1845.6186489490476</v>
      </c>
      <c r="Y160" s="1078">
        <f t="shared" si="180"/>
        <v>1942.756472577945</v>
      </c>
      <c r="Z160" s="1078">
        <f t="shared" si="180"/>
        <v>2039.8942962068425</v>
      </c>
      <c r="AA160" s="1078">
        <f t="shared" si="180"/>
        <v>2137.0321198357396</v>
      </c>
      <c r="AB160" s="1078">
        <f t="shared" si="180"/>
        <v>2234.1699434646366</v>
      </c>
      <c r="AC160" s="1078">
        <f t="shared" si="180"/>
        <v>2331.307767093534</v>
      </c>
      <c r="AD160" s="1078">
        <f t="shared" si="180"/>
        <v>2428.4455907224315</v>
      </c>
      <c r="AE160" s="1078">
        <f t="shared" si="180"/>
        <v>2525.5834143513284</v>
      </c>
      <c r="AF160" s="1078">
        <f t="shared" si="180"/>
        <v>2622.7212379802259</v>
      </c>
      <c r="AG160" s="1078">
        <f t="shared" si="180"/>
        <v>2719.8590616091228</v>
      </c>
      <c r="AH160" s="1078">
        <f t="shared" si="180"/>
        <v>2816.9968852380202</v>
      </c>
      <c r="AI160" s="1078">
        <f t="shared" si="180"/>
        <v>2914.1347088669177</v>
      </c>
      <c r="AJ160" s="1078">
        <f t="shared" si="180"/>
        <v>3011.2725324958151</v>
      </c>
      <c r="AK160" s="1078">
        <f t="shared" si="180"/>
        <v>3108.4103561247121</v>
      </c>
      <c r="AL160" s="1078">
        <f t="shared" si="180"/>
        <v>3205.548179753609</v>
      </c>
      <c r="AM160" s="1078">
        <f t="shared" si="180"/>
        <v>3302.6860033825064</v>
      </c>
      <c r="AN160" s="1078">
        <f t="shared" ref="AN160:BF160" si="181">((AN$71-$H$4)/1000)*$N$34*(($C$8/70)^$Z$34)</f>
        <v>3399.8238270114039</v>
      </c>
      <c r="AO160" s="1078">
        <f t="shared" si="181"/>
        <v>3496.9616506403013</v>
      </c>
      <c r="AP160" s="1078">
        <f t="shared" si="181"/>
        <v>3594.0994742691987</v>
      </c>
      <c r="AQ160" s="1078">
        <f t="shared" si="181"/>
        <v>3691.2372978980952</v>
      </c>
      <c r="AR160" s="1078">
        <f t="shared" si="181"/>
        <v>3788.3751215269926</v>
      </c>
      <c r="AS160" s="1078">
        <f t="shared" si="181"/>
        <v>3885.5129451558901</v>
      </c>
      <c r="AT160" s="1078">
        <f t="shared" si="181"/>
        <v>3982.650768784787</v>
      </c>
      <c r="AU160" s="1078">
        <f t="shared" si="181"/>
        <v>4079.7885924136849</v>
      </c>
      <c r="AV160" s="1078">
        <f t="shared" si="181"/>
        <v>4176.9264160425819</v>
      </c>
      <c r="AW160" s="1078">
        <f t="shared" si="181"/>
        <v>4274.0642396714793</v>
      </c>
      <c r="AX160" s="1078">
        <f t="shared" si="181"/>
        <v>4371.2020633003767</v>
      </c>
      <c r="AY160" s="1078">
        <f t="shared" si="181"/>
        <v>4468.3398869292732</v>
      </c>
      <c r="AZ160" s="1078">
        <f t="shared" si="181"/>
        <v>4565.4777105581707</v>
      </c>
      <c r="BA160" s="1078">
        <f t="shared" si="181"/>
        <v>4662.6155341870681</v>
      </c>
      <c r="BB160" s="1078">
        <f t="shared" si="181"/>
        <v>4759.7533578159655</v>
      </c>
      <c r="BC160" s="1078">
        <f t="shared" si="181"/>
        <v>4856.8911814448629</v>
      </c>
      <c r="BD160" s="1078">
        <f t="shared" si="181"/>
        <v>4954.0290050737594</v>
      </c>
      <c r="BE160" s="1078">
        <f t="shared" si="181"/>
        <v>5051.1668287026569</v>
      </c>
      <c r="BF160" s="1079">
        <f t="shared" si="181"/>
        <v>5148.3046523315543</v>
      </c>
    </row>
    <row r="161" spans="1:64" ht="15.75" thickBot="1">
      <c r="A161" s="2477"/>
      <c r="B161" s="2546" t="s">
        <v>279</v>
      </c>
      <c r="C161" s="2547"/>
      <c r="D161" s="426" t="s">
        <v>194</v>
      </c>
      <c r="E161" s="468">
        <v>600</v>
      </c>
      <c r="F161" s="468">
        <v>360</v>
      </c>
      <c r="G161" s="426" t="s">
        <v>260</v>
      </c>
      <c r="H161" s="1080">
        <f t="shared" ref="H161:AM161" si="182">((H$71-$H$4)/1000)*$Q$34*(($C$8/70)^$AC$34)</f>
        <v>494.4</v>
      </c>
      <c r="I161" s="1080">
        <f t="shared" si="182"/>
        <v>659.2</v>
      </c>
      <c r="J161" s="1080">
        <f t="shared" si="182"/>
        <v>824</v>
      </c>
      <c r="K161" s="1080">
        <f t="shared" si="182"/>
        <v>988.8</v>
      </c>
      <c r="L161" s="1080">
        <f t="shared" si="182"/>
        <v>1153.5999999999999</v>
      </c>
      <c r="M161" s="1080">
        <f t="shared" si="182"/>
        <v>1318.4</v>
      </c>
      <c r="N161" s="1080">
        <f t="shared" si="182"/>
        <v>1483.2</v>
      </c>
      <c r="O161" s="1080">
        <f t="shared" si="182"/>
        <v>1648</v>
      </c>
      <c r="P161" s="1080">
        <f t="shared" si="182"/>
        <v>1812.8000000000002</v>
      </c>
      <c r="Q161" s="1080">
        <f t="shared" si="182"/>
        <v>1977.6</v>
      </c>
      <c r="R161" s="1080">
        <f t="shared" si="182"/>
        <v>2142.4</v>
      </c>
      <c r="S161" s="1080">
        <f t="shared" si="182"/>
        <v>2307.1999999999998</v>
      </c>
      <c r="T161" s="1080">
        <f t="shared" si="182"/>
        <v>2472</v>
      </c>
      <c r="U161" s="1080">
        <f t="shared" si="182"/>
        <v>2636.8</v>
      </c>
      <c r="V161" s="1080">
        <f t="shared" si="182"/>
        <v>2801.6</v>
      </c>
      <c r="W161" s="1080">
        <f t="shared" si="182"/>
        <v>2966.4</v>
      </c>
      <c r="X161" s="1080">
        <f t="shared" si="182"/>
        <v>3131.2</v>
      </c>
      <c r="Y161" s="1080">
        <f t="shared" si="182"/>
        <v>3296</v>
      </c>
      <c r="Z161" s="1080">
        <f t="shared" si="182"/>
        <v>3460.8</v>
      </c>
      <c r="AA161" s="1080">
        <f t="shared" si="182"/>
        <v>3625.6000000000004</v>
      </c>
      <c r="AB161" s="1080">
        <f t="shared" si="182"/>
        <v>3790.3999999999996</v>
      </c>
      <c r="AC161" s="1080">
        <f t="shared" si="182"/>
        <v>3955.2</v>
      </c>
      <c r="AD161" s="1080">
        <f t="shared" si="182"/>
        <v>4120</v>
      </c>
      <c r="AE161" s="1080">
        <f t="shared" si="182"/>
        <v>4284.8</v>
      </c>
      <c r="AF161" s="1080">
        <f t="shared" si="182"/>
        <v>4449.6000000000004</v>
      </c>
      <c r="AG161" s="1080">
        <f t="shared" si="182"/>
        <v>4614.3999999999996</v>
      </c>
      <c r="AH161" s="1080">
        <f t="shared" si="182"/>
        <v>4779.2</v>
      </c>
      <c r="AI161" s="1080">
        <f t="shared" si="182"/>
        <v>4944</v>
      </c>
      <c r="AJ161" s="1080">
        <f t="shared" si="182"/>
        <v>5108.8</v>
      </c>
      <c r="AK161" s="1080">
        <f t="shared" si="182"/>
        <v>5273.6</v>
      </c>
      <c r="AL161" s="1080">
        <f t="shared" si="182"/>
        <v>5438.4</v>
      </c>
      <c r="AM161" s="1080">
        <f t="shared" si="182"/>
        <v>5603.2</v>
      </c>
      <c r="AN161" s="1080">
        <f t="shared" ref="AN161:BF161" si="183">((AN$71-$H$4)/1000)*$Q$34*(($C$8/70)^$AC$34)</f>
        <v>5768</v>
      </c>
      <c r="AO161" s="1080">
        <f t="shared" si="183"/>
        <v>5932.8</v>
      </c>
      <c r="AP161" s="1080">
        <f t="shared" si="183"/>
        <v>6097.6</v>
      </c>
      <c r="AQ161" s="1080">
        <f t="shared" si="183"/>
        <v>6262.4</v>
      </c>
      <c r="AR161" s="1080">
        <f t="shared" si="183"/>
        <v>6427.2</v>
      </c>
      <c r="AS161" s="1080">
        <f t="shared" si="183"/>
        <v>6592</v>
      </c>
      <c r="AT161" s="1080">
        <f t="shared" si="183"/>
        <v>6756.7999999999993</v>
      </c>
      <c r="AU161" s="1080">
        <f t="shared" si="183"/>
        <v>6921.6</v>
      </c>
      <c r="AV161" s="1080">
        <f t="shared" si="183"/>
        <v>7086.4</v>
      </c>
      <c r="AW161" s="1080">
        <f t="shared" si="183"/>
        <v>7251.2000000000007</v>
      </c>
      <c r="AX161" s="1080">
        <f t="shared" si="183"/>
        <v>7416</v>
      </c>
      <c r="AY161" s="1080">
        <f t="shared" si="183"/>
        <v>7580.7999999999993</v>
      </c>
      <c r="AZ161" s="1080">
        <f t="shared" si="183"/>
        <v>7745.6</v>
      </c>
      <c r="BA161" s="1080">
        <f t="shared" si="183"/>
        <v>7910.4</v>
      </c>
      <c r="BB161" s="1080">
        <f t="shared" si="183"/>
        <v>8075.2000000000007</v>
      </c>
      <c r="BC161" s="1080">
        <f t="shared" si="183"/>
        <v>8240</v>
      </c>
      <c r="BD161" s="1080">
        <f t="shared" si="183"/>
        <v>8404.7999999999993</v>
      </c>
      <c r="BE161" s="1080">
        <f t="shared" si="183"/>
        <v>8569.6</v>
      </c>
      <c r="BF161" s="1081">
        <f t="shared" si="183"/>
        <v>8734.4</v>
      </c>
    </row>
    <row r="162" spans="1:64" s="1184" customFormat="1" ht="15.75" thickBot="1">
      <c r="B162" s="72"/>
      <c r="C162" s="72"/>
      <c r="H162" s="571"/>
      <c r="I162" s="571"/>
      <c r="J162" s="571"/>
      <c r="K162" s="571"/>
      <c r="L162" s="571"/>
      <c r="M162" s="571"/>
      <c r="N162" s="571"/>
      <c r="O162" s="571"/>
      <c r="P162" s="571"/>
      <c r="Q162" s="571"/>
      <c r="R162" s="571"/>
      <c r="S162" s="571"/>
      <c r="T162" s="571"/>
      <c r="U162" s="571"/>
      <c r="V162" s="571"/>
      <c r="W162" s="571"/>
      <c r="X162" s="571"/>
      <c r="Y162" s="571"/>
      <c r="Z162" s="571"/>
      <c r="AA162" s="571"/>
      <c r="AB162" s="571"/>
      <c r="AC162" s="571"/>
      <c r="AD162" s="571"/>
      <c r="AE162" s="571"/>
      <c r="AF162" s="571"/>
      <c r="AG162" s="571"/>
      <c r="AH162" s="571"/>
      <c r="AI162" s="571"/>
      <c r="AJ162" s="571"/>
      <c r="AK162" s="571"/>
      <c r="AL162" s="571"/>
      <c r="AM162" s="571"/>
      <c r="AN162" s="571"/>
      <c r="AO162" s="571"/>
      <c r="AP162" s="571"/>
      <c r="AQ162" s="571"/>
      <c r="AR162" s="571"/>
      <c r="AS162" s="571"/>
      <c r="AT162" s="571"/>
      <c r="AU162" s="571"/>
      <c r="AV162" s="571"/>
      <c r="AW162" s="571"/>
      <c r="AX162" s="571"/>
      <c r="AY162" s="571"/>
      <c r="AZ162" s="571"/>
      <c r="BA162" s="571"/>
      <c r="BB162" s="571"/>
      <c r="BC162" s="571"/>
      <c r="BD162" s="571"/>
      <c r="BE162" s="571"/>
      <c r="BF162" s="571"/>
    </row>
    <row r="163" spans="1:64" s="1184" customFormat="1" ht="29.25" customHeight="1" thickBot="1">
      <c r="B163" s="2483" t="s">
        <v>343</v>
      </c>
      <c r="C163" s="2484"/>
      <c r="D163" s="2487" t="s">
        <v>192</v>
      </c>
      <c r="E163" s="2489" t="s">
        <v>0</v>
      </c>
      <c r="F163" s="2489" t="s">
        <v>1</v>
      </c>
      <c r="G163" s="2491" t="s">
        <v>153</v>
      </c>
      <c r="H163" s="2493" t="s">
        <v>16</v>
      </c>
      <c r="I163" s="2493"/>
      <c r="J163" s="2493"/>
      <c r="K163" s="2493"/>
      <c r="L163" s="2493"/>
      <c r="M163" s="2493"/>
      <c r="N163" s="2493"/>
      <c r="O163" s="2493"/>
      <c r="P163" s="2493"/>
      <c r="Q163" s="2493"/>
      <c r="R163" s="2493"/>
      <c r="S163" s="2493"/>
      <c r="T163" s="2493"/>
      <c r="U163" s="2493"/>
      <c r="V163" s="2493"/>
      <c r="W163" s="2493"/>
      <c r="X163" s="2493"/>
      <c r="Y163" s="2493"/>
      <c r="Z163" s="2493"/>
      <c r="AA163" s="2493"/>
      <c r="AB163" s="2493"/>
      <c r="AC163" s="2493"/>
      <c r="AD163" s="2493"/>
      <c r="AE163" s="2493"/>
      <c r="AF163" s="2493"/>
      <c r="AG163" s="2493"/>
      <c r="AH163" s="2493"/>
      <c r="AI163" s="2493"/>
      <c r="AJ163" s="2493"/>
      <c r="AK163" s="2493"/>
      <c r="AL163" s="2493"/>
      <c r="AM163" s="2493"/>
      <c r="AN163" s="2493"/>
      <c r="AO163" s="2493"/>
      <c r="AP163" s="2493"/>
      <c r="AQ163" s="2493"/>
      <c r="AR163" s="2493"/>
      <c r="AS163" s="2493"/>
      <c r="AT163" s="2493"/>
      <c r="AU163" s="2493"/>
      <c r="AV163" s="2493"/>
      <c r="AW163" s="2493"/>
      <c r="AX163" s="2493"/>
      <c r="AY163" s="2493"/>
      <c r="AZ163" s="2493"/>
      <c r="BA163" s="2493"/>
      <c r="BB163" s="2493"/>
      <c r="BC163" s="2493"/>
      <c r="BD163" s="2493"/>
      <c r="BE163" s="2493"/>
      <c r="BF163" s="2494"/>
      <c r="BL163" s="1184" t="str">
        <f t="shared" ref="BL163:BL187" si="184">IF($C$10&gt;BF163,"",INDEX(E163:E163&amp;"."&amp;F163:F163&amp;"."&amp;$J$71:$BF$71&amp;"."&amp;G163:G163,MATCH($C$10,$J163:$BF163,1)))</f>
        <v/>
      </c>
    </row>
    <row r="164" spans="1:64" s="1184" customFormat="1" ht="18" customHeight="1" thickBot="1">
      <c r="B164" s="2485"/>
      <c r="C164" s="2486"/>
      <c r="D164" s="2488"/>
      <c r="E164" s="2490"/>
      <c r="F164" s="2490"/>
      <c r="G164" s="2492"/>
      <c r="H164" s="1219">
        <v>500</v>
      </c>
      <c r="I164" s="925">
        <v>550</v>
      </c>
      <c r="J164" s="1082">
        <v>600</v>
      </c>
      <c r="K164" s="1083">
        <v>650</v>
      </c>
      <c r="L164" s="1083">
        <v>700</v>
      </c>
      <c r="M164" s="1083">
        <v>750</v>
      </c>
      <c r="N164" s="1083">
        <v>800</v>
      </c>
      <c r="O164" s="1083">
        <v>850</v>
      </c>
      <c r="P164" s="1083">
        <v>900</v>
      </c>
      <c r="Q164" s="1083">
        <v>950</v>
      </c>
      <c r="R164" s="1083">
        <v>1000</v>
      </c>
      <c r="S164" s="1083">
        <v>1050</v>
      </c>
      <c r="T164" s="1083">
        <v>1100</v>
      </c>
      <c r="U164" s="1083">
        <v>1150</v>
      </c>
      <c r="V164" s="1083">
        <v>1200</v>
      </c>
      <c r="W164" s="1083">
        <v>1250</v>
      </c>
      <c r="X164" s="1083">
        <v>1300</v>
      </c>
      <c r="Y164" s="1083">
        <v>1350</v>
      </c>
      <c r="Z164" s="1083">
        <v>1400</v>
      </c>
      <c r="AA164" s="1083">
        <v>1450</v>
      </c>
      <c r="AB164" s="1083">
        <v>1500</v>
      </c>
      <c r="AC164" s="1083">
        <v>1550</v>
      </c>
      <c r="AD164" s="1083">
        <v>1600</v>
      </c>
      <c r="AE164" s="1083">
        <v>1650</v>
      </c>
      <c r="AF164" s="1083">
        <v>1700</v>
      </c>
      <c r="AG164" s="1083">
        <v>1750</v>
      </c>
      <c r="AH164" s="1083">
        <v>1800</v>
      </c>
      <c r="AI164" s="1083">
        <v>1850</v>
      </c>
      <c r="AJ164" s="1083">
        <v>1900</v>
      </c>
      <c r="AK164" s="1083">
        <v>1950</v>
      </c>
      <c r="AL164" s="1083">
        <v>2000</v>
      </c>
      <c r="AM164" s="1083">
        <v>2050</v>
      </c>
      <c r="AN164" s="1083">
        <v>2100</v>
      </c>
      <c r="AO164" s="1083">
        <v>2150</v>
      </c>
      <c r="AP164" s="1083">
        <v>2200</v>
      </c>
      <c r="AQ164" s="1083">
        <v>2250</v>
      </c>
      <c r="AR164" s="1083">
        <v>2300</v>
      </c>
      <c r="AS164" s="1083">
        <v>2350</v>
      </c>
      <c r="AT164" s="1083">
        <v>2400</v>
      </c>
      <c r="AU164" s="1083">
        <v>2450</v>
      </c>
      <c r="AV164" s="1083">
        <v>2500</v>
      </c>
      <c r="AW164" s="1083">
        <v>2550</v>
      </c>
      <c r="AX164" s="1083">
        <v>2600</v>
      </c>
      <c r="AY164" s="1083">
        <v>2650</v>
      </c>
      <c r="AZ164" s="1083">
        <v>2700</v>
      </c>
      <c r="BA164" s="1083">
        <v>2750</v>
      </c>
      <c r="BB164" s="1083">
        <v>2800</v>
      </c>
      <c r="BC164" s="1083">
        <v>2850</v>
      </c>
      <c r="BD164" s="1083">
        <v>2900</v>
      </c>
      <c r="BE164" s="1083">
        <v>2950</v>
      </c>
      <c r="BF164" s="1084">
        <v>3000</v>
      </c>
      <c r="BL164" s="1184" t="str">
        <f t="shared" si="184"/>
        <v>..1000.</v>
      </c>
    </row>
    <row r="165" spans="1:64" s="1184" customFormat="1">
      <c r="A165" s="2495" t="s">
        <v>4533</v>
      </c>
      <c r="B165" s="2496" t="s">
        <v>5669</v>
      </c>
      <c r="C165" s="2497"/>
      <c r="D165" s="427" t="s">
        <v>4533</v>
      </c>
      <c r="E165" s="469">
        <v>90</v>
      </c>
      <c r="F165" s="469">
        <v>200</v>
      </c>
      <c r="G165" s="427" t="s">
        <v>195</v>
      </c>
      <c r="H165" s="1220">
        <f t="array" ref="H165">((H$71-$H$4)/1000)*$L$44*(($C$8/70)^$X$44)</f>
        <v>72.36</v>
      </c>
      <c r="I165" s="1221">
        <f t="array" ref="I165">((I$71-$H$4)/1000)*$L$44*(($C$8/70)^$X$44)</f>
        <v>96.48</v>
      </c>
      <c r="J165" s="1220">
        <f t="array" ref="J165">((J$71-$H$4)/1000)*$L$44*(($C$8/70)^$X$44)</f>
        <v>120.6</v>
      </c>
      <c r="K165" s="1220">
        <f t="array" ref="K165">((K$71-$H$4)/1000)*$L$44*(($C$8/70)^$X$44)</f>
        <v>144.72</v>
      </c>
      <c r="L165" s="1220">
        <f t="array" ref="L165">((L$71-$H$4)/1000)*$L$44*(($C$8/70)^$X$44)</f>
        <v>168.83999999999997</v>
      </c>
      <c r="M165" s="1220">
        <f t="array" ref="M165">((M$71-$H$4)/1000)*$L$44*(($C$8/70)^$X$44)</f>
        <v>192.96</v>
      </c>
      <c r="N165" s="1220">
        <f t="array" ref="N165">((N$71-$H$4)/1000)*$L$44*(($C$8/70)^$X$44)</f>
        <v>217.07999999999998</v>
      </c>
      <c r="O165" s="1220">
        <f t="array" ref="O165">((O$71-$H$4)/1000)*$L$44*(($C$8/70)^$X$44)</f>
        <v>241.2</v>
      </c>
      <c r="P165" s="1220">
        <f t="array" ref="P165">((P$71-$H$4)/1000)*$L$44*(($C$8/70)^$X$44)</f>
        <v>265.32</v>
      </c>
      <c r="Q165" s="1220">
        <f t="array" ref="Q165">((Q$71-$H$4)/1000)*$L$44*(($C$8/70)^$X$44)</f>
        <v>289.44</v>
      </c>
      <c r="R165" s="1220">
        <f t="array" ref="R165">((R$71-$H$4)/1000)*$L$44*(($C$8/70)^$X$44)</f>
        <v>313.56</v>
      </c>
      <c r="S165" s="1220">
        <f t="array" ref="S165">((S$71-$H$4)/1000)*$L$44*(($C$8/70)^$X$44)</f>
        <v>337.67999999999995</v>
      </c>
      <c r="T165" s="1220">
        <f t="array" ref="T165">((T$71-$H$4)/1000)*$L$44*(($C$8/70)^$X$44)</f>
        <v>361.79999999999995</v>
      </c>
      <c r="U165" s="1220">
        <f t="array" ref="U165">((U$71-$H$4)/1000)*$L$44*(($C$8/70)^$X$44)</f>
        <v>385.92</v>
      </c>
      <c r="V165" s="1220">
        <f t="array" ref="V165">((V$71-$H$4)/1000)*$L$44*(($C$8/70)^$X$44)</f>
        <v>410.03999999999996</v>
      </c>
      <c r="W165" s="1220">
        <f t="array" ref="W165">((W$71-$H$4)/1000)*$L$44*(($C$8/70)^$X$44)</f>
        <v>434.15999999999997</v>
      </c>
      <c r="X165" s="1220">
        <f t="array" ref="X165">((X$71-$H$4)/1000)*$L$44*(($C$8/70)^$X$44)</f>
        <v>458.28</v>
      </c>
      <c r="Y165" s="1220">
        <f t="array" ref="Y165">((Y$71-$H$4)/1000)*$L$44*(($C$8/70)^$X$44)</f>
        <v>482.4</v>
      </c>
      <c r="Z165" s="1220">
        <f t="array" ref="Z165">((Z$71-$H$4)/1000)*$L$44*(($C$8/70)^$X$44)</f>
        <v>506.52</v>
      </c>
      <c r="AA165" s="1220">
        <f t="array" ref="AA165">((AA$71-$H$4)/1000)*$L$44*(($C$8/70)^$X$44)</f>
        <v>530.64</v>
      </c>
      <c r="AB165" s="1220">
        <f t="array" ref="AB165">((AB$71-$H$4)/1000)*$L$44*(($C$8/70)^$X$44)</f>
        <v>554.75999999999988</v>
      </c>
      <c r="AC165" s="1220">
        <f t="array" ref="AC165">((AC$71-$H$4)/1000)*$L$44*(($C$8/70)^$X$44)</f>
        <v>578.88</v>
      </c>
      <c r="AD165" s="1220">
        <f t="array" ref="AD165">((AD$71-$H$4)/1000)*$L$44*(($C$8/70)^$X$44)</f>
        <v>603</v>
      </c>
      <c r="AE165" s="1220">
        <f t="array" ref="AE165">((AE$71-$H$4)/1000)*$L$44*(($C$8/70)^$X$44)</f>
        <v>627.12</v>
      </c>
      <c r="AF165" s="1220">
        <f t="array" ref="AF165">((AF$71-$H$4)/1000)*$L$44*(($C$8/70)^$X$44)</f>
        <v>651.24</v>
      </c>
      <c r="AG165" s="1220">
        <f t="array" ref="AG165">((AG$71-$H$4)/1000)*$L$44*(($C$8/70)^$X$44)</f>
        <v>675.3599999999999</v>
      </c>
      <c r="AH165" s="1220">
        <f t="array" ref="AH165">((AH$71-$H$4)/1000)*$L$44*(($C$8/70)^$X$44)</f>
        <v>699.4799999999999</v>
      </c>
      <c r="AI165" s="1220">
        <f t="array" ref="AI165">((AI$71-$H$4)/1000)*$L$44*(($C$8/70)^$X$44)</f>
        <v>723.59999999999991</v>
      </c>
      <c r="AJ165" s="1220">
        <f t="array" ref="AJ165">((AJ$71-$H$4)/1000)*$L$44*(($C$8/70)^$X$44)</f>
        <v>747.72</v>
      </c>
      <c r="AK165" s="1220">
        <f t="array" ref="AK165">((AK$71-$H$4)/1000)*$L$44*(($C$8/70)^$X$44)</f>
        <v>771.84</v>
      </c>
      <c r="AL165" s="1220">
        <f t="array" ref="AL165">((AL$71-$H$4)/1000)*$L$44*(($C$8/70)^$X$44)</f>
        <v>795.95999999999992</v>
      </c>
      <c r="AM165" s="1220">
        <f t="array" ref="AM165">((AM$71-$H$4)/1000)*$L$44*(($C$8/70)^$X$44)</f>
        <v>820.07999999999993</v>
      </c>
      <c r="AN165" s="1220">
        <f t="array" ref="AN165">((AN$71-$H$4)/1000)*$L$44*(($C$8/70)^$X$44)</f>
        <v>844.19999999999993</v>
      </c>
      <c r="AO165" s="1220">
        <f t="array" ref="AO165">((AO$71-$H$4)/1000)*$L$44*(($C$8/70)^$X$44)</f>
        <v>868.31999999999994</v>
      </c>
      <c r="AP165" s="1220">
        <f t="array" ref="AP165">((AP$71-$H$4)/1000)*$L$44*(($C$8/70)^$X$44)</f>
        <v>892.44</v>
      </c>
      <c r="AQ165" s="1220">
        <f t="array" ref="AQ165">((AQ$71-$H$4)/1000)*$L$44*(($C$8/70)^$X$44)</f>
        <v>916.56</v>
      </c>
      <c r="AR165" s="1220">
        <f t="array" ref="AR165">((AR$71-$H$4)/1000)*$L$44*(($C$8/70)^$X$44)</f>
        <v>940.68</v>
      </c>
      <c r="AS165" s="1220">
        <f t="array" ref="AS165">((AS$71-$H$4)/1000)*$L$44*(($C$8/70)^$X$44)</f>
        <v>964.8</v>
      </c>
      <c r="AT165" s="1220">
        <f t="array" ref="AT165">((AT$71-$H$4)/1000)*$L$44*(($C$8/70)^$X$44)</f>
        <v>988.91999999999985</v>
      </c>
      <c r="AU165" s="1220">
        <f t="array" ref="AU165">((AU$71-$H$4)/1000)*$L$44*(($C$8/70)^$X$44)</f>
        <v>1013.04</v>
      </c>
      <c r="AV165" s="1220">
        <f t="array" ref="AV165">((AV$71-$H$4)/1000)*$L$44*(($C$8/70)^$X$44)</f>
        <v>1037.1599999999999</v>
      </c>
      <c r="AW165" s="1220">
        <f t="array" ref="AW165">((AW$71-$H$4)/1000)*$L$44*(($C$8/70)^$X$44)</f>
        <v>1061.28</v>
      </c>
      <c r="AX165" s="1220">
        <f t="array" ref="AX165">((AX$71-$H$4)/1000)*$L$44*(($C$8/70)^$X$44)</f>
        <v>1085.3999999999999</v>
      </c>
      <c r="AY165" s="1220">
        <f t="array" ref="AY165">((AY$71-$H$4)/1000)*$L$44*(($C$8/70)^$X$44)</f>
        <v>1109.5199999999998</v>
      </c>
      <c r="AZ165" s="1220">
        <f t="array" ref="AZ165">((AZ$71-$H$4)/1000)*$L$44*(($C$8/70)^$X$44)</f>
        <v>1133.6400000000001</v>
      </c>
      <c r="BA165" s="1220">
        <f t="array" ref="BA165">((BA$71-$H$4)/1000)*$L$44*(($C$8/70)^$X$44)</f>
        <v>1157.76</v>
      </c>
      <c r="BB165" s="1220">
        <f t="array" ref="BB165">((BB$71-$H$4)/1000)*$L$44*(($C$8/70)^$X$44)</f>
        <v>1181.8800000000001</v>
      </c>
      <c r="BC165" s="1220">
        <f t="array" ref="BC165">((BC$71-$H$4)/1000)*$L$44*(($C$8/70)^$X$44)</f>
        <v>1206</v>
      </c>
      <c r="BD165" s="1220">
        <f t="array" ref="BD165">((BD$71-$H$4)/1000)*$L$44*(($C$8/70)^$X$44)</f>
        <v>1230.1199999999999</v>
      </c>
      <c r="BE165" s="1220">
        <f t="array" ref="BE165">((BE$71-$H$4)/1000)*$L$44*(($C$8/70)^$X$44)</f>
        <v>1254.24</v>
      </c>
      <c r="BF165" s="1048">
        <f t="array" ref="BF165">((BF$71-$H$4)/1000)*$L$44*(($C$8/70)^$X$44)</f>
        <v>1278.3599999999999</v>
      </c>
      <c r="BG165" s="1184" t="str">
        <f t="array" ref="BG165">INDEX(E165:E165&amp;"."&amp;F165:F165&amp;"."&amp;$J$71:$BF$71&amp;"."&amp;G165:G165,IFERROR(MATCH($C$10,$J165:$BF165),0))</f>
        <v>90.200.2400.2ТГ</v>
      </c>
      <c r="BL165" s="1184" t="str">
        <f t="shared" si="184"/>
        <v>90.200.2400.2ТГ</v>
      </c>
    </row>
    <row r="166" spans="1:64" s="1184" customFormat="1">
      <c r="A166" s="2495"/>
      <c r="B166" s="2498" t="s">
        <v>5670</v>
      </c>
      <c r="C166" s="2499"/>
      <c r="D166" s="428" t="s">
        <v>4533</v>
      </c>
      <c r="E166" s="470">
        <v>90</v>
      </c>
      <c r="F166" s="470">
        <v>260</v>
      </c>
      <c r="G166" s="428" t="s">
        <v>195</v>
      </c>
      <c r="H166" s="1222">
        <f t="shared" ref="H166:BF166" si="185">((H$71-$H$4)/1000)*$M$44*(($C$8/70)^$Y$44)</f>
        <v>95.903999999999982</v>
      </c>
      <c r="I166" s="1223">
        <f t="shared" si="185"/>
        <v>127.87199999999999</v>
      </c>
      <c r="J166" s="1222">
        <f t="shared" si="185"/>
        <v>159.83999999999997</v>
      </c>
      <c r="K166" s="1222">
        <f t="shared" si="185"/>
        <v>191.80799999999996</v>
      </c>
      <c r="L166" s="1222">
        <f t="shared" si="185"/>
        <v>223.77599999999995</v>
      </c>
      <c r="M166" s="1222">
        <f t="shared" si="185"/>
        <v>255.74399999999997</v>
      </c>
      <c r="N166" s="1222">
        <f t="shared" si="185"/>
        <v>287.71199999999999</v>
      </c>
      <c r="O166" s="1222">
        <f t="shared" si="185"/>
        <v>319.67999999999995</v>
      </c>
      <c r="P166" s="1222">
        <f t="shared" si="185"/>
        <v>351.64799999999997</v>
      </c>
      <c r="Q166" s="1222">
        <f t="shared" si="185"/>
        <v>383.61599999999993</v>
      </c>
      <c r="R166" s="1222">
        <f t="shared" si="185"/>
        <v>415.58399999999995</v>
      </c>
      <c r="S166" s="1222">
        <f t="shared" si="185"/>
        <v>447.55199999999991</v>
      </c>
      <c r="T166" s="1222">
        <f t="shared" si="185"/>
        <v>479.51999999999992</v>
      </c>
      <c r="U166" s="1222">
        <f t="shared" si="185"/>
        <v>511.48799999999994</v>
      </c>
      <c r="V166" s="1222">
        <f t="shared" si="185"/>
        <v>543.4559999999999</v>
      </c>
      <c r="W166" s="1222">
        <f t="shared" si="185"/>
        <v>575.42399999999998</v>
      </c>
      <c r="X166" s="1222">
        <f t="shared" si="185"/>
        <v>607.39199999999983</v>
      </c>
      <c r="Y166" s="1222">
        <f t="shared" si="185"/>
        <v>639.3599999999999</v>
      </c>
      <c r="Z166" s="1222">
        <f t="shared" si="185"/>
        <v>671.32799999999997</v>
      </c>
      <c r="AA166" s="1222">
        <f t="shared" si="185"/>
        <v>703.29599999999994</v>
      </c>
      <c r="AB166" s="1222">
        <f t="shared" si="185"/>
        <v>735.26399999999978</v>
      </c>
      <c r="AC166" s="1222">
        <f t="shared" si="185"/>
        <v>767.23199999999986</v>
      </c>
      <c r="AD166" s="1222">
        <f t="shared" si="185"/>
        <v>799.19999999999982</v>
      </c>
      <c r="AE166" s="1222">
        <f t="shared" si="185"/>
        <v>831.16799999999989</v>
      </c>
      <c r="AF166" s="1222">
        <f t="shared" si="185"/>
        <v>863.13599999999997</v>
      </c>
      <c r="AG166" s="1222">
        <f t="shared" si="185"/>
        <v>895.10399999999981</v>
      </c>
      <c r="AH166" s="1222">
        <f t="shared" si="185"/>
        <v>927.07199999999978</v>
      </c>
      <c r="AI166" s="1222">
        <f t="shared" si="185"/>
        <v>959.03999999999985</v>
      </c>
      <c r="AJ166" s="1222">
        <f t="shared" si="185"/>
        <v>991.00799999999992</v>
      </c>
      <c r="AK166" s="1222">
        <f t="shared" si="185"/>
        <v>1022.9759999999999</v>
      </c>
      <c r="AL166" s="1222">
        <f t="shared" si="185"/>
        <v>1054.9439999999997</v>
      </c>
      <c r="AM166" s="1222">
        <f t="shared" si="185"/>
        <v>1086.9119999999998</v>
      </c>
      <c r="AN166" s="1222">
        <f t="shared" si="185"/>
        <v>1118.8799999999999</v>
      </c>
      <c r="AO166" s="1222">
        <f t="shared" si="185"/>
        <v>1150.848</v>
      </c>
      <c r="AP166" s="1222">
        <f t="shared" si="185"/>
        <v>1182.8159999999998</v>
      </c>
      <c r="AQ166" s="1222">
        <f t="shared" si="185"/>
        <v>1214.7839999999997</v>
      </c>
      <c r="AR166" s="1222">
        <f t="shared" si="185"/>
        <v>1246.7519999999997</v>
      </c>
      <c r="AS166" s="1222">
        <f t="shared" si="185"/>
        <v>1278.7199999999998</v>
      </c>
      <c r="AT166" s="1222">
        <f t="shared" si="185"/>
        <v>1310.6879999999996</v>
      </c>
      <c r="AU166" s="1222">
        <f t="shared" si="185"/>
        <v>1342.6559999999999</v>
      </c>
      <c r="AV166" s="1222">
        <f t="shared" si="185"/>
        <v>1374.6239999999998</v>
      </c>
      <c r="AW166" s="1222">
        <f t="shared" si="185"/>
        <v>1406.5919999999999</v>
      </c>
      <c r="AX166" s="1222">
        <f t="shared" si="185"/>
        <v>1438.5599999999997</v>
      </c>
      <c r="AY166" s="1222">
        <f t="shared" si="185"/>
        <v>1470.5279999999996</v>
      </c>
      <c r="AZ166" s="1222">
        <f t="shared" si="185"/>
        <v>1502.4959999999999</v>
      </c>
      <c r="BA166" s="1222">
        <f t="shared" si="185"/>
        <v>1534.4639999999997</v>
      </c>
      <c r="BB166" s="1222">
        <f t="shared" si="185"/>
        <v>1566.4319999999998</v>
      </c>
      <c r="BC166" s="1222">
        <f t="shared" si="185"/>
        <v>1598.3999999999996</v>
      </c>
      <c r="BD166" s="1222">
        <f t="shared" si="185"/>
        <v>1630.3679999999997</v>
      </c>
      <c r="BE166" s="1222">
        <f t="shared" si="185"/>
        <v>1662.3359999999998</v>
      </c>
      <c r="BF166" s="1049">
        <f t="shared" si="185"/>
        <v>1694.3039999999996</v>
      </c>
      <c r="BG166" s="1184" t="str">
        <f t="array" ref="BG166">INDEX(E166:E166&amp;"."&amp;F166:F166&amp;"."&amp;$J$71:$BF$71&amp;"."&amp;G166:G166,IFERROR(MATCH($C$10,$J166:$BF166),0))</f>
        <v>90.260.1900.2ТГ</v>
      </c>
      <c r="BL166" s="1184" t="str">
        <f t="shared" si="184"/>
        <v>90.260.1900.2ТГ</v>
      </c>
    </row>
    <row r="167" spans="1:64" s="1184" customFormat="1">
      <c r="A167" s="2495"/>
      <c r="B167" s="2498" t="s">
        <v>5671</v>
      </c>
      <c r="C167" s="2499"/>
      <c r="D167" s="428" t="s">
        <v>4533</v>
      </c>
      <c r="E167" s="470">
        <v>90</v>
      </c>
      <c r="F167" s="470">
        <v>300</v>
      </c>
      <c r="G167" s="428" t="s">
        <v>195</v>
      </c>
      <c r="H167" s="1222">
        <f t="shared" ref="H167:BF167" si="186">((H$71-$H$4)/1000)*$N$44*(($C$8/70)^$Z$44)</f>
        <v>107.72105975135999</v>
      </c>
      <c r="I167" s="1223">
        <f t="shared" si="186"/>
        <v>143.62807966848001</v>
      </c>
      <c r="J167" s="1222">
        <f t="shared" si="186"/>
        <v>179.53509958559999</v>
      </c>
      <c r="K167" s="1222">
        <f t="shared" si="186"/>
        <v>215.44211950271998</v>
      </c>
      <c r="L167" s="1222">
        <f t="shared" si="186"/>
        <v>251.34913941983999</v>
      </c>
      <c r="M167" s="1222">
        <f t="shared" si="186"/>
        <v>287.25615933696002</v>
      </c>
      <c r="N167" s="1222">
        <f t="shared" si="186"/>
        <v>323.16317925407998</v>
      </c>
      <c r="O167" s="1222">
        <f t="shared" si="186"/>
        <v>359.07019917119999</v>
      </c>
      <c r="P167" s="1222">
        <f t="shared" si="186"/>
        <v>394.97721908832</v>
      </c>
      <c r="Q167" s="1222">
        <f t="shared" si="186"/>
        <v>430.88423900543995</v>
      </c>
      <c r="R167" s="1222">
        <f t="shared" si="186"/>
        <v>466.79125892256002</v>
      </c>
      <c r="S167" s="1222">
        <f t="shared" si="186"/>
        <v>502.69827883967997</v>
      </c>
      <c r="T167" s="1222">
        <f t="shared" si="186"/>
        <v>538.60529875680004</v>
      </c>
      <c r="U167" s="1222">
        <f t="shared" si="186"/>
        <v>574.51231867392005</v>
      </c>
      <c r="V167" s="1222">
        <f t="shared" si="186"/>
        <v>610.41933859103995</v>
      </c>
      <c r="W167" s="1222">
        <f t="shared" si="186"/>
        <v>646.32635850815996</v>
      </c>
      <c r="X167" s="1222">
        <f t="shared" si="186"/>
        <v>682.23337842527997</v>
      </c>
      <c r="Y167" s="1222">
        <f t="shared" si="186"/>
        <v>718.14039834239998</v>
      </c>
      <c r="Z167" s="1222">
        <f t="shared" si="186"/>
        <v>754.04741825951999</v>
      </c>
      <c r="AA167" s="1222">
        <f t="shared" si="186"/>
        <v>789.95443817664</v>
      </c>
      <c r="AB167" s="1222">
        <f t="shared" si="186"/>
        <v>825.86145809375989</v>
      </c>
      <c r="AC167" s="1222">
        <f t="shared" si="186"/>
        <v>861.7684780108799</v>
      </c>
      <c r="AD167" s="1222">
        <f t="shared" si="186"/>
        <v>897.67549792799991</v>
      </c>
      <c r="AE167" s="1222">
        <f t="shared" si="186"/>
        <v>933.58251784512004</v>
      </c>
      <c r="AF167" s="1222">
        <f t="shared" si="186"/>
        <v>969.48953776224005</v>
      </c>
      <c r="AG167" s="1222">
        <f t="shared" si="186"/>
        <v>1005.3965576793599</v>
      </c>
      <c r="AH167" s="1222">
        <f t="shared" si="186"/>
        <v>1041.30357759648</v>
      </c>
      <c r="AI167" s="1222">
        <f t="shared" si="186"/>
        <v>1077.2105975136001</v>
      </c>
      <c r="AJ167" s="1222">
        <f t="shared" si="186"/>
        <v>1113.11761743072</v>
      </c>
      <c r="AK167" s="1222">
        <f t="shared" si="186"/>
        <v>1149.0246373478401</v>
      </c>
      <c r="AL167" s="1222">
        <f t="shared" si="186"/>
        <v>1184.93165726496</v>
      </c>
      <c r="AM167" s="1222">
        <f t="shared" si="186"/>
        <v>1220.8386771820799</v>
      </c>
      <c r="AN167" s="1222">
        <f t="shared" si="186"/>
        <v>1256.7456970992</v>
      </c>
      <c r="AO167" s="1222">
        <f t="shared" si="186"/>
        <v>1292.6527170163199</v>
      </c>
      <c r="AP167" s="1222">
        <f t="shared" si="186"/>
        <v>1328.55973693344</v>
      </c>
      <c r="AQ167" s="1222">
        <f t="shared" si="186"/>
        <v>1364.4667568505599</v>
      </c>
      <c r="AR167" s="1222">
        <f t="shared" si="186"/>
        <v>1400.3737767676798</v>
      </c>
      <c r="AS167" s="1222">
        <f t="shared" si="186"/>
        <v>1436.2807966848</v>
      </c>
      <c r="AT167" s="1222">
        <f t="shared" si="186"/>
        <v>1472.1878166019198</v>
      </c>
      <c r="AU167" s="1222">
        <f t="shared" si="186"/>
        <v>1508.09483651904</v>
      </c>
      <c r="AV167" s="1222">
        <f t="shared" si="186"/>
        <v>1544.0018564361599</v>
      </c>
      <c r="AW167" s="1222">
        <f t="shared" si="186"/>
        <v>1579.90887635328</v>
      </c>
      <c r="AX167" s="1222">
        <f t="shared" si="186"/>
        <v>1615.8158962703999</v>
      </c>
      <c r="AY167" s="1222">
        <f t="shared" si="186"/>
        <v>1651.7229161875198</v>
      </c>
      <c r="AZ167" s="1222">
        <f t="shared" si="186"/>
        <v>1687.6299361046399</v>
      </c>
      <c r="BA167" s="1222">
        <f t="shared" si="186"/>
        <v>1723.5369560217598</v>
      </c>
      <c r="BB167" s="1222">
        <f t="shared" si="186"/>
        <v>1759.4439759388802</v>
      </c>
      <c r="BC167" s="1222">
        <f t="shared" si="186"/>
        <v>1795.3509958559998</v>
      </c>
      <c r="BD167" s="1222">
        <f t="shared" si="186"/>
        <v>1831.2580157731197</v>
      </c>
      <c r="BE167" s="1222">
        <f t="shared" si="186"/>
        <v>1867.1650356902401</v>
      </c>
      <c r="BF167" s="1049">
        <f t="shared" si="186"/>
        <v>1903.07205560736</v>
      </c>
      <c r="BG167" s="1184" t="str">
        <f t="array" ref="BG167">INDEX(E167:E167&amp;"."&amp;F167:F167&amp;"."&amp;$J$71:$BF$71&amp;"."&amp;G167:G167,IFERROR(MATCH($C$10,$J167:$BF167),0))</f>
        <v>90.300.1700.2ТГ</v>
      </c>
      <c r="BL167" s="1184" t="str">
        <f t="shared" si="184"/>
        <v>90.300.1700.2ТГ</v>
      </c>
    </row>
    <row r="168" spans="1:64" s="1184" customFormat="1">
      <c r="A168" s="2495"/>
      <c r="B168" s="2498" t="s">
        <v>5672</v>
      </c>
      <c r="C168" s="2499"/>
      <c r="D168" s="428" t="s">
        <v>4533</v>
      </c>
      <c r="E168" s="470">
        <v>90</v>
      </c>
      <c r="F168" s="470">
        <v>360</v>
      </c>
      <c r="G168" s="428" t="s">
        <v>195</v>
      </c>
      <c r="H168" s="1222">
        <f t="shared" ref="H168:BF168" si="187">((H$71-$H$4)/1000)*$P$44*(($C$8/70)^$AB$44)</f>
        <v>125.76891599999999</v>
      </c>
      <c r="I168" s="1223">
        <f t="shared" si="187"/>
        <v>167.69188800000001</v>
      </c>
      <c r="J168" s="1222">
        <f t="shared" si="187"/>
        <v>209.61485999999999</v>
      </c>
      <c r="K168" s="1222">
        <f t="shared" si="187"/>
        <v>251.53783199999998</v>
      </c>
      <c r="L168" s="1222">
        <f t="shared" si="187"/>
        <v>293.460804</v>
      </c>
      <c r="M168" s="1222">
        <f t="shared" si="187"/>
        <v>335.38377600000001</v>
      </c>
      <c r="N168" s="1222">
        <f t="shared" si="187"/>
        <v>377.30674799999997</v>
      </c>
      <c r="O168" s="1222">
        <f t="shared" si="187"/>
        <v>419.22971999999999</v>
      </c>
      <c r="P168" s="1222">
        <f t="shared" si="187"/>
        <v>461.152692</v>
      </c>
      <c r="Q168" s="1222">
        <f t="shared" si="187"/>
        <v>503.07566399999996</v>
      </c>
      <c r="R168" s="1222">
        <f t="shared" si="187"/>
        <v>544.99863600000003</v>
      </c>
      <c r="S168" s="1222">
        <f t="shared" si="187"/>
        <v>586.92160799999999</v>
      </c>
      <c r="T168" s="1222">
        <f t="shared" si="187"/>
        <v>628.84457999999995</v>
      </c>
      <c r="U168" s="1222">
        <f t="shared" si="187"/>
        <v>670.76755200000002</v>
      </c>
      <c r="V168" s="1222">
        <f t="shared" si="187"/>
        <v>712.69052399999998</v>
      </c>
      <c r="W168" s="1222">
        <f t="shared" si="187"/>
        <v>754.61349599999994</v>
      </c>
      <c r="X168" s="1222">
        <f t="shared" si="187"/>
        <v>796.5364679999999</v>
      </c>
      <c r="Y168" s="1222">
        <f t="shared" si="187"/>
        <v>838.45943999999997</v>
      </c>
      <c r="Z168" s="1222">
        <f t="shared" si="187"/>
        <v>880.38241200000004</v>
      </c>
      <c r="AA168" s="1222">
        <f t="shared" si="187"/>
        <v>922.305384</v>
      </c>
      <c r="AB168" s="1222">
        <f t="shared" si="187"/>
        <v>964.22835599999985</v>
      </c>
      <c r="AC168" s="1222">
        <f t="shared" si="187"/>
        <v>1006.1513279999999</v>
      </c>
      <c r="AD168" s="1222">
        <f t="shared" si="187"/>
        <v>1048.0743</v>
      </c>
      <c r="AE168" s="1222">
        <f t="shared" si="187"/>
        <v>1089.9972720000001</v>
      </c>
      <c r="AF168" s="1222">
        <f t="shared" si="187"/>
        <v>1131.9202440000001</v>
      </c>
      <c r="AG168" s="1222">
        <f t="shared" si="187"/>
        <v>1173.843216</v>
      </c>
      <c r="AH168" s="1222">
        <f t="shared" si="187"/>
        <v>1215.7661879999998</v>
      </c>
      <c r="AI168" s="1222">
        <f t="shared" si="187"/>
        <v>1257.6891599999999</v>
      </c>
      <c r="AJ168" s="1222">
        <f t="shared" si="187"/>
        <v>1299.612132</v>
      </c>
      <c r="AK168" s="1222">
        <f t="shared" si="187"/>
        <v>1341.535104</v>
      </c>
      <c r="AL168" s="1222">
        <f t="shared" si="187"/>
        <v>1383.4580759999999</v>
      </c>
      <c r="AM168" s="1222">
        <f t="shared" si="187"/>
        <v>1425.381048</v>
      </c>
      <c r="AN168" s="1222">
        <f t="shared" si="187"/>
        <v>1467.30402</v>
      </c>
      <c r="AO168" s="1222">
        <f t="shared" si="187"/>
        <v>1509.2269919999999</v>
      </c>
      <c r="AP168" s="1222">
        <f t="shared" si="187"/>
        <v>1551.149964</v>
      </c>
      <c r="AQ168" s="1222">
        <f t="shared" si="187"/>
        <v>1593.0729359999998</v>
      </c>
      <c r="AR168" s="1222">
        <f t="shared" si="187"/>
        <v>1634.9959079999999</v>
      </c>
      <c r="AS168" s="1222">
        <f t="shared" si="187"/>
        <v>1676.9188799999999</v>
      </c>
      <c r="AT168" s="1222">
        <f t="shared" si="187"/>
        <v>1718.8418519999998</v>
      </c>
      <c r="AU168" s="1222">
        <f t="shared" si="187"/>
        <v>1760.7648240000001</v>
      </c>
      <c r="AV168" s="1222">
        <f t="shared" si="187"/>
        <v>1802.6877959999999</v>
      </c>
      <c r="AW168" s="1222">
        <f t="shared" si="187"/>
        <v>1844.610768</v>
      </c>
      <c r="AX168" s="1222">
        <f t="shared" si="187"/>
        <v>1886.5337399999999</v>
      </c>
      <c r="AY168" s="1222">
        <f t="shared" si="187"/>
        <v>1928.4567119999997</v>
      </c>
      <c r="AZ168" s="1222">
        <f t="shared" si="187"/>
        <v>1970.379684</v>
      </c>
      <c r="BA168" s="1222">
        <f t="shared" si="187"/>
        <v>2012.3026559999998</v>
      </c>
      <c r="BB168" s="1222">
        <f t="shared" si="187"/>
        <v>2054.2256280000001</v>
      </c>
      <c r="BC168" s="1222">
        <f t="shared" si="187"/>
        <v>2096.1486</v>
      </c>
      <c r="BD168" s="1222">
        <f t="shared" si="187"/>
        <v>2138.0715719999998</v>
      </c>
      <c r="BE168" s="1222">
        <f t="shared" si="187"/>
        <v>2179.9945440000001</v>
      </c>
      <c r="BF168" s="1049">
        <f t="shared" si="187"/>
        <v>2221.917516</v>
      </c>
      <c r="BG168" s="1184" t="str">
        <f t="array" ref="BG168">INDEX(E168:E168&amp;"."&amp;F168:F168&amp;"."&amp;$J$71:$BF$71&amp;"."&amp;G168:G168,IFERROR(MATCH($C$10,$J168:$BF168),0))</f>
        <v>90.360.1500.2ТГ</v>
      </c>
      <c r="BL168" s="1184" t="str">
        <f t="shared" si="184"/>
        <v>90.360.1500.2ТГ</v>
      </c>
    </row>
    <row r="169" spans="1:64" s="1184" customFormat="1">
      <c r="A169" s="2495"/>
      <c r="B169" s="2498" t="s">
        <v>5673</v>
      </c>
      <c r="C169" s="2499"/>
      <c r="D169" s="428" t="s">
        <v>4533</v>
      </c>
      <c r="E169" s="470">
        <v>90</v>
      </c>
      <c r="F169" s="470">
        <v>360</v>
      </c>
      <c r="G169" s="428" t="s">
        <v>200</v>
      </c>
      <c r="H169" s="1222">
        <f t="shared" ref="H169:BF169" si="188">((H$71-$H$4)/1000)*$Q$44*(($C$8/70)^$AC$44)</f>
        <v>138.20759999999999</v>
      </c>
      <c r="I169" s="1223">
        <f t="shared" si="188"/>
        <v>184.27679999999998</v>
      </c>
      <c r="J169" s="1222">
        <f t="shared" si="188"/>
        <v>230.34599999999998</v>
      </c>
      <c r="K169" s="1222">
        <f t="shared" si="188"/>
        <v>276.41519999999997</v>
      </c>
      <c r="L169" s="1222">
        <f t="shared" si="188"/>
        <v>322.48439999999994</v>
      </c>
      <c r="M169" s="1222">
        <f t="shared" si="188"/>
        <v>368.55359999999996</v>
      </c>
      <c r="N169" s="1222">
        <f t="shared" si="188"/>
        <v>414.62279999999998</v>
      </c>
      <c r="O169" s="1222">
        <f t="shared" si="188"/>
        <v>460.69199999999995</v>
      </c>
      <c r="P169" s="1222">
        <f t="shared" si="188"/>
        <v>506.76119999999997</v>
      </c>
      <c r="Q169" s="1222">
        <f t="shared" si="188"/>
        <v>552.83039999999994</v>
      </c>
      <c r="R169" s="1222">
        <f t="shared" si="188"/>
        <v>598.89959999999996</v>
      </c>
      <c r="S169" s="1222">
        <f t="shared" si="188"/>
        <v>644.96879999999987</v>
      </c>
      <c r="T169" s="1222">
        <f t="shared" si="188"/>
        <v>691.0379999999999</v>
      </c>
      <c r="U169" s="1222">
        <f t="shared" si="188"/>
        <v>737.10719999999992</v>
      </c>
      <c r="V169" s="1222">
        <f t="shared" si="188"/>
        <v>783.17639999999994</v>
      </c>
      <c r="W169" s="1222">
        <f t="shared" si="188"/>
        <v>829.24559999999997</v>
      </c>
      <c r="X169" s="1222">
        <f t="shared" si="188"/>
        <v>875.31479999999988</v>
      </c>
      <c r="Y169" s="1222">
        <f t="shared" si="188"/>
        <v>921.3839999999999</v>
      </c>
      <c r="Z169" s="1222">
        <f t="shared" si="188"/>
        <v>967.45319999999992</v>
      </c>
      <c r="AA169" s="1222">
        <f t="shared" si="188"/>
        <v>1013.5223999999999</v>
      </c>
      <c r="AB169" s="1222">
        <f t="shared" si="188"/>
        <v>1059.5915999999997</v>
      </c>
      <c r="AC169" s="1222">
        <f t="shared" si="188"/>
        <v>1105.6607999999999</v>
      </c>
      <c r="AD169" s="1222">
        <f t="shared" si="188"/>
        <v>1151.7299999999998</v>
      </c>
      <c r="AE169" s="1222">
        <f t="shared" si="188"/>
        <v>1197.7991999999999</v>
      </c>
      <c r="AF169" s="1222">
        <f t="shared" si="188"/>
        <v>1243.8683999999998</v>
      </c>
      <c r="AG169" s="1222">
        <f t="shared" si="188"/>
        <v>1289.9375999999997</v>
      </c>
      <c r="AH169" s="1222">
        <f t="shared" si="188"/>
        <v>1336.0067999999999</v>
      </c>
      <c r="AI169" s="1222">
        <f t="shared" si="188"/>
        <v>1382.0759999999998</v>
      </c>
      <c r="AJ169" s="1222">
        <f t="shared" si="188"/>
        <v>1428.1451999999999</v>
      </c>
      <c r="AK169" s="1222">
        <f t="shared" si="188"/>
        <v>1474.2143999999998</v>
      </c>
      <c r="AL169" s="1222">
        <f t="shared" si="188"/>
        <v>1520.2835999999998</v>
      </c>
      <c r="AM169" s="1222">
        <f t="shared" si="188"/>
        <v>1566.3527999999999</v>
      </c>
      <c r="AN169" s="1222">
        <f t="shared" si="188"/>
        <v>1612.4219999999998</v>
      </c>
      <c r="AO169" s="1222">
        <f t="shared" si="188"/>
        <v>1658.4911999999999</v>
      </c>
      <c r="AP169" s="1222">
        <f t="shared" si="188"/>
        <v>1704.5603999999998</v>
      </c>
      <c r="AQ169" s="1222">
        <f t="shared" si="188"/>
        <v>1750.6295999999998</v>
      </c>
      <c r="AR169" s="1222">
        <f t="shared" si="188"/>
        <v>1796.6987999999997</v>
      </c>
      <c r="AS169" s="1222">
        <f t="shared" si="188"/>
        <v>1842.7679999999998</v>
      </c>
      <c r="AT169" s="1222">
        <f t="shared" si="188"/>
        <v>1888.8371999999997</v>
      </c>
      <c r="AU169" s="1222">
        <f t="shared" si="188"/>
        <v>1934.9063999999998</v>
      </c>
      <c r="AV169" s="1222">
        <f t="shared" si="188"/>
        <v>1980.9755999999998</v>
      </c>
      <c r="AW169" s="1222">
        <f t="shared" si="188"/>
        <v>2027.0447999999999</v>
      </c>
      <c r="AX169" s="1222">
        <f t="shared" si="188"/>
        <v>2073.1139999999996</v>
      </c>
      <c r="AY169" s="1222">
        <f t="shared" si="188"/>
        <v>2119.1831999999995</v>
      </c>
      <c r="AZ169" s="1222">
        <f t="shared" si="188"/>
        <v>2165.2523999999999</v>
      </c>
      <c r="BA169" s="1222">
        <f t="shared" si="188"/>
        <v>2211.3215999999998</v>
      </c>
      <c r="BB169" s="1222">
        <f t="shared" si="188"/>
        <v>2257.3908000000001</v>
      </c>
      <c r="BC169" s="1222">
        <f t="shared" si="188"/>
        <v>2303.4599999999996</v>
      </c>
      <c r="BD169" s="1222">
        <f t="shared" si="188"/>
        <v>2349.5291999999995</v>
      </c>
      <c r="BE169" s="1222">
        <f t="shared" si="188"/>
        <v>2395.5983999999999</v>
      </c>
      <c r="BF169" s="1049">
        <f t="shared" si="188"/>
        <v>2441.6675999999998</v>
      </c>
      <c r="BG169" s="1184" t="str">
        <f t="array" ref="BG169">INDEX(E169:E169&amp;"."&amp;F169:F169&amp;"."&amp;$J$71:$BF$71&amp;"."&amp;G169:G169,IFERROR(MATCH($C$10,$J169:$BF169),0))</f>
        <v>90.360.1400.4ТГ</v>
      </c>
      <c r="BL169" s="1184" t="str">
        <f t="shared" si="184"/>
        <v>90.360.1400.4ТГ</v>
      </c>
    </row>
    <row r="170" spans="1:64" s="1184" customFormat="1" ht="15.75" thickBot="1">
      <c r="A170" s="2495"/>
      <c r="B170" s="2500" t="s">
        <v>5674</v>
      </c>
      <c r="C170" s="2501"/>
      <c r="D170" s="429" t="s">
        <v>4533</v>
      </c>
      <c r="E170" s="471">
        <v>90</v>
      </c>
      <c r="F170" s="471">
        <v>400</v>
      </c>
      <c r="G170" s="429" t="s">
        <v>200</v>
      </c>
      <c r="H170" s="1224">
        <f t="array" ref="H170">((H$71-$H$4)/1000)*$R$44*(($C$8/70)^$AD$44)</f>
        <v>146.33973663119997</v>
      </c>
      <c r="I170" s="1225">
        <f t="array" ref="I170">((I$71-$H$4)/1000)*$R$44*(($C$8/70)^$AD$44)</f>
        <v>195.1196488416</v>
      </c>
      <c r="J170" s="1224">
        <f t="array" ref="J170">((J$71-$H$4)/1000)*$R$44*(($C$8/70)^$AD$44)</f>
        <v>243.89956105199997</v>
      </c>
      <c r="K170" s="1224">
        <f t="array" ref="K170">((K$71-$H$4)/1000)*$R$44*(($C$8/70)^$AD$44)</f>
        <v>292.67947326239994</v>
      </c>
      <c r="L170" s="1224">
        <f t="array" ref="L170">((L$71-$H$4)/1000)*$R$44*(($C$8/70)^$AD$44)</f>
        <v>341.45938547279991</v>
      </c>
      <c r="M170" s="1224">
        <f t="array" ref="M170">((M$71-$H$4)/1000)*$R$44*(($C$8/70)^$AD$44)</f>
        <v>390.23929768319999</v>
      </c>
      <c r="N170" s="1224">
        <f t="array" ref="N170">((N$71-$H$4)/1000)*$R$44*(($C$8/70)^$AD$44)</f>
        <v>439.01920989359996</v>
      </c>
      <c r="O170" s="1224">
        <f t="array" ref="O170">((O$71-$H$4)/1000)*$R$44*(($C$8/70)^$AD$44)</f>
        <v>487.79912210399993</v>
      </c>
      <c r="P170" s="1224">
        <f t="array" ref="P170">((P$71-$H$4)/1000)*$R$44*(($C$8/70)^$AD$44)</f>
        <v>536.57903431440002</v>
      </c>
      <c r="Q170" s="1224">
        <f t="array" ref="Q170">((Q$71-$H$4)/1000)*$R$44*(($C$8/70)^$AD$44)</f>
        <v>585.35894652479988</v>
      </c>
      <c r="R170" s="1224">
        <f t="array" ref="R170">((R$71-$H$4)/1000)*$R$44*(($C$8/70)^$AD$44)</f>
        <v>634.13885873519996</v>
      </c>
      <c r="S170" s="1224">
        <f t="array" ref="S170">((S$71-$H$4)/1000)*$R$44*(($C$8/70)^$AD$44)</f>
        <v>682.91877094559982</v>
      </c>
      <c r="T170" s="1224">
        <f t="array" ref="T170">((T$71-$H$4)/1000)*$R$44*(($C$8/70)^$AD$44)</f>
        <v>731.6986831559999</v>
      </c>
      <c r="U170" s="1224">
        <f t="array" ref="U170">((U$71-$H$4)/1000)*$R$44*(($C$8/70)^$AD$44)</f>
        <v>780.47859536639999</v>
      </c>
      <c r="V170" s="1224">
        <f t="array" ref="V170">((V$71-$H$4)/1000)*$R$44*(($C$8/70)^$AD$44)</f>
        <v>829.25850757679984</v>
      </c>
      <c r="W170" s="1224">
        <f t="array" ref="W170">((W$71-$H$4)/1000)*$R$44*(($C$8/70)^$AD$44)</f>
        <v>878.03841978719993</v>
      </c>
      <c r="X170" s="1224">
        <f t="array" ref="X170">((X$71-$H$4)/1000)*$R$44*(($C$8/70)^$AD$44)</f>
        <v>926.81833199759978</v>
      </c>
      <c r="Y170" s="1224">
        <f t="array" ref="Y170">((Y$71-$H$4)/1000)*$R$44*(($C$8/70)^$AD$44)</f>
        <v>975.59824420799987</v>
      </c>
      <c r="Z170" s="1224">
        <f t="array" ref="Z170">((Z$71-$H$4)/1000)*$R$44*(($C$8/70)^$AD$44)</f>
        <v>1024.3781564183998</v>
      </c>
      <c r="AA170" s="1224">
        <f t="array" ref="AA170">((AA$71-$H$4)/1000)*$R$44*(($C$8/70)^$AD$44)</f>
        <v>1073.1580686288</v>
      </c>
      <c r="AB170" s="1224">
        <f t="array" ref="AB170">((AB$71-$H$4)/1000)*$R$44*(($C$8/70)^$AD$44)</f>
        <v>1121.9379808391998</v>
      </c>
      <c r="AC170" s="1224">
        <f t="array" ref="AC170">((AC$71-$H$4)/1000)*$R$44*(($C$8/70)^$AD$44)</f>
        <v>1170.7178930495998</v>
      </c>
      <c r="AD170" s="1224">
        <f t="array" ref="AD170">((AD$71-$H$4)/1000)*$R$44*(($C$8/70)^$AD$44)</f>
        <v>1219.49780526</v>
      </c>
      <c r="AE170" s="1224">
        <f t="array" ref="AE170">((AE$71-$H$4)/1000)*$R$44*(($C$8/70)^$AD$44)</f>
        <v>1268.2777174703999</v>
      </c>
      <c r="AF170" s="1224">
        <f t="array" ref="AF170">((AF$71-$H$4)/1000)*$R$44*(($C$8/70)^$AD$44)</f>
        <v>1317.0576296807999</v>
      </c>
      <c r="AG170" s="1224">
        <f t="array" ref="AG170">((AG$71-$H$4)/1000)*$R$44*(($C$8/70)^$AD$44)</f>
        <v>1365.8375418911996</v>
      </c>
      <c r="AH170" s="1224">
        <f t="array" ref="AH170">((AH$71-$H$4)/1000)*$R$44*(($C$8/70)^$AD$44)</f>
        <v>1414.6174541015998</v>
      </c>
      <c r="AI170" s="1224">
        <f t="array" ref="AI170">((AI$71-$H$4)/1000)*$R$44*(($C$8/70)^$AD$44)</f>
        <v>1463.3973663119998</v>
      </c>
      <c r="AJ170" s="1224">
        <f t="array" ref="AJ170">((AJ$71-$H$4)/1000)*$R$44*(($C$8/70)^$AD$44)</f>
        <v>1512.1772785223998</v>
      </c>
      <c r="AK170" s="1224">
        <f t="array" ref="AK170">((AK$71-$H$4)/1000)*$R$44*(($C$8/70)^$AD$44)</f>
        <v>1560.9571907328</v>
      </c>
      <c r="AL170" s="1224">
        <f t="array" ref="AL170">((AL$71-$H$4)/1000)*$R$44*(($C$8/70)^$AD$44)</f>
        <v>1609.7371029431997</v>
      </c>
      <c r="AM170" s="1224">
        <f t="array" ref="AM170">((AM$71-$H$4)/1000)*$R$44*(($C$8/70)^$AD$44)</f>
        <v>1658.5170151535997</v>
      </c>
      <c r="AN170" s="1224">
        <f t="array" ref="AN170">((AN$71-$H$4)/1000)*$R$44*(($C$8/70)^$AD$44)</f>
        <v>1707.2969273639997</v>
      </c>
      <c r="AO170" s="1224">
        <f t="array" ref="AO170">((AO$71-$H$4)/1000)*$R$44*(($C$8/70)^$AD$44)</f>
        <v>1756.0768395743999</v>
      </c>
      <c r="AP170" s="1224">
        <f t="array" ref="AP170">((AP$71-$H$4)/1000)*$R$44*(($C$8/70)^$AD$44)</f>
        <v>1804.8567517847998</v>
      </c>
      <c r="AQ170" s="1224">
        <f t="array" ref="AQ170">((AQ$71-$H$4)/1000)*$R$44*(($C$8/70)^$AD$44)</f>
        <v>1853.6366639951996</v>
      </c>
      <c r="AR170" s="1224">
        <f t="array" ref="AR170">((AR$71-$H$4)/1000)*$R$44*(($C$8/70)^$AD$44)</f>
        <v>1902.4165762055998</v>
      </c>
      <c r="AS170" s="1224">
        <f t="array" ref="AS170">((AS$71-$H$4)/1000)*$R$44*(($C$8/70)^$AD$44)</f>
        <v>1951.1964884159997</v>
      </c>
      <c r="AT170" s="1224">
        <f t="array" ref="AT170">((AT$71-$H$4)/1000)*$R$44*(($C$8/70)^$AD$44)</f>
        <v>1999.9764006263995</v>
      </c>
      <c r="AU170" s="1224">
        <f t="array" ref="AU170">((AU$71-$H$4)/1000)*$R$44*(($C$8/70)^$AD$44)</f>
        <v>2048.7563128367997</v>
      </c>
      <c r="AV170" s="1224">
        <f t="array" ref="AV170">((AV$71-$H$4)/1000)*$R$44*(($C$8/70)^$AD$44)</f>
        <v>2097.5362250471994</v>
      </c>
      <c r="AW170" s="1224">
        <f t="array" ref="AW170">((AW$71-$H$4)/1000)*$R$44*(($C$8/70)^$AD$44)</f>
        <v>2146.3161372576001</v>
      </c>
      <c r="AX170" s="1224">
        <f t="array" ref="AX170">((AX$71-$H$4)/1000)*$R$44*(($C$8/70)^$AD$44)</f>
        <v>2195.0960494679998</v>
      </c>
      <c r="AY170" s="1224">
        <f t="array" ref="AY170">((AY$71-$H$4)/1000)*$R$44*(($C$8/70)^$AD$44)</f>
        <v>2243.8759616783996</v>
      </c>
      <c r="AZ170" s="1224">
        <f t="array" ref="AZ170">((AZ$71-$H$4)/1000)*$R$44*(($C$8/70)^$AD$44)</f>
        <v>2292.6558738887998</v>
      </c>
      <c r="BA170" s="1224">
        <f t="array" ref="BA170">((BA$71-$H$4)/1000)*$R$44*(($C$8/70)^$AD$44)</f>
        <v>2341.4357860991995</v>
      </c>
      <c r="BB170" s="1224">
        <f t="array" ref="BB170">((BB$71-$H$4)/1000)*$R$44*(($C$8/70)^$AD$44)</f>
        <v>2390.2156983095997</v>
      </c>
      <c r="BC170" s="1224">
        <f t="array" ref="BC170">((BC$71-$H$4)/1000)*$R$44*(($C$8/70)^$AD$44)</f>
        <v>2438.9956105199999</v>
      </c>
      <c r="BD170" s="1224">
        <f t="array" ref="BD170">((BD$71-$H$4)/1000)*$R$44*(($C$8/70)^$AD$44)</f>
        <v>2487.7755227303996</v>
      </c>
      <c r="BE170" s="1224">
        <f t="array" ref="BE170">((BE$71-$H$4)/1000)*$R$44*(($C$8/70)^$AD$44)</f>
        <v>2536.5554349407998</v>
      </c>
      <c r="BF170" s="1050">
        <f t="array" ref="BF170">((BF$71-$H$4)/1000)*$R$44*(($C$8/70)^$AD$44)</f>
        <v>2585.3353471511996</v>
      </c>
      <c r="BG170" s="1184" t="str">
        <f t="array" ref="BG170">INDEX(E170:E170&amp;"."&amp;F170:F170&amp;"."&amp;$J$71:$BF$71&amp;"."&amp;G170:G170,IFERROR(MATCH($C$10,$J170:$BF170),0))</f>
        <v>90.400.1350.4ТГ</v>
      </c>
      <c r="BL170" s="1184" t="str">
        <f t="shared" si="184"/>
        <v>90.400.1350.4ТГ</v>
      </c>
    </row>
    <row r="171" spans="1:64" s="1184" customFormat="1">
      <c r="A171" s="2495"/>
      <c r="B171" s="2502" t="s">
        <v>5675</v>
      </c>
      <c r="C171" s="2503"/>
      <c r="D171" s="1226" t="s">
        <v>4533</v>
      </c>
      <c r="E171" s="1227">
        <v>110</v>
      </c>
      <c r="F171" s="1227">
        <v>200</v>
      </c>
      <c r="G171" s="1226" t="s">
        <v>195</v>
      </c>
      <c r="H171" s="1228">
        <f t="shared" ref="H171:BF171" si="189">((H$71-$H$4)/1000)*$L$45*(($C$8/70)^$X$45)</f>
        <v>90.745804785599987</v>
      </c>
      <c r="I171" s="1229">
        <f t="shared" si="189"/>
        <v>120.99440638079999</v>
      </c>
      <c r="J171" s="1228">
        <f t="shared" si="189"/>
        <v>151.24300797599997</v>
      </c>
      <c r="K171" s="1228">
        <f t="shared" si="189"/>
        <v>181.49160957119997</v>
      </c>
      <c r="L171" s="1228">
        <f t="shared" si="189"/>
        <v>211.74021116639994</v>
      </c>
      <c r="M171" s="1228">
        <f t="shared" si="189"/>
        <v>241.98881276159997</v>
      </c>
      <c r="N171" s="1228">
        <f t="shared" si="189"/>
        <v>272.23741435679995</v>
      </c>
      <c r="O171" s="1228">
        <f t="shared" si="189"/>
        <v>302.48601595199995</v>
      </c>
      <c r="P171" s="1228">
        <f t="shared" si="189"/>
        <v>332.73461754719995</v>
      </c>
      <c r="Q171" s="1228">
        <f t="shared" si="189"/>
        <v>362.98321914239995</v>
      </c>
      <c r="R171" s="1228">
        <f t="shared" si="189"/>
        <v>393.23182073759995</v>
      </c>
      <c r="S171" s="1228">
        <f t="shared" si="189"/>
        <v>423.48042233279989</v>
      </c>
      <c r="T171" s="1228">
        <f t="shared" si="189"/>
        <v>453.72902392799995</v>
      </c>
      <c r="U171" s="1228">
        <f t="shared" si="189"/>
        <v>483.97762552319995</v>
      </c>
      <c r="V171" s="1228">
        <f t="shared" si="189"/>
        <v>514.22622711839995</v>
      </c>
      <c r="W171" s="1228">
        <f t="shared" si="189"/>
        <v>544.47482871359989</v>
      </c>
      <c r="X171" s="1228">
        <f t="shared" si="189"/>
        <v>574.72343030879983</v>
      </c>
      <c r="Y171" s="1228">
        <f t="shared" si="189"/>
        <v>604.97203190399989</v>
      </c>
      <c r="Z171" s="1228">
        <f t="shared" si="189"/>
        <v>635.22063349919995</v>
      </c>
      <c r="AA171" s="1228">
        <f t="shared" si="189"/>
        <v>665.46923509439989</v>
      </c>
      <c r="AB171" s="1228">
        <f t="shared" si="189"/>
        <v>695.71783668959984</v>
      </c>
      <c r="AC171" s="1228">
        <f t="shared" si="189"/>
        <v>725.96643828479989</v>
      </c>
      <c r="AD171" s="1228">
        <f t="shared" si="189"/>
        <v>756.21503987999984</v>
      </c>
      <c r="AE171" s="1228">
        <f t="shared" si="189"/>
        <v>786.46364147519989</v>
      </c>
      <c r="AF171" s="1228">
        <f t="shared" si="189"/>
        <v>816.71224307039995</v>
      </c>
      <c r="AG171" s="1228">
        <f t="shared" si="189"/>
        <v>846.96084466559978</v>
      </c>
      <c r="AH171" s="1228">
        <f t="shared" si="189"/>
        <v>877.20944626079984</v>
      </c>
      <c r="AI171" s="1228">
        <f t="shared" si="189"/>
        <v>907.45804785599989</v>
      </c>
      <c r="AJ171" s="1228">
        <f t="shared" si="189"/>
        <v>937.70664945119984</v>
      </c>
      <c r="AK171" s="1228">
        <f t="shared" si="189"/>
        <v>967.95525104639989</v>
      </c>
      <c r="AL171" s="1228">
        <f t="shared" si="189"/>
        <v>998.20385264159972</v>
      </c>
      <c r="AM171" s="1228">
        <f t="shared" si="189"/>
        <v>1028.4524542367999</v>
      </c>
      <c r="AN171" s="1228">
        <f t="shared" si="189"/>
        <v>1058.7010558319998</v>
      </c>
      <c r="AO171" s="1228">
        <f t="shared" si="189"/>
        <v>1088.9496574271998</v>
      </c>
      <c r="AP171" s="1228">
        <f t="shared" si="189"/>
        <v>1119.1982590224</v>
      </c>
      <c r="AQ171" s="1228">
        <f t="shared" si="189"/>
        <v>1149.4468606175997</v>
      </c>
      <c r="AR171" s="1228">
        <f t="shared" si="189"/>
        <v>1179.6954622127998</v>
      </c>
      <c r="AS171" s="1228">
        <f t="shared" si="189"/>
        <v>1209.9440638079998</v>
      </c>
      <c r="AT171" s="1228">
        <f t="shared" si="189"/>
        <v>1240.1926654031997</v>
      </c>
      <c r="AU171" s="1228">
        <f t="shared" si="189"/>
        <v>1270.4412669983999</v>
      </c>
      <c r="AV171" s="1228">
        <f t="shared" si="189"/>
        <v>1300.6898685935996</v>
      </c>
      <c r="AW171" s="1228">
        <f t="shared" si="189"/>
        <v>1330.9384701887998</v>
      </c>
      <c r="AX171" s="1228">
        <f t="shared" si="189"/>
        <v>1361.1870717839997</v>
      </c>
      <c r="AY171" s="1228">
        <f t="shared" si="189"/>
        <v>1391.4356733791997</v>
      </c>
      <c r="AZ171" s="1228">
        <f t="shared" si="189"/>
        <v>1421.6842749743998</v>
      </c>
      <c r="BA171" s="1228">
        <f t="shared" si="189"/>
        <v>1451.9328765695998</v>
      </c>
      <c r="BB171" s="1228">
        <f t="shared" si="189"/>
        <v>1482.1814781647997</v>
      </c>
      <c r="BC171" s="1228">
        <f t="shared" si="189"/>
        <v>1512.4300797599997</v>
      </c>
      <c r="BD171" s="1228">
        <f t="shared" si="189"/>
        <v>1542.6786813551996</v>
      </c>
      <c r="BE171" s="1228">
        <f t="shared" si="189"/>
        <v>1572.9272829503998</v>
      </c>
      <c r="BF171" s="1230">
        <f t="shared" si="189"/>
        <v>1603.1758845455997</v>
      </c>
      <c r="BG171" s="1184" t="str">
        <f t="array" ref="BG171">INDEX(E171:E171&amp;"."&amp;F171:F171&amp;"."&amp;$J$71:$BF$71&amp;"."&amp;G171:G171,IFERROR(MATCH($C$10,$J171:$BF171),0))</f>
        <v>110.200.2000.2ТГ</v>
      </c>
      <c r="BL171" s="1184" t="str">
        <f t="shared" si="184"/>
        <v>110.200.2000.2ТГ</v>
      </c>
    </row>
    <row r="172" spans="1:64" s="1184" customFormat="1">
      <c r="A172" s="2495"/>
      <c r="B172" s="2504" t="s">
        <v>5676</v>
      </c>
      <c r="C172" s="2505"/>
      <c r="D172" s="1231" t="s">
        <v>4533</v>
      </c>
      <c r="E172" s="1232">
        <v>110</v>
      </c>
      <c r="F172" s="1232">
        <v>260</v>
      </c>
      <c r="G172" s="1231" t="s">
        <v>195</v>
      </c>
      <c r="H172" s="1233">
        <f t="shared" ref="H172:BF172" si="190">((H$71-$H$4)/1000)*$M$45*(($C$8/70)^$Y$45)</f>
        <v>114.65969644194267</v>
      </c>
      <c r="I172" s="1234">
        <f t="shared" si="190"/>
        <v>152.87959525592359</v>
      </c>
      <c r="J172" s="1233">
        <f t="shared" si="190"/>
        <v>191.09949406990447</v>
      </c>
      <c r="K172" s="1233">
        <f t="shared" si="190"/>
        <v>229.31939288388534</v>
      </c>
      <c r="L172" s="1233">
        <f t="shared" si="190"/>
        <v>267.53929169786625</v>
      </c>
      <c r="M172" s="1233">
        <f t="shared" si="190"/>
        <v>305.75919051184718</v>
      </c>
      <c r="N172" s="1233">
        <f t="shared" si="190"/>
        <v>343.97908932582806</v>
      </c>
      <c r="O172" s="1233">
        <f t="shared" si="190"/>
        <v>382.19898813980893</v>
      </c>
      <c r="P172" s="1233">
        <f t="shared" si="190"/>
        <v>420.41888695378987</v>
      </c>
      <c r="Q172" s="1233">
        <f t="shared" si="190"/>
        <v>458.63878576777068</v>
      </c>
      <c r="R172" s="1233">
        <f t="shared" si="190"/>
        <v>496.85868458175162</v>
      </c>
      <c r="S172" s="1233">
        <f t="shared" si="190"/>
        <v>535.07858339573249</v>
      </c>
      <c r="T172" s="1233">
        <f t="shared" si="190"/>
        <v>573.29848220971337</v>
      </c>
      <c r="U172" s="1233">
        <f t="shared" si="190"/>
        <v>611.51838102369436</v>
      </c>
      <c r="V172" s="1233">
        <f t="shared" si="190"/>
        <v>649.73827983767512</v>
      </c>
      <c r="W172" s="1233">
        <f t="shared" si="190"/>
        <v>687.95817865165611</v>
      </c>
      <c r="X172" s="1233">
        <f t="shared" si="190"/>
        <v>726.17807746563699</v>
      </c>
      <c r="Y172" s="1233">
        <f t="shared" si="190"/>
        <v>764.39797627961786</v>
      </c>
      <c r="Z172" s="1233">
        <f t="shared" si="190"/>
        <v>802.61787509359874</v>
      </c>
      <c r="AA172" s="1233">
        <f t="shared" si="190"/>
        <v>840.83777390757973</v>
      </c>
      <c r="AB172" s="1233">
        <f t="shared" si="190"/>
        <v>879.05767272156049</v>
      </c>
      <c r="AC172" s="1233">
        <f t="shared" si="190"/>
        <v>917.27757153554137</v>
      </c>
      <c r="AD172" s="1233">
        <f t="shared" si="190"/>
        <v>955.49747034952236</v>
      </c>
      <c r="AE172" s="1233">
        <f t="shared" si="190"/>
        <v>993.71736916350324</v>
      </c>
      <c r="AF172" s="1233">
        <f t="shared" si="190"/>
        <v>1031.9372679774842</v>
      </c>
      <c r="AG172" s="1233">
        <f t="shared" si="190"/>
        <v>1070.157166791465</v>
      </c>
      <c r="AH172" s="1233">
        <f t="shared" si="190"/>
        <v>1108.377065605446</v>
      </c>
      <c r="AI172" s="1233">
        <f t="shared" si="190"/>
        <v>1146.5969644194267</v>
      </c>
      <c r="AJ172" s="1233">
        <f t="shared" si="190"/>
        <v>1184.8168632334077</v>
      </c>
      <c r="AK172" s="1233">
        <f t="shared" si="190"/>
        <v>1223.0367620473887</v>
      </c>
      <c r="AL172" s="1233">
        <f t="shared" si="190"/>
        <v>1261.2566608613695</v>
      </c>
      <c r="AM172" s="1233">
        <f t="shared" si="190"/>
        <v>1299.4765596753502</v>
      </c>
      <c r="AN172" s="1233">
        <f t="shared" si="190"/>
        <v>1337.6964584893312</v>
      </c>
      <c r="AO172" s="1233">
        <f t="shared" si="190"/>
        <v>1375.9163573033122</v>
      </c>
      <c r="AP172" s="1233">
        <f t="shared" si="190"/>
        <v>1414.1362561172932</v>
      </c>
      <c r="AQ172" s="1233">
        <f t="shared" si="190"/>
        <v>1452.356154931274</v>
      </c>
      <c r="AR172" s="1233">
        <f t="shared" si="190"/>
        <v>1490.5760537452547</v>
      </c>
      <c r="AS172" s="1233">
        <f t="shared" si="190"/>
        <v>1528.7959525592357</v>
      </c>
      <c r="AT172" s="1233">
        <f t="shared" si="190"/>
        <v>1567.0158513732165</v>
      </c>
      <c r="AU172" s="1233">
        <f t="shared" si="190"/>
        <v>1605.2357501871975</v>
      </c>
      <c r="AV172" s="1233">
        <f t="shared" si="190"/>
        <v>1643.4556490011782</v>
      </c>
      <c r="AW172" s="1233">
        <f t="shared" si="190"/>
        <v>1681.6755478151595</v>
      </c>
      <c r="AX172" s="1233">
        <f t="shared" si="190"/>
        <v>1719.8954466291402</v>
      </c>
      <c r="AY172" s="1233">
        <f t="shared" si="190"/>
        <v>1758.115345443121</v>
      </c>
      <c r="AZ172" s="1233">
        <f t="shared" si="190"/>
        <v>1796.335244257102</v>
      </c>
      <c r="BA172" s="1233">
        <f t="shared" si="190"/>
        <v>1834.5551430710827</v>
      </c>
      <c r="BB172" s="1233">
        <f t="shared" si="190"/>
        <v>1872.775041885064</v>
      </c>
      <c r="BC172" s="1233">
        <f t="shared" si="190"/>
        <v>1910.9949406990447</v>
      </c>
      <c r="BD172" s="1233">
        <f t="shared" si="190"/>
        <v>1949.2148395130255</v>
      </c>
      <c r="BE172" s="1233">
        <f t="shared" si="190"/>
        <v>1987.4347383270065</v>
      </c>
      <c r="BF172" s="1235">
        <f t="shared" si="190"/>
        <v>2025.6546371409872</v>
      </c>
      <c r="BG172" s="1184" t="str">
        <f t="array" ref="BG172">INDEX(E172:E172&amp;"."&amp;F172:F172&amp;"."&amp;$J$71:$BF$71&amp;"."&amp;G172:G172,IFERROR(MATCH($C$10,$J172:$BF172),0))</f>
        <v>110.260.1650.2ТГ</v>
      </c>
      <c r="BL172" s="1184" t="str">
        <f t="shared" si="184"/>
        <v>110.260.1650.2ТГ</v>
      </c>
    </row>
    <row r="173" spans="1:64" s="1184" customFormat="1">
      <c r="A173" s="2495"/>
      <c r="B173" s="2504" t="s">
        <v>5677</v>
      </c>
      <c r="C173" s="2505"/>
      <c r="D173" s="1231" t="s">
        <v>4533</v>
      </c>
      <c r="E173" s="1232">
        <v>110</v>
      </c>
      <c r="F173" s="1232">
        <v>300</v>
      </c>
      <c r="G173" s="1231" t="s">
        <v>195</v>
      </c>
      <c r="H173" s="1233">
        <f t="shared" ref="H173:BF173" si="191">((H$71-$H$4)/1000)*$N$45*(($C$8/70)^$Z$45)</f>
        <v>122.81617561851226</v>
      </c>
      <c r="I173" s="1234">
        <f t="shared" si="191"/>
        <v>163.75490082468303</v>
      </c>
      <c r="J173" s="1233">
        <f t="shared" si="191"/>
        <v>204.69362603085378</v>
      </c>
      <c r="K173" s="1233">
        <f t="shared" si="191"/>
        <v>245.63235123702452</v>
      </c>
      <c r="L173" s="1233">
        <f t="shared" si="191"/>
        <v>286.5710764431953</v>
      </c>
      <c r="M173" s="1233">
        <f t="shared" si="191"/>
        <v>327.50980164936607</v>
      </c>
      <c r="N173" s="1233">
        <f t="shared" si="191"/>
        <v>368.44852685553678</v>
      </c>
      <c r="O173" s="1233">
        <f t="shared" si="191"/>
        <v>409.38725206170756</v>
      </c>
      <c r="P173" s="1233">
        <f t="shared" si="191"/>
        <v>450.32597726787833</v>
      </c>
      <c r="Q173" s="1233">
        <f t="shared" si="191"/>
        <v>491.26470247404905</v>
      </c>
      <c r="R173" s="1233">
        <f t="shared" si="191"/>
        <v>532.20342768021987</v>
      </c>
      <c r="S173" s="1233">
        <f t="shared" si="191"/>
        <v>573.14215288639059</v>
      </c>
      <c r="T173" s="1233">
        <f t="shared" si="191"/>
        <v>614.08087809256131</v>
      </c>
      <c r="U173" s="1233">
        <f t="shared" si="191"/>
        <v>655.01960329873214</v>
      </c>
      <c r="V173" s="1233">
        <f t="shared" si="191"/>
        <v>695.95832850490285</v>
      </c>
      <c r="W173" s="1233">
        <f t="shared" si="191"/>
        <v>736.89705371107357</v>
      </c>
      <c r="X173" s="1233">
        <f t="shared" si="191"/>
        <v>777.83577891724428</v>
      </c>
      <c r="Y173" s="1233">
        <f t="shared" si="191"/>
        <v>818.77450412341511</v>
      </c>
      <c r="Z173" s="1233">
        <f t="shared" si="191"/>
        <v>859.71322932958594</v>
      </c>
      <c r="AA173" s="1233">
        <f t="shared" si="191"/>
        <v>900.65195453575666</v>
      </c>
      <c r="AB173" s="1233">
        <f t="shared" si="191"/>
        <v>941.59067974192726</v>
      </c>
      <c r="AC173" s="1233">
        <f t="shared" si="191"/>
        <v>982.52940494809809</v>
      </c>
      <c r="AD173" s="1233">
        <f t="shared" si="191"/>
        <v>1023.4681301542689</v>
      </c>
      <c r="AE173" s="1233">
        <f t="shared" si="191"/>
        <v>1064.4068553604397</v>
      </c>
      <c r="AF173" s="1233">
        <f t="shared" si="191"/>
        <v>1105.3455805666106</v>
      </c>
      <c r="AG173" s="1233">
        <f t="shared" si="191"/>
        <v>1146.2843057727812</v>
      </c>
      <c r="AH173" s="1233">
        <f t="shared" si="191"/>
        <v>1187.2230309789518</v>
      </c>
      <c r="AI173" s="1233">
        <f t="shared" si="191"/>
        <v>1228.1617561851226</v>
      </c>
      <c r="AJ173" s="1233">
        <f t="shared" si="191"/>
        <v>1269.1004813912934</v>
      </c>
      <c r="AK173" s="1233">
        <f t="shared" si="191"/>
        <v>1310.0392065974643</v>
      </c>
      <c r="AL173" s="1233">
        <f t="shared" si="191"/>
        <v>1350.9779318036349</v>
      </c>
      <c r="AM173" s="1233">
        <f t="shared" si="191"/>
        <v>1391.9166570098057</v>
      </c>
      <c r="AN173" s="1233">
        <f t="shared" si="191"/>
        <v>1432.8553822159765</v>
      </c>
      <c r="AO173" s="1233">
        <f t="shared" si="191"/>
        <v>1473.7941074221471</v>
      </c>
      <c r="AP173" s="1233">
        <f t="shared" si="191"/>
        <v>1514.732832628318</v>
      </c>
      <c r="AQ173" s="1233">
        <f t="shared" si="191"/>
        <v>1555.6715578344886</v>
      </c>
      <c r="AR173" s="1233">
        <f t="shared" si="191"/>
        <v>1596.6102830406594</v>
      </c>
      <c r="AS173" s="1233">
        <f t="shared" si="191"/>
        <v>1637.5490082468302</v>
      </c>
      <c r="AT173" s="1233">
        <f t="shared" si="191"/>
        <v>1678.4877334530008</v>
      </c>
      <c r="AU173" s="1233">
        <f t="shared" si="191"/>
        <v>1719.4264586591719</v>
      </c>
      <c r="AV173" s="1233">
        <f t="shared" si="191"/>
        <v>1760.3651838653425</v>
      </c>
      <c r="AW173" s="1233">
        <f t="shared" si="191"/>
        <v>1801.3039090715133</v>
      </c>
      <c r="AX173" s="1233">
        <f t="shared" si="191"/>
        <v>1842.2426342776839</v>
      </c>
      <c r="AY173" s="1233">
        <f t="shared" si="191"/>
        <v>1883.1813594838545</v>
      </c>
      <c r="AZ173" s="1233">
        <f t="shared" si="191"/>
        <v>1924.1200846900256</v>
      </c>
      <c r="BA173" s="1233">
        <f t="shared" si="191"/>
        <v>1965.0588098961962</v>
      </c>
      <c r="BB173" s="1233">
        <f t="shared" si="191"/>
        <v>2005.9975351023672</v>
      </c>
      <c r="BC173" s="1233">
        <f t="shared" si="191"/>
        <v>2046.9362603085378</v>
      </c>
      <c r="BD173" s="1233">
        <f t="shared" si="191"/>
        <v>2087.8749855147084</v>
      </c>
      <c r="BE173" s="1233">
        <f t="shared" si="191"/>
        <v>2128.8137107208795</v>
      </c>
      <c r="BF173" s="1235">
        <f t="shared" si="191"/>
        <v>2169.7524359270501</v>
      </c>
      <c r="BG173" s="1184" t="str">
        <f t="array" ref="BG173">INDEX(E173:E173&amp;"."&amp;F173:F173&amp;"."&amp;$J$71:$BF$71&amp;"."&amp;G173:G173,IFERROR(MATCH($C$10,$J173:$BF173),0))</f>
        <v>110.300.1550.2ТГ</v>
      </c>
      <c r="BL173" s="1184" t="str">
        <f t="shared" si="184"/>
        <v>110.300.1550.2ТГ</v>
      </c>
    </row>
    <row r="174" spans="1:64" s="1184" customFormat="1">
      <c r="A174" s="2495"/>
      <c r="B174" s="2504" t="s">
        <v>5678</v>
      </c>
      <c r="C174" s="2505"/>
      <c r="D174" s="1231" t="s">
        <v>4533</v>
      </c>
      <c r="E174" s="1232">
        <v>110</v>
      </c>
      <c r="F174" s="1232">
        <v>360</v>
      </c>
      <c r="G174" s="1231" t="s">
        <v>195</v>
      </c>
      <c r="H174" s="1233">
        <f t="shared" ref="H174:BF174" si="192">((H$71-$H$4)/1000)*$P$45*(($C$8/70)^$AB$45)</f>
        <v>154.42213600365548</v>
      </c>
      <c r="I174" s="1234">
        <f t="shared" si="192"/>
        <v>205.89618133820733</v>
      </c>
      <c r="J174" s="1233">
        <f t="shared" si="192"/>
        <v>257.37022667275915</v>
      </c>
      <c r="K174" s="1233">
        <f t="shared" si="192"/>
        <v>308.84427200731096</v>
      </c>
      <c r="L174" s="1233">
        <f t="shared" si="192"/>
        <v>360.31831734186278</v>
      </c>
      <c r="M174" s="1233">
        <f t="shared" si="192"/>
        <v>411.79236267641465</v>
      </c>
      <c r="N174" s="1233">
        <f t="shared" si="192"/>
        <v>463.26640801096647</v>
      </c>
      <c r="O174" s="1233">
        <f t="shared" si="192"/>
        <v>514.74045334551829</v>
      </c>
      <c r="P174" s="1233">
        <f t="shared" si="192"/>
        <v>566.21449868007016</v>
      </c>
      <c r="Q174" s="1233">
        <f t="shared" si="192"/>
        <v>617.68854401462193</v>
      </c>
      <c r="R174" s="1233">
        <f t="shared" si="192"/>
        <v>669.1625893491738</v>
      </c>
      <c r="S174" s="1233">
        <f t="shared" si="192"/>
        <v>720.63663468372556</v>
      </c>
      <c r="T174" s="1233">
        <f t="shared" si="192"/>
        <v>772.11068001827744</v>
      </c>
      <c r="U174" s="1233">
        <f t="shared" si="192"/>
        <v>823.58472535282931</v>
      </c>
      <c r="V174" s="1233">
        <f t="shared" si="192"/>
        <v>875.05877068738107</v>
      </c>
      <c r="W174" s="1233">
        <f t="shared" si="192"/>
        <v>926.53281602193294</v>
      </c>
      <c r="X174" s="1233">
        <f t="shared" si="192"/>
        <v>978.00686135648471</v>
      </c>
      <c r="Y174" s="1233">
        <f t="shared" si="192"/>
        <v>1029.4809066910366</v>
      </c>
      <c r="Z174" s="1233">
        <f t="shared" si="192"/>
        <v>1080.9549520255885</v>
      </c>
      <c r="AA174" s="1233">
        <f t="shared" si="192"/>
        <v>1132.4289973601403</v>
      </c>
      <c r="AB174" s="1233">
        <f t="shared" si="192"/>
        <v>1183.903042694692</v>
      </c>
      <c r="AC174" s="1233">
        <f t="shared" si="192"/>
        <v>1235.3770880292439</v>
      </c>
      <c r="AD174" s="1233">
        <f t="shared" si="192"/>
        <v>1286.8511333637957</v>
      </c>
      <c r="AE174" s="1233">
        <f t="shared" si="192"/>
        <v>1338.3251786983476</v>
      </c>
      <c r="AF174" s="1233">
        <f t="shared" si="192"/>
        <v>1389.7992240328995</v>
      </c>
      <c r="AG174" s="1233">
        <f t="shared" si="192"/>
        <v>1441.2732693674511</v>
      </c>
      <c r="AH174" s="1233">
        <f t="shared" si="192"/>
        <v>1492.747314702003</v>
      </c>
      <c r="AI174" s="1233">
        <f t="shared" si="192"/>
        <v>1544.2213600365549</v>
      </c>
      <c r="AJ174" s="1233">
        <f t="shared" si="192"/>
        <v>1595.6954053711067</v>
      </c>
      <c r="AK174" s="1233">
        <f t="shared" si="192"/>
        <v>1647.1694507056586</v>
      </c>
      <c r="AL174" s="1233">
        <f t="shared" si="192"/>
        <v>1698.6434960402103</v>
      </c>
      <c r="AM174" s="1233">
        <f t="shared" si="192"/>
        <v>1750.1175413747621</v>
      </c>
      <c r="AN174" s="1233">
        <f t="shared" si="192"/>
        <v>1801.591586709314</v>
      </c>
      <c r="AO174" s="1233">
        <f t="shared" si="192"/>
        <v>1853.0656320438659</v>
      </c>
      <c r="AP174" s="1233">
        <f t="shared" si="192"/>
        <v>1904.5396773784178</v>
      </c>
      <c r="AQ174" s="1233">
        <f t="shared" si="192"/>
        <v>1956.0137227129694</v>
      </c>
      <c r="AR174" s="1233">
        <f t="shared" si="192"/>
        <v>2007.4877680475213</v>
      </c>
      <c r="AS174" s="1233">
        <f t="shared" si="192"/>
        <v>2058.9618133820732</v>
      </c>
      <c r="AT174" s="1233">
        <f t="shared" si="192"/>
        <v>2110.4358587166248</v>
      </c>
      <c r="AU174" s="1233">
        <f t="shared" si="192"/>
        <v>2161.9099040511769</v>
      </c>
      <c r="AV174" s="1233">
        <f t="shared" si="192"/>
        <v>2213.3839493857286</v>
      </c>
      <c r="AW174" s="1233">
        <f t="shared" si="192"/>
        <v>2264.8579947202807</v>
      </c>
      <c r="AX174" s="1233">
        <f t="shared" si="192"/>
        <v>2316.3320400548323</v>
      </c>
      <c r="AY174" s="1233">
        <f t="shared" si="192"/>
        <v>2367.806085389384</v>
      </c>
      <c r="AZ174" s="1233">
        <f t="shared" si="192"/>
        <v>2419.2801307239361</v>
      </c>
      <c r="BA174" s="1233">
        <f t="shared" si="192"/>
        <v>2470.7541760584877</v>
      </c>
      <c r="BB174" s="1233">
        <f t="shared" si="192"/>
        <v>2522.2282213930398</v>
      </c>
      <c r="BC174" s="1233">
        <f t="shared" si="192"/>
        <v>2573.7022667275915</v>
      </c>
      <c r="BD174" s="1233">
        <f t="shared" si="192"/>
        <v>2625.1763120621431</v>
      </c>
      <c r="BE174" s="1233">
        <f t="shared" si="192"/>
        <v>2676.6503573966952</v>
      </c>
      <c r="BF174" s="1235">
        <f t="shared" si="192"/>
        <v>2728.1244027312468</v>
      </c>
      <c r="BG174" s="1184" t="str">
        <f t="array" ref="BG174">INDEX(E174:E174&amp;"."&amp;F174:F174&amp;"."&amp;$J$71:$BF$71&amp;"."&amp;G174:G174,IFERROR(MATCH($C$10,$J174:$BF174),0))</f>
        <v>110.360.1300.2ТГ</v>
      </c>
      <c r="BL174" s="1184" t="str">
        <f t="shared" si="184"/>
        <v>110.360.1300.2ТГ</v>
      </c>
    </row>
    <row r="175" spans="1:64" s="1184" customFormat="1">
      <c r="A175" s="2495"/>
      <c r="B175" s="2504" t="s">
        <v>5679</v>
      </c>
      <c r="C175" s="2505"/>
      <c r="D175" s="1231" t="s">
        <v>4533</v>
      </c>
      <c r="E175" s="1232">
        <v>110</v>
      </c>
      <c r="F175" s="1232">
        <v>360</v>
      </c>
      <c r="G175" s="1231" t="s">
        <v>200</v>
      </c>
      <c r="H175" s="1233">
        <f t="shared" ref="H175:BF175" si="193">((H$71-$H$4)/1000)*$Q$45*(($C$8/70)^$AC$45)</f>
        <v>169.69465494907197</v>
      </c>
      <c r="I175" s="1234">
        <f t="shared" si="193"/>
        <v>226.25953993209598</v>
      </c>
      <c r="J175" s="1233">
        <f t="shared" si="193"/>
        <v>282.82442491511995</v>
      </c>
      <c r="K175" s="1233">
        <f t="shared" si="193"/>
        <v>339.38930989814395</v>
      </c>
      <c r="L175" s="1233">
        <f t="shared" si="193"/>
        <v>395.95419488116789</v>
      </c>
      <c r="M175" s="1233">
        <f t="shared" si="193"/>
        <v>452.51907986419195</v>
      </c>
      <c r="N175" s="1233">
        <f t="shared" si="193"/>
        <v>509.0839648472159</v>
      </c>
      <c r="O175" s="1233">
        <f t="shared" si="193"/>
        <v>565.6488498302399</v>
      </c>
      <c r="P175" s="1233">
        <f t="shared" si="193"/>
        <v>622.21373481326395</v>
      </c>
      <c r="Q175" s="1233">
        <f t="shared" si="193"/>
        <v>678.7786197962879</v>
      </c>
      <c r="R175" s="1233">
        <f t="shared" si="193"/>
        <v>735.34350477931184</v>
      </c>
      <c r="S175" s="1233">
        <f t="shared" si="193"/>
        <v>791.90838976233579</v>
      </c>
      <c r="T175" s="1233">
        <f t="shared" si="193"/>
        <v>848.47327474535984</v>
      </c>
      <c r="U175" s="1233">
        <f t="shared" si="193"/>
        <v>905.0381597283839</v>
      </c>
      <c r="V175" s="1233">
        <f t="shared" si="193"/>
        <v>961.60304471140785</v>
      </c>
      <c r="W175" s="1233">
        <f t="shared" si="193"/>
        <v>1018.1679296944318</v>
      </c>
      <c r="X175" s="1233">
        <f t="shared" si="193"/>
        <v>1074.7328146774557</v>
      </c>
      <c r="Y175" s="1233">
        <f t="shared" si="193"/>
        <v>1131.2976996604798</v>
      </c>
      <c r="Z175" s="1233">
        <f t="shared" si="193"/>
        <v>1187.8625846435039</v>
      </c>
      <c r="AA175" s="1233">
        <f t="shared" si="193"/>
        <v>1244.4274696265279</v>
      </c>
      <c r="AB175" s="1233">
        <f t="shared" si="193"/>
        <v>1300.9923546095517</v>
      </c>
      <c r="AC175" s="1233">
        <f t="shared" si="193"/>
        <v>1357.5572395925758</v>
      </c>
      <c r="AD175" s="1233">
        <f t="shared" si="193"/>
        <v>1414.1221245755996</v>
      </c>
      <c r="AE175" s="1233">
        <f t="shared" si="193"/>
        <v>1470.6870095586237</v>
      </c>
      <c r="AF175" s="1233">
        <f t="shared" si="193"/>
        <v>1527.2518945416477</v>
      </c>
      <c r="AG175" s="1233">
        <f t="shared" si="193"/>
        <v>1583.8167795246716</v>
      </c>
      <c r="AH175" s="1233">
        <f t="shared" si="193"/>
        <v>1640.3816645076956</v>
      </c>
      <c r="AI175" s="1233">
        <f t="shared" si="193"/>
        <v>1696.9465494907197</v>
      </c>
      <c r="AJ175" s="1233">
        <f t="shared" si="193"/>
        <v>1753.5114344737437</v>
      </c>
      <c r="AK175" s="1233">
        <f t="shared" si="193"/>
        <v>1810.0763194567678</v>
      </c>
      <c r="AL175" s="1233">
        <f t="shared" si="193"/>
        <v>1866.6412044397916</v>
      </c>
      <c r="AM175" s="1233">
        <f t="shared" si="193"/>
        <v>1923.2060894228157</v>
      </c>
      <c r="AN175" s="1233">
        <f t="shared" si="193"/>
        <v>1979.7709744058398</v>
      </c>
      <c r="AO175" s="1233">
        <f t="shared" si="193"/>
        <v>2036.3358593888636</v>
      </c>
      <c r="AP175" s="1233">
        <f t="shared" si="193"/>
        <v>2092.9007443718879</v>
      </c>
      <c r="AQ175" s="1233">
        <f t="shared" si="193"/>
        <v>2149.4656293549115</v>
      </c>
      <c r="AR175" s="1233">
        <f t="shared" si="193"/>
        <v>2206.0305143379355</v>
      </c>
      <c r="AS175" s="1233">
        <f t="shared" si="193"/>
        <v>2262.5953993209596</v>
      </c>
      <c r="AT175" s="1233">
        <f t="shared" si="193"/>
        <v>2319.1602843039832</v>
      </c>
      <c r="AU175" s="1233">
        <f t="shared" si="193"/>
        <v>2375.7251692870077</v>
      </c>
      <c r="AV175" s="1233">
        <f t="shared" si="193"/>
        <v>2432.2900542700313</v>
      </c>
      <c r="AW175" s="1233">
        <f t="shared" si="193"/>
        <v>2488.8549392530558</v>
      </c>
      <c r="AX175" s="1233">
        <f t="shared" si="193"/>
        <v>2545.4198242360794</v>
      </c>
      <c r="AY175" s="1233">
        <f t="shared" si="193"/>
        <v>2601.9847092191035</v>
      </c>
      <c r="AZ175" s="1233">
        <f t="shared" si="193"/>
        <v>2658.5495942021275</v>
      </c>
      <c r="BA175" s="1233">
        <f t="shared" si="193"/>
        <v>2715.1144791851516</v>
      </c>
      <c r="BB175" s="1233">
        <f t="shared" si="193"/>
        <v>2771.6793641681757</v>
      </c>
      <c r="BC175" s="1233">
        <f t="shared" si="193"/>
        <v>2828.2442491511993</v>
      </c>
      <c r="BD175" s="1233">
        <f t="shared" si="193"/>
        <v>2884.8091341342233</v>
      </c>
      <c r="BE175" s="1233">
        <f t="shared" si="193"/>
        <v>2941.3740191172474</v>
      </c>
      <c r="BF175" s="1235">
        <f t="shared" si="193"/>
        <v>2997.9389041002714</v>
      </c>
      <c r="BG175" s="1184" t="str">
        <f t="array" ref="BG175">INDEX(E175:E175&amp;"."&amp;F175:F175&amp;"."&amp;$J$71:$BF$71&amp;"."&amp;G175:G175,IFERROR(MATCH($C$10,$J175:$BF175),0))</f>
        <v>110.360.1200.4ТГ</v>
      </c>
      <c r="BL175" s="1184" t="str">
        <f t="shared" si="184"/>
        <v>110.360.1200.4ТГ</v>
      </c>
    </row>
    <row r="176" spans="1:64" s="1184" customFormat="1" ht="15.75" thickBot="1">
      <c r="A176" s="2495"/>
      <c r="B176" s="2506" t="s">
        <v>5680</v>
      </c>
      <c r="C176" s="2507"/>
      <c r="D176" s="1236" t="s">
        <v>4533</v>
      </c>
      <c r="E176" s="1237">
        <v>110</v>
      </c>
      <c r="F176" s="1237">
        <v>400</v>
      </c>
      <c r="G176" s="1236" t="s">
        <v>200</v>
      </c>
      <c r="H176" s="1238">
        <f t="shared" ref="H176:BF176" si="194">((H$71-$H$4)/1000)*$R$45*(($C$8/70)^$AD$45)</f>
        <v>177.4464891862132</v>
      </c>
      <c r="I176" s="1239">
        <f t="shared" si="194"/>
        <v>236.59531891495095</v>
      </c>
      <c r="J176" s="1238">
        <f t="shared" si="194"/>
        <v>295.74414864368867</v>
      </c>
      <c r="K176" s="1238">
        <f t="shared" si="194"/>
        <v>354.8929783724264</v>
      </c>
      <c r="L176" s="1238">
        <f t="shared" si="194"/>
        <v>414.04180810116412</v>
      </c>
      <c r="M176" s="1238">
        <f t="shared" si="194"/>
        <v>473.1906378299019</v>
      </c>
      <c r="N176" s="1238">
        <f t="shared" si="194"/>
        <v>532.33946755863963</v>
      </c>
      <c r="O176" s="1238">
        <f t="shared" si="194"/>
        <v>591.48829728737735</v>
      </c>
      <c r="P176" s="1238">
        <f t="shared" si="194"/>
        <v>650.63712701611519</v>
      </c>
      <c r="Q176" s="1238">
        <f t="shared" si="194"/>
        <v>709.7859567448528</v>
      </c>
      <c r="R176" s="1238">
        <f t="shared" si="194"/>
        <v>768.93478647359063</v>
      </c>
      <c r="S176" s="1238">
        <f t="shared" si="194"/>
        <v>828.08361620232824</v>
      </c>
      <c r="T176" s="1238">
        <f t="shared" si="194"/>
        <v>887.23244593106597</v>
      </c>
      <c r="U176" s="1238">
        <f t="shared" si="194"/>
        <v>946.3812756598038</v>
      </c>
      <c r="V176" s="1238">
        <f t="shared" si="194"/>
        <v>1005.5301053885414</v>
      </c>
      <c r="W176" s="1238">
        <f t="shared" si="194"/>
        <v>1064.6789351172793</v>
      </c>
      <c r="X176" s="1238">
        <f t="shared" si="194"/>
        <v>1123.8277648460169</v>
      </c>
      <c r="Y176" s="1238">
        <f t="shared" si="194"/>
        <v>1182.9765945747547</v>
      </c>
      <c r="Z176" s="1238">
        <f t="shared" si="194"/>
        <v>1242.1254243034925</v>
      </c>
      <c r="AA176" s="1238">
        <f t="shared" si="194"/>
        <v>1301.2742540322304</v>
      </c>
      <c r="AB176" s="1238">
        <f t="shared" si="194"/>
        <v>1360.4230837609678</v>
      </c>
      <c r="AC176" s="1238">
        <f t="shared" si="194"/>
        <v>1419.5719134897056</v>
      </c>
      <c r="AD176" s="1238">
        <f t="shared" si="194"/>
        <v>1478.7207432184434</v>
      </c>
      <c r="AE176" s="1238">
        <f t="shared" si="194"/>
        <v>1537.8695729471813</v>
      </c>
      <c r="AF176" s="1238">
        <f t="shared" si="194"/>
        <v>1597.0184026759189</v>
      </c>
      <c r="AG176" s="1238">
        <f t="shared" si="194"/>
        <v>1656.1672324046565</v>
      </c>
      <c r="AH176" s="1238">
        <f t="shared" si="194"/>
        <v>1715.3160621333943</v>
      </c>
      <c r="AI176" s="1238">
        <f t="shared" si="194"/>
        <v>1774.4648918621319</v>
      </c>
      <c r="AJ176" s="1238">
        <f t="shared" si="194"/>
        <v>1833.6137215908698</v>
      </c>
      <c r="AK176" s="1238">
        <f t="shared" si="194"/>
        <v>1892.7625513196076</v>
      </c>
      <c r="AL176" s="1238">
        <f t="shared" si="194"/>
        <v>1951.9113810483452</v>
      </c>
      <c r="AM176" s="1238">
        <f t="shared" si="194"/>
        <v>2011.0602107770828</v>
      </c>
      <c r="AN176" s="1238">
        <f t="shared" si="194"/>
        <v>2070.2090405058207</v>
      </c>
      <c r="AO176" s="1238">
        <f t="shared" si="194"/>
        <v>2129.3578702345585</v>
      </c>
      <c r="AP176" s="1238">
        <f t="shared" si="194"/>
        <v>2188.5066999632963</v>
      </c>
      <c r="AQ176" s="1238">
        <f t="shared" si="194"/>
        <v>2247.6555296920337</v>
      </c>
      <c r="AR176" s="1238">
        <f t="shared" si="194"/>
        <v>2306.8043594207716</v>
      </c>
      <c r="AS176" s="1238">
        <f t="shared" si="194"/>
        <v>2365.9531891495094</v>
      </c>
      <c r="AT176" s="1238">
        <f t="shared" si="194"/>
        <v>2425.1020188782468</v>
      </c>
      <c r="AU176" s="1238">
        <f t="shared" si="194"/>
        <v>2484.2508486069851</v>
      </c>
      <c r="AV176" s="1238">
        <f t="shared" si="194"/>
        <v>2543.3996783357225</v>
      </c>
      <c r="AW176" s="1238">
        <f t="shared" si="194"/>
        <v>2602.5485080644607</v>
      </c>
      <c r="AX176" s="1238">
        <f t="shared" si="194"/>
        <v>2661.6973377931981</v>
      </c>
      <c r="AY176" s="1238">
        <f t="shared" si="194"/>
        <v>2720.8461675219355</v>
      </c>
      <c r="AZ176" s="1238">
        <f t="shared" si="194"/>
        <v>2779.9949972506738</v>
      </c>
      <c r="BA176" s="1238">
        <f t="shared" si="194"/>
        <v>2839.1438269794112</v>
      </c>
      <c r="BB176" s="1238">
        <f t="shared" si="194"/>
        <v>2898.292656708149</v>
      </c>
      <c r="BC176" s="1238">
        <f t="shared" si="194"/>
        <v>2957.4414864368869</v>
      </c>
      <c r="BD176" s="1238">
        <f t="shared" si="194"/>
        <v>3016.5903161656242</v>
      </c>
      <c r="BE176" s="1238">
        <f t="shared" si="194"/>
        <v>3075.7391458943625</v>
      </c>
      <c r="BF176" s="1240">
        <f t="shared" si="194"/>
        <v>3134.8879756230999</v>
      </c>
      <c r="BG176" s="1184" t="str">
        <f t="array" ref="BG176">INDEX(E176:E176&amp;"."&amp;F176:F176&amp;"."&amp;$J$71:$BF$71&amp;"."&amp;G176:G176,IFERROR(MATCH($C$10,$J176:$BF176),0))</f>
        <v>110.400.1150.4ТГ</v>
      </c>
      <c r="BL176" s="1184" t="str">
        <f t="shared" si="184"/>
        <v>110.400.1150.4ТГ</v>
      </c>
    </row>
    <row r="177" spans="1:64" s="1184" customFormat="1">
      <c r="A177" s="2495"/>
      <c r="B177" s="2508" t="s">
        <v>5681</v>
      </c>
      <c r="C177" s="2508"/>
      <c r="D177" s="1241" t="s">
        <v>4533</v>
      </c>
      <c r="E177" s="1242">
        <v>150</v>
      </c>
      <c r="F177" s="1242">
        <v>200</v>
      </c>
      <c r="G177" s="1241" t="s">
        <v>195</v>
      </c>
      <c r="H177" s="1243">
        <f t="shared" ref="H177:BF177" si="195">((H$71-$H$4)/1000)*$L$46*(($C$8/70)^$X$46)</f>
        <v>116.46</v>
      </c>
      <c r="I177" s="1244">
        <f t="shared" si="195"/>
        <v>155.28</v>
      </c>
      <c r="J177" s="1243">
        <f t="shared" si="195"/>
        <v>194.1</v>
      </c>
      <c r="K177" s="1243">
        <f t="shared" si="195"/>
        <v>232.92</v>
      </c>
      <c r="L177" s="1243">
        <f t="shared" si="195"/>
        <v>271.73999999999995</v>
      </c>
      <c r="M177" s="1243">
        <f t="shared" si="195"/>
        <v>310.56</v>
      </c>
      <c r="N177" s="1243">
        <f t="shared" si="195"/>
        <v>349.38</v>
      </c>
      <c r="O177" s="1243">
        <f t="shared" si="195"/>
        <v>388.2</v>
      </c>
      <c r="P177" s="1243">
        <f t="shared" si="195"/>
        <v>427.02000000000004</v>
      </c>
      <c r="Q177" s="1243">
        <f t="shared" si="195"/>
        <v>465.84</v>
      </c>
      <c r="R177" s="1243">
        <f t="shared" si="195"/>
        <v>504.66</v>
      </c>
      <c r="S177" s="1243">
        <f t="shared" si="195"/>
        <v>543.4799999999999</v>
      </c>
      <c r="T177" s="1243">
        <f t="shared" si="195"/>
        <v>582.29999999999995</v>
      </c>
      <c r="U177" s="1243">
        <f t="shared" si="195"/>
        <v>621.12</v>
      </c>
      <c r="V177" s="1243">
        <f t="shared" si="195"/>
        <v>659.93999999999994</v>
      </c>
      <c r="W177" s="1243">
        <f t="shared" si="195"/>
        <v>698.76</v>
      </c>
      <c r="X177" s="1243">
        <f t="shared" si="195"/>
        <v>737.57999999999993</v>
      </c>
      <c r="Y177" s="1243">
        <f t="shared" si="195"/>
        <v>776.4</v>
      </c>
      <c r="Z177" s="1243">
        <f t="shared" si="195"/>
        <v>815.22</v>
      </c>
      <c r="AA177" s="1243">
        <f t="shared" si="195"/>
        <v>854.04000000000008</v>
      </c>
      <c r="AB177" s="1243">
        <f t="shared" si="195"/>
        <v>892.8599999999999</v>
      </c>
      <c r="AC177" s="1243">
        <f t="shared" si="195"/>
        <v>931.68</v>
      </c>
      <c r="AD177" s="1243">
        <f t="shared" si="195"/>
        <v>970.5</v>
      </c>
      <c r="AE177" s="1243">
        <f t="shared" si="195"/>
        <v>1009.32</v>
      </c>
      <c r="AF177" s="1243">
        <f t="shared" si="195"/>
        <v>1048.1400000000001</v>
      </c>
      <c r="AG177" s="1243">
        <f t="shared" si="195"/>
        <v>1086.9599999999998</v>
      </c>
      <c r="AH177" s="1243">
        <f t="shared" si="195"/>
        <v>1125.78</v>
      </c>
      <c r="AI177" s="1243">
        <f t="shared" si="195"/>
        <v>1164.5999999999999</v>
      </c>
      <c r="AJ177" s="1243">
        <f t="shared" si="195"/>
        <v>1203.42</v>
      </c>
      <c r="AK177" s="1243">
        <f t="shared" si="195"/>
        <v>1242.24</v>
      </c>
      <c r="AL177" s="1243">
        <f t="shared" si="195"/>
        <v>1281.06</v>
      </c>
      <c r="AM177" s="1243">
        <f t="shared" si="195"/>
        <v>1319.8799999999999</v>
      </c>
      <c r="AN177" s="1243">
        <f t="shared" si="195"/>
        <v>1358.7</v>
      </c>
      <c r="AO177" s="1243">
        <f t="shared" si="195"/>
        <v>1397.52</v>
      </c>
      <c r="AP177" s="1243">
        <f t="shared" si="195"/>
        <v>1436.34</v>
      </c>
      <c r="AQ177" s="1243">
        <f t="shared" si="195"/>
        <v>1475.1599999999999</v>
      </c>
      <c r="AR177" s="1243">
        <f t="shared" si="195"/>
        <v>1513.98</v>
      </c>
      <c r="AS177" s="1243">
        <f t="shared" si="195"/>
        <v>1552.8</v>
      </c>
      <c r="AT177" s="1243">
        <f t="shared" si="195"/>
        <v>1591.62</v>
      </c>
      <c r="AU177" s="1243">
        <f t="shared" si="195"/>
        <v>1630.44</v>
      </c>
      <c r="AV177" s="1243">
        <f t="shared" si="195"/>
        <v>1669.26</v>
      </c>
      <c r="AW177" s="1243">
        <f t="shared" si="195"/>
        <v>1708.0800000000002</v>
      </c>
      <c r="AX177" s="1243">
        <f t="shared" si="195"/>
        <v>1746.8999999999999</v>
      </c>
      <c r="AY177" s="1243">
        <f t="shared" si="195"/>
        <v>1785.7199999999998</v>
      </c>
      <c r="AZ177" s="1243">
        <f t="shared" si="195"/>
        <v>1824.54</v>
      </c>
      <c r="BA177" s="1243">
        <f t="shared" si="195"/>
        <v>1863.36</v>
      </c>
      <c r="BB177" s="1243">
        <f t="shared" si="195"/>
        <v>1902.18</v>
      </c>
      <c r="BC177" s="1243">
        <f t="shared" si="195"/>
        <v>1941</v>
      </c>
      <c r="BD177" s="1243">
        <f t="shared" si="195"/>
        <v>1979.8199999999997</v>
      </c>
      <c r="BE177" s="1243">
        <f t="shared" si="195"/>
        <v>2018.64</v>
      </c>
      <c r="BF177" s="1243">
        <f t="shared" si="195"/>
        <v>2057.46</v>
      </c>
      <c r="BG177" s="1184" t="str">
        <f t="array" ref="BG177">INDEX(E177:E177&amp;"."&amp;F177:F177&amp;"."&amp;$J$71:$BF$71&amp;"."&amp;G177:G177,IFERROR(MATCH($C$10,$J177:$BF177),0))</f>
        <v>150.200.1600.2ТГ</v>
      </c>
      <c r="BL177" s="1184" t="str">
        <f t="shared" si="184"/>
        <v>150.200.1600.2ТГ</v>
      </c>
    </row>
    <row r="178" spans="1:64" s="1184" customFormat="1">
      <c r="A178" s="2495"/>
      <c r="B178" s="2509" t="s">
        <v>5682</v>
      </c>
      <c r="C178" s="2509"/>
      <c r="D178" s="1245" t="s">
        <v>4533</v>
      </c>
      <c r="E178" s="1246">
        <v>150</v>
      </c>
      <c r="F178" s="1246">
        <v>260</v>
      </c>
      <c r="G178" s="1245" t="s">
        <v>195</v>
      </c>
      <c r="H178" s="1247">
        <f t="shared" ref="H178:BF178" si="196">((H$71-$H$4)/1000)*$M$46*(($C$8/70)^$Y$46)</f>
        <v>150.99529296599999</v>
      </c>
      <c r="I178" s="1248">
        <f t="shared" si="196"/>
        <v>201.32705728799999</v>
      </c>
      <c r="J178" s="1247">
        <f t="shared" si="196"/>
        <v>251.65882160999999</v>
      </c>
      <c r="K178" s="1247">
        <f t="shared" si="196"/>
        <v>301.99058593199999</v>
      </c>
      <c r="L178" s="1247">
        <f t="shared" si="196"/>
        <v>352.32235025399996</v>
      </c>
      <c r="M178" s="1247">
        <f t="shared" si="196"/>
        <v>402.65411457599998</v>
      </c>
      <c r="N178" s="1247">
        <f t="shared" si="196"/>
        <v>452.98587889800001</v>
      </c>
      <c r="O178" s="1247">
        <f t="shared" si="196"/>
        <v>503.31764321999998</v>
      </c>
      <c r="P178" s="1247">
        <f t="shared" si="196"/>
        <v>553.64940754200006</v>
      </c>
      <c r="Q178" s="1247">
        <f t="shared" si="196"/>
        <v>603.98117186399998</v>
      </c>
      <c r="R178" s="1247">
        <f t="shared" si="196"/>
        <v>654.312936186</v>
      </c>
      <c r="S178" s="1247">
        <f t="shared" si="196"/>
        <v>704.64470050799991</v>
      </c>
      <c r="T178" s="1247">
        <f t="shared" si="196"/>
        <v>754.97646482999994</v>
      </c>
      <c r="U178" s="1247">
        <f t="shared" si="196"/>
        <v>805.30822915199997</v>
      </c>
      <c r="V178" s="1247">
        <f t="shared" si="196"/>
        <v>855.63999347399999</v>
      </c>
      <c r="W178" s="1247">
        <f t="shared" si="196"/>
        <v>905.97175779600002</v>
      </c>
      <c r="X178" s="1247">
        <f t="shared" si="196"/>
        <v>956.30352211799993</v>
      </c>
      <c r="Y178" s="1247">
        <f t="shared" si="196"/>
        <v>1006.63528644</v>
      </c>
      <c r="Z178" s="1247">
        <f t="shared" si="196"/>
        <v>1056.9670507620001</v>
      </c>
      <c r="AA178" s="1247">
        <f t="shared" si="196"/>
        <v>1107.2988150840001</v>
      </c>
      <c r="AB178" s="1247">
        <f t="shared" si="196"/>
        <v>1157.6305794059999</v>
      </c>
      <c r="AC178" s="1247">
        <f t="shared" si="196"/>
        <v>1207.962343728</v>
      </c>
      <c r="AD178" s="1247">
        <f t="shared" si="196"/>
        <v>1258.29410805</v>
      </c>
      <c r="AE178" s="1247">
        <f t="shared" si="196"/>
        <v>1308.625872372</v>
      </c>
      <c r="AF178" s="1247">
        <f t="shared" si="196"/>
        <v>1358.957636694</v>
      </c>
      <c r="AG178" s="1247">
        <f t="shared" si="196"/>
        <v>1409.2894010159998</v>
      </c>
      <c r="AH178" s="1247">
        <f t="shared" si="196"/>
        <v>1459.6211653379999</v>
      </c>
      <c r="AI178" s="1247">
        <f t="shared" si="196"/>
        <v>1509.9529296599999</v>
      </c>
      <c r="AJ178" s="1247">
        <f t="shared" si="196"/>
        <v>1560.2846939819999</v>
      </c>
      <c r="AK178" s="1247">
        <f t="shared" si="196"/>
        <v>1610.6164583039999</v>
      </c>
      <c r="AL178" s="1247">
        <f t="shared" si="196"/>
        <v>1660.9482226259997</v>
      </c>
      <c r="AM178" s="1247">
        <f t="shared" si="196"/>
        <v>1711.279986948</v>
      </c>
      <c r="AN178" s="1247">
        <f t="shared" si="196"/>
        <v>1761.61175127</v>
      </c>
      <c r="AO178" s="1247">
        <f t="shared" si="196"/>
        <v>1811.943515592</v>
      </c>
      <c r="AP178" s="1247">
        <f t="shared" si="196"/>
        <v>1862.2752799140001</v>
      </c>
      <c r="AQ178" s="1247">
        <f t="shared" si="196"/>
        <v>1912.6070442359999</v>
      </c>
      <c r="AR178" s="1247">
        <f t="shared" si="196"/>
        <v>1962.9388085579999</v>
      </c>
      <c r="AS178" s="1247">
        <f t="shared" si="196"/>
        <v>2013.2705728799999</v>
      </c>
      <c r="AT178" s="1247">
        <f t="shared" si="196"/>
        <v>2063.6023372019999</v>
      </c>
      <c r="AU178" s="1247">
        <f t="shared" si="196"/>
        <v>2113.9341015240002</v>
      </c>
      <c r="AV178" s="1247">
        <f t="shared" si="196"/>
        <v>2164.265865846</v>
      </c>
      <c r="AW178" s="1247">
        <f t="shared" si="196"/>
        <v>2214.5976301680003</v>
      </c>
      <c r="AX178" s="1247">
        <f t="shared" si="196"/>
        <v>2264.92939449</v>
      </c>
      <c r="AY178" s="1247">
        <f t="shared" si="196"/>
        <v>2315.2611588119998</v>
      </c>
      <c r="AZ178" s="1247">
        <f t="shared" si="196"/>
        <v>2365.5929231340001</v>
      </c>
      <c r="BA178" s="1247">
        <f t="shared" si="196"/>
        <v>2415.9246874559999</v>
      </c>
      <c r="BB178" s="1247">
        <f t="shared" si="196"/>
        <v>2466.2564517780002</v>
      </c>
      <c r="BC178" s="1247">
        <f t="shared" si="196"/>
        <v>2516.5882161</v>
      </c>
      <c r="BD178" s="1247">
        <f t="shared" si="196"/>
        <v>2566.9199804219998</v>
      </c>
      <c r="BE178" s="1247">
        <f t="shared" si="196"/>
        <v>2617.251744744</v>
      </c>
      <c r="BF178" s="1247">
        <f t="shared" si="196"/>
        <v>2667.5835090659998</v>
      </c>
      <c r="BG178" s="1184" t="str">
        <f t="array" ref="BG178">INDEX(E178:E178&amp;"."&amp;F178:F178&amp;"."&amp;$J$71:$BF$71&amp;"."&amp;G178:G178,IFERROR(MATCH($C$10,$J178:$BF178),0))</f>
        <v>150.260.1300.2ТГ</v>
      </c>
      <c r="BL178" s="1184" t="str">
        <f t="shared" si="184"/>
        <v>150.260.1300.2ТГ</v>
      </c>
    </row>
    <row r="179" spans="1:64" s="1184" customFormat="1">
      <c r="A179" s="2495"/>
      <c r="B179" s="2509" t="s">
        <v>5683</v>
      </c>
      <c r="C179" s="2509"/>
      <c r="D179" s="1245" t="s">
        <v>4533</v>
      </c>
      <c r="E179" s="1246">
        <v>150</v>
      </c>
      <c r="F179" s="1246">
        <v>300</v>
      </c>
      <c r="G179" s="1245" t="s">
        <v>195</v>
      </c>
      <c r="H179" s="1247">
        <f t="shared" ref="H179:BF179" si="197">((H$71-$H$4)/1000)*$N$46*(($C$8/70)^$Z$46)</f>
        <v>166.09679999999997</v>
      </c>
      <c r="I179" s="1248">
        <f t="shared" si="197"/>
        <v>221.4624</v>
      </c>
      <c r="J179" s="1247">
        <f t="shared" si="197"/>
        <v>276.82799999999997</v>
      </c>
      <c r="K179" s="1247">
        <f t="shared" si="197"/>
        <v>332.19359999999995</v>
      </c>
      <c r="L179" s="1247">
        <f t="shared" si="197"/>
        <v>387.55919999999992</v>
      </c>
      <c r="M179" s="1247">
        <f t="shared" si="197"/>
        <v>442.9248</v>
      </c>
      <c r="N179" s="1247">
        <f t="shared" si="197"/>
        <v>498.29039999999998</v>
      </c>
      <c r="O179" s="1247">
        <f t="shared" si="197"/>
        <v>553.65599999999995</v>
      </c>
      <c r="P179" s="1247">
        <f t="shared" si="197"/>
        <v>609.02160000000003</v>
      </c>
      <c r="Q179" s="1247">
        <f t="shared" si="197"/>
        <v>664.38719999999989</v>
      </c>
      <c r="R179" s="1247">
        <f t="shared" si="197"/>
        <v>719.75279999999998</v>
      </c>
      <c r="S179" s="1247">
        <f t="shared" si="197"/>
        <v>775.11839999999984</v>
      </c>
      <c r="T179" s="1247">
        <f t="shared" si="197"/>
        <v>830.48399999999992</v>
      </c>
      <c r="U179" s="1247">
        <f t="shared" si="197"/>
        <v>885.84960000000001</v>
      </c>
      <c r="V179" s="1247">
        <f t="shared" si="197"/>
        <v>941.21519999999987</v>
      </c>
      <c r="W179" s="1247">
        <f t="shared" si="197"/>
        <v>996.58079999999995</v>
      </c>
      <c r="X179" s="1247">
        <f t="shared" si="197"/>
        <v>1051.9463999999998</v>
      </c>
      <c r="Y179" s="1247">
        <f t="shared" si="197"/>
        <v>1107.3119999999999</v>
      </c>
      <c r="Z179" s="1247">
        <f t="shared" si="197"/>
        <v>1162.6776</v>
      </c>
      <c r="AA179" s="1247">
        <f t="shared" si="197"/>
        <v>1218.0432000000001</v>
      </c>
      <c r="AB179" s="1247">
        <f t="shared" si="197"/>
        <v>1273.4087999999997</v>
      </c>
      <c r="AC179" s="1247">
        <f t="shared" si="197"/>
        <v>1328.7743999999998</v>
      </c>
      <c r="AD179" s="1247">
        <f t="shared" si="197"/>
        <v>1384.1399999999999</v>
      </c>
      <c r="AE179" s="1247">
        <f t="shared" si="197"/>
        <v>1439.5056</v>
      </c>
      <c r="AF179" s="1247">
        <f t="shared" si="197"/>
        <v>1494.8712</v>
      </c>
      <c r="AG179" s="1247">
        <f t="shared" si="197"/>
        <v>1550.2367999999997</v>
      </c>
      <c r="AH179" s="1247">
        <f t="shared" si="197"/>
        <v>1605.6023999999998</v>
      </c>
      <c r="AI179" s="1247">
        <f t="shared" si="197"/>
        <v>1660.9679999999998</v>
      </c>
      <c r="AJ179" s="1247">
        <f t="shared" si="197"/>
        <v>1716.3335999999999</v>
      </c>
      <c r="AK179" s="1247">
        <f t="shared" si="197"/>
        <v>1771.6992</v>
      </c>
      <c r="AL179" s="1247">
        <f t="shared" si="197"/>
        <v>1827.0647999999997</v>
      </c>
      <c r="AM179" s="1247">
        <f t="shared" si="197"/>
        <v>1882.4303999999997</v>
      </c>
      <c r="AN179" s="1247">
        <f t="shared" si="197"/>
        <v>1937.7959999999998</v>
      </c>
      <c r="AO179" s="1247">
        <f t="shared" si="197"/>
        <v>1993.1615999999999</v>
      </c>
      <c r="AP179" s="1247">
        <f t="shared" si="197"/>
        <v>2048.5272</v>
      </c>
      <c r="AQ179" s="1247">
        <f t="shared" si="197"/>
        <v>2103.8927999999996</v>
      </c>
      <c r="AR179" s="1247">
        <f t="shared" si="197"/>
        <v>2159.2583999999997</v>
      </c>
      <c r="AS179" s="1247">
        <f t="shared" si="197"/>
        <v>2214.6239999999998</v>
      </c>
      <c r="AT179" s="1247">
        <f t="shared" si="197"/>
        <v>2269.9895999999994</v>
      </c>
      <c r="AU179" s="1247">
        <f t="shared" si="197"/>
        <v>2325.3552</v>
      </c>
      <c r="AV179" s="1247">
        <f t="shared" si="197"/>
        <v>2380.7207999999996</v>
      </c>
      <c r="AW179" s="1247">
        <f t="shared" si="197"/>
        <v>2436.0864000000001</v>
      </c>
      <c r="AX179" s="1247">
        <f t="shared" si="197"/>
        <v>2491.4519999999998</v>
      </c>
      <c r="AY179" s="1247">
        <f t="shared" si="197"/>
        <v>2546.8175999999994</v>
      </c>
      <c r="AZ179" s="1247">
        <f t="shared" si="197"/>
        <v>2602.1831999999999</v>
      </c>
      <c r="BA179" s="1247">
        <f t="shared" si="197"/>
        <v>2657.5487999999996</v>
      </c>
      <c r="BB179" s="1247">
        <f t="shared" si="197"/>
        <v>2712.9144000000001</v>
      </c>
      <c r="BC179" s="1247">
        <f t="shared" si="197"/>
        <v>2768.2799999999997</v>
      </c>
      <c r="BD179" s="1247">
        <f t="shared" si="197"/>
        <v>2823.6455999999994</v>
      </c>
      <c r="BE179" s="1247">
        <f t="shared" si="197"/>
        <v>2879.0111999999999</v>
      </c>
      <c r="BF179" s="1247">
        <f t="shared" si="197"/>
        <v>2934.3767999999995</v>
      </c>
      <c r="BG179" s="1184" t="str">
        <f t="array" ref="BG179">INDEX(E179:E179&amp;"."&amp;F179:F179&amp;"."&amp;$J$71:$BF$71&amp;"."&amp;G179:G179,IFERROR(MATCH($C$10,$J179:$BF179),0))</f>
        <v>150.300.1250.2ТГ</v>
      </c>
      <c r="BL179" s="1184" t="str">
        <f t="shared" si="184"/>
        <v>150.300.1250.2ТГ</v>
      </c>
    </row>
    <row r="180" spans="1:64" s="1184" customFormat="1">
      <c r="A180" s="2495"/>
      <c r="B180" s="2509" t="s">
        <v>5684</v>
      </c>
      <c r="C180" s="2509"/>
      <c r="D180" s="1245" t="s">
        <v>4533</v>
      </c>
      <c r="E180" s="1246">
        <v>150</v>
      </c>
      <c r="F180" s="1246">
        <v>360</v>
      </c>
      <c r="G180" s="1245" t="s">
        <v>195</v>
      </c>
      <c r="H180" s="1247">
        <f t="shared" ref="H180:BF180" si="198">((H$71-$H$4)/1000)*$P$46*(($C$8/70)^$AB$46)</f>
        <v>173.11131644952599</v>
      </c>
      <c r="I180" s="1248">
        <f t="shared" si="198"/>
        <v>230.81508859936798</v>
      </c>
      <c r="J180" s="1247">
        <f t="shared" si="198"/>
        <v>288.51886074920998</v>
      </c>
      <c r="K180" s="1247">
        <f t="shared" si="198"/>
        <v>346.22263289905197</v>
      </c>
      <c r="L180" s="1247">
        <f t="shared" si="198"/>
        <v>403.92640504889397</v>
      </c>
      <c r="M180" s="1247">
        <f t="shared" si="198"/>
        <v>461.63017719873596</v>
      </c>
      <c r="N180" s="1247">
        <f t="shared" si="198"/>
        <v>519.33394934857802</v>
      </c>
      <c r="O180" s="1247">
        <f t="shared" si="198"/>
        <v>577.03772149841996</v>
      </c>
      <c r="P180" s="1247">
        <f t="shared" si="198"/>
        <v>634.74149364826201</v>
      </c>
      <c r="Q180" s="1247">
        <f t="shared" si="198"/>
        <v>692.44526579810395</v>
      </c>
      <c r="R180" s="1247">
        <f t="shared" si="198"/>
        <v>750.149037947946</v>
      </c>
      <c r="S180" s="1247">
        <f t="shared" si="198"/>
        <v>807.85281009778794</v>
      </c>
      <c r="T180" s="1247">
        <f t="shared" si="198"/>
        <v>865.55658224762988</v>
      </c>
      <c r="U180" s="1247">
        <f t="shared" si="198"/>
        <v>923.26035439747193</v>
      </c>
      <c r="V180" s="1247">
        <f t="shared" si="198"/>
        <v>980.96412654731387</v>
      </c>
      <c r="W180" s="1247">
        <f t="shared" si="198"/>
        <v>1038.667898697156</v>
      </c>
      <c r="X180" s="1247">
        <f t="shared" si="198"/>
        <v>1096.3716708469979</v>
      </c>
      <c r="Y180" s="1247">
        <f t="shared" si="198"/>
        <v>1154.0754429968399</v>
      </c>
      <c r="Z180" s="1247">
        <f t="shared" si="198"/>
        <v>1211.779215146682</v>
      </c>
      <c r="AA180" s="1247">
        <f t="shared" si="198"/>
        <v>1269.482987296524</v>
      </c>
      <c r="AB180" s="1247">
        <f t="shared" si="198"/>
        <v>1327.1867594463658</v>
      </c>
      <c r="AC180" s="1247">
        <f t="shared" si="198"/>
        <v>1384.8905315962079</v>
      </c>
      <c r="AD180" s="1247">
        <f t="shared" si="198"/>
        <v>1442.5943037460499</v>
      </c>
      <c r="AE180" s="1247">
        <f t="shared" si="198"/>
        <v>1500.298075895892</v>
      </c>
      <c r="AF180" s="1247">
        <f t="shared" si="198"/>
        <v>1558.0018480457341</v>
      </c>
      <c r="AG180" s="1247">
        <f t="shared" si="198"/>
        <v>1615.7056201955759</v>
      </c>
      <c r="AH180" s="1247">
        <f t="shared" si="198"/>
        <v>1673.4093923454179</v>
      </c>
      <c r="AI180" s="1247">
        <f t="shared" si="198"/>
        <v>1731.1131644952598</v>
      </c>
      <c r="AJ180" s="1247">
        <f t="shared" si="198"/>
        <v>1788.8169366451018</v>
      </c>
      <c r="AK180" s="1247">
        <f t="shared" si="198"/>
        <v>1846.5207087949439</v>
      </c>
      <c r="AL180" s="1247">
        <f t="shared" si="198"/>
        <v>1904.2244809447857</v>
      </c>
      <c r="AM180" s="1247">
        <f t="shared" si="198"/>
        <v>1961.9282530946277</v>
      </c>
      <c r="AN180" s="1247">
        <f t="shared" si="198"/>
        <v>2019.6320252444698</v>
      </c>
      <c r="AO180" s="1247">
        <f t="shared" si="198"/>
        <v>2077.3357973943121</v>
      </c>
      <c r="AP180" s="1247">
        <f t="shared" si="198"/>
        <v>2135.0395695441539</v>
      </c>
      <c r="AQ180" s="1247">
        <f t="shared" si="198"/>
        <v>2192.7433416939957</v>
      </c>
      <c r="AR180" s="1247">
        <f t="shared" si="198"/>
        <v>2250.447113843838</v>
      </c>
      <c r="AS180" s="1247">
        <f t="shared" si="198"/>
        <v>2308.1508859936798</v>
      </c>
      <c r="AT180" s="1247">
        <f t="shared" si="198"/>
        <v>2365.8546581435216</v>
      </c>
      <c r="AU180" s="1247">
        <f t="shared" si="198"/>
        <v>2423.5584302933639</v>
      </c>
      <c r="AV180" s="1247">
        <f t="shared" si="198"/>
        <v>2481.2622024432058</v>
      </c>
      <c r="AW180" s="1247">
        <f t="shared" si="198"/>
        <v>2538.965974593048</v>
      </c>
      <c r="AX180" s="1247">
        <f t="shared" si="198"/>
        <v>2596.6697467428899</v>
      </c>
      <c r="AY180" s="1247">
        <f t="shared" si="198"/>
        <v>2654.3735188927317</v>
      </c>
      <c r="AZ180" s="1247">
        <f t="shared" si="198"/>
        <v>2712.077291042574</v>
      </c>
      <c r="BA180" s="1247">
        <f t="shared" si="198"/>
        <v>2769.7810631924158</v>
      </c>
      <c r="BB180" s="1247">
        <f t="shared" si="198"/>
        <v>2827.4848353422581</v>
      </c>
      <c r="BC180" s="1247">
        <f t="shared" si="198"/>
        <v>2885.1886074920999</v>
      </c>
      <c r="BD180" s="1247">
        <f t="shared" si="198"/>
        <v>2942.8923796419417</v>
      </c>
      <c r="BE180" s="1247">
        <f t="shared" si="198"/>
        <v>3000.596151791784</v>
      </c>
      <c r="BF180" s="1247">
        <f t="shared" si="198"/>
        <v>3058.2999239416258</v>
      </c>
      <c r="BG180" s="1184" t="str">
        <f t="array" ref="BG180">INDEX(E180:E180&amp;"."&amp;F180:F180&amp;"."&amp;$J$71:$BF$71&amp;"."&amp;G180:G180,IFERROR(MATCH($C$10,$J180:$BF180),0))</f>
        <v>150.360.1200.2ТГ</v>
      </c>
      <c r="BL180" s="1184" t="str">
        <f t="shared" si="184"/>
        <v>150.360.1200.2ТГ</v>
      </c>
    </row>
    <row r="181" spans="1:64" s="1184" customFormat="1">
      <c r="A181" s="2495"/>
      <c r="B181" s="2509" t="s">
        <v>5685</v>
      </c>
      <c r="C181" s="2509"/>
      <c r="D181" s="1245" t="s">
        <v>4533</v>
      </c>
      <c r="E181" s="1246">
        <v>150</v>
      </c>
      <c r="F181" s="1246">
        <v>360</v>
      </c>
      <c r="G181" s="1245" t="s">
        <v>200</v>
      </c>
      <c r="H181" s="1247">
        <f t="shared" ref="H181:BF181" si="199">((H$71-$H$4)/1000)*$Q$46*(($C$8/70)^$AC46)</f>
        <v>190.23221587859999</v>
      </c>
      <c r="I181" s="1248">
        <f t="shared" si="199"/>
        <v>253.6429545048</v>
      </c>
      <c r="J181" s="1247">
        <f t="shared" si="199"/>
        <v>317.05369313099999</v>
      </c>
      <c r="K181" s="1247">
        <f t="shared" si="199"/>
        <v>380.46443175719997</v>
      </c>
      <c r="L181" s="1247">
        <f t="shared" si="199"/>
        <v>443.87517038339996</v>
      </c>
      <c r="M181" s="1247">
        <f t="shared" si="199"/>
        <v>507.2859090096</v>
      </c>
      <c r="N181" s="1247">
        <f t="shared" si="199"/>
        <v>570.69664763579999</v>
      </c>
      <c r="O181" s="1247">
        <f t="shared" si="199"/>
        <v>634.10738626199998</v>
      </c>
      <c r="P181" s="1247">
        <f t="shared" si="199"/>
        <v>697.51812488820008</v>
      </c>
      <c r="Q181" s="1247">
        <f t="shared" si="199"/>
        <v>760.92886351439995</v>
      </c>
      <c r="R181" s="1247">
        <f t="shared" si="199"/>
        <v>824.33960214060005</v>
      </c>
      <c r="S181" s="1247">
        <f t="shared" si="199"/>
        <v>887.75034076679992</v>
      </c>
      <c r="T181" s="1247">
        <f t="shared" si="199"/>
        <v>951.16107939299991</v>
      </c>
      <c r="U181" s="1247">
        <f t="shared" si="199"/>
        <v>1014.5718180192</v>
      </c>
      <c r="V181" s="1247">
        <f t="shared" si="199"/>
        <v>1077.9825566453999</v>
      </c>
      <c r="W181" s="1247">
        <f t="shared" si="199"/>
        <v>1141.3932952716</v>
      </c>
      <c r="X181" s="1247">
        <f t="shared" si="199"/>
        <v>1204.8040338977999</v>
      </c>
      <c r="Y181" s="1247">
        <f t="shared" si="199"/>
        <v>1268.214772524</v>
      </c>
      <c r="Z181" s="1247">
        <f t="shared" si="199"/>
        <v>1331.6255111502001</v>
      </c>
      <c r="AA181" s="1247">
        <f t="shared" si="199"/>
        <v>1395.0362497764002</v>
      </c>
      <c r="AB181" s="1247">
        <f t="shared" si="199"/>
        <v>1458.4469884025998</v>
      </c>
      <c r="AC181" s="1247">
        <f t="shared" si="199"/>
        <v>1521.8577270287999</v>
      </c>
      <c r="AD181" s="1247">
        <f t="shared" si="199"/>
        <v>1585.268465655</v>
      </c>
      <c r="AE181" s="1247">
        <f t="shared" si="199"/>
        <v>1648.6792042812001</v>
      </c>
      <c r="AF181" s="1247">
        <f t="shared" si="199"/>
        <v>1712.0899429074</v>
      </c>
      <c r="AG181" s="1247">
        <f t="shared" si="199"/>
        <v>1775.5006815335998</v>
      </c>
      <c r="AH181" s="1247">
        <f t="shared" si="199"/>
        <v>1838.9114201597999</v>
      </c>
      <c r="AI181" s="1247">
        <f t="shared" si="199"/>
        <v>1902.3221587859998</v>
      </c>
      <c r="AJ181" s="1247">
        <f t="shared" si="199"/>
        <v>1965.7328974121999</v>
      </c>
      <c r="AK181" s="1247">
        <f t="shared" si="199"/>
        <v>2029.1436360384</v>
      </c>
      <c r="AL181" s="1247">
        <f t="shared" si="199"/>
        <v>2092.5543746645999</v>
      </c>
      <c r="AM181" s="1247">
        <f t="shared" si="199"/>
        <v>2155.9651132907998</v>
      </c>
      <c r="AN181" s="1247">
        <f t="shared" si="199"/>
        <v>2219.3758519170001</v>
      </c>
      <c r="AO181" s="1247">
        <f t="shared" si="199"/>
        <v>2282.7865905432</v>
      </c>
      <c r="AP181" s="1247">
        <f t="shared" si="199"/>
        <v>2346.1973291693998</v>
      </c>
      <c r="AQ181" s="1247">
        <f t="shared" si="199"/>
        <v>2409.6080677955997</v>
      </c>
      <c r="AR181" s="1247">
        <f t="shared" si="199"/>
        <v>2473.0188064218</v>
      </c>
      <c r="AS181" s="1247">
        <f t="shared" si="199"/>
        <v>2536.4295450479999</v>
      </c>
      <c r="AT181" s="1247">
        <f t="shared" si="199"/>
        <v>2599.8402836741998</v>
      </c>
      <c r="AU181" s="1247">
        <f t="shared" si="199"/>
        <v>2663.2510223004001</v>
      </c>
      <c r="AV181" s="1247">
        <f t="shared" si="199"/>
        <v>2726.6617609266</v>
      </c>
      <c r="AW181" s="1247">
        <f t="shared" si="199"/>
        <v>2790.0724995528003</v>
      </c>
      <c r="AX181" s="1247">
        <f t="shared" si="199"/>
        <v>2853.4832381789997</v>
      </c>
      <c r="AY181" s="1247">
        <f t="shared" si="199"/>
        <v>2916.8939768051996</v>
      </c>
      <c r="AZ181" s="1247">
        <f t="shared" si="199"/>
        <v>2980.3047154313999</v>
      </c>
      <c r="BA181" s="1247">
        <f t="shared" si="199"/>
        <v>3043.7154540575998</v>
      </c>
      <c r="BB181" s="1247">
        <f t="shared" si="199"/>
        <v>3107.1261926838001</v>
      </c>
      <c r="BC181" s="1247">
        <f t="shared" si="199"/>
        <v>3170.53693131</v>
      </c>
      <c r="BD181" s="1247">
        <f t="shared" si="199"/>
        <v>3233.9476699361999</v>
      </c>
      <c r="BE181" s="1247">
        <f t="shared" si="199"/>
        <v>3297.3584085624002</v>
      </c>
      <c r="BF181" s="1247">
        <f t="shared" si="199"/>
        <v>3360.7691471885996</v>
      </c>
      <c r="BG181" s="1184" t="str">
        <f t="array" ref="BG181">INDEX(E181:E181&amp;"."&amp;F181:F181&amp;"."&amp;$J$71:$BF$71&amp;"."&amp;G181:G181,IFERROR(MATCH($C$10,$J181:$BF181),0))</f>
        <v>150.360.1100.4ТГ</v>
      </c>
      <c r="BL181" s="1184" t="str">
        <f t="shared" si="184"/>
        <v>150.360.1100.4ТГ</v>
      </c>
    </row>
    <row r="182" spans="1:64" s="1184" customFormat="1" ht="15.75" thickBot="1">
      <c r="A182" s="2495"/>
      <c r="B182" s="2560" t="s">
        <v>5686</v>
      </c>
      <c r="C182" s="2560"/>
      <c r="D182" s="1249" t="s">
        <v>4533</v>
      </c>
      <c r="E182" s="1250">
        <v>150</v>
      </c>
      <c r="F182" s="1250">
        <v>400</v>
      </c>
      <c r="G182" s="1249" t="s">
        <v>200</v>
      </c>
      <c r="H182" s="1251">
        <f t="shared" ref="H182:BF182" si="200">((H$71-$H$4)/1000)*$S$46*(($C$8/70)^$AE$46)</f>
        <v>204.83999999999997</v>
      </c>
      <c r="I182" s="1252">
        <f t="shared" si="200"/>
        <v>273.12</v>
      </c>
      <c r="J182" s="1251">
        <f t="shared" si="200"/>
        <v>341.4</v>
      </c>
      <c r="K182" s="1251">
        <f t="shared" si="200"/>
        <v>409.67999999999995</v>
      </c>
      <c r="L182" s="1251">
        <f t="shared" si="200"/>
        <v>477.95999999999992</v>
      </c>
      <c r="M182" s="1251">
        <f t="shared" si="200"/>
        <v>546.24</v>
      </c>
      <c r="N182" s="1251">
        <f t="shared" si="200"/>
        <v>614.52</v>
      </c>
      <c r="O182" s="1251">
        <f t="shared" si="200"/>
        <v>682.8</v>
      </c>
      <c r="P182" s="1251">
        <f t="shared" si="200"/>
        <v>751.08</v>
      </c>
      <c r="Q182" s="1251">
        <f t="shared" si="200"/>
        <v>819.3599999999999</v>
      </c>
      <c r="R182" s="1251">
        <f t="shared" si="200"/>
        <v>887.64</v>
      </c>
      <c r="S182" s="1251">
        <f t="shared" si="200"/>
        <v>955.91999999999985</v>
      </c>
      <c r="T182" s="1251">
        <f t="shared" si="200"/>
        <v>1024.1999999999998</v>
      </c>
      <c r="U182" s="1251">
        <f t="shared" si="200"/>
        <v>1092.48</v>
      </c>
      <c r="V182" s="1251">
        <f t="shared" si="200"/>
        <v>1160.76</v>
      </c>
      <c r="W182" s="1251">
        <f t="shared" si="200"/>
        <v>1229.04</v>
      </c>
      <c r="X182" s="1251">
        <f t="shared" si="200"/>
        <v>1297.32</v>
      </c>
      <c r="Y182" s="1251">
        <f t="shared" si="200"/>
        <v>1365.6</v>
      </c>
      <c r="Z182" s="1251">
        <f t="shared" si="200"/>
        <v>1433.8799999999999</v>
      </c>
      <c r="AA182" s="1251">
        <f t="shared" si="200"/>
        <v>1502.16</v>
      </c>
      <c r="AB182" s="1251">
        <f t="shared" si="200"/>
        <v>1570.4399999999998</v>
      </c>
      <c r="AC182" s="1251">
        <f t="shared" si="200"/>
        <v>1638.7199999999998</v>
      </c>
      <c r="AD182" s="1251">
        <f t="shared" si="200"/>
        <v>1707</v>
      </c>
      <c r="AE182" s="1251">
        <f t="shared" si="200"/>
        <v>1775.28</v>
      </c>
      <c r="AF182" s="1251">
        <f t="shared" si="200"/>
        <v>1843.56</v>
      </c>
      <c r="AG182" s="1251">
        <f t="shared" si="200"/>
        <v>1911.8399999999997</v>
      </c>
      <c r="AH182" s="1251">
        <f t="shared" si="200"/>
        <v>1980.12</v>
      </c>
      <c r="AI182" s="1251">
        <f t="shared" si="200"/>
        <v>2048.3999999999996</v>
      </c>
      <c r="AJ182" s="1251">
        <f t="shared" si="200"/>
        <v>2116.6799999999998</v>
      </c>
      <c r="AK182" s="1251">
        <f t="shared" si="200"/>
        <v>2184.96</v>
      </c>
      <c r="AL182" s="1251">
        <f t="shared" si="200"/>
        <v>2253.2399999999998</v>
      </c>
      <c r="AM182" s="1251">
        <f t="shared" si="200"/>
        <v>2321.52</v>
      </c>
      <c r="AN182" s="1251">
        <f t="shared" si="200"/>
        <v>2389.7999999999997</v>
      </c>
      <c r="AO182" s="1251">
        <f t="shared" si="200"/>
        <v>2458.08</v>
      </c>
      <c r="AP182" s="1251">
        <f t="shared" si="200"/>
        <v>2526.36</v>
      </c>
      <c r="AQ182" s="1251">
        <f t="shared" si="200"/>
        <v>2594.64</v>
      </c>
      <c r="AR182" s="1251">
        <f t="shared" si="200"/>
        <v>2662.9199999999996</v>
      </c>
      <c r="AS182" s="1251">
        <f t="shared" si="200"/>
        <v>2731.2</v>
      </c>
      <c r="AT182" s="1251">
        <f t="shared" si="200"/>
        <v>2799.4799999999996</v>
      </c>
      <c r="AU182" s="1251">
        <f t="shared" si="200"/>
        <v>2867.7599999999998</v>
      </c>
      <c r="AV182" s="1251">
        <f t="shared" si="200"/>
        <v>2936.0399999999995</v>
      </c>
      <c r="AW182" s="1251">
        <f t="shared" si="200"/>
        <v>3004.32</v>
      </c>
      <c r="AX182" s="1251">
        <f t="shared" si="200"/>
        <v>3072.6</v>
      </c>
      <c r="AY182" s="1251">
        <f t="shared" si="200"/>
        <v>3140.8799999999997</v>
      </c>
      <c r="AZ182" s="1251">
        <f t="shared" si="200"/>
        <v>3209.16</v>
      </c>
      <c r="BA182" s="1251">
        <f t="shared" si="200"/>
        <v>3277.4399999999996</v>
      </c>
      <c r="BB182" s="1251">
        <f t="shared" si="200"/>
        <v>3345.72</v>
      </c>
      <c r="BC182" s="1251">
        <f t="shared" si="200"/>
        <v>3414</v>
      </c>
      <c r="BD182" s="1251">
        <f t="shared" si="200"/>
        <v>3482.2799999999997</v>
      </c>
      <c r="BE182" s="1251">
        <f t="shared" si="200"/>
        <v>3550.56</v>
      </c>
      <c r="BF182" s="1251">
        <f t="shared" si="200"/>
        <v>3618.8399999999997</v>
      </c>
      <c r="BG182" s="1184" t="str">
        <f t="array" ref="BG182">INDEX(E182:E182&amp;"."&amp;F182:F182&amp;"."&amp;$J$71:$BF$71&amp;"."&amp;G182:G182,IFERROR(MATCH($C$10,$J182:$BF182),0))</f>
        <v>150.400.1050.4ТГ</v>
      </c>
      <c r="BL182" s="1184" t="str">
        <f t="shared" si="184"/>
        <v>150.400.1050.4ТГ</v>
      </c>
    </row>
    <row r="183" spans="1:64" s="1184" customFormat="1" ht="15" hidden="1" customHeight="1">
      <c r="A183" s="2495"/>
      <c r="B183" s="2583" t="s">
        <v>5687</v>
      </c>
      <c r="C183" s="2583"/>
      <c r="D183" s="1253" t="s">
        <v>4533</v>
      </c>
      <c r="E183" s="1254">
        <v>200</v>
      </c>
      <c r="F183" s="1254">
        <v>160</v>
      </c>
      <c r="G183" s="1253" t="s">
        <v>5688</v>
      </c>
      <c r="H183" s="1255">
        <f t="shared" ref="H183:BF183" si="201">((H$71-$H$4)/1000)*$K$47*(($C$8/70)^$W$47)</f>
        <v>104.5624464</v>
      </c>
      <c r="I183" s="1256">
        <f t="shared" si="201"/>
        <v>139.41659520000002</v>
      </c>
      <c r="J183" s="1255">
        <f t="shared" si="201"/>
        <v>174.27074400000001</v>
      </c>
      <c r="K183" s="1255">
        <f t="shared" si="201"/>
        <v>209.1248928</v>
      </c>
      <c r="L183" s="1255">
        <f t="shared" si="201"/>
        <v>243.97904159999999</v>
      </c>
      <c r="M183" s="1255">
        <f t="shared" si="201"/>
        <v>278.83319040000003</v>
      </c>
      <c r="N183" s="1255">
        <f t="shared" si="201"/>
        <v>313.6873392</v>
      </c>
      <c r="O183" s="1255">
        <f t="shared" si="201"/>
        <v>348.54148800000002</v>
      </c>
      <c r="P183" s="1255">
        <f t="shared" si="201"/>
        <v>383.39563680000003</v>
      </c>
      <c r="Q183" s="1255">
        <f t="shared" si="201"/>
        <v>418.2497856</v>
      </c>
      <c r="R183" s="1255">
        <f t="shared" si="201"/>
        <v>453.10393440000001</v>
      </c>
      <c r="S183" s="1255">
        <f t="shared" si="201"/>
        <v>487.95808319999998</v>
      </c>
      <c r="T183" s="1255">
        <f t="shared" si="201"/>
        <v>522.81223199999999</v>
      </c>
      <c r="U183" s="1255">
        <f t="shared" si="201"/>
        <v>557.66638080000007</v>
      </c>
      <c r="V183" s="1255">
        <f t="shared" si="201"/>
        <v>592.52052960000003</v>
      </c>
      <c r="W183" s="1255">
        <f t="shared" si="201"/>
        <v>627.37467839999999</v>
      </c>
      <c r="X183" s="1255">
        <f t="shared" si="201"/>
        <v>662.22882719999996</v>
      </c>
      <c r="Y183" s="1255">
        <f t="shared" si="201"/>
        <v>697.08297600000003</v>
      </c>
      <c r="Z183" s="1255">
        <f t="shared" si="201"/>
        <v>731.93712480000011</v>
      </c>
      <c r="AA183" s="1255">
        <f t="shared" si="201"/>
        <v>766.79127360000007</v>
      </c>
      <c r="AB183" s="1255">
        <f t="shared" si="201"/>
        <v>801.64542240000003</v>
      </c>
      <c r="AC183" s="1255">
        <f t="shared" si="201"/>
        <v>836.49957119999999</v>
      </c>
      <c r="AD183" s="1255">
        <f t="shared" si="201"/>
        <v>871.35372000000007</v>
      </c>
      <c r="AE183" s="1255">
        <f t="shared" si="201"/>
        <v>906.20786880000003</v>
      </c>
      <c r="AF183" s="1255">
        <f t="shared" si="201"/>
        <v>941.0620176000001</v>
      </c>
      <c r="AG183" s="1255">
        <f t="shared" si="201"/>
        <v>975.91616639999995</v>
      </c>
      <c r="AH183" s="1255">
        <f t="shared" si="201"/>
        <v>1010.7703152</v>
      </c>
      <c r="AI183" s="1255">
        <f t="shared" si="201"/>
        <v>1045.624464</v>
      </c>
      <c r="AJ183" s="1255">
        <f t="shared" si="201"/>
        <v>1080.4786128000001</v>
      </c>
      <c r="AK183" s="1255">
        <f t="shared" si="201"/>
        <v>1115.3327616000001</v>
      </c>
      <c r="AL183" s="1255">
        <f t="shared" si="201"/>
        <v>1150.1869104</v>
      </c>
      <c r="AM183" s="1255">
        <f t="shared" si="201"/>
        <v>1185.0410592000001</v>
      </c>
      <c r="AN183" s="1255">
        <f t="shared" si="201"/>
        <v>1219.8952080000001</v>
      </c>
      <c r="AO183" s="1255">
        <f t="shared" si="201"/>
        <v>1254.7493568</v>
      </c>
      <c r="AP183" s="1255">
        <f t="shared" si="201"/>
        <v>1289.6035056000001</v>
      </c>
      <c r="AQ183" s="1255">
        <f t="shared" si="201"/>
        <v>1324.4576543999999</v>
      </c>
      <c r="AR183" s="1255">
        <f t="shared" si="201"/>
        <v>1359.3118032</v>
      </c>
      <c r="AS183" s="1255">
        <f t="shared" si="201"/>
        <v>1394.1659520000001</v>
      </c>
      <c r="AT183" s="1255">
        <f t="shared" si="201"/>
        <v>1429.0201007999999</v>
      </c>
      <c r="AU183" s="1255">
        <f t="shared" si="201"/>
        <v>1463.8742496000002</v>
      </c>
      <c r="AV183" s="1255">
        <f t="shared" si="201"/>
        <v>1498.7283984000001</v>
      </c>
      <c r="AW183" s="1255">
        <f t="shared" si="201"/>
        <v>1533.5825472000001</v>
      </c>
      <c r="AX183" s="1255">
        <f t="shared" si="201"/>
        <v>1568.436696</v>
      </c>
      <c r="AY183" s="1255">
        <f t="shared" si="201"/>
        <v>1603.2908448000001</v>
      </c>
      <c r="AZ183" s="1255">
        <f t="shared" si="201"/>
        <v>1638.1449936000001</v>
      </c>
      <c r="BA183" s="1255">
        <f t="shared" si="201"/>
        <v>1672.9991424</v>
      </c>
      <c r="BB183" s="1255">
        <f t="shared" si="201"/>
        <v>1707.8532912000003</v>
      </c>
      <c r="BC183" s="1255">
        <f t="shared" si="201"/>
        <v>1742.7074400000001</v>
      </c>
      <c r="BD183" s="1255">
        <f t="shared" si="201"/>
        <v>1777.5615888</v>
      </c>
      <c r="BE183" s="1255">
        <f t="shared" si="201"/>
        <v>1812.4157376000001</v>
      </c>
      <c r="BF183" s="1255">
        <f t="shared" si="201"/>
        <v>1847.2698864000001</v>
      </c>
      <c r="BG183" s="1184" t="str">
        <f t="array" ref="BG183">INDEX(E183:E183&amp;"."&amp;F183:F183&amp;"."&amp;$J$71:$BF$71&amp;"."&amp;G183:G183,IFERROR(MATCH($C$10,$J183:$BF183),0))</f>
        <v>200.160.1750.2ТВ</v>
      </c>
      <c r="BL183" s="1184" t="str">
        <f t="shared" si="184"/>
        <v>200.160.1750.2ТВ</v>
      </c>
    </row>
    <row r="184" spans="1:64" s="1184" customFormat="1">
      <c r="A184" s="2495"/>
      <c r="B184" s="2584" t="s">
        <v>5689</v>
      </c>
      <c r="C184" s="2584"/>
      <c r="D184" s="1257" t="s">
        <v>4533</v>
      </c>
      <c r="E184" s="1258">
        <v>200</v>
      </c>
      <c r="F184" s="1258">
        <v>200</v>
      </c>
      <c r="G184" s="1257" t="s">
        <v>254</v>
      </c>
      <c r="H184" s="1259">
        <f t="shared" ref="H184:BF184" si="202">((H$71-$H$4)/1000)*$L$47*(($C$8/70)^$X$47)</f>
        <v>207.53755243454583</v>
      </c>
      <c r="I184" s="1260">
        <f t="shared" si="202"/>
        <v>276.71673657939448</v>
      </c>
      <c r="J184" s="1259">
        <f t="shared" si="202"/>
        <v>345.89592072424307</v>
      </c>
      <c r="K184" s="1259">
        <f t="shared" si="202"/>
        <v>415.07510486909166</v>
      </c>
      <c r="L184" s="1259">
        <f t="shared" si="202"/>
        <v>484.25428901394025</v>
      </c>
      <c r="M184" s="1259">
        <f t="shared" si="202"/>
        <v>553.43347315878896</v>
      </c>
      <c r="N184" s="1259">
        <f t="shared" si="202"/>
        <v>622.61265730363755</v>
      </c>
      <c r="O184" s="1259">
        <f t="shared" si="202"/>
        <v>691.79184144848614</v>
      </c>
      <c r="P184" s="1259">
        <f t="shared" si="202"/>
        <v>760.97102559333484</v>
      </c>
      <c r="Q184" s="1259">
        <f t="shared" si="202"/>
        <v>830.15020973818332</v>
      </c>
      <c r="R184" s="1259">
        <f t="shared" si="202"/>
        <v>899.32939388303203</v>
      </c>
      <c r="S184" s="1259">
        <f t="shared" si="202"/>
        <v>968.5085780278805</v>
      </c>
      <c r="T184" s="1259">
        <f t="shared" si="202"/>
        <v>1037.6877621727292</v>
      </c>
      <c r="U184" s="1259">
        <f t="shared" si="202"/>
        <v>1106.8669463175779</v>
      </c>
      <c r="V184" s="1259">
        <f t="shared" si="202"/>
        <v>1176.0461304624264</v>
      </c>
      <c r="W184" s="1259">
        <f t="shared" si="202"/>
        <v>1245.2253146072751</v>
      </c>
      <c r="X184" s="1259">
        <f t="shared" si="202"/>
        <v>1314.4044987521236</v>
      </c>
      <c r="Y184" s="1259">
        <f t="shared" si="202"/>
        <v>1383.5836828969723</v>
      </c>
      <c r="Z184" s="1259">
        <f t="shared" si="202"/>
        <v>1452.762867041821</v>
      </c>
      <c r="AA184" s="1259">
        <f t="shared" si="202"/>
        <v>1521.9420511866697</v>
      </c>
      <c r="AB184" s="1259">
        <f t="shared" si="202"/>
        <v>1591.1212353315179</v>
      </c>
      <c r="AC184" s="1259">
        <f t="shared" si="202"/>
        <v>1660.3004194763666</v>
      </c>
      <c r="AD184" s="1259">
        <f t="shared" si="202"/>
        <v>1729.4796036212153</v>
      </c>
      <c r="AE184" s="1259">
        <f t="shared" si="202"/>
        <v>1798.6587877660641</v>
      </c>
      <c r="AF184" s="1259">
        <f t="shared" si="202"/>
        <v>1867.8379719109128</v>
      </c>
      <c r="AG184" s="1259">
        <f t="shared" si="202"/>
        <v>1937.017156055761</v>
      </c>
      <c r="AH184" s="1259">
        <f t="shared" si="202"/>
        <v>2006.1963402006097</v>
      </c>
      <c r="AI184" s="1259">
        <f t="shared" si="202"/>
        <v>2075.3755243454584</v>
      </c>
      <c r="AJ184" s="1259">
        <f t="shared" si="202"/>
        <v>2144.5547084903069</v>
      </c>
      <c r="AK184" s="1259">
        <f t="shared" si="202"/>
        <v>2213.7338926351558</v>
      </c>
      <c r="AL184" s="1259">
        <f t="shared" si="202"/>
        <v>2282.9130767800043</v>
      </c>
      <c r="AM184" s="1259">
        <f t="shared" si="202"/>
        <v>2352.0922609248528</v>
      </c>
      <c r="AN184" s="1259">
        <f t="shared" si="202"/>
        <v>2421.2714450697013</v>
      </c>
      <c r="AO184" s="1259">
        <f t="shared" si="202"/>
        <v>2490.4506292145502</v>
      </c>
      <c r="AP184" s="1259">
        <f t="shared" si="202"/>
        <v>2559.6298133593987</v>
      </c>
      <c r="AQ184" s="1259">
        <f t="shared" si="202"/>
        <v>2628.8089975042471</v>
      </c>
      <c r="AR184" s="1259">
        <f t="shared" si="202"/>
        <v>2697.9881816490961</v>
      </c>
      <c r="AS184" s="1259">
        <f t="shared" si="202"/>
        <v>2767.1673657939446</v>
      </c>
      <c r="AT184" s="1259">
        <f t="shared" si="202"/>
        <v>2836.346549938793</v>
      </c>
      <c r="AU184" s="1259">
        <f t="shared" si="202"/>
        <v>2905.525734083642</v>
      </c>
      <c r="AV184" s="1259">
        <f t="shared" si="202"/>
        <v>2974.7049182284904</v>
      </c>
      <c r="AW184" s="1259">
        <f t="shared" si="202"/>
        <v>3043.8841023733394</v>
      </c>
      <c r="AX184" s="1259">
        <f t="shared" si="202"/>
        <v>3113.0632865181879</v>
      </c>
      <c r="AY184" s="1259">
        <f t="shared" si="202"/>
        <v>3182.2424706630359</v>
      </c>
      <c r="AZ184" s="1259">
        <f t="shared" si="202"/>
        <v>3251.4216548078848</v>
      </c>
      <c r="BA184" s="1259">
        <f t="shared" si="202"/>
        <v>3320.6008389527333</v>
      </c>
      <c r="BB184" s="1259">
        <f t="shared" si="202"/>
        <v>3389.7800230975822</v>
      </c>
      <c r="BC184" s="1259">
        <f t="shared" si="202"/>
        <v>3458.9592072424307</v>
      </c>
      <c r="BD184" s="1259">
        <f t="shared" si="202"/>
        <v>3528.1383913872792</v>
      </c>
      <c r="BE184" s="1259">
        <f t="shared" si="202"/>
        <v>3597.3175755321281</v>
      </c>
      <c r="BF184" s="1259">
        <f t="shared" si="202"/>
        <v>3666.4967596769766</v>
      </c>
      <c r="BG184" s="1184" t="str">
        <f t="array" ref="BG184">INDEX(E184:E184&amp;"."&amp;F184:F184&amp;"."&amp;$J$71:$BF$71&amp;"."&amp;G184:G184,IFERROR(MATCH($C$10,$J184:$BF184),0))</f>
        <v>200.200.1050.4ТК</v>
      </c>
      <c r="BL184" s="1184" t="str">
        <f t="shared" si="184"/>
        <v>200.200.1050.4ТК</v>
      </c>
    </row>
    <row r="185" spans="1:64" s="1184" customFormat="1">
      <c r="A185" s="2495"/>
      <c r="B185" s="2584" t="s">
        <v>5690</v>
      </c>
      <c r="C185" s="2584"/>
      <c r="D185" s="1257" t="s">
        <v>4533</v>
      </c>
      <c r="E185" s="1258">
        <v>200</v>
      </c>
      <c r="F185" s="1258">
        <v>260</v>
      </c>
      <c r="G185" s="1257" t="s">
        <v>254</v>
      </c>
      <c r="H185" s="1259">
        <f t="shared" ref="H185:BF185" si="203">((H$71-$H$4)/1000)*$M$47*(($C$8/70)^$Y$47)</f>
        <v>223.1586585317697</v>
      </c>
      <c r="I185" s="1259">
        <f t="shared" si="203"/>
        <v>297.54487804235958</v>
      </c>
      <c r="J185" s="1259">
        <f t="shared" si="203"/>
        <v>371.9310975529495</v>
      </c>
      <c r="K185" s="1259">
        <f t="shared" si="203"/>
        <v>446.31731706353941</v>
      </c>
      <c r="L185" s="1259">
        <f t="shared" si="203"/>
        <v>520.70353657412932</v>
      </c>
      <c r="M185" s="1259">
        <f t="shared" si="203"/>
        <v>595.08975608471917</v>
      </c>
      <c r="N185" s="1259">
        <f t="shared" si="203"/>
        <v>669.47597559530914</v>
      </c>
      <c r="O185" s="1259">
        <f t="shared" si="203"/>
        <v>743.86219510589899</v>
      </c>
      <c r="P185" s="1259">
        <f t="shared" si="203"/>
        <v>818.24841461648896</v>
      </c>
      <c r="Q185" s="1259">
        <f t="shared" si="203"/>
        <v>892.63463412707881</v>
      </c>
      <c r="R185" s="1259">
        <f t="shared" si="203"/>
        <v>967.02085363766867</v>
      </c>
      <c r="S185" s="1259">
        <f t="shared" si="203"/>
        <v>1041.4070731482586</v>
      </c>
      <c r="T185" s="1259">
        <f t="shared" si="203"/>
        <v>1115.7932926588485</v>
      </c>
      <c r="U185" s="1259">
        <f t="shared" si="203"/>
        <v>1190.1795121694383</v>
      </c>
      <c r="V185" s="1259">
        <f t="shared" si="203"/>
        <v>1264.5657316800282</v>
      </c>
      <c r="W185" s="1259">
        <f t="shared" si="203"/>
        <v>1338.9519511906183</v>
      </c>
      <c r="X185" s="1259">
        <f t="shared" si="203"/>
        <v>1413.3381707012081</v>
      </c>
      <c r="Y185" s="1259">
        <f t="shared" si="203"/>
        <v>1487.724390211798</v>
      </c>
      <c r="Z185" s="1259">
        <f t="shared" si="203"/>
        <v>1562.1106097223878</v>
      </c>
      <c r="AA185" s="1259">
        <f t="shared" si="203"/>
        <v>1636.4968292329779</v>
      </c>
      <c r="AB185" s="1259">
        <f t="shared" si="203"/>
        <v>1710.8830487435675</v>
      </c>
      <c r="AC185" s="1259">
        <f t="shared" si="203"/>
        <v>1785.2692682541576</v>
      </c>
      <c r="AD185" s="1259">
        <f t="shared" si="203"/>
        <v>1859.6554877647475</v>
      </c>
      <c r="AE185" s="1259">
        <f t="shared" si="203"/>
        <v>1934.0417072753373</v>
      </c>
      <c r="AF185" s="1259">
        <f t="shared" si="203"/>
        <v>2008.4279267859274</v>
      </c>
      <c r="AG185" s="1259">
        <f t="shared" si="203"/>
        <v>2082.8141462965173</v>
      </c>
      <c r="AH185" s="1259">
        <f t="shared" si="203"/>
        <v>2157.2003658071071</v>
      </c>
      <c r="AI185" s="1259">
        <f t="shared" si="203"/>
        <v>2231.586585317697</v>
      </c>
      <c r="AJ185" s="1259">
        <f t="shared" si="203"/>
        <v>2305.9728048282868</v>
      </c>
      <c r="AK185" s="1259">
        <f t="shared" si="203"/>
        <v>2380.3590243388767</v>
      </c>
      <c r="AL185" s="1259">
        <f t="shared" si="203"/>
        <v>2454.7452438494665</v>
      </c>
      <c r="AM185" s="1259">
        <f t="shared" si="203"/>
        <v>2529.1314633600564</v>
      </c>
      <c r="AN185" s="1259">
        <f t="shared" si="203"/>
        <v>2603.5176828706462</v>
      </c>
      <c r="AO185" s="1259">
        <f t="shared" si="203"/>
        <v>2677.9039023812365</v>
      </c>
      <c r="AP185" s="1259">
        <f t="shared" si="203"/>
        <v>2752.2901218918264</v>
      </c>
      <c r="AQ185" s="1259">
        <f t="shared" si="203"/>
        <v>2826.6763414024163</v>
      </c>
      <c r="AR185" s="1259">
        <f t="shared" si="203"/>
        <v>2901.0625609130061</v>
      </c>
      <c r="AS185" s="1259">
        <f t="shared" si="203"/>
        <v>2975.448780423596</v>
      </c>
      <c r="AT185" s="1259">
        <f t="shared" si="203"/>
        <v>3049.8349999341858</v>
      </c>
      <c r="AU185" s="1259">
        <f t="shared" si="203"/>
        <v>3124.2212194447757</v>
      </c>
      <c r="AV185" s="1259">
        <f t="shared" si="203"/>
        <v>3198.6074389553655</v>
      </c>
      <c r="AW185" s="1259">
        <f t="shared" si="203"/>
        <v>3272.9936584659558</v>
      </c>
      <c r="AX185" s="1259">
        <f t="shared" si="203"/>
        <v>3347.3798779765457</v>
      </c>
      <c r="AY185" s="1259">
        <f t="shared" si="203"/>
        <v>3421.7660974871351</v>
      </c>
      <c r="AZ185" s="1259">
        <f t="shared" si="203"/>
        <v>3496.1523169977254</v>
      </c>
      <c r="BA185" s="1259">
        <f t="shared" si="203"/>
        <v>3570.5385365083152</v>
      </c>
      <c r="BB185" s="1259">
        <f t="shared" si="203"/>
        <v>3644.9247560189051</v>
      </c>
      <c r="BC185" s="1259">
        <f t="shared" si="203"/>
        <v>3719.310975529495</v>
      </c>
      <c r="BD185" s="1259">
        <f t="shared" si="203"/>
        <v>3793.6971950400848</v>
      </c>
      <c r="BE185" s="1259">
        <f t="shared" si="203"/>
        <v>3868.0834145506747</v>
      </c>
      <c r="BF185" s="1259">
        <f t="shared" si="203"/>
        <v>3942.4696340612645</v>
      </c>
      <c r="BG185" s="1184" t="str">
        <f t="array" ref="BG185">INDEX(E185:E185&amp;"."&amp;F185:F185&amp;"."&amp;$J$71:$BF$71&amp;"."&amp;G185:G185,IFERROR(MATCH($C$10,$J185:$BF185),0))</f>
        <v>200.260.1000.4ТК</v>
      </c>
      <c r="BL185" s="1184" t="str">
        <f t="shared" si="184"/>
        <v>200.260.1000.4ТК</v>
      </c>
    </row>
    <row r="186" spans="1:64" s="1184" customFormat="1">
      <c r="A186" s="2495"/>
      <c r="B186" s="2584" t="s">
        <v>5691</v>
      </c>
      <c r="C186" s="2584"/>
      <c r="D186" s="1257" t="s">
        <v>4533</v>
      </c>
      <c r="E186" s="1258">
        <v>200</v>
      </c>
      <c r="F186" s="1258">
        <v>300</v>
      </c>
      <c r="G186" s="1257" t="s">
        <v>254</v>
      </c>
      <c r="H186" s="1259">
        <f t="shared" ref="H186:BF186" si="204">((H$71-$H$4)/1000)*$N$47*(($C$8/70)^$Z$47)</f>
        <v>239.03336436013566</v>
      </c>
      <c r="I186" s="1259">
        <f t="shared" si="204"/>
        <v>318.71115248018094</v>
      </c>
      <c r="J186" s="1259">
        <f t="shared" si="204"/>
        <v>398.38894060022614</v>
      </c>
      <c r="K186" s="1259">
        <f t="shared" si="204"/>
        <v>478.06672872027133</v>
      </c>
      <c r="L186" s="1259">
        <f t="shared" si="204"/>
        <v>557.74451684031658</v>
      </c>
      <c r="M186" s="1259">
        <f t="shared" si="204"/>
        <v>637.42230496036188</v>
      </c>
      <c r="N186" s="1259">
        <f t="shared" si="204"/>
        <v>717.10009308040708</v>
      </c>
      <c r="O186" s="1259">
        <f t="shared" si="204"/>
        <v>796.77788120045227</v>
      </c>
      <c r="P186" s="1259">
        <f t="shared" si="204"/>
        <v>876.45566932049758</v>
      </c>
      <c r="Q186" s="1259">
        <f t="shared" si="204"/>
        <v>956.13345744054266</v>
      </c>
      <c r="R186" s="1259">
        <f t="shared" si="204"/>
        <v>1035.8112455605881</v>
      </c>
      <c r="S186" s="1259">
        <f t="shared" si="204"/>
        <v>1115.4890336806332</v>
      </c>
      <c r="T186" s="1259">
        <f t="shared" si="204"/>
        <v>1195.1668218006785</v>
      </c>
      <c r="U186" s="1259">
        <f t="shared" si="204"/>
        <v>1274.8446099207238</v>
      </c>
      <c r="V186" s="1259">
        <f t="shared" si="204"/>
        <v>1354.5223980407688</v>
      </c>
      <c r="W186" s="1259">
        <f t="shared" si="204"/>
        <v>1434.2001861608142</v>
      </c>
      <c r="X186" s="1259">
        <f t="shared" si="204"/>
        <v>1513.8779742808592</v>
      </c>
      <c r="Y186" s="1259">
        <f t="shared" si="204"/>
        <v>1593.5557624009045</v>
      </c>
      <c r="Z186" s="1259">
        <f t="shared" si="204"/>
        <v>1673.2335505209498</v>
      </c>
      <c r="AA186" s="1259">
        <f t="shared" si="204"/>
        <v>1752.9113386409952</v>
      </c>
      <c r="AB186" s="1259">
        <f t="shared" si="204"/>
        <v>1832.58912676104</v>
      </c>
      <c r="AC186" s="1259">
        <f t="shared" si="204"/>
        <v>1912.2669148810853</v>
      </c>
      <c r="AD186" s="1259">
        <f t="shared" si="204"/>
        <v>1991.9447030011306</v>
      </c>
      <c r="AE186" s="1259">
        <f t="shared" si="204"/>
        <v>2071.6224911211762</v>
      </c>
      <c r="AF186" s="1259">
        <f t="shared" si="204"/>
        <v>2151.3002792412212</v>
      </c>
      <c r="AG186" s="1259">
        <f t="shared" si="204"/>
        <v>2230.9780673612663</v>
      </c>
      <c r="AH186" s="1259">
        <f t="shared" si="204"/>
        <v>2310.6558554813114</v>
      </c>
      <c r="AI186" s="1259">
        <f t="shared" si="204"/>
        <v>2390.3336436013569</v>
      </c>
      <c r="AJ186" s="1259">
        <f t="shared" si="204"/>
        <v>2470.011431721402</v>
      </c>
      <c r="AK186" s="1259">
        <f t="shared" si="204"/>
        <v>2549.6892198414475</v>
      </c>
      <c r="AL186" s="1259">
        <f t="shared" si="204"/>
        <v>2629.3670079614922</v>
      </c>
      <c r="AM186" s="1259">
        <f t="shared" si="204"/>
        <v>2709.0447960815377</v>
      </c>
      <c r="AN186" s="1259">
        <f t="shared" si="204"/>
        <v>2788.7225842015828</v>
      </c>
      <c r="AO186" s="1259">
        <f t="shared" si="204"/>
        <v>2868.4003723216283</v>
      </c>
      <c r="AP186" s="1259">
        <f t="shared" si="204"/>
        <v>2948.0781604416734</v>
      </c>
      <c r="AQ186" s="1259">
        <f t="shared" si="204"/>
        <v>3027.7559485617185</v>
      </c>
      <c r="AR186" s="1259">
        <f t="shared" si="204"/>
        <v>3107.433736681764</v>
      </c>
      <c r="AS186" s="1259">
        <f t="shared" si="204"/>
        <v>3187.1115248018091</v>
      </c>
      <c r="AT186" s="1259">
        <f t="shared" si="204"/>
        <v>3266.7893129218542</v>
      </c>
      <c r="AU186" s="1259">
        <f t="shared" si="204"/>
        <v>3346.4671010418997</v>
      </c>
      <c r="AV186" s="1259">
        <f t="shared" si="204"/>
        <v>3426.1448891619448</v>
      </c>
      <c r="AW186" s="1259">
        <f t="shared" si="204"/>
        <v>3505.8226772819903</v>
      </c>
      <c r="AX186" s="1259">
        <f t="shared" si="204"/>
        <v>3585.5004654020354</v>
      </c>
      <c r="AY186" s="1259">
        <f t="shared" si="204"/>
        <v>3665.17825352208</v>
      </c>
      <c r="AZ186" s="1259">
        <f t="shared" si="204"/>
        <v>3744.856041642126</v>
      </c>
      <c r="BA186" s="1259">
        <f t="shared" si="204"/>
        <v>3824.5338297621706</v>
      </c>
      <c r="BB186" s="1259">
        <f t="shared" si="204"/>
        <v>3904.2116178822166</v>
      </c>
      <c r="BC186" s="1259">
        <f t="shared" si="204"/>
        <v>3983.8894060022612</v>
      </c>
      <c r="BD186" s="1259">
        <f t="shared" si="204"/>
        <v>4063.5671941223063</v>
      </c>
      <c r="BE186" s="1259">
        <f t="shared" si="204"/>
        <v>4143.2449822423523</v>
      </c>
      <c r="BF186" s="1259">
        <f t="shared" si="204"/>
        <v>4222.9227703623965</v>
      </c>
      <c r="BG186" s="1184" t="str">
        <f t="array" ref="BG186">INDEX(E186:E186&amp;"."&amp;F186:F186&amp;"."&amp;$J$71:$BF$71&amp;"."&amp;G186:G186,IFERROR(MATCH($C$10,$J186:$BF186),0))</f>
        <v>200.300.950.4ТК</v>
      </c>
      <c r="BL186" s="1184" t="str">
        <f t="shared" si="184"/>
        <v>200.300.950.4ТК</v>
      </c>
    </row>
    <row r="187" spans="1:64" s="1184" customFormat="1">
      <c r="A187" s="2495"/>
      <c r="B187" s="2584" t="s">
        <v>5692</v>
      </c>
      <c r="C187" s="2584"/>
      <c r="D187" s="1257" t="s">
        <v>4533</v>
      </c>
      <c r="E187" s="1258">
        <v>200</v>
      </c>
      <c r="F187" s="1258">
        <v>360</v>
      </c>
      <c r="G187" s="1257" t="s">
        <v>200</v>
      </c>
      <c r="H187" s="1259">
        <f t="shared" ref="H187:BF187" si="205">((H$71-$H$4)/1000)*$P$47*(($C$8/70)^$AB$47)</f>
        <v>255.7656998653452</v>
      </c>
      <c r="I187" s="1259">
        <f t="shared" si="205"/>
        <v>341.02093315379364</v>
      </c>
      <c r="J187" s="1259">
        <f t="shared" si="205"/>
        <v>426.27616644224202</v>
      </c>
      <c r="K187" s="1259">
        <f t="shared" si="205"/>
        <v>511.5313997306904</v>
      </c>
      <c r="L187" s="1259">
        <f t="shared" si="205"/>
        <v>596.78663301913878</v>
      </c>
      <c r="M187" s="1259">
        <f t="shared" si="205"/>
        <v>682.04186630758727</v>
      </c>
      <c r="N187" s="1259">
        <f t="shared" si="205"/>
        <v>767.29709959603565</v>
      </c>
      <c r="O187" s="1259">
        <f t="shared" si="205"/>
        <v>852.55233288448403</v>
      </c>
      <c r="P187" s="1259">
        <f t="shared" si="205"/>
        <v>937.80756617293252</v>
      </c>
      <c r="Q187" s="1259">
        <f t="shared" si="205"/>
        <v>1023.0627994613808</v>
      </c>
      <c r="R187" s="1259">
        <f t="shared" si="205"/>
        <v>1108.3180327498292</v>
      </c>
      <c r="S187" s="1259">
        <f t="shared" si="205"/>
        <v>1193.5732660382776</v>
      </c>
      <c r="T187" s="1259">
        <f t="shared" si="205"/>
        <v>1278.8284993267262</v>
      </c>
      <c r="U187" s="1259">
        <f t="shared" si="205"/>
        <v>1364.0837326151745</v>
      </c>
      <c r="V187" s="1259">
        <f t="shared" si="205"/>
        <v>1449.3389659036229</v>
      </c>
      <c r="W187" s="1259">
        <f t="shared" si="205"/>
        <v>1534.5941991920713</v>
      </c>
      <c r="X187" s="1259">
        <f t="shared" si="205"/>
        <v>1619.8494324805197</v>
      </c>
      <c r="Y187" s="1259">
        <f t="shared" si="205"/>
        <v>1705.1046657689681</v>
      </c>
      <c r="Z187" s="1259">
        <f t="shared" si="205"/>
        <v>1790.3598990574164</v>
      </c>
      <c r="AA187" s="1259">
        <f t="shared" si="205"/>
        <v>1875.615132345865</v>
      </c>
      <c r="AB187" s="1259">
        <f t="shared" si="205"/>
        <v>1960.8703656343132</v>
      </c>
      <c r="AC187" s="1259">
        <f t="shared" si="205"/>
        <v>2046.1255989227616</v>
      </c>
      <c r="AD187" s="1259">
        <f t="shared" si="205"/>
        <v>2131.38083221121</v>
      </c>
      <c r="AE187" s="1259">
        <f t="shared" si="205"/>
        <v>2216.6360654996583</v>
      </c>
      <c r="AF187" s="1259">
        <f t="shared" si="205"/>
        <v>2301.8912987881072</v>
      </c>
      <c r="AG187" s="1259">
        <f t="shared" si="205"/>
        <v>2387.1465320765551</v>
      </c>
      <c r="AH187" s="1259">
        <f t="shared" si="205"/>
        <v>2472.4017653650035</v>
      </c>
      <c r="AI187" s="1259">
        <f t="shared" si="205"/>
        <v>2557.6569986534523</v>
      </c>
      <c r="AJ187" s="1259">
        <f t="shared" si="205"/>
        <v>2642.9122319419007</v>
      </c>
      <c r="AK187" s="1259">
        <f t="shared" si="205"/>
        <v>2728.1674652303491</v>
      </c>
      <c r="AL187" s="1259">
        <f t="shared" si="205"/>
        <v>2813.422698518797</v>
      </c>
      <c r="AM187" s="1259">
        <f t="shared" si="205"/>
        <v>2898.6779318072458</v>
      </c>
      <c r="AN187" s="1259">
        <f t="shared" si="205"/>
        <v>2983.9331650956942</v>
      </c>
      <c r="AO187" s="1259">
        <f t="shared" si="205"/>
        <v>3069.1883983841426</v>
      </c>
      <c r="AP187" s="1259">
        <f t="shared" si="205"/>
        <v>3154.443631672591</v>
      </c>
      <c r="AQ187" s="1259">
        <f t="shared" si="205"/>
        <v>3239.6988649610394</v>
      </c>
      <c r="AR187" s="1259">
        <f t="shared" si="205"/>
        <v>3324.9540982494877</v>
      </c>
      <c r="AS187" s="1259">
        <f t="shared" si="205"/>
        <v>3410.2093315379361</v>
      </c>
      <c r="AT187" s="1259">
        <f t="shared" si="205"/>
        <v>3495.464564826384</v>
      </c>
      <c r="AU187" s="1259">
        <f t="shared" si="205"/>
        <v>3580.7197981148329</v>
      </c>
      <c r="AV187" s="1259">
        <f t="shared" si="205"/>
        <v>3665.9750314032813</v>
      </c>
      <c r="AW187" s="1259">
        <f t="shared" si="205"/>
        <v>3751.2302646917301</v>
      </c>
      <c r="AX187" s="1259">
        <f t="shared" si="205"/>
        <v>3836.485497980178</v>
      </c>
      <c r="AY187" s="1259">
        <f t="shared" si="205"/>
        <v>3921.7407312686264</v>
      </c>
      <c r="AZ187" s="1259">
        <f t="shared" si="205"/>
        <v>4006.9959645570752</v>
      </c>
      <c r="BA187" s="1259">
        <f t="shared" si="205"/>
        <v>4092.2511978455232</v>
      </c>
      <c r="BB187" s="1259">
        <f t="shared" si="205"/>
        <v>4177.506431133972</v>
      </c>
      <c r="BC187" s="1259">
        <f t="shared" si="205"/>
        <v>4262.7616644224199</v>
      </c>
      <c r="BD187" s="1259">
        <f t="shared" si="205"/>
        <v>4348.0168977108679</v>
      </c>
      <c r="BE187" s="1259">
        <f t="shared" si="205"/>
        <v>4433.2721309993167</v>
      </c>
      <c r="BF187" s="1259">
        <f t="shared" si="205"/>
        <v>4518.5273642877655</v>
      </c>
      <c r="BG187" s="1184" t="str">
        <f t="array" ref="BG187">INDEX(E187:E187&amp;"."&amp;F187:F187&amp;"."&amp;$J$71:$BF$71&amp;"."&amp;G187:G187,IFERROR(MATCH($C$10,$J187:$BF187),0))</f>
        <v>200.360.900.4ТГ</v>
      </c>
      <c r="BL187" s="1184" t="str">
        <f t="shared" si="184"/>
        <v>200.360.900.4ТГ</v>
      </c>
    </row>
    <row r="188" spans="1:64" s="1184" customFormat="1" ht="15.75" thickBot="1">
      <c r="A188" s="1261"/>
      <c r="B188" s="2585" t="s">
        <v>5693</v>
      </c>
      <c r="C188" s="2585"/>
      <c r="D188" s="1262" t="s">
        <v>4533</v>
      </c>
      <c r="E188" s="1263">
        <v>200</v>
      </c>
      <c r="F188" s="1263">
        <v>360</v>
      </c>
      <c r="G188" s="1262" t="s">
        <v>200</v>
      </c>
      <c r="H188" s="1264">
        <f t="shared" ref="H188:BF188" si="206">((H$71-$H$4)/1000)*$R$47*(($C$8/70)^$AD$47)</f>
        <v>272.46304731861198</v>
      </c>
      <c r="I188" s="1264">
        <f t="shared" si="206"/>
        <v>363.28406309148266</v>
      </c>
      <c r="J188" s="1264">
        <f t="shared" si="206"/>
        <v>454.10507886435329</v>
      </c>
      <c r="K188" s="1264">
        <f t="shared" si="206"/>
        <v>544.92609463722397</v>
      </c>
      <c r="L188" s="1264">
        <f t="shared" si="206"/>
        <v>635.74711041009459</v>
      </c>
      <c r="M188" s="1264">
        <f t="shared" si="206"/>
        <v>726.56812618296533</v>
      </c>
      <c r="N188" s="1264">
        <f t="shared" si="206"/>
        <v>817.38914195583595</v>
      </c>
      <c r="O188" s="1264">
        <f t="shared" si="206"/>
        <v>908.21015772870658</v>
      </c>
      <c r="P188" s="1264">
        <f t="shared" si="206"/>
        <v>999.03117350157731</v>
      </c>
      <c r="Q188" s="1264">
        <f t="shared" si="206"/>
        <v>1089.8521892744479</v>
      </c>
      <c r="R188" s="1264">
        <f t="shared" si="206"/>
        <v>1180.6732050473186</v>
      </c>
      <c r="S188" s="1264">
        <f t="shared" si="206"/>
        <v>1271.4942208201892</v>
      </c>
      <c r="T188" s="1264">
        <f t="shared" si="206"/>
        <v>1362.3152365930598</v>
      </c>
      <c r="U188" s="1264">
        <f t="shared" si="206"/>
        <v>1453.1362523659307</v>
      </c>
      <c r="V188" s="1264">
        <f t="shared" si="206"/>
        <v>1543.9572681388011</v>
      </c>
      <c r="W188" s="1264">
        <f t="shared" si="206"/>
        <v>1634.7782839116719</v>
      </c>
      <c r="X188" s="1264">
        <f t="shared" si="206"/>
        <v>1725.5992996845423</v>
      </c>
      <c r="Y188" s="1264">
        <f t="shared" si="206"/>
        <v>1816.4203154574132</v>
      </c>
      <c r="Z188" s="1264">
        <f t="shared" si="206"/>
        <v>1907.241331230284</v>
      </c>
      <c r="AA188" s="1264">
        <f t="shared" si="206"/>
        <v>1998.0623470031546</v>
      </c>
      <c r="AB188" s="1264">
        <f t="shared" si="206"/>
        <v>2088.883362776025</v>
      </c>
      <c r="AC188" s="1264">
        <f t="shared" si="206"/>
        <v>2179.7043785488959</v>
      </c>
      <c r="AD188" s="1264">
        <f t="shared" si="206"/>
        <v>2270.5253943217663</v>
      </c>
      <c r="AE188" s="1264">
        <f t="shared" si="206"/>
        <v>2361.3464100946371</v>
      </c>
      <c r="AF188" s="1264">
        <f t="shared" si="206"/>
        <v>2452.167425867508</v>
      </c>
      <c r="AG188" s="1264">
        <f t="shared" si="206"/>
        <v>2542.9884416403784</v>
      </c>
      <c r="AH188" s="1264">
        <f t="shared" si="206"/>
        <v>2633.8094574132488</v>
      </c>
      <c r="AI188" s="1264">
        <f t="shared" si="206"/>
        <v>2724.6304731861196</v>
      </c>
      <c r="AJ188" s="1264">
        <f t="shared" si="206"/>
        <v>2815.4514889589905</v>
      </c>
      <c r="AK188" s="1264">
        <f t="shared" si="206"/>
        <v>2906.2725047318613</v>
      </c>
      <c r="AL188" s="1264">
        <f t="shared" si="206"/>
        <v>2997.0935205047317</v>
      </c>
      <c r="AM188" s="1264">
        <f t="shared" si="206"/>
        <v>3087.9145362776021</v>
      </c>
      <c r="AN188" s="1264">
        <f t="shared" si="206"/>
        <v>3178.735552050473</v>
      </c>
      <c r="AO188" s="1264">
        <f t="shared" si="206"/>
        <v>3269.5565678233438</v>
      </c>
      <c r="AP188" s="1264">
        <f t="shared" si="206"/>
        <v>3360.3775835962147</v>
      </c>
      <c r="AQ188" s="1264">
        <f t="shared" si="206"/>
        <v>3451.1985993690846</v>
      </c>
      <c r="AR188" s="1264">
        <f t="shared" si="206"/>
        <v>3542.0196151419555</v>
      </c>
      <c r="AS188" s="1264">
        <f t="shared" si="206"/>
        <v>3632.8406309148263</v>
      </c>
      <c r="AT188" s="1264">
        <f t="shared" si="206"/>
        <v>3723.6616466876967</v>
      </c>
      <c r="AU188" s="1264">
        <f t="shared" si="206"/>
        <v>3814.482662460568</v>
      </c>
      <c r="AV188" s="1264">
        <f t="shared" si="206"/>
        <v>3905.3036782334379</v>
      </c>
      <c r="AW188" s="1264">
        <f t="shared" si="206"/>
        <v>3996.1246940063093</v>
      </c>
      <c r="AX188" s="1264">
        <f t="shared" si="206"/>
        <v>4086.9457097791797</v>
      </c>
      <c r="AY188" s="1264">
        <f t="shared" si="206"/>
        <v>4177.76672555205</v>
      </c>
      <c r="AZ188" s="1264">
        <f t="shared" si="206"/>
        <v>4268.5877413249209</v>
      </c>
      <c r="BA188" s="1264">
        <f t="shared" si="206"/>
        <v>4359.4087570977917</v>
      </c>
      <c r="BB188" s="1264">
        <f t="shared" si="206"/>
        <v>4450.2297728706626</v>
      </c>
      <c r="BC188" s="1264">
        <f t="shared" si="206"/>
        <v>4541.0507886435325</v>
      </c>
      <c r="BD188" s="1264">
        <f t="shared" si="206"/>
        <v>4631.8718044164034</v>
      </c>
      <c r="BE188" s="1264">
        <f t="shared" si="206"/>
        <v>4722.6928201892742</v>
      </c>
      <c r="BF188" s="1264">
        <f t="shared" si="206"/>
        <v>4813.5138359621451</v>
      </c>
    </row>
    <row r="189" spans="1:64" hidden="1">
      <c r="B189" s="2540"/>
      <c r="C189" s="2541"/>
      <c r="H189" s="571"/>
      <c r="I189" s="571"/>
      <c r="J189" s="571"/>
      <c r="K189" s="571"/>
      <c r="L189" s="571"/>
      <c r="M189" s="571"/>
      <c r="N189" s="571"/>
      <c r="O189" s="571"/>
      <c r="P189" s="571"/>
      <c r="Q189" s="571"/>
      <c r="R189" s="571"/>
      <c r="S189" s="571"/>
      <c r="T189" s="571"/>
      <c r="U189" s="571"/>
      <c r="V189" s="571"/>
      <c r="W189" s="571"/>
      <c r="X189" s="571"/>
      <c r="Y189" s="571"/>
      <c r="Z189" s="571"/>
      <c r="AA189" s="571"/>
      <c r="AB189" s="571"/>
      <c r="AC189" s="571"/>
      <c r="AD189" s="571"/>
      <c r="AE189" s="571"/>
      <c r="AF189" s="571"/>
      <c r="AG189" s="571"/>
      <c r="AH189" s="571"/>
      <c r="AI189" s="571"/>
      <c r="AJ189" s="571"/>
      <c r="AK189" s="571"/>
      <c r="AL189" s="571"/>
      <c r="AM189" s="571"/>
      <c r="AN189" s="571"/>
      <c r="AO189" s="571"/>
      <c r="AP189" s="571"/>
      <c r="AQ189" s="571"/>
      <c r="AR189" s="571"/>
      <c r="AS189" s="571"/>
      <c r="AT189" s="571"/>
      <c r="AU189" s="571"/>
      <c r="AV189" s="571"/>
      <c r="AW189" s="571"/>
      <c r="AX189" s="571"/>
      <c r="AY189" s="571"/>
      <c r="AZ189" s="571"/>
      <c r="BA189" s="571"/>
      <c r="BB189" s="571"/>
      <c r="BC189" s="571"/>
      <c r="BD189" s="571"/>
      <c r="BE189" s="571"/>
      <c r="BF189" s="571"/>
    </row>
    <row r="190" spans="1:64" ht="15.75" hidden="1" thickBot="1">
      <c r="B190" s="2542"/>
      <c r="C190" s="2543"/>
      <c r="H190" s="571"/>
      <c r="I190" s="571"/>
      <c r="J190" s="571"/>
      <c r="K190" s="571"/>
      <c r="L190" s="571"/>
      <c r="M190" s="571"/>
      <c r="N190" s="571"/>
      <c r="O190" s="571"/>
      <c r="P190" s="571"/>
      <c r="Q190" s="571"/>
      <c r="R190" s="571"/>
      <c r="S190" s="571"/>
      <c r="T190" s="571"/>
      <c r="U190" s="571"/>
      <c r="V190" s="571"/>
      <c r="W190" s="571"/>
      <c r="X190" s="571"/>
      <c r="Y190" s="571"/>
      <c r="Z190" s="571"/>
      <c r="AA190" s="571"/>
      <c r="AB190" s="571"/>
      <c r="AC190" s="571"/>
      <c r="AD190" s="571"/>
      <c r="AE190" s="571"/>
      <c r="AF190" s="571"/>
      <c r="AG190" s="571"/>
      <c r="AH190" s="571"/>
      <c r="AI190" s="571"/>
      <c r="AJ190" s="571"/>
      <c r="AK190" s="571"/>
      <c r="AL190" s="571"/>
      <c r="AM190" s="571"/>
      <c r="AN190" s="571"/>
      <c r="AO190" s="571"/>
      <c r="AP190" s="571"/>
      <c r="AQ190" s="571"/>
      <c r="AR190" s="571"/>
      <c r="AS190" s="571"/>
      <c r="AT190" s="571"/>
      <c r="AU190" s="571"/>
      <c r="AV190" s="571"/>
      <c r="AW190" s="571"/>
      <c r="AX190" s="571"/>
      <c r="AY190" s="571"/>
      <c r="AZ190" s="571"/>
      <c r="BA190" s="571"/>
      <c r="BB190" s="571"/>
      <c r="BC190" s="571"/>
      <c r="BD190" s="571"/>
      <c r="BE190" s="571"/>
      <c r="BF190" s="571"/>
    </row>
    <row r="191" spans="1:64" ht="15.75" hidden="1" thickBot="1">
      <c r="B191" s="2528" t="s">
        <v>343</v>
      </c>
      <c r="C191" s="2529"/>
      <c r="D191" s="761"/>
      <c r="E191" s="761"/>
      <c r="F191" s="761"/>
      <c r="G191" s="761"/>
      <c r="H191" s="2514" t="s">
        <v>16</v>
      </c>
      <c r="I191" s="2493"/>
      <c r="J191" s="2493"/>
      <c r="K191" s="2493"/>
      <c r="L191" s="2493"/>
      <c r="M191" s="2493"/>
      <c r="N191" s="2493"/>
      <c r="O191" s="2493"/>
      <c r="P191" s="2493"/>
      <c r="Q191" s="2493"/>
      <c r="R191" s="2493"/>
      <c r="S191" s="2493"/>
      <c r="T191" s="2493"/>
      <c r="U191" s="2493"/>
      <c r="V191" s="2493"/>
      <c r="W191" s="2493"/>
      <c r="X191" s="2493"/>
      <c r="Y191" s="2493"/>
      <c r="Z191" s="2493"/>
      <c r="AA191" s="2493"/>
      <c r="AB191" s="2493"/>
      <c r="AC191" s="2493"/>
      <c r="AD191" s="2493"/>
      <c r="AE191" s="2493"/>
      <c r="AF191" s="2493"/>
      <c r="AG191" s="2493"/>
      <c r="AH191" s="2493"/>
      <c r="AI191" s="2493"/>
      <c r="AJ191" s="2493"/>
      <c r="AK191" s="2493"/>
      <c r="AL191" s="2493"/>
      <c r="AM191" s="2493"/>
      <c r="AN191" s="2493"/>
      <c r="AO191" s="2493"/>
      <c r="AP191" s="2493"/>
      <c r="AQ191" s="2493"/>
      <c r="AR191" s="2493"/>
      <c r="AS191" s="2493"/>
      <c r="AT191" s="2493"/>
      <c r="AU191" s="2493"/>
      <c r="AV191" s="2493"/>
      <c r="AW191" s="2493"/>
      <c r="AX191" s="2493"/>
      <c r="AY191" s="2493"/>
      <c r="AZ191" s="2493"/>
      <c r="BA191" s="2493"/>
      <c r="BB191" s="2493"/>
      <c r="BC191" s="2493"/>
      <c r="BD191" s="2493"/>
      <c r="BE191" s="2493"/>
      <c r="BF191" s="2494"/>
    </row>
    <row r="192" spans="1:64" ht="15.75" hidden="1" thickBot="1">
      <c r="B192" s="2530"/>
      <c r="C192" s="2531"/>
      <c r="D192" s="762"/>
      <c r="E192" s="762"/>
      <c r="F192" s="762"/>
      <c r="G192" s="762"/>
      <c r="H192" s="924">
        <v>500</v>
      </c>
      <c r="I192" s="925">
        <v>550</v>
      </c>
      <c r="J192" s="1082">
        <v>600</v>
      </c>
      <c r="K192" s="1083">
        <v>650</v>
      </c>
      <c r="L192" s="1083">
        <v>700</v>
      </c>
      <c r="M192" s="1083">
        <v>750</v>
      </c>
      <c r="N192" s="1083">
        <v>800</v>
      </c>
      <c r="O192" s="1083">
        <v>850</v>
      </c>
      <c r="P192" s="1083">
        <v>900</v>
      </c>
      <c r="Q192" s="1083">
        <v>950</v>
      </c>
      <c r="R192" s="1083">
        <v>1000</v>
      </c>
      <c r="S192" s="1083">
        <v>1050</v>
      </c>
      <c r="T192" s="1083">
        <v>1100</v>
      </c>
      <c r="U192" s="1083">
        <v>1150</v>
      </c>
      <c r="V192" s="1083">
        <v>1200</v>
      </c>
      <c r="W192" s="1083">
        <v>1250</v>
      </c>
      <c r="X192" s="1083">
        <v>1300</v>
      </c>
      <c r="Y192" s="1083">
        <v>1350</v>
      </c>
      <c r="Z192" s="1083">
        <v>1400</v>
      </c>
      <c r="AA192" s="1083">
        <v>1450</v>
      </c>
      <c r="AB192" s="1083">
        <v>1500</v>
      </c>
      <c r="AC192" s="1083">
        <v>1550</v>
      </c>
      <c r="AD192" s="1083">
        <v>1600</v>
      </c>
      <c r="AE192" s="1083">
        <v>1650</v>
      </c>
      <c r="AF192" s="1083">
        <v>1700</v>
      </c>
      <c r="AG192" s="1083">
        <v>1750</v>
      </c>
      <c r="AH192" s="1083">
        <v>1800</v>
      </c>
      <c r="AI192" s="1083">
        <v>1850</v>
      </c>
      <c r="AJ192" s="1083">
        <v>1900</v>
      </c>
      <c r="AK192" s="1083">
        <v>1950</v>
      </c>
      <c r="AL192" s="1083">
        <v>2000</v>
      </c>
      <c r="AM192" s="1083">
        <v>2050</v>
      </c>
      <c r="AN192" s="1083">
        <v>2100</v>
      </c>
      <c r="AO192" s="1083">
        <v>2150</v>
      </c>
      <c r="AP192" s="1083">
        <v>2200</v>
      </c>
      <c r="AQ192" s="1083">
        <v>2250</v>
      </c>
      <c r="AR192" s="1083">
        <v>2300</v>
      </c>
      <c r="AS192" s="1083">
        <v>2350</v>
      </c>
      <c r="AT192" s="1083">
        <v>2400</v>
      </c>
      <c r="AU192" s="1083">
        <v>2450</v>
      </c>
      <c r="AV192" s="1083">
        <v>2500</v>
      </c>
      <c r="AW192" s="1083">
        <v>2550</v>
      </c>
      <c r="AX192" s="1083">
        <v>2600</v>
      </c>
      <c r="AY192" s="1083">
        <v>2650</v>
      </c>
      <c r="AZ192" s="1083">
        <v>2700</v>
      </c>
      <c r="BA192" s="1083">
        <v>2750</v>
      </c>
      <c r="BB192" s="1083">
        <v>2800</v>
      </c>
      <c r="BC192" s="1083">
        <v>2850</v>
      </c>
      <c r="BD192" s="1083">
        <v>2900</v>
      </c>
      <c r="BE192" s="1083">
        <v>2950</v>
      </c>
      <c r="BF192" s="1084">
        <v>3000</v>
      </c>
    </row>
    <row r="193" spans="1:58" hidden="1">
      <c r="A193" s="2477" t="s">
        <v>280</v>
      </c>
      <c r="B193" s="2532" t="s">
        <v>319</v>
      </c>
      <c r="C193" s="2533"/>
      <c r="D193" s="788"/>
      <c r="E193" s="788"/>
      <c r="F193" s="788"/>
      <c r="G193" s="788"/>
      <c r="H193" s="1085">
        <f t="shared" ref="H193:AM193" si="207">((H$192-$H$4)/1000)*$K$57*(($C$8/70)^$W$57)</f>
        <v>31.595993999999994</v>
      </c>
      <c r="I193" s="1085">
        <f t="shared" si="207"/>
        <v>42.127991999999999</v>
      </c>
      <c r="J193" s="1085">
        <f t="shared" si="207"/>
        <v>52.659989999999993</v>
      </c>
      <c r="K193" s="1085">
        <f t="shared" si="207"/>
        <v>63.191987999999988</v>
      </c>
      <c r="L193" s="1085">
        <f t="shared" si="207"/>
        <v>73.723985999999982</v>
      </c>
      <c r="M193" s="1085">
        <f t="shared" si="207"/>
        <v>84.255983999999998</v>
      </c>
      <c r="N193" s="1085">
        <f t="shared" si="207"/>
        <v>94.787981999999985</v>
      </c>
      <c r="O193" s="1085">
        <f t="shared" si="207"/>
        <v>105.31997999999999</v>
      </c>
      <c r="P193" s="1085">
        <f t="shared" si="207"/>
        <v>115.85197799999999</v>
      </c>
      <c r="Q193" s="1085">
        <f t="shared" si="207"/>
        <v>126.38397599999998</v>
      </c>
      <c r="R193" s="1085">
        <f t="shared" si="207"/>
        <v>136.91597399999998</v>
      </c>
      <c r="S193" s="1085">
        <f t="shared" si="207"/>
        <v>147.44797199999996</v>
      </c>
      <c r="T193" s="1085">
        <f t="shared" si="207"/>
        <v>157.97996999999998</v>
      </c>
      <c r="U193" s="1085">
        <f t="shared" si="207"/>
        <v>168.511968</v>
      </c>
      <c r="V193" s="1085">
        <f t="shared" si="207"/>
        <v>179.04396599999998</v>
      </c>
      <c r="W193" s="1085">
        <f t="shared" si="207"/>
        <v>189.57596399999997</v>
      </c>
      <c r="X193" s="1085">
        <f t="shared" si="207"/>
        <v>200.10796199999996</v>
      </c>
      <c r="Y193" s="1085">
        <f t="shared" si="207"/>
        <v>210.63995999999997</v>
      </c>
      <c r="Z193" s="1085">
        <f t="shared" si="207"/>
        <v>221.17195799999999</v>
      </c>
      <c r="AA193" s="1085">
        <f t="shared" si="207"/>
        <v>231.70395599999998</v>
      </c>
      <c r="AB193" s="1085">
        <f t="shared" si="207"/>
        <v>242.23595399999996</v>
      </c>
      <c r="AC193" s="1085">
        <f t="shared" si="207"/>
        <v>252.76795199999995</v>
      </c>
      <c r="AD193" s="1085">
        <f t="shared" si="207"/>
        <v>263.29994999999997</v>
      </c>
      <c r="AE193" s="1085">
        <f t="shared" si="207"/>
        <v>273.83194799999995</v>
      </c>
      <c r="AF193" s="1085">
        <f t="shared" si="207"/>
        <v>284.363946</v>
      </c>
      <c r="AG193" s="1085">
        <f t="shared" si="207"/>
        <v>294.89594399999993</v>
      </c>
      <c r="AH193" s="1085">
        <f t="shared" si="207"/>
        <v>305.42794199999997</v>
      </c>
      <c r="AI193" s="1085">
        <f t="shared" si="207"/>
        <v>315.95993999999996</v>
      </c>
      <c r="AJ193" s="1085">
        <f t="shared" si="207"/>
        <v>326.49193799999995</v>
      </c>
      <c r="AK193" s="1085">
        <f t="shared" si="207"/>
        <v>337.02393599999999</v>
      </c>
      <c r="AL193" s="1085">
        <f t="shared" si="207"/>
        <v>347.55593399999992</v>
      </c>
      <c r="AM193" s="1085">
        <f t="shared" si="207"/>
        <v>358.08793199999997</v>
      </c>
      <c r="AN193" s="1085">
        <f t="shared" ref="AN193:BF193" si="208">((AN$192-$H$4)/1000)*$K$57*(($C$8/70)^$W$57)</f>
        <v>368.61992999999995</v>
      </c>
      <c r="AO193" s="1085">
        <f t="shared" si="208"/>
        <v>379.15192799999994</v>
      </c>
      <c r="AP193" s="1085">
        <f t="shared" si="208"/>
        <v>389.68392599999999</v>
      </c>
      <c r="AQ193" s="1085">
        <f t="shared" si="208"/>
        <v>400.21592399999992</v>
      </c>
      <c r="AR193" s="1085">
        <f t="shared" si="208"/>
        <v>410.74792199999996</v>
      </c>
      <c r="AS193" s="1085">
        <f t="shared" si="208"/>
        <v>421.27991999999995</v>
      </c>
      <c r="AT193" s="1085">
        <f t="shared" si="208"/>
        <v>431.81191799999993</v>
      </c>
      <c r="AU193" s="1085">
        <f t="shared" si="208"/>
        <v>442.34391599999998</v>
      </c>
      <c r="AV193" s="1085">
        <f t="shared" si="208"/>
        <v>452.87591399999991</v>
      </c>
      <c r="AW193" s="1085">
        <f t="shared" si="208"/>
        <v>463.40791199999995</v>
      </c>
      <c r="AX193" s="1085">
        <f t="shared" si="208"/>
        <v>473.93990999999994</v>
      </c>
      <c r="AY193" s="1085">
        <f t="shared" si="208"/>
        <v>484.47190799999993</v>
      </c>
      <c r="AZ193" s="1085">
        <f t="shared" si="208"/>
        <v>495.00390599999997</v>
      </c>
      <c r="BA193" s="1085">
        <f t="shared" si="208"/>
        <v>505.5359039999999</v>
      </c>
      <c r="BB193" s="1085">
        <f t="shared" si="208"/>
        <v>516.067902</v>
      </c>
      <c r="BC193" s="1085">
        <f t="shared" si="208"/>
        <v>526.59989999999993</v>
      </c>
      <c r="BD193" s="1085">
        <f t="shared" si="208"/>
        <v>537.13189799999986</v>
      </c>
      <c r="BE193" s="1085">
        <f t="shared" si="208"/>
        <v>547.66389599999991</v>
      </c>
      <c r="BF193" s="1085">
        <f t="shared" si="208"/>
        <v>558.19589399999995</v>
      </c>
    </row>
    <row r="194" spans="1:58" hidden="1">
      <c r="A194" s="2477"/>
      <c r="B194" s="2534" t="s">
        <v>320</v>
      </c>
      <c r="C194" s="2535"/>
      <c r="D194" s="789"/>
      <c r="E194" s="789"/>
      <c r="F194" s="789"/>
      <c r="G194" s="789"/>
      <c r="H194" s="1086">
        <f t="shared" ref="H194:AM194" si="209">((H$192-$H$4)/1000)*$L$57*(($C$8/70)^$X$57)</f>
        <v>35.106659999999991</v>
      </c>
      <c r="I194" s="1086">
        <f t="shared" si="209"/>
        <v>46.808879999999995</v>
      </c>
      <c r="J194" s="1086">
        <f t="shared" si="209"/>
        <v>58.511099999999992</v>
      </c>
      <c r="K194" s="1086">
        <f t="shared" si="209"/>
        <v>70.213319999999982</v>
      </c>
      <c r="L194" s="1086">
        <f t="shared" si="209"/>
        <v>81.915539999999979</v>
      </c>
      <c r="M194" s="1086">
        <f t="shared" si="209"/>
        <v>93.61775999999999</v>
      </c>
      <c r="N194" s="1086">
        <f t="shared" si="209"/>
        <v>105.31997999999999</v>
      </c>
      <c r="O194" s="1086">
        <f t="shared" si="209"/>
        <v>117.02219999999998</v>
      </c>
      <c r="P194" s="1086">
        <f t="shared" si="209"/>
        <v>128.72441999999998</v>
      </c>
      <c r="Q194" s="1086">
        <f t="shared" si="209"/>
        <v>140.42663999999996</v>
      </c>
      <c r="R194" s="1086">
        <f t="shared" si="209"/>
        <v>152.12885999999997</v>
      </c>
      <c r="S194" s="1086">
        <f t="shared" si="209"/>
        <v>163.83107999999996</v>
      </c>
      <c r="T194" s="1086">
        <f t="shared" si="209"/>
        <v>175.53329999999997</v>
      </c>
      <c r="U194" s="1086">
        <f t="shared" si="209"/>
        <v>187.23551999999998</v>
      </c>
      <c r="V194" s="1086">
        <f t="shared" si="209"/>
        <v>198.93773999999996</v>
      </c>
      <c r="W194" s="1086">
        <f t="shared" si="209"/>
        <v>210.63995999999997</v>
      </c>
      <c r="X194" s="1086">
        <f t="shared" si="209"/>
        <v>222.34217999999996</v>
      </c>
      <c r="Y194" s="1086">
        <f t="shared" si="209"/>
        <v>234.04439999999997</v>
      </c>
      <c r="Z194" s="1086">
        <f t="shared" si="209"/>
        <v>245.74661999999998</v>
      </c>
      <c r="AA194" s="1086">
        <f t="shared" si="209"/>
        <v>257.44883999999996</v>
      </c>
      <c r="AB194" s="1086">
        <f t="shared" si="209"/>
        <v>269.15105999999992</v>
      </c>
      <c r="AC194" s="1086">
        <f t="shared" si="209"/>
        <v>280.85327999999993</v>
      </c>
      <c r="AD194" s="1086">
        <f t="shared" si="209"/>
        <v>292.55549999999994</v>
      </c>
      <c r="AE194" s="1086">
        <f t="shared" si="209"/>
        <v>304.25771999999995</v>
      </c>
      <c r="AF194" s="1086">
        <f t="shared" si="209"/>
        <v>315.95993999999996</v>
      </c>
      <c r="AG194" s="1086">
        <f t="shared" si="209"/>
        <v>327.66215999999991</v>
      </c>
      <c r="AH194" s="1086">
        <f t="shared" si="209"/>
        <v>339.36437999999993</v>
      </c>
      <c r="AI194" s="1086">
        <f t="shared" si="209"/>
        <v>351.06659999999994</v>
      </c>
      <c r="AJ194" s="1086">
        <f t="shared" si="209"/>
        <v>362.76881999999995</v>
      </c>
      <c r="AK194" s="1086">
        <f t="shared" si="209"/>
        <v>374.47103999999996</v>
      </c>
      <c r="AL194" s="1086">
        <f t="shared" si="209"/>
        <v>386.17325999999991</v>
      </c>
      <c r="AM194" s="1086">
        <f t="shared" si="209"/>
        <v>397.87547999999992</v>
      </c>
      <c r="AN194" s="1086">
        <f t="shared" ref="AN194:BF194" si="210">((AN$192-$H$4)/1000)*$L$57*(($C$8/70)^$X$57)</f>
        <v>409.57769999999994</v>
      </c>
      <c r="AO194" s="1086">
        <f t="shared" si="210"/>
        <v>421.27991999999995</v>
      </c>
      <c r="AP194" s="1086">
        <f t="shared" si="210"/>
        <v>432.98213999999996</v>
      </c>
      <c r="AQ194" s="1086">
        <f t="shared" si="210"/>
        <v>444.68435999999991</v>
      </c>
      <c r="AR194" s="1086">
        <f t="shared" si="210"/>
        <v>456.38657999999992</v>
      </c>
      <c r="AS194" s="1086">
        <f t="shared" si="210"/>
        <v>468.08879999999994</v>
      </c>
      <c r="AT194" s="1086">
        <f t="shared" si="210"/>
        <v>479.79101999999989</v>
      </c>
      <c r="AU194" s="1086">
        <f t="shared" si="210"/>
        <v>491.49323999999996</v>
      </c>
      <c r="AV194" s="1086">
        <f t="shared" si="210"/>
        <v>503.19545999999991</v>
      </c>
      <c r="AW194" s="1086">
        <f t="shared" si="210"/>
        <v>514.89767999999992</v>
      </c>
      <c r="AX194" s="1086">
        <f t="shared" si="210"/>
        <v>526.59989999999993</v>
      </c>
      <c r="AY194" s="1086">
        <f t="shared" si="210"/>
        <v>538.30211999999983</v>
      </c>
      <c r="AZ194" s="1086">
        <f t="shared" si="210"/>
        <v>550.00433999999996</v>
      </c>
      <c r="BA194" s="1086">
        <f t="shared" si="210"/>
        <v>561.70655999999985</v>
      </c>
      <c r="BB194" s="1086">
        <f t="shared" si="210"/>
        <v>573.40877999999998</v>
      </c>
      <c r="BC194" s="1086">
        <f t="shared" si="210"/>
        <v>585.11099999999988</v>
      </c>
      <c r="BD194" s="1086">
        <f t="shared" si="210"/>
        <v>596.81321999999989</v>
      </c>
      <c r="BE194" s="1086">
        <f t="shared" si="210"/>
        <v>608.5154399999999</v>
      </c>
      <c r="BF194" s="1086">
        <f t="shared" si="210"/>
        <v>620.21765999999991</v>
      </c>
    </row>
    <row r="195" spans="1:58" hidden="1">
      <c r="A195" s="2477"/>
      <c r="B195" s="2534" t="s">
        <v>321</v>
      </c>
      <c r="C195" s="2535"/>
      <c r="D195" s="789"/>
      <c r="E195" s="789"/>
      <c r="F195" s="789"/>
      <c r="G195" s="789"/>
      <c r="H195" s="1086">
        <f t="shared" ref="H195:AM195" si="211">((H$192-$H$4)/1000)*$M$57*(($C$8/70)^$Y$57)</f>
        <v>45.218735999999986</v>
      </c>
      <c r="I195" s="1086">
        <f t="shared" si="211"/>
        <v>60.291647999999988</v>
      </c>
      <c r="J195" s="1086">
        <f t="shared" si="211"/>
        <v>75.364559999999983</v>
      </c>
      <c r="K195" s="1086">
        <f t="shared" si="211"/>
        <v>90.437471999999971</v>
      </c>
      <c r="L195" s="1086">
        <f t="shared" si="211"/>
        <v>105.51038399999997</v>
      </c>
      <c r="M195" s="1086">
        <f t="shared" si="211"/>
        <v>120.58329599999998</v>
      </c>
      <c r="N195" s="1086">
        <f t="shared" si="211"/>
        <v>135.65620799999996</v>
      </c>
      <c r="O195" s="1086">
        <f t="shared" si="211"/>
        <v>150.72911999999997</v>
      </c>
      <c r="P195" s="1086">
        <f t="shared" si="211"/>
        <v>165.80203199999997</v>
      </c>
      <c r="Q195" s="1086">
        <f t="shared" si="211"/>
        <v>180.87494399999994</v>
      </c>
      <c r="R195" s="1086">
        <f t="shared" si="211"/>
        <v>195.94785599999997</v>
      </c>
      <c r="S195" s="1086">
        <f t="shared" si="211"/>
        <v>211.02076799999995</v>
      </c>
      <c r="T195" s="1086">
        <f t="shared" si="211"/>
        <v>226.09367999999995</v>
      </c>
      <c r="U195" s="1086">
        <f t="shared" si="211"/>
        <v>241.16659199999995</v>
      </c>
      <c r="V195" s="1086">
        <f t="shared" si="211"/>
        <v>256.23950399999995</v>
      </c>
      <c r="W195" s="1086">
        <f t="shared" si="211"/>
        <v>271.31241599999993</v>
      </c>
      <c r="X195" s="1086">
        <f t="shared" si="211"/>
        <v>286.3853279999999</v>
      </c>
      <c r="Y195" s="1086">
        <f t="shared" si="211"/>
        <v>301.45823999999993</v>
      </c>
      <c r="Z195" s="1086">
        <f t="shared" si="211"/>
        <v>316.53115199999996</v>
      </c>
      <c r="AA195" s="1086">
        <f t="shared" si="211"/>
        <v>331.60406399999994</v>
      </c>
      <c r="AB195" s="1086">
        <f t="shared" si="211"/>
        <v>346.67697599999991</v>
      </c>
      <c r="AC195" s="1086">
        <f t="shared" si="211"/>
        <v>361.74988799999988</v>
      </c>
      <c r="AD195" s="1086">
        <f t="shared" si="211"/>
        <v>376.82279999999992</v>
      </c>
      <c r="AE195" s="1086">
        <f t="shared" si="211"/>
        <v>391.89571199999995</v>
      </c>
      <c r="AF195" s="1086">
        <f t="shared" si="211"/>
        <v>406.96862399999992</v>
      </c>
      <c r="AG195" s="1086">
        <f t="shared" si="211"/>
        <v>422.04153599999989</v>
      </c>
      <c r="AH195" s="1086">
        <f t="shared" si="211"/>
        <v>437.11444799999987</v>
      </c>
      <c r="AI195" s="1086">
        <f t="shared" si="211"/>
        <v>452.1873599999999</v>
      </c>
      <c r="AJ195" s="1086">
        <f t="shared" si="211"/>
        <v>467.26027199999993</v>
      </c>
      <c r="AK195" s="1086">
        <f t="shared" si="211"/>
        <v>482.3331839999999</v>
      </c>
      <c r="AL195" s="1086">
        <f t="shared" si="211"/>
        <v>497.40609599999988</v>
      </c>
      <c r="AM195" s="1086">
        <f t="shared" si="211"/>
        <v>512.47900799999991</v>
      </c>
      <c r="AN195" s="1086">
        <f t="shared" ref="AN195:BF195" si="212">((AN$192-$H$4)/1000)*$M$57*(($C$8/70)^$Y$57)</f>
        <v>527.55191999999988</v>
      </c>
      <c r="AO195" s="1086">
        <f t="shared" si="212"/>
        <v>542.62483199999986</v>
      </c>
      <c r="AP195" s="1086">
        <f t="shared" si="212"/>
        <v>557.69774399999994</v>
      </c>
      <c r="AQ195" s="1086">
        <f t="shared" si="212"/>
        <v>572.7706559999998</v>
      </c>
      <c r="AR195" s="1086">
        <f t="shared" si="212"/>
        <v>587.84356799999989</v>
      </c>
      <c r="AS195" s="1086">
        <f t="shared" si="212"/>
        <v>602.91647999999986</v>
      </c>
      <c r="AT195" s="1086">
        <f t="shared" si="212"/>
        <v>617.98939199999984</v>
      </c>
      <c r="AU195" s="1086">
        <f t="shared" si="212"/>
        <v>633.06230399999993</v>
      </c>
      <c r="AV195" s="1086">
        <f t="shared" si="212"/>
        <v>648.13521599999979</v>
      </c>
      <c r="AW195" s="1086">
        <f t="shared" si="212"/>
        <v>663.20812799999987</v>
      </c>
      <c r="AX195" s="1086">
        <f t="shared" si="212"/>
        <v>678.28103999999985</v>
      </c>
      <c r="AY195" s="1086">
        <f t="shared" si="212"/>
        <v>693.35395199999982</v>
      </c>
      <c r="AZ195" s="1086">
        <f t="shared" si="212"/>
        <v>708.42686399999991</v>
      </c>
      <c r="BA195" s="1086">
        <f t="shared" si="212"/>
        <v>723.49977599999977</v>
      </c>
      <c r="BB195" s="1086">
        <f t="shared" si="212"/>
        <v>738.57268799999986</v>
      </c>
      <c r="BC195" s="1086">
        <f t="shared" si="212"/>
        <v>753.64559999999983</v>
      </c>
      <c r="BD195" s="1086">
        <f t="shared" si="212"/>
        <v>768.71851199999981</v>
      </c>
      <c r="BE195" s="1086">
        <f t="shared" si="212"/>
        <v>783.79142399999989</v>
      </c>
      <c r="BF195" s="1086">
        <f t="shared" si="212"/>
        <v>798.86433599999975</v>
      </c>
    </row>
    <row r="196" spans="1:58" hidden="1">
      <c r="A196" s="2477"/>
      <c r="B196" s="2534" t="s">
        <v>322</v>
      </c>
      <c r="C196" s="2535"/>
      <c r="D196" s="789"/>
      <c r="E196" s="789"/>
      <c r="F196" s="789"/>
      <c r="G196" s="789"/>
      <c r="H196" s="1086">
        <f t="shared" ref="H196:AM196" si="213">((H$192-$H$4)/1000)*$N$57*(($C$8/70)^$Z$57)</f>
        <v>48.582197947863357</v>
      </c>
      <c r="I196" s="1086">
        <f t="shared" si="213"/>
        <v>64.77626393048449</v>
      </c>
      <c r="J196" s="1086">
        <f t="shared" si="213"/>
        <v>80.970329913105601</v>
      </c>
      <c r="K196" s="1086">
        <f t="shared" si="213"/>
        <v>97.164395895726713</v>
      </c>
      <c r="L196" s="1086">
        <f t="shared" si="213"/>
        <v>113.35846187834784</v>
      </c>
      <c r="M196" s="1086">
        <f t="shared" si="213"/>
        <v>129.55252786096898</v>
      </c>
      <c r="N196" s="1086">
        <f t="shared" si="213"/>
        <v>145.74659384359009</v>
      </c>
      <c r="O196" s="1086">
        <f t="shared" si="213"/>
        <v>161.9406598262112</v>
      </c>
      <c r="P196" s="1086">
        <f t="shared" si="213"/>
        <v>178.13472580883234</v>
      </c>
      <c r="Q196" s="1086">
        <f t="shared" si="213"/>
        <v>194.32879179145343</v>
      </c>
      <c r="R196" s="1086">
        <f t="shared" si="213"/>
        <v>210.52285777407457</v>
      </c>
      <c r="S196" s="1086">
        <f t="shared" si="213"/>
        <v>226.71692375669568</v>
      </c>
      <c r="T196" s="1086">
        <f t="shared" si="213"/>
        <v>242.91098973931679</v>
      </c>
      <c r="U196" s="1086">
        <f t="shared" si="213"/>
        <v>259.10505572193796</v>
      </c>
      <c r="V196" s="1086">
        <f t="shared" si="213"/>
        <v>275.29912170455901</v>
      </c>
      <c r="W196" s="1086">
        <f t="shared" si="213"/>
        <v>291.49318768718018</v>
      </c>
      <c r="X196" s="1086">
        <f t="shared" si="213"/>
        <v>307.68725366980129</v>
      </c>
      <c r="Y196" s="1086">
        <f t="shared" si="213"/>
        <v>323.88131965242241</v>
      </c>
      <c r="Z196" s="1086">
        <f t="shared" si="213"/>
        <v>340.07538563504352</v>
      </c>
      <c r="AA196" s="1086">
        <f t="shared" si="213"/>
        <v>356.26945161766469</v>
      </c>
      <c r="AB196" s="1086">
        <f t="shared" si="213"/>
        <v>372.46351760028574</v>
      </c>
      <c r="AC196" s="1086">
        <f t="shared" si="213"/>
        <v>388.65758358290685</v>
      </c>
      <c r="AD196" s="1086">
        <f t="shared" si="213"/>
        <v>404.85164956552802</v>
      </c>
      <c r="AE196" s="1086">
        <f t="shared" si="213"/>
        <v>421.04571554814913</v>
      </c>
      <c r="AF196" s="1086">
        <f t="shared" si="213"/>
        <v>437.2397815307703</v>
      </c>
      <c r="AG196" s="1086">
        <f t="shared" si="213"/>
        <v>453.43384751339136</v>
      </c>
      <c r="AH196" s="1086">
        <f t="shared" si="213"/>
        <v>469.62791349601247</v>
      </c>
      <c r="AI196" s="1086">
        <f t="shared" si="213"/>
        <v>485.82197947863358</v>
      </c>
      <c r="AJ196" s="1086">
        <f t="shared" si="213"/>
        <v>502.01604546125475</v>
      </c>
      <c r="AK196" s="1086">
        <f t="shared" si="213"/>
        <v>518.21011144387592</v>
      </c>
      <c r="AL196" s="1086">
        <f t="shared" si="213"/>
        <v>534.40417742649697</v>
      </c>
      <c r="AM196" s="1086">
        <f t="shared" si="213"/>
        <v>550.59824340911803</v>
      </c>
      <c r="AN196" s="1086">
        <f t="shared" ref="AN196:BF196" si="214">((AN$192-$H$4)/1000)*$N$57*(($C$8/70)^$Z$57)</f>
        <v>566.7923093917392</v>
      </c>
      <c r="AO196" s="1086">
        <f t="shared" si="214"/>
        <v>582.98637537436036</v>
      </c>
      <c r="AP196" s="1086">
        <f t="shared" si="214"/>
        <v>599.18044135698153</v>
      </c>
      <c r="AQ196" s="1086">
        <f t="shared" si="214"/>
        <v>615.37450733960259</v>
      </c>
      <c r="AR196" s="1086">
        <f t="shared" si="214"/>
        <v>631.56857332222364</v>
      </c>
      <c r="AS196" s="1086">
        <f t="shared" si="214"/>
        <v>647.76263930484481</v>
      </c>
      <c r="AT196" s="1086">
        <f t="shared" si="214"/>
        <v>663.95670528746587</v>
      </c>
      <c r="AU196" s="1086">
        <f t="shared" si="214"/>
        <v>680.15077127008703</v>
      </c>
      <c r="AV196" s="1086">
        <f t="shared" si="214"/>
        <v>696.34483725270809</v>
      </c>
      <c r="AW196" s="1086">
        <f t="shared" si="214"/>
        <v>712.53890323532937</v>
      </c>
      <c r="AX196" s="1086">
        <f t="shared" si="214"/>
        <v>728.73296921795043</v>
      </c>
      <c r="AY196" s="1086">
        <f t="shared" si="214"/>
        <v>744.92703520057148</v>
      </c>
      <c r="AZ196" s="1086">
        <f t="shared" si="214"/>
        <v>761.12110118319265</v>
      </c>
      <c r="BA196" s="1086">
        <f t="shared" si="214"/>
        <v>777.3151671658137</v>
      </c>
      <c r="BB196" s="1086">
        <f t="shared" si="214"/>
        <v>793.50923314843499</v>
      </c>
      <c r="BC196" s="1086">
        <f t="shared" si="214"/>
        <v>809.70329913105604</v>
      </c>
      <c r="BD196" s="1086">
        <f t="shared" si="214"/>
        <v>825.8973651136771</v>
      </c>
      <c r="BE196" s="1086">
        <f t="shared" si="214"/>
        <v>842.09143109629827</v>
      </c>
      <c r="BF196" s="1086">
        <f t="shared" si="214"/>
        <v>858.28549707891932</v>
      </c>
    </row>
    <row r="197" spans="1:58" ht="15.75" hidden="1" thickBot="1">
      <c r="A197" s="2477"/>
      <c r="B197" s="2563" t="s">
        <v>323</v>
      </c>
      <c r="C197" s="2564"/>
      <c r="D197" s="790"/>
      <c r="E197" s="790"/>
      <c r="F197" s="790"/>
      <c r="G197" s="790"/>
      <c r="H197" s="1086">
        <f t="shared" ref="H197:AM197" si="215">((H$192-$H$4)/1000)*$O$57*(($C$8/70)^$AA$57)</f>
        <v>65.062079999999995</v>
      </c>
      <c r="I197" s="1086">
        <f t="shared" si="215"/>
        <v>86.749439999999993</v>
      </c>
      <c r="J197" s="1086">
        <f t="shared" si="215"/>
        <v>108.43679999999999</v>
      </c>
      <c r="K197" s="1086">
        <f t="shared" si="215"/>
        <v>130.12415999999999</v>
      </c>
      <c r="L197" s="1086">
        <f t="shared" si="215"/>
        <v>151.81151999999997</v>
      </c>
      <c r="M197" s="1086">
        <f t="shared" si="215"/>
        <v>173.49887999999999</v>
      </c>
      <c r="N197" s="1086">
        <f t="shared" si="215"/>
        <v>195.18624</v>
      </c>
      <c r="O197" s="1086">
        <f t="shared" si="215"/>
        <v>216.87359999999998</v>
      </c>
      <c r="P197" s="1086">
        <f t="shared" si="215"/>
        <v>238.56095999999999</v>
      </c>
      <c r="Q197" s="1086">
        <f t="shared" si="215"/>
        <v>260.24831999999998</v>
      </c>
      <c r="R197" s="1086">
        <f t="shared" si="215"/>
        <v>281.93567999999999</v>
      </c>
      <c r="S197" s="1086">
        <f t="shared" si="215"/>
        <v>303.62303999999995</v>
      </c>
      <c r="T197" s="1086">
        <f t="shared" si="215"/>
        <v>325.31039999999996</v>
      </c>
      <c r="U197" s="1086">
        <f t="shared" si="215"/>
        <v>346.99775999999997</v>
      </c>
      <c r="V197" s="1086">
        <f t="shared" si="215"/>
        <v>368.68511999999998</v>
      </c>
      <c r="W197" s="1086">
        <f t="shared" si="215"/>
        <v>390.37248</v>
      </c>
      <c r="X197" s="1086">
        <f t="shared" si="215"/>
        <v>412.05983999999995</v>
      </c>
      <c r="Y197" s="1086">
        <f t="shared" si="215"/>
        <v>433.74719999999996</v>
      </c>
      <c r="Z197" s="1086">
        <f t="shared" si="215"/>
        <v>455.43455999999998</v>
      </c>
      <c r="AA197" s="1086">
        <f t="shared" si="215"/>
        <v>477.12191999999999</v>
      </c>
      <c r="AB197" s="1086">
        <f t="shared" si="215"/>
        <v>498.80927999999994</v>
      </c>
      <c r="AC197" s="1086">
        <f t="shared" si="215"/>
        <v>520.49663999999996</v>
      </c>
      <c r="AD197" s="1086">
        <f t="shared" si="215"/>
        <v>542.18399999999997</v>
      </c>
      <c r="AE197" s="1086">
        <f t="shared" si="215"/>
        <v>563.87135999999998</v>
      </c>
      <c r="AF197" s="1086">
        <f t="shared" si="215"/>
        <v>585.55871999999999</v>
      </c>
      <c r="AG197" s="1086">
        <f t="shared" si="215"/>
        <v>607.24607999999989</v>
      </c>
      <c r="AH197" s="1086">
        <f t="shared" si="215"/>
        <v>628.93343999999991</v>
      </c>
      <c r="AI197" s="1086">
        <f t="shared" si="215"/>
        <v>650.62079999999992</v>
      </c>
      <c r="AJ197" s="1086">
        <f t="shared" si="215"/>
        <v>672.30815999999993</v>
      </c>
      <c r="AK197" s="1086">
        <f t="shared" si="215"/>
        <v>693.99551999999994</v>
      </c>
      <c r="AL197" s="1086">
        <f t="shared" si="215"/>
        <v>715.68287999999995</v>
      </c>
      <c r="AM197" s="1086">
        <f t="shared" si="215"/>
        <v>737.37023999999997</v>
      </c>
      <c r="AN197" s="1086">
        <f t="shared" ref="AN197:BF197" si="216">((AN$192-$H$4)/1000)*$O$57*(($C$8/70)^$AA$57)</f>
        <v>759.05759999999998</v>
      </c>
      <c r="AO197" s="1086">
        <f t="shared" si="216"/>
        <v>780.74495999999999</v>
      </c>
      <c r="AP197" s="1086">
        <f t="shared" si="216"/>
        <v>802.43232</v>
      </c>
      <c r="AQ197" s="1086">
        <f t="shared" si="216"/>
        <v>824.1196799999999</v>
      </c>
      <c r="AR197" s="1086">
        <f t="shared" si="216"/>
        <v>845.80703999999992</v>
      </c>
      <c r="AS197" s="1086">
        <f t="shared" si="216"/>
        <v>867.49439999999993</v>
      </c>
      <c r="AT197" s="1086">
        <f t="shared" si="216"/>
        <v>889.18175999999983</v>
      </c>
      <c r="AU197" s="1086">
        <f t="shared" si="216"/>
        <v>910.86911999999995</v>
      </c>
      <c r="AV197" s="1086">
        <f t="shared" si="216"/>
        <v>932.55647999999985</v>
      </c>
      <c r="AW197" s="1086">
        <f t="shared" si="216"/>
        <v>954.24383999999998</v>
      </c>
      <c r="AX197" s="1086">
        <f t="shared" si="216"/>
        <v>975.93119999999988</v>
      </c>
      <c r="AY197" s="1086">
        <f t="shared" si="216"/>
        <v>997.61855999999989</v>
      </c>
      <c r="AZ197" s="1086">
        <f t="shared" si="216"/>
        <v>1019.3059199999999</v>
      </c>
      <c r="BA197" s="1086">
        <f t="shared" si="216"/>
        <v>1040.9932799999999</v>
      </c>
      <c r="BB197" s="1086">
        <f t="shared" si="216"/>
        <v>1062.68064</v>
      </c>
      <c r="BC197" s="1086">
        <f t="shared" si="216"/>
        <v>1084.3679999999999</v>
      </c>
      <c r="BD197" s="1086">
        <f t="shared" si="216"/>
        <v>1106.0553599999998</v>
      </c>
      <c r="BE197" s="1086">
        <f t="shared" si="216"/>
        <v>1127.74272</v>
      </c>
      <c r="BF197" s="1086">
        <f t="shared" si="216"/>
        <v>1149.4300799999999</v>
      </c>
    </row>
    <row r="198" spans="1:58" ht="15.75" hidden="1" customHeight="1" thickBot="1">
      <c r="A198" s="2477"/>
      <c r="B198" s="2565" t="s">
        <v>297</v>
      </c>
      <c r="C198" s="2566"/>
      <c r="D198" s="1002"/>
      <c r="E198" s="1002"/>
      <c r="F198" s="1002"/>
      <c r="G198" s="1002"/>
      <c r="H198" s="651">
        <f t="shared" ref="H198:AM198" si="217">((H$192-$H$4)/1000)*$P$57*(($C$8/70)^$AB$57)</f>
        <v>69.886976399999995</v>
      </c>
      <c r="I198" s="651">
        <f t="shared" si="217"/>
        <v>93.182635199999993</v>
      </c>
      <c r="J198" s="651">
        <f t="shared" si="217"/>
        <v>116.47829399999999</v>
      </c>
      <c r="K198" s="651">
        <f t="shared" si="217"/>
        <v>139.77395279999999</v>
      </c>
      <c r="L198" s="651">
        <f t="shared" si="217"/>
        <v>163.06961159999997</v>
      </c>
      <c r="M198" s="651">
        <f t="shared" si="217"/>
        <v>186.36527039999999</v>
      </c>
      <c r="N198" s="651">
        <f t="shared" si="217"/>
        <v>209.6609292</v>
      </c>
      <c r="O198" s="651">
        <f t="shared" si="217"/>
        <v>232.95658799999998</v>
      </c>
      <c r="P198" s="651">
        <f t="shared" si="217"/>
        <v>256.25224680000002</v>
      </c>
      <c r="Q198" s="651">
        <f t="shared" si="217"/>
        <v>279.54790559999998</v>
      </c>
      <c r="R198" s="651">
        <f t="shared" si="217"/>
        <v>302.84356439999999</v>
      </c>
      <c r="S198" s="651">
        <f t="shared" si="217"/>
        <v>326.13922319999995</v>
      </c>
      <c r="T198" s="651">
        <f t="shared" si="217"/>
        <v>349.43488199999996</v>
      </c>
      <c r="U198" s="651">
        <f t="shared" si="217"/>
        <v>372.73054079999997</v>
      </c>
      <c r="V198" s="651">
        <f t="shared" si="217"/>
        <v>396.02619959999998</v>
      </c>
      <c r="W198" s="651">
        <f t="shared" si="217"/>
        <v>419.3218584</v>
      </c>
      <c r="X198" s="651">
        <f t="shared" si="217"/>
        <v>442.61751719999995</v>
      </c>
      <c r="Y198" s="651">
        <f t="shared" si="217"/>
        <v>465.91317599999996</v>
      </c>
      <c r="Z198" s="651">
        <f t="shared" si="217"/>
        <v>489.20883479999998</v>
      </c>
      <c r="AA198" s="651">
        <f t="shared" si="217"/>
        <v>512.50449360000005</v>
      </c>
      <c r="AB198" s="651">
        <f t="shared" si="217"/>
        <v>535.80015239999989</v>
      </c>
      <c r="AC198" s="651">
        <f t="shared" si="217"/>
        <v>559.09581119999996</v>
      </c>
      <c r="AD198" s="651">
        <f t="shared" si="217"/>
        <v>582.39146999999991</v>
      </c>
      <c r="AE198" s="651">
        <f t="shared" si="217"/>
        <v>605.68712879999998</v>
      </c>
      <c r="AF198" s="651">
        <f t="shared" si="217"/>
        <v>628.98278759999994</v>
      </c>
      <c r="AG198" s="651">
        <f t="shared" si="217"/>
        <v>652.27844639999989</v>
      </c>
      <c r="AH198" s="651">
        <f t="shared" si="217"/>
        <v>675.57410519999996</v>
      </c>
      <c r="AI198" s="651">
        <f t="shared" si="217"/>
        <v>698.86976399999992</v>
      </c>
      <c r="AJ198" s="651">
        <f t="shared" si="217"/>
        <v>722.16542279999999</v>
      </c>
      <c r="AK198" s="651">
        <f t="shared" si="217"/>
        <v>745.46108159999994</v>
      </c>
      <c r="AL198" s="651">
        <f t="shared" si="217"/>
        <v>768.7567403999999</v>
      </c>
      <c r="AM198" s="651">
        <f t="shared" si="217"/>
        <v>792.05239919999997</v>
      </c>
      <c r="AN198" s="651">
        <f t="shared" ref="AN198:BF198" si="218">((AN$192-$H$4)/1000)*$P$57*(($C$8/70)^$AB$57)</f>
        <v>815.34805799999992</v>
      </c>
      <c r="AO198" s="651">
        <f t="shared" si="218"/>
        <v>838.64371679999999</v>
      </c>
      <c r="AP198" s="651">
        <f t="shared" si="218"/>
        <v>861.93937559999995</v>
      </c>
      <c r="AQ198" s="651">
        <f t="shared" si="218"/>
        <v>885.2350343999999</v>
      </c>
      <c r="AR198" s="651">
        <f t="shared" si="218"/>
        <v>908.53069319999986</v>
      </c>
      <c r="AS198" s="651">
        <f t="shared" si="218"/>
        <v>931.82635199999993</v>
      </c>
      <c r="AT198" s="651">
        <f t="shared" si="218"/>
        <v>955.12201079999988</v>
      </c>
      <c r="AU198" s="651">
        <f t="shared" si="218"/>
        <v>978.41766959999995</v>
      </c>
      <c r="AV198" s="651">
        <f t="shared" si="218"/>
        <v>1001.7133283999999</v>
      </c>
      <c r="AW198" s="651">
        <f t="shared" si="218"/>
        <v>1025.0089872000001</v>
      </c>
      <c r="AX198" s="651">
        <f t="shared" si="218"/>
        <v>1048.3046459999998</v>
      </c>
      <c r="AY198" s="651">
        <f t="shared" si="218"/>
        <v>1071.6003047999998</v>
      </c>
      <c r="AZ198" s="651">
        <f t="shared" si="218"/>
        <v>1094.8959636</v>
      </c>
      <c r="BA198" s="651">
        <f t="shared" si="218"/>
        <v>1118.1916223999999</v>
      </c>
      <c r="BB198" s="651">
        <f t="shared" si="218"/>
        <v>1141.4872812000001</v>
      </c>
      <c r="BC198" s="651">
        <f t="shared" si="218"/>
        <v>1164.7829399999998</v>
      </c>
      <c r="BD198" s="651">
        <f t="shared" si="218"/>
        <v>1188.0785987999998</v>
      </c>
      <c r="BE198" s="651">
        <f t="shared" si="218"/>
        <v>1211.3742576</v>
      </c>
      <c r="BF198" s="651">
        <f t="shared" si="218"/>
        <v>1234.6699163999999</v>
      </c>
    </row>
    <row r="199" spans="1:58" ht="15.75" hidden="1" customHeight="1" thickBot="1">
      <c r="A199" s="2477"/>
      <c r="B199" s="2567" t="s">
        <v>298</v>
      </c>
      <c r="C199" s="2568"/>
      <c r="D199" s="1000"/>
      <c r="E199" s="1000"/>
      <c r="F199" s="1000"/>
      <c r="G199" s="1000"/>
      <c r="H199" s="651">
        <f t="shared" ref="H199:AM199" si="219">((H$192-$H$4)/1000)*$Q$57*(($C$8/70)^$AC$57)</f>
        <v>71.999150422550386</v>
      </c>
      <c r="I199" s="651">
        <f t="shared" si="219"/>
        <v>95.998867230067191</v>
      </c>
      <c r="J199" s="651">
        <f t="shared" si="219"/>
        <v>119.99858403758398</v>
      </c>
      <c r="K199" s="651">
        <f t="shared" si="219"/>
        <v>143.99830084510077</v>
      </c>
      <c r="L199" s="651">
        <f t="shared" si="219"/>
        <v>167.99801765261756</v>
      </c>
      <c r="M199" s="651">
        <f t="shared" si="219"/>
        <v>191.99773446013438</v>
      </c>
      <c r="N199" s="651">
        <f t="shared" si="219"/>
        <v>215.99745126765117</v>
      </c>
      <c r="O199" s="651">
        <f t="shared" si="219"/>
        <v>239.99716807516796</v>
      </c>
      <c r="P199" s="651">
        <f t="shared" si="219"/>
        <v>263.99688488268475</v>
      </c>
      <c r="Q199" s="651">
        <f t="shared" si="219"/>
        <v>287.99660169020154</v>
      </c>
      <c r="R199" s="651">
        <f t="shared" si="219"/>
        <v>311.99631849771833</v>
      </c>
      <c r="S199" s="651">
        <f t="shared" si="219"/>
        <v>335.99603530523513</v>
      </c>
      <c r="T199" s="651">
        <f t="shared" si="219"/>
        <v>359.99575211275192</v>
      </c>
      <c r="U199" s="651">
        <f t="shared" si="219"/>
        <v>383.99546892026876</v>
      </c>
      <c r="V199" s="651">
        <f t="shared" si="219"/>
        <v>407.99518572778555</v>
      </c>
      <c r="W199" s="651">
        <f t="shared" si="219"/>
        <v>431.99490253530234</v>
      </c>
      <c r="X199" s="651">
        <f t="shared" si="219"/>
        <v>455.99461934281913</v>
      </c>
      <c r="Y199" s="651">
        <f t="shared" si="219"/>
        <v>479.99433615033593</v>
      </c>
      <c r="Z199" s="651">
        <f t="shared" si="219"/>
        <v>503.99405295785272</v>
      </c>
      <c r="AA199" s="651">
        <f t="shared" si="219"/>
        <v>527.99376976536951</v>
      </c>
      <c r="AB199" s="651">
        <f t="shared" si="219"/>
        <v>551.99348657288624</v>
      </c>
      <c r="AC199" s="651">
        <f t="shared" si="219"/>
        <v>575.99320338040309</v>
      </c>
      <c r="AD199" s="651">
        <f t="shared" si="219"/>
        <v>599.99292018791994</v>
      </c>
      <c r="AE199" s="651">
        <f t="shared" si="219"/>
        <v>623.99263699543667</v>
      </c>
      <c r="AF199" s="651">
        <f t="shared" si="219"/>
        <v>647.99235380295352</v>
      </c>
      <c r="AG199" s="651">
        <f t="shared" si="219"/>
        <v>671.99207061047025</v>
      </c>
      <c r="AH199" s="651">
        <f t="shared" si="219"/>
        <v>695.9917874179871</v>
      </c>
      <c r="AI199" s="651">
        <f t="shared" si="219"/>
        <v>719.99150422550383</v>
      </c>
      <c r="AJ199" s="651">
        <f t="shared" si="219"/>
        <v>743.99122103302068</v>
      </c>
      <c r="AK199" s="651">
        <f t="shared" si="219"/>
        <v>767.99093784053753</v>
      </c>
      <c r="AL199" s="651">
        <f t="shared" si="219"/>
        <v>791.99065464805426</v>
      </c>
      <c r="AM199" s="651">
        <f t="shared" si="219"/>
        <v>815.99037145557111</v>
      </c>
      <c r="AN199" s="651">
        <f t="shared" ref="AN199:BF199" si="220">((AN$192-$H$4)/1000)*$Q$57*(($C$8/70)^$AC$57)</f>
        <v>839.99008826308784</v>
      </c>
      <c r="AO199" s="651">
        <f t="shared" si="220"/>
        <v>863.98980507060469</v>
      </c>
      <c r="AP199" s="651">
        <f t="shared" si="220"/>
        <v>887.98952187812154</v>
      </c>
      <c r="AQ199" s="651">
        <f t="shared" si="220"/>
        <v>911.98923868563827</v>
      </c>
      <c r="AR199" s="651">
        <f t="shared" si="220"/>
        <v>935.988955493155</v>
      </c>
      <c r="AS199" s="651">
        <f t="shared" si="220"/>
        <v>959.98867230067185</v>
      </c>
      <c r="AT199" s="651">
        <f t="shared" si="220"/>
        <v>983.98838910818858</v>
      </c>
      <c r="AU199" s="651">
        <f t="shared" si="220"/>
        <v>1007.9881059157054</v>
      </c>
      <c r="AV199" s="651">
        <f t="shared" si="220"/>
        <v>1031.9878227232223</v>
      </c>
      <c r="AW199" s="651">
        <f t="shared" si="220"/>
        <v>1055.987539530739</v>
      </c>
      <c r="AX199" s="651">
        <f t="shared" si="220"/>
        <v>1079.9872563382557</v>
      </c>
      <c r="AY199" s="651">
        <f t="shared" si="220"/>
        <v>1103.9869731457725</v>
      </c>
      <c r="AZ199" s="651">
        <f t="shared" si="220"/>
        <v>1127.9866899532894</v>
      </c>
      <c r="BA199" s="651">
        <f t="shared" si="220"/>
        <v>1151.9864067608062</v>
      </c>
      <c r="BB199" s="651">
        <f t="shared" si="220"/>
        <v>1175.9861235683231</v>
      </c>
      <c r="BC199" s="651">
        <f t="shared" si="220"/>
        <v>1199.9858403758399</v>
      </c>
      <c r="BD199" s="651">
        <f t="shared" si="220"/>
        <v>1223.9855571833566</v>
      </c>
      <c r="BE199" s="651">
        <f t="shared" si="220"/>
        <v>1247.9852739908733</v>
      </c>
      <c r="BF199" s="651">
        <f t="shared" si="220"/>
        <v>1271.9849907983901</v>
      </c>
    </row>
    <row r="200" spans="1:58" ht="15.75" hidden="1" customHeight="1" thickBot="1">
      <c r="A200" s="2477"/>
      <c r="B200" s="2569" t="s">
        <v>299</v>
      </c>
      <c r="C200" s="2570"/>
      <c r="D200" s="1001"/>
      <c r="E200" s="1001"/>
      <c r="F200" s="1001"/>
      <c r="G200" s="1001"/>
      <c r="H200" s="618">
        <f t="shared" ref="H200:AM200" si="221">((H$192-$H$4)/1000)*$R$57*(($C$8/70)^$AD$57)</f>
        <v>93.77913599999998</v>
      </c>
      <c r="I200" s="618">
        <f t="shared" si="221"/>
        <v>125.03884799999999</v>
      </c>
      <c r="J200" s="618">
        <f t="shared" si="221"/>
        <v>156.29855999999998</v>
      </c>
      <c r="K200" s="618">
        <f t="shared" si="221"/>
        <v>187.55827199999996</v>
      </c>
      <c r="L200" s="618">
        <f t="shared" si="221"/>
        <v>218.81798399999997</v>
      </c>
      <c r="M200" s="618">
        <f t="shared" si="221"/>
        <v>250.07769599999997</v>
      </c>
      <c r="N200" s="618">
        <f t="shared" si="221"/>
        <v>281.33740799999998</v>
      </c>
      <c r="O200" s="618">
        <f t="shared" si="221"/>
        <v>312.59711999999996</v>
      </c>
      <c r="P200" s="618">
        <f t="shared" si="221"/>
        <v>343.856832</v>
      </c>
      <c r="Q200" s="618">
        <f t="shared" si="221"/>
        <v>375.11654399999992</v>
      </c>
      <c r="R200" s="618">
        <f t="shared" si="221"/>
        <v>406.37625599999996</v>
      </c>
      <c r="S200" s="618">
        <f t="shared" si="221"/>
        <v>437.63596799999993</v>
      </c>
      <c r="T200" s="618">
        <f t="shared" si="221"/>
        <v>468.89567999999997</v>
      </c>
      <c r="U200" s="618">
        <f t="shared" si="221"/>
        <v>500.15539199999995</v>
      </c>
      <c r="V200" s="618">
        <f t="shared" si="221"/>
        <v>531.41510399999993</v>
      </c>
      <c r="W200" s="618">
        <f t="shared" si="221"/>
        <v>562.67481599999996</v>
      </c>
      <c r="X200" s="618">
        <f t="shared" si="221"/>
        <v>593.93452799999989</v>
      </c>
      <c r="Y200" s="618">
        <f t="shared" si="221"/>
        <v>625.19423999999992</v>
      </c>
      <c r="Z200" s="618">
        <f t="shared" si="221"/>
        <v>656.45395199999996</v>
      </c>
      <c r="AA200" s="618">
        <f t="shared" si="221"/>
        <v>687.71366399999999</v>
      </c>
      <c r="AB200" s="618">
        <f t="shared" si="221"/>
        <v>718.9733759999998</v>
      </c>
      <c r="AC200" s="618">
        <f t="shared" si="221"/>
        <v>750.23308799999984</v>
      </c>
      <c r="AD200" s="618">
        <f t="shared" si="221"/>
        <v>781.49279999999987</v>
      </c>
      <c r="AE200" s="618">
        <f t="shared" si="221"/>
        <v>812.75251199999991</v>
      </c>
      <c r="AF200" s="618">
        <f t="shared" si="221"/>
        <v>844.01222399999995</v>
      </c>
      <c r="AG200" s="618">
        <f t="shared" si="221"/>
        <v>875.27193599999987</v>
      </c>
      <c r="AH200" s="618">
        <f t="shared" si="221"/>
        <v>906.5316479999999</v>
      </c>
      <c r="AI200" s="618">
        <f t="shared" si="221"/>
        <v>937.79135999999994</v>
      </c>
      <c r="AJ200" s="618">
        <f t="shared" si="221"/>
        <v>969.05107199999986</v>
      </c>
      <c r="AK200" s="618">
        <f t="shared" si="221"/>
        <v>1000.3107839999999</v>
      </c>
      <c r="AL200" s="618">
        <f t="shared" si="221"/>
        <v>1031.5704959999998</v>
      </c>
      <c r="AM200" s="618">
        <f t="shared" si="221"/>
        <v>1062.8302079999999</v>
      </c>
      <c r="AN200" s="618">
        <f t="shared" ref="AN200:BF200" si="222">((AN$192-$H$4)/1000)*$R$57*(($C$8/70)^$AD$57)</f>
        <v>1094.0899199999999</v>
      </c>
      <c r="AO200" s="618">
        <f t="shared" si="222"/>
        <v>1125.3496319999999</v>
      </c>
      <c r="AP200" s="618">
        <f t="shared" si="222"/>
        <v>1156.609344</v>
      </c>
      <c r="AQ200" s="618">
        <f t="shared" si="222"/>
        <v>1187.8690559999998</v>
      </c>
      <c r="AR200" s="618">
        <f t="shared" si="222"/>
        <v>1219.1287679999998</v>
      </c>
      <c r="AS200" s="618">
        <f t="shared" si="222"/>
        <v>1250.3884799999998</v>
      </c>
      <c r="AT200" s="618">
        <f t="shared" si="222"/>
        <v>1281.6481919999997</v>
      </c>
      <c r="AU200" s="618">
        <f t="shared" si="222"/>
        <v>1312.9079039999999</v>
      </c>
      <c r="AV200" s="618">
        <f t="shared" si="222"/>
        <v>1344.1676159999997</v>
      </c>
      <c r="AW200" s="618">
        <f t="shared" si="222"/>
        <v>1375.427328</v>
      </c>
      <c r="AX200" s="618">
        <f t="shared" si="222"/>
        <v>1406.6870399999998</v>
      </c>
      <c r="AY200" s="618">
        <f t="shared" si="222"/>
        <v>1437.9467519999996</v>
      </c>
      <c r="AZ200" s="618">
        <f t="shared" si="222"/>
        <v>1469.2064639999999</v>
      </c>
      <c r="BA200" s="618">
        <f t="shared" si="222"/>
        <v>1500.4661759999997</v>
      </c>
      <c r="BB200" s="618">
        <f t="shared" si="222"/>
        <v>1531.7258879999999</v>
      </c>
      <c r="BC200" s="618">
        <f t="shared" si="222"/>
        <v>1562.9855999999997</v>
      </c>
      <c r="BD200" s="618">
        <f t="shared" si="222"/>
        <v>1594.2453119999998</v>
      </c>
      <c r="BE200" s="618">
        <f t="shared" si="222"/>
        <v>1625.5050239999998</v>
      </c>
      <c r="BF200" s="618">
        <f t="shared" si="222"/>
        <v>1656.7647359999996</v>
      </c>
    </row>
    <row r="201" spans="1:58" hidden="1">
      <c r="A201" s="2477"/>
      <c r="B201" s="2517" t="s">
        <v>324</v>
      </c>
      <c r="C201" s="2518"/>
      <c r="D201" s="791"/>
      <c r="E201" s="791"/>
      <c r="F201" s="791"/>
      <c r="G201" s="791"/>
      <c r="H201" s="1087">
        <f t="shared" ref="H201:AM201" si="223">((H$192-$H$4)/1000)*$K$58*(($C$8/70)^$W$58)</f>
        <v>44.006939999999993</v>
      </c>
      <c r="I201" s="1087">
        <f t="shared" si="223"/>
        <v>58.675919999999998</v>
      </c>
      <c r="J201" s="1087">
        <f t="shared" si="223"/>
        <v>73.344899999999996</v>
      </c>
      <c r="K201" s="1087">
        <f t="shared" si="223"/>
        <v>88.013879999999986</v>
      </c>
      <c r="L201" s="1087">
        <f t="shared" si="223"/>
        <v>102.68285999999999</v>
      </c>
      <c r="M201" s="1087">
        <f t="shared" si="223"/>
        <v>117.35184</v>
      </c>
      <c r="N201" s="1087">
        <f t="shared" si="223"/>
        <v>132.02081999999999</v>
      </c>
      <c r="O201" s="1087">
        <f t="shared" si="223"/>
        <v>146.68979999999999</v>
      </c>
      <c r="P201" s="1087">
        <f t="shared" si="223"/>
        <v>161.35878</v>
      </c>
      <c r="Q201" s="1087">
        <f t="shared" si="223"/>
        <v>176.02775999999997</v>
      </c>
      <c r="R201" s="1087">
        <f t="shared" si="223"/>
        <v>190.69674000000001</v>
      </c>
      <c r="S201" s="1087">
        <f t="shared" si="223"/>
        <v>205.36571999999998</v>
      </c>
      <c r="T201" s="1087">
        <f t="shared" si="223"/>
        <v>220.03469999999999</v>
      </c>
      <c r="U201" s="1087">
        <f t="shared" si="223"/>
        <v>234.70367999999999</v>
      </c>
      <c r="V201" s="1087">
        <f t="shared" si="223"/>
        <v>249.37265999999997</v>
      </c>
      <c r="W201" s="1087">
        <f t="shared" si="223"/>
        <v>264.04163999999997</v>
      </c>
      <c r="X201" s="1087">
        <f t="shared" si="223"/>
        <v>278.71061999999995</v>
      </c>
      <c r="Y201" s="1087">
        <f t="shared" si="223"/>
        <v>293.37959999999998</v>
      </c>
      <c r="Z201" s="1087">
        <f t="shared" si="223"/>
        <v>308.04858000000002</v>
      </c>
      <c r="AA201" s="1087">
        <f t="shared" si="223"/>
        <v>322.71755999999999</v>
      </c>
      <c r="AB201" s="1087">
        <f t="shared" si="223"/>
        <v>337.38653999999997</v>
      </c>
      <c r="AC201" s="1087">
        <f t="shared" si="223"/>
        <v>352.05551999999994</v>
      </c>
      <c r="AD201" s="1087">
        <f t="shared" si="223"/>
        <v>366.72449999999998</v>
      </c>
      <c r="AE201" s="1087">
        <f t="shared" si="223"/>
        <v>381.39348000000001</v>
      </c>
      <c r="AF201" s="1087">
        <f t="shared" si="223"/>
        <v>396.06245999999999</v>
      </c>
      <c r="AG201" s="1087">
        <f t="shared" si="223"/>
        <v>410.73143999999996</v>
      </c>
      <c r="AH201" s="1087">
        <f t="shared" si="223"/>
        <v>425.40041999999994</v>
      </c>
      <c r="AI201" s="1087">
        <f t="shared" si="223"/>
        <v>440.06939999999997</v>
      </c>
      <c r="AJ201" s="1087">
        <f t="shared" si="223"/>
        <v>454.73838000000001</v>
      </c>
      <c r="AK201" s="1087">
        <f t="shared" si="223"/>
        <v>469.40735999999998</v>
      </c>
      <c r="AL201" s="1087">
        <f t="shared" si="223"/>
        <v>484.07633999999996</v>
      </c>
      <c r="AM201" s="1087">
        <f t="shared" si="223"/>
        <v>498.74531999999994</v>
      </c>
      <c r="AN201" s="1087">
        <f t="shared" ref="AN201:BF201" si="224">((AN$192-$H$4)/1000)*$K$58*(($C$8/70)^$W$58)</f>
        <v>513.41429999999991</v>
      </c>
      <c r="AO201" s="1087">
        <f t="shared" si="224"/>
        <v>528.08327999999995</v>
      </c>
      <c r="AP201" s="1087">
        <f t="shared" si="224"/>
        <v>542.75225999999998</v>
      </c>
      <c r="AQ201" s="1087">
        <f t="shared" si="224"/>
        <v>557.4212399999999</v>
      </c>
      <c r="AR201" s="1087">
        <f t="shared" si="224"/>
        <v>572.09021999999993</v>
      </c>
      <c r="AS201" s="1087">
        <f t="shared" si="224"/>
        <v>586.75919999999996</v>
      </c>
      <c r="AT201" s="1087">
        <f t="shared" si="224"/>
        <v>601.42817999999988</v>
      </c>
      <c r="AU201" s="1087">
        <f t="shared" si="224"/>
        <v>616.09716000000003</v>
      </c>
      <c r="AV201" s="1087">
        <f t="shared" si="224"/>
        <v>630.76613999999995</v>
      </c>
      <c r="AW201" s="1087">
        <f t="shared" si="224"/>
        <v>645.43511999999998</v>
      </c>
      <c r="AX201" s="1087">
        <f t="shared" si="224"/>
        <v>660.10410000000002</v>
      </c>
      <c r="AY201" s="1087">
        <f t="shared" si="224"/>
        <v>674.77307999999994</v>
      </c>
      <c r="AZ201" s="1087">
        <f t="shared" si="224"/>
        <v>689.44205999999997</v>
      </c>
      <c r="BA201" s="1087">
        <f t="shared" si="224"/>
        <v>704.11103999999989</v>
      </c>
      <c r="BB201" s="1087">
        <f t="shared" si="224"/>
        <v>718.78002000000004</v>
      </c>
      <c r="BC201" s="1087">
        <f t="shared" si="224"/>
        <v>733.44899999999996</v>
      </c>
      <c r="BD201" s="1087">
        <f t="shared" si="224"/>
        <v>748.11797999999987</v>
      </c>
      <c r="BE201" s="1087">
        <f t="shared" si="224"/>
        <v>762.78696000000002</v>
      </c>
      <c r="BF201" s="1087">
        <f t="shared" si="224"/>
        <v>777.45593999999994</v>
      </c>
    </row>
    <row r="202" spans="1:58" hidden="1">
      <c r="A202" s="2477"/>
      <c r="B202" s="2519" t="s">
        <v>325</v>
      </c>
      <c r="C202" s="2520"/>
      <c r="D202" s="792"/>
      <c r="E202" s="792"/>
      <c r="F202" s="792"/>
      <c r="G202" s="792"/>
      <c r="H202" s="1088">
        <f t="shared" ref="H202:AM202" si="225">((H$192-$H$4)/1000)*$L$58*(($C$8/70)^$X$58)</f>
        <v>49.445999999999998</v>
      </c>
      <c r="I202" s="1088">
        <f t="shared" si="225"/>
        <v>65.927999999999997</v>
      </c>
      <c r="J202" s="1088">
        <f t="shared" si="225"/>
        <v>82.41</v>
      </c>
      <c r="K202" s="1088">
        <f t="shared" si="225"/>
        <v>98.891999999999996</v>
      </c>
      <c r="L202" s="1088">
        <f t="shared" si="225"/>
        <v>115.37399999999998</v>
      </c>
      <c r="M202" s="1088">
        <f t="shared" si="225"/>
        <v>131.85599999999999</v>
      </c>
      <c r="N202" s="1088">
        <f t="shared" si="225"/>
        <v>148.33799999999999</v>
      </c>
      <c r="O202" s="1088">
        <f t="shared" si="225"/>
        <v>164.82</v>
      </c>
      <c r="P202" s="1088">
        <f t="shared" si="225"/>
        <v>181.30200000000002</v>
      </c>
      <c r="Q202" s="1088">
        <f t="shared" si="225"/>
        <v>197.78399999999999</v>
      </c>
      <c r="R202" s="1088">
        <f t="shared" si="225"/>
        <v>214.26599999999999</v>
      </c>
      <c r="S202" s="1088">
        <f t="shared" si="225"/>
        <v>230.74799999999996</v>
      </c>
      <c r="T202" s="1088">
        <f t="shared" si="225"/>
        <v>247.23</v>
      </c>
      <c r="U202" s="1088">
        <f t="shared" si="225"/>
        <v>263.71199999999999</v>
      </c>
      <c r="V202" s="1088">
        <f t="shared" si="225"/>
        <v>280.19399999999996</v>
      </c>
      <c r="W202" s="1088">
        <f t="shared" si="225"/>
        <v>296.67599999999999</v>
      </c>
      <c r="X202" s="1088">
        <f t="shared" si="225"/>
        <v>313.15799999999996</v>
      </c>
      <c r="Y202" s="1088">
        <f t="shared" si="225"/>
        <v>329.64</v>
      </c>
      <c r="Z202" s="1088">
        <f t="shared" si="225"/>
        <v>346.12200000000001</v>
      </c>
      <c r="AA202" s="1088">
        <f t="shared" si="225"/>
        <v>362.60400000000004</v>
      </c>
      <c r="AB202" s="1088">
        <f t="shared" si="225"/>
        <v>379.08599999999996</v>
      </c>
      <c r="AC202" s="1088">
        <f t="shared" si="225"/>
        <v>395.56799999999998</v>
      </c>
      <c r="AD202" s="1088">
        <f t="shared" si="225"/>
        <v>412.04999999999995</v>
      </c>
      <c r="AE202" s="1088">
        <f t="shared" si="225"/>
        <v>428.53199999999998</v>
      </c>
      <c r="AF202" s="1088">
        <f t="shared" si="225"/>
        <v>445.01400000000001</v>
      </c>
      <c r="AG202" s="1088">
        <f t="shared" si="225"/>
        <v>461.49599999999992</v>
      </c>
      <c r="AH202" s="1088">
        <f t="shared" si="225"/>
        <v>477.97799999999995</v>
      </c>
      <c r="AI202" s="1088">
        <f t="shared" si="225"/>
        <v>494.46</v>
      </c>
      <c r="AJ202" s="1088">
        <f t="shared" si="225"/>
        <v>510.94200000000001</v>
      </c>
      <c r="AK202" s="1088">
        <f t="shared" si="225"/>
        <v>527.42399999999998</v>
      </c>
      <c r="AL202" s="1088">
        <f t="shared" si="225"/>
        <v>543.90599999999995</v>
      </c>
      <c r="AM202" s="1088">
        <f t="shared" si="225"/>
        <v>560.38799999999992</v>
      </c>
      <c r="AN202" s="1088">
        <f t="shared" ref="AN202:BF202" si="226">((AN$192-$H$4)/1000)*$L$58*(($C$8/70)^$X$58)</f>
        <v>576.87</v>
      </c>
      <c r="AO202" s="1088">
        <f t="shared" si="226"/>
        <v>593.35199999999998</v>
      </c>
      <c r="AP202" s="1088">
        <f t="shared" si="226"/>
        <v>609.83400000000006</v>
      </c>
      <c r="AQ202" s="1088">
        <f t="shared" si="226"/>
        <v>626.31599999999992</v>
      </c>
      <c r="AR202" s="1088">
        <f t="shared" si="226"/>
        <v>642.798</v>
      </c>
      <c r="AS202" s="1088">
        <f t="shared" si="226"/>
        <v>659.28</v>
      </c>
      <c r="AT202" s="1088">
        <f t="shared" si="226"/>
        <v>675.76199999999994</v>
      </c>
      <c r="AU202" s="1088">
        <f t="shared" si="226"/>
        <v>692.24400000000003</v>
      </c>
      <c r="AV202" s="1088">
        <f t="shared" si="226"/>
        <v>708.72599999999989</v>
      </c>
      <c r="AW202" s="1088">
        <f t="shared" si="226"/>
        <v>725.20800000000008</v>
      </c>
      <c r="AX202" s="1088">
        <f t="shared" si="226"/>
        <v>741.68999999999994</v>
      </c>
      <c r="AY202" s="1088">
        <f t="shared" si="226"/>
        <v>758.17199999999991</v>
      </c>
      <c r="AZ202" s="1088">
        <f t="shared" si="226"/>
        <v>774.654</v>
      </c>
      <c r="BA202" s="1088">
        <f t="shared" si="226"/>
        <v>791.13599999999997</v>
      </c>
      <c r="BB202" s="1088">
        <f t="shared" si="226"/>
        <v>807.61800000000005</v>
      </c>
      <c r="BC202" s="1088">
        <f t="shared" si="226"/>
        <v>824.09999999999991</v>
      </c>
      <c r="BD202" s="1088">
        <f t="shared" si="226"/>
        <v>840.58199999999988</v>
      </c>
      <c r="BE202" s="1088">
        <f t="shared" si="226"/>
        <v>857.06399999999996</v>
      </c>
      <c r="BF202" s="1088">
        <f t="shared" si="226"/>
        <v>873.54599999999994</v>
      </c>
    </row>
    <row r="203" spans="1:58" hidden="1">
      <c r="A203" s="2477"/>
      <c r="B203" s="2519" t="s">
        <v>326</v>
      </c>
      <c r="C203" s="2520"/>
      <c r="D203" s="792"/>
      <c r="E203" s="792"/>
      <c r="F203" s="792"/>
      <c r="G203" s="792"/>
      <c r="H203" s="1088">
        <f t="shared" ref="H203:AM203" si="227">((H$192-$H$4)/1000)*$M$58*(($C$8/70)^$Y$58)</f>
        <v>65.534399999999991</v>
      </c>
      <c r="I203" s="1088">
        <f t="shared" si="227"/>
        <v>87.379199999999997</v>
      </c>
      <c r="J203" s="1088">
        <f t="shared" si="227"/>
        <v>109.22399999999999</v>
      </c>
      <c r="K203" s="1088">
        <f t="shared" si="227"/>
        <v>131.06879999999998</v>
      </c>
      <c r="L203" s="1088">
        <f t="shared" si="227"/>
        <v>152.91359999999997</v>
      </c>
      <c r="M203" s="1088">
        <f t="shared" si="227"/>
        <v>174.75839999999999</v>
      </c>
      <c r="N203" s="1088">
        <f t="shared" si="227"/>
        <v>196.60319999999999</v>
      </c>
      <c r="O203" s="1088">
        <f t="shared" si="227"/>
        <v>218.44799999999998</v>
      </c>
      <c r="P203" s="1088">
        <f t="shared" si="227"/>
        <v>240.2928</v>
      </c>
      <c r="Q203" s="1088">
        <f t="shared" si="227"/>
        <v>262.13759999999996</v>
      </c>
      <c r="R203" s="1088">
        <f t="shared" si="227"/>
        <v>283.98239999999998</v>
      </c>
      <c r="S203" s="1088">
        <f t="shared" si="227"/>
        <v>305.82719999999995</v>
      </c>
      <c r="T203" s="1088">
        <f t="shared" si="227"/>
        <v>327.67199999999997</v>
      </c>
      <c r="U203" s="1088">
        <f t="shared" si="227"/>
        <v>349.51679999999999</v>
      </c>
      <c r="V203" s="1088">
        <f t="shared" si="227"/>
        <v>371.36159999999995</v>
      </c>
      <c r="W203" s="1088">
        <f t="shared" si="227"/>
        <v>393.20639999999997</v>
      </c>
      <c r="X203" s="1088">
        <f t="shared" si="227"/>
        <v>415.05119999999994</v>
      </c>
      <c r="Y203" s="1088">
        <f t="shared" si="227"/>
        <v>436.89599999999996</v>
      </c>
      <c r="Z203" s="1088">
        <f t="shared" si="227"/>
        <v>458.74079999999998</v>
      </c>
      <c r="AA203" s="1088">
        <f t="shared" si="227"/>
        <v>480.5856</v>
      </c>
      <c r="AB203" s="1088">
        <f t="shared" si="227"/>
        <v>502.43039999999991</v>
      </c>
      <c r="AC203" s="1088">
        <f t="shared" si="227"/>
        <v>524.27519999999993</v>
      </c>
      <c r="AD203" s="1088">
        <f t="shared" si="227"/>
        <v>546.11999999999989</v>
      </c>
      <c r="AE203" s="1088">
        <f t="shared" si="227"/>
        <v>567.96479999999997</v>
      </c>
      <c r="AF203" s="1088">
        <f t="shared" si="227"/>
        <v>589.80959999999993</v>
      </c>
      <c r="AG203" s="1088">
        <f t="shared" si="227"/>
        <v>611.6543999999999</v>
      </c>
      <c r="AH203" s="1088">
        <f t="shared" si="227"/>
        <v>633.49919999999997</v>
      </c>
      <c r="AI203" s="1088">
        <f t="shared" si="227"/>
        <v>655.34399999999994</v>
      </c>
      <c r="AJ203" s="1088">
        <f t="shared" si="227"/>
        <v>677.1887999999999</v>
      </c>
      <c r="AK203" s="1088">
        <f t="shared" si="227"/>
        <v>699.03359999999998</v>
      </c>
      <c r="AL203" s="1088">
        <f t="shared" si="227"/>
        <v>720.87839999999994</v>
      </c>
      <c r="AM203" s="1088">
        <f t="shared" si="227"/>
        <v>742.72319999999991</v>
      </c>
      <c r="AN203" s="1088">
        <f t="shared" ref="AN203:BF203" si="228">((AN$192-$H$4)/1000)*$M$58*(($C$8/70)^$Y$58)</f>
        <v>764.56799999999998</v>
      </c>
      <c r="AO203" s="1088">
        <f t="shared" si="228"/>
        <v>786.41279999999995</v>
      </c>
      <c r="AP203" s="1088">
        <f t="shared" si="228"/>
        <v>808.25759999999991</v>
      </c>
      <c r="AQ203" s="1088">
        <f t="shared" si="228"/>
        <v>830.10239999999988</v>
      </c>
      <c r="AR203" s="1088">
        <f t="shared" si="228"/>
        <v>851.94719999999995</v>
      </c>
      <c r="AS203" s="1088">
        <f t="shared" si="228"/>
        <v>873.79199999999992</v>
      </c>
      <c r="AT203" s="1088">
        <f t="shared" si="228"/>
        <v>895.63679999999988</v>
      </c>
      <c r="AU203" s="1088">
        <f t="shared" si="228"/>
        <v>917.48159999999996</v>
      </c>
      <c r="AV203" s="1088">
        <f t="shared" si="228"/>
        <v>939.32639999999992</v>
      </c>
      <c r="AW203" s="1088">
        <f t="shared" si="228"/>
        <v>961.1712</v>
      </c>
      <c r="AX203" s="1088">
        <f t="shared" si="228"/>
        <v>983.01599999999985</v>
      </c>
      <c r="AY203" s="1088">
        <f t="shared" si="228"/>
        <v>1004.8607999999998</v>
      </c>
      <c r="AZ203" s="1088">
        <f t="shared" si="228"/>
        <v>1026.7056</v>
      </c>
      <c r="BA203" s="1088">
        <f t="shared" si="228"/>
        <v>1048.5503999999999</v>
      </c>
      <c r="BB203" s="1088">
        <f t="shared" si="228"/>
        <v>1070.3951999999999</v>
      </c>
      <c r="BC203" s="1088">
        <f t="shared" si="228"/>
        <v>1092.2399999999998</v>
      </c>
      <c r="BD203" s="1088">
        <f t="shared" si="228"/>
        <v>1114.0847999999999</v>
      </c>
      <c r="BE203" s="1088">
        <f t="shared" si="228"/>
        <v>1135.9295999999999</v>
      </c>
      <c r="BF203" s="1088">
        <f t="shared" si="228"/>
        <v>1157.7743999999998</v>
      </c>
    </row>
    <row r="204" spans="1:58" hidden="1">
      <c r="A204" s="2477"/>
      <c r="B204" s="2519" t="s">
        <v>327</v>
      </c>
      <c r="C204" s="2520"/>
      <c r="D204" s="792"/>
      <c r="E204" s="792"/>
      <c r="F204" s="792"/>
      <c r="G204" s="792"/>
      <c r="H204" s="1088">
        <f t="shared" ref="H204:AM204" si="229">((H$192-$H$4)/1000)*$N$58*(($C$8/70)^$Z$58)</f>
        <v>73.60939083009599</v>
      </c>
      <c r="I204" s="1088">
        <f t="shared" si="229"/>
        <v>98.145854440128005</v>
      </c>
      <c r="J204" s="1088">
        <f t="shared" si="229"/>
        <v>122.68231805015999</v>
      </c>
      <c r="K204" s="1088">
        <f t="shared" si="229"/>
        <v>147.21878166019198</v>
      </c>
      <c r="L204" s="1088">
        <f t="shared" si="229"/>
        <v>171.75524527022398</v>
      </c>
      <c r="M204" s="1088">
        <f t="shared" si="229"/>
        <v>196.29170888025601</v>
      </c>
      <c r="N204" s="1088">
        <f t="shared" si="229"/>
        <v>220.82817249028798</v>
      </c>
      <c r="O204" s="1088">
        <f t="shared" si="229"/>
        <v>245.36463610031998</v>
      </c>
      <c r="P204" s="1088">
        <f t="shared" si="229"/>
        <v>269.90109971035201</v>
      </c>
      <c r="Q204" s="1088">
        <f t="shared" si="229"/>
        <v>294.43756332038396</v>
      </c>
      <c r="R204" s="1088">
        <f t="shared" si="229"/>
        <v>318.97402693041602</v>
      </c>
      <c r="S204" s="1088">
        <f t="shared" si="229"/>
        <v>343.51049054044796</v>
      </c>
      <c r="T204" s="1088">
        <f t="shared" si="229"/>
        <v>368.04695415047996</v>
      </c>
      <c r="U204" s="1088">
        <f t="shared" si="229"/>
        <v>392.58341776051202</v>
      </c>
      <c r="V204" s="1088">
        <f t="shared" si="229"/>
        <v>417.11988137054396</v>
      </c>
      <c r="W204" s="1088">
        <f t="shared" si="229"/>
        <v>441.65634498057597</v>
      </c>
      <c r="X204" s="1088">
        <f t="shared" si="229"/>
        <v>466.19280859060797</v>
      </c>
      <c r="Y204" s="1088">
        <f t="shared" si="229"/>
        <v>490.72927220063997</v>
      </c>
      <c r="Z204" s="1088">
        <f t="shared" si="229"/>
        <v>515.26573581067203</v>
      </c>
      <c r="AA204" s="1088">
        <f t="shared" si="229"/>
        <v>539.80219942070403</v>
      </c>
      <c r="AB204" s="1088">
        <f t="shared" si="229"/>
        <v>564.33866303073592</v>
      </c>
      <c r="AC204" s="1088">
        <f t="shared" si="229"/>
        <v>588.87512664076792</v>
      </c>
      <c r="AD204" s="1088">
        <f t="shared" si="229"/>
        <v>613.41159025079992</v>
      </c>
      <c r="AE204" s="1088">
        <f t="shared" si="229"/>
        <v>637.94805386083203</v>
      </c>
      <c r="AF204" s="1088">
        <f t="shared" si="229"/>
        <v>662.48451747086403</v>
      </c>
      <c r="AG204" s="1088">
        <f t="shared" si="229"/>
        <v>687.02098108089592</v>
      </c>
      <c r="AH204" s="1088">
        <f t="shared" si="229"/>
        <v>711.55744469092792</v>
      </c>
      <c r="AI204" s="1088">
        <f t="shared" si="229"/>
        <v>736.09390830095992</v>
      </c>
      <c r="AJ204" s="1088">
        <f t="shared" si="229"/>
        <v>760.63037191099193</v>
      </c>
      <c r="AK204" s="1088">
        <f t="shared" si="229"/>
        <v>785.16683552102404</v>
      </c>
      <c r="AL204" s="1088">
        <f t="shared" si="229"/>
        <v>809.70329913105593</v>
      </c>
      <c r="AM204" s="1088">
        <f t="shared" si="229"/>
        <v>834.23976274108793</v>
      </c>
      <c r="AN204" s="1088">
        <f t="shared" ref="AN204:BF204" si="230">((AN$192-$H$4)/1000)*$N$58*(($C$8/70)^$Z$58)</f>
        <v>858.77622635111993</v>
      </c>
      <c r="AO204" s="1088">
        <f t="shared" si="230"/>
        <v>883.31268996115193</v>
      </c>
      <c r="AP204" s="1088">
        <f t="shared" si="230"/>
        <v>907.84915357118393</v>
      </c>
      <c r="AQ204" s="1088">
        <f t="shared" si="230"/>
        <v>932.38561718121593</v>
      </c>
      <c r="AR204" s="1088">
        <f t="shared" si="230"/>
        <v>956.92208079124794</v>
      </c>
      <c r="AS204" s="1088">
        <f t="shared" si="230"/>
        <v>981.45854440127994</v>
      </c>
      <c r="AT204" s="1088">
        <f t="shared" si="230"/>
        <v>1005.9950080113118</v>
      </c>
      <c r="AU204" s="1088">
        <f t="shared" si="230"/>
        <v>1030.5314716213441</v>
      </c>
      <c r="AV204" s="1088">
        <f t="shared" si="230"/>
        <v>1055.0679352313759</v>
      </c>
      <c r="AW204" s="1088">
        <f t="shared" si="230"/>
        <v>1079.6043988414081</v>
      </c>
      <c r="AX204" s="1088">
        <f t="shared" si="230"/>
        <v>1104.1408624514399</v>
      </c>
      <c r="AY204" s="1088">
        <f t="shared" si="230"/>
        <v>1128.6773260614718</v>
      </c>
      <c r="AZ204" s="1088">
        <f t="shared" si="230"/>
        <v>1153.2137896715039</v>
      </c>
      <c r="BA204" s="1088">
        <f t="shared" si="230"/>
        <v>1177.7502532815358</v>
      </c>
      <c r="BB204" s="1088">
        <f t="shared" si="230"/>
        <v>1202.2867168915679</v>
      </c>
      <c r="BC204" s="1088">
        <f t="shared" si="230"/>
        <v>1226.8231805015998</v>
      </c>
      <c r="BD204" s="1088">
        <f t="shared" si="230"/>
        <v>1251.3596441116317</v>
      </c>
      <c r="BE204" s="1088">
        <f t="shared" si="230"/>
        <v>1275.8961077216641</v>
      </c>
      <c r="BF204" s="1088">
        <f t="shared" si="230"/>
        <v>1300.432571331696</v>
      </c>
    </row>
    <row r="205" spans="1:58" ht="15.75" hidden="1" thickBot="1">
      <c r="A205" s="2477"/>
      <c r="B205" s="2521" t="s">
        <v>328</v>
      </c>
      <c r="C205" s="2522"/>
      <c r="D205" s="793"/>
      <c r="E205" s="793"/>
      <c r="F205" s="793"/>
      <c r="G205" s="793"/>
      <c r="H205" s="1089">
        <f t="shared" ref="H205:AM205" si="231">((H$192-$H$4)/1000)*$O$58*(($C$8/70)^$AA$58)</f>
        <v>85.60799999999999</v>
      </c>
      <c r="I205" s="1089">
        <f t="shared" si="231"/>
        <v>114.14399999999999</v>
      </c>
      <c r="J205" s="1089">
        <f t="shared" si="231"/>
        <v>142.67999999999998</v>
      </c>
      <c r="K205" s="1089">
        <f t="shared" si="231"/>
        <v>171.21599999999998</v>
      </c>
      <c r="L205" s="1089">
        <f t="shared" si="231"/>
        <v>199.75199999999995</v>
      </c>
      <c r="M205" s="1089">
        <f t="shared" si="231"/>
        <v>228.28799999999998</v>
      </c>
      <c r="N205" s="1089">
        <f t="shared" si="231"/>
        <v>256.82399999999996</v>
      </c>
      <c r="O205" s="1089">
        <f t="shared" si="231"/>
        <v>285.35999999999996</v>
      </c>
      <c r="P205" s="1089">
        <f t="shared" si="231"/>
        <v>313.89599999999996</v>
      </c>
      <c r="Q205" s="1089">
        <f t="shared" si="231"/>
        <v>342.43199999999996</v>
      </c>
      <c r="R205" s="1089">
        <f t="shared" si="231"/>
        <v>370.96799999999996</v>
      </c>
      <c r="S205" s="1089">
        <f t="shared" si="231"/>
        <v>399.50399999999991</v>
      </c>
      <c r="T205" s="1089">
        <f t="shared" si="231"/>
        <v>428.03999999999996</v>
      </c>
      <c r="U205" s="1089">
        <f t="shared" si="231"/>
        <v>456.57599999999996</v>
      </c>
      <c r="V205" s="1089">
        <f t="shared" si="231"/>
        <v>485.11199999999991</v>
      </c>
      <c r="W205" s="1089">
        <f t="shared" si="231"/>
        <v>513.64799999999991</v>
      </c>
      <c r="X205" s="1089">
        <f t="shared" si="231"/>
        <v>542.18399999999986</v>
      </c>
      <c r="Y205" s="1089">
        <f t="shared" si="231"/>
        <v>570.71999999999991</v>
      </c>
      <c r="Z205" s="1089">
        <f t="shared" si="231"/>
        <v>599.25599999999997</v>
      </c>
      <c r="AA205" s="1089">
        <f t="shared" si="231"/>
        <v>627.79199999999992</v>
      </c>
      <c r="AB205" s="1089">
        <f t="shared" si="231"/>
        <v>656.32799999999986</v>
      </c>
      <c r="AC205" s="1089">
        <f t="shared" si="231"/>
        <v>684.86399999999992</v>
      </c>
      <c r="AD205" s="1089">
        <f t="shared" si="231"/>
        <v>713.39999999999986</v>
      </c>
      <c r="AE205" s="1089">
        <f t="shared" si="231"/>
        <v>741.93599999999992</v>
      </c>
      <c r="AF205" s="1089">
        <f t="shared" si="231"/>
        <v>770.47199999999998</v>
      </c>
      <c r="AG205" s="1089">
        <f t="shared" si="231"/>
        <v>799.00799999999981</v>
      </c>
      <c r="AH205" s="1089">
        <f t="shared" si="231"/>
        <v>827.54399999999987</v>
      </c>
      <c r="AI205" s="1089">
        <f t="shared" si="231"/>
        <v>856.07999999999993</v>
      </c>
      <c r="AJ205" s="1089">
        <f t="shared" si="231"/>
        <v>884.61599999999987</v>
      </c>
      <c r="AK205" s="1089">
        <f t="shared" si="231"/>
        <v>913.15199999999993</v>
      </c>
      <c r="AL205" s="1089">
        <f t="shared" si="231"/>
        <v>941.68799999999976</v>
      </c>
      <c r="AM205" s="1089">
        <f t="shared" si="231"/>
        <v>970.22399999999982</v>
      </c>
      <c r="AN205" s="1089">
        <f t="shared" ref="AN205:BF205" si="232">((AN$192-$H$4)/1000)*$O$58*(($C$8/70)^$AA$58)</f>
        <v>998.75999999999988</v>
      </c>
      <c r="AO205" s="1089">
        <f t="shared" si="232"/>
        <v>1027.2959999999998</v>
      </c>
      <c r="AP205" s="1089">
        <f t="shared" si="232"/>
        <v>1055.8319999999999</v>
      </c>
      <c r="AQ205" s="1089">
        <f t="shared" si="232"/>
        <v>1084.3679999999997</v>
      </c>
      <c r="AR205" s="1089">
        <f t="shared" si="232"/>
        <v>1112.9039999999998</v>
      </c>
      <c r="AS205" s="1089">
        <f t="shared" si="232"/>
        <v>1141.4399999999998</v>
      </c>
      <c r="AT205" s="1089">
        <f t="shared" si="232"/>
        <v>1169.9759999999997</v>
      </c>
      <c r="AU205" s="1089">
        <f t="shared" si="232"/>
        <v>1198.5119999999999</v>
      </c>
      <c r="AV205" s="1089">
        <f t="shared" si="232"/>
        <v>1227.0479999999998</v>
      </c>
      <c r="AW205" s="1089">
        <f t="shared" si="232"/>
        <v>1255.5839999999998</v>
      </c>
      <c r="AX205" s="1089">
        <f t="shared" si="232"/>
        <v>1284.1199999999999</v>
      </c>
      <c r="AY205" s="1089">
        <f t="shared" si="232"/>
        <v>1312.6559999999997</v>
      </c>
      <c r="AZ205" s="1089">
        <f t="shared" si="232"/>
        <v>1341.1919999999998</v>
      </c>
      <c r="BA205" s="1089">
        <f t="shared" si="232"/>
        <v>1369.7279999999998</v>
      </c>
      <c r="BB205" s="1089">
        <f t="shared" si="232"/>
        <v>1398.2639999999999</v>
      </c>
      <c r="BC205" s="1089">
        <f t="shared" si="232"/>
        <v>1426.7999999999997</v>
      </c>
      <c r="BD205" s="1089">
        <f t="shared" si="232"/>
        <v>1455.3359999999998</v>
      </c>
      <c r="BE205" s="1089">
        <f t="shared" si="232"/>
        <v>1483.8719999999998</v>
      </c>
      <c r="BF205" s="1089">
        <f t="shared" si="232"/>
        <v>1512.4079999999997</v>
      </c>
    </row>
    <row r="206" spans="1:58" hidden="1">
      <c r="B206" s="2523" t="s">
        <v>300</v>
      </c>
      <c r="C206" s="2524"/>
      <c r="D206" s="766"/>
      <c r="E206" s="766"/>
      <c r="F206" s="766"/>
      <c r="G206" s="766"/>
      <c r="H206" s="760">
        <f t="shared" ref="H206:AM206" si="233">((H$192-$H$4)/1000)*$P$58*(($C$8/70)^$AB$58)</f>
        <v>94.441859999999991</v>
      </c>
      <c r="I206" s="760">
        <f t="shared" si="233"/>
        <v>125.92248000000001</v>
      </c>
      <c r="J206" s="760">
        <f t="shared" si="233"/>
        <v>157.40309999999999</v>
      </c>
      <c r="K206" s="760">
        <f t="shared" si="233"/>
        <v>188.88371999999998</v>
      </c>
      <c r="L206" s="760">
        <f t="shared" si="233"/>
        <v>220.36433999999997</v>
      </c>
      <c r="M206" s="760">
        <f t="shared" si="233"/>
        <v>251.84496000000001</v>
      </c>
      <c r="N206" s="760">
        <f t="shared" si="233"/>
        <v>283.32558</v>
      </c>
      <c r="O206" s="760">
        <f t="shared" si="233"/>
        <v>314.80619999999999</v>
      </c>
      <c r="P206" s="760">
        <f t="shared" si="233"/>
        <v>346.28682000000003</v>
      </c>
      <c r="Q206" s="760">
        <f t="shared" si="233"/>
        <v>377.76743999999997</v>
      </c>
      <c r="R206" s="760">
        <f t="shared" si="233"/>
        <v>409.24806000000001</v>
      </c>
      <c r="S206" s="760">
        <f t="shared" si="233"/>
        <v>440.72867999999994</v>
      </c>
      <c r="T206" s="760">
        <f t="shared" si="233"/>
        <v>472.20929999999998</v>
      </c>
      <c r="U206" s="760">
        <f t="shared" si="233"/>
        <v>503.68992000000003</v>
      </c>
      <c r="V206" s="760">
        <f t="shared" si="233"/>
        <v>535.17053999999996</v>
      </c>
      <c r="W206" s="760">
        <f t="shared" si="233"/>
        <v>566.65116</v>
      </c>
      <c r="X206" s="760">
        <f t="shared" si="233"/>
        <v>598.13177999999994</v>
      </c>
      <c r="Y206" s="760">
        <f t="shared" si="233"/>
        <v>629.61239999999998</v>
      </c>
      <c r="Z206" s="760">
        <f t="shared" si="233"/>
        <v>661.09302000000002</v>
      </c>
      <c r="AA206" s="760">
        <f t="shared" si="233"/>
        <v>692.57364000000007</v>
      </c>
      <c r="AB206" s="760">
        <f t="shared" si="233"/>
        <v>724.05425999999989</v>
      </c>
      <c r="AC206" s="760">
        <f t="shared" si="233"/>
        <v>755.53487999999993</v>
      </c>
      <c r="AD206" s="760">
        <f t="shared" si="233"/>
        <v>787.01549999999997</v>
      </c>
      <c r="AE206" s="760">
        <f t="shared" si="233"/>
        <v>818.49612000000002</v>
      </c>
      <c r="AF206" s="760">
        <f t="shared" si="233"/>
        <v>849.97674000000006</v>
      </c>
      <c r="AG206" s="760">
        <f t="shared" si="233"/>
        <v>881.45735999999988</v>
      </c>
      <c r="AH206" s="760">
        <f t="shared" si="233"/>
        <v>912.93797999999992</v>
      </c>
      <c r="AI206" s="760">
        <f t="shared" si="233"/>
        <v>944.41859999999997</v>
      </c>
      <c r="AJ206" s="760">
        <f t="shared" si="233"/>
        <v>975.89922000000001</v>
      </c>
      <c r="AK206" s="760">
        <f t="shared" si="233"/>
        <v>1007.3798400000001</v>
      </c>
      <c r="AL206" s="760">
        <f t="shared" si="233"/>
        <v>1038.8604599999999</v>
      </c>
      <c r="AM206" s="760">
        <f t="shared" si="233"/>
        <v>1070.3410799999999</v>
      </c>
      <c r="AN206" s="760">
        <f t="shared" ref="AN206:BF206" si="234">((AN$192-$H$4)/1000)*$P$58*(($C$8/70)^$AB$58)</f>
        <v>1101.8217</v>
      </c>
      <c r="AO206" s="760">
        <f t="shared" si="234"/>
        <v>1133.30232</v>
      </c>
      <c r="AP206" s="760">
        <f t="shared" si="234"/>
        <v>1164.7829400000001</v>
      </c>
      <c r="AQ206" s="760">
        <f t="shared" si="234"/>
        <v>1196.2635599999999</v>
      </c>
      <c r="AR206" s="760">
        <f t="shared" si="234"/>
        <v>1227.7441799999999</v>
      </c>
      <c r="AS206" s="760">
        <f t="shared" si="234"/>
        <v>1259.2248</v>
      </c>
      <c r="AT206" s="760">
        <f t="shared" si="234"/>
        <v>1290.7054199999998</v>
      </c>
      <c r="AU206" s="760">
        <f t="shared" si="234"/>
        <v>1322.18604</v>
      </c>
      <c r="AV206" s="760">
        <f t="shared" si="234"/>
        <v>1353.6666599999999</v>
      </c>
      <c r="AW206" s="760">
        <f t="shared" si="234"/>
        <v>1385.1472800000001</v>
      </c>
      <c r="AX206" s="760">
        <f t="shared" si="234"/>
        <v>1416.6279</v>
      </c>
      <c r="AY206" s="760">
        <f t="shared" si="234"/>
        <v>1448.1085199999998</v>
      </c>
      <c r="AZ206" s="760">
        <f t="shared" si="234"/>
        <v>1479.58914</v>
      </c>
      <c r="BA206" s="760">
        <f t="shared" si="234"/>
        <v>1511.0697599999999</v>
      </c>
      <c r="BB206" s="760">
        <f t="shared" si="234"/>
        <v>1542.5503800000001</v>
      </c>
      <c r="BC206" s="760">
        <f t="shared" si="234"/>
        <v>1574.0309999999999</v>
      </c>
      <c r="BD206" s="760">
        <f t="shared" si="234"/>
        <v>1605.5116199999998</v>
      </c>
      <c r="BE206" s="760">
        <f t="shared" si="234"/>
        <v>1636.99224</v>
      </c>
      <c r="BF206" s="760">
        <f t="shared" si="234"/>
        <v>1668.4728599999999</v>
      </c>
    </row>
    <row r="207" spans="1:58" hidden="1">
      <c r="B207" s="2510" t="s">
        <v>301</v>
      </c>
      <c r="C207" s="2511"/>
      <c r="D207" s="764"/>
      <c r="E207" s="764"/>
      <c r="F207" s="764"/>
      <c r="G207" s="764"/>
      <c r="H207" s="758">
        <f t="shared" ref="H207:AM207" si="235">((H$192-$H$4)/1000)*$Q$58*(($C$8/70)^$AC$58)</f>
        <v>99.99882003131998</v>
      </c>
      <c r="I207" s="758">
        <f t="shared" si="235"/>
        <v>133.33176004175999</v>
      </c>
      <c r="J207" s="758">
        <f t="shared" si="235"/>
        <v>166.66470005219998</v>
      </c>
      <c r="K207" s="758">
        <f t="shared" si="235"/>
        <v>199.99764006263996</v>
      </c>
      <c r="L207" s="758">
        <f t="shared" si="235"/>
        <v>233.33058007307994</v>
      </c>
      <c r="M207" s="758">
        <f t="shared" si="235"/>
        <v>266.66352008351998</v>
      </c>
      <c r="N207" s="758">
        <f t="shared" si="235"/>
        <v>299.99646009395997</v>
      </c>
      <c r="O207" s="758">
        <f t="shared" si="235"/>
        <v>333.32940010439995</v>
      </c>
      <c r="P207" s="758">
        <f t="shared" si="235"/>
        <v>366.66234011483999</v>
      </c>
      <c r="Q207" s="758">
        <f t="shared" si="235"/>
        <v>399.99528012527992</v>
      </c>
      <c r="R207" s="758">
        <f t="shared" si="235"/>
        <v>433.32822013571996</v>
      </c>
      <c r="S207" s="758">
        <f t="shared" si="235"/>
        <v>466.66116014615989</v>
      </c>
      <c r="T207" s="758">
        <f t="shared" si="235"/>
        <v>499.99410015659993</v>
      </c>
      <c r="U207" s="758">
        <f t="shared" si="235"/>
        <v>533.32704016703997</v>
      </c>
      <c r="V207" s="758">
        <f t="shared" si="235"/>
        <v>566.65998017747995</v>
      </c>
      <c r="W207" s="758">
        <f t="shared" si="235"/>
        <v>599.99292018791994</v>
      </c>
      <c r="X207" s="758">
        <f t="shared" si="235"/>
        <v>633.32586019835992</v>
      </c>
      <c r="Y207" s="758">
        <f t="shared" si="235"/>
        <v>666.6588002087999</v>
      </c>
      <c r="Z207" s="758">
        <f t="shared" si="235"/>
        <v>699.99174021923989</v>
      </c>
      <c r="AA207" s="758">
        <f t="shared" si="235"/>
        <v>733.32468022967998</v>
      </c>
      <c r="AB207" s="758">
        <f t="shared" si="235"/>
        <v>766.65762024011985</v>
      </c>
      <c r="AC207" s="758">
        <f t="shared" si="235"/>
        <v>799.99056025055984</v>
      </c>
      <c r="AD207" s="758">
        <f t="shared" si="235"/>
        <v>833.32350026099994</v>
      </c>
      <c r="AE207" s="758">
        <f t="shared" si="235"/>
        <v>866.65644027143992</v>
      </c>
      <c r="AF207" s="758">
        <f t="shared" si="235"/>
        <v>899.9893802818799</v>
      </c>
      <c r="AG207" s="758">
        <f t="shared" si="235"/>
        <v>933.32232029231977</v>
      </c>
      <c r="AH207" s="758">
        <f t="shared" si="235"/>
        <v>966.65526030275987</v>
      </c>
      <c r="AI207" s="758">
        <f t="shared" si="235"/>
        <v>999.98820031319985</v>
      </c>
      <c r="AJ207" s="758">
        <f t="shared" si="235"/>
        <v>1033.3211403236398</v>
      </c>
      <c r="AK207" s="758">
        <f t="shared" si="235"/>
        <v>1066.6540803340799</v>
      </c>
      <c r="AL207" s="758">
        <f t="shared" si="235"/>
        <v>1099.9870203445198</v>
      </c>
      <c r="AM207" s="758">
        <f t="shared" si="235"/>
        <v>1133.3199603549599</v>
      </c>
      <c r="AN207" s="758">
        <f t="shared" ref="AN207:BF207" si="236">((AN$192-$H$4)/1000)*$Q$58*(($C$8/70)^$AC$58)</f>
        <v>1166.6529003653998</v>
      </c>
      <c r="AO207" s="758">
        <f t="shared" si="236"/>
        <v>1199.9858403758399</v>
      </c>
      <c r="AP207" s="758">
        <f t="shared" si="236"/>
        <v>1233.31878038628</v>
      </c>
      <c r="AQ207" s="758">
        <f t="shared" si="236"/>
        <v>1266.6517203967198</v>
      </c>
      <c r="AR207" s="758">
        <f t="shared" si="236"/>
        <v>1299.9846604071597</v>
      </c>
      <c r="AS207" s="758">
        <f t="shared" si="236"/>
        <v>1333.3176004175998</v>
      </c>
      <c r="AT207" s="758">
        <f t="shared" si="236"/>
        <v>1366.6505404280397</v>
      </c>
      <c r="AU207" s="758">
        <f t="shared" si="236"/>
        <v>1399.9834804384798</v>
      </c>
      <c r="AV207" s="758">
        <f t="shared" si="236"/>
        <v>1433.3164204489196</v>
      </c>
      <c r="AW207" s="758">
        <f t="shared" si="236"/>
        <v>1466.64936045936</v>
      </c>
      <c r="AX207" s="758">
        <f t="shared" si="236"/>
        <v>1499.9823004697998</v>
      </c>
      <c r="AY207" s="758">
        <f t="shared" si="236"/>
        <v>1533.3152404802397</v>
      </c>
      <c r="AZ207" s="758">
        <f t="shared" si="236"/>
        <v>1566.6481804906798</v>
      </c>
      <c r="BA207" s="758">
        <f t="shared" si="236"/>
        <v>1599.9811205011197</v>
      </c>
      <c r="BB207" s="758">
        <f t="shared" si="236"/>
        <v>1633.3140605115598</v>
      </c>
      <c r="BC207" s="758">
        <f t="shared" si="236"/>
        <v>1666.6470005219999</v>
      </c>
      <c r="BD207" s="758">
        <f t="shared" si="236"/>
        <v>1699.9799405324397</v>
      </c>
      <c r="BE207" s="758">
        <f t="shared" si="236"/>
        <v>1733.3128805428798</v>
      </c>
      <c r="BF207" s="758">
        <f t="shared" si="236"/>
        <v>1766.6458205533197</v>
      </c>
    </row>
    <row r="208" spans="1:58" ht="15.75" hidden="1" thickBot="1">
      <c r="B208" s="2512" t="s">
        <v>302</v>
      </c>
      <c r="C208" s="2513"/>
      <c r="D208" s="765"/>
      <c r="E208" s="765"/>
      <c r="F208" s="765"/>
      <c r="G208" s="765"/>
      <c r="H208" s="759">
        <f t="shared" ref="H208:AM208" si="237">((H$192-$H$4)/1000)*$R$58*(($C$8/70)^$AD$58)</f>
        <v>123.39359999999998</v>
      </c>
      <c r="I208" s="759">
        <f t="shared" si="237"/>
        <v>164.5248</v>
      </c>
      <c r="J208" s="759">
        <f t="shared" si="237"/>
        <v>205.65599999999998</v>
      </c>
      <c r="K208" s="759">
        <f t="shared" si="237"/>
        <v>246.78719999999996</v>
      </c>
      <c r="L208" s="759">
        <f t="shared" si="237"/>
        <v>287.91839999999996</v>
      </c>
      <c r="M208" s="759">
        <f t="shared" si="237"/>
        <v>329.0496</v>
      </c>
      <c r="N208" s="759">
        <f t="shared" si="237"/>
        <v>370.18079999999998</v>
      </c>
      <c r="O208" s="759">
        <f t="shared" si="237"/>
        <v>411.31199999999995</v>
      </c>
      <c r="P208" s="759">
        <f t="shared" si="237"/>
        <v>452.44319999999999</v>
      </c>
      <c r="Q208" s="759">
        <f t="shared" si="237"/>
        <v>493.57439999999991</v>
      </c>
      <c r="R208" s="759">
        <f t="shared" si="237"/>
        <v>534.7056</v>
      </c>
      <c r="S208" s="759">
        <f t="shared" si="237"/>
        <v>575.83679999999993</v>
      </c>
      <c r="T208" s="759">
        <f t="shared" si="237"/>
        <v>616.96799999999996</v>
      </c>
      <c r="U208" s="759">
        <f t="shared" si="237"/>
        <v>658.0992</v>
      </c>
      <c r="V208" s="759">
        <f t="shared" si="237"/>
        <v>699.23039999999992</v>
      </c>
      <c r="W208" s="759">
        <f t="shared" si="237"/>
        <v>740.36159999999995</v>
      </c>
      <c r="X208" s="759">
        <f t="shared" si="237"/>
        <v>781.49279999999987</v>
      </c>
      <c r="Y208" s="759">
        <f t="shared" si="237"/>
        <v>822.62399999999991</v>
      </c>
      <c r="Z208" s="759">
        <f t="shared" si="237"/>
        <v>863.75519999999995</v>
      </c>
      <c r="AA208" s="759">
        <f t="shared" si="237"/>
        <v>904.88639999999998</v>
      </c>
      <c r="AB208" s="759">
        <f t="shared" si="237"/>
        <v>946.01759999999979</v>
      </c>
      <c r="AC208" s="759">
        <f t="shared" si="237"/>
        <v>987.14879999999982</v>
      </c>
      <c r="AD208" s="759">
        <f t="shared" si="237"/>
        <v>1028.28</v>
      </c>
      <c r="AE208" s="759">
        <f t="shared" si="237"/>
        <v>1069.4112</v>
      </c>
      <c r="AF208" s="759">
        <f t="shared" si="237"/>
        <v>1110.5424</v>
      </c>
      <c r="AG208" s="759">
        <f t="shared" si="237"/>
        <v>1151.6735999999999</v>
      </c>
      <c r="AH208" s="759">
        <f t="shared" si="237"/>
        <v>1192.8047999999999</v>
      </c>
      <c r="AI208" s="759">
        <f t="shared" si="237"/>
        <v>1233.9359999999999</v>
      </c>
      <c r="AJ208" s="759">
        <f t="shared" si="237"/>
        <v>1275.0672</v>
      </c>
      <c r="AK208" s="759">
        <f t="shared" si="237"/>
        <v>1316.1984</v>
      </c>
      <c r="AL208" s="759">
        <f t="shared" si="237"/>
        <v>1357.3295999999998</v>
      </c>
      <c r="AM208" s="759">
        <f t="shared" si="237"/>
        <v>1398.4607999999998</v>
      </c>
      <c r="AN208" s="759">
        <f t="shared" ref="AN208:BF208" si="238">((AN$192-$H$4)/1000)*$R$58*(($C$8/70)^$AD$58)</f>
        <v>1439.5919999999999</v>
      </c>
      <c r="AO208" s="759">
        <f t="shared" si="238"/>
        <v>1480.7231999999999</v>
      </c>
      <c r="AP208" s="759">
        <f t="shared" si="238"/>
        <v>1521.8543999999999</v>
      </c>
      <c r="AQ208" s="759">
        <f t="shared" si="238"/>
        <v>1562.9855999999997</v>
      </c>
      <c r="AR208" s="759">
        <f t="shared" si="238"/>
        <v>1604.1167999999998</v>
      </c>
      <c r="AS208" s="759">
        <f t="shared" si="238"/>
        <v>1645.2479999999998</v>
      </c>
      <c r="AT208" s="759">
        <f t="shared" si="238"/>
        <v>1686.3791999999996</v>
      </c>
      <c r="AU208" s="759">
        <f t="shared" si="238"/>
        <v>1727.5103999999999</v>
      </c>
      <c r="AV208" s="759">
        <f t="shared" si="238"/>
        <v>1768.6415999999997</v>
      </c>
      <c r="AW208" s="759">
        <f t="shared" si="238"/>
        <v>1809.7728</v>
      </c>
      <c r="AX208" s="759">
        <f t="shared" si="238"/>
        <v>1850.9039999999998</v>
      </c>
      <c r="AY208" s="759">
        <f t="shared" si="238"/>
        <v>1892.0351999999996</v>
      </c>
      <c r="AZ208" s="759">
        <f t="shared" si="238"/>
        <v>1933.1663999999998</v>
      </c>
      <c r="BA208" s="759">
        <f t="shared" si="238"/>
        <v>1974.2975999999996</v>
      </c>
      <c r="BB208" s="759">
        <f t="shared" si="238"/>
        <v>2015.4287999999999</v>
      </c>
      <c r="BC208" s="759">
        <f t="shared" si="238"/>
        <v>2056.56</v>
      </c>
      <c r="BD208" s="759">
        <f t="shared" si="238"/>
        <v>2097.6911999999998</v>
      </c>
      <c r="BE208" s="759">
        <f t="shared" si="238"/>
        <v>2138.8224</v>
      </c>
      <c r="BF208" s="759">
        <f t="shared" si="238"/>
        <v>2179.9535999999998</v>
      </c>
    </row>
    <row r="209" spans="1:64" hidden="1">
      <c r="B209" s="2515" t="s">
        <v>303</v>
      </c>
      <c r="C209" s="2516"/>
      <c r="D209" s="763"/>
      <c r="E209" s="763"/>
      <c r="F209" s="763"/>
      <c r="G209" s="763"/>
      <c r="H209" s="757">
        <f t="shared" ref="H209:AM209" si="239">((H$192-$H$4)/1000)*$K$59*(($C$8/70)^$W$59)</f>
        <v>54.568477277740797</v>
      </c>
      <c r="I209" s="757">
        <f t="shared" si="239"/>
        <v>72.757969703654396</v>
      </c>
      <c r="J209" s="757">
        <f t="shared" si="239"/>
        <v>90.947462129567995</v>
      </c>
      <c r="K209" s="757">
        <f t="shared" si="239"/>
        <v>109.13695455548159</v>
      </c>
      <c r="L209" s="757">
        <f t="shared" si="239"/>
        <v>127.32644698139518</v>
      </c>
      <c r="M209" s="757">
        <f t="shared" si="239"/>
        <v>145.51593940730879</v>
      </c>
      <c r="N209" s="757">
        <f t="shared" si="239"/>
        <v>163.70543183322241</v>
      </c>
      <c r="O209" s="757">
        <f t="shared" si="239"/>
        <v>181.89492425913599</v>
      </c>
      <c r="P209" s="757">
        <f t="shared" si="239"/>
        <v>200.0844166850496</v>
      </c>
      <c r="Q209" s="757">
        <f t="shared" si="239"/>
        <v>218.27390911096319</v>
      </c>
      <c r="R209" s="757">
        <f t="shared" si="239"/>
        <v>236.4634015368768</v>
      </c>
      <c r="S209" s="757">
        <f t="shared" si="239"/>
        <v>254.65289396279036</v>
      </c>
      <c r="T209" s="757">
        <f t="shared" si="239"/>
        <v>272.84238638870397</v>
      </c>
      <c r="U209" s="757">
        <f t="shared" si="239"/>
        <v>291.03187881461758</v>
      </c>
      <c r="V209" s="757">
        <f t="shared" si="239"/>
        <v>309.2213712405312</v>
      </c>
      <c r="W209" s="757">
        <f t="shared" si="239"/>
        <v>327.41086366644481</v>
      </c>
      <c r="X209" s="757">
        <f t="shared" si="239"/>
        <v>345.60035609235837</v>
      </c>
      <c r="Y209" s="757">
        <f t="shared" si="239"/>
        <v>363.78984851827198</v>
      </c>
      <c r="Z209" s="757">
        <f t="shared" si="239"/>
        <v>381.97934094418559</v>
      </c>
      <c r="AA209" s="757">
        <f t="shared" si="239"/>
        <v>400.16883337009921</v>
      </c>
      <c r="AB209" s="757">
        <f t="shared" si="239"/>
        <v>418.35832579601276</v>
      </c>
      <c r="AC209" s="757">
        <f t="shared" si="239"/>
        <v>436.54781822192638</v>
      </c>
      <c r="AD209" s="757">
        <f t="shared" si="239"/>
        <v>454.73731064783999</v>
      </c>
      <c r="AE209" s="757">
        <f t="shared" si="239"/>
        <v>472.9268030737536</v>
      </c>
      <c r="AF209" s="757">
        <f t="shared" si="239"/>
        <v>491.11629549966722</v>
      </c>
      <c r="AG209" s="757">
        <f t="shared" si="239"/>
        <v>509.30578792558072</v>
      </c>
      <c r="AH209" s="757">
        <f t="shared" si="239"/>
        <v>527.49528035149433</v>
      </c>
      <c r="AI209" s="757">
        <f t="shared" si="239"/>
        <v>545.68477277740794</v>
      </c>
      <c r="AJ209" s="757">
        <f t="shared" si="239"/>
        <v>563.87426520332156</v>
      </c>
      <c r="AK209" s="757">
        <f t="shared" si="239"/>
        <v>582.06375762923517</v>
      </c>
      <c r="AL209" s="757">
        <f t="shared" si="239"/>
        <v>600.25325005514878</v>
      </c>
      <c r="AM209" s="757">
        <f t="shared" si="239"/>
        <v>618.4427424810624</v>
      </c>
      <c r="AN209" s="757">
        <f t="shared" ref="AN209:BF209" si="240">((AN$192-$H$4)/1000)*$K$59*(($C$8/70)^$W$59)</f>
        <v>636.63223490697601</v>
      </c>
      <c r="AO209" s="757">
        <f t="shared" si="240"/>
        <v>654.82172733288962</v>
      </c>
      <c r="AP209" s="757">
        <f t="shared" si="240"/>
        <v>673.01121975880324</v>
      </c>
      <c r="AQ209" s="757">
        <f t="shared" si="240"/>
        <v>691.20071218471674</v>
      </c>
      <c r="AR209" s="757">
        <f t="shared" si="240"/>
        <v>709.39020461063035</v>
      </c>
      <c r="AS209" s="757">
        <f t="shared" si="240"/>
        <v>727.57969703654396</v>
      </c>
      <c r="AT209" s="757">
        <f t="shared" si="240"/>
        <v>745.76918946245746</v>
      </c>
      <c r="AU209" s="757">
        <f t="shared" si="240"/>
        <v>763.95868188837119</v>
      </c>
      <c r="AV209" s="757">
        <f t="shared" si="240"/>
        <v>782.14817431428469</v>
      </c>
      <c r="AW209" s="757">
        <f t="shared" si="240"/>
        <v>800.33766674019842</v>
      </c>
      <c r="AX209" s="757">
        <f t="shared" si="240"/>
        <v>818.52715916611191</v>
      </c>
      <c r="AY209" s="757">
        <f t="shared" si="240"/>
        <v>836.71665159202553</v>
      </c>
      <c r="AZ209" s="757">
        <f t="shared" si="240"/>
        <v>854.90614401793914</v>
      </c>
      <c r="BA209" s="757">
        <f t="shared" si="240"/>
        <v>873.09563644385275</v>
      </c>
      <c r="BB209" s="757">
        <f t="shared" si="240"/>
        <v>891.28512886976637</v>
      </c>
      <c r="BC209" s="757">
        <f t="shared" si="240"/>
        <v>909.47462129567998</v>
      </c>
      <c r="BD209" s="757">
        <f t="shared" si="240"/>
        <v>927.66411372159348</v>
      </c>
      <c r="BE209" s="757">
        <f t="shared" si="240"/>
        <v>945.85360614750721</v>
      </c>
      <c r="BF209" s="757">
        <f t="shared" si="240"/>
        <v>964.04309857342071</v>
      </c>
    </row>
    <row r="210" spans="1:64" hidden="1">
      <c r="B210" s="2510" t="s">
        <v>304</v>
      </c>
      <c r="C210" s="2511"/>
      <c r="D210" s="764"/>
      <c r="E210" s="764"/>
      <c r="F210" s="764"/>
      <c r="G210" s="764"/>
      <c r="H210" s="758">
        <f t="shared" ref="H210:AM210" si="241">((H$192-$H$4)/1000)*$L$59*(($C$8/70)^$X$59)</f>
        <v>62.009633270159995</v>
      </c>
      <c r="I210" s="758">
        <f t="shared" si="241"/>
        <v>82.679511026879993</v>
      </c>
      <c r="J210" s="758">
        <f t="shared" si="241"/>
        <v>103.34938878359999</v>
      </c>
      <c r="K210" s="758">
        <f t="shared" si="241"/>
        <v>124.01926654031999</v>
      </c>
      <c r="L210" s="758">
        <f t="shared" si="241"/>
        <v>144.68914429703997</v>
      </c>
      <c r="M210" s="758">
        <f t="shared" si="241"/>
        <v>165.35902205375999</v>
      </c>
      <c r="N210" s="758">
        <f t="shared" si="241"/>
        <v>186.02889981048</v>
      </c>
      <c r="O210" s="758">
        <f t="shared" si="241"/>
        <v>206.69877756719998</v>
      </c>
      <c r="P210" s="758">
        <f t="shared" si="241"/>
        <v>227.36865532392</v>
      </c>
      <c r="Q210" s="758">
        <f t="shared" si="241"/>
        <v>248.03853308063998</v>
      </c>
      <c r="R210" s="758">
        <f t="shared" si="241"/>
        <v>268.70841083735996</v>
      </c>
      <c r="S210" s="758">
        <f t="shared" si="241"/>
        <v>289.37828859407995</v>
      </c>
      <c r="T210" s="758">
        <f t="shared" si="241"/>
        <v>310.04816635079999</v>
      </c>
      <c r="U210" s="758">
        <f t="shared" si="241"/>
        <v>330.71804410751997</v>
      </c>
      <c r="V210" s="758">
        <f t="shared" si="241"/>
        <v>351.38792186423996</v>
      </c>
      <c r="W210" s="758">
        <f t="shared" si="241"/>
        <v>372.05779962096</v>
      </c>
      <c r="X210" s="758">
        <f t="shared" si="241"/>
        <v>392.72767737767992</v>
      </c>
      <c r="Y210" s="758">
        <f t="shared" si="241"/>
        <v>413.39755513439997</v>
      </c>
      <c r="Z210" s="758">
        <f t="shared" si="241"/>
        <v>434.06743289112001</v>
      </c>
      <c r="AA210" s="758">
        <f t="shared" si="241"/>
        <v>454.73731064783999</v>
      </c>
      <c r="AB210" s="758">
        <f t="shared" si="241"/>
        <v>475.40718840455992</v>
      </c>
      <c r="AC210" s="758">
        <f t="shared" si="241"/>
        <v>496.07706616127996</v>
      </c>
      <c r="AD210" s="758">
        <f t="shared" si="241"/>
        <v>516.74694391799994</v>
      </c>
      <c r="AE210" s="758">
        <f t="shared" si="241"/>
        <v>537.41682167471993</v>
      </c>
      <c r="AF210" s="758">
        <f t="shared" si="241"/>
        <v>558.08669943144002</v>
      </c>
      <c r="AG210" s="758">
        <f t="shared" si="241"/>
        <v>578.75657718815989</v>
      </c>
      <c r="AH210" s="758">
        <f t="shared" si="241"/>
        <v>599.42645494487988</v>
      </c>
      <c r="AI210" s="758">
        <f t="shared" si="241"/>
        <v>620.09633270159998</v>
      </c>
      <c r="AJ210" s="758">
        <f t="shared" si="241"/>
        <v>640.76621045831996</v>
      </c>
      <c r="AK210" s="758">
        <f t="shared" si="241"/>
        <v>661.43608821503994</v>
      </c>
      <c r="AL210" s="758">
        <f t="shared" si="241"/>
        <v>682.10596597175993</v>
      </c>
      <c r="AM210" s="758">
        <f t="shared" si="241"/>
        <v>702.77584372847991</v>
      </c>
      <c r="AN210" s="758">
        <f t="shared" ref="AN210:BF210" si="242">((AN$192-$H$4)/1000)*$L$59*(($C$8/70)^$X$59)</f>
        <v>723.4457214851999</v>
      </c>
      <c r="AO210" s="758">
        <f t="shared" si="242"/>
        <v>744.11559924191999</v>
      </c>
      <c r="AP210" s="758">
        <f t="shared" si="242"/>
        <v>764.78547699863998</v>
      </c>
      <c r="AQ210" s="758">
        <f t="shared" si="242"/>
        <v>785.45535475535985</v>
      </c>
      <c r="AR210" s="758">
        <f t="shared" si="242"/>
        <v>806.12523251207995</v>
      </c>
      <c r="AS210" s="758">
        <f t="shared" si="242"/>
        <v>826.79511026879993</v>
      </c>
      <c r="AT210" s="758">
        <f t="shared" si="242"/>
        <v>847.4649880255198</v>
      </c>
      <c r="AU210" s="758">
        <f t="shared" si="242"/>
        <v>868.13486578224001</v>
      </c>
      <c r="AV210" s="758">
        <f t="shared" si="242"/>
        <v>888.80474353895988</v>
      </c>
      <c r="AW210" s="758">
        <f t="shared" si="242"/>
        <v>909.47462129567998</v>
      </c>
      <c r="AX210" s="758">
        <f t="shared" si="242"/>
        <v>930.14449905239996</v>
      </c>
      <c r="AY210" s="758">
        <f t="shared" si="242"/>
        <v>950.81437680911984</v>
      </c>
      <c r="AZ210" s="758">
        <f t="shared" si="242"/>
        <v>971.48425456583993</v>
      </c>
      <c r="BA210" s="758">
        <f t="shared" si="242"/>
        <v>992.15413232255992</v>
      </c>
      <c r="BB210" s="758">
        <f t="shared" si="242"/>
        <v>1012.82401007928</v>
      </c>
      <c r="BC210" s="758">
        <f t="shared" si="242"/>
        <v>1033.4938878359999</v>
      </c>
      <c r="BD210" s="758">
        <f t="shared" si="242"/>
        <v>1054.1637655927198</v>
      </c>
      <c r="BE210" s="758">
        <f t="shared" si="242"/>
        <v>1074.8336433494399</v>
      </c>
      <c r="BF210" s="758">
        <f t="shared" si="242"/>
        <v>1095.50352110616</v>
      </c>
    </row>
    <row r="211" spans="1:64" hidden="1">
      <c r="B211" s="2510" t="s">
        <v>305</v>
      </c>
      <c r="C211" s="2511"/>
      <c r="D211" s="764"/>
      <c r="E211" s="764"/>
      <c r="F211" s="764"/>
      <c r="G211" s="764"/>
      <c r="H211" s="758">
        <f t="shared" ref="H211:AM211" si="243">((H$192-$H$4)/1000)*$M$59*(($C$8/70)^$Y$59)</f>
        <v>78.350792568660836</v>
      </c>
      <c r="I211" s="758">
        <f t="shared" si="243"/>
        <v>104.46772342488111</v>
      </c>
      <c r="J211" s="758">
        <f t="shared" si="243"/>
        <v>130.58465428110139</v>
      </c>
      <c r="K211" s="758">
        <f t="shared" si="243"/>
        <v>156.70158513732167</v>
      </c>
      <c r="L211" s="758">
        <f t="shared" si="243"/>
        <v>182.81851599354195</v>
      </c>
      <c r="M211" s="758">
        <f t="shared" si="243"/>
        <v>208.93544684976223</v>
      </c>
      <c r="N211" s="758">
        <f t="shared" si="243"/>
        <v>235.05237770598251</v>
      </c>
      <c r="O211" s="758">
        <f t="shared" si="243"/>
        <v>261.16930856220279</v>
      </c>
      <c r="P211" s="758">
        <f t="shared" si="243"/>
        <v>287.28623941842307</v>
      </c>
      <c r="Q211" s="758">
        <f t="shared" si="243"/>
        <v>313.40317027464334</v>
      </c>
      <c r="R211" s="758">
        <f t="shared" si="243"/>
        <v>339.52010113086362</v>
      </c>
      <c r="S211" s="758">
        <f t="shared" si="243"/>
        <v>365.6370319870839</v>
      </c>
      <c r="T211" s="758">
        <f t="shared" si="243"/>
        <v>391.75396284330418</v>
      </c>
      <c r="U211" s="758">
        <f t="shared" si="243"/>
        <v>417.87089369952446</v>
      </c>
      <c r="V211" s="758">
        <f t="shared" si="243"/>
        <v>443.98782455574474</v>
      </c>
      <c r="W211" s="758">
        <f t="shared" si="243"/>
        <v>470.10475541196502</v>
      </c>
      <c r="X211" s="758">
        <f t="shared" si="243"/>
        <v>496.22168626818529</v>
      </c>
      <c r="Y211" s="758">
        <f t="shared" si="243"/>
        <v>522.33861712440557</v>
      </c>
      <c r="Z211" s="758">
        <f t="shared" si="243"/>
        <v>548.45554798062585</v>
      </c>
      <c r="AA211" s="758">
        <f t="shared" si="243"/>
        <v>574.57247883684613</v>
      </c>
      <c r="AB211" s="758">
        <f t="shared" si="243"/>
        <v>600.68940969306641</v>
      </c>
      <c r="AC211" s="758">
        <f t="shared" si="243"/>
        <v>626.80634054928669</v>
      </c>
      <c r="AD211" s="758">
        <f t="shared" si="243"/>
        <v>652.92327140550697</v>
      </c>
      <c r="AE211" s="758">
        <f t="shared" si="243"/>
        <v>679.04020226172725</v>
      </c>
      <c r="AF211" s="758">
        <f t="shared" si="243"/>
        <v>705.15713311794752</v>
      </c>
      <c r="AG211" s="758">
        <f t="shared" si="243"/>
        <v>731.2740639741678</v>
      </c>
      <c r="AH211" s="758">
        <f t="shared" si="243"/>
        <v>757.39099483038808</v>
      </c>
      <c r="AI211" s="758">
        <f t="shared" si="243"/>
        <v>783.50792568660836</v>
      </c>
      <c r="AJ211" s="758">
        <f t="shared" si="243"/>
        <v>809.62485654282864</v>
      </c>
      <c r="AK211" s="758">
        <f t="shared" si="243"/>
        <v>835.74178739904892</v>
      </c>
      <c r="AL211" s="758">
        <f t="shared" si="243"/>
        <v>861.8587182552692</v>
      </c>
      <c r="AM211" s="758">
        <f t="shared" si="243"/>
        <v>887.97564911148947</v>
      </c>
      <c r="AN211" s="758">
        <f t="shared" ref="AN211:BF211" si="244">((AN$192-$H$4)/1000)*$M$59*(($C$8/70)^$Y$59)</f>
        <v>914.09257996770975</v>
      </c>
      <c r="AO211" s="758">
        <f t="shared" si="244"/>
        <v>940.20951082393003</v>
      </c>
      <c r="AP211" s="758">
        <f t="shared" si="244"/>
        <v>966.32644168015031</v>
      </c>
      <c r="AQ211" s="758">
        <f t="shared" si="244"/>
        <v>992.44337253637059</v>
      </c>
      <c r="AR211" s="758">
        <f t="shared" si="244"/>
        <v>1018.5603033925909</v>
      </c>
      <c r="AS211" s="758">
        <f t="shared" si="244"/>
        <v>1044.6772342488111</v>
      </c>
      <c r="AT211" s="758">
        <f t="shared" si="244"/>
        <v>1070.7941651050314</v>
      </c>
      <c r="AU211" s="758">
        <f t="shared" si="244"/>
        <v>1096.9110959612517</v>
      </c>
      <c r="AV211" s="758">
        <f t="shared" si="244"/>
        <v>1123.028026817472</v>
      </c>
      <c r="AW211" s="758">
        <f t="shared" si="244"/>
        <v>1149.1449576736923</v>
      </c>
      <c r="AX211" s="758">
        <f t="shared" si="244"/>
        <v>1175.2618885299125</v>
      </c>
      <c r="AY211" s="758">
        <f t="shared" si="244"/>
        <v>1201.3788193861328</v>
      </c>
      <c r="AZ211" s="758">
        <f t="shared" si="244"/>
        <v>1227.4957502423531</v>
      </c>
      <c r="BA211" s="758">
        <f t="shared" si="244"/>
        <v>1253.6126810985734</v>
      </c>
      <c r="BB211" s="758">
        <f t="shared" si="244"/>
        <v>1279.7296119547937</v>
      </c>
      <c r="BC211" s="758">
        <f t="shared" si="244"/>
        <v>1305.8465428110139</v>
      </c>
      <c r="BD211" s="758">
        <f t="shared" si="244"/>
        <v>1331.9634736672342</v>
      </c>
      <c r="BE211" s="758">
        <f t="shared" si="244"/>
        <v>1358.0804045234545</v>
      </c>
      <c r="BF211" s="758">
        <f t="shared" si="244"/>
        <v>1384.1973353796748</v>
      </c>
    </row>
    <row r="212" spans="1:64" hidden="1">
      <c r="B212" s="2510" t="s">
        <v>306</v>
      </c>
      <c r="C212" s="2511"/>
      <c r="D212" s="764"/>
      <c r="E212" s="764"/>
      <c r="F212" s="764"/>
      <c r="G212" s="764"/>
      <c r="H212" s="758">
        <f t="shared" ref="H212:AM212" si="245">((H$192-$H$4)/1000)*$N$59*(($C$8/70)^$Z$59)</f>
        <v>83.924386672650044</v>
      </c>
      <c r="I212" s="758">
        <f t="shared" si="245"/>
        <v>111.89918223020007</v>
      </c>
      <c r="J212" s="758">
        <f t="shared" si="245"/>
        <v>139.87397778775008</v>
      </c>
      <c r="K212" s="758">
        <f t="shared" si="245"/>
        <v>167.84877334530009</v>
      </c>
      <c r="L212" s="758">
        <f t="shared" si="245"/>
        <v>195.8235689028501</v>
      </c>
      <c r="M212" s="758">
        <f t="shared" si="245"/>
        <v>223.79836446040014</v>
      </c>
      <c r="N212" s="758">
        <f t="shared" si="245"/>
        <v>251.77316001795015</v>
      </c>
      <c r="O212" s="758">
        <f t="shared" si="245"/>
        <v>279.74795557550016</v>
      </c>
      <c r="P212" s="758">
        <f t="shared" si="245"/>
        <v>307.72275113305022</v>
      </c>
      <c r="Q212" s="758">
        <f t="shared" si="245"/>
        <v>335.69754669060018</v>
      </c>
      <c r="R212" s="758">
        <f t="shared" si="245"/>
        <v>363.67234224815024</v>
      </c>
      <c r="S212" s="758">
        <f t="shared" si="245"/>
        <v>391.6471378057002</v>
      </c>
      <c r="T212" s="758">
        <f t="shared" si="245"/>
        <v>419.62193336325026</v>
      </c>
      <c r="U212" s="758">
        <f t="shared" si="245"/>
        <v>447.59672892080027</v>
      </c>
      <c r="V212" s="758">
        <f t="shared" si="245"/>
        <v>475.57152447835023</v>
      </c>
      <c r="W212" s="758">
        <f t="shared" si="245"/>
        <v>503.54632003590029</v>
      </c>
      <c r="X212" s="758">
        <f t="shared" si="245"/>
        <v>531.5211155934503</v>
      </c>
      <c r="Y212" s="758">
        <f t="shared" si="245"/>
        <v>559.49591115100031</v>
      </c>
      <c r="Z212" s="758">
        <f t="shared" si="245"/>
        <v>587.47070670855032</v>
      </c>
      <c r="AA212" s="758">
        <f t="shared" si="245"/>
        <v>615.44550226610045</v>
      </c>
      <c r="AB212" s="758">
        <f t="shared" si="245"/>
        <v>643.42029782365034</v>
      </c>
      <c r="AC212" s="758">
        <f t="shared" si="245"/>
        <v>671.39509338120035</v>
      </c>
      <c r="AD212" s="758">
        <f t="shared" si="245"/>
        <v>699.36988893875036</v>
      </c>
      <c r="AE212" s="758">
        <f t="shared" si="245"/>
        <v>727.34468449630049</v>
      </c>
      <c r="AF212" s="758">
        <f t="shared" si="245"/>
        <v>755.3194800538505</v>
      </c>
      <c r="AG212" s="758">
        <f t="shared" si="245"/>
        <v>783.29427561140039</v>
      </c>
      <c r="AH212" s="758">
        <f t="shared" si="245"/>
        <v>811.2690711689504</v>
      </c>
      <c r="AI212" s="758">
        <f t="shared" si="245"/>
        <v>839.24386672650053</v>
      </c>
      <c r="AJ212" s="758">
        <f t="shared" si="245"/>
        <v>867.21866228405054</v>
      </c>
      <c r="AK212" s="758">
        <f t="shared" si="245"/>
        <v>895.19345784160055</v>
      </c>
      <c r="AL212" s="758">
        <f t="shared" si="245"/>
        <v>923.16825339915044</v>
      </c>
      <c r="AM212" s="758">
        <f t="shared" si="245"/>
        <v>951.14304895670045</v>
      </c>
      <c r="AN212" s="758">
        <f t="shared" ref="AN212:BF212" si="246">((AN$192-$H$4)/1000)*$N$59*(($C$8/70)^$Z$59)</f>
        <v>979.11784451425058</v>
      </c>
      <c r="AO212" s="758">
        <f t="shared" si="246"/>
        <v>1007.0926400718006</v>
      </c>
      <c r="AP212" s="758">
        <f t="shared" si="246"/>
        <v>1035.0674356293507</v>
      </c>
      <c r="AQ212" s="758">
        <f t="shared" si="246"/>
        <v>1063.0422311869006</v>
      </c>
      <c r="AR212" s="758">
        <f t="shared" si="246"/>
        <v>1091.0170267444505</v>
      </c>
      <c r="AS212" s="758">
        <f t="shared" si="246"/>
        <v>1118.9918223020006</v>
      </c>
      <c r="AT212" s="758">
        <f t="shared" si="246"/>
        <v>1146.9666178595505</v>
      </c>
      <c r="AU212" s="758">
        <f t="shared" si="246"/>
        <v>1174.9414134171006</v>
      </c>
      <c r="AV212" s="758">
        <f t="shared" si="246"/>
        <v>1202.9162089746505</v>
      </c>
      <c r="AW212" s="758">
        <f t="shared" si="246"/>
        <v>1230.8910045322009</v>
      </c>
      <c r="AX212" s="758">
        <f t="shared" si="246"/>
        <v>1258.8658000897508</v>
      </c>
      <c r="AY212" s="758">
        <f t="shared" si="246"/>
        <v>1286.8405956473007</v>
      </c>
      <c r="AZ212" s="758">
        <f t="shared" si="246"/>
        <v>1314.8153912048508</v>
      </c>
      <c r="BA212" s="758">
        <f t="shared" si="246"/>
        <v>1342.7901867624007</v>
      </c>
      <c r="BB212" s="758">
        <f t="shared" si="246"/>
        <v>1370.7649823199508</v>
      </c>
      <c r="BC212" s="758">
        <f t="shared" si="246"/>
        <v>1398.7397778775007</v>
      </c>
      <c r="BD212" s="758">
        <f t="shared" si="246"/>
        <v>1426.7145734350506</v>
      </c>
      <c r="BE212" s="758">
        <f t="shared" si="246"/>
        <v>1454.689368992601</v>
      </c>
      <c r="BF212" s="758">
        <f t="shared" si="246"/>
        <v>1482.6641645501509</v>
      </c>
    </row>
    <row r="213" spans="1:64" hidden="1">
      <c r="B213" s="2510" t="s">
        <v>307</v>
      </c>
      <c r="C213" s="2511"/>
      <c r="D213" s="764"/>
      <c r="E213" s="764"/>
      <c r="F213" s="764"/>
      <c r="G213" s="764"/>
      <c r="H213" s="758">
        <f t="shared" ref="H213:AM213" si="247">((H$192-$H$4)/1000)*$O$59*(($C$8/70)^$AA$59)</f>
        <v>106.74907880111999</v>
      </c>
      <c r="I213" s="758">
        <f t="shared" si="247"/>
        <v>142.33210506815999</v>
      </c>
      <c r="J213" s="758">
        <f t="shared" si="247"/>
        <v>177.91513133519999</v>
      </c>
      <c r="K213" s="758">
        <f t="shared" si="247"/>
        <v>213.49815760223998</v>
      </c>
      <c r="L213" s="758">
        <f t="shared" si="247"/>
        <v>249.08118386927995</v>
      </c>
      <c r="M213" s="758">
        <f t="shared" si="247"/>
        <v>284.66421013631998</v>
      </c>
      <c r="N213" s="758">
        <f t="shared" si="247"/>
        <v>320.24723640335998</v>
      </c>
      <c r="O213" s="758">
        <f t="shared" si="247"/>
        <v>355.83026267039997</v>
      </c>
      <c r="P213" s="758">
        <f t="shared" si="247"/>
        <v>391.41328893744003</v>
      </c>
      <c r="Q213" s="758">
        <f t="shared" si="247"/>
        <v>426.99631520447997</v>
      </c>
      <c r="R213" s="758">
        <f t="shared" si="247"/>
        <v>462.57934147151997</v>
      </c>
      <c r="S213" s="758">
        <f t="shared" si="247"/>
        <v>498.16236773855991</v>
      </c>
      <c r="T213" s="758">
        <f t="shared" si="247"/>
        <v>533.74539400560002</v>
      </c>
      <c r="U213" s="758">
        <f t="shared" si="247"/>
        <v>569.32842027263996</v>
      </c>
      <c r="V213" s="758">
        <f t="shared" si="247"/>
        <v>604.9114465396799</v>
      </c>
      <c r="W213" s="758">
        <f t="shared" si="247"/>
        <v>640.49447280671995</v>
      </c>
      <c r="X213" s="758">
        <f t="shared" si="247"/>
        <v>676.0774990737599</v>
      </c>
      <c r="Y213" s="758">
        <f t="shared" si="247"/>
        <v>711.66052534079995</v>
      </c>
      <c r="Z213" s="758">
        <f t="shared" si="247"/>
        <v>747.24355160784</v>
      </c>
      <c r="AA213" s="758">
        <f t="shared" si="247"/>
        <v>782.82657787488006</v>
      </c>
      <c r="AB213" s="758">
        <f t="shared" si="247"/>
        <v>818.40960414191989</v>
      </c>
      <c r="AC213" s="758">
        <f t="shared" si="247"/>
        <v>853.99263040895994</v>
      </c>
      <c r="AD213" s="758">
        <f t="shared" si="247"/>
        <v>889.57565667599988</v>
      </c>
      <c r="AE213" s="758">
        <f t="shared" si="247"/>
        <v>925.15868294303993</v>
      </c>
      <c r="AF213" s="758">
        <f t="shared" si="247"/>
        <v>960.74170921007999</v>
      </c>
      <c r="AG213" s="758">
        <f t="shared" si="247"/>
        <v>996.32473547711982</v>
      </c>
      <c r="AH213" s="758">
        <f t="shared" si="247"/>
        <v>1031.9077617441599</v>
      </c>
      <c r="AI213" s="758">
        <f t="shared" si="247"/>
        <v>1067.4907880112</v>
      </c>
      <c r="AJ213" s="758">
        <f t="shared" si="247"/>
        <v>1103.07381427824</v>
      </c>
      <c r="AK213" s="758">
        <f t="shared" si="247"/>
        <v>1138.6568405452799</v>
      </c>
      <c r="AL213" s="758">
        <f t="shared" si="247"/>
        <v>1174.2398668123199</v>
      </c>
      <c r="AM213" s="758">
        <f t="shared" si="247"/>
        <v>1209.8228930793598</v>
      </c>
      <c r="AN213" s="758">
        <f t="shared" ref="AN213:BF213" si="248">((AN$192-$H$4)/1000)*$O$59*(($C$8/70)^$AA$59)</f>
        <v>1245.4059193464</v>
      </c>
      <c r="AO213" s="758">
        <f t="shared" si="248"/>
        <v>1280.9889456134399</v>
      </c>
      <c r="AP213" s="758">
        <f t="shared" si="248"/>
        <v>1316.5719718804801</v>
      </c>
      <c r="AQ213" s="758">
        <f t="shared" si="248"/>
        <v>1352.1549981475198</v>
      </c>
      <c r="AR213" s="758">
        <f t="shared" si="248"/>
        <v>1387.73802441456</v>
      </c>
      <c r="AS213" s="758">
        <f t="shared" si="248"/>
        <v>1423.3210506815999</v>
      </c>
      <c r="AT213" s="758">
        <f t="shared" si="248"/>
        <v>1458.9040769486398</v>
      </c>
      <c r="AU213" s="758">
        <f t="shared" si="248"/>
        <v>1494.48710321568</v>
      </c>
      <c r="AV213" s="758">
        <f t="shared" si="248"/>
        <v>1530.0701294827197</v>
      </c>
      <c r="AW213" s="758">
        <f t="shared" si="248"/>
        <v>1565.6531557497601</v>
      </c>
      <c r="AX213" s="758">
        <f t="shared" si="248"/>
        <v>1601.2361820167998</v>
      </c>
      <c r="AY213" s="758">
        <f t="shared" si="248"/>
        <v>1636.8192082838398</v>
      </c>
      <c r="AZ213" s="758">
        <f t="shared" si="248"/>
        <v>1672.4022345508799</v>
      </c>
      <c r="BA213" s="758">
        <f t="shared" si="248"/>
        <v>1707.9852608179199</v>
      </c>
      <c r="BB213" s="758">
        <f t="shared" si="248"/>
        <v>1743.56828708496</v>
      </c>
      <c r="BC213" s="758">
        <f t="shared" si="248"/>
        <v>1779.1513133519998</v>
      </c>
      <c r="BD213" s="758">
        <f t="shared" si="248"/>
        <v>1814.7343396190397</v>
      </c>
      <c r="BE213" s="758">
        <f t="shared" si="248"/>
        <v>1850.3173658860799</v>
      </c>
      <c r="BF213" s="758">
        <f t="shared" si="248"/>
        <v>1885.9003921531198</v>
      </c>
    </row>
    <row r="214" spans="1:64" hidden="1">
      <c r="B214" s="2510" t="s">
        <v>308</v>
      </c>
      <c r="C214" s="2511"/>
      <c r="D214" s="764"/>
      <c r="E214" s="764"/>
      <c r="F214" s="764"/>
      <c r="G214" s="764"/>
      <c r="H214" s="758">
        <f t="shared" ref="H214:AM214" si="249">((H$192-$H$4)/1000)*$P$59*(($C$8/70)^$AB$59)</f>
        <v>115.9580142151992</v>
      </c>
      <c r="I214" s="758">
        <f t="shared" si="249"/>
        <v>154.6106856202656</v>
      </c>
      <c r="J214" s="758">
        <f t="shared" si="249"/>
        <v>193.263357025332</v>
      </c>
      <c r="K214" s="758">
        <f t="shared" si="249"/>
        <v>231.9160284303984</v>
      </c>
      <c r="L214" s="758">
        <f t="shared" si="249"/>
        <v>270.56869983546477</v>
      </c>
      <c r="M214" s="758">
        <f t="shared" si="249"/>
        <v>309.2213712405312</v>
      </c>
      <c r="N214" s="758">
        <f t="shared" si="249"/>
        <v>347.87404264559763</v>
      </c>
      <c r="O214" s="758">
        <f t="shared" si="249"/>
        <v>386.526714050664</v>
      </c>
      <c r="P214" s="758">
        <f t="shared" si="249"/>
        <v>425.17938545573043</v>
      </c>
      <c r="Q214" s="758">
        <f t="shared" si="249"/>
        <v>463.8320568607968</v>
      </c>
      <c r="R214" s="758">
        <f t="shared" si="249"/>
        <v>502.48472826586323</v>
      </c>
      <c r="S214" s="758">
        <f t="shared" si="249"/>
        <v>541.13739967092954</v>
      </c>
      <c r="T214" s="758">
        <f t="shared" si="249"/>
        <v>579.79007107599602</v>
      </c>
      <c r="U214" s="758">
        <f t="shared" si="249"/>
        <v>618.4427424810624</v>
      </c>
      <c r="V214" s="758">
        <f t="shared" si="249"/>
        <v>657.09541388612877</v>
      </c>
      <c r="W214" s="758">
        <f t="shared" si="249"/>
        <v>695.74808529119525</v>
      </c>
      <c r="X214" s="758">
        <f t="shared" si="249"/>
        <v>734.40075669626151</v>
      </c>
      <c r="Y214" s="758">
        <f t="shared" si="249"/>
        <v>773.053428101328</v>
      </c>
      <c r="Z214" s="758">
        <f t="shared" si="249"/>
        <v>811.70609950639448</v>
      </c>
      <c r="AA214" s="758">
        <f t="shared" si="249"/>
        <v>850.35877091146085</v>
      </c>
      <c r="AB214" s="758">
        <f t="shared" si="249"/>
        <v>889.01144231652711</v>
      </c>
      <c r="AC214" s="758">
        <f t="shared" si="249"/>
        <v>927.66411372159359</v>
      </c>
      <c r="AD214" s="758">
        <f t="shared" si="249"/>
        <v>966.31678512665997</v>
      </c>
      <c r="AE214" s="758">
        <f t="shared" si="249"/>
        <v>1004.9694565317265</v>
      </c>
      <c r="AF214" s="758">
        <f t="shared" si="249"/>
        <v>1043.6221279367928</v>
      </c>
      <c r="AG214" s="758">
        <f t="shared" si="249"/>
        <v>1082.2747993418591</v>
      </c>
      <c r="AH214" s="758">
        <f t="shared" si="249"/>
        <v>1120.9274707469256</v>
      </c>
      <c r="AI214" s="758">
        <f t="shared" si="249"/>
        <v>1159.580142151992</v>
      </c>
      <c r="AJ214" s="758">
        <f t="shared" si="249"/>
        <v>1198.2328135570585</v>
      </c>
      <c r="AK214" s="758">
        <f t="shared" si="249"/>
        <v>1236.8854849621248</v>
      </c>
      <c r="AL214" s="758">
        <f t="shared" si="249"/>
        <v>1275.538156367191</v>
      </c>
      <c r="AM214" s="758">
        <f t="shared" si="249"/>
        <v>1314.1908277722575</v>
      </c>
      <c r="AN214" s="758">
        <f t="shared" ref="AN214:BF214" si="250">((AN$192-$H$4)/1000)*$P$59*(($C$8/70)^$AB$59)</f>
        <v>1352.843499177324</v>
      </c>
      <c r="AO214" s="758">
        <f t="shared" si="250"/>
        <v>1391.4961705823905</v>
      </c>
      <c r="AP214" s="758">
        <f t="shared" si="250"/>
        <v>1430.1488419874568</v>
      </c>
      <c r="AQ214" s="758">
        <f t="shared" si="250"/>
        <v>1468.801513392523</v>
      </c>
      <c r="AR214" s="758">
        <f t="shared" si="250"/>
        <v>1507.4541847975895</v>
      </c>
      <c r="AS214" s="758">
        <f t="shared" si="250"/>
        <v>1546.106856202656</v>
      </c>
      <c r="AT214" s="758">
        <f t="shared" si="250"/>
        <v>1584.7595276077222</v>
      </c>
      <c r="AU214" s="758">
        <f t="shared" si="250"/>
        <v>1623.412199012789</v>
      </c>
      <c r="AV214" s="758">
        <f t="shared" si="250"/>
        <v>1662.0648704178552</v>
      </c>
      <c r="AW214" s="758">
        <f t="shared" si="250"/>
        <v>1700.7175418229217</v>
      </c>
      <c r="AX214" s="758">
        <f t="shared" si="250"/>
        <v>1739.370213227988</v>
      </c>
      <c r="AY214" s="758">
        <f t="shared" si="250"/>
        <v>1778.0228846330542</v>
      </c>
      <c r="AZ214" s="758">
        <f t="shared" si="250"/>
        <v>1816.6755560381209</v>
      </c>
      <c r="BA214" s="758">
        <f t="shared" si="250"/>
        <v>1855.3282274431872</v>
      </c>
      <c r="BB214" s="758">
        <f t="shared" si="250"/>
        <v>1893.9808988482537</v>
      </c>
      <c r="BC214" s="758">
        <f t="shared" si="250"/>
        <v>1932.6335702533199</v>
      </c>
      <c r="BD214" s="758">
        <f t="shared" si="250"/>
        <v>1971.2862416583862</v>
      </c>
      <c r="BE214" s="758">
        <f t="shared" si="250"/>
        <v>2009.9389130634529</v>
      </c>
      <c r="BF214" s="758">
        <f t="shared" si="250"/>
        <v>2048.5915844685192</v>
      </c>
    </row>
    <row r="215" spans="1:64" hidden="1">
      <c r="B215" s="2510" t="s">
        <v>309</v>
      </c>
      <c r="C215" s="2511"/>
      <c r="D215" s="764"/>
      <c r="E215" s="764"/>
      <c r="F215" s="764"/>
      <c r="G215" s="764"/>
      <c r="H215" s="758">
        <f t="shared" ref="H215:AM215" si="251">((H$192-$H$4)/1000)*$Q$59*(($C$8/70)^$AC$59)</f>
        <v>121.25510094391235</v>
      </c>
      <c r="I215" s="758">
        <f t="shared" si="251"/>
        <v>161.6734679252165</v>
      </c>
      <c r="J215" s="758">
        <f t="shared" si="251"/>
        <v>202.0918349065206</v>
      </c>
      <c r="K215" s="758">
        <f t="shared" si="251"/>
        <v>242.51020188782471</v>
      </c>
      <c r="L215" s="758">
        <f t="shared" si="251"/>
        <v>282.92856886912881</v>
      </c>
      <c r="M215" s="758">
        <f t="shared" si="251"/>
        <v>323.346935850433</v>
      </c>
      <c r="N215" s="758">
        <f t="shared" si="251"/>
        <v>363.76530283173707</v>
      </c>
      <c r="O215" s="758">
        <f t="shared" si="251"/>
        <v>404.18366981304121</v>
      </c>
      <c r="P215" s="758">
        <f t="shared" si="251"/>
        <v>444.60203679434534</v>
      </c>
      <c r="Q215" s="758">
        <f t="shared" si="251"/>
        <v>485.02040377564941</v>
      </c>
      <c r="R215" s="758">
        <f t="shared" si="251"/>
        <v>525.43877075695355</v>
      </c>
      <c r="S215" s="758">
        <f t="shared" si="251"/>
        <v>565.85713773825762</v>
      </c>
      <c r="T215" s="758">
        <f t="shared" si="251"/>
        <v>606.27550471956181</v>
      </c>
      <c r="U215" s="758">
        <f t="shared" si="251"/>
        <v>646.693871700866</v>
      </c>
      <c r="V215" s="758">
        <f t="shared" si="251"/>
        <v>687.11223868217007</v>
      </c>
      <c r="W215" s="758">
        <f t="shared" si="251"/>
        <v>727.53060566347415</v>
      </c>
      <c r="X215" s="758">
        <f t="shared" si="251"/>
        <v>767.94897264477822</v>
      </c>
      <c r="Y215" s="758">
        <f t="shared" si="251"/>
        <v>808.36733962608241</v>
      </c>
      <c r="Z215" s="758">
        <f t="shared" si="251"/>
        <v>848.7857066073866</v>
      </c>
      <c r="AA215" s="758">
        <f t="shared" si="251"/>
        <v>889.20407358869068</v>
      </c>
      <c r="AB215" s="758">
        <f t="shared" si="251"/>
        <v>929.62244056999475</v>
      </c>
      <c r="AC215" s="758">
        <f t="shared" si="251"/>
        <v>970.04080755129883</v>
      </c>
      <c r="AD215" s="758">
        <f t="shared" si="251"/>
        <v>1010.459174532603</v>
      </c>
      <c r="AE215" s="758">
        <f t="shared" si="251"/>
        <v>1050.8775415139071</v>
      </c>
      <c r="AF215" s="758">
        <f t="shared" si="251"/>
        <v>1091.2959084952113</v>
      </c>
      <c r="AG215" s="758">
        <f t="shared" si="251"/>
        <v>1131.7142754765152</v>
      </c>
      <c r="AH215" s="758">
        <f t="shared" si="251"/>
        <v>1172.1326424578194</v>
      </c>
      <c r="AI215" s="758">
        <f t="shared" si="251"/>
        <v>1212.5510094391236</v>
      </c>
      <c r="AJ215" s="758">
        <f t="shared" si="251"/>
        <v>1252.9693764204278</v>
      </c>
      <c r="AK215" s="758">
        <f t="shared" si="251"/>
        <v>1293.387743401732</v>
      </c>
      <c r="AL215" s="758">
        <f t="shared" si="251"/>
        <v>1333.806110383036</v>
      </c>
      <c r="AM215" s="758">
        <f t="shared" si="251"/>
        <v>1374.2244773643401</v>
      </c>
      <c r="AN215" s="758">
        <f t="shared" ref="AN215:BF215" si="252">((AN$192-$H$4)/1000)*$Q$59*(($C$8/70)^$AC$59)</f>
        <v>1414.6428443456443</v>
      </c>
      <c r="AO215" s="758">
        <f t="shared" si="252"/>
        <v>1455.0612113269483</v>
      </c>
      <c r="AP215" s="758">
        <f t="shared" si="252"/>
        <v>1495.4795783082525</v>
      </c>
      <c r="AQ215" s="758">
        <f t="shared" si="252"/>
        <v>1535.8979452895564</v>
      </c>
      <c r="AR215" s="758">
        <f t="shared" si="252"/>
        <v>1576.3163122708606</v>
      </c>
      <c r="AS215" s="758">
        <f t="shared" si="252"/>
        <v>1616.7346792521648</v>
      </c>
      <c r="AT215" s="758">
        <f t="shared" si="252"/>
        <v>1657.1530462334688</v>
      </c>
      <c r="AU215" s="758">
        <f t="shared" si="252"/>
        <v>1697.5714132147732</v>
      </c>
      <c r="AV215" s="758">
        <f t="shared" si="252"/>
        <v>1737.9897801960772</v>
      </c>
      <c r="AW215" s="758">
        <f t="shared" si="252"/>
        <v>1778.4081471773814</v>
      </c>
      <c r="AX215" s="758">
        <f t="shared" si="252"/>
        <v>1818.8265141586853</v>
      </c>
      <c r="AY215" s="758">
        <f t="shared" si="252"/>
        <v>1859.2448811399895</v>
      </c>
      <c r="AZ215" s="758">
        <f t="shared" si="252"/>
        <v>1899.6632481212937</v>
      </c>
      <c r="BA215" s="758">
        <f t="shared" si="252"/>
        <v>1940.0816151025977</v>
      </c>
      <c r="BB215" s="758">
        <f t="shared" si="252"/>
        <v>1980.4999820839021</v>
      </c>
      <c r="BC215" s="758">
        <f t="shared" si="252"/>
        <v>2020.918349065206</v>
      </c>
      <c r="BD215" s="758">
        <f t="shared" si="252"/>
        <v>2061.33671604651</v>
      </c>
      <c r="BE215" s="758">
        <f t="shared" si="252"/>
        <v>2101.7550830278142</v>
      </c>
      <c r="BF215" s="758">
        <f t="shared" si="252"/>
        <v>2142.1734500091184</v>
      </c>
    </row>
    <row r="216" spans="1:64" ht="15.75" hidden="1" thickBot="1">
      <c r="B216" s="2512" t="s">
        <v>310</v>
      </c>
      <c r="C216" s="2513"/>
      <c r="D216" s="765"/>
      <c r="E216" s="765"/>
      <c r="F216" s="765"/>
      <c r="G216" s="765"/>
      <c r="H216" s="759">
        <f t="shared" ref="H216:AM216" si="253">((H$192-$H$4)/1000)*$R$59*(($C$8/70)^$AD$59)</f>
        <v>138.73847272243199</v>
      </c>
      <c r="I216" s="759">
        <f t="shared" si="253"/>
        <v>184.984630296576</v>
      </c>
      <c r="J216" s="759">
        <f t="shared" si="253"/>
        <v>231.23078787071998</v>
      </c>
      <c r="K216" s="759">
        <f t="shared" si="253"/>
        <v>277.47694544486399</v>
      </c>
      <c r="L216" s="759">
        <f t="shared" si="253"/>
        <v>323.72310301900797</v>
      </c>
      <c r="M216" s="759">
        <f t="shared" si="253"/>
        <v>369.969260593152</v>
      </c>
      <c r="N216" s="759">
        <f t="shared" si="253"/>
        <v>416.21541816729598</v>
      </c>
      <c r="O216" s="759">
        <f t="shared" si="253"/>
        <v>462.46157574143996</v>
      </c>
      <c r="P216" s="759">
        <f t="shared" si="253"/>
        <v>508.70773331558399</v>
      </c>
      <c r="Q216" s="759">
        <f t="shared" si="253"/>
        <v>554.95389088972797</v>
      </c>
      <c r="R216" s="759">
        <f t="shared" si="253"/>
        <v>601.20004846387201</v>
      </c>
      <c r="S216" s="759">
        <f t="shared" si="253"/>
        <v>647.44620603801593</v>
      </c>
      <c r="T216" s="759">
        <f t="shared" si="253"/>
        <v>693.69236361215997</v>
      </c>
      <c r="U216" s="759">
        <f t="shared" si="253"/>
        <v>739.938521186304</v>
      </c>
      <c r="V216" s="759">
        <f t="shared" si="253"/>
        <v>786.18467876044792</v>
      </c>
      <c r="W216" s="759">
        <f t="shared" si="253"/>
        <v>832.43083633459196</v>
      </c>
      <c r="X216" s="759">
        <f t="shared" si="253"/>
        <v>878.67699390873588</v>
      </c>
      <c r="Y216" s="759">
        <f t="shared" si="253"/>
        <v>924.92315148287992</v>
      </c>
      <c r="Z216" s="759">
        <f t="shared" si="253"/>
        <v>971.16930905702395</v>
      </c>
      <c r="AA216" s="759">
        <f t="shared" si="253"/>
        <v>1017.415466631168</v>
      </c>
      <c r="AB216" s="759">
        <f t="shared" si="253"/>
        <v>1063.6616242053119</v>
      </c>
      <c r="AC216" s="759">
        <f t="shared" si="253"/>
        <v>1109.9077817794559</v>
      </c>
      <c r="AD216" s="759">
        <f t="shared" si="253"/>
        <v>1156.1539393536</v>
      </c>
      <c r="AE216" s="759">
        <f t="shared" si="253"/>
        <v>1202.400096927744</v>
      </c>
      <c r="AF216" s="759">
        <f t="shared" si="253"/>
        <v>1248.6462545018881</v>
      </c>
      <c r="AG216" s="759">
        <f t="shared" si="253"/>
        <v>1294.8924120760319</v>
      </c>
      <c r="AH216" s="759">
        <f t="shared" si="253"/>
        <v>1341.1385696501759</v>
      </c>
      <c r="AI216" s="759">
        <f t="shared" si="253"/>
        <v>1387.3847272243199</v>
      </c>
      <c r="AJ216" s="759">
        <f t="shared" si="253"/>
        <v>1433.630884798464</v>
      </c>
      <c r="AK216" s="759">
        <f t="shared" si="253"/>
        <v>1479.877042372608</v>
      </c>
      <c r="AL216" s="759">
        <f t="shared" si="253"/>
        <v>1526.1231999467518</v>
      </c>
      <c r="AM216" s="759">
        <f t="shared" si="253"/>
        <v>1572.3693575208958</v>
      </c>
      <c r="AN216" s="759">
        <f t="shared" ref="AN216:BF216" si="254">((AN$192-$H$4)/1000)*$R$59*(($C$8/70)^$AD$59)</f>
        <v>1618.6155150950399</v>
      </c>
      <c r="AO216" s="759">
        <f t="shared" si="254"/>
        <v>1664.8616726691839</v>
      </c>
      <c r="AP216" s="759">
        <f t="shared" si="254"/>
        <v>1711.107830243328</v>
      </c>
      <c r="AQ216" s="759">
        <f t="shared" si="254"/>
        <v>1757.3539878174718</v>
      </c>
      <c r="AR216" s="759">
        <f t="shared" si="254"/>
        <v>1803.6001453916158</v>
      </c>
      <c r="AS216" s="759">
        <f t="shared" si="254"/>
        <v>1849.8463029657598</v>
      </c>
      <c r="AT216" s="759">
        <f t="shared" si="254"/>
        <v>1896.0924605399036</v>
      </c>
      <c r="AU216" s="759">
        <f t="shared" si="254"/>
        <v>1942.3386181140479</v>
      </c>
      <c r="AV216" s="759">
        <f t="shared" si="254"/>
        <v>1988.5847756881917</v>
      </c>
      <c r="AW216" s="759">
        <f t="shared" si="254"/>
        <v>2034.830933262336</v>
      </c>
      <c r="AX216" s="759">
        <f t="shared" si="254"/>
        <v>2081.0770908364798</v>
      </c>
      <c r="AY216" s="759">
        <f t="shared" si="254"/>
        <v>2127.3232484106238</v>
      </c>
      <c r="AZ216" s="759">
        <f t="shared" si="254"/>
        <v>2173.5694059847679</v>
      </c>
      <c r="BA216" s="759">
        <f t="shared" si="254"/>
        <v>2219.8155635589119</v>
      </c>
      <c r="BB216" s="759">
        <f t="shared" si="254"/>
        <v>2266.0617211330559</v>
      </c>
      <c r="BC216" s="759">
        <f t="shared" si="254"/>
        <v>2312.3078787072</v>
      </c>
      <c r="BD216" s="759">
        <f t="shared" si="254"/>
        <v>2358.5540362813435</v>
      </c>
      <c r="BE216" s="759">
        <f t="shared" si="254"/>
        <v>2404.800193855488</v>
      </c>
      <c r="BF216" s="759">
        <f t="shared" si="254"/>
        <v>2451.0463514296316</v>
      </c>
    </row>
    <row r="217" spans="1:64" hidden="1">
      <c r="B217" s="2515" t="s">
        <v>311</v>
      </c>
      <c r="C217" s="2516"/>
      <c r="D217" s="763"/>
      <c r="E217" s="763"/>
      <c r="F217" s="763"/>
      <c r="G217" s="763"/>
      <c r="H217" s="757">
        <f t="shared" ref="H217:AM217" si="255">((H$192-$H$4)/1000)*$K$60*(($C$8/70)^$W$60)</f>
        <v>83.082563999999991</v>
      </c>
      <c r="I217" s="757">
        <f t="shared" si="255"/>
        <v>110.77675199999999</v>
      </c>
      <c r="J217" s="757">
        <f t="shared" si="255"/>
        <v>138.47093999999998</v>
      </c>
      <c r="K217" s="757">
        <f t="shared" si="255"/>
        <v>166.16512799999998</v>
      </c>
      <c r="L217" s="757">
        <f t="shared" si="255"/>
        <v>193.85931599999998</v>
      </c>
      <c r="M217" s="757">
        <f t="shared" si="255"/>
        <v>221.55350399999998</v>
      </c>
      <c r="N217" s="757">
        <f t="shared" si="255"/>
        <v>249.24769199999997</v>
      </c>
      <c r="O217" s="757">
        <f t="shared" si="255"/>
        <v>276.94187999999997</v>
      </c>
      <c r="P217" s="757">
        <f t="shared" si="255"/>
        <v>304.63606799999997</v>
      </c>
      <c r="Q217" s="757">
        <f t="shared" si="255"/>
        <v>332.33025599999996</v>
      </c>
      <c r="R217" s="757">
        <f t="shared" si="255"/>
        <v>360.02444399999996</v>
      </c>
      <c r="S217" s="757">
        <f t="shared" si="255"/>
        <v>387.71863199999996</v>
      </c>
      <c r="T217" s="757">
        <f t="shared" si="255"/>
        <v>415.41281999999995</v>
      </c>
      <c r="U217" s="757">
        <f t="shared" si="255"/>
        <v>443.10700799999995</v>
      </c>
      <c r="V217" s="757">
        <f t="shared" si="255"/>
        <v>470.80119599999995</v>
      </c>
      <c r="W217" s="757">
        <f t="shared" si="255"/>
        <v>498.49538399999994</v>
      </c>
      <c r="X217" s="757">
        <f t="shared" si="255"/>
        <v>526.18957199999988</v>
      </c>
      <c r="Y217" s="757">
        <f t="shared" si="255"/>
        <v>553.88375999999994</v>
      </c>
      <c r="Z217" s="757">
        <f t="shared" si="255"/>
        <v>581.57794799999999</v>
      </c>
      <c r="AA217" s="757">
        <f t="shared" si="255"/>
        <v>609.27213599999993</v>
      </c>
      <c r="AB217" s="757">
        <f t="shared" si="255"/>
        <v>636.96632399999987</v>
      </c>
      <c r="AC217" s="757">
        <f t="shared" si="255"/>
        <v>664.66051199999993</v>
      </c>
      <c r="AD217" s="757">
        <f t="shared" si="255"/>
        <v>692.35469999999987</v>
      </c>
      <c r="AE217" s="757">
        <f t="shared" si="255"/>
        <v>720.04888799999992</v>
      </c>
      <c r="AF217" s="757">
        <f t="shared" si="255"/>
        <v>747.74307599999997</v>
      </c>
      <c r="AG217" s="757">
        <f t="shared" si="255"/>
        <v>775.43726399999991</v>
      </c>
      <c r="AH217" s="757">
        <f t="shared" si="255"/>
        <v>803.13145199999985</v>
      </c>
      <c r="AI217" s="757">
        <f t="shared" si="255"/>
        <v>830.82563999999991</v>
      </c>
      <c r="AJ217" s="757">
        <f t="shared" si="255"/>
        <v>858.51982799999996</v>
      </c>
      <c r="AK217" s="757">
        <f t="shared" si="255"/>
        <v>886.2140159999999</v>
      </c>
      <c r="AL217" s="757">
        <f t="shared" si="255"/>
        <v>913.90820399999984</v>
      </c>
      <c r="AM217" s="757">
        <f t="shared" si="255"/>
        <v>941.6023919999999</v>
      </c>
      <c r="AN217" s="757">
        <f t="shared" ref="AN217:BF217" si="256">((AN$192-$H$4)/1000)*$K$60*(($C$8/70)^$W$60)</f>
        <v>969.29657999999995</v>
      </c>
      <c r="AO217" s="757">
        <f t="shared" si="256"/>
        <v>996.99076799999989</v>
      </c>
      <c r="AP217" s="757">
        <f t="shared" si="256"/>
        <v>1024.6849559999998</v>
      </c>
      <c r="AQ217" s="757">
        <f t="shared" si="256"/>
        <v>1052.3791439999998</v>
      </c>
      <c r="AR217" s="757">
        <f t="shared" si="256"/>
        <v>1080.0733319999999</v>
      </c>
      <c r="AS217" s="757">
        <f t="shared" si="256"/>
        <v>1107.7675199999999</v>
      </c>
      <c r="AT217" s="757">
        <f t="shared" si="256"/>
        <v>1135.4617079999998</v>
      </c>
      <c r="AU217" s="757">
        <f t="shared" si="256"/>
        <v>1163.155896</v>
      </c>
      <c r="AV217" s="757">
        <f t="shared" si="256"/>
        <v>1190.8500839999999</v>
      </c>
      <c r="AW217" s="757">
        <f t="shared" si="256"/>
        <v>1218.5442719999999</v>
      </c>
      <c r="AX217" s="757">
        <f t="shared" si="256"/>
        <v>1246.2384599999998</v>
      </c>
      <c r="AY217" s="757">
        <f t="shared" si="256"/>
        <v>1273.9326479999997</v>
      </c>
      <c r="AZ217" s="757">
        <f t="shared" si="256"/>
        <v>1301.6268359999999</v>
      </c>
      <c r="BA217" s="757">
        <f t="shared" si="256"/>
        <v>1329.3210239999999</v>
      </c>
      <c r="BB217" s="757">
        <f t="shared" si="256"/>
        <v>1357.015212</v>
      </c>
      <c r="BC217" s="757">
        <f t="shared" si="256"/>
        <v>1384.7093999999997</v>
      </c>
      <c r="BD217" s="757">
        <f t="shared" si="256"/>
        <v>1412.4035879999997</v>
      </c>
      <c r="BE217" s="757">
        <f t="shared" si="256"/>
        <v>1440.0977759999998</v>
      </c>
      <c r="BF217" s="757">
        <f t="shared" si="256"/>
        <v>1467.7919639999998</v>
      </c>
    </row>
    <row r="218" spans="1:64" hidden="1">
      <c r="B218" s="2510" t="s">
        <v>312</v>
      </c>
      <c r="C218" s="2511"/>
      <c r="D218" s="764"/>
      <c r="E218" s="764"/>
      <c r="F218" s="764"/>
      <c r="G218" s="764"/>
      <c r="H218" s="758">
        <f t="shared" ref="H218:AM218" si="257">((H$192-$H$4)/1000)*$L$60*(($C$8/70)^$X$60)</f>
        <v>95.497199999999978</v>
      </c>
      <c r="I218" s="758">
        <f t="shared" si="257"/>
        <v>127.32959999999999</v>
      </c>
      <c r="J218" s="758">
        <f t="shared" si="257"/>
        <v>159.16199999999998</v>
      </c>
      <c r="K218" s="758">
        <f t="shared" si="257"/>
        <v>190.99439999999996</v>
      </c>
      <c r="L218" s="758">
        <f t="shared" si="257"/>
        <v>222.82679999999996</v>
      </c>
      <c r="M218" s="758">
        <f t="shared" si="257"/>
        <v>254.65919999999997</v>
      </c>
      <c r="N218" s="758">
        <f t="shared" si="257"/>
        <v>286.49159999999995</v>
      </c>
      <c r="O218" s="758">
        <f t="shared" si="257"/>
        <v>318.32399999999996</v>
      </c>
      <c r="P218" s="758">
        <f t="shared" si="257"/>
        <v>350.15639999999996</v>
      </c>
      <c r="Q218" s="758">
        <f t="shared" si="257"/>
        <v>381.98879999999991</v>
      </c>
      <c r="R218" s="758">
        <f t="shared" si="257"/>
        <v>413.82119999999998</v>
      </c>
      <c r="S218" s="758">
        <f t="shared" si="257"/>
        <v>445.65359999999993</v>
      </c>
      <c r="T218" s="758">
        <f t="shared" si="257"/>
        <v>477.48599999999993</v>
      </c>
      <c r="U218" s="758">
        <f t="shared" si="257"/>
        <v>509.31839999999994</v>
      </c>
      <c r="V218" s="758">
        <f t="shared" si="257"/>
        <v>541.15079999999989</v>
      </c>
      <c r="W218" s="758">
        <f t="shared" si="257"/>
        <v>572.9831999999999</v>
      </c>
      <c r="X218" s="758">
        <f t="shared" si="257"/>
        <v>604.8155999999999</v>
      </c>
      <c r="Y218" s="758">
        <f t="shared" si="257"/>
        <v>636.64799999999991</v>
      </c>
      <c r="Z218" s="758">
        <f t="shared" si="257"/>
        <v>668.48039999999992</v>
      </c>
      <c r="AA218" s="758">
        <f t="shared" si="257"/>
        <v>700.31279999999992</v>
      </c>
      <c r="AB218" s="758">
        <f t="shared" si="257"/>
        <v>732.14519999999982</v>
      </c>
      <c r="AC218" s="758">
        <f t="shared" si="257"/>
        <v>763.97759999999982</v>
      </c>
      <c r="AD218" s="758">
        <f t="shared" si="257"/>
        <v>795.81</v>
      </c>
      <c r="AE218" s="758">
        <f t="shared" si="257"/>
        <v>827.64239999999995</v>
      </c>
      <c r="AF218" s="758">
        <f t="shared" si="257"/>
        <v>859.47479999999996</v>
      </c>
      <c r="AG218" s="758">
        <f t="shared" si="257"/>
        <v>891.30719999999985</v>
      </c>
      <c r="AH218" s="758">
        <f t="shared" si="257"/>
        <v>923.13959999999986</v>
      </c>
      <c r="AI218" s="758">
        <f t="shared" si="257"/>
        <v>954.97199999999987</v>
      </c>
      <c r="AJ218" s="758">
        <f t="shared" si="257"/>
        <v>986.80439999999987</v>
      </c>
      <c r="AK218" s="758">
        <f t="shared" si="257"/>
        <v>1018.6367999999999</v>
      </c>
      <c r="AL218" s="758">
        <f t="shared" si="257"/>
        <v>1050.4691999999998</v>
      </c>
      <c r="AM218" s="758">
        <f t="shared" si="257"/>
        <v>1082.3015999999998</v>
      </c>
      <c r="AN218" s="758">
        <f t="shared" ref="AN218:BF218" si="258">((AN$192-$H$4)/1000)*$L$60*(($C$8/70)^$X$60)</f>
        <v>1114.1339999999998</v>
      </c>
      <c r="AO218" s="758">
        <f t="shared" si="258"/>
        <v>1145.9663999999998</v>
      </c>
      <c r="AP218" s="758">
        <f t="shared" si="258"/>
        <v>1177.7987999999998</v>
      </c>
      <c r="AQ218" s="758">
        <f t="shared" si="258"/>
        <v>1209.6311999999998</v>
      </c>
      <c r="AR218" s="758">
        <f t="shared" si="258"/>
        <v>1241.4635999999998</v>
      </c>
      <c r="AS218" s="758">
        <f t="shared" si="258"/>
        <v>1273.2959999999998</v>
      </c>
      <c r="AT218" s="758">
        <f t="shared" si="258"/>
        <v>1305.1283999999996</v>
      </c>
      <c r="AU218" s="758">
        <f t="shared" si="258"/>
        <v>1336.9607999999998</v>
      </c>
      <c r="AV218" s="758">
        <f t="shared" si="258"/>
        <v>1368.7931999999998</v>
      </c>
      <c r="AW218" s="758">
        <f t="shared" si="258"/>
        <v>1400.6255999999998</v>
      </c>
      <c r="AX218" s="758">
        <f t="shared" si="258"/>
        <v>1432.4579999999999</v>
      </c>
      <c r="AY218" s="758">
        <f t="shared" si="258"/>
        <v>1464.2903999999996</v>
      </c>
      <c r="AZ218" s="758">
        <f t="shared" si="258"/>
        <v>1496.1227999999999</v>
      </c>
      <c r="BA218" s="758">
        <f t="shared" si="258"/>
        <v>1527.9551999999996</v>
      </c>
      <c r="BB218" s="758">
        <f t="shared" si="258"/>
        <v>1559.7875999999999</v>
      </c>
      <c r="BC218" s="758">
        <f t="shared" si="258"/>
        <v>1591.62</v>
      </c>
      <c r="BD218" s="758">
        <f t="shared" si="258"/>
        <v>1623.4523999999997</v>
      </c>
      <c r="BE218" s="758">
        <f t="shared" si="258"/>
        <v>1655.2847999999999</v>
      </c>
      <c r="BF218" s="758">
        <f t="shared" si="258"/>
        <v>1687.1171999999997</v>
      </c>
    </row>
    <row r="219" spans="1:64" hidden="1">
      <c r="B219" s="2510" t="s">
        <v>313</v>
      </c>
      <c r="C219" s="2511"/>
      <c r="D219" s="764"/>
      <c r="E219" s="764"/>
      <c r="F219" s="764"/>
      <c r="G219" s="764"/>
      <c r="H219" s="758">
        <f t="shared" ref="H219:AM219" si="259">((H$192-$H$4)/1000)*$M$60*(($C$8/70)^$Y$60)</f>
        <v>123.81614023211998</v>
      </c>
      <c r="I219" s="758">
        <f t="shared" si="259"/>
        <v>165.08818697615999</v>
      </c>
      <c r="J219" s="758">
        <f t="shared" si="259"/>
        <v>206.36023372019997</v>
      </c>
      <c r="K219" s="758">
        <f t="shared" si="259"/>
        <v>247.63228046423995</v>
      </c>
      <c r="L219" s="758">
        <f t="shared" si="259"/>
        <v>288.90432720827994</v>
      </c>
      <c r="M219" s="758">
        <f t="shared" si="259"/>
        <v>330.17637395231998</v>
      </c>
      <c r="N219" s="758">
        <f t="shared" si="259"/>
        <v>371.44842069635996</v>
      </c>
      <c r="O219" s="758">
        <f t="shared" si="259"/>
        <v>412.72046744039994</v>
      </c>
      <c r="P219" s="758">
        <f t="shared" si="259"/>
        <v>453.99251418443998</v>
      </c>
      <c r="Q219" s="758">
        <f t="shared" si="259"/>
        <v>495.26456092847991</v>
      </c>
      <c r="R219" s="758">
        <f t="shared" si="259"/>
        <v>536.53660767251995</v>
      </c>
      <c r="S219" s="758">
        <f t="shared" si="259"/>
        <v>577.80865441655988</v>
      </c>
      <c r="T219" s="758">
        <f t="shared" si="259"/>
        <v>619.08070116059992</v>
      </c>
      <c r="U219" s="758">
        <f t="shared" si="259"/>
        <v>660.35274790463995</v>
      </c>
      <c r="V219" s="758">
        <f t="shared" si="259"/>
        <v>701.62479464867988</v>
      </c>
      <c r="W219" s="758">
        <f t="shared" si="259"/>
        <v>742.89684139271992</v>
      </c>
      <c r="X219" s="758">
        <f t="shared" si="259"/>
        <v>784.16888813675985</v>
      </c>
      <c r="Y219" s="758">
        <f t="shared" si="259"/>
        <v>825.44093488079989</v>
      </c>
      <c r="Z219" s="758">
        <f t="shared" si="259"/>
        <v>866.71298162483993</v>
      </c>
      <c r="AA219" s="758">
        <f t="shared" si="259"/>
        <v>907.98502836887997</v>
      </c>
      <c r="AB219" s="758">
        <f t="shared" si="259"/>
        <v>949.25707511291978</v>
      </c>
      <c r="AC219" s="758">
        <f t="shared" si="259"/>
        <v>990.52912185695982</v>
      </c>
      <c r="AD219" s="758">
        <f t="shared" si="259"/>
        <v>1031.801168601</v>
      </c>
      <c r="AE219" s="758">
        <f t="shared" si="259"/>
        <v>1073.0732153450399</v>
      </c>
      <c r="AF219" s="758">
        <f t="shared" si="259"/>
        <v>1114.3452620890798</v>
      </c>
      <c r="AG219" s="758">
        <f t="shared" si="259"/>
        <v>1155.6173088331198</v>
      </c>
      <c r="AH219" s="758">
        <f t="shared" si="259"/>
        <v>1196.8893555771599</v>
      </c>
      <c r="AI219" s="758">
        <f t="shared" si="259"/>
        <v>1238.1614023211998</v>
      </c>
      <c r="AJ219" s="758">
        <f t="shared" si="259"/>
        <v>1279.4334490652398</v>
      </c>
      <c r="AK219" s="758">
        <f t="shared" si="259"/>
        <v>1320.7054958092799</v>
      </c>
      <c r="AL219" s="758">
        <f t="shared" si="259"/>
        <v>1361.9775425533198</v>
      </c>
      <c r="AM219" s="758">
        <f t="shared" si="259"/>
        <v>1403.2495892973598</v>
      </c>
      <c r="AN219" s="758">
        <f t="shared" ref="AN219:BF219" si="260">((AN$192-$H$4)/1000)*$M$60*(($C$8/70)^$Y$60)</f>
        <v>1444.5216360413997</v>
      </c>
      <c r="AO219" s="758">
        <f t="shared" si="260"/>
        <v>1485.7936827854398</v>
      </c>
      <c r="AP219" s="758">
        <f t="shared" si="260"/>
        <v>1527.0657295294798</v>
      </c>
      <c r="AQ219" s="758">
        <f t="shared" si="260"/>
        <v>1568.3377762735197</v>
      </c>
      <c r="AR219" s="758">
        <f t="shared" si="260"/>
        <v>1609.6098230175598</v>
      </c>
      <c r="AS219" s="758">
        <f t="shared" si="260"/>
        <v>1650.8818697615998</v>
      </c>
      <c r="AT219" s="758">
        <f t="shared" si="260"/>
        <v>1692.1539165056397</v>
      </c>
      <c r="AU219" s="758">
        <f t="shared" si="260"/>
        <v>1733.4259632496799</v>
      </c>
      <c r="AV219" s="758">
        <f t="shared" si="260"/>
        <v>1774.6980099937198</v>
      </c>
      <c r="AW219" s="758">
        <f t="shared" si="260"/>
        <v>1815.9700567377599</v>
      </c>
      <c r="AX219" s="758">
        <f t="shared" si="260"/>
        <v>1857.2421034817999</v>
      </c>
      <c r="AY219" s="758">
        <f t="shared" si="260"/>
        <v>1898.5141502258396</v>
      </c>
      <c r="AZ219" s="758">
        <f t="shared" si="260"/>
        <v>1939.7861969698797</v>
      </c>
      <c r="BA219" s="758">
        <f t="shared" si="260"/>
        <v>1981.0582437139196</v>
      </c>
      <c r="BB219" s="758">
        <f t="shared" si="260"/>
        <v>2022.3302904579598</v>
      </c>
      <c r="BC219" s="758">
        <f t="shared" si="260"/>
        <v>2063.6023372019999</v>
      </c>
      <c r="BD219" s="758">
        <f t="shared" si="260"/>
        <v>2104.8743839460394</v>
      </c>
      <c r="BE219" s="758">
        <f t="shared" si="260"/>
        <v>2146.1464306900798</v>
      </c>
      <c r="BF219" s="758">
        <f t="shared" si="260"/>
        <v>2187.4184774341197</v>
      </c>
    </row>
    <row r="220" spans="1:64" hidden="1">
      <c r="B220" s="2510" t="s">
        <v>314</v>
      </c>
      <c r="C220" s="2511"/>
      <c r="D220" s="764"/>
      <c r="E220" s="764"/>
      <c r="F220" s="764"/>
      <c r="G220" s="764"/>
      <c r="H220" s="758">
        <f t="shared" ref="H220:AM220" si="261">((H$192-$H$4)/1000)*$O$60*(($C$8/70)^$AA$60)</f>
        <v>148.04279999999997</v>
      </c>
      <c r="I220" s="758">
        <f t="shared" si="261"/>
        <v>197.3904</v>
      </c>
      <c r="J220" s="758">
        <f t="shared" si="261"/>
        <v>246.73799999999997</v>
      </c>
      <c r="K220" s="758">
        <f t="shared" si="261"/>
        <v>296.08559999999994</v>
      </c>
      <c r="L220" s="758">
        <f t="shared" si="261"/>
        <v>345.43319999999994</v>
      </c>
      <c r="M220" s="758">
        <f t="shared" si="261"/>
        <v>394.7808</v>
      </c>
      <c r="N220" s="758">
        <f t="shared" si="261"/>
        <v>444.12839999999994</v>
      </c>
      <c r="O220" s="758">
        <f t="shared" si="261"/>
        <v>493.47599999999994</v>
      </c>
      <c r="P220" s="758">
        <f t="shared" si="261"/>
        <v>542.82359999999994</v>
      </c>
      <c r="Q220" s="758">
        <f t="shared" si="261"/>
        <v>592.17119999999989</v>
      </c>
      <c r="R220" s="758">
        <f t="shared" si="261"/>
        <v>641.51879999999994</v>
      </c>
      <c r="S220" s="758">
        <f t="shared" si="261"/>
        <v>690.86639999999989</v>
      </c>
      <c r="T220" s="758">
        <f t="shared" si="261"/>
        <v>740.21399999999994</v>
      </c>
      <c r="U220" s="758">
        <f t="shared" si="261"/>
        <v>789.5616</v>
      </c>
      <c r="V220" s="758">
        <f t="shared" si="261"/>
        <v>838.90919999999983</v>
      </c>
      <c r="W220" s="758">
        <f t="shared" si="261"/>
        <v>888.25679999999988</v>
      </c>
      <c r="X220" s="758">
        <f t="shared" si="261"/>
        <v>937.60439999999983</v>
      </c>
      <c r="Y220" s="758">
        <f t="shared" si="261"/>
        <v>986.95199999999988</v>
      </c>
      <c r="Z220" s="758">
        <f t="shared" si="261"/>
        <v>1036.2995999999998</v>
      </c>
      <c r="AA220" s="758">
        <f t="shared" si="261"/>
        <v>1085.6471999999999</v>
      </c>
      <c r="AB220" s="758">
        <f t="shared" si="261"/>
        <v>1134.9947999999997</v>
      </c>
      <c r="AC220" s="758">
        <f t="shared" si="261"/>
        <v>1184.3423999999998</v>
      </c>
      <c r="AD220" s="758">
        <f t="shared" si="261"/>
        <v>1233.6899999999998</v>
      </c>
      <c r="AE220" s="758">
        <f t="shared" si="261"/>
        <v>1283.0375999999999</v>
      </c>
      <c r="AF220" s="758">
        <f t="shared" si="261"/>
        <v>1332.3851999999999</v>
      </c>
      <c r="AG220" s="758">
        <f t="shared" si="261"/>
        <v>1381.7327999999998</v>
      </c>
      <c r="AH220" s="758">
        <f t="shared" si="261"/>
        <v>1431.0803999999998</v>
      </c>
      <c r="AI220" s="758">
        <f t="shared" si="261"/>
        <v>1480.4279999999999</v>
      </c>
      <c r="AJ220" s="758">
        <f t="shared" si="261"/>
        <v>1529.7755999999999</v>
      </c>
      <c r="AK220" s="758">
        <f t="shared" si="261"/>
        <v>1579.1232</v>
      </c>
      <c r="AL220" s="758">
        <f t="shared" si="261"/>
        <v>1628.4707999999998</v>
      </c>
      <c r="AM220" s="758">
        <f t="shared" si="261"/>
        <v>1677.8183999999997</v>
      </c>
      <c r="AN220" s="758">
        <f t="shared" ref="AN220:BF220" si="262">((AN$192-$H$4)/1000)*$O$60*(($C$8/70)^$AA$60)</f>
        <v>1727.1659999999997</v>
      </c>
      <c r="AO220" s="758">
        <f t="shared" si="262"/>
        <v>1776.5135999999998</v>
      </c>
      <c r="AP220" s="758">
        <f t="shared" si="262"/>
        <v>1825.8611999999998</v>
      </c>
      <c r="AQ220" s="758">
        <f t="shared" si="262"/>
        <v>1875.2087999999997</v>
      </c>
      <c r="AR220" s="758">
        <f t="shared" si="262"/>
        <v>1924.5563999999997</v>
      </c>
      <c r="AS220" s="758">
        <f t="shared" si="262"/>
        <v>1973.9039999999998</v>
      </c>
      <c r="AT220" s="758">
        <f t="shared" si="262"/>
        <v>2023.2515999999996</v>
      </c>
      <c r="AU220" s="758">
        <f t="shared" si="262"/>
        <v>2072.5991999999997</v>
      </c>
      <c r="AV220" s="758">
        <f t="shared" si="262"/>
        <v>2121.9467999999997</v>
      </c>
      <c r="AW220" s="758">
        <f t="shared" si="262"/>
        <v>2171.2943999999998</v>
      </c>
      <c r="AX220" s="758">
        <f t="shared" si="262"/>
        <v>2220.6419999999998</v>
      </c>
      <c r="AY220" s="758">
        <f t="shared" si="262"/>
        <v>2269.9895999999994</v>
      </c>
      <c r="AZ220" s="758">
        <f t="shared" si="262"/>
        <v>2319.3371999999999</v>
      </c>
      <c r="BA220" s="758">
        <f t="shared" si="262"/>
        <v>2368.6847999999995</v>
      </c>
      <c r="BB220" s="758">
        <f t="shared" si="262"/>
        <v>2418.0324000000001</v>
      </c>
      <c r="BC220" s="758">
        <f t="shared" si="262"/>
        <v>2467.3799999999997</v>
      </c>
      <c r="BD220" s="758">
        <f t="shared" si="262"/>
        <v>2516.7275999999997</v>
      </c>
      <c r="BE220" s="758">
        <f t="shared" si="262"/>
        <v>2566.0751999999998</v>
      </c>
      <c r="BF220" s="758">
        <f t="shared" si="262"/>
        <v>2615.4227999999998</v>
      </c>
    </row>
    <row r="221" spans="1:64" hidden="1">
      <c r="B221" s="2510" t="s">
        <v>315</v>
      </c>
      <c r="C221" s="2511"/>
      <c r="D221" s="764"/>
      <c r="E221" s="764"/>
      <c r="F221" s="764"/>
      <c r="G221" s="764"/>
      <c r="H221" s="758">
        <f t="shared" ref="H221:AM221" si="263">((H$192-$H$4)/1000)*$P$60*(($C$8/70)^$AB$60)</f>
        <v>155.99041702045199</v>
      </c>
      <c r="I221" s="758">
        <f t="shared" si="263"/>
        <v>207.98722269393599</v>
      </c>
      <c r="J221" s="758">
        <f t="shared" si="263"/>
        <v>259.98402836741997</v>
      </c>
      <c r="K221" s="758">
        <f t="shared" si="263"/>
        <v>311.98083404090397</v>
      </c>
      <c r="L221" s="758">
        <f t="shared" si="263"/>
        <v>363.97763971438792</v>
      </c>
      <c r="M221" s="758">
        <f t="shared" si="263"/>
        <v>415.97444538787198</v>
      </c>
      <c r="N221" s="758">
        <f t="shared" si="263"/>
        <v>467.97125106135593</v>
      </c>
      <c r="O221" s="758">
        <f t="shared" si="263"/>
        <v>519.96805673483993</v>
      </c>
      <c r="P221" s="758">
        <f t="shared" si="263"/>
        <v>571.96486240832394</v>
      </c>
      <c r="Q221" s="758">
        <f t="shared" si="263"/>
        <v>623.96166808180794</v>
      </c>
      <c r="R221" s="758">
        <f t="shared" si="263"/>
        <v>675.95847375529195</v>
      </c>
      <c r="S221" s="758">
        <f t="shared" si="263"/>
        <v>727.95527942877584</v>
      </c>
      <c r="T221" s="758">
        <f t="shared" si="263"/>
        <v>779.95208510225984</v>
      </c>
      <c r="U221" s="758">
        <f t="shared" si="263"/>
        <v>831.94889077574396</v>
      </c>
      <c r="V221" s="758">
        <f t="shared" si="263"/>
        <v>883.94569644922785</v>
      </c>
      <c r="W221" s="758">
        <f t="shared" si="263"/>
        <v>935.94250212271186</v>
      </c>
      <c r="X221" s="758">
        <f t="shared" si="263"/>
        <v>987.93930779619586</v>
      </c>
      <c r="Y221" s="758">
        <f t="shared" si="263"/>
        <v>1039.9361134696799</v>
      </c>
      <c r="Z221" s="758">
        <f t="shared" si="263"/>
        <v>1091.9329191431639</v>
      </c>
      <c r="AA221" s="758">
        <f t="shared" si="263"/>
        <v>1143.9297248166479</v>
      </c>
      <c r="AB221" s="758">
        <f t="shared" si="263"/>
        <v>1195.9265304901317</v>
      </c>
      <c r="AC221" s="758">
        <f t="shared" si="263"/>
        <v>1247.9233361636159</v>
      </c>
      <c r="AD221" s="758">
        <f t="shared" si="263"/>
        <v>1299.9201418370999</v>
      </c>
      <c r="AE221" s="758">
        <f t="shared" si="263"/>
        <v>1351.9169475105839</v>
      </c>
      <c r="AF221" s="758">
        <f t="shared" si="263"/>
        <v>1403.9137531840679</v>
      </c>
      <c r="AG221" s="758">
        <f t="shared" si="263"/>
        <v>1455.9105588575517</v>
      </c>
      <c r="AH221" s="758">
        <f t="shared" si="263"/>
        <v>1507.9073645310357</v>
      </c>
      <c r="AI221" s="758">
        <f t="shared" si="263"/>
        <v>1559.9041702045197</v>
      </c>
      <c r="AJ221" s="758">
        <f t="shared" si="263"/>
        <v>1611.9009758780039</v>
      </c>
      <c r="AK221" s="758">
        <f t="shared" si="263"/>
        <v>1663.8977815514879</v>
      </c>
      <c r="AL221" s="758">
        <f t="shared" si="263"/>
        <v>1715.8945872249717</v>
      </c>
      <c r="AM221" s="758">
        <f t="shared" si="263"/>
        <v>1767.8913928984557</v>
      </c>
      <c r="AN221" s="758">
        <f t="shared" ref="AN221:BF221" si="264">((AN$192-$H$4)/1000)*$P$60*(($C$8/70)^$AB$60)</f>
        <v>1819.8881985719397</v>
      </c>
      <c r="AO221" s="758">
        <f t="shared" si="264"/>
        <v>1871.8850042454237</v>
      </c>
      <c r="AP221" s="758">
        <f t="shared" si="264"/>
        <v>1923.8818099189079</v>
      </c>
      <c r="AQ221" s="758">
        <f t="shared" si="264"/>
        <v>1975.8786155923917</v>
      </c>
      <c r="AR221" s="758">
        <f t="shared" si="264"/>
        <v>2027.8754212658757</v>
      </c>
      <c r="AS221" s="758">
        <f t="shared" si="264"/>
        <v>2079.8722269393597</v>
      </c>
      <c r="AT221" s="758">
        <f t="shared" si="264"/>
        <v>2131.8690326128435</v>
      </c>
      <c r="AU221" s="758">
        <f t="shared" si="264"/>
        <v>2183.8658382863277</v>
      </c>
      <c r="AV221" s="758">
        <f t="shared" si="264"/>
        <v>2235.8626439598115</v>
      </c>
      <c r="AW221" s="758">
        <f t="shared" si="264"/>
        <v>2287.8594496332958</v>
      </c>
      <c r="AX221" s="758">
        <f t="shared" si="264"/>
        <v>2339.8562553067795</v>
      </c>
      <c r="AY221" s="758">
        <f t="shared" si="264"/>
        <v>2391.8530609802633</v>
      </c>
      <c r="AZ221" s="758">
        <f t="shared" si="264"/>
        <v>2443.849866653748</v>
      </c>
      <c r="BA221" s="758">
        <f t="shared" si="264"/>
        <v>2495.8466723272318</v>
      </c>
      <c r="BB221" s="758">
        <f t="shared" si="264"/>
        <v>2547.843478000716</v>
      </c>
      <c r="BC221" s="758">
        <f t="shared" si="264"/>
        <v>2599.8402836741998</v>
      </c>
      <c r="BD221" s="758">
        <f t="shared" si="264"/>
        <v>2651.8370893476836</v>
      </c>
      <c r="BE221" s="758">
        <f t="shared" si="264"/>
        <v>2703.8338950211678</v>
      </c>
      <c r="BF221" s="758">
        <f t="shared" si="264"/>
        <v>2755.8307006946516</v>
      </c>
    </row>
    <row r="222" spans="1:64" ht="15.75" hidden="1" thickBot="1">
      <c r="B222" s="2512" t="s">
        <v>316</v>
      </c>
      <c r="C222" s="2513"/>
      <c r="D222" s="765"/>
      <c r="E222" s="765"/>
      <c r="F222" s="765"/>
      <c r="G222" s="765"/>
      <c r="H222" s="759">
        <f t="shared" ref="H222:AM222" si="265">((H$192-$H$4)/1000)*$R$60*(($C$8/70)^$AD$60)</f>
        <v>167.96879999999999</v>
      </c>
      <c r="I222" s="759">
        <f t="shared" si="265"/>
        <v>223.95839999999998</v>
      </c>
      <c r="J222" s="759">
        <f t="shared" si="265"/>
        <v>279.94799999999998</v>
      </c>
      <c r="K222" s="759">
        <f t="shared" si="265"/>
        <v>335.93759999999997</v>
      </c>
      <c r="L222" s="759">
        <f t="shared" si="265"/>
        <v>391.92719999999997</v>
      </c>
      <c r="M222" s="759">
        <f t="shared" si="265"/>
        <v>447.91679999999997</v>
      </c>
      <c r="N222" s="759">
        <f t="shared" si="265"/>
        <v>503.90639999999996</v>
      </c>
      <c r="O222" s="759">
        <f t="shared" si="265"/>
        <v>559.89599999999996</v>
      </c>
      <c r="P222" s="759">
        <f t="shared" si="265"/>
        <v>615.88559999999995</v>
      </c>
      <c r="Q222" s="759">
        <f t="shared" si="265"/>
        <v>671.87519999999995</v>
      </c>
      <c r="R222" s="759">
        <f t="shared" si="265"/>
        <v>727.86479999999995</v>
      </c>
      <c r="S222" s="759">
        <f t="shared" si="265"/>
        <v>783.85439999999994</v>
      </c>
      <c r="T222" s="759">
        <f t="shared" si="265"/>
        <v>839.84399999999994</v>
      </c>
      <c r="U222" s="759">
        <f t="shared" si="265"/>
        <v>895.83359999999993</v>
      </c>
      <c r="V222" s="759">
        <f t="shared" si="265"/>
        <v>951.82319999999993</v>
      </c>
      <c r="W222" s="759">
        <f t="shared" si="265"/>
        <v>1007.8127999999999</v>
      </c>
      <c r="X222" s="759">
        <f t="shared" si="265"/>
        <v>1063.8023999999998</v>
      </c>
      <c r="Y222" s="759">
        <f t="shared" si="265"/>
        <v>1119.7919999999999</v>
      </c>
      <c r="Z222" s="759">
        <f t="shared" si="265"/>
        <v>1175.7816</v>
      </c>
      <c r="AA222" s="759">
        <f t="shared" si="265"/>
        <v>1231.7711999999999</v>
      </c>
      <c r="AB222" s="759">
        <f t="shared" si="265"/>
        <v>1287.7607999999998</v>
      </c>
      <c r="AC222" s="759">
        <f t="shared" si="265"/>
        <v>1343.7503999999999</v>
      </c>
      <c r="AD222" s="759">
        <f t="shared" si="265"/>
        <v>1399.7399999999998</v>
      </c>
      <c r="AE222" s="759">
        <f t="shared" si="265"/>
        <v>1455.7295999999999</v>
      </c>
      <c r="AF222" s="759">
        <f t="shared" si="265"/>
        <v>1511.7192</v>
      </c>
      <c r="AG222" s="759">
        <f t="shared" si="265"/>
        <v>1567.7087999999999</v>
      </c>
      <c r="AH222" s="759">
        <f t="shared" si="265"/>
        <v>1623.6983999999998</v>
      </c>
      <c r="AI222" s="759">
        <f t="shared" si="265"/>
        <v>1679.6879999999999</v>
      </c>
      <c r="AJ222" s="759">
        <f t="shared" si="265"/>
        <v>1735.6776</v>
      </c>
      <c r="AK222" s="759">
        <f t="shared" si="265"/>
        <v>1791.6671999999999</v>
      </c>
      <c r="AL222" s="759">
        <f t="shared" si="265"/>
        <v>1847.6567999999997</v>
      </c>
      <c r="AM222" s="759">
        <f t="shared" si="265"/>
        <v>1903.6463999999999</v>
      </c>
      <c r="AN222" s="759">
        <f t="shared" ref="AN222:BF222" si="266">((AN$192-$H$4)/1000)*$R$60*(($C$8/70)^$AD$60)</f>
        <v>1959.636</v>
      </c>
      <c r="AO222" s="759">
        <f t="shared" si="266"/>
        <v>2015.6255999999998</v>
      </c>
      <c r="AP222" s="759">
        <f t="shared" si="266"/>
        <v>2071.6151999999997</v>
      </c>
      <c r="AQ222" s="759">
        <f t="shared" si="266"/>
        <v>2127.6047999999996</v>
      </c>
      <c r="AR222" s="759">
        <f t="shared" si="266"/>
        <v>2183.5944</v>
      </c>
      <c r="AS222" s="759">
        <f t="shared" si="266"/>
        <v>2239.5839999999998</v>
      </c>
      <c r="AT222" s="759">
        <f t="shared" si="266"/>
        <v>2295.5735999999997</v>
      </c>
      <c r="AU222" s="759">
        <f t="shared" si="266"/>
        <v>2351.5632000000001</v>
      </c>
      <c r="AV222" s="759">
        <f t="shared" si="266"/>
        <v>2407.5527999999999</v>
      </c>
      <c r="AW222" s="759">
        <f t="shared" si="266"/>
        <v>2463.5423999999998</v>
      </c>
      <c r="AX222" s="759">
        <f t="shared" si="266"/>
        <v>2519.5319999999997</v>
      </c>
      <c r="AY222" s="759">
        <f t="shared" si="266"/>
        <v>2575.5215999999996</v>
      </c>
      <c r="AZ222" s="759">
        <f t="shared" si="266"/>
        <v>2631.5111999999999</v>
      </c>
      <c r="BA222" s="759">
        <f t="shared" si="266"/>
        <v>2687.5007999999998</v>
      </c>
      <c r="BB222" s="759">
        <f t="shared" si="266"/>
        <v>2743.4904000000001</v>
      </c>
      <c r="BC222" s="759">
        <f t="shared" si="266"/>
        <v>2799.4799999999996</v>
      </c>
      <c r="BD222" s="759">
        <f t="shared" si="266"/>
        <v>2855.4695999999994</v>
      </c>
      <c r="BE222" s="759">
        <f t="shared" si="266"/>
        <v>2911.4591999999998</v>
      </c>
      <c r="BF222" s="759">
        <f t="shared" si="266"/>
        <v>2967.4487999999997</v>
      </c>
    </row>
    <row r="223" spans="1:64" ht="15.75" thickBot="1"/>
    <row r="224" spans="1:64" s="2007" customFormat="1" ht="29.25" customHeight="1" thickBot="1">
      <c r="A224" s="2477" t="s">
        <v>7684</v>
      </c>
      <c r="B224" s="2483" t="s">
        <v>343</v>
      </c>
      <c r="C224" s="2484"/>
      <c r="D224" s="2487" t="s">
        <v>192</v>
      </c>
      <c r="E224" s="2489" t="s">
        <v>0</v>
      </c>
      <c r="F224" s="2489" t="s">
        <v>1</v>
      </c>
      <c r="G224" s="2491" t="s">
        <v>153</v>
      </c>
      <c r="H224" s="2493" t="s">
        <v>16</v>
      </c>
      <c r="I224" s="2493"/>
      <c r="J224" s="2493"/>
      <c r="K224" s="2493"/>
      <c r="L224" s="2493"/>
      <c r="M224" s="2493"/>
      <c r="N224" s="2493"/>
      <c r="O224" s="2493"/>
      <c r="P224" s="2493"/>
      <c r="Q224" s="2493"/>
      <c r="R224" s="2493"/>
      <c r="S224" s="2493"/>
      <c r="T224" s="2493"/>
      <c r="U224" s="2493"/>
      <c r="V224" s="2493"/>
      <c r="W224" s="2493"/>
      <c r="X224" s="2493"/>
      <c r="Y224" s="2493"/>
      <c r="Z224" s="2493"/>
      <c r="AA224" s="2493"/>
      <c r="AB224" s="2493"/>
      <c r="AC224" s="2493"/>
      <c r="AD224" s="2493"/>
      <c r="AE224" s="2493"/>
      <c r="AF224" s="2493"/>
      <c r="AG224" s="2493"/>
      <c r="AH224" s="2493"/>
      <c r="AI224" s="2493"/>
      <c r="AJ224" s="2493"/>
      <c r="AK224" s="2493"/>
      <c r="AL224" s="2493"/>
      <c r="AM224" s="2493"/>
      <c r="AN224" s="2493"/>
      <c r="AO224" s="2493"/>
      <c r="AP224" s="2493"/>
      <c r="AQ224" s="2493"/>
      <c r="AR224" s="2493"/>
      <c r="AS224" s="2493"/>
      <c r="AT224" s="2493"/>
      <c r="AU224" s="2493"/>
      <c r="AV224" s="2493"/>
      <c r="AW224" s="2493"/>
      <c r="AX224" s="2493"/>
      <c r="AY224" s="2493"/>
      <c r="AZ224" s="2493"/>
      <c r="BA224" s="2493"/>
      <c r="BB224" s="2493"/>
      <c r="BC224" s="2493"/>
      <c r="BD224" s="2493"/>
      <c r="BE224" s="2493"/>
      <c r="BF224" s="2494"/>
      <c r="BL224" s="2007" t="str">
        <f t="shared" ref="BL224:BL225" si="267">IF($C$10&gt;BF224,"",INDEX(E224:E224&amp;"."&amp;F224:F224&amp;"."&amp;$J$71:$BF$71&amp;"."&amp;G224:G224,MATCH($C$10,$J224:$BF224,1)))</f>
        <v/>
      </c>
    </row>
    <row r="225" spans="1:64" s="2007" customFormat="1" ht="18" customHeight="1" thickBot="1">
      <c r="A225" s="2477"/>
      <c r="B225" s="2485"/>
      <c r="C225" s="2486"/>
      <c r="D225" s="2488"/>
      <c r="E225" s="2490"/>
      <c r="F225" s="2490"/>
      <c r="G225" s="2492"/>
      <c r="H225" s="1219">
        <v>500</v>
      </c>
      <c r="I225" s="925">
        <v>550</v>
      </c>
      <c r="J225" s="1082">
        <v>600</v>
      </c>
      <c r="K225" s="1083">
        <v>650</v>
      </c>
      <c r="L225" s="1083">
        <v>700</v>
      </c>
      <c r="M225" s="1083">
        <v>750</v>
      </c>
      <c r="N225" s="1083">
        <v>800</v>
      </c>
      <c r="O225" s="1083">
        <v>850</v>
      </c>
      <c r="P225" s="1083">
        <v>900</v>
      </c>
      <c r="Q225" s="1083">
        <v>950</v>
      </c>
      <c r="R225" s="1083">
        <v>1000</v>
      </c>
      <c r="S225" s="1083">
        <v>1050</v>
      </c>
      <c r="T225" s="1083">
        <v>1100</v>
      </c>
      <c r="U225" s="1083">
        <v>1150</v>
      </c>
      <c r="V225" s="1083">
        <v>1200</v>
      </c>
      <c r="W225" s="1083">
        <v>1250</v>
      </c>
      <c r="X225" s="1083">
        <v>1300</v>
      </c>
      <c r="Y225" s="1083">
        <v>1350</v>
      </c>
      <c r="Z225" s="1083">
        <v>1400</v>
      </c>
      <c r="AA225" s="1083">
        <v>1450</v>
      </c>
      <c r="AB225" s="1083">
        <v>1500</v>
      </c>
      <c r="AC225" s="1083">
        <v>1550</v>
      </c>
      <c r="AD225" s="1083">
        <v>1600</v>
      </c>
      <c r="AE225" s="1083">
        <v>1650</v>
      </c>
      <c r="AF225" s="1083">
        <v>1700</v>
      </c>
      <c r="AG225" s="1083">
        <v>1750</v>
      </c>
      <c r="AH225" s="1083">
        <v>1800</v>
      </c>
      <c r="AI225" s="1083">
        <v>1850</v>
      </c>
      <c r="AJ225" s="1083">
        <v>1900</v>
      </c>
      <c r="AK225" s="1083">
        <v>1950</v>
      </c>
      <c r="AL225" s="1083">
        <v>2000</v>
      </c>
      <c r="AM225" s="1083">
        <v>2050</v>
      </c>
      <c r="AN225" s="1083">
        <v>2100</v>
      </c>
      <c r="AO225" s="1083">
        <v>2150</v>
      </c>
      <c r="AP225" s="1083">
        <v>2200</v>
      </c>
      <c r="AQ225" s="1083">
        <v>2250</v>
      </c>
      <c r="AR225" s="1083">
        <v>2300</v>
      </c>
      <c r="AS225" s="1083">
        <v>2350</v>
      </c>
      <c r="AT225" s="1083">
        <v>2400</v>
      </c>
      <c r="AU225" s="1083">
        <v>2450</v>
      </c>
      <c r="AV225" s="1083">
        <v>2500</v>
      </c>
      <c r="AW225" s="1083">
        <v>2550</v>
      </c>
      <c r="AX225" s="1083">
        <v>2600</v>
      </c>
      <c r="AY225" s="1083">
        <v>2650</v>
      </c>
      <c r="AZ225" s="1083">
        <v>2700</v>
      </c>
      <c r="BA225" s="1083">
        <v>2750</v>
      </c>
      <c r="BB225" s="1083">
        <v>2800</v>
      </c>
      <c r="BC225" s="1083">
        <v>2850</v>
      </c>
      <c r="BD225" s="1083">
        <v>2900</v>
      </c>
      <c r="BE225" s="1083">
        <v>2950</v>
      </c>
      <c r="BF225" s="1084">
        <v>3000</v>
      </c>
      <c r="BL225" s="2007" t="str">
        <f t="shared" si="267"/>
        <v>..1000.</v>
      </c>
    </row>
    <row r="226" spans="1:64" s="2007" customFormat="1">
      <c r="A226" s="2477"/>
      <c r="B226" s="2478" t="s">
        <v>7683</v>
      </c>
      <c r="C226" s="2479"/>
      <c r="D226" s="2008" t="s">
        <v>7684</v>
      </c>
      <c r="E226" s="2009">
        <v>85</v>
      </c>
      <c r="F226" s="2009">
        <v>140</v>
      </c>
      <c r="G226" s="2008" t="s">
        <v>195</v>
      </c>
      <c r="H226" s="2010">
        <f>((H$71-$H$4)/1000)*$K$26*(($C$8/70)^$W$26)*0.95</f>
        <v>50.983649999999997</v>
      </c>
      <c r="I226" s="2010">
        <f t="shared" ref="I226:BF226" si="268">((I$71-$H$4)/1000)*$K$26*(($C$8/70)^$W$26)*0.95</f>
        <v>67.978200000000001</v>
      </c>
      <c r="J226" s="2010">
        <f t="shared" si="268"/>
        <v>84.972750000000005</v>
      </c>
      <c r="K226" s="2010">
        <f t="shared" si="268"/>
        <v>101.96729999999999</v>
      </c>
      <c r="L226" s="2010">
        <f t="shared" si="268"/>
        <v>118.96185</v>
      </c>
      <c r="M226" s="2010">
        <f t="shared" si="268"/>
        <v>135.9564</v>
      </c>
      <c r="N226" s="2010">
        <f t="shared" si="268"/>
        <v>152.95095000000001</v>
      </c>
      <c r="O226" s="2010">
        <f t="shared" si="268"/>
        <v>169.94550000000001</v>
      </c>
      <c r="P226" s="2010">
        <f t="shared" si="268"/>
        <v>186.94005000000001</v>
      </c>
      <c r="Q226" s="2010">
        <f t="shared" si="268"/>
        <v>203.93459999999999</v>
      </c>
      <c r="R226" s="2010">
        <f t="shared" si="268"/>
        <v>220.92914999999999</v>
      </c>
      <c r="S226" s="2010">
        <f t="shared" si="268"/>
        <v>237.9237</v>
      </c>
      <c r="T226" s="2010">
        <f t="shared" si="268"/>
        <v>254.91825000000003</v>
      </c>
      <c r="U226" s="2010">
        <f t="shared" si="268"/>
        <v>271.9128</v>
      </c>
      <c r="V226" s="2010">
        <f t="shared" si="268"/>
        <v>288.90735000000001</v>
      </c>
      <c r="W226" s="2010">
        <f t="shared" si="268"/>
        <v>305.90190000000001</v>
      </c>
      <c r="X226" s="2010">
        <f t="shared" si="268"/>
        <v>322.89645000000002</v>
      </c>
      <c r="Y226" s="2010">
        <f t="shared" si="268"/>
        <v>339.89100000000002</v>
      </c>
      <c r="Z226" s="2010">
        <f t="shared" si="268"/>
        <v>356.88555000000002</v>
      </c>
      <c r="AA226" s="2010">
        <f t="shared" si="268"/>
        <v>373.88010000000003</v>
      </c>
      <c r="AB226" s="2010">
        <f t="shared" si="268"/>
        <v>390.87464999999997</v>
      </c>
      <c r="AC226" s="2010">
        <f t="shared" si="268"/>
        <v>407.86919999999998</v>
      </c>
      <c r="AD226" s="2010">
        <f t="shared" si="268"/>
        <v>424.86374999999998</v>
      </c>
      <c r="AE226" s="2010">
        <f t="shared" si="268"/>
        <v>441.85829999999999</v>
      </c>
      <c r="AF226" s="2010">
        <f t="shared" si="268"/>
        <v>458.85285000000005</v>
      </c>
      <c r="AG226" s="2010">
        <f t="shared" si="268"/>
        <v>475.84739999999999</v>
      </c>
      <c r="AH226" s="2010">
        <f t="shared" si="268"/>
        <v>492.84195000000005</v>
      </c>
      <c r="AI226" s="2010">
        <f t="shared" si="268"/>
        <v>509.83650000000006</v>
      </c>
      <c r="AJ226" s="2010">
        <f t="shared" si="268"/>
        <v>526.83105</v>
      </c>
      <c r="AK226" s="2010">
        <f t="shared" si="268"/>
        <v>543.82560000000001</v>
      </c>
      <c r="AL226" s="2010">
        <f t="shared" si="268"/>
        <v>560.82015000000001</v>
      </c>
      <c r="AM226" s="2010">
        <f t="shared" si="268"/>
        <v>577.81470000000002</v>
      </c>
      <c r="AN226" s="2010">
        <f t="shared" si="268"/>
        <v>594.80925000000002</v>
      </c>
      <c r="AO226" s="2010">
        <f t="shared" si="268"/>
        <v>611.80380000000002</v>
      </c>
      <c r="AP226" s="2010">
        <f t="shared" si="268"/>
        <v>628.79835000000014</v>
      </c>
      <c r="AQ226" s="2010">
        <f t="shared" si="268"/>
        <v>645.79290000000003</v>
      </c>
      <c r="AR226" s="2010">
        <f t="shared" si="268"/>
        <v>662.78745000000004</v>
      </c>
      <c r="AS226" s="2010">
        <f t="shared" si="268"/>
        <v>679.78200000000004</v>
      </c>
      <c r="AT226" s="2010">
        <f t="shared" si="268"/>
        <v>696.77654999999993</v>
      </c>
      <c r="AU226" s="2010">
        <f t="shared" si="268"/>
        <v>713.77110000000005</v>
      </c>
      <c r="AV226" s="2010">
        <f t="shared" si="268"/>
        <v>730.76564999999994</v>
      </c>
      <c r="AW226" s="2010">
        <f t="shared" si="268"/>
        <v>747.76020000000005</v>
      </c>
      <c r="AX226" s="2010">
        <f t="shared" si="268"/>
        <v>764.75475000000006</v>
      </c>
      <c r="AY226" s="2010">
        <f t="shared" si="268"/>
        <v>781.74929999999995</v>
      </c>
      <c r="AZ226" s="2010">
        <f t="shared" si="268"/>
        <v>798.74385000000007</v>
      </c>
      <c r="BA226" s="2010">
        <f t="shared" si="268"/>
        <v>815.73839999999996</v>
      </c>
      <c r="BB226" s="2010">
        <f t="shared" si="268"/>
        <v>832.73295000000007</v>
      </c>
      <c r="BC226" s="2010">
        <f t="shared" si="268"/>
        <v>849.72749999999996</v>
      </c>
      <c r="BD226" s="2010">
        <f t="shared" si="268"/>
        <v>866.72204999999997</v>
      </c>
      <c r="BE226" s="2010">
        <f t="shared" si="268"/>
        <v>883.71659999999997</v>
      </c>
      <c r="BF226" s="2010">
        <f t="shared" si="268"/>
        <v>900.71114999999998</v>
      </c>
      <c r="BG226" s="2007" t="str">
        <f t="array" ref="BG226">INDEX(E226:E226&amp;"."&amp;F226:F226&amp;"."&amp;$J$71:$BF$71&amp;"."&amp;G226:G226,IFERROR(MATCH($C$10,$J226:$BF226),0))</f>
        <v>85.140.3000.2ТГ</v>
      </c>
      <c r="BL226" s="2007" t="str">
        <f t="shared" ref="BL226:BL227" si="269">IF($C$10&gt;BF226,"",INDEX(E226:E226&amp;"."&amp;F226:F226&amp;"."&amp;$J$71:$BF$71&amp;"."&amp;G226:G226,MATCH($C$10,$J226:$BF226,1)))</f>
        <v/>
      </c>
    </row>
    <row r="227" spans="1:64" s="2007" customFormat="1">
      <c r="A227" s="2477"/>
      <c r="B227" s="2480" t="s">
        <v>7685</v>
      </c>
      <c r="C227" s="2481"/>
      <c r="D227" s="2011" t="s">
        <v>7684</v>
      </c>
      <c r="E227" s="2012">
        <v>85</v>
      </c>
      <c r="F227" s="2012">
        <v>180</v>
      </c>
      <c r="G227" s="2011" t="s">
        <v>195</v>
      </c>
      <c r="H227" s="2013">
        <f>((H$71-$H$4)/1000)*$K$26*(($C$8/70)^$W$26)*1.025</f>
        <v>55.008674999999997</v>
      </c>
      <c r="I227" s="2013">
        <f t="shared" ref="I227:BF227" si="270">((I$71-$H$4)/1000)*$K$26*(($C$8/70)^$W$26)*1.025</f>
        <v>73.34490000000001</v>
      </c>
      <c r="J227" s="2013">
        <f t="shared" si="270"/>
        <v>91.681124999999994</v>
      </c>
      <c r="K227" s="2013">
        <f t="shared" si="270"/>
        <v>110.01734999999999</v>
      </c>
      <c r="L227" s="2013">
        <f t="shared" si="270"/>
        <v>128.35357499999998</v>
      </c>
      <c r="M227" s="2013">
        <f t="shared" si="270"/>
        <v>146.68980000000002</v>
      </c>
      <c r="N227" s="2013">
        <f t="shared" si="270"/>
        <v>165.026025</v>
      </c>
      <c r="O227" s="2013">
        <f t="shared" si="270"/>
        <v>183.36224999999999</v>
      </c>
      <c r="P227" s="2013">
        <f t="shared" si="270"/>
        <v>201.698475</v>
      </c>
      <c r="Q227" s="2013">
        <f t="shared" si="270"/>
        <v>220.03469999999999</v>
      </c>
      <c r="R227" s="2013">
        <f t="shared" si="270"/>
        <v>238.370925</v>
      </c>
      <c r="S227" s="2013">
        <f t="shared" si="270"/>
        <v>256.70714999999996</v>
      </c>
      <c r="T227" s="2013">
        <f t="shared" si="270"/>
        <v>275.04337500000003</v>
      </c>
      <c r="U227" s="2013">
        <f t="shared" si="270"/>
        <v>293.37960000000004</v>
      </c>
      <c r="V227" s="2013">
        <f t="shared" si="270"/>
        <v>311.715825</v>
      </c>
      <c r="W227" s="2013">
        <f t="shared" si="270"/>
        <v>330.05205000000001</v>
      </c>
      <c r="X227" s="2013">
        <f t="shared" si="270"/>
        <v>348.38827499999996</v>
      </c>
      <c r="Y227" s="2013">
        <f t="shared" si="270"/>
        <v>366.72449999999998</v>
      </c>
      <c r="Z227" s="2013">
        <f t="shared" si="270"/>
        <v>385.06072499999999</v>
      </c>
      <c r="AA227" s="2013">
        <f t="shared" si="270"/>
        <v>403.39695</v>
      </c>
      <c r="AB227" s="2013">
        <f t="shared" si="270"/>
        <v>421.73317499999996</v>
      </c>
      <c r="AC227" s="2013">
        <f t="shared" si="270"/>
        <v>440.06939999999997</v>
      </c>
      <c r="AD227" s="2013">
        <f t="shared" si="270"/>
        <v>458.40562499999999</v>
      </c>
      <c r="AE227" s="2013">
        <f t="shared" si="270"/>
        <v>476.74185</v>
      </c>
      <c r="AF227" s="2013">
        <f t="shared" si="270"/>
        <v>495.07807500000007</v>
      </c>
      <c r="AG227" s="2013">
        <f t="shared" si="270"/>
        <v>513.41429999999991</v>
      </c>
      <c r="AH227" s="2013">
        <f t="shared" si="270"/>
        <v>531.75052500000004</v>
      </c>
      <c r="AI227" s="2013">
        <f t="shared" si="270"/>
        <v>550.08675000000005</v>
      </c>
      <c r="AJ227" s="2013">
        <f t="shared" si="270"/>
        <v>568.42297500000006</v>
      </c>
      <c r="AK227" s="2013">
        <f t="shared" si="270"/>
        <v>586.75920000000008</v>
      </c>
      <c r="AL227" s="2013">
        <f t="shared" si="270"/>
        <v>605.09542499999998</v>
      </c>
      <c r="AM227" s="2013">
        <f t="shared" si="270"/>
        <v>623.43164999999999</v>
      </c>
      <c r="AN227" s="2013">
        <f t="shared" si="270"/>
        <v>641.767875</v>
      </c>
      <c r="AO227" s="2013">
        <f t="shared" si="270"/>
        <v>660.10410000000002</v>
      </c>
      <c r="AP227" s="2013">
        <f t="shared" si="270"/>
        <v>678.44032500000014</v>
      </c>
      <c r="AQ227" s="2013">
        <f t="shared" si="270"/>
        <v>696.77654999999993</v>
      </c>
      <c r="AR227" s="2013">
        <f t="shared" si="270"/>
        <v>715.11277499999994</v>
      </c>
      <c r="AS227" s="2013">
        <f t="shared" si="270"/>
        <v>733.44899999999996</v>
      </c>
      <c r="AT227" s="2013">
        <f t="shared" si="270"/>
        <v>751.78522499999985</v>
      </c>
      <c r="AU227" s="2013">
        <f t="shared" si="270"/>
        <v>770.12144999999998</v>
      </c>
      <c r="AV227" s="2013">
        <f t="shared" si="270"/>
        <v>788.45767499999988</v>
      </c>
      <c r="AW227" s="2013">
        <f t="shared" si="270"/>
        <v>806.79390000000001</v>
      </c>
      <c r="AX227" s="2013">
        <f t="shared" si="270"/>
        <v>825.13012500000002</v>
      </c>
      <c r="AY227" s="2013">
        <f t="shared" si="270"/>
        <v>843.46634999999992</v>
      </c>
      <c r="AZ227" s="2013">
        <f t="shared" si="270"/>
        <v>861.80257500000005</v>
      </c>
      <c r="BA227" s="2013">
        <f t="shared" si="270"/>
        <v>880.13879999999995</v>
      </c>
      <c r="BB227" s="2013">
        <f t="shared" si="270"/>
        <v>898.47502500000007</v>
      </c>
      <c r="BC227" s="2013">
        <f t="shared" si="270"/>
        <v>916.81124999999997</v>
      </c>
      <c r="BD227" s="2013">
        <f t="shared" si="270"/>
        <v>935.14747499999999</v>
      </c>
      <c r="BE227" s="2013">
        <f t="shared" si="270"/>
        <v>953.4837</v>
      </c>
      <c r="BF227" s="2013">
        <f t="shared" si="270"/>
        <v>971.81992500000001</v>
      </c>
      <c r="BG227" s="2007" t="str">
        <f t="array" ref="BG227">INDEX(E227:E227&amp;"."&amp;F227:F227&amp;"."&amp;$J$71:$BF$71&amp;"."&amp;G227:G227,IFERROR(MATCH($C$10,$J227:$BF227),0))</f>
        <v>85.180.3000.2ТГ</v>
      </c>
      <c r="BL227" s="2007" t="str">
        <f t="shared" si="269"/>
        <v/>
      </c>
    </row>
    <row r="228" spans="1:64" s="2007" customFormat="1" ht="15.75" thickBot="1">
      <c r="A228" s="2477"/>
      <c r="B228" s="2482" t="s">
        <v>7686</v>
      </c>
      <c r="C228" s="2482"/>
      <c r="D228" s="2014" t="s">
        <v>7684</v>
      </c>
      <c r="E228" s="2015">
        <v>140</v>
      </c>
      <c r="F228" s="2015">
        <v>140</v>
      </c>
      <c r="G228" s="2014" t="s">
        <v>254</v>
      </c>
      <c r="H228" s="2016">
        <f>((H$71-$H$4)/1000)*$K$28*(($C$8/70)^$W$28)*0.95</f>
        <v>92.885293349999984</v>
      </c>
      <c r="I228" s="2016">
        <f t="shared" ref="I228:BF228" si="271">((I$71-$H$4)/1000)*$K$28*(($C$8/70)^$W$28)*0.95</f>
        <v>123.84705779999999</v>
      </c>
      <c r="J228" s="2016">
        <f t="shared" si="271"/>
        <v>154.80882224999996</v>
      </c>
      <c r="K228" s="2016">
        <f t="shared" si="271"/>
        <v>185.77058669999997</v>
      </c>
      <c r="L228" s="2016">
        <f t="shared" si="271"/>
        <v>216.73235114999994</v>
      </c>
      <c r="M228" s="2016">
        <f t="shared" si="271"/>
        <v>247.69411559999998</v>
      </c>
      <c r="N228" s="2016">
        <f t="shared" si="271"/>
        <v>278.65588005000001</v>
      </c>
      <c r="O228" s="2016">
        <f t="shared" si="271"/>
        <v>309.61764449999993</v>
      </c>
      <c r="P228" s="2016">
        <f t="shared" si="271"/>
        <v>340.57940894999996</v>
      </c>
      <c r="Q228" s="2016">
        <f t="shared" si="271"/>
        <v>371.54117339999993</v>
      </c>
      <c r="R228" s="2016">
        <f t="shared" si="271"/>
        <v>402.50293784999997</v>
      </c>
      <c r="S228" s="2016">
        <f t="shared" si="271"/>
        <v>433.46470229999989</v>
      </c>
      <c r="T228" s="2016">
        <f t="shared" si="271"/>
        <v>464.42646674999997</v>
      </c>
      <c r="U228" s="2016">
        <f t="shared" si="271"/>
        <v>495.38823119999995</v>
      </c>
      <c r="V228" s="2016">
        <f t="shared" si="271"/>
        <v>526.34999564999987</v>
      </c>
      <c r="W228" s="2016">
        <f t="shared" si="271"/>
        <v>557.31176010000001</v>
      </c>
      <c r="X228" s="2016">
        <f t="shared" si="271"/>
        <v>588.27352454999982</v>
      </c>
      <c r="Y228" s="2016">
        <f t="shared" si="271"/>
        <v>619.23528899999985</v>
      </c>
      <c r="Z228" s="2016">
        <f t="shared" si="271"/>
        <v>650.19705345</v>
      </c>
      <c r="AA228" s="2016">
        <f t="shared" si="271"/>
        <v>681.15881789999992</v>
      </c>
      <c r="AB228" s="2016">
        <f t="shared" si="271"/>
        <v>712.12058234999984</v>
      </c>
      <c r="AC228" s="2016">
        <f t="shared" si="271"/>
        <v>743.08234679999987</v>
      </c>
      <c r="AD228" s="2016">
        <f t="shared" si="271"/>
        <v>774.0441112499999</v>
      </c>
      <c r="AE228" s="2016">
        <f t="shared" si="271"/>
        <v>805.00587569999993</v>
      </c>
      <c r="AF228" s="2016">
        <f t="shared" si="271"/>
        <v>835.96764014999985</v>
      </c>
      <c r="AG228" s="2016">
        <f t="shared" si="271"/>
        <v>866.92940459999977</v>
      </c>
      <c r="AH228" s="2016">
        <f t="shared" si="271"/>
        <v>897.8911690499998</v>
      </c>
      <c r="AI228" s="2016">
        <f t="shared" si="271"/>
        <v>928.85293349999995</v>
      </c>
      <c r="AJ228" s="2016">
        <f t="shared" si="271"/>
        <v>959.81469794999987</v>
      </c>
      <c r="AK228" s="2016">
        <f t="shared" si="271"/>
        <v>990.7764623999999</v>
      </c>
      <c r="AL228" s="2016">
        <f t="shared" si="271"/>
        <v>1021.7382268499997</v>
      </c>
      <c r="AM228" s="2016">
        <f t="shared" si="271"/>
        <v>1052.6999912999997</v>
      </c>
      <c r="AN228" s="2016">
        <f t="shared" si="271"/>
        <v>1083.6617557499999</v>
      </c>
      <c r="AO228" s="2016">
        <f t="shared" si="271"/>
        <v>1114.6235202</v>
      </c>
      <c r="AP228" s="2016">
        <f t="shared" si="271"/>
        <v>1145.5852846499997</v>
      </c>
      <c r="AQ228" s="2016">
        <f t="shared" si="271"/>
        <v>1176.5470490999996</v>
      </c>
      <c r="AR228" s="2016">
        <f t="shared" si="271"/>
        <v>1207.5088135499998</v>
      </c>
      <c r="AS228" s="2016">
        <f t="shared" si="271"/>
        <v>1238.4705779999997</v>
      </c>
      <c r="AT228" s="2016">
        <f t="shared" si="271"/>
        <v>1269.4323424499996</v>
      </c>
      <c r="AU228" s="2016">
        <f t="shared" si="271"/>
        <v>1300.3941069</v>
      </c>
      <c r="AV228" s="2016">
        <f t="shared" si="271"/>
        <v>1331.3558713499999</v>
      </c>
      <c r="AW228" s="2016">
        <f t="shared" si="271"/>
        <v>1362.3176357999998</v>
      </c>
      <c r="AX228" s="2016">
        <f t="shared" si="271"/>
        <v>1393.2794002499998</v>
      </c>
      <c r="AY228" s="2016">
        <f t="shared" si="271"/>
        <v>1424.2411646999997</v>
      </c>
      <c r="AZ228" s="2016">
        <f t="shared" si="271"/>
        <v>1455.2029291499998</v>
      </c>
      <c r="BA228" s="2016">
        <f t="shared" si="271"/>
        <v>1486.1646935999997</v>
      </c>
      <c r="BB228" s="2016">
        <f t="shared" si="271"/>
        <v>1517.1264580499999</v>
      </c>
      <c r="BC228" s="2016">
        <f t="shared" si="271"/>
        <v>1548.0882224999998</v>
      </c>
      <c r="BD228" s="2016">
        <f t="shared" si="271"/>
        <v>1579.0499869499995</v>
      </c>
      <c r="BE228" s="2016">
        <f t="shared" si="271"/>
        <v>1610.0117513999999</v>
      </c>
      <c r="BF228" s="2016">
        <f t="shared" si="271"/>
        <v>1640.9735158499998</v>
      </c>
      <c r="BG228" s="2007" t="str">
        <f t="array" ref="BG228">INDEX(E228:E228&amp;"."&amp;F228:F228&amp;"."&amp;$J$71:$BF$71&amp;"."&amp;G228:G228,IFERROR(MATCH($C$10,$J228:$BF228),0))</f>
        <v>140.140.1950.4ТК</v>
      </c>
    </row>
  </sheetData>
  <sheetProtection algorithmName="SHA-512" hashValue="FvOVF6zaDZowXTT7WZAMb7gZXqy29rhidbf293cT6p1SZ6nAzXwxYoKKDms+KO713S7UyWc3wHaoZQhs1TOK8Q==" saltValue="KnAVL+dxKMvYXhC0kREofg==" spinCount="100000" sheet="1" objects="1" scenarios="1"/>
  <mergeCells count="241">
    <mergeCell ref="A72:A161"/>
    <mergeCell ref="A193:A205"/>
    <mergeCell ref="J1:AE3"/>
    <mergeCell ref="J18:AZ18"/>
    <mergeCell ref="J19:S19"/>
    <mergeCell ref="V19:AE19"/>
    <mergeCell ref="AH19:AP19"/>
    <mergeCell ref="K20:K21"/>
    <mergeCell ref="L20:L21"/>
    <mergeCell ref="M20:M21"/>
    <mergeCell ref="N20:O20"/>
    <mergeCell ref="P20:Q20"/>
    <mergeCell ref="AS20:AS21"/>
    <mergeCell ref="AU20:AU21"/>
    <mergeCell ref="AV20:AW20"/>
    <mergeCell ref="AX20:AX21"/>
    <mergeCell ref="AY20:AZ20"/>
    <mergeCell ref="J36:AZ36"/>
    <mergeCell ref="AD20:AE20"/>
    <mergeCell ref="AI20:AI21"/>
    <mergeCell ref="AK20:AK21"/>
    <mergeCell ref="AL20:AM20"/>
    <mergeCell ref="AN20:AN21"/>
    <mergeCell ref="AO20:AP20"/>
    <mergeCell ref="R20:S20"/>
    <mergeCell ref="W20:W21"/>
    <mergeCell ref="X20:X21"/>
    <mergeCell ref="Y20:Y21"/>
    <mergeCell ref="Z20:AA20"/>
    <mergeCell ref="AB20:AC20"/>
    <mergeCell ref="Z38:AA38"/>
    <mergeCell ref="AB38:AC38"/>
    <mergeCell ref="AD38:AE38"/>
    <mergeCell ref="AI38:AI39"/>
    <mergeCell ref="J54:R54"/>
    <mergeCell ref="V54:AD54"/>
    <mergeCell ref="J37:S37"/>
    <mergeCell ref="V37:AE37"/>
    <mergeCell ref="AH37:AP37"/>
    <mergeCell ref="K38:K39"/>
    <mergeCell ref="L38:L39"/>
    <mergeCell ref="M38:M39"/>
    <mergeCell ref="N38:O38"/>
    <mergeCell ref="P38:Q38"/>
    <mergeCell ref="R38:S38"/>
    <mergeCell ref="W38:W39"/>
    <mergeCell ref="J53:AZ53"/>
    <mergeCell ref="B72:C72"/>
    <mergeCell ref="B73:C73"/>
    <mergeCell ref="B74:C74"/>
    <mergeCell ref="B75:C75"/>
    <mergeCell ref="B76:C76"/>
    <mergeCell ref="B77:C77"/>
    <mergeCell ref="AV38:AW38"/>
    <mergeCell ref="AX38:AX39"/>
    <mergeCell ref="AY38:AZ38"/>
    <mergeCell ref="B66:B69"/>
    <mergeCell ref="B70:C71"/>
    <mergeCell ref="D70:D71"/>
    <mergeCell ref="E70:E71"/>
    <mergeCell ref="F70:F71"/>
    <mergeCell ref="G70:G71"/>
    <mergeCell ref="H70:BF70"/>
    <mergeCell ref="AK38:AK39"/>
    <mergeCell ref="AL38:AM38"/>
    <mergeCell ref="AN38:AN39"/>
    <mergeCell ref="AO38:AP38"/>
    <mergeCell ref="AS38:AS39"/>
    <mergeCell ref="AU38:AU39"/>
    <mergeCell ref="X38:X39"/>
    <mergeCell ref="Y38:Y39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41:C141"/>
    <mergeCell ref="B142:C142"/>
    <mergeCell ref="B143:C143"/>
    <mergeCell ref="B144:C144"/>
    <mergeCell ref="B145:C145"/>
    <mergeCell ref="B147:C147"/>
    <mergeCell ref="B126:C126"/>
    <mergeCell ref="B127:C127"/>
    <mergeCell ref="B137:C137"/>
    <mergeCell ref="B138:C138"/>
    <mergeCell ref="B139:C139"/>
    <mergeCell ref="B140:C140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46:C146"/>
    <mergeCell ref="B153:C153"/>
    <mergeCell ref="B196:C196"/>
    <mergeCell ref="B197:C197"/>
    <mergeCell ref="B198:C198"/>
    <mergeCell ref="B199:C199"/>
    <mergeCell ref="B200:C200"/>
    <mergeCell ref="B154:C154"/>
    <mergeCell ref="B155:C155"/>
    <mergeCell ref="B156:C156"/>
    <mergeCell ref="B157:C157"/>
    <mergeCell ref="B158:C158"/>
    <mergeCell ref="B159:C159"/>
    <mergeCell ref="B163:C164"/>
    <mergeCell ref="B183:C183"/>
    <mergeCell ref="B184:C184"/>
    <mergeCell ref="B185:C185"/>
    <mergeCell ref="B186:C186"/>
    <mergeCell ref="B187:C187"/>
    <mergeCell ref="B188:C188"/>
    <mergeCell ref="B195:C195"/>
    <mergeCell ref="AB55:AB56"/>
    <mergeCell ref="AC55:AD55"/>
    <mergeCell ref="B191:C192"/>
    <mergeCell ref="B193:C193"/>
    <mergeCell ref="B194:C194"/>
    <mergeCell ref="P55:P56"/>
    <mergeCell ref="Q55:R55"/>
    <mergeCell ref="W55:W56"/>
    <mergeCell ref="X55:X56"/>
    <mergeCell ref="Y55:Y56"/>
    <mergeCell ref="Z55:AA55"/>
    <mergeCell ref="B189:C190"/>
    <mergeCell ref="B160:C160"/>
    <mergeCell ref="B161:C161"/>
    <mergeCell ref="K55:K56"/>
    <mergeCell ref="L55:L56"/>
    <mergeCell ref="M55:M56"/>
    <mergeCell ref="N55:O55"/>
    <mergeCell ref="B148:C148"/>
    <mergeCell ref="B149:C149"/>
    <mergeCell ref="B150:C150"/>
    <mergeCell ref="B151:C151"/>
    <mergeCell ref="B152:C152"/>
    <mergeCell ref="B182:C182"/>
    <mergeCell ref="B219:C219"/>
    <mergeCell ref="B220:C220"/>
    <mergeCell ref="B221:C221"/>
    <mergeCell ref="B222:C222"/>
    <mergeCell ref="H191:BF191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H224:BF224"/>
    <mergeCell ref="D163:D164"/>
    <mergeCell ref="E163:E164"/>
    <mergeCell ref="F163:F164"/>
    <mergeCell ref="G163:G164"/>
    <mergeCell ref="H163:BF163"/>
    <mergeCell ref="A165:A187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A224:A228"/>
    <mergeCell ref="B226:C226"/>
    <mergeCell ref="B227:C227"/>
    <mergeCell ref="B228:C228"/>
    <mergeCell ref="B224:C225"/>
    <mergeCell ref="D224:D225"/>
    <mergeCell ref="E224:E225"/>
    <mergeCell ref="F224:F225"/>
    <mergeCell ref="G224:G225"/>
  </mergeCells>
  <conditionalFormatting sqref="H96:BF103 H112:BF127 H141:BF141 H143:BF143 H145:BF145 H137:BF139">
    <cfRule type="cellIs" dxfId="104" priority="44" operator="between">
      <formula>$J$11</formula>
      <formula>$J$12</formula>
    </cfRule>
  </conditionalFormatting>
  <conditionalFormatting sqref="H147:BF149">
    <cfRule type="cellIs" dxfId="103" priority="43" operator="between">
      <formula>$J$11</formula>
      <formula>$J$12</formula>
    </cfRule>
  </conditionalFormatting>
  <conditionalFormatting sqref="H150:BF152">
    <cfRule type="cellIs" dxfId="102" priority="42" operator="between">
      <formula>$J$11</formula>
      <formula>$J$12</formula>
    </cfRule>
  </conditionalFormatting>
  <conditionalFormatting sqref="H153:BF155">
    <cfRule type="cellIs" dxfId="101" priority="41" operator="between">
      <formula>$J$11</formula>
      <formula>$J$12</formula>
    </cfRule>
  </conditionalFormatting>
  <conditionalFormatting sqref="H156:BF158">
    <cfRule type="cellIs" dxfId="100" priority="40" operator="between">
      <formula>$J$11</formula>
      <formula>$J$12</formula>
    </cfRule>
  </conditionalFormatting>
  <conditionalFormatting sqref="H159:BF161">
    <cfRule type="cellIs" dxfId="99" priority="39" operator="between">
      <formula>$J$11</formula>
      <formula>$J$12</formula>
    </cfRule>
  </conditionalFormatting>
  <conditionalFormatting sqref="H88:BF95">
    <cfRule type="cellIs" dxfId="98" priority="38" operator="between">
      <formula>$J$11</formula>
      <formula>$J$12</formula>
    </cfRule>
  </conditionalFormatting>
  <conditionalFormatting sqref="H80:BF87">
    <cfRule type="cellIs" dxfId="97" priority="37" operator="between">
      <formula>$J$11</formula>
      <formula>$J$12</formula>
    </cfRule>
  </conditionalFormatting>
  <conditionalFormatting sqref="H104:BF111">
    <cfRule type="cellIs" dxfId="96" priority="36" operator="between">
      <formula>$J$11</formula>
      <formula>$J$12</formula>
    </cfRule>
  </conditionalFormatting>
  <conditionalFormatting sqref="H72:BF79">
    <cfRule type="cellIs" dxfId="95" priority="35" operator="between">
      <formula>$J$11</formula>
      <formula>$J$12</formula>
    </cfRule>
  </conditionalFormatting>
  <conditionalFormatting sqref="H140:BF140">
    <cfRule type="cellIs" dxfId="94" priority="34" operator="between">
      <formula>$J$11</formula>
      <formula>$J$12</formula>
    </cfRule>
  </conditionalFormatting>
  <conditionalFormatting sqref="H142:BF142">
    <cfRule type="cellIs" dxfId="93" priority="33" operator="between">
      <formula>$J$11</formula>
      <formula>$J$12</formula>
    </cfRule>
  </conditionalFormatting>
  <conditionalFormatting sqref="H144:BF144">
    <cfRule type="cellIs" dxfId="92" priority="32" operator="between">
      <formula>$J$11</formula>
      <formula>$J$12</formula>
    </cfRule>
  </conditionalFormatting>
  <conditionalFormatting sqref="H193:BF216">
    <cfRule type="cellIs" dxfId="91" priority="48" operator="between">
      <formula>$J$11</formula>
      <formula>$J$12</formula>
    </cfRule>
  </conditionalFormatting>
  <conditionalFormatting sqref="H217:BF222">
    <cfRule type="cellIs" dxfId="90" priority="22" operator="between">
      <formula>$J$52</formula>
      <formula>$Q$54</formula>
    </cfRule>
  </conditionalFormatting>
  <conditionalFormatting sqref="H136:BF136 H128:BF130 H132:BF132 H134:BF134">
    <cfRule type="cellIs" dxfId="89" priority="21" operator="between">
      <formula>$J$11</formula>
      <formula>$J$12</formula>
    </cfRule>
  </conditionalFormatting>
  <conditionalFormatting sqref="H131:BF131">
    <cfRule type="cellIs" dxfId="88" priority="20" operator="between">
      <formula>$J$11</formula>
      <formula>$J$12</formula>
    </cfRule>
  </conditionalFormatting>
  <conditionalFormatting sqref="H133:BF133">
    <cfRule type="cellIs" dxfId="87" priority="19" operator="between">
      <formula>$J$11</formula>
      <formula>$J$12</formula>
    </cfRule>
  </conditionalFormatting>
  <conditionalFormatting sqref="H135:BF135">
    <cfRule type="cellIs" dxfId="86" priority="18" operator="between">
      <formula>$J$11</formula>
      <formula>$J$12</formula>
    </cfRule>
  </conditionalFormatting>
  <conditionalFormatting sqref="H146:BF146">
    <cfRule type="cellIs" dxfId="85" priority="17" operator="between">
      <formula>$J$11</formula>
      <formula>$J$12</formula>
    </cfRule>
  </conditionalFormatting>
  <conditionalFormatting sqref="H165:BF170 H180:BF180">
    <cfRule type="cellIs" dxfId="84" priority="16" operator="between">
      <formula>$J$11</formula>
      <formula>$J$12</formula>
    </cfRule>
  </conditionalFormatting>
  <conditionalFormatting sqref="H162:BF162">
    <cfRule type="cellIs" dxfId="83" priority="15" operator="between">
      <formula>$J$11</formula>
      <formula>$J$12</formula>
    </cfRule>
  </conditionalFormatting>
  <conditionalFormatting sqref="H171:BF176">
    <cfRule type="cellIs" dxfId="82" priority="14" operator="between">
      <formula>$J$11</formula>
      <formula>$J$12</formula>
    </cfRule>
  </conditionalFormatting>
  <conditionalFormatting sqref="H177:BF178">
    <cfRule type="cellIs" dxfId="81" priority="13" operator="between">
      <formula>$J$11</formula>
      <formula>$J$12</formula>
    </cfRule>
  </conditionalFormatting>
  <conditionalFormatting sqref="H179:BF179">
    <cfRule type="cellIs" dxfId="80" priority="12" operator="between">
      <formula>$J$11</formula>
      <formula>$J$12</formula>
    </cfRule>
  </conditionalFormatting>
  <conditionalFormatting sqref="H181:BF181">
    <cfRule type="cellIs" dxfId="79" priority="11" operator="between">
      <formula>$J$11</formula>
      <formula>$J$12</formula>
    </cfRule>
  </conditionalFormatting>
  <conditionalFormatting sqref="H182:BF182">
    <cfRule type="cellIs" dxfId="78" priority="10" operator="between">
      <formula>$J$11</formula>
      <formula>$J$12</formula>
    </cfRule>
  </conditionalFormatting>
  <conditionalFormatting sqref="H183:BF185">
    <cfRule type="cellIs" dxfId="77" priority="9" operator="between">
      <formula>$J$11</formula>
      <formula>$J$12</formula>
    </cfRule>
  </conditionalFormatting>
  <conditionalFormatting sqref="H186:BF186">
    <cfRule type="cellIs" dxfId="76" priority="8" operator="between">
      <formula>$J$11</formula>
      <formula>$J$12</formula>
    </cfRule>
  </conditionalFormatting>
  <conditionalFormatting sqref="H187:BF188">
    <cfRule type="cellIs" dxfId="75" priority="7" operator="between">
      <formula>$J$11</formula>
      <formula>$J$12</formula>
    </cfRule>
  </conditionalFormatting>
  <conditionalFormatting sqref="H226:BF226">
    <cfRule type="cellIs" dxfId="74" priority="3" operator="between">
      <formula>$J$11</formula>
      <formula>$J$12</formula>
    </cfRule>
  </conditionalFormatting>
  <conditionalFormatting sqref="H227:BF227">
    <cfRule type="cellIs" dxfId="73" priority="2" operator="between">
      <formula>$J$11</formula>
      <formula>$J$12</formula>
    </cfRule>
  </conditionalFormatting>
  <conditionalFormatting sqref="H228:BF228">
    <cfRule type="cellIs" dxfId="72" priority="1" operator="between">
      <formula>$J$11</formula>
      <formula>$J$12</formula>
    </cfRule>
  </conditionalFormatting>
  <hyperlinks>
    <hyperlink ref="A1:I1" location="Главная!A1" display="Вернуться на главную страницу" xr:uid="{00000000-0004-0000-0500-000000000000}"/>
    <hyperlink ref="B72:C76" location="'55'!R1C1" display="ВК.055.160.ХХХ.2ТГ" xr:uid="{00000000-0004-0000-0500-000001000000}"/>
    <hyperlink ref="B80:C83" location="'65'!R1C1" display="ВК.065.160.ХХХ.2ТГ" xr:uid="{00000000-0004-0000-0500-000002000000}"/>
    <hyperlink ref="B89:C95" location="'70'!R1C1" display="ВК.070.200.ХХХ.2ТГ" xr:uid="{00000000-0004-0000-0500-000003000000}"/>
    <hyperlink ref="B96:C103" location="'75'!R1C1" display="ВК.075.160.ХХХ.2ТГ" xr:uid="{00000000-0004-0000-0500-000004000000}"/>
    <hyperlink ref="B104:C111" location="'80'!R1C1" display="ВК.080.160.ХХХ.2ТГ" xr:uid="{00000000-0004-0000-0500-000005000000}"/>
    <hyperlink ref="B112:C119" location="'90'!R1C1" display="ВК.090.160.ХХХ.2ТГ" xr:uid="{00000000-0004-0000-0500-000006000000}"/>
    <hyperlink ref="B120:C127" location="'110'!R1C1" display="ВК.110.160.ХХХ.2ТГ" xr:uid="{00000000-0004-0000-0500-000007000000}"/>
    <hyperlink ref="B137:C145" location="'150'!R1C1" display="ВК.150.160.ХХХ.4ТК" xr:uid="{00000000-0004-0000-0500-000008000000}"/>
    <hyperlink ref="B147:C149" location="'200'!R1C1" display="ВК.200.260.ХХХ.4ТК" xr:uid="{00000000-0004-0000-0500-000009000000}"/>
    <hyperlink ref="B150:C152" location="'300'!R1C1" display="ВК.300.260.ХХХ.4ТК" xr:uid="{00000000-0004-0000-0500-00000A000000}"/>
    <hyperlink ref="B153:C155" location="'400'!R1C1" display="ВК.400.260.ХХХ.4ТК" xr:uid="{00000000-0004-0000-0500-00000B000000}"/>
    <hyperlink ref="B156:C158" location="'500'!R1C1" display="ВК.500.260.ХХХ.4ТК" xr:uid="{00000000-0004-0000-0500-00000C000000}"/>
    <hyperlink ref="B159:C161" location="'600'!R1C1" display="ВК.600.260.ХХХ.4ТК" xr:uid="{00000000-0004-0000-0500-00000D000000}"/>
    <hyperlink ref="B193:C197" location="ВК.ЭКО.75!R1C1" display="ВК.ЭКО.075.160.ХХХ.2ТГ" xr:uid="{00000000-0004-0000-0500-00000E000000}"/>
    <hyperlink ref="B201:C205" location="ВК.ЭКО.90!R1C1" display="ВК.ЭКО.090.160.ХХХ.2ТГ" xr:uid="{00000000-0004-0000-0500-00000F000000}"/>
    <hyperlink ref="B128:C136" location="'140'!A1" display="ВК.140.160.ХХХ.4ТК" xr:uid="{00000000-0004-0000-0500-000010000000}"/>
    <hyperlink ref="B84:C84" location="'65'!R1C1" display="ВК.065.160.ХХХ.2ТГ" xr:uid="{00000000-0004-0000-0500-000011000000}"/>
    <hyperlink ref="B88:C88" location="'70'!R1C1" display="ВК.070.200.ХХХ.2ТГ" xr:uid="{00000000-0004-0000-0500-000012000000}"/>
    <hyperlink ref="B146:C146" location="'200'!R1C1" display="ВК.200.260.ХХХ.4ТК" xr:uid="{00000000-0004-0000-0500-000013000000}"/>
    <hyperlink ref="B165:C170" location="ВК.МАХ.90!R1C1" display="ВК.МАХ.090.200.ХХХ.2ТГ" xr:uid="{C50CD570-969E-4037-970D-38FA48A821AD}"/>
    <hyperlink ref="B171:C176" location="ВК.МАХ.110!R1C1" display="ВК.МАХ.110.200.ХХХ.2ТГ" xr:uid="{C93EB9A3-68BA-40B2-B80E-1FBDA1AA5F64}"/>
    <hyperlink ref="B177:C182" location="ВК.МАХ.150!R1C1" display="ВК.МАХ.150.200.ХХХ.2ТГ" xr:uid="{B8203890-A320-480E-8615-094936D0A5BC}"/>
    <hyperlink ref="B184:C187" location="ВК.МАХ.200!R1C1" display="ВК.МАХ.200.200.ХХХ.4ТК" xr:uid="{82F887B2-5039-47D7-A80F-E8E92B334AC9}"/>
    <hyperlink ref="B188:C188" location="ВК.МАХ.200!R1C1" display="ВК.МАХ.200.200.ХХХ.4ТК" xr:uid="{95F28E87-092C-480D-999C-AD9A2BDEBB81}"/>
    <hyperlink ref="B226:C226" location="'90'!R1C1" display="ВК.090.160.ХХХ.2ТГ" xr:uid="{5C97F48F-6493-4C82-8829-BC60F124157D}"/>
    <hyperlink ref="B227:C227" location="'90'!R1C1" display="ВК.090.160.ХХХ.2ТГ" xr:uid="{F35E0CAE-649C-4A6E-8EAD-2A972D03D070}"/>
    <hyperlink ref="B228:C228" location="'140'!A1" display="ВК.140.160.ХХХ.4ТК" xr:uid="{D602ECCF-959E-4A6C-88BB-9A6D2613A2DB}"/>
    <hyperlink ref="B226:C228" location="ВКП!A1" display="ВКП.085.140.ХХХ.2ТГ" xr:uid="{45744438-7B51-4B91-9FC2-A64A2BC89103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>
    <tabColor rgb="FF009999"/>
  </sheetPr>
  <dimension ref="A1:DF157"/>
  <sheetViews>
    <sheetView zoomScale="85" zoomScaleNormal="85" workbookViewId="0"/>
  </sheetViews>
  <sheetFormatPr defaultRowHeight="15"/>
  <cols>
    <col min="1" max="1" width="7.85546875" style="571" customWidth="1"/>
    <col min="2" max="2" width="29.28515625" style="571" customWidth="1"/>
    <col min="3" max="3" width="9" style="571" customWidth="1"/>
    <col min="4" max="7" width="6.140625" style="571" hidden="1" customWidth="1"/>
    <col min="8" max="11" width="6.42578125" style="571" hidden="1" customWidth="1"/>
    <col min="12" max="58" width="6.42578125" style="571" customWidth="1"/>
    <col min="59" max="110" width="0" style="571" hidden="1" customWidth="1"/>
    <col min="111" max="16384" width="9.140625" style="571"/>
  </cols>
  <sheetData>
    <row r="1" spans="1:58" s="65" customFormat="1" ht="16.5" customHeight="1">
      <c r="A1" s="293" t="s">
        <v>9</v>
      </c>
      <c r="B1" s="293"/>
      <c r="C1" s="293"/>
      <c r="D1" s="293"/>
      <c r="E1" s="293"/>
      <c r="F1" s="88"/>
      <c r="G1" s="293"/>
      <c r="H1" s="293"/>
      <c r="I1" s="293"/>
      <c r="J1" s="2673" t="s">
        <v>177</v>
      </c>
      <c r="K1" s="2674"/>
      <c r="L1" s="2674"/>
      <c r="M1" s="2674"/>
      <c r="N1" s="2674"/>
      <c r="O1" s="2674"/>
      <c r="P1" s="2674"/>
      <c r="Q1" s="2674"/>
      <c r="R1" s="2674"/>
      <c r="S1" s="2674"/>
      <c r="T1" s="2674"/>
      <c r="U1" s="2674"/>
      <c r="V1" s="2674"/>
      <c r="W1" s="2674"/>
      <c r="X1" s="2674"/>
      <c r="Y1" s="2674"/>
      <c r="Z1" s="2674"/>
      <c r="AA1" s="2674"/>
      <c r="AB1" s="2674"/>
      <c r="AC1" s="2674"/>
      <c r="AD1" s="2674"/>
      <c r="AE1" s="2674"/>
    </row>
    <row r="2" spans="1:58">
      <c r="J2" s="2673"/>
      <c r="K2" s="2674"/>
      <c r="L2" s="2674"/>
      <c r="M2" s="2674"/>
      <c r="N2" s="2674"/>
      <c r="O2" s="2674"/>
      <c r="P2" s="2674"/>
      <c r="Q2" s="2674"/>
      <c r="R2" s="2674"/>
      <c r="S2" s="2674"/>
      <c r="T2" s="2674"/>
      <c r="U2" s="2674"/>
      <c r="V2" s="2674"/>
      <c r="W2" s="2674"/>
      <c r="X2" s="2674"/>
      <c r="Y2" s="2674"/>
      <c r="Z2" s="2674"/>
      <c r="AA2" s="2674"/>
      <c r="AB2" s="2674"/>
      <c r="AC2" s="2674"/>
      <c r="AD2" s="2674"/>
      <c r="AE2" s="2674"/>
    </row>
    <row r="3" spans="1:58" ht="15.75" thickBot="1">
      <c r="B3" s="572" t="s">
        <v>178</v>
      </c>
      <c r="J3" s="2674"/>
      <c r="K3" s="2674"/>
      <c r="L3" s="2674"/>
      <c r="M3" s="2674"/>
      <c r="N3" s="2674"/>
      <c r="O3" s="2674"/>
      <c r="P3" s="2674"/>
      <c r="Q3" s="2674"/>
      <c r="R3" s="2674"/>
      <c r="S3" s="2674"/>
      <c r="T3" s="2674"/>
      <c r="U3" s="2674"/>
      <c r="V3" s="2674"/>
      <c r="W3" s="2674"/>
      <c r="X3" s="2674"/>
      <c r="Y3" s="2674"/>
      <c r="Z3" s="2674"/>
      <c r="AA3" s="2674"/>
      <c r="AB3" s="2674"/>
      <c r="AC3" s="2674"/>
      <c r="AD3" s="2674"/>
      <c r="AE3" s="2674"/>
    </row>
    <row r="4" spans="1:58" ht="26.25" customHeight="1" thickBot="1">
      <c r="C4" s="573" t="s">
        <v>179</v>
      </c>
      <c r="D4" s="641"/>
      <c r="E4" s="641"/>
      <c r="F4" s="641"/>
      <c r="G4" s="641"/>
      <c r="H4" s="921">
        <v>350</v>
      </c>
    </row>
    <row r="5" spans="1:58">
      <c r="B5" s="296" t="s">
        <v>180</v>
      </c>
      <c r="C5" s="574">
        <v>95</v>
      </c>
      <c r="D5" s="298"/>
      <c r="E5" s="298"/>
      <c r="F5" s="298"/>
      <c r="G5" s="298"/>
      <c r="I5" s="575"/>
      <c r="J5" s="576"/>
      <c r="K5" s="575"/>
      <c r="L5" s="576"/>
      <c r="M5" s="575"/>
      <c r="N5" s="575"/>
      <c r="O5" s="575"/>
      <c r="P5" s="575"/>
      <c r="Q5" s="575"/>
      <c r="R5" s="575"/>
      <c r="S5" s="575"/>
      <c r="T5" s="575"/>
      <c r="U5" s="575"/>
      <c r="V5" s="575"/>
      <c r="W5" s="575"/>
      <c r="X5" s="575"/>
      <c r="Y5" s="575"/>
      <c r="Z5" s="575"/>
      <c r="AA5" s="575"/>
      <c r="AB5" s="575"/>
      <c r="AC5" s="575"/>
      <c r="AD5" s="575"/>
      <c r="AE5" s="575"/>
      <c r="AF5" s="575"/>
      <c r="AG5" s="575"/>
      <c r="AH5" s="575"/>
      <c r="AI5" s="575"/>
      <c r="AJ5" s="575"/>
      <c r="AK5" s="575"/>
      <c r="AL5" s="575"/>
      <c r="AM5" s="575"/>
      <c r="AN5" s="575"/>
      <c r="AO5" s="575"/>
      <c r="AP5" s="575"/>
      <c r="AQ5" s="575"/>
      <c r="AR5" s="575"/>
      <c r="AS5" s="575"/>
      <c r="AT5" s="575"/>
      <c r="AU5" s="575"/>
      <c r="AV5" s="575"/>
      <c r="AW5" s="575"/>
      <c r="AX5" s="575"/>
      <c r="AY5" s="575"/>
      <c r="AZ5" s="575"/>
      <c r="BA5" s="575"/>
      <c r="BB5" s="575"/>
      <c r="BC5" s="575"/>
      <c r="BD5" s="575"/>
      <c r="BE5" s="577"/>
      <c r="BF5" s="577"/>
    </row>
    <row r="6" spans="1:58">
      <c r="B6" s="300" t="s">
        <v>181</v>
      </c>
      <c r="C6" s="578">
        <v>85</v>
      </c>
      <c r="D6" s="298"/>
      <c r="E6" s="298"/>
      <c r="F6" s="298"/>
      <c r="G6" s="298"/>
      <c r="I6" s="575"/>
      <c r="J6" s="575"/>
      <c r="K6" s="575"/>
      <c r="L6" s="576"/>
      <c r="M6" s="575"/>
      <c r="N6" s="575"/>
      <c r="O6" s="575"/>
      <c r="P6" s="575"/>
      <c r="Q6" s="575"/>
      <c r="R6" s="575"/>
      <c r="S6" s="575"/>
      <c r="T6" s="575"/>
      <c r="U6" s="575"/>
      <c r="V6" s="575"/>
      <c r="W6" s="575"/>
      <c r="X6" s="575"/>
      <c r="Y6" s="575"/>
      <c r="Z6" s="575"/>
      <c r="AA6" s="575"/>
      <c r="AB6" s="575"/>
      <c r="AC6" s="575"/>
      <c r="AD6" s="575"/>
      <c r="AE6" s="575"/>
      <c r="AF6" s="575"/>
      <c r="AG6" s="575"/>
      <c r="AH6" s="575"/>
      <c r="AI6" s="575"/>
      <c r="AJ6" s="575"/>
      <c r="AK6" s="575"/>
      <c r="AL6" s="575"/>
      <c r="AM6" s="575"/>
      <c r="AN6" s="575"/>
      <c r="AO6" s="575"/>
      <c r="AP6" s="575"/>
      <c r="AQ6" s="575"/>
      <c r="AR6" s="575"/>
      <c r="AS6" s="575"/>
      <c r="AT6" s="575"/>
      <c r="AU6" s="575"/>
      <c r="AV6" s="575"/>
      <c r="AW6" s="575"/>
      <c r="AX6" s="575"/>
      <c r="AY6" s="575"/>
      <c r="AZ6" s="575"/>
      <c r="BA6" s="575"/>
      <c r="BB6" s="575"/>
      <c r="BC6" s="575"/>
      <c r="BD6" s="575"/>
      <c r="BE6" s="577"/>
      <c r="BF6" s="577"/>
    </row>
    <row r="7" spans="1:58">
      <c r="B7" s="300" t="s">
        <v>182</v>
      </c>
      <c r="C7" s="578">
        <v>20</v>
      </c>
      <c r="D7" s="298"/>
      <c r="E7" s="298"/>
      <c r="F7" s="298"/>
      <c r="G7" s="298"/>
      <c r="I7" s="575"/>
      <c r="J7" s="575"/>
      <c r="K7" s="575"/>
      <c r="L7" s="576"/>
      <c r="M7" s="575"/>
      <c r="N7" s="575"/>
      <c r="O7" s="575"/>
      <c r="P7" s="575"/>
      <c r="Q7" s="575"/>
      <c r="R7" s="575"/>
      <c r="S7" s="575"/>
      <c r="T7" s="575"/>
      <c r="U7" s="575"/>
      <c r="V7" s="575"/>
      <c r="W7" s="575"/>
      <c r="X7" s="575"/>
      <c r="Y7" s="575"/>
      <c r="Z7" s="575"/>
      <c r="AA7" s="575"/>
      <c r="AB7" s="575"/>
      <c r="AC7" s="575"/>
      <c r="AD7" s="575"/>
      <c r="AE7" s="575"/>
      <c r="AF7" s="575"/>
      <c r="AG7" s="575"/>
      <c r="AH7" s="575"/>
      <c r="AI7" s="575"/>
      <c r="AJ7" s="575"/>
      <c r="AK7" s="575"/>
      <c r="AL7" s="575"/>
      <c r="AM7" s="575"/>
      <c r="AN7" s="575"/>
      <c r="AO7" s="575"/>
      <c r="AP7" s="575"/>
      <c r="AQ7" s="575"/>
      <c r="AR7" s="575"/>
      <c r="AS7" s="575"/>
      <c r="AT7" s="575"/>
      <c r="AU7" s="575"/>
      <c r="AV7" s="575"/>
      <c r="AW7" s="575"/>
      <c r="AX7" s="575"/>
      <c r="AY7" s="575"/>
      <c r="AZ7" s="575"/>
      <c r="BA7" s="575"/>
      <c r="BB7" s="575"/>
      <c r="BC7" s="575"/>
      <c r="BD7" s="575"/>
      <c r="BE7" s="577"/>
      <c r="BF7" s="577"/>
    </row>
    <row r="8" spans="1:58" ht="15.75" thickBot="1">
      <c r="B8" s="579" t="s">
        <v>183</v>
      </c>
      <c r="C8" s="580">
        <f>(C5+C6)/2-C7</f>
        <v>70</v>
      </c>
      <c r="D8" s="582"/>
      <c r="E8" s="582"/>
      <c r="F8" s="582"/>
      <c r="G8" s="582"/>
      <c r="I8" s="575"/>
      <c r="J8" s="575"/>
      <c r="K8" s="575"/>
      <c r="L8" s="576"/>
      <c r="M8" s="575"/>
      <c r="N8" s="575"/>
      <c r="O8" s="575"/>
      <c r="P8" s="575"/>
      <c r="Q8" s="575"/>
      <c r="R8" s="575"/>
      <c r="S8" s="575"/>
      <c r="T8" s="575"/>
      <c r="U8" s="575"/>
      <c r="V8" s="575"/>
      <c r="W8" s="575"/>
      <c r="X8" s="575"/>
      <c r="Y8" s="575"/>
      <c r="Z8" s="575"/>
      <c r="AA8" s="575"/>
      <c r="AB8" s="575"/>
      <c r="AC8" s="575"/>
      <c r="AD8" s="575"/>
      <c r="AE8" s="575"/>
      <c r="AF8" s="575"/>
      <c r="AG8" s="575"/>
      <c r="AH8" s="575"/>
      <c r="AI8" s="575"/>
      <c r="AJ8" s="575"/>
      <c r="AK8" s="575"/>
      <c r="AL8" s="575"/>
      <c r="AM8" s="575"/>
      <c r="AN8" s="575"/>
      <c r="AO8" s="575"/>
      <c r="AP8" s="575"/>
      <c r="AQ8" s="575"/>
      <c r="AR8" s="575"/>
      <c r="AS8" s="575"/>
      <c r="AT8" s="575"/>
      <c r="AU8" s="575"/>
      <c r="AV8" s="575"/>
      <c r="AW8" s="575"/>
      <c r="AX8" s="575"/>
      <c r="AY8" s="575"/>
      <c r="AZ8" s="575"/>
      <c r="BA8" s="575"/>
      <c r="BB8" s="575"/>
      <c r="BC8" s="575"/>
      <c r="BD8" s="575"/>
      <c r="BE8" s="577"/>
      <c r="BF8" s="577"/>
    </row>
    <row r="9" spans="1:58" ht="15.75" thickBot="1">
      <c r="B9" s="581"/>
      <c r="C9" s="582"/>
      <c r="D9" s="582"/>
      <c r="E9" s="582"/>
      <c r="F9" s="582"/>
      <c r="G9" s="582"/>
      <c r="I9" s="575"/>
      <c r="J9" s="575"/>
      <c r="K9" s="575"/>
      <c r="L9" s="576"/>
      <c r="M9" s="575"/>
      <c r="N9" s="575"/>
      <c r="O9" s="575"/>
      <c r="P9" s="575"/>
      <c r="Q9" s="575"/>
      <c r="R9" s="575"/>
      <c r="S9" s="575"/>
      <c r="T9" s="575"/>
      <c r="U9" s="575"/>
      <c r="V9" s="575"/>
      <c r="W9" s="575"/>
      <c r="X9" s="575"/>
      <c r="Y9" s="575"/>
      <c r="Z9" s="575"/>
      <c r="AA9" s="575"/>
      <c r="AB9" s="575"/>
      <c r="AC9" s="575"/>
      <c r="AD9" s="575"/>
      <c r="AE9" s="575"/>
      <c r="AF9" s="575"/>
      <c r="AG9" s="575"/>
      <c r="AH9" s="575"/>
      <c r="AI9" s="575"/>
      <c r="AJ9" s="575"/>
      <c r="AK9" s="575"/>
      <c r="AL9" s="575"/>
      <c r="AM9" s="575"/>
      <c r="AN9" s="575"/>
      <c r="AO9" s="575"/>
      <c r="AP9" s="575"/>
      <c r="AQ9" s="575"/>
      <c r="AR9" s="575"/>
      <c r="AS9" s="575"/>
      <c r="AT9" s="575"/>
      <c r="AU9" s="575"/>
      <c r="AV9" s="575"/>
      <c r="AW9" s="575"/>
      <c r="AX9" s="575"/>
      <c r="AY9" s="575"/>
      <c r="AZ9" s="575"/>
      <c r="BA9" s="575"/>
      <c r="BB9" s="575"/>
      <c r="BC9" s="575"/>
      <c r="BD9" s="575"/>
      <c r="BE9" s="577"/>
      <c r="BF9" s="577"/>
    </row>
    <row r="10" spans="1:58">
      <c r="B10" s="583" t="s">
        <v>282</v>
      </c>
      <c r="C10" s="297">
        <v>2000</v>
      </c>
      <c r="D10" s="298"/>
      <c r="E10" s="298"/>
      <c r="F10" s="298"/>
      <c r="G10" s="298"/>
      <c r="I10" s="576"/>
      <c r="J10" s="576"/>
      <c r="K10" s="575"/>
      <c r="L10" s="576"/>
      <c r="M10" s="575"/>
      <c r="N10" s="575"/>
      <c r="O10" s="575"/>
      <c r="P10" s="575"/>
      <c r="Q10" s="575"/>
      <c r="R10" s="575"/>
      <c r="S10" s="575"/>
      <c r="T10" s="575"/>
      <c r="U10" s="575"/>
      <c r="V10" s="575"/>
      <c r="W10" s="575"/>
      <c r="X10" s="575"/>
      <c r="Y10" s="575"/>
      <c r="Z10" s="575"/>
      <c r="AA10" s="575"/>
      <c r="AB10" s="575"/>
      <c r="AC10" s="575"/>
      <c r="AD10" s="575"/>
      <c r="AE10" s="575"/>
      <c r="AF10" s="575"/>
      <c r="AG10" s="575"/>
      <c r="AH10" s="575"/>
      <c r="AI10" s="575"/>
      <c r="AJ10" s="575"/>
      <c r="AK10" s="575"/>
      <c r="AL10" s="575"/>
      <c r="AM10" s="575"/>
      <c r="AN10" s="575"/>
      <c r="AO10" s="575"/>
      <c r="AP10" s="575"/>
      <c r="AQ10" s="575"/>
      <c r="AR10" s="575"/>
      <c r="AS10" s="575"/>
      <c r="AT10" s="575"/>
      <c r="AU10" s="575"/>
      <c r="AV10" s="575"/>
      <c r="AW10" s="575"/>
      <c r="AX10" s="575"/>
      <c r="AY10" s="575"/>
      <c r="AZ10" s="575"/>
      <c r="BA10" s="575"/>
      <c r="BB10" s="575"/>
      <c r="BC10" s="575"/>
      <c r="BD10" s="575"/>
      <c r="BE10" s="577"/>
      <c r="BF10" s="577"/>
    </row>
    <row r="11" spans="1:58" ht="14.25" customHeight="1">
      <c r="B11" s="584" t="s">
        <v>185</v>
      </c>
      <c r="C11" s="301">
        <v>5</v>
      </c>
      <c r="D11" s="298"/>
      <c r="E11" s="298"/>
      <c r="F11" s="298"/>
      <c r="G11" s="298"/>
      <c r="I11" s="576"/>
      <c r="J11" s="585">
        <f>C10*(C11/100+1)</f>
        <v>2100</v>
      </c>
      <c r="K11" s="575"/>
      <c r="L11" s="576"/>
      <c r="M11" s="575"/>
      <c r="N11" s="575"/>
      <c r="O11" s="575"/>
      <c r="P11" s="575"/>
      <c r="Q11" s="575"/>
      <c r="R11" s="575"/>
      <c r="S11" s="575"/>
      <c r="T11" s="575"/>
      <c r="U11" s="575"/>
      <c r="V11" s="575"/>
      <c r="W11" s="575"/>
      <c r="X11" s="575"/>
      <c r="Y11" s="575"/>
      <c r="Z11" s="575"/>
      <c r="AA11" s="575"/>
      <c r="AB11" s="575"/>
      <c r="AC11" s="575"/>
      <c r="AD11" s="575"/>
      <c r="AE11" s="575"/>
      <c r="AF11" s="575"/>
      <c r="AG11" s="575"/>
      <c r="AH11" s="575"/>
      <c r="AI11" s="575"/>
      <c r="AJ11" s="575"/>
      <c r="AK11" s="575"/>
      <c r="AL11" s="575"/>
      <c r="AM11" s="575"/>
      <c r="AN11" s="575"/>
      <c r="AO11" s="575"/>
      <c r="AP11" s="575"/>
      <c r="AQ11" s="575"/>
      <c r="AR11" s="575"/>
      <c r="AS11" s="575"/>
      <c r="AT11" s="575"/>
      <c r="AU11" s="575"/>
      <c r="AV11" s="575"/>
      <c r="AW11" s="575"/>
      <c r="AX11" s="575"/>
      <c r="AY11" s="575"/>
      <c r="AZ11" s="575"/>
      <c r="BA11" s="575"/>
      <c r="BB11" s="575"/>
      <c r="BC11" s="575"/>
      <c r="BD11" s="575"/>
      <c r="BE11" s="577"/>
      <c r="BF11" s="577"/>
    </row>
    <row r="12" spans="1:58" ht="14.25" customHeight="1" thickBot="1">
      <c r="B12" s="586" t="s">
        <v>186</v>
      </c>
      <c r="C12" s="309">
        <v>4</v>
      </c>
      <c r="D12" s="298"/>
      <c r="E12" s="298"/>
      <c r="F12" s="298"/>
      <c r="G12" s="298"/>
      <c r="I12" s="576"/>
      <c r="J12" s="585">
        <f>C10*ABS(C12/100-1)</f>
        <v>1920</v>
      </c>
      <c r="K12" s="575"/>
      <c r="L12" s="576"/>
      <c r="M12" s="575"/>
      <c r="N12" s="575"/>
      <c r="O12" s="575"/>
      <c r="P12" s="575"/>
      <c r="Q12" s="575"/>
      <c r="R12" s="575"/>
      <c r="S12" s="575"/>
      <c r="T12" s="575"/>
      <c r="U12" s="575"/>
      <c r="V12" s="575"/>
      <c r="W12" s="575"/>
      <c r="X12" s="575"/>
      <c r="Y12" s="575"/>
      <c r="Z12" s="575"/>
      <c r="AA12" s="575"/>
      <c r="AB12" s="575"/>
      <c r="AC12" s="575"/>
      <c r="AD12" s="575"/>
      <c r="AE12" s="575"/>
      <c r="AF12" s="575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S12" s="575"/>
      <c r="AT12" s="575"/>
      <c r="AU12" s="575"/>
      <c r="AV12" s="575"/>
      <c r="AW12" s="575"/>
      <c r="AX12" s="575"/>
      <c r="AY12" s="575"/>
      <c r="AZ12" s="575"/>
      <c r="BA12" s="575"/>
      <c r="BB12" s="575"/>
      <c r="BC12" s="575"/>
      <c r="BD12" s="575"/>
      <c r="BE12" s="577"/>
      <c r="BF12" s="577"/>
    </row>
    <row r="13" spans="1:58" ht="15.75" customHeight="1" thickBot="1">
      <c r="B13" s="587" t="s">
        <v>283</v>
      </c>
      <c r="C13" s="588">
        <v>3</v>
      </c>
      <c r="D13" s="298"/>
      <c r="E13" s="298"/>
      <c r="F13" s="298"/>
      <c r="G13" s="298"/>
      <c r="I13" s="576"/>
      <c r="J13" s="585"/>
      <c r="K13" s="575"/>
      <c r="L13" s="576"/>
      <c r="M13" s="575"/>
      <c r="N13" s="575"/>
      <c r="O13" s="575"/>
      <c r="P13" s="575"/>
      <c r="Q13" s="575"/>
      <c r="R13" s="575"/>
      <c r="S13" s="575"/>
      <c r="T13" s="575"/>
      <c r="U13" s="575"/>
      <c r="V13" s="575"/>
      <c r="W13" s="575"/>
      <c r="X13" s="575"/>
      <c r="Y13" s="575"/>
      <c r="Z13" s="575"/>
      <c r="AA13" s="575"/>
      <c r="AB13" s="575"/>
      <c r="AC13" s="575"/>
      <c r="AD13" s="575"/>
      <c r="AE13" s="575"/>
      <c r="AF13" s="575"/>
      <c r="AG13" s="575"/>
      <c r="AH13" s="575"/>
      <c r="AI13" s="575"/>
      <c r="AJ13" s="575"/>
      <c r="AK13" s="575"/>
      <c r="AL13" s="575"/>
      <c r="AM13" s="575"/>
      <c r="AN13" s="575"/>
      <c r="AO13" s="575"/>
      <c r="AP13" s="575"/>
      <c r="AQ13" s="575"/>
      <c r="AR13" s="575"/>
      <c r="AS13" s="575"/>
      <c r="AT13" s="575"/>
      <c r="AU13" s="575"/>
      <c r="AV13" s="575"/>
      <c r="AW13" s="575"/>
      <c r="AX13" s="575"/>
      <c r="AY13" s="575"/>
      <c r="AZ13" s="575"/>
      <c r="BA13" s="575"/>
      <c r="BB13" s="575"/>
      <c r="BC13" s="575"/>
      <c r="BD13" s="575"/>
      <c r="BE13" s="577"/>
      <c r="BF13" s="577"/>
    </row>
    <row r="14" spans="1:58" ht="15.75" customHeight="1">
      <c r="B14" s="581"/>
      <c r="C14" s="589"/>
      <c r="D14" s="298"/>
      <c r="E14" s="298"/>
      <c r="F14" s="298"/>
      <c r="G14" s="298"/>
      <c r="I14" s="576"/>
      <c r="J14" s="585"/>
      <c r="K14" s="575"/>
      <c r="L14" s="576"/>
      <c r="M14" s="575"/>
      <c r="N14" s="575"/>
      <c r="O14" s="575"/>
      <c r="P14" s="575"/>
      <c r="Q14" s="575"/>
      <c r="R14" s="575"/>
      <c r="S14" s="575"/>
      <c r="T14" s="575"/>
      <c r="U14" s="575"/>
      <c r="V14" s="575"/>
      <c r="W14" s="575"/>
      <c r="X14" s="575"/>
      <c r="Y14" s="575"/>
      <c r="Z14" s="575"/>
      <c r="AA14" s="575"/>
      <c r="AB14" s="575"/>
      <c r="AC14" s="575"/>
      <c r="AD14" s="575"/>
      <c r="AE14" s="575"/>
      <c r="AF14" s="575"/>
      <c r="AG14" s="575"/>
      <c r="AH14" s="575"/>
      <c r="AI14" s="575"/>
      <c r="AJ14" s="575"/>
      <c r="AK14" s="575"/>
      <c r="AL14" s="575"/>
      <c r="AM14" s="575"/>
      <c r="AN14" s="575"/>
      <c r="AO14" s="575"/>
      <c r="AP14" s="575"/>
      <c r="AQ14" s="575"/>
      <c r="AR14" s="575"/>
      <c r="AS14" s="575"/>
      <c r="AT14" s="575"/>
      <c r="AU14" s="575"/>
      <c r="AV14" s="575"/>
      <c r="AW14" s="575"/>
      <c r="AX14" s="575"/>
      <c r="AY14" s="575"/>
      <c r="AZ14" s="575"/>
      <c r="BA14" s="575"/>
      <c r="BB14" s="575"/>
      <c r="BC14" s="575"/>
      <c r="BD14" s="575"/>
      <c r="BE14" s="577"/>
      <c r="BF14" s="577"/>
    </row>
    <row r="15" spans="1:58" ht="15.75" customHeight="1">
      <c r="B15" s="581"/>
      <c r="C15" s="589"/>
      <c r="D15" s="298"/>
      <c r="E15" s="298"/>
      <c r="F15" s="298"/>
      <c r="G15" s="298"/>
      <c r="I15" s="576"/>
      <c r="J15" s="585"/>
      <c r="K15" s="575"/>
      <c r="L15" s="576"/>
      <c r="M15" s="575"/>
      <c r="N15" s="575"/>
      <c r="O15" s="575"/>
      <c r="P15" s="575"/>
      <c r="Q15" s="575"/>
      <c r="R15" s="575"/>
      <c r="S15" s="575"/>
      <c r="T15" s="575"/>
      <c r="U15" s="575"/>
      <c r="V15" s="575"/>
      <c r="W15" s="575"/>
      <c r="X15" s="575"/>
      <c r="Y15" s="575"/>
      <c r="Z15" s="575"/>
      <c r="AA15" s="575"/>
      <c r="AB15" s="575"/>
      <c r="AC15" s="575"/>
      <c r="AD15" s="575"/>
      <c r="AE15" s="575"/>
      <c r="AF15" s="575"/>
      <c r="AG15" s="575"/>
      <c r="AH15" s="575"/>
      <c r="AI15" s="575"/>
      <c r="AJ15" s="575"/>
      <c r="AK15" s="575"/>
      <c r="AL15" s="575"/>
      <c r="AM15" s="575"/>
      <c r="AN15" s="575"/>
      <c r="AO15" s="575"/>
      <c r="AP15" s="575"/>
      <c r="AQ15" s="575"/>
      <c r="AR15" s="575"/>
      <c r="AS15" s="575"/>
      <c r="AT15" s="575"/>
      <c r="AU15" s="575"/>
      <c r="AV15" s="575"/>
      <c r="AW15" s="575"/>
      <c r="AX15" s="575"/>
      <c r="AY15" s="575"/>
      <c r="AZ15" s="575"/>
      <c r="BA15" s="575"/>
      <c r="BB15" s="575"/>
      <c r="BC15" s="575"/>
      <c r="BD15" s="575"/>
      <c r="BE15" s="577"/>
      <c r="BF15" s="577"/>
    </row>
    <row r="16" spans="1:58" ht="15.75" customHeight="1">
      <c r="B16" s="581"/>
      <c r="C16" s="589"/>
      <c r="D16" s="298"/>
      <c r="E16" s="298"/>
      <c r="F16" s="298"/>
      <c r="G16" s="298"/>
      <c r="I16" s="576"/>
      <c r="J16" s="585"/>
      <c r="K16" s="575"/>
      <c r="L16" s="576"/>
      <c r="M16" s="575"/>
      <c r="N16" s="575"/>
      <c r="O16" s="575"/>
      <c r="P16" s="575"/>
      <c r="Q16" s="575"/>
      <c r="R16" s="575"/>
      <c r="S16" s="575"/>
      <c r="T16" s="575"/>
      <c r="U16" s="575"/>
      <c r="V16" s="575"/>
      <c r="W16" s="575"/>
      <c r="X16" s="575"/>
      <c r="Y16" s="575"/>
      <c r="Z16" s="575"/>
      <c r="AA16" s="575"/>
      <c r="AB16" s="575"/>
      <c r="AC16" s="575"/>
      <c r="AD16" s="575"/>
      <c r="AE16" s="575"/>
      <c r="AF16" s="575"/>
      <c r="AG16" s="575"/>
      <c r="AH16" s="575"/>
      <c r="AI16" s="575"/>
      <c r="AJ16" s="575"/>
      <c r="AK16" s="575"/>
      <c r="AL16" s="575"/>
      <c r="AM16" s="575"/>
      <c r="AN16" s="575"/>
      <c r="AO16" s="575"/>
      <c r="AP16" s="575"/>
      <c r="AQ16" s="575"/>
      <c r="AR16" s="575"/>
      <c r="AS16" s="575"/>
      <c r="AT16" s="575"/>
      <c r="AU16" s="575"/>
      <c r="AV16" s="575"/>
      <c r="AW16" s="575"/>
      <c r="AX16" s="575"/>
      <c r="AY16" s="575"/>
      <c r="AZ16" s="575"/>
      <c r="BA16" s="575"/>
      <c r="BB16" s="575"/>
      <c r="BC16" s="575"/>
      <c r="BD16" s="575"/>
      <c r="BE16" s="577"/>
      <c r="BF16" s="577"/>
    </row>
    <row r="17" spans="2:58" ht="15.75" customHeight="1">
      <c r="B17" s="581"/>
      <c r="C17" s="589"/>
      <c r="D17" s="298"/>
      <c r="E17" s="298"/>
      <c r="F17" s="298"/>
      <c r="G17" s="298"/>
      <c r="I17" s="576"/>
      <c r="J17" s="585"/>
      <c r="K17" s="575"/>
      <c r="L17" s="576"/>
      <c r="M17" s="575"/>
      <c r="N17" s="575"/>
      <c r="O17" s="575"/>
      <c r="P17" s="575"/>
      <c r="Q17" s="575"/>
      <c r="R17" s="575"/>
      <c r="S17" s="575"/>
      <c r="T17" s="575"/>
      <c r="U17" s="575"/>
      <c r="V17" s="575"/>
      <c r="W17" s="575"/>
      <c r="X17" s="575"/>
      <c r="Y17" s="575"/>
      <c r="Z17" s="575"/>
      <c r="AA17" s="575"/>
      <c r="AB17" s="575"/>
      <c r="AC17" s="575"/>
      <c r="AD17" s="575"/>
      <c r="AE17" s="575"/>
      <c r="AF17" s="575"/>
      <c r="AG17" s="575"/>
      <c r="AH17" s="575"/>
      <c r="AI17" s="575"/>
      <c r="AJ17" s="575"/>
      <c r="AK17" s="575"/>
      <c r="AL17" s="575"/>
      <c r="AM17" s="575"/>
      <c r="AN17" s="575"/>
      <c r="AO17" s="575"/>
      <c r="AP17" s="575"/>
      <c r="AQ17" s="575"/>
      <c r="AR17" s="575"/>
      <c r="AS17" s="575"/>
      <c r="AT17" s="575"/>
      <c r="AU17" s="575"/>
      <c r="AV17" s="575"/>
      <c r="AW17" s="575"/>
      <c r="AX17" s="575"/>
      <c r="AY17" s="575"/>
      <c r="AZ17" s="575"/>
      <c r="BA17" s="575"/>
      <c r="BB17" s="575"/>
      <c r="BC17" s="575"/>
      <c r="BD17" s="575"/>
      <c r="BE17" s="577"/>
      <c r="BF17" s="577"/>
    </row>
    <row r="18" spans="2:58" ht="15.75" customHeight="1" thickBot="1">
      <c r="B18" s="581"/>
      <c r="C18" s="589"/>
      <c r="D18" s="298"/>
      <c r="E18" s="298"/>
      <c r="F18" s="298"/>
      <c r="G18" s="298"/>
      <c r="I18" s="576"/>
      <c r="J18" s="585"/>
      <c r="K18" s="575"/>
      <c r="L18" s="576"/>
      <c r="M18" s="575"/>
      <c r="N18" s="575"/>
      <c r="O18" s="575"/>
      <c r="P18" s="575"/>
      <c r="Q18" s="575"/>
      <c r="R18" s="575"/>
      <c r="S18" s="575"/>
      <c r="T18" s="575"/>
      <c r="U18" s="575"/>
      <c r="V18" s="575"/>
      <c r="W18" s="575"/>
      <c r="X18" s="575"/>
      <c r="Y18" s="575"/>
      <c r="Z18" s="575"/>
      <c r="AA18" s="575"/>
      <c r="AB18" s="575"/>
      <c r="AC18" s="575"/>
      <c r="AD18" s="575"/>
      <c r="AE18" s="575"/>
      <c r="AF18" s="575"/>
      <c r="AG18" s="575"/>
      <c r="AH18" s="575"/>
      <c r="AI18" s="575"/>
      <c r="AJ18" s="575"/>
      <c r="AK18" s="575"/>
      <c r="AL18" s="575"/>
      <c r="AM18" s="575"/>
      <c r="AN18" s="575"/>
      <c r="AO18" s="575"/>
      <c r="AP18" s="575"/>
      <c r="AQ18" s="575"/>
      <c r="AR18" s="575"/>
      <c r="AS18" s="575"/>
      <c r="AT18" s="575"/>
      <c r="AU18" s="575"/>
      <c r="AV18" s="575"/>
      <c r="AW18" s="575"/>
      <c r="AX18" s="575"/>
      <c r="AY18" s="575"/>
      <c r="AZ18" s="575"/>
      <c r="BA18" s="575"/>
      <c r="BB18" s="575"/>
      <c r="BC18" s="575"/>
      <c r="BD18" s="575"/>
      <c r="BE18" s="577"/>
      <c r="BF18" s="577"/>
    </row>
    <row r="19" spans="2:58" ht="14.25" hidden="1" customHeight="1" thickBot="1">
      <c r="C19" s="589"/>
      <c r="D19" s="589"/>
      <c r="E19" s="589"/>
      <c r="F19" s="589"/>
      <c r="G19" s="589"/>
      <c r="H19" s="575"/>
      <c r="I19" s="575"/>
      <c r="J19" s="575"/>
      <c r="K19" s="575"/>
      <c r="L19" s="575"/>
      <c r="M19" s="575"/>
      <c r="N19" s="575"/>
      <c r="O19" s="575"/>
      <c r="P19" s="575"/>
      <c r="Q19" s="575"/>
      <c r="R19" s="575"/>
      <c r="S19" s="575"/>
      <c r="T19" s="575"/>
      <c r="U19" s="575"/>
      <c r="V19" s="575"/>
      <c r="W19" s="575"/>
      <c r="X19" s="575"/>
      <c r="Y19" s="575"/>
      <c r="Z19" s="575"/>
      <c r="AA19" s="575"/>
      <c r="AB19" s="575"/>
      <c r="AC19" s="575"/>
      <c r="AD19" s="575"/>
      <c r="AE19" s="575"/>
      <c r="AF19" s="575"/>
      <c r="AG19" s="575"/>
      <c r="AH19" s="575"/>
      <c r="AI19" s="575"/>
      <c r="AJ19" s="575"/>
      <c r="AK19" s="575"/>
      <c r="AL19" s="575"/>
      <c r="AM19" s="575"/>
      <c r="AN19" s="575"/>
      <c r="AO19" s="575"/>
      <c r="AP19" s="575"/>
      <c r="AQ19" s="575"/>
      <c r="AR19" s="575"/>
      <c r="AS19" s="575"/>
      <c r="AT19" s="575"/>
      <c r="AU19" s="575"/>
      <c r="AV19" s="575"/>
      <c r="AW19" s="575"/>
      <c r="AX19" s="575"/>
      <c r="AY19" s="575"/>
      <c r="AZ19" s="575"/>
      <c r="BA19" s="575"/>
      <c r="BB19" s="575"/>
      <c r="BC19" s="575"/>
      <c r="BD19" s="575"/>
      <c r="BE19" s="577"/>
      <c r="BF19" s="577"/>
    </row>
    <row r="20" spans="2:58" ht="14.25" hidden="1" customHeight="1" thickBot="1">
      <c r="J20" s="2705" t="s">
        <v>188</v>
      </c>
      <c r="K20" s="2706"/>
      <c r="L20" s="2706"/>
      <c r="M20" s="2706"/>
      <c r="N20" s="2706"/>
      <c r="O20" s="2706"/>
      <c r="P20" s="2706"/>
      <c r="Q20" s="2706"/>
      <c r="R20" s="2706"/>
      <c r="S20" s="2707"/>
      <c r="T20" s="575"/>
      <c r="U20" s="2705" t="s">
        <v>189</v>
      </c>
      <c r="V20" s="2706"/>
      <c r="W20" s="2706"/>
      <c r="X20" s="2706"/>
      <c r="Y20" s="2706"/>
      <c r="Z20" s="2706"/>
      <c r="AA20" s="2706"/>
      <c r="AB20" s="2706"/>
      <c r="AC20" s="2706"/>
      <c r="AD20" s="2707"/>
      <c r="AJ20" s="575"/>
    </row>
    <row r="21" spans="2:58" ht="14.25" hidden="1" customHeight="1" thickBot="1">
      <c r="J21" s="590" t="s">
        <v>1</v>
      </c>
      <c r="K21" s="2700">
        <v>160</v>
      </c>
      <c r="L21" s="2702">
        <v>200</v>
      </c>
      <c r="M21" s="2702">
        <v>260</v>
      </c>
      <c r="N21" s="2702">
        <v>300</v>
      </c>
      <c r="O21" s="2702"/>
      <c r="P21" s="2793">
        <v>360</v>
      </c>
      <c r="Q21" s="2794"/>
      <c r="R21" s="2702">
        <v>400</v>
      </c>
      <c r="S21" s="2704"/>
      <c r="T21" s="575"/>
      <c r="U21" s="702" t="s">
        <v>1</v>
      </c>
      <c r="V21" s="2700">
        <v>160</v>
      </c>
      <c r="W21" s="2702">
        <v>200</v>
      </c>
      <c r="X21" s="2702">
        <v>260</v>
      </c>
      <c r="Y21" s="2702">
        <v>300</v>
      </c>
      <c r="Z21" s="2702"/>
      <c r="AA21" s="2793">
        <v>360</v>
      </c>
      <c r="AB21" s="2794"/>
      <c r="AC21" s="2702">
        <v>400</v>
      </c>
      <c r="AD21" s="2704"/>
      <c r="AE21" s="575"/>
      <c r="AF21" s="2690" t="s">
        <v>284</v>
      </c>
      <c r="AG21" s="2691"/>
      <c r="AH21" s="2691"/>
      <c r="AI21" s="2692"/>
      <c r="AJ21" s="645" t="s">
        <v>0</v>
      </c>
      <c r="AK21" s="575"/>
      <c r="AL21" s="644"/>
      <c r="AM21" s="644"/>
      <c r="AN21" s="644"/>
      <c r="AO21" s="644"/>
      <c r="AP21" s="644"/>
      <c r="AQ21" s="644"/>
      <c r="AR21" s="644"/>
      <c r="AS21" s="644"/>
      <c r="AT21" s="644"/>
      <c r="AU21" s="644"/>
      <c r="AV21" s="644"/>
    </row>
    <row r="22" spans="2:58" ht="14.25" hidden="1" customHeight="1" thickBot="1">
      <c r="J22" s="591" t="s">
        <v>0</v>
      </c>
      <c r="K22" s="2711"/>
      <c r="L22" s="2703"/>
      <c r="M22" s="2703"/>
      <c r="N22" s="703">
        <v>2</v>
      </c>
      <c r="O22" s="703">
        <v>4</v>
      </c>
      <c r="P22" s="1146" t="s">
        <v>258</v>
      </c>
      <c r="Q22" s="704" t="s">
        <v>260</v>
      </c>
      <c r="R22" s="1146" t="s">
        <v>258</v>
      </c>
      <c r="S22" s="704" t="s">
        <v>260</v>
      </c>
      <c r="T22" s="575"/>
      <c r="U22" s="699" t="s">
        <v>0</v>
      </c>
      <c r="V22" s="2711"/>
      <c r="W22" s="2703"/>
      <c r="X22" s="2703"/>
      <c r="Y22" s="703">
        <v>1</v>
      </c>
      <c r="Z22" s="703">
        <v>2</v>
      </c>
      <c r="AA22" s="1146" t="s">
        <v>258</v>
      </c>
      <c r="AB22" s="704" t="s">
        <v>260</v>
      </c>
      <c r="AC22" s="1146" t="s">
        <v>258</v>
      </c>
      <c r="AD22" s="704" t="s">
        <v>260</v>
      </c>
      <c r="AE22" s="575"/>
      <c r="AF22" s="723">
        <v>0</v>
      </c>
      <c r="AG22" s="724">
        <v>1</v>
      </c>
      <c r="AH22" s="724">
        <v>2</v>
      </c>
      <c r="AI22" s="725">
        <v>3</v>
      </c>
      <c r="AJ22" s="648" t="s">
        <v>285</v>
      </c>
      <c r="AK22" s="575"/>
      <c r="AU22" s="644"/>
      <c r="AV22" s="644"/>
    </row>
    <row r="23" spans="2:58" ht="14.25" hidden="1" customHeight="1">
      <c r="J23" s="649">
        <v>65</v>
      </c>
      <c r="K23" s="691" t="s">
        <v>286</v>
      </c>
      <c r="L23" s="592" t="s">
        <v>286</v>
      </c>
      <c r="M23" s="592">
        <f>M25*0.71</f>
        <v>237.708</v>
      </c>
      <c r="N23" s="592">
        <f>N25*0.71</f>
        <v>263.26799999999997</v>
      </c>
      <c r="O23" s="592" t="s">
        <v>286</v>
      </c>
      <c r="P23" s="592"/>
      <c r="Q23" s="592">
        <f>Q25*0.71</f>
        <v>367.21199999999993</v>
      </c>
      <c r="R23" s="592">
        <f>R25*0.71</f>
        <v>394.476</v>
      </c>
      <c r="S23" s="692" t="s">
        <v>286</v>
      </c>
      <c r="T23" s="575"/>
      <c r="U23" s="649">
        <v>65</v>
      </c>
      <c r="V23" s="652" t="s">
        <v>286</v>
      </c>
      <c r="W23" s="653" t="s">
        <v>286</v>
      </c>
      <c r="X23" s="655">
        <v>1.7</v>
      </c>
      <c r="Y23" s="655">
        <v>1.65</v>
      </c>
      <c r="Z23" s="653" t="s">
        <v>286</v>
      </c>
      <c r="AA23" s="653"/>
      <c r="AB23" s="655">
        <v>1.6</v>
      </c>
      <c r="AC23" s="655">
        <v>1.55</v>
      </c>
      <c r="AD23" s="654" t="s">
        <v>286</v>
      </c>
      <c r="AE23" s="575"/>
      <c r="AF23" s="726">
        <v>1</v>
      </c>
      <c r="AG23" s="705">
        <v>5.12</v>
      </c>
      <c r="AH23" s="705">
        <v>5.66</v>
      </c>
      <c r="AI23" s="706">
        <v>6.53</v>
      </c>
      <c r="AJ23" s="649">
        <v>65</v>
      </c>
      <c r="AK23" s="575"/>
      <c r="AL23" s="644"/>
      <c r="AM23" s="644"/>
      <c r="AN23" s="644"/>
      <c r="AO23" s="644"/>
      <c r="AP23" s="644"/>
      <c r="AQ23" s="644"/>
      <c r="AR23" s="644"/>
      <c r="AS23" s="644"/>
      <c r="AT23" s="644"/>
      <c r="AU23" s="644"/>
      <c r="AV23" s="644"/>
    </row>
    <row r="24" spans="2:58" ht="14.25" hidden="1" customHeight="1">
      <c r="J24" s="650">
        <v>70</v>
      </c>
      <c r="K24" s="693" t="s">
        <v>286</v>
      </c>
      <c r="L24" s="593" t="s">
        <v>286</v>
      </c>
      <c r="M24" s="593">
        <f>M26*0.71</f>
        <v>292.17635999999999</v>
      </c>
      <c r="N24" s="593">
        <f>N26*0.71</f>
        <v>323.02727999999996</v>
      </c>
      <c r="O24" s="593" t="s">
        <v>286</v>
      </c>
      <c r="P24" s="593"/>
      <c r="Q24" s="593">
        <f>Q26*0.71</f>
        <v>432.68056460609114</v>
      </c>
      <c r="R24" s="593">
        <f>R26*0.71</f>
        <v>471.83759999999995</v>
      </c>
      <c r="S24" s="694" t="s">
        <v>286</v>
      </c>
      <c r="T24" s="575"/>
      <c r="U24" s="650">
        <v>70</v>
      </c>
      <c r="V24" s="656" t="s">
        <v>286</v>
      </c>
      <c r="W24" s="657" t="s">
        <v>286</v>
      </c>
      <c r="X24" s="659">
        <v>1.65</v>
      </c>
      <c r="Y24" s="659">
        <v>1.6</v>
      </c>
      <c r="Z24" s="657" t="s">
        <v>286</v>
      </c>
      <c r="AA24" s="657"/>
      <c r="AB24" s="659">
        <v>1.55</v>
      </c>
      <c r="AC24" s="659">
        <v>1.5</v>
      </c>
      <c r="AD24" s="658" t="s">
        <v>286</v>
      </c>
      <c r="AE24" s="575"/>
      <c r="AF24" s="727">
        <v>1</v>
      </c>
      <c r="AG24" s="707">
        <v>5.12</v>
      </c>
      <c r="AH24" s="707">
        <v>5.66</v>
      </c>
      <c r="AI24" s="708">
        <v>6.53</v>
      </c>
      <c r="AJ24" s="650">
        <v>70</v>
      </c>
      <c r="AK24" s="575"/>
      <c r="AL24" s="644"/>
      <c r="AM24" s="644"/>
      <c r="AN24" s="644"/>
      <c r="AO24" s="644"/>
      <c r="AP24" s="644"/>
      <c r="AQ24" s="644"/>
      <c r="AR24" s="644"/>
      <c r="AS24" s="644"/>
      <c r="AT24" s="644"/>
      <c r="AU24" s="644"/>
      <c r="AV24" s="644"/>
    </row>
    <row r="25" spans="2:58" ht="14.25" hidden="1" customHeight="1">
      <c r="J25" s="650">
        <v>75</v>
      </c>
      <c r="K25" s="594">
        <f>L25*0.9</f>
        <v>233.87400000000002</v>
      </c>
      <c r="L25" s="595">
        <f>L27*0.71</f>
        <v>259.86</v>
      </c>
      <c r="M25" s="595">
        <f>279*1.2</f>
        <v>334.8</v>
      </c>
      <c r="N25" s="595">
        <f>309*1.2</f>
        <v>370.8</v>
      </c>
      <c r="O25" s="595">
        <v>0</v>
      </c>
      <c r="P25" s="595"/>
      <c r="Q25" s="595">
        <f>431*1.2</f>
        <v>517.19999999999993</v>
      </c>
      <c r="R25" s="595">
        <f>463*1.2</f>
        <v>555.6</v>
      </c>
      <c r="S25" s="596">
        <v>0</v>
      </c>
      <c r="T25" s="575"/>
      <c r="U25" s="650">
        <v>75</v>
      </c>
      <c r="V25" s="660">
        <v>1.7</v>
      </c>
      <c r="W25" s="661">
        <v>1.65</v>
      </c>
      <c r="X25" s="661">
        <v>1.6</v>
      </c>
      <c r="Y25" s="661">
        <v>1.55</v>
      </c>
      <c r="Z25" s="661">
        <v>1.55</v>
      </c>
      <c r="AA25" s="661"/>
      <c r="AB25" s="661">
        <v>1.5</v>
      </c>
      <c r="AC25" s="661">
        <v>1.45</v>
      </c>
      <c r="AD25" s="662">
        <v>1.45</v>
      </c>
      <c r="AE25" s="575"/>
      <c r="AF25" s="728">
        <v>1</v>
      </c>
      <c r="AG25" s="709">
        <v>4.5999999999999996</v>
      </c>
      <c r="AH25" s="709">
        <v>5</v>
      </c>
      <c r="AI25" s="710">
        <v>6.53</v>
      </c>
      <c r="AJ25" s="650">
        <v>75</v>
      </c>
      <c r="AK25" s="575"/>
      <c r="AL25" s="644"/>
      <c r="AM25" s="644"/>
      <c r="AN25" s="644"/>
      <c r="AO25" s="644"/>
      <c r="AP25" s="644"/>
      <c r="AQ25" s="644"/>
      <c r="AR25" s="644"/>
      <c r="AS25" s="644"/>
      <c r="AT25" s="644"/>
      <c r="AU25" s="644"/>
      <c r="AV25" s="644"/>
    </row>
    <row r="26" spans="2:58" ht="14.25" hidden="1" customHeight="1">
      <c r="J26" s="650">
        <v>80</v>
      </c>
      <c r="K26" s="695" t="s">
        <v>286</v>
      </c>
      <c r="L26" s="696" t="s">
        <v>286</v>
      </c>
      <c r="M26" s="597">
        <f>M28*0.71</f>
        <v>411.51600000000002</v>
      </c>
      <c r="N26" s="597">
        <f>N28*0.71</f>
        <v>454.96799999999996</v>
      </c>
      <c r="O26" s="696" t="s">
        <v>286</v>
      </c>
      <c r="P26" s="696"/>
      <c r="Q26" s="597">
        <f>Q28*0.71</f>
        <v>609.40924592407202</v>
      </c>
      <c r="R26" s="597">
        <f>R28*0.71</f>
        <v>664.56</v>
      </c>
      <c r="S26" s="697" t="s">
        <v>286</v>
      </c>
      <c r="T26" s="575"/>
      <c r="U26" s="650">
        <v>80</v>
      </c>
      <c r="V26" s="663" t="s">
        <v>286</v>
      </c>
      <c r="W26" s="664" t="s">
        <v>286</v>
      </c>
      <c r="X26" s="666">
        <v>1.55</v>
      </c>
      <c r="Y26" s="666">
        <v>1.5</v>
      </c>
      <c r="Z26" s="664" t="s">
        <v>286</v>
      </c>
      <c r="AA26" s="664"/>
      <c r="AB26" s="666">
        <v>1.45</v>
      </c>
      <c r="AC26" s="666">
        <v>1.4</v>
      </c>
      <c r="AD26" s="665" t="s">
        <v>286</v>
      </c>
      <c r="AE26" s="575"/>
      <c r="AF26" s="729">
        <v>1</v>
      </c>
      <c r="AG26" s="711">
        <v>3.92</v>
      </c>
      <c r="AH26" s="711">
        <v>4.5</v>
      </c>
      <c r="AI26" s="712">
        <v>5.6</v>
      </c>
      <c r="AJ26" s="650">
        <v>80</v>
      </c>
      <c r="AK26" s="575"/>
      <c r="AL26" s="644"/>
      <c r="AM26" s="644"/>
      <c r="AN26" s="644"/>
      <c r="AO26" s="644"/>
      <c r="AP26" s="644"/>
      <c r="AQ26" s="644"/>
      <c r="AR26" s="644"/>
      <c r="AS26" s="644"/>
      <c r="AT26" s="644"/>
      <c r="AU26" s="644"/>
      <c r="AV26" s="644"/>
    </row>
    <row r="27" spans="2:58" ht="14.25" hidden="1" customHeight="1">
      <c r="J27" s="650">
        <v>90</v>
      </c>
      <c r="K27" s="598">
        <f>L27*0.89</f>
        <v>325.74</v>
      </c>
      <c r="L27" s="600">
        <f>305*1.2</f>
        <v>366</v>
      </c>
      <c r="M27" s="599">
        <f>404*1.2</f>
        <v>484.79999999999995</v>
      </c>
      <c r="N27" s="599">
        <f>469*1.2</f>
        <v>562.79999999999995</v>
      </c>
      <c r="O27" s="600">
        <v>0</v>
      </c>
      <c r="P27" s="600"/>
      <c r="Q27" s="599">
        <f>582*1.2</f>
        <v>698.4</v>
      </c>
      <c r="R27" s="599">
        <f>644*1.2</f>
        <v>772.8</v>
      </c>
      <c r="S27" s="698">
        <v>0</v>
      </c>
      <c r="T27" s="575"/>
      <c r="U27" s="650">
        <v>90</v>
      </c>
      <c r="V27" s="667">
        <v>1.6</v>
      </c>
      <c r="W27" s="668">
        <v>1.55</v>
      </c>
      <c r="X27" s="668">
        <v>1.5</v>
      </c>
      <c r="Y27" s="668">
        <v>1.45</v>
      </c>
      <c r="Z27" s="668">
        <v>1.45</v>
      </c>
      <c r="AA27" s="668"/>
      <c r="AB27" s="668">
        <v>1.4</v>
      </c>
      <c r="AC27" s="668">
        <v>1.3</v>
      </c>
      <c r="AD27" s="669">
        <v>1.3</v>
      </c>
      <c r="AE27" s="575"/>
      <c r="AF27" s="730">
        <v>1</v>
      </c>
      <c r="AG27" s="713">
        <v>3.51</v>
      </c>
      <c r="AH27" s="713">
        <v>3.96</v>
      </c>
      <c r="AI27" s="714">
        <v>4.93</v>
      </c>
      <c r="AJ27" s="650">
        <v>90</v>
      </c>
      <c r="AK27" s="575"/>
      <c r="AL27" s="644"/>
      <c r="AM27" s="644"/>
      <c r="AN27" s="644"/>
      <c r="AO27" s="644"/>
      <c r="AP27" s="644"/>
      <c r="AQ27" s="644"/>
      <c r="AR27" s="644"/>
      <c r="AS27" s="644"/>
      <c r="AT27" s="644"/>
      <c r="AU27" s="644"/>
      <c r="AV27" s="644"/>
    </row>
    <row r="28" spans="2:58" ht="14.25" hidden="1" customHeight="1">
      <c r="J28" s="650">
        <v>110</v>
      </c>
      <c r="K28" s="601">
        <f>L28*0.88</f>
        <v>403.91665015679996</v>
      </c>
      <c r="L28" s="602">
        <f>L27*1.25408796</f>
        <v>458.99619335999995</v>
      </c>
      <c r="M28" s="602">
        <f>483*1.2</f>
        <v>579.6</v>
      </c>
      <c r="N28" s="602">
        <f>534*1.2</f>
        <v>640.79999999999995</v>
      </c>
      <c r="O28" s="602">
        <v>0</v>
      </c>
      <c r="P28" s="602"/>
      <c r="Q28" s="602">
        <f>L28*1.87</f>
        <v>858.3228815832</v>
      </c>
      <c r="R28" s="602">
        <f>780*1.2</f>
        <v>936</v>
      </c>
      <c r="S28" s="603">
        <v>0</v>
      </c>
      <c r="T28" s="575"/>
      <c r="U28" s="650">
        <v>110</v>
      </c>
      <c r="V28" s="670">
        <v>1.5</v>
      </c>
      <c r="W28" s="671">
        <v>1.3</v>
      </c>
      <c r="X28" s="671">
        <v>1.3</v>
      </c>
      <c r="Y28" s="671">
        <v>1.3</v>
      </c>
      <c r="Z28" s="671">
        <v>1.3</v>
      </c>
      <c r="AA28" s="671"/>
      <c r="AB28" s="671">
        <v>1.3</v>
      </c>
      <c r="AC28" s="671">
        <v>1.3</v>
      </c>
      <c r="AD28" s="672">
        <v>1.3</v>
      </c>
      <c r="AE28" s="575"/>
      <c r="AF28" s="731">
        <v>1</v>
      </c>
      <c r="AG28" s="715">
        <v>3.41</v>
      </c>
      <c r="AH28" s="715">
        <v>3.96</v>
      </c>
      <c r="AI28" s="716">
        <v>4.93</v>
      </c>
      <c r="AJ28" s="650">
        <v>110</v>
      </c>
      <c r="AK28" s="575"/>
      <c r="AL28" s="644"/>
      <c r="AM28" s="644"/>
      <c r="AN28" s="644"/>
      <c r="AO28" s="644"/>
      <c r="AP28" s="644"/>
      <c r="AQ28" s="644"/>
      <c r="AR28" s="644"/>
      <c r="AS28" s="644"/>
      <c r="AT28" s="644"/>
      <c r="AU28" s="644"/>
      <c r="AV28" s="644"/>
    </row>
    <row r="29" spans="2:58" ht="14.25" hidden="1" customHeight="1">
      <c r="J29" s="650">
        <v>140</v>
      </c>
      <c r="K29" s="947">
        <f>K30*0.965</f>
        <v>422.66999999999996</v>
      </c>
      <c r="L29" s="947">
        <f t="shared" ref="L29:Q29" si="0">L30*0.965</f>
        <v>531.52199999999993</v>
      </c>
      <c r="M29" s="947">
        <f t="shared" si="0"/>
        <v>883.55399999999997</v>
      </c>
      <c r="N29" s="947">
        <f t="shared" si="0"/>
        <v>0</v>
      </c>
      <c r="O29" s="947">
        <f t="shared" si="0"/>
        <v>915.97799999999995</v>
      </c>
      <c r="P29" s="947">
        <f>P30*0.965</f>
        <v>1058.2961999999998</v>
      </c>
      <c r="Q29" s="947">
        <f t="shared" si="0"/>
        <v>1113.9959999999999</v>
      </c>
      <c r="R29" s="947">
        <f>R30*0.965</f>
        <v>1095.59538</v>
      </c>
      <c r="S29" s="947">
        <f>S30*0.965</f>
        <v>1197.3719999999998</v>
      </c>
      <c r="T29" s="575"/>
      <c r="U29" s="650">
        <v>140</v>
      </c>
      <c r="V29" s="948">
        <v>1.4</v>
      </c>
      <c r="W29" s="949">
        <v>1.35</v>
      </c>
      <c r="X29" s="949">
        <v>1.32</v>
      </c>
      <c r="Y29" s="949"/>
      <c r="Z29" s="949">
        <v>1.3</v>
      </c>
      <c r="AA29" s="949"/>
      <c r="AB29" s="949">
        <v>1.28</v>
      </c>
      <c r="AC29" s="949"/>
      <c r="AD29" s="950">
        <v>1.25</v>
      </c>
      <c r="AE29" s="575"/>
      <c r="AF29" s="951">
        <v>1</v>
      </c>
      <c r="AG29" s="952">
        <v>3.41</v>
      </c>
      <c r="AH29" s="952">
        <v>3.96</v>
      </c>
      <c r="AI29" s="953">
        <v>4.93</v>
      </c>
      <c r="AJ29" s="650">
        <v>140</v>
      </c>
      <c r="AK29" s="575"/>
      <c r="AL29" s="644"/>
      <c r="AM29" s="644"/>
      <c r="AN29" s="644"/>
      <c r="AO29" s="644"/>
      <c r="AP29" s="644"/>
      <c r="AQ29" s="644"/>
      <c r="AR29" s="644"/>
      <c r="AS29" s="644"/>
      <c r="AT29" s="644"/>
      <c r="AU29" s="644"/>
      <c r="AV29" s="644"/>
    </row>
    <row r="30" spans="2:58" ht="14.25" hidden="1" customHeight="1">
      <c r="J30" s="650">
        <v>150</v>
      </c>
      <c r="K30" s="604">
        <f>365*1.2</f>
        <v>438</v>
      </c>
      <c r="L30" s="606">
        <f>1.2*459</f>
        <v>550.79999999999995</v>
      </c>
      <c r="M30" s="605">
        <f>763*1.2</f>
        <v>915.6</v>
      </c>
      <c r="N30" s="607">
        <v>0</v>
      </c>
      <c r="O30" s="606">
        <f>791*1.2</f>
        <v>949.19999999999993</v>
      </c>
      <c r="P30" s="607">
        <f>Q30*0.95</f>
        <v>1096.6799999999998</v>
      </c>
      <c r="Q30" s="607">
        <f>962*1.2</f>
        <v>1154.3999999999999</v>
      </c>
      <c r="R30" s="607">
        <f>S30*0.915</f>
        <v>1135.3320000000001</v>
      </c>
      <c r="S30" s="607">
        <f>1034*1.2</f>
        <v>1240.8</v>
      </c>
      <c r="T30" s="575"/>
      <c r="U30" s="650">
        <v>150</v>
      </c>
      <c r="V30" s="673">
        <v>1.4</v>
      </c>
      <c r="W30" s="674">
        <v>1.35</v>
      </c>
      <c r="X30" s="674">
        <v>1.32</v>
      </c>
      <c r="Y30" s="674"/>
      <c r="Z30" s="674">
        <v>1.3</v>
      </c>
      <c r="AA30" s="674"/>
      <c r="AB30" s="674">
        <v>1.28</v>
      </c>
      <c r="AC30" s="674"/>
      <c r="AD30" s="675">
        <v>1.25</v>
      </c>
      <c r="AE30" s="575"/>
      <c r="AF30" s="732">
        <v>1</v>
      </c>
      <c r="AG30" s="717">
        <v>3.41</v>
      </c>
      <c r="AH30" s="717">
        <v>3.96</v>
      </c>
      <c r="AI30" s="718">
        <v>4.93</v>
      </c>
      <c r="AJ30" s="650">
        <v>150</v>
      </c>
      <c r="AK30" s="575"/>
      <c r="AL30" s="644"/>
      <c r="AM30" s="644"/>
      <c r="AN30" s="644">
        <v>325.74</v>
      </c>
      <c r="AO30" s="644">
        <v>366</v>
      </c>
      <c r="AP30" s="644">
        <v>484.79999999999995</v>
      </c>
      <c r="AQ30" s="644">
        <v>562.79999999999995</v>
      </c>
      <c r="AR30" s="644">
        <v>0</v>
      </c>
      <c r="AS30" s="644">
        <v>698.4</v>
      </c>
      <c r="AT30" s="644">
        <v>772.8</v>
      </c>
      <c r="AU30" s="644">
        <v>0</v>
      </c>
      <c r="AV30" s="644"/>
    </row>
    <row r="31" spans="2:58" ht="14.25" hidden="1" customHeight="1">
      <c r="J31" s="650">
        <v>200</v>
      </c>
      <c r="K31" s="609">
        <f>L31*0.88</f>
        <v>607.86145056383987</v>
      </c>
      <c r="L31" s="610">
        <f>L30*1.25408796</f>
        <v>690.75164836799991</v>
      </c>
      <c r="M31" s="610">
        <f>L31*1.26352614</f>
        <v>872.78276396105616</v>
      </c>
      <c r="N31" s="610">
        <f>M31*1.07113641</f>
        <v>934.86939649912313</v>
      </c>
      <c r="O31" s="610">
        <f>O30*1.24695214</f>
        <v>1183.6069712880001</v>
      </c>
      <c r="P31" s="610"/>
      <c r="Q31" s="610">
        <f>L31*1.87</f>
        <v>1291.7055824481599</v>
      </c>
      <c r="R31" s="610"/>
      <c r="S31" s="610">
        <f>L31*1.95542361</f>
        <v>1350.7120818652049</v>
      </c>
      <c r="T31" s="575"/>
      <c r="U31" s="650">
        <v>200</v>
      </c>
      <c r="V31" s="676"/>
      <c r="W31" s="677"/>
      <c r="X31" s="677"/>
      <c r="Y31" s="677"/>
      <c r="Z31" s="677"/>
      <c r="AA31" s="677"/>
      <c r="AB31" s="677"/>
      <c r="AC31" s="677"/>
      <c r="AD31" s="678"/>
      <c r="AE31" s="575"/>
      <c r="AF31" s="732">
        <v>1</v>
      </c>
      <c r="AG31" s="717">
        <v>2.73</v>
      </c>
      <c r="AH31" s="717">
        <v>3.11</v>
      </c>
      <c r="AI31" s="718">
        <v>3.89</v>
      </c>
      <c r="AJ31" s="650">
        <v>150.16</v>
      </c>
      <c r="AK31" s="575"/>
      <c r="AL31" s="644"/>
      <c r="AM31" s="644"/>
      <c r="AN31" s="644">
        <v>403.91665015679996</v>
      </c>
      <c r="AO31" s="644">
        <v>458.99619335999995</v>
      </c>
      <c r="AP31" s="644">
        <v>579.6</v>
      </c>
      <c r="AQ31" s="644">
        <v>640.79999999999995</v>
      </c>
      <c r="AR31" s="644">
        <v>0</v>
      </c>
      <c r="AS31" s="644">
        <v>858.3228815832</v>
      </c>
      <c r="AT31" s="644">
        <v>936</v>
      </c>
      <c r="AU31" s="644">
        <v>0</v>
      </c>
      <c r="AV31" s="644"/>
    </row>
    <row r="32" spans="2:58" ht="14.25" hidden="1" customHeight="1">
      <c r="J32" s="650">
        <v>300</v>
      </c>
      <c r="K32" s="612">
        <f>L32*0.88</f>
        <v>762.31172650024678</v>
      </c>
      <c r="L32" s="613">
        <f>L31*1.25408796</f>
        <v>866.26332556846228</v>
      </c>
      <c r="M32" s="613">
        <f>L32*1.26352614</f>
        <v>1094.5463559790824</v>
      </c>
      <c r="N32" s="613">
        <f>M32*1.07113641</f>
        <v>1172.4084543220163</v>
      </c>
      <c r="O32" s="613">
        <f>O31*1.24695214</f>
        <v>1475.9012457664903</v>
      </c>
      <c r="P32" s="613"/>
      <c r="Q32" s="613">
        <f>L32*1.87</f>
        <v>1619.9124188130245</v>
      </c>
      <c r="R32" s="613"/>
      <c r="S32" s="613">
        <f>L32*1.95542361</f>
        <v>1693.9117592936877</v>
      </c>
      <c r="T32" s="575"/>
      <c r="U32" s="650">
        <v>300</v>
      </c>
      <c r="V32" s="679"/>
      <c r="W32" s="680"/>
      <c r="X32" s="680"/>
      <c r="Y32" s="680"/>
      <c r="Z32" s="680"/>
      <c r="AA32" s="680"/>
      <c r="AB32" s="680"/>
      <c r="AC32" s="680"/>
      <c r="AD32" s="681"/>
      <c r="AE32" s="575"/>
      <c r="AF32" s="732">
        <v>1</v>
      </c>
      <c r="AG32" s="719">
        <v>2.73</v>
      </c>
      <c r="AH32" s="719">
        <v>2.83</v>
      </c>
      <c r="AI32" s="720">
        <v>3.66</v>
      </c>
      <c r="AJ32" s="651" t="s">
        <v>287</v>
      </c>
      <c r="AK32" s="575"/>
      <c r="AL32" s="644" t="s">
        <v>288</v>
      </c>
      <c r="AM32" s="644"/>
      <c r="AN32" s="644">
        <v>438</v>
      </c>
      <c r="AO32" s="644">
        <v>550.79999999999995</v>
      </c>
      <c r="AP32" s="644">
        <v>915.6</v>
      </c>
      <c r="AQ32" s="644">
        <v>0</v>
      </c>
      <c r="AR32" s="644">
        <v>949.19999999999993</v>
      </c>
      <c r="AS32" s="644">
        <v>1154.3999999999999</v>
      </c>
      <c r="AT32" s="644">
        <v>1240.8</v>
      </c>
      <c r="AU32" s="644">
        <v>0</v>
      </c>
      <c r="AV32" s="644"/>
    </row>
    <row r="33" spans="10:48" ht="14.25" hidden="1" customHeight="1" thickBot="1">
      <c r="J33" s="650">
        <v>400</v>
      </c>
      <c r="K33" s="615">
        <f>L33*0.88</f>
        <v>956.00595797077233</v>
      </c>
      <c r="L33" s="616">
        <f>L32*1.25408796</f>
        <v>1086.3704067849685</v>
      </c>
      <c r="M33" s="616">
        <f>L33*1.26352614</f>
        <v>1372.657406695241</v>
      </c>
      <c r="N33" s="616">
        <f>M33*1.07113641</f>
        <v>1470.3033267674505</v>
      </c>
      <c r="O33" s="616">
        <f>O32*1.24695214</f>
        <v>1840.3782168371911</v>
      </c>
      <c r="P33" s="616"/>
      <c r="Q33" s="616">
        <f>L33*1.87</f>
        <v>2031.5126606878912</v>
      </c>
      <c r="R33" s="616"/>
      <c r="S33" s="616">
        <f>L33*1.95542361</f>
        <v>2124.3143426326315</v>
      </c>
      <c r="T33" s="575"/>
      <c r="U33" s="650">
        <v>400</v>
      </c>
      <c r="V33" s="682"/>
      <c r="W33" s="683"/>
      <c r="X33" s="683"/>
      <c r="Y33" s="683"/>
      <c r="Z33" s="683"/>
      <c r="AA33" s="683"/>
      <c r="AB33" s="683"/>
      <c r="AC33" s="683"/>
      <c r="AD33" s="684"/>
      <c r="AE33" s="575"/>
      <c r="AF33" s="732">
        <v>1</v>
      </c>
      <c r="AG33" s="721">
        <v>3.41</v>
      </c>
      <c r="AH33" s="721">
        <v>3.86</v>
      </c>
      <c r="AI33" s="722">
        <v>4.63</v>
      </c>
      <c r="AJ33" s="618" t="s">
        <v>289</v>
      </c>
      <c r="AK33" s="575"/>
      <c r="AL33" s="644"/>
      <c r="AM33" s="644"/>
      <c r="AN33" s="644">
        <v>607.86145056383987</v>
      </c>
      <c r="AO33" s="644">
        <v>690.75164836799991</v>
      </c>
      <c r="AP33" s="644">
        <v>872.78276396105616</v>
      </c>
      <c r="AQ33" s="644">
        <v>934.86939649912313</v>
      </c>
      <c r="AR33" s="644">
        <v>1183.6069712880001</v>
      </c>
      <c r="AS33" s="644">
        <v>1291.7055824481599</v>
      </c>
      <c r="AT33" s="644">
        <v>1350.7120818652049</v>
      </c>
      <c r="AU33" s="644">
        <v>0</v>
      </c>
      <c r="AV33" s="644"/>
    </row>
    <row r="34" spans="10:48" ht="14.25" hidden="1" customHeight="1">
      <c r="J34" s="650">
        <v>500</v>
      </c>
      <c r="K34" s="619">
        <f>L34*0.88</f>
        <v>1198.9155615794114</v>
      </c>
      <c r="L34" s="620">
        <f>L33*1.25408796</f>
        <v>1362.4040472493311</v>
      </c>
      <c r="M34" s="620">
        <f>L34*1.26352614</f>
        <v>1721.4331269413249</v>
      </c>
      <c r="N34" s="620">
        <f>M34*1.07113641</f>
        <v>1843.889699647005</v>
      </c>
      <c r="O34" s="620">
        <f>O33*1.24695214</f>
        <v>2294.8635558945198</v>
      </c>
      <c r="P34" s="620"/>
      <c r="Q34" s="620">
        <f>L34*1.87</f>
        <v>2547.6955683562492</v>
      </c>
      <c r="R34" s="620"/>
      <c r="S34" s="620">
        <f>L34*1.95542361</f>
        <v>2664.0770403508977</v>
      </c>
      <c r="T34" s="575"/>
      <c r="U34" s="650">
        <v>500</v>
      </c>
      <c r="V34" s="685"/>
      <c r="W34" s="686"/>
      <c r="X34" s="686"/>
      <c r="Y34" s="686"/>
      <c r="Z34" s="686"/>
      <c r="AA34" s="686"/>
      <c r="AB34" s="686"/>
      <c r="AC34" s="686"/>
      <c r="AD34" s="687"/>
      <c r="AE34" s="575"/>
      <c r="AF34" s="630"/>
      <c r="AG34" s="630"/>
      <c r="AH34" s="630"/>
      <c r="AI34" s="630"/>
      <c r="AJ34" s="630"/>
      <c r="AK34" s="575"/>
      <c r="AL34" s="644"/>
      <c r="AM34" s="644"/>
      <c r="AN34" s="644">
        <v>663.99145056383998</v>
      </c>
      <c r="AO34" s="644">
        <v>783.151648368</v>
      </c>
      <c r="AP34" s="644">
        <v>1088.1827639610599</v>
      </c>
      <c r="AQ34" s="644">
        <v>653.46939649912304</v>
      </c>
      <c r="AR34" s="644">
        <v>1658.206971288</v>
      </c>
      <c r="AS34" s="644">
        <v>1519.7055824481599</v>
      </c>
      <c r="AT34" s="644">
        <v>1584.7120818652099</v>
      </c>
      <c r="AU34" s="644">
        <v>0</v>
      </c>
      <c r="AV34" s="644"/>
    </row>
    <row r="35" spans="10:48" ht="14.25" hidden="1" customHeight="1">
      <c r="J35" s="928">
        <v>600</v>
      </c>
      <c r="K35" s="926">
        <f>L35*0.88</f>
        <v>1503.5455708333784</v>
      </c>
      <c r="L35" s="927">
        <f>L34*1.25408796</f>
        <v>1708.5745123106572</v>
      </c>
      <c r="M35" s="927">
        <f>L35*1.26352614</f>
        <v>2158.828558442267</v>
      </c>
      <c r="N35" s="927">
        <f>M35*1.07113641</f>
        <v>2312.3998718953253</v>
      </c>
      <c r="O35" s="927">
        <f>O34*1.24695214</f>
        <v>2861.5850220306811</v>
      </c>
      <c r="P35" s="927"/>
      <c r="Q35" s="927">
        <f>L35*1.87</f>
        <v>3195.0343380209292</v>
      </c>
      <c r="R35" s="927"/>
      <c r="S35" s="927">
        <f>L35*1.95542361</f>
        <v>3340.9869408164946</v>
      </c>
      <c r="T35" s="575"/>
      <c r="U35" s="928">
        <v>600</v>
      </c>
      <c r="V35" s="929"/>
      <c r="W35" s="930"/>
      <c r="X35" s="930"/>
      <c r="Y35" s="930"/>
      <c r="Z35" s="930"/>
      <c r="AA35" s="930"/>
      <c r="AB35" s="930"/>
      <c r="AC35" s="930"/>
      <c r="AD35" s="931"/>
      <c r="AE35" s="575"/>
      <c r="AF35" s="630"/>
      <c r="AG35" s="630"/>
      <c r="AH35" s="630"/>
      <c r="AI35" s="630"/>
      <c r="AJ35" s="630"/>
      <c r="AK35" s="575"/>
      <c r="AL35" s="644"/>
      <c r="AM35" s="644"/>
      <c r="AN35" s="644">
        <v>752.03622071731195</v>
      </c>
      <c r="AO35" s="644">
        <v>889.75752354240001</v>
      </c>
      <c r="AP35" s="644">
        <v>1238.1775931493701</v>
      </c>
      <c r="AQ35" s="644">
        <v>701.01021544885998</v>
      </c>
      <c r="AR35" s="644">
        <v>2108.2090626743998</v>
      </c>
      <c r="AS35" s="644">
        <v>1727.3049690242899</v>
      </c>
      <c r="AT35" s="644">
        <v>1788.56570642477</v>
      </c>
      <c r="AU35" s="644">
        <v>0</v>
      </c>
      <c r="AV35" s="644"/>
    </row>
    <row r="36" spans="10:48" ht="34.5" hidden="1" customHeight="1" thickBot="1">
      <c r="J36" s="2791" t="s">
        <v>375</v>
      </c>
      <c r="K36" s="2792"/>
      <c r="L36" s="2792"/>
      <c r="M36" s="2792"/>
      <c r="N36" s="2792"/>
      <c r="O36" s="2792"/>
      <c r="P36" s="2792"/>
      <c r="Q36" s="2792"/>
      <c r="R36" s="2792"/>
      <c r="S36" s="2792"/>
      <c r="T36" s="2792"/>
      <c r="U36" s="2792"/>
      <c r="V36" s="2792"/>
      <c r="W36" s="2792"/>
      <c r="X36" s="2792"/>
      <c r="Y36" s="2792"/>
      <c r="Z36" s="2792"/>
      <c r="AA36" s="2792"/>
      <c r="AB36" s="2792"/>
      <c r="AC36" s="2792"/>
      <c r="AD36" s="2792"/>
      <c r="AE36" s="630"/>
      <c r="AF36" s="630"/>
      <c r="AG36" s="630"/>
      <c r="AH36" s="630"/>
      <c r="AI36" s="575"/>
      <c r="AJ36" s="644"/>
      <c r="AK36" s="644"/>
      <c r="AL36" s="644"/>
      <c r="AM36" s="644"/>
      <c r="AN36" s="644"/>
      <c r="AO36" s="644"/>
      <c r="AP36" s="644"/>
      <c r="AQ36" s="644"/>
      <c r="AR36" s="644"/>
      <c r="AS36" s="644"/>
      <c r="AT36" s="644"/>
    </row>
    <row r="37" spans="10:48" ht="14.25" hidden="1" customHeight="1" thickBot="1">
      <c r="J37" s="2705" t="s">
        <v>188</v>
      </c>
      <c r="K37" s="2706"/>
      <c r="L37" s="2706"/>
      <c r="M37" s="2706"/>
      <c r="N37" s="2706"/>
      <c r="O37" s="2706"/>
      <c r="P37" s="2706"/>
      <c r="Q37" s="2706"/>
      <c r="R37" s="2706"/>
      <c r="S37" s="2707"/>
      <c r="U37" s="2705" t="s">
        <v>189</v>
      </c>
      <c r="V37" s="2706"/>
      <c r="W37" s="2706"/>
      <c r="X37" s="2706"/>
      <c r="Y37" s="2706"/>
      <c r="Z37" s="2706"/>
      <c r="AA37" s="2706"/>
      <c r="AB37" s="2706"/>
      <c r="AC37" s="2706"/>
      <c r="AD37" s="2707"/>
      <c r="AE37" s="646"/>
      <c r="AF37" s="646"/>
      <c r="AG37" s="646"/>
      <c r="AH37" s="646"/>
      <c r="AI37" s="575"/>
      <c r="AJ37" s="644"/>
      <c r="AK37" s="644"/>
      <c r="AL37" s="644"/>
      <c r="AM37" s="644"/>
      <c r="AN37" s="644"/>
      <c r="AO37" s="644"/>
      <c r="AP37" s="644"/>
      <c r="AQ37" s="644"/>
      <c r="AR37" s="644"/>
      <c r="AS37" s="644"/>
      <c r="AT37" s="644"/>
    </row>
    <row r="38" spans="10:48" ht="14.25" hidden="1" customHeight="1" thickBot="1">
      <c r="J38" s="702" t="s">
        <v>1</v>
      </c>
      <c r="K38" s="2700">
        <v>160</v>
      </c>
      <c r="L38" s="2702">
        <v>200</v>
      </c>
      <c r="M38" s="2702">
        <v>260</v>
      </c>
      <c r="N38" s="2702">
        <v>300</v>
      </c>
      <c r="O38" s="2702"/>
      <c r="P38" s="2793">
        <v>360</v>
      </c>
      <c r="Q38" s="2794"/>
      <c r="R38" s="2702">
        <v>400</v>
      </c>
      <c r="S38" s="2704"/>
      <c r="T38" s="575"/>
      <c r="U38" s="702" t="s">
        <v>1</v>
      </c>
      <c r="V38" s="2700">
        <v>160</v>
      </c>
      <c r="W38" s="2702">
        <v>200</v>
      </c>
      <c r="X38" s="2702">
        <v>260</v>
      </c>
      <c r="Y38" s="2702">
        <v>300</v>
      </c>
      <c r="Z38" s="2702"/>
      <c r="AA38" s="2793">
        <v>360</v>
      </c>
      <c r="AB38" s="2794"/>
      <c r="AC38" s="2702">
        <v>400</v>
      </c>
      <c r="AD38" s="2704"/>
      <c r="AE38" s="575"/>
      <c r="AF38" s="2690" t="s">
        <v>284</v>
      </c>
      <c r="AG38" s="2691"/>
      <c r="AH38" s="2691"/>
      <c r="AI38" s="2692"/>
      <c r="AJ38" s="645" t="s">
        <v>0</v>
      </c>
      <c r="AK38" s="575"/>
      <c r="AL38" s="644"/>
      <c r="AM38" s="644"/>
      <c r="AN38" s="644"/>
      <c r="AO38" s="644"/>
      <c r="AP38" s="644"/>
      <c r="AQ38" s="644"/>
      <c r="AR38" s="644"/>
      <c r="AS38" s="644"/>
      <c r="AT38" s="644"/>
      <c r="AU38" s="644"/>
      <c r="AV38" s="644"/>
    </row>
    <row r="39" spans="10:48" ht="14.25" hidden="1" customHeight="1" thickBot="1">
      <c r="J39" s="699" t="s">
        <v>0</v>
      </c>
      <c r="K39" s="2711"/>
      <c r="L39" s="2703"/>
      <c r="M39" s="2703"/>
      <c r="N39" s="703">
        <v>2</v>
      </c>
      <c r="O39" s="703">
        <v>4</v>
      </c>
      <c r="P39" s="1146" t="s">
        <v>258</v>
      </c>
      <c r="Q39" s="704" t="s">
        <v>260</v>
      </c>
      <c r="R39" s="1146" t="s">
        <v>258</v>
      </c>
      <c r="S39" s="704" t="s">
        <v>260</v>
      </c>
      <c r="T39" s="575"/>
      <c r="U39" s="699" t="s">
        <v>0</v>
      </c>
      <c r="V39" s="2711"/>
      <c r="W39" s="2703"/>
      <c r="X39" s="2703"/>
      <c r="Y39" s="703">
        <v>1</v>
      </c>
      <c r="Z39" s="703">
        <v>2</v>
      </c>
      <c r="AA39" s="1146" t="s">
        <v>258</v>
      </c>
      <c r="AB39" s="704" t="s">
        <v>260</v>
      </c>
      <c r="AC39" s="1146" t="s">
        <v>258</v>
      </c>
      <c r="AD39" s="704" t="s">
        <v>260</v>
      </c>
      <c r="AE39" s="575"/>
      <c r="AF39" s="723">
        <v>0</v>
      </c>
      <c r="AG39" s="724">
        <v>1</v>
      </c>
      <c r="AH39" s="724">
        <v>2</v>
      </c>
      <c r="AI39" s="725">
        <v>3</v>
      </c>
      <c r="AJ39" s="647" t="s">
        <v>285</v>
      </c>
      <c r="AK39" s="575"/>
      <c r="AL39" s="644"/>
      <c r="AM39" s="644"/>
      <c r="AN39" s="644"/>
      <c r="AO39" s="644"/>
      <c r="AP39" s="644">
        <f>(237.708)*1.3</f>
        <v>309.0204</v>
      </c>
      <c r="AQ39" s="644">
        <f>(263.268)*1.3</f>
        <v>342.2484</v>
      </c>
      <c r="AR39" s="644">
        <f>(263.268)*1.3</f>
        <v>342.2484</v>
      </c>
      <c r="AS39" s="644">
        <f>(367.212)*1.3</f>
        <v>477.37560000000002</v>
      </c>
      <c r="AT39" s="644">
        <f>(394.476)*1.3</f>
        <v>512.81880000000001</v>
      </c>
      <c r="AU39" s="644">
        <f>(394.476)*1.3</f>
        <v>512.81880000000001</v>
      </c>
      <c r="AV39" s="644"/>
    </row>
    <row r="40" spans="10:48" ht="14.25" hidden="1" customHeight="1">
      <c r="J40" s="649">
        <v>65</v>
      </c>
      <c r="K40" s="691"/>
      <c r="L40" s="592"/>
      <c r="M40" s="592">
        <v>309.0204</v>
      </c>
      <c r="N40" s="592">
        <v>342.2484</v>
      </c>
      <c r="O40" s="592">
        <v>342.2484</v>
      </c>
      <c r="P40" s="592"/>
      <c r="Q40" s="592">
        <v>477.37560000000002</v>
      </c>
      <c r="R40" s="592">
        <v>512.81880000000001</v>
      </c>
      <c r="S40" s="692">
        <v>512.81880000000001</v>
      </c>
      <c r="T40" s="575"/>
      <c r="U40" s="649">
        <v>65</v>
      </c>
      <c r="V40" s="652" t="s">
        <v>286</v>
      </c>
      <c r="W40" s="653" t="s">
        <v>286</v>
      </c>
      <c r="X40" s="655">
        <v>1.7</v>
      </c>
      <c r="Y40" s="655">
        <v>1.65</v>
      </c>
      <c r="Z40" s="653" t="s">
        <v>286</v>
      </c>
      <c r="AA40" s="653"/>
      <c r="AB40" s="655">
        <v>1.6</v>
      </c>
      <c r="AC40" s="655">
        <v>1.55</v>
      </c>
      <c r="AD40" s="654" t="s">
        <v>286</v>
      </c>
      <c r="AE40" s="575"/>
      <c r="AF40" s="726">
        <v>1</v>
      </c>
      <c r="AG40" s="705">
        <v>5.12</v>
      </c>
      <c r="AH40" s="705">
        <v>5.66</v>
      </c>
      <c r="AI40" s="706">
        <v>6.53</v>
      </c>
      <c r="AJ40" s="649">
        <v>65</v>
      </c>
      <c r="AK40" s="575"/>
      <c r="AL40" s="644"/>
      <c r="AM40" s="644"/>
      <c r="AN40" s="644">
        <f>(394.476)*1.3</f>
        <v>512.81880000000001</v>
      </c>
      <c r="AO40" s="644">
        <f>(394.476)*1.3</f>
        <v>512.81880000000001</v>
      </c>
      <c r="AP40" s="644">
        <f>(292.17636)*1.3</f>
        <v>379.82926800000001</v>
      </c>
      <c r="AQ40" s="644">
        <f>(323.02728)*1.3</f>
        <v>419.93546400000002</v>
      </c>
      <c r="AR40" s="644">
        <f>(323.02728)*1.3</f>
        <v>419.93546400000002</v>
      </c>
      <c r="AS40" s="644">
        <f>(432.680564606091)*1.3</f>
        <v>562.48473398791839</v>
      </c>
      <c r="AT40" s="644">
        <f>(471.8376)*1.3</f>
        <v>613.38888000000009</v>
      </c>
      <c r="AU40" s="644">
        <f>(471.8376)*1.3</f>
        <v>613.38888000000009</v>
      </c>
      <c r="AV40" s="644"/>
    </row>
    <row r="41" spans="10:48" ht="14.25" hidden="1" customHeight="1">
      <c r="J41" s="650">
        <v>70</v>
      </c>
      <c r="K41" s="693">
        <v>512.81880000000001</v>
      </c>
      <c r="L41" s="593">
        <v>512.81880000000001</v>
      </c>
      <c r="M41" s="593">
        <v>379.82926800000001</v>
      </c>
      <c r="N41" s="593">
        <v>419.93546400000002</v>
      </c>
      <c r="O41" s="593">
        <v>419.93546400000002</v>
      </c>
      <c r="P41" s="593"/>
      <c r="Q41" s="593">
        <v>562.48473398791839</v>
      </c>
      <c r="R41" s="593">
        <v>613.38888000000009</v>
      </c>
      <c r="S41" s="694">
        <v>613.38888000000009</v>
      </c>
      <c r="T41" s="575"/>
      <c r="U41" s="650">
        <v>70</v>
      </c>
      <c r="V41" s="656" t="s">
        <v>286</v>
      </c>
      <c r="W41" s="657" t="s">
        <v>286</v>
      </c>
      <c r="X41" s="659">
        <v>1.65</v>
      </c>
      <c r="Y41" s="659">
        <v>1.6</v>
      </c>
      <c r="Z41" s="657" t="s">
        <v>286</v>
      </c>
      <c r="AA41" s="657"/>
      <c r="AB41" s="659">
        <v>1.55</v>
      </c>
      <c r="AC41" s="659">
        <v>1.5</v>
      </c>
      <c r="AD41" s="658" t="s">
        <v>286</v>
      </c>
      <c r="AE41" s="575"/>
      <c r="AF41" s="727">
        <v>1</v>
      </c>
      <c r="AG41" s="707">
        <v>5.12</v>
      </c>
      <c r="AH41" s="707">
        <v>5.66</v>
      </c>
      <c r="AI41" s="708">
        <v>6.53</v>
      </c>
      <c r="AJ41" s="650">
        <v>70</v>
      </c>
      <c r="AK41" s="575"/>
      <c r="AL41" s="644"/>
      <c r="AM41" s="644"/>
      <c r="AN41" s="644">
        <f>(233.874)*1.3</f>
        <v>304.03620000000001</v>
      </c>
      <c r="AO41" s="644">
        <f>(259.86)*1.3</f>
        <v>337.81800000000004</v>
      </c>
      <c r="AP41" s="644">
        <f>(334.8)*1.3</f>
        <v>435.24</v>
      </c>
      <c r="AQ41" s="644">
        <f>(370.8)*1.3</f>
        <v>482.04</v>
      </c>
      <c r="AR41" s="644">
        <f>0*1.3</f>
        <v>0</v>
      </c>
      <c r="AS41" s="644">
        <f>(517.2)*1.3</f>
        <v>672.36000000000013</v>
      </c>
      <c r="AT41" s="644">
        <f>(555.6)*1.3</f>
        <v>722.28000000000009</v>
      </c>
      <c r="AU41" s="644">
        <f>0*1.3</f>
        <v>0</v>
      </c>
      <c r="AV41" s="644"/>
    </row>
    <row r="42" spans="10:48" ht="14.25" hidden="1" customHeight="1">
      <c r="J42" s="650">
        <v>75</v>
      </c>
      <c r="K42" s="594">
        <v>304.03620000000001</v>
      </c>
      <c r="L42" s="595">
        <v>337.81800000000004</v>
      </c>
      <c r="M42" s="595">
        <v>435.24</v>
      </c>
      <c r="N42" s="595">
        <v>482.04</v>
      </c>
      <c r="O42" s="595">
        <v>0</v>
      </c>
      <c r="P42" s="595"/>
      <c r="Q42" s="595">
        <v>672.36000000000013</v>
      </c>
      <c r="R42" s="595">
        <v>722.28000000000009</v>
      </c>
      <c r="S42" s="596">
        <v>0</v>
      </c>
      <c r="T42" s="575"/>
      <c r="U42" s="650">
        <v>75</v>
      </c>
      <c r="V42" s="660">
        <v>1.7</v>
      </c>
      <c r="W42" s="661">
        <v>1.65</v>
      </c>
      <c r="X42" s="661">
        <v>1.6</v>
      </c>
      <c r="Y42" s="661">
        <v>1.55</v>
      </c>
      <c r="Z42" s="661">
        <v>1.55</v>
      </c>
      <c r="AA42" s="661"/>
      <c r="AB42" s="661">
        <v>1.5</v>
      </c>
      <c r="AC42" s="661">
        <v>1.45</v>
      </c>
      <c r="AD42" s="662">
        <v>1.45</v>
      </c>
      <c r="AE42" s="575"/>
      <c r="AF42" s="728">
        <v>1</v>
      </c>
      <c r="AG42" s="709">
        <v>4.5999999999999996</v>
      </c>
      <c r="AH42" s="709">
        <v>5</v>
      </c>
      <c r="AI42" s="710">
        <v>6.53</v>
      </c>
      <c r="AJ42" s="650">
        <v>75</v>
      </c>
      <c r="AK42" s="575"/>
      <c r="AL42" s="644"/>
      <c r="AM42" s="644"/>
      <c r="AN42" s="644">
        <f>0*1.3</f>
        <v>0</v>
      </c>
      <c r="AO42" s="644">
        <f>0*1.3</f>
        <v>0</v>
      </c>
      <c r="AP42" s="644">
        <f>(411.516)*1.3</f>
        <v>534.97080000000005</v>
      </c>
      <c r="AQ42" s="644">
        <f>(454.968)*1.3</f>
        <v>591.4584000000001</v>
      </c>
      <c r="AR42" s="644">
        <f>(454.968)*1.3</f>
        <v>591.4584000000001</v>
      </c>
      <c r="AS42" s="644">
        <f>(609.409245924072)*1.3</f>
        <v>792.23201970129367</v>
      </c>
      <c r="AT42" s="644">
        <f>(664.56)*1.3</f>
        <v>863.928</v>
      </c>
      <c r="AU42" s="644">
        <f>(664.56)*1.3</f>
        <v>863.928</v>
      </c>
      <c r="AV42" s="644"/>
    </row>
    <row r="43" spans="10:48" ht="14.25" hidden="1" customHeight="1">
      <c r="J43" s="650">
        <v>80</v>
      </c>
      <c r="K43" s="695">
        <v>0</v>
      </c>
      <c r="L43" s="696">
        <v>0</v>
      </c>
      <c r="M43" s="597">
        <v>534.97080000000005</v>
      </c>
      <c r="N43" s="597">
        <v>591.4584000000001</v>
      </c>
      <c r="O43" s="696">
        <v>591.4584000000001</v>
      </c>
      <c r="P43" s="696"/>
      <c r="Q43" s="597">
        <v>792.23201970129367</v>
      </c>
      <c r="R43" s="597">
        <v>863.928</v>
      </c>
      <c r="S43" s="697">
        <v>863.928</v>
      </c>
      <c r="T43" s="575"/>
      <c r="U43" s="650">
        <v>80</v>
      </c>
      <c r="V43" s="663" t="s">
        <v>286</v>
      </c>
      <c r="W43" s="664" t="s">
        <v>286</v>
      </c>
      <c r="X43" s="666">
        <v>1.55</v>
      </c>
      <c r="Y43" s="666">
        <v>1.5</v>
      </c>
      <c r="Z43" s="664" t="s">
        <v>286</v>
      </c>
      <c r="AA43" s="664"/>
      <c r="AB43" s="666">
        <v>1.45</v>
      </c>
      <c r="AC43" s="666">
        <v>1.4</v>
      </c>
      <c r="AD43" s="665" t="s">
        <v>286</v>
      </c>
      <c r="AE43" s="575"/>
      <c r="AF43" s="729">
        <v>1</v>
      </c>
      <c r="AG43" s="711">
        <v>3.92</v>
      </c>
      <c r="AH43" s="711">
        <v>4.5</v>
      </c>
      <c r="AI43" s="712">
        <v>5.6</v>
      </c>
      <c r="AJ43" s="650">
        <v>80</v>
      </c>
      <c r="AK43" s="575"/>
      <c r="AL43" s="644"/>
      <c r="AM43" s="644"/>
      <c r="AN43" s="644">
        <f>(325.74)*1.3</f>
        <v>423.46200000000005</v>
      </c>
      <c r="AO43" s="644">
        <f>(366)*1.3</f>
        <v>475.8</v>
      </c>
      <c r="AP43" s="644">
        <f>(484.8)*1.3</f>
        <v>630.24</v>
      </c>
      <c r="AQ43" s="644">
        <f>(562.8)*1.3</f>
        <v>731.64</v>
      </c>
      <c r="AR43" s="644">
        <f>0*1.3</f>
        <v>0</v>
      </c>
      <c r="AS43" s="644">
        <f>(698.4)*1.3</f>
        <v>907.92</v>
      </c>
      <c r="AT43" s="644">
        <f>(772.8)*1.3</f>
        <v>1004.64</v>
      </c>
      <c r="AU43" s="644">
        <f t="shared" ref="AU43:AU51" si="1">0*1.3</f>
        <v>0</v>
      </c>
      <c r="AV43" s="644"/>
    </row>
    <row r="44" spans="10:48" ht="14.25" hidden="1" customHeight="1">
      <c r="J44" s="650">
        <v>90</v>
      </c>
      <c r="K44" s="598">
        <v>423.46200000000005</v>
      </c>
      <c r="L44" s="600">
        <v>475.8</v>
      </c>
      <c r="M44" s="599">
        <v>630.24</v>
      </c>
      <c r="N44" s="599">
        <v>731.64</v>
      </c>
      <c r="O44" s="600">
        <v>0</v>
      </c>
      <c r="P44" s="600"/>
      <c r="Q44" s="599">
        <v>907.92</v>
      </c>
      <c r="R44" s="599">
        <v>1004.64</v>
      </c>
      <c r="S44" s="698">
        <v>0</v>
      </c>
      <c r="T44" s="575"/>
      <c r="U44" s="650">
        <v>90</v>
      </c>
      <c r="V44" s="667">
        <v>1.6</v>
      </c>
      <c r="W44" s="668">
        <v>1.55</v>
      </c>
      <c r="X44" s="668">
        <v>1.5</v>
      </c>
      <c r="Y44" s="668">
        <v>1.45</v>
      </c>
      <c r="Z44" s="668">
        <v>1.45</v>
      </c>
      <c r="AA44" s="668"/>
      <c r="AB44" s="668">
        <v>1.4</v>
      </c>
      <c r="AC44" s="668">
        <v>1.3</v>
      </c>
      <c r="AD44" s="669">
        <v>1.3</v>
      </c>
      <c r="AE44" s="575"/>
      <c r="AF44" s="730">
        <v>1</v>
      </c>
      <c r="AG44" s="713">
        <v>3.51</v>
      </c>
      <c r="AH44" s="713">
        <v>3.96</v>
      </c>
      <c r="AI44" s="714">
        <v>4.93</v>
      </c>
      <c r="AJ44" s="650">
        <v>90</v>
      </c>
      <c r="AK44" s="575"/>
      <c r="AL44" s="644"/>
      <c r="AM44" s="644"/>
      <c r="AN44" s="644">
        <f>(403.9166501568)*1.3</f>
        <v>525.09164520384002</v>
      </c>
      <c r="AO44" s="644">
        <f>(458.99619336)*1.3</f>
        <v>596.69505136800001</v>
      </c>
      <c r="AP44" s="644">
        <f>(579.6)*1.3</f>
        <v>753.48</v>
      </c>
      <c r="AQ44" s="644">
        <f>(640.8)*1.3</f>
        <v>833.04</v>
      </c>
      <c r="AR44" s="644">
        <f>0*1.3</f>
        <v>0</v>
      </c>
      <c r="AS44" s="644">
        <f>(858.3228815832)*1.3</f>
        <v>1115.81974605816</v>
      </c>
      <c r="AT44" s="644">
        <f>(936)*1.3</f>
        <v>1216.8</v>
      </c>
      <c r="AU44" s="644">
        <f t="shared" si="1"/>
        <v>0</v>
      </c>
      <c r="AV44" s="644"/>
    </row>
    <row r="45" spans="10:48" ht="14.25" hidden="1" customHeight="1">
      <c r="J45" s="650">
        <v>110</v>
      </c>
      <c r="K45" s="601">
        <v>525.09164520384002</v>
      </c>
      <c r="L45" s="602">
        <v>596.69505136800001</v>
      </c>
      <c r="M45" s="602">
        <v>753.48</v>
      </c>
      <c r="N45" s="602">
        <v>833.04</v>
      </c>
      <c r="O45" s="602">
        <v>0</v>
      </c>
      <c r="P45" s="602"/>
      <c r="Q45" s="602">
        <v>1115.81974605816</v>
      </c>
      <c r="R45" s="602">
        <v>1216.8</v>
      </c>
      <c r="S45" s="603">
        <v>0</v>
      </c>
      <c r="T45" s="575"/>
      <c r="U45" s="650">
        <v>110</v>
      </c>
      <c r="V45" s="670">
        <v>1.5</v>
      </c>
      <c r="W45" s="671">
        <v>1.3</v>
      </c>
      <c r="X45" s="671">
        <v>1.3</v>
      </c>
      <c r="Y45" s="671">
        <v>1.3</v>
      </c>
      <c r="Z45" s="671">
        <v>1.3</v>
      </c>
      <c r="AA45" s="671"/>
      <c r="AB45" s="671">
        <v>1.3</v>
      </c>
      <c r="AC45" s="671">
        <v>1.3</v>
      </c>
      <c r="AD45" s="672">
        <v>1.3</v>
      </c>
      <c r="AE45" s="575"/>
      <c r="AF45" s="731">
        <v>1</v>
      </c>
      <c r="AG45" s="715">
        <v>3.41</v>
      </c>
      <c r="AH45" s="715">
        <v>3.96</v>
      </c>
      <c r="AI45" s="716">
        <v>4.93</v>
      </c>
      <c r="AJ45" s="650">
        <v>110</v>
      </c>
      <c r="AK45" s="575"/>
      <c r="AL45" s="644"/>
      <c r="AM45" s="644"/>
      <c r="AN45" s="644">
        <f>(438)*1.3</f>
        <v>569.4</v>
      </c>
      <c r="AO45" s="644">
        <f>(550.8)*1.3</f>
        <v>716.04</v>
      </c>
      <c r="AP45" s="644">
        <f>(915.6)*1.3</f>
        <v>1190.28</v>
      </c>
      <c r="AQ45" s="644">
        <f>0*1.3</f>
        <v>0</v>
      </c>
      <c r="AR45" s="644">
        <f>(949.2)*1.3</f>
        <v>1233.96</v>
      </c>
      <c r="AS45" s="644">
        <f>(1154.4)*1.3</f>
        <v>1500.7200000000003</v>
      </c>
      <c r="AT45" s="644">
        <f>(1240.8)*1.3</f>
        <v>1613.04</v>
      </c>
      <c r="AU45" s="644">
        <f t="shared" si="1"/>
        <v>0</v>
      </c>
      <c r="AV45" s="644"/>
    </row>
    <row r="46" spans="10:48" ht="14.25" hidden="1" customHeight="1">
      <c r="J46" s="650">
        <v>140</v>
      </c>
      <c r="K46" s="947">
        <f>K47*0.965</f>
        <v>549.471</v>
      </c>
      <c r="L46" s="947">
        <f t="shared" ref="L46:Q46" si="2">L47*0.965</f>
        <v>690.97859999999991</v>
      </c>
      <c r="M46" s="947">
        <f t="shared" si="2"/>
        <v>1148.6201999999998</v>
      </c>
      <c r="N46" s="947">
        <f t="shared" si="2"/>
        <v>0</v>
      </c>
      <c r="O46" s="947">
        <f t="shared" si="2"/>
        <v>1190.7714000000001</v>
      </c>
      <c r="P46" s="1147">
        <f t="shared" si="2"/>
        <v>1375.7850600000002</v>
      </c>
      <c r="Q46" s="947">
        <f t="shared" si="2"/>
        <v>1448.1948000000002</v>
      </c>
      <c r="R46" s="1147">
        <f>R47*0.965</f>
        <v>1424.2739940000001</v>
      </c>
      <c r="S46" s="1154">
        <f>S47*0.965</f>
        <v>1556.5835999999999</v>
      </c>
      <c r="T46" s="575"/>
      <c r="U46" s="650"/>
      <c r="V46" s="948">
        <v>1.4</v>
      </c>
      <c r="W46" s="949">
        <v>1.35</v>
      </c>
      <c r="X46" s="949">
        <v>1.32</v>
      </c>
      <c r="Y46" s="949"/>
      <c r="Z46" s="949">
        <v>1.3</v>
      </c>
      <c r="AA46" s="1149">
        <v>1.28</v>
      </c>
      <c r="AB46" s="949">
        <v>1.28</v>
      </c>
      <c r="AC46" s="950">
        <v>1.25</v>
      </c>
      <c r="AD46" s="950">
        <v>1.25</v>
      </c>
      <c r="AE46" s="575"/>
      <c r="AF46" s="951">
        <v>1</v>
      </c>
      <c r="AG46" s="952">
        <v>3.41</v>
      </c>
      <c r="AH46" s="952">
        <v>3.96</v>
      </c>
      <c r="AI46" s="953">
        <v>4.93</v>
      </c>
      <c r="AJ46" s="650">
        <v>140</v>
      </c>
      <c r="AK46" s="575"/>
      <c r="AL46" s="644"/>
      <c r="AM46" s="644"/>
      <c r="AN46" s="644"/>
      <c r="AO46" s="644"/>
      <c r="AP46" s="644"/>
      <c r="AQ46" s="644"/>
      <c r="AR46" s="644"/>
      <c r="AS46" s="644"/>
      <c r="AT46" s="644"/>
      <c r="AU46" s="644"/>
      <c r="AV46" s="644"/>
    </row>
    <row r="47" spans="10:48" ht="14.25" hidden="1" customHeight="1">
      <c r="J47" s="650">
        <v>150</v>
      </c>
      <c r="K47" s="604">
        <v>569.4</v>
      </c>
      <c r="L47" s="606">
        <v>716.04</v>
      </c>
      <c r="M47" s="605">
        <v>1190.28</v>
      </c>
      <c r="N47" s="607">
        <v>0</v>
      </c>
      <c r="O47" s="606">
        <v>1233.96</v>
      </c>
      <c r="P47" s="1148">
        <f>Q47*0.95</f>
        <v>1425.6840000000002</v>
      </c>
      <c r="Q47" s="607">
        <v>1500.7200000000003</v>
      </c>
      <c r="R47" s="1148">
        <f>S47*0.915</f>
        <v>1475.9316000000001</v>
      </c>
      <c r="S47" s="1155">
        <v>1613.04</v>
      </c>
      <c r="T47" s="575"/>
      <c r="U47" s="650">
        <v>150</v>
      </c>
      <c r="V47" s="673">
        <v>1.4</v>
      </c>
      <c r="W47" s="674">
        <v>1.35</v>
      </c>
      <c r="X47" s="674">
        <v>1.32</v>
      </c>
      <c r="Y47" s="674"/>
      <c r="Z47" s="674">
        <v>1.3</v>
      </c>
      <c r="AA47" s="1150">
        <v>1.28</v>
      </c>
      <c r="AB47" s="674">
        <v>1.28</v>
      </c>
      <c r="AC47" s="675">
        <v>1.25</v>
      </c>
      <c r="AD47" s="675">
        <v>1.25</v>
      </c>
      <c r="AE47" s="575"/>
      <c r="AF47" s="732">
        <v>1</v>
      </c>
      <c r="AG47" s="717">
        <v>3.41</v>
      </c>
      <c r="AH47" s="717">
        <v>3.96</v>
      </c>
      <c r="AI47" s="718">
        <v>4.93</v>
      </c>
      <c r="AJ47" s="650">
        <v>150</v>
      </c>
      <c r="AK47" s="575"/>
      <c r="AL47" s="644"/>
      <c r="AM47" s="644"/>
      <c r="AN47" s="644">
        <f>(607.86145056384)*1.3</f>
        <v>790.219885732992</v>
      </c>
      <c r="AO47" s="644">
        <f>(690.751648368)*1.3</f>
        <v>897.97714287840006</v>
      </c>
      <c r="AP47" s="644">
        <f>(872.782763961056)*1.3</f>
        <v>1134.6175931493729</v>
      </c>
      <c r="AQ47" s="644">
        <f>(934.869396499123)*1.3</f>
        <v>1215.3302154488599</v>
      </c>
      <c r="AR47" s="644">
        <f>(1183.606971288)*1.3</f>
        <v>1538.6890626744002</v>
      </c>
      <c r="AS47" s="644">
        <f>(1291.70558244816)*1.3</f>
        <v>1679.2172571826079</v>
      </c>
      <c r="AT47" s="644">
        <f>(1350.7120818652)*1.3</f>
        <v>1755.9257064247599</v>
      </c>
      <c r="AU47" s="644">
        <f t="shared" si="1"/>
        <v>0</v>
      </c>
      <c r="AV47" s="644"/>
    </row>
    <row r="48" spans="10:48" ht="14.25" hidden="1" customHeight="1">
      <c r="J48" s="650">
        <v>200</v>
      </c>
      <c r="K48" s="609">
        <v>790.219885732992</v>
      </c>
      <c r="L48" s="610">
        <v>897.97714287840006</v>
      </c>
      <c r="M48" s="610">
        <v>1134.6175931493729</v>
      </c>
      <c r="N48" s="610">
        <v>1215.3302154488599</v>
      </c>
      <c r="O48" s="610">
        <v>1538.6890626744002</v>
      </c>
      <c r="P48" s="610"/>
      <c r="Q48" s="610">
        <v>1679.2172571826079</v>
      </c>
      <c r="R48" s="1156"/>
      <c r="S48" s="1157">
        <v>1755.9257064247599</v>
      </c>
      <c r="T48" s="575"/>
      <c r="U48" s="650">
        <v>200</v>
      </c>
      <c r="V48" s="676"/>
      <c r="W48" s="677"/>
      <c r="X48" s="677"/>
      <c r="Y48" s="677"/>
      <c r="Z48" s="677"/>
      <c r="AA48" s="677"/>
      <c r="AB48" s="677"/>
      <c r="AC48" s="677"/>
      <c r="AD48" s="678"/>
      <c r="AE48" s="575"/>
      <c r="AF48" s="732">
        <v>1</v>
      </c>
      <c r="AG48" s="717">
        <v>2.73</v>
      </c>
      <c r="AH48" s="717">
        <v>3.11</v>
      </c>
      <c r="AI48" s="718">
        <v>3.89</v>
      </c>
      <c r="AJ48" s="650">
        <v>150.16</v>
      </c>
      <c r="AK48" s="575"/>
      <c r="AL48" s="644"/>
      <c r="AM48" s="644"/>
      <c r="AN48" s="644">
        <f>(762.311726500247)*1.3</f>
        <v>991.00524445032113</v>
      </c>
      <c r="AO48" s="644">
        <f>(866.263325568462)*1.3</f>
        <v>1126.1423232390007</v>
      </c>
      <c r="AP48" s="644">
        <f>(1094.54635597908)*1.3</f>
        <v>1422.9102627728041</v>
      </c>
      <c r="AQ48" s="644">
        <f>(1172.40845432202)*1.3</f>
        <v>1524.1309906186259</v>
      </c>
      <c r="AR48" s="644">
        <f>(1475.90124576649)*1.3</f>
        <v>1918.6716194964372</v>
      </c>
      <c r="AS48" s="644">
        <f>(1619.91241881302)*1.3</f>
        <v>2105.8861444569261</v>
      </c>
      <c r="AT48" s="644">
        <f>(1693.91175929369)*1.3</f>
        <v>2202.0852870817971</v>
      </c>
      <c r="AU48" s="644">
        <f t="shared" si="1"/>
        <v>0</v>
      </c>
      <c r="AV48" s="644"/>
    </row>
    <row r="49" spans="10:61" ht="14.25" hidden="1" customHeight="1">
      <c r="J49" s="650">
        <v>300</v>
      </c>
      <c r="K49" s="612">
        <v>991.00524445032113</v>
      </c>
      <c r="L49" s="613">
        <v>1126.1423232390007</v>
      </c>
      <c r="M49" s="613">
        <v>1422.9102627728041</v>
      </c>
      <c r="N49" s="613">
        <v>1524.1309906186259</v>
      </c>
      <c r="O49" s="613">
        <v>1918.6716194964372</v>
      </c>
      <c r="P49" s="613"/>
      <c r="Q49" s="613">
        <v>2105.8861444569261</v>
      </c>
      <c r="R49" s="1158"/>
      <c r="S49" s="1159">
        <v>2202.0852870817971</v>
      </c>
      <c r="T49" s="575"/>
      <c r="U49" s="650">
        <v>300</v>
      </c>
      <c r="V49" s="679"/>
      <c r="W49" s="680"/>
      <c r="X49" s="680"/>
      <c r="Y49" s="680"/>
      <c r="Z49" s="680"/>
      <c r="AA49" s="680"/>
      <c r="AB49" s="680"/>
      <c r="AC49" s="680"/>
      <c r="AD49" s="681"/>
      <c r="AE49" s="575"/>
      <c r="AF49" s="732">
        <v>1</v>
      </c>
      <c r="AG49" s="719">
        <v>2.73</v>
      </c>
      <c r="AH49" s="719">
        <v>2.83</v>
      </c>
      <c r="AI49" s="720">
        <v>3.66</v>
      </c>
      <c r="AJ49" s="651" t="s">
        <v>287</v>
      </c>
      <c r="AK49" s="575"/>
      <c r="AL49" s="644"/>
      <c r="AM49" s="644"/>
      <c r="AN49" s="644">
        <f>(956.005957970772)*1.3</f>
        <v>1242.8077453620035</v>
      </c>
      <c r="AO49" s="644">
        <f>(1086.37040678497)*1.3</f>
        <v>1412.2815288204613</v>
      </c>
      <c r="AP49" s="644">
        <f>(1372.65740669524)*1.3</f>
        <v>1784.4546287038122</v>
      </c>
      <c r="AQ49" s="644">
        <f>(1470.30332676745)*1.3</f>
        <v>1911.3943247976852</v>
      </c>
      <c r="AR49" s="644">
        <f>(1840.37821683719)*1.3</f>
        <v>2392.4916818883471</v>
      </c>
      <c r="AS49" s="644">
        <f>(2031.51266068789)*1.3</f>
        <v>2640.9664588942574</v>
      </c>
      <c r="AT49" s="644">
        <f>(2124.31434263263)*1.3</f>
        <v>2761.6086454224192</v>
      </c>
      <c r="AU49" s="644">
        <f t="shared" si="1"/>
        <v>0</v>
      </c>
      <c r="AV49" s="644"/>
    </row>
    <row r="50" spans="10:61" ht="14.25" hidden="1" customHeight="1" thickBot="1">
      <c r="J50" s="650">
        <v>400</v>
      </c>
      <c r="K50" s="615">
        <v>1242.8077453620035</v>
      </c>
      <c r="L50" s="616">
        <v>1412.2815288204613</v>
      </c>
      <c r="M50" s="616">
        <v>1784.4546287038122</v>
      </c>
      <c r="N50" s="616">
        <v>1911.3943247976852</v>
      </c>
      <c r="O50" s="616">
        <v>2392.4916818883471</v>
      </c>
      <c r="P50" s="616"/>
      <c r="Q50" s="616">
        <v>2640.9664588942574</v>
      </c>
      <c r="R50" s="1160"/>
      <c r="S50" s="1161">
        <v>2761.6086454224192</v>
      </c>
      <c r="T50" s="575"/>
      <c r="U50" s="650">
        <v>400</v>
      </c>
      <c r="V50" s="682"/>
      <c r="W50" s="683"/>
      <c r="X50" s="683"/>
      <c r="Y50" s="683"/>
      <c r="Z50" s="683"/>
      <c r="AA50" s="683"/>
      <c r="AB50" s="683"/>
      <c r="AC50" s="683"/>
      <c r="AD50" s="684"/>
      <c r="AE50" s="575"/>
      <c r="AF50" s="732">
        <v>1</v>
      </c>
      <c r="AG50" s="721">
        <v>3.41</v>
      </c>
      <c r="AH50" s="721">
        <v>3.86</v>
      </c>
      <c r="AI50" s="722">
        <v>4.63</v>
      </c>
      <c r="AJ50" s="618" t="s">
        <v>289</v>
      </c>
      <c r="AK50" s="575"/>
      <c r="AL50" s="644"/>
      <c r="AM50" s="644"/>
      <c r="AN50" s="644">
        <f>(1198.91556157941)*1.3</f>
        <v>1558.590230053233</v>
      </c>
      <c r="AO50" s="644">
        <f>(1362.40404724933)*1.3</f>
        <v>1771.1252614241291</v>
      </c>
      <c r="AP50" s="644">
        <f>(1721.43312694132)*1.3</f>
        <v>2237.863065023716</v>
      </c>
      <c r="AQ50" s="644">
        <f>(1843.88969964701)*1.3</f>
        <v>2397.0566095411132</v>
      </c>
      <c r="AR50" s="644">
        <f>(2294.86355589452)*1.3</f>
        <v>2983.3226226628758</v>
      </c>
      <c r="AS50" s="644">
        <f>(2547.69556835625)*1.3</f>
        <v>3312.004238863125</v>
      </c>
      <c r="AT50" s="644">
        <f>(2664.0770403509)*1.3</f>
        <v>3463.3001524561701</v>
      </c>
      <c r="AU50" s="644">
        <f t="shared" si="1"/>
        <v>0</v>
      </c>
      <c r="AV50" s="644"/>
    </row>
    <row r="51" spans="10:61" ht="14.25" hidden="1" customHeight="1">
      <c r="J51" s="650">
        <v>500</v>
      </c>
      <c r="K51" s="619">
        <v>1558.590230053233</v>
      </c>
      <c r="L51" s="620">
        <v>1771.1252614241291</v>
      </c>
      <c r="M51" s="620">
        <v>2237.863065023716</v>
      </c>
      <c r="N51" s="620">
        <v>2397.0566095411132</v>
      </c>
      <c r="O51" s="620">
        <v>2983.3226226628758</v>
      </c>
      <c r="P51" s="620"/>
      <c r="Q51" s="620">
        <v>3312.004238863125</v>
      </c>
      <c r="R51" s="1162"/>
      <c r="S51" s="1163">
        <v>3463.3001524561701</v>
      </c>
      <c r="T51" s="575"/>
      <c r="U51" s="650">
        <v>500</v>
      </c>
      <c r="V51" s="685"/>
      <c r="W51" s="686"/>
      <c r="X51" s="686"/>
      <c r="Y51" s="686"/>
      <c r="Z51" s="686"/>
      <c r="AA51" s="686"/>
      <c r="AB51" s="686"/>
      <c r="AC51" s="686"/>
      <c r="AD51" s="687"/>
      <c r="AE51" s="575"/>
      <c r="AF51" s="732">
        <v>1</v>
      </c>
      <c r="AG51" s="719">
        <v>3.05</v>
      </c>
      <c r="AH51" s="719">
        <v>3.25</v>
      </c>
      <c r="AI51" s="720">
        <v>4.0999999999999996</v>
      </c>
      <c r="AJ51" s="651" t="s">
        <v>492</v>
      </c>
      <c r="AK51" s="575"/>
      <c r="AL51" s="644"/>
      <c r="AM51" s="644"/>
      <c r="AN51" s="644">
        <f>(1503.54557083338)*1.3</f>
        <v>1954.6092420833941</v>
      </c>
      <c r="AO51" s="644">
        <f>(1708.57451231066)*1.3</f>
        <v>2221.1468660038581</v>
      </c>
      <c r="AP51" s="644">
        <f>(2158.82855844227)*1.3</f>
        <v>2806.4771259749514</v>
      </c>
      <c r="AQ51" s="644">
        <f>(2312.39987189533)*1.3</f>
        <v>3006.1198334639289</v>
      </c>
      <c r="AR51" s="644">
        <f>(2861.58502203068)*1.3</f>
        <v>3720.0605286398845</v>
      </c>
      <c r="AS51" s="644">
        <f>(3195.03433802093)*1.3</f>
        <v>4153.5446394272094</v>
      </c>
      <c r="AT51" s="644">
        <f>(3340.98694081649)*1.3</f>
        <v>4343.2830230614372</v>
      </c>
      <c r="AU51" s="644">
        <f t="shared" si="1"/>
        <v>0</v>
      </c>
      <c r="AV51" s="644"/>
    </row>
    <row r="52" spans="10:61" ht="14.25" hidden="1" customHeight="1" thickBot="1">
      <c r="J52" s="699">
        <v>600</v>
      </c>
      <c r="K52" s="622">
        <v>1954.6092420833941</v>
      </c>
      <c r="L52" s="623">
        <v>2221.1468660038581</v>
      </c>
      <c r="M52" s="623">
        <v>2806.4771259749514</v>
      </c>
      <c r="N52" s="623">
        <v>3006.1198334639289</v>
      </c>
      <c r="O52" s="623">
        <v>3720.0605286398845</v>
      </c>
      <c r="P52" s="623"/>
      <c r="Q52" s="623">
        <v>4153.5446394272094</v>
      </c>
      <c r="R52" s="1164"/>
      <c r="S52" s="1165">
        <v>4343.2830230614372</v>
      </c>
      <c r="T52" s="575"/>
      <c r="U52" s="699">
        <v>600</v>
      </c>
      <c r="V52" s="688"/>
      <c r="W52" s="689"/>
      <c r="X52" s="689"/>
      <c r="Y52" s="689"/>
      <c r="Z52" s="689"/>
      <c r="AA52" s="689"/>
      <c r="AB52" s="689"/>
      <c r="AC52" s="689"/>
      <c r="AD52" s="690"/>
      <c r="AE52" s="575"/>
      <c r="AF52" s="630"/>
      <c r="AG52" s="630"/>
      <c r="AH52" s="630"/>
      <c r="AI52" s="630"/>
      <c r="AJ52" s="630"/>
      <c r="AK52" s="575"/>
      <c r="AL52" s="644"/>
      <c r="AM52" s="644"/>
      <c r="AN52" s="644"/>
      <c r="AO52" s="644"/>
      <c r="AP52" s="644"/>
      <c r="AQ52" s="644"/>
      <c r="AR52" s="644"/>
      <c r="AS52" s="644"/>
      <c r="AT52" s="644"/>
      <c r="AU52" s="644"/>
      <c r="AV52" s="644"/>
    </row>
    <row r="53" spans="10:61" ht="24.75" hidden="1" customHeight="1" thickBot="1">
      <c r="J53" s="2708" t="s">
        <v>152</v>
      </c>
      <c r="K53" s="2709"/>
      <c r="L53" s="2709"/>
      <c r="M53" s="2709"/>
      <c r="N53" s="2709"/>
      <c r="O53" s="2709"/>
      <c r="P53" s="2709"/>
      <c r="Q53" s="2709"/>
      <c r="R53" s="2709"/>
      <c r="S53" s="2709"/>
      <c r="T53" s="2709"/>
      <c r="U53" s="2709"/>
      <c r="V53" s="2709"/>
      <c r="W53" s="2709"/>
      <c r="X53" s="2709"/>
      <c r="Y53" s="2709"/>
      <c r="Z53" s="2709"/>
      <c r="AA53" s="2709"/>
      <c r="AB53" s="2710"/>
      <c r="AC53" s="575"/>
      <c r="AD53" s="575"/>
      <c r="AE53" s="575"/>
      <c r="AF53" s="575"/>
      <c r="AG53" s="575"/>
      <c r="AH53" s="575"/>
      <c r="AI53" s="575"/>
      <c r="AJ53" s="575"/>
      <c r="AK53" s="575"/>
      <c r="AL53" s="575"/>
      <c r="AM53" s="575"/>
      <c r="AN53" s="575"/>
      <c r="AO53" s="575"/>
      <c r="AP53" s="575"/>
      <c r="AQ53" s="575"/>
      <c r="AR53" s="575"/>
      <c r="AS53" s="575"/>
      <c r="AT53" s="575"/>
      <c r="AU53" s="575"/>
      <c r="AV53" s="575"/>
      <c r="AW53" s="575"/>
      <c r="AX53" s="575"/>
      <c r="AY53" s="575"/>
      <c r="AZ53" s="575"/>
      <c r="BA53" s="575"/>
      <c r="BB53" s="575"/>
      <c r="BC53" s="575"/>
      <c r="BD53" s="575"/>
      <c r="BE53" s="575"/>
      <c r="BF53" s="575"/>
      <c r="BG53" s="575"/>
      <c r="BH53" s="577"/>
      <c r="BI53" s="577"/>
    </row>
    <row r="54" spans="10:61" ht="14.25" hidden="1" customHeight="1" thickBot="1">
      <c r="J54" s="2705" t="s">
        <v>188</v>
      </c>
      <c r="K54" s="2706"/>
      <c r="L54" s="2706"/>
      <c r="M54" s="2706"/>
      <c r="N54" s="2706"/>
      <c r="O54" s="2706"/>
      <c r="P54" s="2706"/>
      <c r="Q54" s="2706"/>
      <c r="R54" s="2707"/>
      <c r="S54" s="575"/>
      <c r="T54" s="2705" t="s">
        <v>189</v>
      </c>
      <c r="U54" s="2706"/>
      <c r="V54" s="2706"/>
      <c r="W54" s="2706"/>
      <c r="X54" s="2706"/>
      <c r="Y54" s="2706"/>
      <c r="Z54" s="2706"/>
      <c r="AA54" s="2706"/>
      <c r="AB54" s="2707"/>
      <c r="AC54" s="575"/>
      <c r="AI54" s="575"/>
      <c r="AJ54" s="575"/>
      <c r="AK54" s="575"/>
      <c r="AL54" s="575"/>
      <c r="AM54" s="575"/>
      <c r="AN54" s="575"/>
      <c r="AO54" s="575"/>
      <c r="AP54" s="575"/>
      <c r="AQ54" s="575"/>
      <c r="AR54" s="575"/>
      <c r="AS54" s="575"/>
      <c r="AT54" s="575"/>
      <c r="AU54" s="575"/>
      <c r="AV54" s="575"/>
      <c r="AW54" s="575"/>
      <c r="AX54" s="575"/>
      <c r="AY54" s="575"/>
      <c r="AZ54" s="575"/>
      <c r="BA54" s="575"/>
      <c r="BB54" s="575"/>
      <c r="BC54" s="575"/>
      <c r="BD54" s="575"/>
      <c r="BE54" s="575"/>
      <c r="BF54" s="575"/>
      <c r="BG54" s="575"/>
      <c r="BH54" s="577"/>
      <c r="BI54" s="577"/>
    </row>
    <row r="55" spans="10:61" ht="14.25" hidden="1" customHeight="1" thickBot="1">
      <c r="J55" s="590" t="s">
        <v>1</v>
      </c>
      <c r="K55" s="2695">
        <v>160</v>
      </c>
      <c r="L55" s="2697">
        <v>200</v>
      </c>
      <c r="M55" s="2697">
        <v>260</v>
      </c>
      <c r="N55" s="2699">
        <v>300</v>
      </c>
      <c r="O55" s="2700"/>
      <c r="P55" s="2697">
        <v>360</v>
      </c>
      <c r="Q55" s="2699">
        <v>400</v>
      </c>
      <c r="R55" s="2701"/>
      <c r="S55" s="575"/>
      <c r="T55" s="590" t="s">
        <v>1</v>
      </c>
      <c r="U55" s="2695">
        <v>160</v>
      </c>
      <c r="V55" s="2697">
        <v>200</v>
      </c>
      <c r="W55" s="2697">
        <v>260</v>
      </c>
      <c r="X55" s="2699">
        <v>300</v>
      </c>
      <c r="Y55" s="2700"/>
      <c r="Z55" s="2697">
        <v>360</v>
      </c>
      <c r="AA55" s="2699">
        <v>400</v>
      </c>
      <c r="AB55" s="2701"/>
      <c r="AC55" s="575"/>
      <c r="AD55" s="2705" t="s">
        <v>284</v>
      </c>
      <c r="AE55" s="2706"/>
      <c r="AF55" s="2706"/>
      <c r="AG55" s="2707"/>
      <c r="AH55" s="911" t="s">
        <v>0</v>
      </c>
      <c r="AI55" s="575"/>
      <c r="AJ55" s="575"/>
      <c r="AK55" s="575"/>
      <c r="AL55" s="575"/>
      <c r="AM55" s="575"/>
      <c r="AN55" s="575"/>
      <c r="AO55" s="575"/>
      <c r="AP55" s="575"/>
      <c r="AQ55" s="575"/>
      <c r="AR55" s="575"/>
      <c r="AS55" s="575"/>
      <c r="AT55" s="575"/>
      <c r="AU55" s="575"/>
      <c r="AV55" s="575"/>
      <c r="AW55" s="575"/>
      <c r="AX55" s="575"/>
      <c r="AY55" s="575"/>
      <c r="AZ55" s="575"/>
      <c r="BA55" s="575"/>
      <c r="BB55" s="575"/>
      <c r="BC55" s="575"/>
      <c r="BD55" s="575"/>
      <c r="BE55" s="575"/>
      <c r="BF55" s="575"/>
      <c r="BG55" s="575"/>
      <c r="BH55" s="577"/>
      <c r="BI55" s="577"/>
    </row>
    <row r="56" spans="10:61" ht="14.25" hidden="1" customHeight="1" thickBot="1">
      <c r="J56" s="591" t="s">
        <v>0</v>
      </c>
      <c r="K56" s="2696"/>
      <c r="L56" s="2698"/>
      <c r="M56" s="2698"/>
      <c r="N56" s="1125">
        <v>2</v>
      </c>
      <c r="O56" s="1125">
        <v>4</v>
      </c>
      <c r="P56" s="2698"/>
      <c r="Q56" s="1125">
        <v>1</v>
      </c>
      <c r="R56" s="704">
        <v>2</v>
      </c>
      <c r="S56" s="575"/>
      <c r="T56" s="591" t="s">
        <v>0</v>
      </c>
      <c r="U56" s="2696"/>
      <c r="V56" s="2698"/>
      <c r="W56" s="2698"/>
      <c r="X56" s="1125">
        <v>1</v>
      </c>
      <c r="Y56" s="1125">
        <v>2</v>
      </c>
      <c r="Z56" s="2698"/>
      <c r="AA56" s="1125">
        <v>1</v>
      </c>
      <c r="AB56" s="704">
        <v>2</v>
      </c>
      <c r="AC56" s="575"/>
      <c r="AD56" s="723">
        <v>0</v>
      </c>
      <c r="AE56" s="724">
        <v>1</v>
      </c>
      <c r="AF56" s="724">
        <v>2</v>
      </c>
      <c r="AG56" s="725">
        <v>3</v>
      </c>
      <c r="AH56" s="648" t="s">
        <v>285</v>
      </c>
      <c r="AI56" s="575"/>
      <c r="AJ56" s="575"/>
      <c r="AK56" s="575"/>
      <c r="AL56" s="575"/>
      <c r="AM56" s="575"/>
      <c r="AN56" s="575"/>
      <c r="AO56" s="575"/>
      <c r="AP56" s="575"/>
      <c r="AQ56" s="575"/>
      <c r="AR56" s="575"/>
      <c r="AS56" s="575"/>
      <c r="AT56" s="575"/>
      <c r="AU56" s="575"/>
      <c r="AV56" s="575"/>
      <c r="AW56" s="575"/>
      <c r="AX56" s="575"/>
      <c r="AY56" s="575"/>
      <c r="AZ56" s="575"/>
      <c r="BA56" s="575"/>
      <c r="BB56" s="575"/>
      <c r="BC56" s="575"/>
      <c r="BD56" s="575"/>
      <c r="BE56" s="575"/>
      <c r="BF56" s="575"/>
      <c r="BG56" s="575"/>
      <c r="BH56" s="577"/>
      <c r="BI56" s="577"/>
    </row>
    <row r="57" spans="10:61" ht="14.25" hidden="1" customHeight="1">
      <c r="J57" s="649">
        <v>65</v>
      </c>
      <c r="K57" s="691" t="s">
        <v>286</v>
      </c>
      <c r="L57" s="592" t="s">
        <v>286</v>
      </c>
      <c r="M57" s="592">
        <f>M59*0.71</f>
        <v>237.708</v>
      </c>
      <c r="N57" s="592">
        <f>N59*0.71</f>
        <v>263.26799999999997</v>
      </c>
      <c r="O57" s="592" t="s">
        <v>286</v>
      </c>
      <c r="P57" s="592">
        <f>P59*0.71</f>
        <v>367.21199999999993</v>
      </c>
      <c r="Q57" s="592">
        <f>Q59*0.71</f>
        <v>394.476</v>
      </c>
      <c r="R57" s="692" t="s">
        <v>286</v>
      </c>
      <c r="S57" s="575"/>
      <c r="T57" s="649">
        <v>65</v>
      </c>
      <c r="U57" s="652" t="s">
        <v>286</v>
      </c>
      <c r="V57" s="653" t="s">
        <v>286</v>
      </c>
      <c r="W57" s="655">
        <v>1.7</v>
      </c>
      <c r="X57" s="655">
        <v>1.65</v>
      </c>
      <c r="Y57" s="653" t="s">
        <v>286</v>
      </c>
      <c r="Z57" s="655">
        <v>1.6</v>
      </c>
      <c r="AA57" s="655">
        <v>1.55</v>
      </c>
      <c r="AB57" s="654" t="s">
        <v>286</v>
      </c>
      <c r="AC57" s="575"/>
      <c r="AD57" s="912">
        <v>1</v>
      </c>
      <c r="AE57" s="705">
        <v>5.12</v>
      </c>
      <c r="AF57" s="705">
        <v>5.66</v>
      </c>
      <c r="AG57" s="706">
        <v>6.53</v>
      </c>
      <c r="AH57" s="649">
        <v>65</v>
      </c>
      <c r="AI57" s="575"/>
      <c r="AJ57" s="575"/>
      <c r="AK57" s="575"/>
      <c r="AL57" s="575"/>
      <c r="AM57" s="575"/>
      <c r="AN57" s="575"/>
      <c r="AO57" s="575"/>
      <c r="AP57" s="575"/>
      <c r="AQ57" s="575"/>
      <c r="AR57" s="575"/>
      <c r="AS57" s="575"/>
      <c r="AT57" s="575"/>
      <c r="AU57" s="575"/>
      <c r="AV57" s="575"/>
      <c r="AW57" s="575"/>
      <c r="AX57" s="575"/>
      <c r="AY57" s="575"/>
      <c r="AZ57" s="575"/>
      <c r="BA57" s="575"/>
      <c r="BB57" s="575"/>
      <c r="BC57" s="575"/>
      <c r="BD57" s="575"/>
      <c r="BE57" s="575"/>
      <c r="BF57" s="575"/>
      <c r="BG57" s="575"/>
      <c r="BH57" s="577"/>
      <c r="BI57" s="577"/>
    </row>
    <row r="58" spans="10:61" ht="14.25" hidden="1" customHeight="1">
      <c r="J58" s="650">
        <v>70</v>
      </c>
      <c r="K58" s="693" t="s">
        <v>286</v>
      </c>
      <c r="L58" s="593" t="s">
        <v>286</v>
      </c>
      <c r="M58" s="593">
        <f>M60*0.71</f>
        <v>292.17635999999999</v>
      </c>
      <c r="N58" s="593">
        <f>N60*0.71</f>
        <v>323.02727999999996</v>
      </c>
      <c r="O58" s="593" t="s">
        <v>286</v>
      </c>
      <c r="P58" s="593">
        <f>P60*0.71</f>
        <v>432.68056460609114</v>
      </c>
      <c r="Q58" s="593">
        <f>Q60*0.71</f>
        <v>471.83759999999995</v>
      </c>
      <c r="R58" s="694" t="s">
        <v>286</v>
      </c>
      <c r="S58" s="575"/>
      <c r="T58" s="650">
        <v>70</v>
      </c>
      <c r="U58" s="656" t="s">
        <v>286</v>
      </c>
      <c r="V58" s="657" t="s">
        <v>286</v>
      </c>
      <c r="W58" s="659">
        <v>1.65</v>
      </c>
      <c r="X58" s="659">
        <v>1.6</v>
      </c>
      <c r="Y58" s="657" t="s">
        <v>286</v>
      </c>
      <c r="Z58" s="659">
        <v>1.55</v>
      </c>
      <c r="AA58" s="659">
        <v>1.5</v>
      </c>
      <c r="AB58" s="658" t="s">
        <v>286</v>
      </c>
      <c r="AC58" s="575"/>
      <c r="AD58" s="913">
        <v>1</v>
      </c>
      <c r="AE58" s="707">
        <v>5.12</v>
      </c>
      <c r="AF58" s="707">
        <v>5.66</v>
      </c>
      <c r="AG58" s="708">
        <v>6.53</v>
      </c>
      <c r="AH58" s="650">
        <v>70</v>
      </c>
      <c r="AI58" s="575"/>
      <c r="AJ58" s="575"/>
      <c r="AK58" s="575"/>
      <c r="AL58" s="575"/>
      <c r="AM58" s="575"/>
      <c r="AN58" s="575"/>
      <c r="AO58" s="575"/>
      <c r="AP58" s="575"/>
      <c r="AQ58" s="575"/>
      <c r="AR58" s="575"/>
      <c r="AS58" s="575"/>
      <c r="AT58" s="575"/>
      <c r="AU58" s="575"/>
      <c r="AV58" s="575"/>
      <c r="AW58" s="575"/>
      <c r="AX58" s="575"/>
      <c r="AY58" s="575"/>
      <c r="AZ58" s="575"/>
      <c r="BA58" s="575"/>
      <c r="BB58" s="575"/>
      <c r="BC58" s="575"/>
      <c r="BD58" s="575"/>
      <c r="BE58" s="575"/>
      <c r="BF58" s="575"/>
      <c r="BG58" s="575"/>
      <c r="BH58" s="577"/>
      <c r="BI58" s="577"/>
    </row>
    <row r="59" spans="10:61" ht="14.25" hidden="1" customHeight="1">
      <c r="J59" s="650">
        <v>75</v>
      </c>
      <c r="K59" s="594">
        <f>L59*0.9</f>
        <v>233.87400000000002</v>
      </c>
      <c r="L59" s="595">
        <f>L61*0.71</f>
        <v>259.86</v>
      </c>
      <c r="M59" s="595">
        <f>279*1.2</f>
        <v>334.8</v>
      </c>
      <c r="N59" s="595">
        <f>309*1.2</f>
        <v>370.8</v>
      </c>
      <c r="O59" s="595">
        <v>0</v>
      </c>
      <c r="P59" s="595">
        <f>431*1.2</f>
        <v>517.19999999999993</v>
      </c>
      <c r="Q59" s="595">
        <f>463*1.2</f>
        <v>555.6</v>
      </c>
      <c r="R59" s="596">
        <v>0</v>
      </c>
      <c r="S59" s="575"/>
      <c r="T59" s="650">
        <v>75</v>
      </c>
      <c r="U59" s="660">
        <v>1.7</v>
      </c>
      <c r="V59" s="661">
        <v>1.65</v>
      </c>
      <c r="W59" s="661">
        <v>1.6</v>
      </c>
      <c r="X59" s="661">
        <v>1.55</v>
      </c>
      <c r="Y59" s="661">
        <v>1.55</v>
      </c>
      <c r="Z59" s="661">
        <v>1.5</v>
      </c>
      <c r="AA59" s="661">
        <v>1.45</v>
      </c>
      <c r="AB59" s="662">
        <v>1.45</v>
      </c>
      <c r="AC59" s="575"/>
      <c r="AD59" s="914">
        <v>1</v>
      </c>
      <c r="AE59" s="709">
        <v>4.5999999999999996</v>
      </c>
      <c r="AF59" s="709">
        <v>5</v>
      </c>
      <c r="AG59" s="710">
        <v>6.53</v>
      </c>
      <c r="AH59" s="650">
        <v>75</v>
      </c>
      <c r="AI59" s="575"/>
      <c r="AJ59" s="575"/>
      <c r="AK59" s="575"/>
      <c r="AL59" s="575"/>
      <c r="AM59" s="575"/>
      <c r="AN59" s="575"/>
      <c r="AO59" s="575"/>
      <c r="AP59" s="575"/>
      <c r="AQ59" s="575"/>
      <c r="AR59" s="575"/>
      <c r="AS59" s="575"/>
      <c r="AT59" s="575"/>
      <c r="AU59" s="575"/>
      <c r="AV59" s="575"/>
      <c r="AW59" s="575"/>
      <c r="AX59" s="575"/>
      <c r="AY59" s="575"/>
      <c r="AZ59" s="575"/>
      <c r="BA59" s="575"/>
      <c r="BB59" s="575"/>
      <c r="BC59" s="575"/>
      <c r="BD59" s="575"/>
      <c r="BE59" s="575"/>
      <c r="BF59" s="575"/>
      <c r="BG59" s="575"/>
      <c r="BH59" s="577"/>
      <c r="BI59" s="577"/>
    </row>
    <row r="60" spans="10:61" ht="14.25" hidden="1" customHeight="1">
      <c r="J60" s="650">
        <v>80</v>
      </c>
      <c r="K60" s="695" t="s">
        <v>286</v>
      </c>
      <c r="L60" s="696" t="s">
        <v>286</v>
      </c>
      <c r="M60" s="597">
        <f>M62*0.71</f>
        <v>411.51600000000002</v>
      </c>
      <c r="N60" s="597">
        <f>N62*0.71</f>
        <v>454.96799999999996</v>
      </c>
      <c r="O60" s="696" t="s">
        <v>286</v>
      </c>
      <c r="P60" s="597">
        <f>P62*0.71</f>
        <v>609.40924592407202</v>
      </c>
      <c r="Q60" s="597">
        <f>Q62*0.71</f>
        <v>664.56</v>
      </c>
      <c r="R60" s="697" t="s">
        <v>286</v>
      </c>
      <c r="S60" s="575"/>
      <c r="T60" s="650">
        <v>80</v>
      </c>
      <c r="U60" s="663" t="s">
        <v>286</v>
      </c>
      <c r="V60" s="664" t="s">
        <v>286</v>
      </c>
      <c r="W60" s="666">
        <v>1.55</v>
      </c>
      <c r="X60" s="666">
        <v>1.5</v>
      </c>
      <c r="Y60" s="664" t="s">
        <v>286</v>
      </c>
      <c r="Z60" s="666">
        <v>1.45</v>
      </c>
      <c r="AA60" s="666">
        <v>1.4</v>
      </c>
      <c r="AB60" s="665" t="s">
        <v>286</v>
      </c>
      <c r="AC60" s="575"/>
      <c r="AD60" s="915">
        <v>1</v>
      </c>
      <c r="AE60" s="711">
        <v>3.92</v>
      </c>
      <c r="AF60" s="711">
        <v>4.5</v>
      </c>
      <c r="AG60" s="712">
        <v>5.6</v>
      </c>
      <c r="AH60" s="650">
        <v>80</v>
      </c>
      <c r="AI60" s="575"/>
      <c r="AJ60" s="575"/>
      <c r="AK60" s="575"/>
      <c r="AL60" s="575"/>
      <c r="AM60" s="575"/>
      <c r="AN60" s="575"/>
      <c r="AO60" s="575"/>
      <c r="AP60" s="575"/>
      <c r="AQ60" s="575"/>
      <c r="AR60" s="575"/>
      <c r="AS60" s="575"/>
      <c r="AT60" s="575"/>
      <c r="AU60" s="575"/>
      <c r="AV60" s="575"/>
      <c r="AW60" s="575"/>
      <c r="AX60" s="575"/>
      <c r="AY60" s="575"/>
      <c r="AZ60" s="575"/>
      <c r="BA60" s="575"/>
      <c r="BB60" s="575"/>
      <c r="BC60" s="575"/>
      <c r="BD60" s="575"/>
      <c r="BE60" s="575"/>
      <c r="BF60" s="575"/>
      <c r="BG60" s="575"/>
      <c r="BH60" s="577"/>
      <c r="BI60" s="577"/>
    </row>
    <row r="61" spans="10:61" ht="14.25" hidden="1" customHeight="1">
      <c r="J61" s="650">
        <v>90</v>
      </c>
      <c r="K61" s="598">
        <f>L61*0.89</f>
        <v>325.74</v>
      </c>
      <c r="L61" s="600">
        <f>305*1.2</f>
        <v>366</v>
      </c>
      <c r="M61" s="599">
        <f>404*1.2</f>
        <v>484.79999999999995</v>
      </c>
      <c r="N61" s="599">
        <f>469*1.2</f>
        <v>562.79999999999995</v>
      </c>
      <c r="O61" s="600">
        <v>0</v>
      </c>
      <c r="P61" s="599">
        <f>582*1.2</f>
        <v>698.4</v>
      </c>
      <c r="Q61" s="599">
        <f>644*1.2</f>
        <v>772.8</v>
      </c>
      <c r="R61" s="698">
        <v>0</v>
      </c>
      <c r="S61" s="575"/>
      <c r="T61" s="650">
        <v>90</v>
      </c>
      <c r="U61" s="667">
        <v>1.6</v>
      </c>
      <c r="V61" s="668">
        <v>1.55</v>
      </c>
      <c r="W61" s="668">
        <v>1.5</v>
      </c>
      <c r="X61" s="668">
        <v>1.45</v>
      </c>
      <c r="Y61" s="668">
        <v>1.45</v>
      </c>
      <c r="Z61" s="668">
        <v>1.4</v>
      </c>
      <c r="AA61" s="668">
        <v>1.3</v>
      </c>
      <c r="AB61" s="669">
        <v>1.3</v>
      </c>
      <c r="AC61" s="575"/>
      <c r="AD61" s="916">
        <v>1</v>
      </c>
      <c r="AE61" s="713">
        <v>3.51</v>
      </c>
      <c r="AF61" s="713">
        <v>3.96</v>
      </c>
      <c r="AG61" s="714">
        <v>4.93</v>
      </c>
      <c r="AH61" s="650">
        <v>90</v>
      </c>
      <c r="AI61" s="575"/>
      <c r="AJ61" s="575"/>
      <c r="AK61" s="575"/>
      <c r="AL61" s="575"/>
      <c r="AM61" s="575"/>
      <c r="AN61" s="575"/>
      <c r="AO61" s="575"/>
      <c r="AP61" s="575"/>
      <c r="AQ61" s="575"/>
      <c r="AR61" s="575"/>
      <c r="AS61" s="575"/>
      <c r="AT61" s="575"/>
      <c r="AU61" s="575"/>
      <c r="AV61" s="575"/>
      <c r="AW61" s="575"/>
      <c r="AX61" s="575"/>
      <c r="AY61" s="575"/>
      <c r="AZ61" s="575"/>
      <c r="BA61" s="575"/>
      <c r="BB61" s="575"/>
      <c r="BC61" s="575"/>
      <c r="BD61" s="575"/>
      <c r="BE61" s="575"/>
      <c r="BF61" s="575"/>
      <c r="BG61" s="575"/>
      <c r="BH61" s="577"/>
      <c r="BI61" s="577"/>
    </row>
    <row r="62" spans="10:61" ht="14.25" hidden="1" customHeight="1">
      <c r="J62" s="650">
        <v>110</v>
      </c>
      <c r="K62" s="601">
        <f>L62*0.88</f>
        <v>403.91665015679996</v>
      </c>
      <c r="L62" s="602">
        <f>L61*1.25408796</f>
        <v>458.99619335999995</v>
      </c>
      <c r="M62" s="602">
        <f>483*1.2</f>
        <v>579.6</v>
      </c>
      <c r="N62" s="602">
        <f>534*1.2</f>
        <v>640.79999999999995</v>
      </c>
      <c r="O62" s="602">
        <v>0</v>
      </c>
      <c r="P62" s="602">
        <f>L62*1.87</f>
        <v>858.3228815832</v>
      </c>
      <c r="Q62" s="602">
        <f>780*1.2</f>
        <v>936</v>
      </c>
      <c r="R62" s="603">
        <v>0</v>
      </c>
      <c r="S62" s="575"/>
      <c r="T62" s="650">
        <v>110</v>
      </c>
      <c r="U62" s="670">
        <v>1.5</v>
      </c>
      <c r="V62" s="671">
        <v>1.3</v>
      </c>
      <c r="W62" s="671">
        <v>1.3</v>
      </c>
      <c r="X62" s="671">
        <v>1.3</v>
      </c>
      <c r="Y62" s="671">
        <v>1.3</v>
      </c>
      <c r="Z62" s="671">
        <v>1.3</v>
      </c>
      <c r="AA62" s="671">
        <v>1.3</v>
      </c>
      <c r="AB62" s="672">
        <v>1.3</v>
      </c>
      <c r="AC62" s="575"/>
      <c r="AD62" s="917">
        <v>1</v>
      </c>
      <c r="AE62" s="715">
        <v>3.41</v>
      </c>
      <c r="AF62" s="715">
        <v>3.96</v>
      </c>
      <c r="AG62" s="716">
        <v>4.93</v>
      </c>
      <c r="AH62" s="650">
        <v>110</v>
      </c>
      <c r="AI62" s="575"/>
      <c r="AJ62" s="575"/>
      <c r="AK62" s="575"/>
      <c r="AL62" s="575"/>
      <c r="AM62" s="575"/>
      <c r="AN62" s="575"/>
      <c r="AO62" s="575"/>
      <c r="AP62" s="575"/>
      <c r="AQ62" s="575"/>
      <c r="AR62" s="575"/>
      <c r="AS62" s="575"/>
      <c r="AT62" s="575"/>
      <c r="AU62" s="575"/>
      <c r="AV62" s="575"/>
      <c r="AW62" s="575"/>
      <c r="AX62" s="575"/>
      <c r="AY62" s="575"/>
      <c r="AZ62" s="575"/>
      <c r="BA62" s="575"/>
      <c r="BB62" s="575"/>
      <c r="BC62" s="575"/>
      <c r="BD62" s="575"/>
      <c r="BE62" s="575"/>
      <c r="BF62" s="575"/>
      <c r="BG62" s="575"/>
      <c r="BH62" s="577"/>
      <c r="BI62" s="577"/>
    </row>
    <row r="63" spans="10:61" ht="14.25" hidden="1" customHeight="1">
      <c r="J63" s="650">
        <v>150</v>
      </c>
      <c r="K63" s="604">
        <f>365*1.2</f>
        <v>438</v>
      </c>
      <c r="L63" s="606">
        <f>1.2*459</f>
        <v>550.79999999999995</v>
      </c>
      <c r="M63" s="605">
        <f>763*1*IF((C5-C6)&gt;=0,1,1.9)</f>
        <v>763</v>
      </c>
      <c r="N63" s="607">
        <v>0</v>
      </c>
      <c r="O63" s="606">
        <f>791*1.1*IF((C5-C6)&gt;=0,1,2.175)</f>
        <v>870.1</v>
      </c>
      <c r="P63" s="607">
        <f>962*1.2</f>
        <v>1154.3999999999999</v>
      </c>
      <c r="Q63" s="607">
        <f>1034*1.2</f>
        <v>1240.8</v>
      </c>
      <c r="R63" s="608">
        <v>0</v>
      </c>
      <c r="S63" s="575"/>
      <c r="T63" s="650">
        <v>150</v>
      </c>
      <c r="U63" s="673">
        <v>1.4</v>
      </c>
      <c r="V63" s="674">
        <v>1.35</v>
      </c>
      <c r="W63" s="674">
        <v>1.32</v>
      </c>
      <c r="X63" s="674"/>
      <c r="Y63" s="674">
        <v>1.3</v>
      </c>
      <c r="Z63" s="674">
        <v>1.28</v>
      </c>
      <c r="AA63" s="674"/>
      <c r="AB63" s="675">
        <v>1.25</v>
      </c>
      <c r="AC63" s="575"/>
      <c r="AD63" s="918">
        <v>1</v>
      </c>
      <c r="AE63" s="717">
        <v>3.41</v>
      </c>
      <c r="AF63" s="717">
        <v>3.96</v>
      </c>
      <c r="AG63" s="718">
        <v>4.93</v>
      </c>
      <c r="AH63" s="650">
        <v>150</v>
      </c>
      <c r="AI63" s="575"/>
      <c r="AJ63" s="575"/>
      <c r="AK63" s="575"/>
      <c r="AL63" s="575"/>
      <c r="AM63" s="575"/>
      <c r="AN63" s="575"/>
      <c r="AO63" s="575"/>
      <c r="AP63" s="575"/>
      <c r="AQ63" s="575"/>
      <c r="AR63" s="575"/>
      <c r="AS63" s="575"/>
      <c r="AT63" s="575"/>
      <c r="AU63" s="575"/>
      <c r="AV63" s="575"/>
      <c r="AW63" s="575"/>
      <c r="AX63" s="575"/>
      <c r="AY63" s="575"/>
      <c r="AZ63" s="575"/>
      <c r="BA63" s="575"/>
      <c r="BB63" s="575"/>
      <c r="BC63" s="575"/>
      <c r="BD63" s="575"/>
      <c r="BE63" s="575"/>
      <c r="BF63" s="575"/>
      <c r="BG63" s="575"/>
      <c r="BH63" s="577"/>
      <c r="BI63" s="577"/>
    </row>
    <row r="64" spans="10:61" ht="14.25" hidden="1" customHeight="1">
      <c r="J64" s="650">
        <v>200</v>
      </c>
      <c r="K64" s="609">
        <f>L64*0.88</f>
        <v>607.86145056383987</v>
      </c>
      <c r="L64" s="610">
        <f>L63*1.25408796</f>
        <v>690.75164836799991</v>
      </c>
      <c r="M64" s="610">
        <f>L64*1.26352614</f>
        <v>872.78276396105616</v>
      </c>
      <c r="N64" s="610">
        <f>M64*1.07113641</f>
        <v>934.86939649912313</v>
      </c>
      <c r="O64" s="610">
        <f>O63*1.24695214</f>
        <v>1084.973057014</v>
      </c>
      <c r="P64" s="610">
        <f>L64*1.87</f>
        <v>1291.7055824481599</v>
      </c>
      <c r="Q64" s="610">
        <f>L64*1.95542361</f>
        <v>1350.7120818652049</v>
      </c>
      <c r="R64" s="611">
        <f>R63*1.12435712</f>
        <v>0</v>
      </c>
      <c r="S64" s="575"/>
      <c r="T64" s="650">
        <v>200</v>
      </c>
      <c r="U64" s="676"/>
      <c r="V64" s="677"/>
      <c r="W64" s="677"/>
      <c r="X64" s="677"/>
      <c r="Y64" s="677"/>
      <c r="Z64" s="677"/>
      <c r="AA64" s="677"/>
      <c r="AB64" s="678"/>
      <c r="AC64" s="575"/>
      <c r="AD64" s="918">
        <v>1</v>
      </c>
      <c r="AE64" s="717">
        <v>2.73</v>
      </c>
      <c r="AF64" s="717">
        <v>3.11</v>
      </c>
      <c r="AG64" s="718">
        <v>3.89</v>
      </c>
      <c r="AH64" s="650">
        <v>150.16</v>
      </c>
      <c r="AI64" s="575"/>
      <c r="AJ64" s="575"/>
      <c r="AK64" s="575"/>
      <c r="AL64" s="575"/>
      <c r="AM64" s="575"/>
      <c r="AN64" s="575"/>
      <c r="AO64" s="575"/>
      <c r="AP64" s="575"/>
      <c r="AQ64" s="575"/>
      <c r="AR64" s="575"/>
      <c r="AS64" s="575"/>
      <c r="AT64" s="575"/>
      <c r="AU64" s="575"/>
      <c r="AV64" s="575"/>
      <c r="AW64" s="575"/>
      <c r="AX64" s="575"/>
      <c r="AY64" s="575"/>
      <c r="AZ64" s="575"/>
      <c r="BA64" s="575"/>
      <c r="BB64" s="575"/>
      <c r="BC64" s="575"/>
      <c r="BD64" s="575"/>
      <c r="BE64" s="575"/>
      <c r="BF64" s="575"/>
      <c r="BG64" s="575"/>
      <c r="BH64" s="577"/>
      <c r="BI64" s="577"/>
    </row>
    <row r="65" spans="10:61" ht="14.25" hidden="1" customHeight="1">
      <c r="J65" s="650">
        <v>300</v>
      </c>
      <c r="K65" s="612">
        <f>L65*0.88</f>
        <v>762.31172650024678</v>
      </c>
      <c r="L65" s="613">
        <f t="shared" ref="L65:L68" si="3">L64*1.25408796</f>
        <v>866.26332556846228</v>
      </c>
      <c r="M65" s="613">
        <f t="shared" ref="M65:M68" si="4">L65*1.26352614</f>
        <v>1094.5463559790824</v>
      </c>
      <c r="N65" s="613">
        <f t="shared" ref="N65:N68" si="5">M65*1.07113641</f>
        <v>1172.4084543220163</v>
      </c>
      <c r="O65" s="613">
        <f t="shared" ref="O65:O67" si="6">O64*1.24695214</f>
        <v>1352.9094752859494</v>
      </c>
      <c r="P65" s="613">
        <f t="shared" ref="P65:P68" si="7">L65*1.87</f>
        <v>1619.9124188130245</v>
      </c>
      <c r="Q65" s="613">
        <f t="shared" ref="Q65:Q68" si="8">L65*1.95542361</f>
        <v>1693.9117592936877</v>
      </c>
      <c r="R65" s="614">
        <f t="shared" ref="R65:R66" si="9">R64*1.12435712</f>
        <v>0</v>
      </c>
      <c r="S65" s="575"/>
      <c r="T65" s="650">
        <v>300</v>
      </c>
      <c r="U65" s="679"/>
      <c r="V65" s="680"/>
      <c r="W65" s="680"/>
      <c r="X65" s="680"/>
      <c r="Y65" s="680"/>
      <c r="Z65" s="680"/>
      <c r="AA65" s="680"/>
      <c r="AB65" s="681"/>
      <c r="AC65" s="575"/>
      <c r="AD65" s="918">
        <v>1</v>
      </c>
      <c r="AE65" s="719">
        <v>2.73</v>
      </c>
      <c r="AF65" s="719">
        <v>2.83</v>
      </c>
      <c r="AG65" s="720">
        <v>3.66</v>
      </c>
      <c r="AH65" s="651" t="s">
        <v>287</v>
      </c>
      <c r="AI65" s="575"/>
      <c r="AJ65" s="575"/>
      <c r="AK65" s="575"/>
      <c r="AL65" s="575"/>
      <c r="AM65" s="575"/>
      <c r="AN65" s="575"/>
      <c r="AO65" s="575"/>
      <c r="AP65" s="575"/>
      <c r="AQ65" s="575"/>
      <c r="AR65" s="575"/>
      <c r="AS65" s="575"/>
      <c r="AT65" s="575"/>
      <c r="AU65" s="575"/>
      <c r="AV65" s="575"/>
      <c r="AW65" s="575"/>
      <c r="AX65" s="575"/>
      <c r="AY65" s="575"/>
      <c r="AZ65" s="575"/>
      <c r="BA65" s="575"/>
      <c r="BB65" s="575"/>
      <c r="BC65" s="575"/>
      <c r="BD65" s="575"/>
      <c r="BE65" s="575"/>
      <c r="BF65" s="575"/>
      <c r="BG65" s="575"/>
      <c r="BH65" s="577"/>
      <c r="BI65" s="577"/>
    </row>
    <row r="66" spans="10:61" ht="14.25" hidden="1" customHeight="1" thickBot="1">
      <c r="J66" s="650">
        <v>400</v>
      </c>
      <c r="K66" s="615">
        <f>L66*0.88</f>
        <v>956.00595797077233</v>
      </c>
      <c r="L66" s="616">
        <f t="shared" si="3"/>
        <v>1086.3704067849685</v>
      </c>
      <c r="M66" s="616">
        <f t="shared" si="4"/>
        <v>1372.657406695241</v>
      </c>
      <c r="N66" s="616">
        <f t="shared" si="5"/>
        <v>1470.3033267674505</v>
      </c>
      <c r="O66" s="616">
        <f>O65*1.24695214</f>
        <v>1687.0133654340918</v>
      </c>
      <c r="P66" s="616">
        <f t="shared" si="7"/>
        <v>2031.5126606878912</v>
      </c>
      <c r="Q66" s="616">
        <f t="shared" si="8"/>
        <v>2124.3143426326315</v>
      </c>
      <c r="R66" s="617">
        <f t="shared" si="9"/>
        <v>0</v>
      </c>
      <c r="S66" s="575"/>
      <c r="T66" s="650">
        <v>400</v>
      </c>
      <c r="U66" s="682"/>
      <c r="V66" s="683"/>
      <c r="W66" s="683"/>
      <c r="X66" s="683"/>
      <c r="Y66" s="683"/>
      <c r="Z66" s="683"/>
      <c r="AA66" s="683"/>
      <c r="AB66" s="684"/>
      <c r="AC66" s="575"/>
      <c r="AD66" s="918">
        <v>1</v>
      </c>
      <c r="AE66" s="721">
        <v>3.41</v>
      </c>
      <c r="AF66" s="721">
        <v>3.86</v>
      </c>
      <c r="AG66" s="722">
        <v>4.63</v>
      </c>
      <c r="AH66" s="618" t="s">
        <v>289</v>
      </c>
      <c r="AI66" s="575"/>
      <c r="AJ66" s="575"/>
      <c r="AK66" s="575"/>
      <c r="AL66" s="575"/>
      <c r="AM66" s="575"/>
      <c r="AN66" s="575"/>
      <c r="AO66" s="575"/>
      <c r="AP66" s="575"/>
      <c r="AQ66" s="575"/>
      <c r="AR66" s="575"/>
      <c r="AS66" s="575"/>
      <c r="AT66" s="575"/>
      <c r="AU66" s="575"/>
      <c r="AV66" s="575"/>
      <c r="AW66" s="575"/>
      <c r="AX66" s="575"/>
      <c r="AY66" s="575"/>
      <c r="AZ66" s="575"/>
      <c r="BA66" s="575"/>
      <c r="BB66" s="575"/>
      <c r="BC66" s="575"/>
      <c r="BD66" s="575"/>
      <c r="BE66" s="575"/>
      <c r="BF66" s="575"/>
      <c r="BG66" s="575"/>
      <c r="BH66" s="577"/>
      <c r="BI66" s="577"/>
    </row>
    <row r="67" spans="10:61" ht="14.25" hidden="1" customHeight="1">
      <c r="J67" s="650">
        <v>500</v>
      </c>
      <c r="K67" s="619">
        <f>L67*0.88</f>
        <v>1198.9155615794114</v>
      </c>
      <c r="L67" s="620">
        <f t="shared" si="3"/>
        <v>1362.4040472493311</v>
      </c>
      <c r="M67" s="620">
        <f t="shared" si="4"/>
        <v>1721.4331269413249</v>
      </c>
      <c r="N67" s="620">
        <f t="shared" si="5"/>
        <v>1843.889699647005</v>
      </c>
      <c r="O67" s="620">
        <f t="shared" si="6"/>
        <v>2103.6249262366432</v>
      </c>
      <c r="P67" s="620">
        <f t="shared" si="7"/>
        <v>2547.6955683562492</v>
      </c>
      <c r="Q67" s="620">
        <f t="shared" si="8"/>
        <v>2664.0770403508977</v>
      </c>
      <c r="R67" s="621">
        <f>R66*1.12435712</f>
        <v>0</v>
      </c>
      <c r="S67" s="575"/>
      <c r="T67" s="650">
        <v>500</v>
      </c>
      <c r="U67" s="685"/>
      <c r="V67" s="686"/>
      <c r="W67" s="686"/>
      <c r="X67" s="686"/>
      <c r="Y67" s="686"/>
      <c r="Z67" s="686"/>
      <c r="AA67" s="686"/>
      <c r="AB67" s="687"/>
      <c r="AC67" s="575"/>
      <c r="AD67" s="575"/>
      <c r="AE67" s="575"/>
      <c r="AF67" s="575"/>
      <c r="AG67" s="575"/>
      <c r="AH67" s="575"/>
      <c r="AI67" s="575"/>
      <c r="AJ67" s="575"/>
      <c r="AK67" s="575"/>
      <c r="AL67" s="575"/>
      <c r="AM67" s="575"/>
      <c r="AN67" s="575"/>
      <c r="AO67" s="575"/>
      <c r="AP67" s="575"/>
      <c r="AQ67" s="575"/>
      <c r="AR67" s="575"/>
      <c r="AS67" s="575"/>
      <c r="AT67" s="575"/>
      <c r="AU67" s="575"/>
      <c r="AV67" s="575"/>
      <c r="AW67" s="575"/>
      <c r="AX67" s="575"/>
      <c r="AY67" s="575"/>
      <c r="AZ67" s="575"/>
      <c r="BA67" s="575"/>
      <c r="BB67" s="575"/>
      <c r="BC67" s="575"/>
      <c r="BD67" s="575"/>
      <c r="BE67" s="575"/>
      <c r="BF67" s="575"/>
      <c r="BG67" s="575"/>
      <c r="BH67" s="577"/>
      <c r="BI67" s="577"/>
    </row>
    <row r="68" spans="10:61" ht="14.25" hidden="1" customHeight="1" thickBot="1">
      <c r="J68" s="699">
        <v>600</v>
      </c>
      <c r="K68" s="622">
        <f>L68*0.88</f>
        <v>1503.5455708333784</v>
      </c>
      <c r="L68" s="623">
        <f t="shared" si="3"/>
        <v>1708.5745123106572</v>
      </c>
      <c r="M68" s="623">
        <f t="shared" si="4"/>
        <v>2158.828558442267</v>
      </c>
      <c r="N68" s="623">
        <f t="shared" si="5"/>
        <v>2312.3998718953253</v>
      </c>
      <c r="O68" s="623">
        <f>O67*1.24695214</f>
        <v>2623.1196035281246</v>
      </c>
      <c r="P68" s="623">
        <f t="shared" si="7"/>
        <v>3195.0343380209292</v>
      </c>
      <c r="Q68" s="623">
        <f t="shared" si="8"/>
        <v>3340.9869408164946</v>
      </c>
      <c r="R68" s="624">
        <f>R67*1.12435712</f>
        <v>0</v>
      </c>
      <c r="S68" s="575"/>
      <c r="T68" s="699">
        <v>600</v>
      </c>
      <c r="U68" s="688"/>
      <c r="V68" s="689"/>
      <c r="W68" s="689"/>
      <c r="X68" s="689"/>
      <c r="Y68" s="689"/>
      <c r="Z68" s="689"/>
      <c r="AA68" s="689"/>
      <c r="AB68" s="690"/>
      <c r="AC68" s="575"/>
      <c r="AD68" s="575"/>
      <c r="AE68" s="575"/>
      <c r="AF68" s="575"/>
      <c r="AG68" s="575"/>
      <c r="AH68" s="575"/>
      <c r="AI68" s="575"/>
      <c r="AJ68" s="575"/>
      <c r="AK68" s="575"/>
      <c r="AL68" s="575"/>
      <c r="AM68" s="575"/>
      <c r="AN68" s="575"/>
      <c r="AO68" s="575"/>
      <c r="AP68" s="575"/>
      <c r="AQ68" s="575"/>
      <c r="AR68" s="575"/>
      <c r="AS68" s="575"/>
      <c r="AT68" s="575"/>
      <c r="AU68" s="575"/>
      <c r="AV68" s="575"/>
      <c r="AW68" s="575"/>
      <c r="AX68" s="575"/>
      <c r="AY68" s="575"/>
      <c r="AZ68" s="575"/>
      <c r="BA68" s="575"/>
      <c r="BB68" s="575"/>
      <c r="BC68" s="575"/>
      <c r="BD68" s="575"/>
      <c r="BE68" s="575"/>
      <c r="BF68" s="575"/>
      <c r="BG68" s="575"/>
      <c r="BH68" s="577"/>
      <c r="BI68" s="577"/>
    </row>
    <row r="69" spans="10:61" ht="14.25" hidden="1" customHeight="1" thickBot="1">
      <c r="J69" s="644"/>
      <c r="K69" s="643"/>
      <c r="L69" s="629"/>
      <c r="M69" s="629"/>
      <c r="N69" s="629"/>
      <c r="O69" s="629"/>
      <c r="P69" s="629"/>
      <c r="Q69" s="629"/>
      <c r="R69" s="629"/>
      <c r="S69" s="575"/>
      <c r="T69" s="589"/>
      <c r="U69" s="626"/>
      <c r="V69" s="626"/>
      <c r="W69" s="626"/>
      <c r="X69" s="626"/>
      <c r="Y69" s="626"/>
      <c r="Z69" s="626"/>
      <c r="AA69" s="626"/>
      <c r="AB69" s="626"/>
      <c r="AC69" s="575"/>
      <c r="AD69" s="575"/>
      <c r="AE69" s="575"/>
      <c r="AF69" s="575"/>
      <c r="AG69" s="575"/>
      <c r="AH69" s="575"/>
      <c r="AI69" s="575"/>
      <c r="AJ69" s="575"/>
      <c r="AK69" s="575"/>
      <c r="AL69" s="575"/>
      <c r="AM69" s="575"/>
      <c r="AN69" s="575"/>
      <c r="AO69" s="575"/>
      <c r="AP69" s="575"/>
      <c r="AQ69" s="575"/>
      <c r="AR69" s="575"/>
      <c r="AS69" s="575"/>
      <c r="AT69" s="575"/>
      <c r="AU69" s="575"/>
      <c r="AV69" s="575"/>
      <c r="AW69" s="575"/>
      <c r="AX69" s="575"/>
      <c r="AY69" s="575"/>
      <c r="AZ69" s="575"/>
      <c r="BA69" s="575"/>
      <c r="BB69" s="575"/>
      <c r="BC69" s="575"/>
      <c r="BD69" s="575"/>
      <c r="BE69" s="575"/>
      <c r="BF69" s="575"/>
      <c r="BG69" s="575"/>
      <c r="BH69" s="577"/>
      <c r="BI69" s="577"/>
    </row>
    <row r="70" spans="10:61" ht="14.25" hidden="1" customHeight="1" thickBot="1">
      <c r="J70" s="2705" t="s">
        <v>188</v>
      </c>
      <c r="K70" s="2706"/>
      <c r="L70" s="2706"/>
      <c r="M70" s="2706"/>
      <c r="N70" s="2706"/>
      <c r="O70" s="2706"/>
      <c r="P70" s="2706"/>
      <c r="Q70" s="2706"/>
      <c r="R70" s="2707"/>
      <c r="S70" s="575"/>
      <c r="T70" s="2705" t="s">
        <v>189</v>
      </c>
      <c r="U70" s="2706"/>
      <c r="V70" s="2706"/>
      <c r="W70" s="2706"/>
      <c r="X70" s="2706"/>
      <c r="Y70" s="2706"/>
      <c r="Z70" s="2706"/>
      <c r="AA70" s="2706"/>
      <c r="AB70" s="2707"/>
      <c r="AC70" s="575"/>
      <c r="AD70" s="2705" t="s">
        <v>284</v>
      </c>
      <c r="AE70" s="2706"/>
      <c r="AF70" s="2706"/>
      <c r="AG70" s="2707"/>
      <c r="AH70" s="794" t="s">
        <v>0</v>
      </c>
      <c r="AI70" s="575"/>
      <c r="AJ70" s="575"/>
      <c r="AK70" s="575"/>
      <c r="AL70" s="575"/>
      <c r="AM70" s="575"/>
      <c r="AN70" s="575"/>
      <c r="AO70" s="575"/>
      <c r="AP70" s="575"/>
      <c r="AQ70" s="575"/>
      <c r="AR70" s="575"/>
      <c r="AS70" s="575"/>
      <c r="AT70" s="575"/>
      <c r="AU70" s="575"/>
      <c r="AV70" s="575"/>
      <c r="AW70" s="575"/>
      <c r="AX70" s="575"/>
      <c r="AY70" s="575"/>
      <c r="AZ70" s="575"/>
      <c r="BA70" s="575"/>
      <c r="BB70" s="575"/>
      <c r="BC70" s="575"/>
      <c r="BD70" s="575"/>
      <c r="BE70" s="575"/>
      <c r="BF70" s="575"/>
      <c r="BG70" s="575"/>
      <c r="BH70" s="577"/>
      <c r="BI70" s="577"/>
    </row>
    <row r="71" spans="10:61" ht="14.25" hidden="1" customHeight="1" thickBot="1">
      <c r="J71" s="1123" t="s">
        <v>1</v>
      </c>
      <c r="K71" s="2693">
        <v>160</v>
      </c>
      <c r="L71" s="2695">
        <v>200</v>
      </c>
      <c r="M71" s="2697">
        <v>260</v>
      </c>
      <c r="N71" s="2699">
        <v>300</v>
      </c>
      <c r="O71" s="2700"/>
      <c r="P71" s="2697">
        <v>360</v>
      </c>
      <c r="Q71" s="2699">
        <v>400</v>
      </c>
      <c r="R71" s="2701"/>
      <c r="S71" s="575"/>
      <c r="T71" s="1123" t="s">
        <v>1</v>
      </c>
      <c r="U71" s="2693">
        <v>160</v>
      </c>
      <c r="V71" s="2695">
        <v>200</v>
      </c>
      <c r="W71" s="2697">
        <v>260</v>
      </c>
      <c r="X71" s="2699">
        <v>300</v>
      </c>
      <c r="Y71" s="2700"/>
      <c r="Z71" s="2697">
        <v>360</v>
      </c>
      <c r="AA71" s="2699">
        <v>400</v>
      </c>
      <c r="AB71" s="2701"/>
      <c r="AC71" s="575"/>
      <c r="AD71" s="814">
        <v>0</v>
      </c>
      <c r="AE71" s="815">
        <v>1</v>
      </c>
      <c r="AF71" s="816">
        <v>2</v>
      </c>
      <c r="AG71" s="817">
        <v>3</v>
      </c>
      <c r="AH71" s="587" t="s">
        <v>285</v>
      </c>
      <c r="AI71" s="575"/>
      <c r="AJ71" s="575"/>
      <c r="AK71" s="575"/>
      <c r="AL71" s="575"/>
      <c r="AM71" s="575"/>
      <c r="AN71" s="575"/>
      <c r="AO71" s="575"/>
      <c r="AP71" s="575"/>
      <c r="AQ71" s="575"/>
      <c r="AR71" s="575"/>
      <c r="AS71" s="575"/>
      <c r="AT71" s="575"/>
      <c r="AU71" s="575"/>
      <c r="AV71" s="575"/>
      <c r="AW71" s="575"/>
      <c r="AX71" s="575"/>
      <c r="AY71" s="575"/>
      <c r="AZ71" s="575"/>
      <c r="BA71" s="575"/>
      <c r="BB71" s="575"/>
      <c r="BC71" s="575"/>
      <c r="BD71" s="575"/>
      <c r="BE71" s="575"/>
      <c r="BF71" s="575"/>
      <c r="BG71" s="575"/>
      <c r="BH71" s="577"/>
      <c r="BI71" s="577"/>
    </row>
    <row r="72" spans="10:61" ht="14.25" hidden="1" customHeight="1" thickBot="1">
      <c r="J72" s="795" t="s">
        <v>0</v>
      </c>
      <c r="K72" s="2694"/>
      <c r="L72" s="2696"/>
      <c r="M72" s="2698"/>
      <c r="N72" s="1124">
        <v>2</v>
      </c>
      <c r="O72" s="1124">
        <v>4</v>
      </c>
      <c r="P72" s="2698"/>
      <c r="Q72" s="1124">
        <v>1</v>
      </c>
      <c r="R72" s="813">
        <v>2</v>
      </c>
      <c r="S72" s="575"/>
      <c r="T72" s="795" t="s">
        <v>0</v>
      </c>
      <c r="U72" s="2694"/>
      <c r="V72" s="2696"/>
      <c r="W72" s="2698"/>
      <c r="X72" s="1125">
        <v>1</v>
      </c>
      <c r="Y72" s="1125">
        <v>2</v>
      </c>
      <c r="Z72" s="2698"/>
      <c r="AA72" s="1125">
        <v>1</v>
      </c>
      <c r="AB72" s="704">
        <v>2</v>
      </c>
      <c r="AC72" s="575"/>
      <c r="AD72" s="818">
        <v>1</v>
      </c>
      <c r="AE72" s="820">
        <v>4.75</v>
      </c>
      <c r="AF72" s="820">
        <v>5.66</v>
      </c>
      <c r="AG72" s="820">
        <v>6.53</v>
      </c>
      <c r="AH72" s="820">
        <v>75</v>
      </c>
      <c r="AI72" s="575"/>
      <c r="AJ72" s="575"/>
      <c r="AK72" s="575"/>
      <c r="AL72" s="575"/>
      <c r="AM72" s="575"/>
      <c r="AN72" s="575"/>
      <c r="AO72" s="575"/>
      <c r="AP72" s="575"/>
      <c r="AQ72" s="575"/>
      <c r="AR72" s="575"/>
      <c r="AS72" s="575"/>
      <c r="AT72" s="575"/>
      <c r="AU72" s="575"/>
      <c r="AV72" s="575"/>
      <c r="AW72" s="575"/>
      <c r="AX72" s="575"/>
      <c r="AY72" s="575"/>
      <c r="AZ72" s="575"/>
      <c r="BA72" s="575"/>
      <c r="BB72" s="575"/>
      <c r="BC72" s="575"/>
      <c r="BD72" s="575"/>
      <c r="BE72" s="575"/>
      <c r="BF72" s="575"/>
      <c r="BG72" s="575"/>
      <c r="BH72" s="577"/>
      <c r="BI72" s="577"/>
    </row>
    <row r="73" spans="10:61" ht="14.25" hidden="1" customHeight="1">
      <c r="J73" s="810">
        <v>75</v>
      </c>
      <c r="K73" s="804">
        <f>L73*0.9</f>
        <v>191.77668</v>
      </c>
      <c r="L73" s="796">
        <f>L74*0.71</f>
        <v>213.08519999999999</v>
      </c>
      <c r="M73" s="797">
        <f>279*0.82*1.2</f>
        <v>274.53599999999994</v>
      </c>
      <c r="N73" s="797">
        <f>309*0.82*1.2</f>
        <v>304.05599999999998</v>
      </c>
      <c r="O73" s="700">
        <v>0</v>
      </c>
      <c r="P73" s="797">
        <f>431*0.82*1.2</f>
        <v>424.10399999999993</v>
      </c>
      <c r="Q73" s="797">
        <f>463*0.82*1.2</f>
        <v>455.59199999999993</v>
      </c>
      <c r="R73" s="701">
        <v>0</v>
      </c>
      <c r="S73" s="575"/>
      <c r="T73" s="810">
        <v>75</v>
      </c>
      <c r="U73" s="822">
        <v>1.7</v>
      </c>
      <c r="V73" s="823">
        <v>1.65</v>
      </c>
      <c r="W73" s="823">
        <v>1.6</v>
      </c>
      <c r="X73" s="823">
        <v>1.55</v>
      </c>
      <c r="Y73" s="823">
        <v>1.55</v>
      </c>
      <c r="Z73" s="823">
        <v>1.5</v>
      </c>
      <c r="AA73" s="823">
        <v>1.45</v>
      </c>
      <c r="AB73" s="824">
        <v>1.45</v>
      </c>
      <c r="AC73" s="575"/>
      <c r="AD73" s="819">
        <v>1</v>
      </c>
      <c r="AE73" s="803">
        <v>3.41</v>
      </c>
      <c r="AF73" s="803">
        <v>3.96</v>
      </c>
      <c r="AG73" s="803">
        <v>4.72</v>
      </c>
      <c r="AH73" s="803">
        <v>90</v>
      </c>
      <c r="AI73" s="575"/>
      <c r="AJ73" s="575"/>
      <c r="AK73" s="575"/>
      <c r="AL73" s="575"/>
      <c r="AM73" s="575"/>
      <c r="AN73" s="575"/>
      <c r="AO73" s="575"/>
      <c r="AP73" s="575"/>
      <c r="AQ73" s="575"/>
      <c r="AR73" s="575"/>
      <c r="AS73" s="575"/>
      <c r="AT73" s="575"/>
      <c r="AU73" s="575"/>
      <c r="AV73" s="575"/>
      <c r="AW73" s="575"/>
      <c r="AX73" s="575"/>
      <c r="AY73" s="575"/>
      <c r="AZ73" s="575"/>
      <c r="BA73" s="575"/>
      <c r="BB73" s="575"/>
      <c r="BC73" s="575"/>
      <c r="BD73" s="575"/>
      <c r="BE73" s="575"/>
      <c r="BF73" s="575"/>
      <c r="BG73" s="575"/>
      <c r="BH73" s="577"/>
      <c r="BI73" s="577"/>
    </row>
    <row r="74" spans="10:61" ht="14.25" hidden="1" customHeight="1">
      <c r="J74" s="811">
        <v>90</v>
      </c>
      <c r="K74" s="651">
        <f>L74*0.89</f>
        <v>267.10680000000002</v>
      </c>
      <c r="L74" s="805">
        <f>305*0.82*1.2</f>
        <v>300.12</v>
      </c>
      <c r="M74" s="798">
        <f>404*0.82*1.2</f>
        <v>397.53599999999994</v>
      </c>
      <c r="N74" s="798">
        <f>469*0.82*1.2</f>
        <v>461.49599999999998</v>
      </c>
      <c r="O74" s="798">
        <v>0</v>
      </c>
      <c r="P74" s="798">
        <f>582*0.82*1.2</f>
        <v>572.68799999999987</v>
      </c>
      <c r="Q74" s="798">
        <f>644*0.82*1.2</f>
        <v>633.69599999999991</v>
      </c>
      <c r="R74" s="806">
        <v>0</v>
      </c>
      <c r="S74" s="575"/>
      <c r="T74" s="811">
        <v>90</v>
      </c>
      <c r="U74" s="825">
        <v>1.6</v>
      </c>
      <c r="V74" s="826">
        <v>1.55</v>
      </c>
      <c r="W74" s="826">
        <v>1.5</v>
      </c>
      <c r="X74" s="826">
        <v>1.45</v>
      </c>
      <c r="Y74" s="826">
        <v>1.45</v>
      </c>
      <c r="Z74" s="826">
        <v>1.4</v>
      </c>
      <c r="AA74" s="826">
        <v>1.3</v>
      </c>
      <c r="AB74" s="827">
        <v>1.3</v>
      </c>
      <c r="AC74" s="575"/>
      <c r="AD74" s="819">
        <v>1</v>
      </c>
      <c r="AE74" s="803">
        <v>3.41</v>
      </c>
      <c r="AF74" s="803">
        <v>3.96</v>
      </c>
      <c r="AG74" s="803">
        <v>4.93</v>
      </c>
      <c r="AH74" s="803">
        <v>110</v>
      </c>
      <c r="AI74" s="575"/>
      <c r="AJ74" s="575"/>
      <c r="AK74" s="575"/>
      <c r="AL74" s="575"/>
      <c r="AM74" s="575"/>
      <c r="AN74" s="575"/>
      <c r="AO74" s="575"/>
      <c r="AP74" s="575"/>
      <c r="AQ74" s="575"/>
      <c r="AR74" s="575"/>
      <c r="AS74" s="575"/>
      <c r="AT74" s="575"/>
      <c r="AU74" s="575"/>
      <c r="AV74" s="575"/>
      <c r="AW74" s="575"/>
      <c r="AX74" s="575"/>
      <c r="AY74" s="575"/>
      <c r="AZ74" s="575"/>
      <c r="BA74" s="575"/>
      <c r="BB74" s="575"/>
      <c r="BC74" s="575"/>
      <c r="BD74" s="575"/>
      <c r="BE74" s="575"/>
      <c r="BF74" s="575"/>
      <c r="BG74" s="575"/>
      <c r="BH74" s="577"/>
      <c r="BI74" s="577"/>
    </row>
    <row r="75" spans="10:61" ht="14.25" hidden="1" customHeight="1">
      <c r="J75" s="811">
        <v>110</v>
      </c>
      <c r="K75" s="651">
        <f>L75*0.88</f>
        <v>331.21165312857602</v>
      </c>
      <c r="L75" s="799">
        <f>L74*1.25408796</f>
        <v>376.37687855519999</v>
      </c>
      <c r="M75" s="798">
        <f>483*0.82</f>
        <v>396.06</v>
      </c>
      <c r="N75" s="798">
        <f>534*0.82</f>
        <v>437.88</v>
      </c>
      <c r="O75" s="627">
        <v>0</v>
      </c>
      <c r="P75" s="627">
        <f>L75*1.87</f>
        <v>703.82476289822398</v>
      </c>
      <c r="Q75" s="798">
        <f>780*0.82*1.2</f>
        <v>767.51999999999987</v>
      </c>
      <c r="R75" s="628">
        <v>0</v>
      </c>
      <c r="S75" s="575"/>
      <c r="T75" s="811">
        <v>110</v>
      </c>
      <c r="U75" s="825">
        <v>1.5</v>
      </c>
      <c r="V75" s="826">
        <v>1.3</v>
      </c>
      <c r="W75" s="826">
        <v>1.3</v>
      </c>
      <c r="X75" s="826">
        <v>1.3</v>
      </c>
      <c r="Y75" s="826">
        <v>1.3</v>
      </c>
      <c r="Z75" s="826">
        <v>1.3</v>
      </c>
      <c r="AA75" s="826">
        <v>1.3</v>
      </c>
      <c r="AB75" s="827">
        <v>1.3</v>
      </c>
      <c r="AC75" s="575"/>
      <c r="AD75" s="819">
        <v>1</v>
      </c>
      <c r="AE75" s="803">
        <v>3.41</v>
      </c>
      <c r="AF75" s="803">
        <v>3.96</v>
      </c>
      <c r="AG75" s="803">
        <v>4.93</v>
      </c>
      <c r="AH75" s="803">
        <v>150</v>
      </c>
      <c r="AI75" s="575"/>
      <c r="AJ75" s="575"/>
      <c r="AK75" s="575"/>
      <c r="AL75" s="575"/>
      <c r="AM75" s="575"/>
      <c r="AN75" s="575"/>
      <c r="AO75" s="575"/>
      <c r="AP75" s="575"/>
      <c r="AQ75" s="575"/>
      <c r="AR75" s="575"/>
      <c r="AS75" s="575"/>
      <c r="AT75" s="575"/>
      <c r="AU75" s="575"/>
      <c r="AV75" s="575"/>
      <c r="AW75" s="575"/>
      <c r="AX75" s="575"/>
      <c r="AY75" s="575"/>
      <c r="AZ75" s="575"/>
      <c r="BA75" s="575"/>
      <c r="BB75" s="575"/>
      <c r="BC75" s="575"/>
      <c r="BD75" s="575"/>
      <c r="BE75" s="575"/>
      <c r="BF75" s="575"/>
      <c r="BG75" s="575"/>
      <c r="BH75" s="577"/>
      <c r="BI75" s="577"/>
    </row>
    <row r="76" spans="10:61" ht="14.25" hidden="1" customHeight="1">
      <c r="J76" s="812">
        <v>150</v>
      </c>
      <c r="K76" s="807">
        <f>365*0.82*1.2</f>
        <v>359.15999999999991</v>
      </c>
      <c r="L76" s="808">
        <f>459*0.82*1.2</f>
        <v>451.65600000000001</v>
      </c>
      <c r="M76" s="800">
        <f>763*0.82*1.2</f>
        <v>750.79199999999992</v>
      </c>
      <c r="N76" s="809">
        <v>0</v>
      </c>
      <c r="O76" s="800">
        <f>791*0.82*1.2</f>
        <v>778.34399999999994</v>
      </c>
      <c r="P76" s="800">
        <f>962*0.82*1.2</f>
        <v>946.60799999999983</v>
      </c>
      <c r="Q76" s="800">
        <f>1034*0.82*1.2</f>
        <v>1017.4559999999999</v>
      </c>
      <c r="R76" s="801">
        <v>0</v>
      </c>
      <c r="S76" s="575"/>
      <c r="T76" s="812">
        <v>150</v>
      </c>
      <c r="U76" s="825">
        <v>1.4</v>
      </c>
      <c r="V76" s="826">
        <v>1.35</v>
      </c>
      <c r="W76" s="826">
        <v>1.32</v>
      </c>
      <c r="X76" s="826"/>
      <c r="Y76" s="826">
        <v>1.3</v>
      </c>
      <c r="Z76" s="826">
        <v>1.28</v>
      </c>
      <c r="AA76" s="826"/>
      <c r="AB76" s="827">
        <v>1.25</v>
      </c>
      <c r="AC76" s="575"/>
      <c r="AD76" s="819">
        <v>1</v>
      </c>
      <c r="AE76" s="803">
        <v>2.73</v>
      </c>
      <c r="AF76" s="803">
        <v>3.11</v>
      </c>
      <c r="AG76" s="803">
        <v>3.89</v>
      </c>
      <c r="AH76" s="803">
        <v>150.16</v>
      </c>
      <c r="AI76" s="575"/>
      <c r="AJ76" s="575"/>
      <c r="AK76" s="575"/>
      <c r="AL76" s="575"/>
      <c r="AM76" s="575"/>
      <c r="AN76" s="575"/>
      <c r="AO76" s="575"/>
      <c r="AP76" s="575"/>
      <c r="AQ76" s="575"/>
      <c r="AR76" s="575"/>
      <c r="AS76" s="575"/>
      <c r="AT76" s="575"/>
      <c r="AU76" s="575"/>
      <c r="AV76" s="575"/>
      <c r="AW76" s="575"/>
      <c r="AX76" s="575"/>
      <c r="AY76" s="575"/>
      <c r="AZ76" s="575"/>
      <c r="BA76" s="575"/>
      <c r="BB76" s="575"/>
      <c r="BC76" s="575"/>
      <c r="BD76" s="575"/>
      <c r="BE76" s="575"/>
      <c r="BF76" s="575"/>
      <c r="BG76" s="575"/>
      <c r="BH76" s="577"/>
      <c r="BI76" s="577"/>
    </row>
    <row r="77" spans="10:61" ht="14.25" hidden="1" customHeight="1">
      <c r="J77" s="799">
        <v>200</v>
      </c>
      <c r="K77" s="651">
        <f>L77*0.88</f>
        <v>498.44638946234869</v>
      </c>
      <c r="L77" s="799">
        <f>L76*1.25408796</f>
        <v>566.4163516617599</v>
      </c>
      <c r="M77" s="627">
        <f>L77*1.26352614</f>
        <v>715.6818664480661</v>
      </c>
      <c r="N77" s="627">
        <f>M77*1.07113641</f>
        <v>766.59290512928101</v>
      </c>
      <c r="O77" s="627">
        <f>O76*1.24695214</f>
        <v>970.55771645616005</v>
      </c>
      <c r="P77" s="627">
        <f>L77*1.87</f>
        <v>1059.1985776074912</v>
      </c>
      <c r="Q77" s="627">
        <f>L77*1.95542361</f>
        <v>1107.5839071294681</v>
      </c>
      <c r="R77" s="628">
        <f>R76*1.12435712</f>
        <v>0</v>
      </c>
      <c r="S77" s="575"/>
      <c r="T77" s="811">
        <v>200</v>
      </c>
      <c r="U77" s="825"/>
      <c r="V77" s="826"/>
      <c r="W77" s="826"/>
      <c r="X77" s="826"/>
      <c r="Y77" s="826"/>
      <c r="Z77" s="826"/>
      <c r="AA77" s="826"/>
      <c r="AB77" s="827"/>
      <c r="AC77" s="575"/>
      <c r="AD77" s="575"/>
      <c r="AE77" s="821">
        <v>2.73</v>
      </c>
      <c r="AF77" s="821">
        <v>2.83</v>
      </c>
      <c r="AG77" s="821">
        <v>3.66</v>
      </c>
      <c r="AH77" s="821" t="s">
        <v>287</v>
      </c>
      <c r="AI77" s="575"/>
      <c r="AJ77" s="575"/>
      <c r="AK77" s="575"/>
      <c r="AL77" s="575"/>
      <c r="AM77" s="575"/>
      <c r="AN77" s="575"/>
      <c r="AO77" s="575"/>
      <c r="AP77" s="575"/>
      <c r="AQ77" s="575"/>
      <c r="AR77" s="575"/>
      <c r="AS77" s="575"/>
      <c r="AT77" s="575"/>
      <c r="AU77" s="575"/>
      <c r="AV77" s="575"/>
      <c r="AW77" s="575"/>
      <c r="AX77" s="575"/>
      <c r="AY77" s="575"/>
      <c r="AZ77" s="575"/>
      <c r="BA77" s="575"/>
      <c r="BB77" s="575"/>
      <c r="BC77" s="575"/>
      <c r="BD77" s="575"/>
      <c r="BE77" s="575"/>
      <c r="BF77" s="575"/>
      <c r="BG77" s="575"/>
      <c r="BH77" s="577"/>
      <c r="BI77" s="577"/>
    </row>
    <row r="78" spans="10:61" ht="14.25" hidden="1" customHeight="1">
      <c r="J78" s="799">
        <v>300</v>
      </c>
      <c r="K78" s="651">
        <f>L78*0.88</f>
        <v>625.09561573020233</v>
      </c>
      <c r="L78" s="799">
        <f>L77*1.25408796</f>
        <v>710.33592696613903</v>
      </c>
      <c r="M78" s="627">
        <f>L78*1.26352614</f>
        <v>897.52801190284754</v>
      </c>
      <c r="N78" s="627">
        <f>M78*1.07113641</f>
        <v>961.37493254405342</v>
      </c>
      <c r="O78" s="627">
        <f>O77*1.24695214</f>
        <v>1210.239021528522</v>
      </c>
      <c r="P78" s="627">
        <f>L78*1.87</f>
        <v>1328.32818342668</v>
      </c>
      <c r="Q78" s="627">
        <f>L78*1.95542361</f>
        <v>1389.0076426208238</v>
      </c>
      <c r="R78" s="628">
        <f>R77*1.12435712</f>
        <v>0</v>
      </c>
      <c r="S78" s="575"/>
      <c r="T78" s="811">
        <v>300</v>
      </c>
      <c r="U78" s="825"/>
      <c r="V78" s="826"/>
      <c r="W78" s="826"/>
      <c r="X78" s="826"/>
      <c r="Y78" s="826"/>
      <c r="Z78" s="826"/>
      <c r="AA78" s="826"/>
      <c r="AB78" s="827"/>
      <c r="AC78" s="575"/>
      <c r="AD78" s="575"/>
      <c r="AE78" s="630">
        <v>3.41</v>
      </c>
      <c r="AF78" s="630">
        <v>3.86</v>
      </c>
      <c r="AG78" s="630">
        <v>4.63</v>
      </c>
      <c r="AH78" s="630" t="s">
        <v>289</v>
      </c>
      <c r="AI78" s="575"/>
      <c r="AJ78" s="575"/>
      <c r="AK78" s="575"/>
      <c r="AL78" s="575"/>
      <c r="AM78" s="575"/>
      <c r="AN78" s="575"/>
      <c r="AO78" s="575"/>
      <c r="AP78" s="575"/>
      <c r="AQ78" s="575"/>
      <c r="AR78" s="575"/>
      <c r="AS78" s="575"/>
      <c r="AT78" s="575"/>
      <c r="AU78" s="575"/>
      <c r="AV78" s="575"/>
      <c r="AW78" s="575"/>
      <c r="AX78" s="575"/>
      <c r="AY78" s="575"/>
      <c r="AZ78" s="575"/>
      <c r="BA78" s="575"/>
      <c r="BB78" s="575"/>
      <c r="BC78" s="575"/>
      <c r="BD78" s="575"/>
      <c r="BE78" s="575"/>
      <c r="BF78" s="575"/>
      <c r="BG78" s="575"/>
      <c r="BH78" s="577"/>
      <c r="BI78" s="577"/>
    </row>
    <row r="79" spans="10:61" ht="14.25" hidden="1" customHeight="1">
      <c r="J79" s="799">
        <v>400</v>
      </c>
      <c r="K79" s="651">
        <f>L79*0.88</f>
        <v>783.92488553603323</v>
      </c>
      <c r="L79" s="799">
        <f>L78*1.25408796</f>
        <v>890.82373356367418</v>
      </c>
      <c r="M79" s="627">
        <f>L79*1.26352614</f>
        <v>1125.5790734900977</v>
      </c>
      <c r="N79" s="627">
        <f>M79*1.07113641</f>
        <v>1205.6487279493094</v>
      </c>
      <c r="O79" s="627">
        <f>O78*1.24695214</f>
        <v>1509.1101378064968</v>
      </c>
      <c r="P79" s="627">
        <f>L79*1.87</f>
        <v>1665.8403817640708</v>
      </c>
      <c r="Q79" s="627">
        <f>L79*1.95542361</f>
        <v>1741.937760958758</v>
      </c>
      <c r="R79" s="628">
        <f>R78*1.12435712</f>
        <v>0</v>
      </c>
      <c r="S79" s="575"/>
      <c r="T79" s="811">
        <v>400</v>
      </c>
      <c r="U79" s="825"/>
      <c r="V79" s="826"/>
      <c r="W79" s="826"/>
      <c r="X79" s="826"/>
      <c r="Y79" s="826"/>
      <c r="Z79" s="826"/>
      <c r="AA79" s="826"/>
      <c r="AB79" s="827"/>
      <c r="AC79" s="575"/>
      <c r="AD79" s="575"/>
      <c r="AE79" s="575"/>
      <c r="AF79" s="575"/>
      <c r="AG79" s="575"/>
      <c r="AH79" s="575"/>
      <c r="AI79" s="575"/>
      <c r="AJ79" s="575"/>
      <c r="AK79" s="575"/>
      <c r="AL79" s="575"/>
      <c r="AM79" s="575"/>
      <c r="AN79" s="575"/>
      <c r="AO79" s="575"/>
      <c r="AP79" s="575"/>
      <c r="AQ79" s="575"/>
      <c r="AR79" s="575"/>
      <c r="AS79" s="575"/>
      <c r="AT79" s="575"/>
      <c r="AU79" s="575"/>
      <c r="AV79" s="575"/>
      <c r="AW79" s="575"/>
      <c r="AX79" s="575"/>
      <c r="AY79" s="575"/>
      <c r="AZ79" s="575"/>
      <c r="BA79" s="575"/>
      <c r="BB79" s="575"/>
      <c r="BC79" s="575"/>
      <c r="BD79" s="575"/>
      <c r="BE79" s="575"/>
      <c r="BF79" s="575"/>
      <c r="BG79" s="575"/>
      <c r="BH79" s="577"/>
      <c r="BI79" s="577"/>
    </row>
    <row r="80" spans="10:61" ht="14.25" hidden="1" customHeight="1">
      <c r="J80" s="799">
        <v>500</v>
      </c>
      <c r="K80" s="651">
        <f>L80*0.88</f>
        <v>983.11076049511735</v>
      </c>
      <c r="L80" s="799">
        <f>L79*1.25408796</f>
        <v>1117.1713187444516</v>
      </c>
      <c r="M80" s="627">
        <f>L80*1.26352614</f>
        <v>1411.5751640918866</v>
      </c>
      <c r="N80" s="627">
        <f>M80*1.07113641</f>
        <v>1511.9895537105444</v>
      </c>
      <c r="O80" s="627">
        <f>O79*1.24695214</f>
        <v>1881.7881158335063</v>
      </c>
      <c r="P80" s="627">
        <f>L80*1.87</f>
        <v>2089.1103660521244</v>
      </c>
      <c r="Q80" s="627">
        <f>L80*1.95542361</f>
        <v>2184.5431730877362</v>
      </c>
      <c r="R80" s="628">
        <f>R79*1.12435712</f>
        <v>0</v>
      </c>
      <c r="S80" s="575"/>
      <c r="T80" s="811">
        <v>500</v>
      </c>
      <c r="U80" s="825"/>
      <c r="V80" s="826"/>
      <c r="W80" s="826"/>
      <c r="X80" s="826"/>
      <c r="Y80" s="826"/>
      <c r="Z80" s="826"/>
      <c r="AA80" s="826"/>
      <c r="AB80" s="827"/>
      <c r="AC80" s="575"/>
      <c r="AD80" s="575"/>
      <c r="AE80" s="575"/>
      <c r="AF80" s="575"/>
      <c r="AG80" s="575"/>
      <c r="AH80" s="575"/>
      <c r="AI80" s="575"/>
      <c r="AJ80" s="575"/>
      <c r="AK80" s="575"/>
      <c r="AL80" s="575"/>
      <c r="AM80" s="575"/>
      <c r="AN80" s="575"/>
      <c r="AO80" s="575"/>
      <c r="AP80" s="575"/>
      <c r="AQ80" s="575"/>
      <c r="AR80" s="575"/>
      <c r="AS80" s="575"/>
      <c r="AT80" s="575"/>
      <c r="AU80" s="575"/>
      <c r="AV80" s="575"/>
      <c r="AW80" s="575"/>
      <c r="AX80" s="575"/>
      <c r="AY80" s="575"/>
      <c r="AZ80" s="575"/>
      <c r="BA80" s="575"/>
      <c r="BB80" s="575"/>
      <c r="BC80" s="575"/>
      <c r="BD80" s="575"/>
      <c r="BE80" s="575"/>
      <c r="BF80" s="575"/>
      <c r="BG80" s="575"/>
      <c r="BH80" s="577"/>
      <c r="BI80" s="577"/>
    </row>
    <row r="81" spans="1:110" ht="14.25" hidden="1" customHeight="1" thickBot="1">
      <c r="J81" s="802">
        <v>600</v>
      </c>
      <c r="K81" s="618">
        <f>L81*0.88</f>
        <v>1232.9073680833703</v>
      </c>
      <c r="L81" s="802">
        <f>L80*1.25408796</f>
        <v>1401.031100094739</v>
      </c>
      <c r="M81" s="703">
        <f>L81*1.26352614</f>
        <v>1770.2394179226592</v>
      </c>
      <c r="N81" s="703">
        <f>M81*1.07113641</f>
        <v>1896.167894954167</v>
      </c>
      <c r="O81" s="703">
        <f>O80*1.24695214</f>
        <v>2346.4997180651585</v>
      </c>
      <c r="P81" s="703">
        <f>L81*1.87</f>
        <v>2619.9281571771621</v>
      </c>
      <c r="Q81" s="703">
        <f>L81*1.95542361</f>
        <v>2739.6092914695259</v>
      </c>
      <c r="R81" s="704">
        <f>R80*1.12435712</f>
        <v>0</v>
      </c>
      <c r="S81" s="575"/>
      <c r="T81" s="946">
        <v>600</v>
      </c>
      <c r="U81" s="828"/>
      <c r="V81" s="829"/>
      <c r="W81" s="829"/>
      <c r="X81" s="829"/>
      <c r="Y81" s="829"/>
      <c r="Z81" s="829"/>
      <c r="AA81" s="829"/>
      <c r="AB81" s="830"/>
      <c r="AC81" s="575"/>
      <c r="AD81" s="575"/>
      <c r="AE81" s="575"/>
      <c r="AF81" s="575"/>
      <c r="AG81" s="575"/>
      <c r="AH81" s="575"/>
      <c r="AI81" s="575"/>
      <c r="AJ81" s="575"/>
      <c r="AK81" s="575"/>
      <c r="AL81" s="575"/>
      <c r="AM81" s="575"/>
      <c r="AN81" s="575"/>
      <c r="AO81" s="575"/>
      <c r="AP81" s="575"/>
      <c r="AQ81" s="575"/>
      <c r="AR81" s="575"/>
      <c r="AS81" s="575"/>
      <c r="AT81" s="575"/>
      <c r="AU81" s="575"/>
      <c r="AV81" s="575"/>
      <c r="AW81" s="575"/>
      <c r="AX81" s="575"/>
      <c r="AY81" s="575"/>
      <c r="AZ81" s="575"/>
      <c r="BA81" s="575"/>
      <c r="BB81" s="575"/>
      <c r="BC81" s="575"/>
      <c r="BD81" s="575"/>
      <c r="BE81" s="575"/>
      <c r="BF81" s="575"/>
      <c r="BG81" s="575"/>
      <c r="BH81" s="577"/>
      <c r="BI81" s="577"/>
    </row>
    <row r="82" spans="1:110" ht="14.25" hidden="1" customHeight="1">
      <c r="B82" s="2654" t="s">
        <v>191</v>
      </c>
      <c r="J82" s="644"/>
      <c r="K82" s="643"/>
      <c r="L82" s="629"/>
      <c r="M82" s="629"/>
      <c r="N82" s="629"/>
      <c r="O82" s="629"/>
      <c r="P82" s="629"/>
      <c r="Q82" s="629"/>
      <c r="R82" s="629"/>
      <c r="S82" s="575"/>
      <c r="T82" s="589"/>
      <c r="U82" s="626"/>
      <c r="V82" s="626"/>
      <c r="W82" s="626"/>
      <c r="X82" s="626"/>
      <c r="Y82" s="626"/>
      <c r="Z82" s="626"/>
      <c r="AA82" s="626"/>
      <c r="AB82" s="626"/>
      <c r="AC82" s="575"/>
      <c r="AD82" s="575"/>
      <c r="AE82" s="575"/>
      <c r="AF82" s="575"/>
      <c r="AG82" s="575"/>
      <c r="AH82" s="575"/>
      <c r="AI82" s="575"/>
      <c r="AJ82" s="575"/>
      <c r="AK82" s="575"/>
      <c r="AL82" s="575"/>
      <c r="AM82" s="575"/>
      <c r="AN82" s="575"/>
      <c r="AO82" s="575"/>
      <c r="AP82" s="575"/>
      <c r="AQ82" s="575"/>
      <c r="AR82" s="575"/>
      <c r="AS82" s="575"/>
      <c r="AT82" s="575"/>
      <c r="AU82" s="575"/>
      <c r="AV82" s="575"/>
      <c r="AW82" s="575"/>
      <c r="AX82" s="575"/>
      <c r="AY82" s="575"/>
      <c r="AZ82" s="575"/>
      <c r="BA82" s="575"/>
      <c r="BB82" s="575"/>
      <c r="BC82" s="575"/>
      <c r="BD82" s="575"/>
      <c r="BE82" s="575"/>
      <c r="BF82" s="575"/>
      <c r="BG82" s="575"/>
      <c r="BH82" s="577"/>
      <c r="BI82" s="577"/>
    </row>
    <row r="83" spans="1:110" ht="14.25" hidden="1" customHeight="1" thickBot="1">
      <c r="B83" s="2654"/>
      <c r="H83" s="630"/>
      <c r="I83" s="625"/>
      <c r="J83" s="625"/>
      <c r="K83" s="625"/>
      <c r="L83" s="625"/>
      <c r="M83" s="625"/>
      <c r="N83" s="625"/>
      <c r="O83" s="625"/>
      <c r="P83" s="575"/>
      <c r="Q83" s="589"/>
      <c r="R83" s="626"/>
      <c r="S83" s="626"/>
      <c r="T83" s="626"/>
      <c r="U83" s="626"/>
      <c r="V83" s="626"/>
      <c r="W83" s="626"/>
      <c r="X83" s="626"/>
      <c r="Y83" s="626"/>
      <c r="Z83" s="575"/>
      <c r="AA83" s="575"/>
      <c r="AB83" s="575"/>
      <c r="AC83" s="575"/>
      <c r="AD83" s="575"/>
      <c r="AE83" s="575"/>
      <c r="AF83" s="575"/>
      <c r="AG83" s="575"/>
      <c r="AH83" s="575"/>
      <c r="AI83" s="575"/>
      <c r="AJ83" s="575"/>
      <c r="AK83" s="575"/>
      <c r="AL83" s="575"/>
      <c r="AM83" s="575"/>
      <c r="AN83" s="575"/>
      <c r="AO83" s="575"/>
      <c r="AP83" s="575"/>
      <c r="AQ83" s="575"/>
      <c r="AR83" s="575"/>
      <c r="AS83" s="575"/>
      <c r="AT83" s="575"/>
      <c r="AU83" s="575"/>
      <c r="AV83" s="575"/>
      <c r="AW83" s="575"/>
      <c r="AX83" s="575"/>
      <c r="AY83" s="575"/>
      <c r="AZ83" s="575"/>
      <c r="BA83" s="575"/>
      <c r="BB83" s="575"/>
      <c r="BC83" s="575"/>
      <c r="BD83" s="575"/>
      <c r="BE83" s="577"/>
      <c r="BF83" s="577"/>
    </row>
    <row r="84" spans="1:110" ht="31.5" hidden="1" customHeight="1" thickBot="1">
      <c r="B84" s="2121"/>
      <c r="C84" s="2121"/>
      <c r="D84" s="637"/>
      <c r="E84" s="642"/>
      <c r="F84" s="642"/>
      <c r="G84" s="638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737"/>
    </row>
    <row r="85" spans="1:110" ht="15.75" customHeight="1" thickBot="1">
      <c r="A85" s="17"/>
      <c r="B85" s="2767" t="s">
        <v>343</v>
      </c>
      <c r="C85" s="2768"/>
      <c r="D85" s="2487" t="s">
        <v>192</v>
      </c>
      <c r="E85" s="2489" t="s">
        <v>0</v>
      </c>
      <c r="F85" s="2489" t="s">
        <v>1</v>
      </c>
      <c r="G85" s="2491" t="s">
        <v>153</v>
      </c>
      <c r="H85" s="2514" t="s">
        <v>16</v>
      </c>
      <c r="I85" s="2493"/>
      <c r="J85" s="2493"/>
      <c r="K85" s="2493"/>
      <c r="L85" s="2493"/>
      <c r="M85" s="2493"/>
      <c r="N85" s="2493"/>
      <c r="O85" s="2493"/>
      <c r="P85" s="2493"/>
      <c r="Q85" s="2493"/>
      <c r="R85" s="2493"/>
      <c r="S85" s="2493"/>
      <c r="T85" s="2493"/>
      <c r="U85" s="2493"/>
      <c r="V85" s="2493"/>
      <c r="W85" s="2493"/>
      <c r="X85" s="2493"/>
      <c r="Y85" s="2493"/>
      <c r="Z85" s="2493"/>
      <c r="AA85" s="2493"/>
      <c r="AB85" s="2493"/>
      <c r="AC85" s="2493"/>
      <c r="AD85" s="2493"/>
      <c r="AE85" s="2493"/>
      <c r="AF85" s="2493"/>
      <c r="AG85" s="2493"/>
      <c r="AH85" s="2493"/>
      <c r="AI85" s="2493"/>
      <c r="AJ85" s="2493"/>
      <c r="AK85" s="2493"/>
      <c r="AL85" s="2493"/>
      <c r="AM85" s="2493"/>
      <c r="AN85" s="2493"/>
      <c r="AO85" s="2493"/>
      <c r="AP85" s="2493"/>
      <c r="AQ85" s="2493"/>
      <c r="AR85" s="2493"/>
      <c r="AS85" s="2493"/>
      <c r="AT85" s="2493"/>
      <c r="AU85" s="2493"/>
      <c r="AV85" s="2493"/>
      <c r="AW85" s="2493"/>
      <c r="AX85" s="2493"/>
      <c r="AY85" s="2493"/>
      <c r="AZ85" s="2493"/>
      <c r="BA85" s="2493"/>
      <c r="BB85" s="2493"/>
      <c r="BC85" s="2493"/>
      <c r="BD85" s="2493"/>
      <c r="BE85" s="2493"/>
      <c r="BF85" s="2494"/>
    </row>
    <row r="86" spans="1:110" ht="15.75" customHeight="1" thickBot="1">
      <c r="A86" s="17"/>
      <c r="B86" s="2769"/>
      <c r="C86" s="2770"/>
      <c r="D86" s="2488"/>
      <c r="E86" s="2490"/>
      <c r="F86" s="2490"/>
      <c r="G86" s="2492"/>
      <c r="H86" s="839"/>
      <c r="I86" s="839"/>
      <c r="J86" s="733"/>
      <c r="K86" s="734"/>
      <c r="L86" s="734">
        <v>700</v>
      </c>
      <c r="M86" s="734">
        <v>750</v>
      </c>
      <c r="N86" s="734">
        <v>800</v>
      </c>
      <c r="O86" s="734">
        <v>850</v>
      </c>
      <c r="P86" s="734">
        <v>900</v>
      </c>
      <c r="Q86" s="734">
        <v>950</v>
      </c>
      <c r="R86" s="734">
        <v>1000</v>
      </c>
      <c r="S86" s="734">
        <v>1050</v>
      </c>
      <c r="T86" s="734">
        <v>1100</v>
      </c>
      <c r="U86" s="734">
        <v>1150</v>
      </c>
      <c r="V86" s="734">
        <v>1200</v>
      </c>
      <c r="W86" s="734">
        <v>1250</v>
      </c>
      <c r="X86" s="734">
        <v>1300</v>
      </c>
      <c r="Y86" s="734">
        <v>1350</v>
      </c>
      <c r="Z86" s="734">
        <v>1400</v>
      </c>
      <c r="AA86" s="734">
        <v>1450</v>
      </c>
      <c r="AB86" s="734">
        <v>1500</v>
      </c>
      <c r="AC86" s="734">
        <v>1550</v>
      </c>
      <c r="AD86" s="734">
        <v>1600</v>
      </c>
      <c r="AE86" s="734">
        <v>1650</v>
      </c>
      <c r="AF86" s="734">
        <v>1700</v>
      </c>
      <c r="AG86" s="734">
        <v>1750</v>
      </c>
      <c r="AH86" s="734">
        <v>1800</v>
      </c>
      <c r="AI86" s="734">
        <v>1850</v>
      </c>
      <c r="AJ86" s="734">
        <v>1900</v>
      </c>
      <c r="AK86" s="734">
        <v>1950</v>
      </c>
      <c r="AL86" s="734">
        <v>2000</v>
      </c>
      <c r="AM86" s="734">
        <v>2050</v>
      </c>
      <c r="AN86" s="734">
        <v>2100</v>
      </c>
      <c r="AO86" s="734">
        <v>2150</v>
      </c>
      <c r="AP86" s="734">
        <v>2200</v>
      </c>
      <c r="AQ86" s="734">
        <v>2250</v>
      </c>
      <c r="AR86" s="734">
        <v>2300</v>
      </c>
      <c r="AS86" s="734">
        <v>2350</v>
      </c>
      <c r="AT86" s="734">
        <v>2400</v>
      </c>
      <c r="AU86" s="734">
        <v>2450</v>
      </c>
      <c r="AV86" s="734">
        <v>2500</v>
      </c>
      <c r="AW86" s="734">
        <v>2550</v>
      </c>
      <c r="AX86" s="734">
        <v>2600</v>
      </c>
      <c r="AY86" s="734">
        <v>2650</v>
      </c>
      <c r="AZ86" s="734">
        <v>2700</v>
      </c>
      <c r="BA86" s="734">
        <v>2750</v>
      </c>
      <c r="BB86" s="734">
        <v>2800</v>
      </c>
      <c r="BC86" s="734">
        <v>2850</v>
      </c>
      <c r="BD86" s="734">
        <v>2900</v>
      </c>
      <c r="BE86" s="735">
        <v>2950</v>
      </c>
      <c r="BF86" s="736">
        <v>3000</v>
      </c>
      <c r="BG86" s="17"/>
      <c r="BH86" s="17"/>
      <c r="BJ86" s="631">
        <v>500</v>
      </c>
      <c r="BK86" s="632">
        <v>550</v>
      </c>
      <c r="BL86" s="633">
        <v>600</v>
      </c>
      <c r="BM86" s="634">
        <v>650</v>
      </c>
      <c r="BN86" s="634">
        <v>700</v>
      </c>
      <c r="BO86" s="634">
        <v>750</v>
      </c>
      <c r="BP86" s="634">
        <v>800</v>
      </c>
      <c r="BQ86" s="634">
        <v>850</v>
      </c>
      <c r="BR86" s="634">
        <v>900</v>
      </c>
      <c r="BS86" s="634">
        <v>950</v>
      </c>
      <c r="BT86" s="634">
        <v>1000</v>
      </c>
      <c r="BU86" s="634">
        <v>1050</v>
      </c>
      <c r="BV86" s="634">
        <v>1100</v>
      </c>
      <c r="BW86" s="634">
        <v>1150</v>
      </c>
      <c r="BX86" s="634">
        <v>1200</v>
      </c>
      <c r="BY86" s="634">
        <v>1250</v>
      </c>
      <c r="BZ86" s="634">
        <v>1300</v>
      </c>
      <c r="CA86" s="634">
        <v>1350</v>
      </c>
      <c r="CB86" s="634">
        <v>1400</v>
      </c>
      <c r="CC86" s="634">
        <v>1450</v>
      </c>
      <c r="CD86" s="634">
        <v>1500</v>
      </c>
      <c r="CE86" s="634">
        <v>1550</v>
      </c>
      <c r="CF86" s="634">
        <v>1600</v>
      </c>
      <c r="CG86" s="634">
        <v>1650</v>
      </c>
      <c r="CH86" s="634">
        <v>1700</v>
      </c>
      <c r="CI86" s="634">
        <v>1750</v>
      </c>
      <c r="CJ86" s="634">
        <v>1800</v>
      </c>
      <c r="CK86" s="634">
        <v>1850</v>
      </c>
      <c r="CL86" s="634">
        <v>1900</v>
      </c>
      <c r="CM86" s="634">
        <v>1950</v>
      </c>
      <c r="CN86" s="634">
        <v>2000</v>
      </c>
      <c r="CO86" s="634">
        <v>2050</v>
      </c>
      <c r="CP86" s="634">
        <v>2100</v>
      </c>
      <c r="CQ86" s="634">
        <v>2150</v>
      </c>
      <c r="CR86" s="634">
        <v>2200</v>
      </c>
      <c r="CS86" s="634">
        <v>2250</v>
      </c>
      <c r="CT86" s="634">
        <v>2300</v>
      </c>
      <c r="CU86" s="634">
        <v>2350</v>
      </c>
      <c r="CV86" s="634">
        <v>2400</v>
      </c>
      <c r="CW86" s="634">
        <v>2450</v>
      </c>
      <c r="CX86" s="634">
        <v>2500</v>
      </c>
      <c r="CY86" s="634">
        <v>2550</v>
      </c>
      <c r="CZ86" s="634">
        <v>2600</v>
      </c>
      <c r="DA86" s="634">
        <v>2650</v>
      </c>
      <c r="DB86" s="634">
        <v>2700</v>
      </c>
      <c r="DC86" s="634">
        <v>2750</v>
      </c>
      <c r="DD86" s="634">
        <v>2800</v>
      </c>
      <c r="DE86" s="634">
        <v>2850</v>
      </c>
      <c r="DF86" s="634">
        <v>2900</v>
      </c>
    </row>
    <row r="87" spans="1:110">
      <c r="A87" s="2773" t="s">
        <v>344</v>
      </c>
      <c r="B87" s="2771" t="s">
        <v>493</v>
      </c>
      <c r="C87" s="2772"/>
      <c r="D87" s="840"/>
      <c r="E87" s="840"/>
      <c r="F87" s="840"/>
      <c r="G87" s="840"/>
      <c r="H87" s="840"/>
      <c r="I87" s="840"/>
      <c r="J87" s="841"/>
      <c r="K87" s="841"/>
      <c r="L87" s="841">
        <f>((L$86-$H$4)/1000)*IF($C$13=0,$M$23,$M$40)*(($C$8/70)^$X$40)*IF($C$13=1,$AG$40,IF($C$13=2,$AH$40,IF($C$13=3,$AI$40,1)))</f>
        <v>706.26612420000004</v>
      </c>
      <c r="M87" s="841">
        <f t="shared" ref="M87:BF87" si="10">((M$86-$H$4)/1000)*IF($C$13=0,$M$23,$M$40)*(($C$8/70)^$X$40)*IF($C$13=1,$AG$40,IF($C$13=2,$AH$40,IF($C$13=3,$AI$40,1)))</f>
        <v>807.16128479999998</v>
      </c>
      <c r="N87" s="841">
        <f t="shared" si="10"/>
        <v>908.05644540000003</v>
      </c>
      <c r="O87" s="841">
        <f t="shared" si="10"/>
        <v>1008.951606</v>
      </c>
      <c r="P87" s="841">
        <f t="shared" si="10"/>
        <v>1109.8467666000001</v>
      </c>
      <c r="Q87" s="841">
        <f t="shared" si="10"/>
        <v>1210.7419272</v>
      </c>
      <c r="R87" s="841">
        <f t="shared" si="10"/>
        <v>1311.6370878</v>
      </c>
      <c r="S87" s="841">
        <f t="shared" si="10"/>
        <v>1412.5322484000001</v>
      </c>
      <c r="T87" s="841">
        <f t="shared" si="10"/>
        <v>1513.4274090000001</v>
      </c>
      <c r="U87" s="841">
        <f t="shared" si="10"/>
        <v>1614.3225696</v>
      </c>
      <c r="V87" s="841">
        <f t="shared" si="10"/>
        <v>1715.2177301999998</v>
      </c>
      <c r="W87" s="841">
        <f t="shared" si="10"/>
        <v>1816.1128908000001</v>
      </c>
      <c r="X87" s="841">
        <f t="shared" si="10"/>
        <v>1917.0080513999999</v>
      </c>
      <c r="Y87" s="841">
        <f t="shared" si="10"/>
        <v>2017.9032119999999</v>
      </c>
      <c r="Z87" s="841">
        <f t="shared" si="10"/>
        <v>2118.7983726000002</v>
      </c>
      <c r="AA87" s="841">
        <f t="shared" si="10"/>
        <v>2219.6935332000003</v>
      </c>
      <c r="AB87" s="841">
        <f t="shared" si="10"/>
        <v>2320.5886937999999</v>
      </c>
      <c r="AC87" s="841">
        <f t="shared" si="10"/>
        <v>2421.4838543999999</v>
      </c>
      <c r="AD87" s="841">
        <f t="shared" si="10"/>
        <v>2522.379015</v>
      </c>
      <c r="AE87" s="841">
        <f t="shared" si="10"/>
        <v>2623.2741756</v>
      </c>
      <c r="AF87" s="841">
        <f t="shared" si="10"/>
        <v>2724.1693362000001</v>
      </c>
      <c r="AG87" s="841">
        <f t="shared" si="10"/>
        <v>2825.0644968000001</v>
      </c>
      <c r="AH87" s="841">
        <f t="shared" si="10"/>
        <v>2925.9596573999997</v>
      </c>
      <c r="AI87" s="841">
        <f t="shared" si="10"/>
        <v>3026.8548180000003</v>
      </c>
      <c r="AJ87" s="841">
        <f t="shared" si="10"/>
        <v>3127.7499786000003</v>
      </c>
      <c r="AK87" s="841">
        <f t="shared" si="10"/>
        <v>3228.6451391999999</v>
      </c>
      <c r="AL87" s="841">
        <f t="shared" si="10"/>
        <v>3329.5402998</v>
      </c>
      <c r="AM87" s="841">
        <f t="shared" si="10"/>
        <v>3430.4354603999996</v>
      </c>
      <c r="AN87" s="841">
        <f t="shared" si="10"/>
        <v>3531.3306210000001</v>
      </c>
      <c r="AO87" s="841">
        <f t="shared" si="10"/>
        <v>3632.2257816000001</v>
      </c>
      <c r="AP87" s="841">
        <f t="shared" si="10"/>
        <v>3733.1209421999997</v>
      </c>
      <c r="AQ87" s="841">
        <f t="shared" si="10"/>
        <v>3834.0161027999998</v>
      </c>
      <c r="AR87" s="841">
        <f t="shared" si="10"/>
        <v>3934.9112634000003</v>
      </c>
      <c r="AS87" s="841">
        <f t="shared" si="10"/>
        <v>4035.8064239999999</v>
      </c>
      <c r="AT87" s="841">
        <f t="shared" si="10"/>
        <v>4136.7015845999995</v>
      </c>
      <c r="AU87" s="841">
        <f t="shared" si="10"/>
        <v>4237.5967452000004</v>
      </c>
      <c r="AV87" s="841">
        <f t="shared" si="10"/>
        <v>4338.4919058000005</v>
      </c>
      <c r="AW87" s="841">
        <f t="shared" si="10"/>
        <v>4439.3870664000005</v>
      </c>
      <c r="AX87" s="841">
        <f t="shared" si="10"/>
        <v>4540.2822269999997</v>
      </c>
      <c r="AY87" s="841">
        <f t="shared" si="10"/>
        <v>4641.1773875999997</v>
      </c>
      <c r="AZ87" s="841">
        <f t="shared" si="10"/>
        <v>4742.0725482000007</v>
      </c>
      <c r="BA87" s="841">
        <f t="shared" si="10"/>
        <v>4842.9677087999999</v>
      </c>
      <c r="BB87" s="841">
        <f t="shared" si="10"/>
        <v>4943.8628694000008</v>
      </c>
      <c r="BC87" s="841">
        <f t="shared" si="10"/>
        <v>5044.75803</v>
      </c>
      <c r="BD87" s="841">
        <f t="shared" si="10"/>
        <v>5145.6531905999991</v>
      </c>
      <c r="BE87" s="841">
        <f t="shared" si="10"/>
        <v>5246.5483512000001</v>
      </c>
      <c r="BF87" s="841">
        <f t="shared" si="10"/>
        <v>5347.4435118000001</v>
      </c>
      <c r="BG87" s="17"/>
      <c r="BH87" s="17"/>
      <c r="BJ87" s="571" t="e">
        <f t="shared" ref="BJ87:BY98" si="11">J91/J87</f>
        <v>#DIV/0!</v>
      </c>
      <c r="BK87" s="571" t="e">
        <f t="shared" si="11"/>
        <v>#DIV/0!</v>
      </c>
      <c r="BL87" s="571">
        <f t="shared" si="11"/>
        <v>1.2291397849462364</v>
      </c>
      <c r="BM87" s="571">
        <f t="shared" si="11"/>
        <v>1.2291397849462367</v>
      </c>
      <c r="BN87" s="571">
        <f t="shared" si="11"/>
        <v>1.2291397849462367</v>
      </c>
      <c r="BO87" s="571">
        <f t="shared" si="11"/>
        <v>1.2291397849462367</v>
      </c>
      <c r="BP87" s="571">
        <f t="shared" si="11"/>
        <v>1.2291397849462367</v>
      </c>
      <c r="BQ87" s="571">
        <f t="shared" si="11"/>
        <v>1.2291397849462367</v>
      </c>
      <c r="BR87" s="571">
        <f t="shared" si="11"/>
        <v>1.2291397849462367</v>
      </c>
      <c r="BS87" s="571">
        <f t="shared" si="11"/>
        <v>1.2291397849462364</v>
      </c>
      <c r="BT87" s="571">
        <f t="shared" si="11"/>
        <v>1.2291397849462367</v>
      </c>
      <c r="BU87" s="571">
        <f t="shared" si="11"/>
        <v>1.2291397849462367</v>
      </c>
      <c r="BV87" s="571">
        <f t="shared" si="11"/>
        <v>1.2291397849462367</v>
      </c>
      <c r="BW87" s="571">
        <f t="shared" si="11"/>
        <v>1.2291397849462367</v>
      </c>
      <c r="BX87" s="571">
        <f t="shared" si="11"/>
        <v>1.2291397849462364</v>
      </c>
      <c r="BY87" s="571">
        <f t="shared" si="11"/>
        <v>1.2291397849462367</v>
      </c>
      <c r="BZ87" s="571">
        <f t="shared" ref="BZ87:CO98" si="12">Z91/Z87</f>
        <v>1.2291397849462367</v>
      </c>
      <c r="CA87" s="571">
        <f t="shared" si="12"/>
        <v>1.2291397849462367</v>
      </c>
      <c r="CB87" s="571">
        <f t="shared" si="12"/>
        <v>1.2291397849462364</v>
      </c>
      <c r="CC87" s="571">
        <f t="shared" si="12"/>
        <v>1.2291397849462367</v>
      </c>
      <c r="CD87" s="571">
        <f t="shared" si="12"/>
        <v>1.2291397849462367</v>
      </c>
      <c r="CE87" s="571">
        <f t="shared" si="12"/>
        <v>1.2291397849462367</v>
      </c>
      <c r="CF87" s="571">
        <f t="shared" si="12"/>
        <v>1.2291397849462367</v>
      </c>
      <c r="CG87" s="571">
        <f t="shared" si="12"/>
        <v>1.2291397849462364</v>
      </c>
      <c r="CH87" s="571">
        <f t="shared" si="12"/>
        <v>1.2291397849462367</v>
      </c>
      <c r="CI87" s="571">
        <f t="shared" si="12"/>
        <v>1.2291397849462367</v>
      </c>
      <c r="CJ87" s="571">
        <f t="shared" si="12"/>
        <v>1.2291397849462367</v>
      </c>
      <c r="CK87" s="571">
        <f t="shared" si="12"/>
        <v>1.2291397849462367</v>
      </c>
      <c r="CL87" s="571">
        <f t="shared" si="12"/>
        <v>1.2291397849462364</v>
      </c>
      <c r="CM87" s="571">
        <f t="shared" si="12"/>
        <v>1.2291397849462367</v>
      </c>
      <c r="CN87" s="571">
        <f t="shared" si="12"/>
        <v>1.2291397849462367</v>
      </c>
      <c r="CO87" s="571">
        <f t="shared" si="12"/>
        <v>1.2291397849462367</v>
      </c>
      <c r="CP87" s="571">
        <f t="shared" ref="CP87:DE98" si="13">AP91/AP87</f>
        <v>1.2291397849462367</v>
      </c>
      <c r="CQ87" s="571">
        <f t="shared" si="13"/>
        <v>1.2291397849462364</v>
      </c>
      <c r="CR87" s="571">
        <f t="shared" si="13"/>
        <v>1.2291397849462364</v>
      </c>
      <c r="CS87" s="571">
        <f t="shared" si="13"/>
        <v>1.2291397849462367</v>
      </c>
      <c r="CT87" s="571">
        <f t="shared" si="13"/>
        <v>1.2291397849462367</v>
      </c>
      <c r="CU87" s="571">
        <f t="shared" si="13"/>
        <v>1.2291397849462367</v>
      </c>
      <c r="CV87" s="571">
        <f t="shared" si="13"/>
        <v>1.2291397849462364</v>
      </c>
      <c r="CW87" s="571">
        <f t="shared" si="13"/>
        <v>1.2291397849462367</v>
      </c>
      <c r="CX87" s="571">
        <f t="shared" si="13"/>
        <v>1.2291397849462367</v>
      </c>
      <c r="CY87" s="571">
        <f t="shared" si="13"/>
        <v>1.2291397849462364</v>
      </c>
      <c r="CZ87" s="571">
        <f t="shared" si="13"/>
        <v>1.2291397849462367</v>
      </c>
      <c r="DA87" s="571">
        <f t="shared" si="13"/>
        <v>1.2291397849462367</v>
      </c>
      <c r="DB87" s="571">
        <f t="shared" si="13"/>
        <v>1.2291397849462364</v>
      </c>
      <c r="DC87" s="571">
        <f t="shared" si="13"/>
        <v>1.2291397849462367</v>
      </c>
      <c r="DD87" s="571">
        <f t="shared" si="13"/>
        <v>1.2291397849462367</v>
      </c>
      <c r="DE87" s="571">
        <f t="shared" si="13"/>
        <v>1.2291397849462367</v>
      </c>
      <c r="DF87" s="571">
        <f t="shared" ref="DF87:DF98" si="14">BF91/BF87</f>
        <v>1.2291397849462367</v>
      </c>
    </row>
    <row r="88" spans="1:110" ht="15.75" thickBot="1">
      <c r="A88" s="2773"/>
      <c r="B88" s="2732" t="s">
        <v>494</v>
      </c>
      <c r="C88" s="2733"/>
      <c r="D88" s="842"/>
      <c r="E88" s="842"/>
      <c r="F88" s="842"/>
      <c r="G88" s="842"/>
      <c r="H88" s="842"/>
      <c r="I88" s="842"/>
      <c r="J88" s="843"/>
      <c r="K88" s="843"/>
      <c r="L88" s="843">
        <f>((L$86-$H$4)/1000)*IF($C$13=0,$N$23,$N$40)*(($C$8/70)^$Y$40)*IF($C$13=1,$AG$40,IF($C$13=2,$AH$40,IF($C$13=3,$AI$40,1)))</f>
        <v>782.20871819999991</v>
      </c>
      <c r="M88" s="843">
        <f t="shared" ref="M88:BF88" si="15">((M$86-$H$4)/1000)*IF($C$13=0,$N$23,$N$40)*(($C$8/70)^$Y$40)*IF($C$13=1,$AG$40,IF($C$13=2,$AH$40,IF($C$13=3,$AI$40,1)))</f>
        <v>893.95282080000004</v>
      </c>
      <c r="N88" s="843">
        <f t="shared" si="15"/>
        <v>1005.6969234000002</v>
      </c>
      <c r="O88" s="843">
        <f t="shared" si="15"/>
        <v>1117.441026</v>
      </c>
      <c r="P88" s="843">
        <f t="shared" si="15"/>
        <v>1229.1851286000001</v>
      </c>
      <c r="Q88" s="843">
        <f t="shared" si="15"/>
        <v>1340.9292312</v>
      </c>
      <c r="R88" s="843">
        <f t="shared" si="15"/>
        <v>1452.6733338000001</v>
      </c>
      <c r="S88" s="843">
        <f t="shared" si="15"/>
        <v>1564.4174363999998</v>
      </c>
      <c r="T88" s="843">
        <f t="shared" si="15"/>
        <v>1676.1615390000002</v>
      </c>
      <c r="U88" s="843">
        <f t="shared" si="15"/>
        <v>1787.9056416000001</v>
      </c>
      <c r="V88" s="843">
        <f t="shared" si="15"/>
        <v>1899.6497442</v>
      </c>
      <c r="W88" s="843">
        <f t="shared" si="15"/>
        <v>2011.3938468000003</v>
      </c>
      <c r="X88" s="843">
        <f t="shared" si="15"/>
        <v>2123.1379493999998</v>
      </c>
      <c r="Y88" s="843">
        <f t="shared" si="15"/>
        <v>2234.8820519999999</v>
      </c>
      <c r="Z88" s="843">
        <f t="shared" si="15"/>
        <v>2346.6261546000005</v>
      </c>
      <c r="AA88" s="843">
        <f t="shared" si="15"/>
        <v>2458.3702572000002</v>
      </c>
      <c r="AB88" s="843">
        <f t="shared" si="15"/>
        <v>2570.1143597999999</v>
      </c>
      <c r="AC88" s="843">
        <f t="shared" si="15"/>
        <v>2681.8584624</v>
      </c>
      <c r="AD88" s="843">
        <f t="shared" si="15"/>
        <v>2793.6025650000001</v>
      </c>
      <c r="AE88" s="843">
        <f t="shared" si="15"/>
        <v>2905.3466676000003</v>
      </c>
      <c r="AF88" s="843">
        <f t="shared" si="15"/>
        <v>3017.0907702000004</v>
      </c>
      <c r="AG88" s="843">
        <f t="shared" si="15"/>
        <v>3128.8348727999996</v>
      </c>
      <c r="AH88" s="843">
        <f t="shared" si="15"/>
        <v>3240.5789754000002</v>
      </c>
      <c r="AI88" s="843">
        <f t="shared" si="15"/>
        <v>3352.3230780000004</v>
      </c>
      <c r="AJ88" s="843">
        <f t="shared" si="15"/>
        <v>3464.0671806000005</v>
      </c>
      <c r="AK88" s="843">
        <f t="shared" si="15"/>
        <v>3575.8112832000002</v>
      </c>
      <c r="AL88" s="843">
        <f t="shared" si="15"/>
        <v>3687.5553857999998</v>
      </c>
      <c r="AM88" s="843">
        <f t="shared" si="15"/>
        <v>3799.2994884</v>
      </c>
      <c r="AN88" s="843">
        <f t="shared" si="15"/>
        <v>3911.0435910000001</v>
      </c>
      <c r="AO88" s="843">
        <f t="shared" si="15"/>
        <v>4022.7876936000007</v>
      </c>
      <c r="AP88" s="843">
        <f t="shared" si="15"/>
        <v>4134.5317961999999</v>
      </c>
      <c r="AQ88" s="843">
        <f t="shared" si="15"/>
        <v>4246.2758987999996</v>
      </c>
      <c r="AR88" s="843">
        <f t="shared" si="15"/>
        <v>4358.0200014000002</v>
      </c>
      <c r="AS88" s="843">
        <f t="shared" si="15"/>
        <v>4469.7641039999999</v>
      </c>
      <c r="AT88" s="843">
        <f t="shared" si="15"/>
        <v>4581.5082065999995</v>
      </c>
      <c r="AU88" s="843">
        <f t="shared" si="15"/>
        <v>4693.252309200001</v>
      </c>
      <c r="AV88" s="843">
        <f t="shared" si="15"/>
        <v>4804.9964118000007</v>
      </c>
      <c r="AW88" s="843">
        <f t="shared" si="15"/>
        <v>4916.7405144000004</v>
      </c>
      <c r="AX88" s="843">
        <f t="shared" si="15"/>
        <v>5028.4846170000001</v>
      </c>
      <c r="AY88" s="843">
        <f t="shared" si="15"/>
        <v>5140.2287195999997</v>
      </c>
      <c r="AZ88" s="843">
        <f t="shared" si="15"/>
        <v>5251.9728222000003</v>
      </c>
      <c r="BA88" s="843">
        <f t="shared" si="15"/>
        <v>5363.7169248</v>
      </c>
      <c r="BB88" s="843">
        <f t="shared" si="15"/>
        <v>5475.4610274000006</v>
      </c>
      <c r="BC88" s="843">
        <f t="shared" si="15"/>
        <v>5587.2051300000003</v>
      </c>
      <c r="BD88" s="843">
        <f t="shared" si="15"/>
        <v>5698.9492326</v>
      </c>
      <c r="BE88" s="843">
        <f t="shared" si="15"/>
        <v>5810.6933352000005</v>
      </c>
      <c r="BF88" s="843">
        <f t="shared" si="15"/>
        <v>5922.4374378000002</v>
      </c>
      <c r="BG88" s="17"/>
      <c r="BH88" s="17"/>
      <c r="BJ88" s="571" t="e">
        <f t="shared" si="11"/>
        <v>#DIV/0!</v>
      </c>
      <c r="BK88" s="571" t="e">
        <f t="shared" si="11"/>
        <v>#DIV/0!</v>
      </c>
      <c r="BL88" s="571">
        <f t="shared" si="11"/>
        <v>1.226990291262136</v>
      </c>
      <c r="BM88" s="571">
        <f t="shared" si="11"/>
        <v>1.2269902912621362</v>
      </c>
      <c r="BN88" s="571">
        <f t="shared" si="11"/>
        <v>1.2269902912621358</v>
      </c>
      <c r="BO88" s="571">
        <f t="shared" si="11"/>
        <v>1.226990291262136</v>
      </c>
      <c r="BP88" s="571">
        <f t="shared" si="11"/>
        <v>1.226990291262136</v>
      </c>
      <c r="BQ88" s="571">
        <f t="shared" si="11"/>
        <v>1.226990291262136</v>
      </c>
      <c r="BR88" s="571">
        <f t="shared" si="11"/>
        <v>1.226990291262136</v>
      </c>
      <c r="BS88" s="571">
        <f t="shared" si="11"/>
        <v>1.226990291262136</v>
      </c>
      <c r="BT88" s="571">
        <f t="shared" si="11"/>
        <v>1.2269902912621358</v>
      </c>
      <c r="BU88" s="571">
        <f t="shared" si="11"/>
        <v>1.2269902912621362</v>
      </c>
      <c r="BV88" s="571">
        <f t="shared" si="11"/>
        <v>1.226990291262136</v>
      </c>
      <c r="BW88" s="571">
        <f t="shared" si="11"/>
        <v>1.2269902912621358</v>
      </c>
      <c r="BX88" s="571">
        <f t="shared" si="11"/>
        <v>1.2269902912621362</v>
      </c>
      <c r="BY88" s="571">
        <f t="shared" si="11"/>
        <v>1.226990291262136</v>
      </c>
      <c r="BZ88" s="571">
        <f t="shared" si="12"/>
        <v>1.2269902912621358</v>
      </c>
      <c r="CA88" s="571">
        <f t="shared" si="12"/>
        <v>1.226990291262136</v>
      </c>
      <c r="CB88" s="571">
        <f t="shared" si="12"/>
        <v>1.226990291262136</v>
      </c>
      <c r="CC88" s="571">
        <f t="shared" si="12"/>
        <v>1.226990291262136</v>
      </c>
      <c r="CD88" s="571">
        <f t="shared" si="12"/>
        <v>1.226990291262136</v>
      </c>
      <c r="CE88" s="571">
        <f t="shared" si="12"/>
        <v>1.226990291262136</v>
      </c>
      <c r="CF88" s="571">
        <f t="shared" si="12"/>
        <v>1.226990291262136</v>
      </c>
      <c r="CG88" s="571">
        <f t="shared" si="12"/>
        <v>1.226990291262136</v>
      </c>
      <c r="CH88" s="571">
        <f t="shared" si="12"/>
        <v>1.2269902912621358</v>
      </c>
      <c r="CI88" s="571">
        <f t="shared" si="12"/>
        <v>1.2269902912621358</v>
      </c>
      <c r="CJ88" s="571">
        <f t="shared" si="12"/>
        <v>1.226990291262136</v>
      </c>
      <c r="CK88" s="571">
        <f t="shared" si="12"/>
        <v>1.2269902912621362</v>
      </c>
      <c r="CL88" s="571">
        <f t="shared" si="12"/>
        <v>1.226990291262136</v>
      </c>
      <c r="CM88" s="571">
        <f t="shared" si="12"/>
        <v>1.226990291262136</v>
      </c>
      <c r="CN88" s="571">
        <f t="shared" si="12"/>
        <v>1.226990291262136</v>
      </c>
      <c r="CO88" s="571">
        <f t="shared" si="12"/>
        <v>1.2269902912621358</v>
      </c>
      <c r="CP88" s="571">
        <f t="shared" si="13"/>
        <v>1.226990291262136</v>
      </c>
      <c r="CQ88" s="571">
        <f t="shared" si="13"/>
        <v>1.2269902912621362</v>
      </c>
      <c r="CR88" s="571">
        <f t="shared" si="13"/>
        <v>1.226990291262136</v>
      </c>
      <c r="CS88" s="571">
        <f t="shared" si="13"/>
        <v>1.226990291262136</v>
      </c>
      <c r="CT88" s="571">
        <f t="shared" si="13"/>
        <v>1.226990291262136</v>
      </c>
      <c r="CU88" s="571">
        <f t="shared" si="13"/>
        <v>1.2269902912621358</v>
      </c>
      <c r="CV88" s="571">
        <f t="shared" si="13"/>
        <v>1.2269902912621358</v>
      </c>
      <c r="CW88" s="571">
        <f t="shared" si="13"/>
        <v>1.226990291262136</v>
      </c>
      <c r="CX88" s="571">
        <f t="shared" si="13"/>
        <v>1.226990291262136</v>
      </c>
      <c r="CY88" s="571">
        <f t="shared" si="13"/>
        <v>1.226990291262136</v>
      </c>
      <c r="CZ88" s="571">
        <f t="shared" si="13"/>
        <v>1.226990291262136</v>
      </c>
      <c r="DA88" s="571">
        <f t="shared" si="13"/>
        <v>1.226990291262136</v>
      </c>
      <c r="DB88" s="571">
        <f t="shared" si="13"/>
        <v>1.226990291262136</v>
      </c>
      <c r="DC88" s="571">
        <f t="shared" si="13"/>
        <v>1.226990291262136</v>
      </c>
      <c r="DD88" s="571">
        <f t="shared" si="13"/>
        <v>1.226990291262136</v>
      </c>
      <c r="DE88" s="571">
        <f t="shared" si="13"/>
        <v>1.226990291262136</v>
      </c>
      <c r="DF88" s="571">
        <f t="shared" si="14"/>
        <v>1.226990291262136</v>
      </c>
    </row>
    <row r="89" spans="1:110" hidden="1">
      <c r="A89" s="2773"/>
      <c r="B89" s="2732" t="s">
        <v>290</v>
      </c>
      <c r="C89" s="2733"/>
      <c r="D89" s="842"/>
      <c r="E89" s="842"/>
      <c r="F89" s="842"/>
      <c r="G89" s="842"/>
      <c r="H89" s="842"/>
      <c r="I89" s="842"/>
      <c r="J89" s="843"/>
      <c r="K89" s="843"/>
      <c r="L89" s="843">
        <f>((L$86-$H$4)/1000)*IF($C$13=0,$Q$23,$Q$40)*(($C$8/70)^$AB$40)*IF($C$13=1,$AG$40,IF($C$13=2,$AH$40,IF($C$13=3,$AI$40,1)))</f>
        <v>1091.0419337999999</v>
      </c>
      <c r="M89" s="843">
        <f t="shared" ref="M89:BF89" si="16">((M$86-$H$4)/1000)*IF($C$13=0,$Q$23,$Q$40)*(($C$8/70)^$AB$40)*IF($C$13=1,$AG$40,IF($C$13=2,$AH$40,IF($C$13=3,$AI$40,1)))</f>
        <v>1246.9050672000001</v>
      </c>
      <c r="N89" s="843">
        <f t="shared" si="16"/>
        <v>1402.7682006000002</v>
      </c>
      <c r="O89" s="843">
        <f t="shared" si="16"/>
        <v>1558.6313340000002</v>
      </c>
      <c r="P89" s="843">
        <f t="shared" si="16"/>
        <v>1714.4944674000003</v>
      </c>
      <c r="Q89" s="843">
        <f t="shared" si="16"/>
        <v>1870.3576008000002</v>
      </c>
      <c r="R89" s="843">
        <f t="shared" si="16"/>
        <v>2026.2207342000002</v>
      </c>
      <c r="S89" s="843">
        <f t="shared" si="16"/>
        <v>2182.0838675999998</v>
      </c>
      <c r="T89" s="843">
        <f t="shared" si="16"/>
        <v>2337.947001</v>
      </c>
      <c r="U89" s="843">
        <f t="shared" si="16"/>
        <v>2493.8101344000002</v>
      </c>
      <c r="V89" s="843">
        <f t="shared" si="16"/>
        <v>2649.6732678000003</v>
      </c>
      <c r="W89" s="843">
        <f t="shared" si="16"/>
        <v>2805.5364012000005</v>
      </c>
      <c r="X89" s="843">
        <f t="shared" si="16"/>
        <v>2961.3995346000002</v>
      </c>
      <c r="Y89" s="843">
        <f t="shared" si="16"/>
        <v>3117.2626680000003</v>
      </c>
      <c r="Z89" s="843">
        <f t="shared" si="16"/>
        <v>3273.1258014000005</v>
      </c>
      <c r="AA89" s="843">
        <f t="shared" si="16"/>
        <v>3428.9889348000006</v>
      </c>
      <c r="AB89" s="843">
        <f t="shared" si="16"/>
        <v>3584.8520682000003</v>
      </c>
      <c r="AC89" s="843">
        <f t="shared" si="16"/>
        <v>3740.7152016000005</v>
      </c>
      <c r="AD89" s="843">
        <f t="shared" si="16"/>
        <v>3896.5783350000006</v>
      </c>
      <c r="AE89" s="843">
        <f t="shared" si="16"/>
        <v>4052.4414684000003</v>
      </c>
      <c r="AF89" s="843">
        <f t="shared" si="16"/>
        <v>4208.3046018000005</v>
      </c>
      <c r="AG89" s="843">
        <f t="shared" si="16"/>
        <v>4364.1677351999997</v>
      </c>
      <c r="AH89" s="843">
        <f t="shared" si="16"/>
        <v>4520.0308685999998</v>
      </c>
      <c r="AI89" s="843">
        <f t="shared" si="16"/>
        <v>4675.894002</v>
      </c>
      <c r="AJ89" s="843">
        <f t="shared" si="16"/>
        <v>4831.7571354000002</v>
      </c>
      <c r="AK89" s="843">
        <f t="shared" si="16"/>
        <v>4987.6202688000003</v>
      </c>
      <c r="AL89" s="843">
        <f t="shared" si="16"/>
        <v>5143.4834022000005</v>
      </c>
      <c r="AM89" s="843">
        <f t="shared" si="16"/>
        <v>5299.3465356000006</v>
      </c>
      <c r="AN89" s="843">
        <f t="shared" si="16"/>
        <v>5455.2096690000008</v>
      </c>
      <c r="AO89" s="843">
        <f t="shared" si="16"/>
        <v>5611.0728024000009</v>
      </c>
      <c r="AP89" s="843">
        <f t="shared" si="16"/>
        <v>5766.9359358000011</v>
      </c>
      <c r="AQ89" s="843">
        <f t="shared" si="16"/>
        <v>5922.7990692000003</v>
      </c>
      <c r="AR89" s="843">
        <f t="shared" si="16"/>
        <v>6078.6622026000005</v>
      </c>
      <c r="AS89" s="843">
        <f t="shared" si="16"/>
        <v>6234.5253360000006</v>
      </c>
      <c r="AT89" s="843">
        <f t="shared" si="16"/>
        <v>6390.3884693999998</v>
      </c>
      <c r="AU89" s="843">
        <f t="shared" si="16"/>
        <v>6546.2516028000009</v>
      </c>
      <c r="AV89" s="843">
        <f t="shared" si="16"/>
        <v>6702.1147362000002</v>
      </c>
      <c r="AW89" s="843">
        <f t="shared" si="16"/>
        <v>6857.9778696000012</v>
      </c>
      <c r="AX89" s="843">
        <f t="shared" si="16"/>
        <v>7013.8410030000005</v>
      </c>
      <c r="AY89" s="843">
        <f t="shared" si="16"/>
        <v>7169.7041364000006</v>
      </c>
      <c r="AZ89" s="843">
        <f t="shared" si="16"/>
        <v>7325.5672698000008</v>
      </c>
      <c r="BA89" s="843">
        <f t="shared" si="16"/>
        <v>7481.4304032000009</v>
      </c>
      <c r="BB89" s="843">
        <f t="shared" si="16"/>
        <v>7637.2935366000011</v>
      </c>
      <c r="BC89" s="843">
        <f t="shared" si="16"/>
        <v>7793.1566700000012</v>
      </c>
      <c r="BD89" s="843">
        <f t="shared" si="16"/>
        <v>7949.0198033999995</v>
      </c>
      <c r="BE89" s="843">
        <f t="shared" si="16"/>
        <v>8104.8829368000006</v>
      </c>
      <c r="BF89" s="843">
        <f t="shared" si="16"/>
        <v>8260.7460702000008</v>
      </c>
      <c r="BG89" s="17"/>
      <c r="BH89" s="17"/>
      <c r="BJ89" s="571" t="e">
        <f t="shared" si="11"/>
        <v>#DIV/0!</v>
      </c>
      <c r="BK89" s="571" t="e">
        <f t="shared" si="11"/>
        <v>#DIV/0!</v>
      </c>
      <c r="BL89" s="571">
        <f t="shared" si="11"/>
        <v>1.178285471624269</v>
      </c>
      <c r="BM89" s="571">
        <f t="shared" si="11"/>
        <v>1.178285471624269</v>
      </c>
      <c r="BN89" s="571">
        <f t="shared" si="11"/>
        <v>1.178285471624269</v>
      </c>
      <c r="BO89" s="571">
        <f t="shared" si="11"/>
        <v>1.178285471624269</v>
      </c>
      <c r="BP89" s="571">
        <f t="shared" si="11"/>
        <v>1.178285471624269</v>
      </c>
      <c r="BQ89" s="571">
        <f t="shared" si="11"/>
        <v>1.1782854716242688</v>
      </c>
      <c r="BR89" s="571">
        <f t="shared" si="11"/>
        <v>1.1782854716242692</v>
      </c>
      <c r="BS89" s="571">
        <f t="shared" si="11"/>
        <v>1.178285471624269</v>
      </c>
      <c r="BT89" s="571">
        <f t="shared" si="11"/>
        <v>1.178285471624269</v>
      </c>
      <c r="BU89" s="571">
        <f t="shared" si="11"/>
        <v>1.178285471624269</v>
      </c>
      <c r="BV89" s="571">
        <f t="shared" si="11"/>
        <v>1.1782854716242688</v>
      </c>
      <c r="BW89" s="571">
        <f t="shared" si="11"/>
        <v>1.178285471624269</v>
      </c>
      <c r="BX89" s="571">
        <f t="shared" si="11"/>
        <v>1.178285471624269</v>
      </c>
      <c r="BY89" s="571">
        <f t="shared" si="11"/>
        <v>1.178285471624269</v>
      </c>
      <c r="BZ89" s="571">
        <f t="shared" si="12"/>
        <v>1.178285471624269</v>
      </c>
      <c r="CA89" s="571">
        <f t="shared" si="12"/>
        <v>1.178285471624269</v>
      </c>
      <c r="CB89" s="571">
        <f t="shared" si="12"/>
        <v>1.1782854716242688</v>
      </c>
      <c r="CC89" s="571">
        <f t="shared" si="12"/>
        <v>1.1782854716242688</v>
      </c>
      <c r="CD89" s="571">
        <f t="shared" si="12"/>
        <v>1.178285471624269</v>
      </c>
      <c r="CE89" s="571">
        <f t="shared" si="12"/>
        <v>1.1782854716242692</v>
      </c>
      <c r="CF89" s="571">
        <f t="shared" si="12"/>
        <v>1.178285471624269</v>
      </c>
      <c r="CG89" s="571">
        <f t="shared" si="12"/>
        <v>1.178285471624269</v>
      </c>
      <c r="CH89" s="571">
        <f t="shared" si="12"/>
        <v>1.178285471624269</v>
      </c>
      <c r="CI89" s="571">
        <f t="shared" si="12"/>
        <v>1.178285471624269</v>
      </c>
      <c r="CJ89" s="571">
        <f t="shared" si="12"/>
        <v>1.1782854716242692</v>
      </c>
      <c r="CK89" s="571">
        <f t="shared" si="12"/>
        <v>1.178285471624269</v>
      </c>
      <c r="CL89" s="571">
        <f t="shared" si="12"/>
        <v>1.178285471624269</v>
      </c>
      <c r="CM89" s="571">
        <f t="shared" si="12"/>
        <v>1.1782854716242688</v>
      </c>
      <c r="CN89" s="571">
        <f t="shared" si="12"/>
        <v>1.1782854716242688</v>
      </c>
      <c r="CO89" s="571">
        <f t="shared" si="12"/>
        <v>1.178285471624269</v>
      </c>
      <c r="CP89" s="571">
        <f t="shared" si="13"/>
        <v>1.1782854716242688</v>
      </c>
      <c r="CQ89" s="571">
        <f t="shared" si="13"/>
        <v>1.178285471624269</v>
      </c>
      <c r="CR89" s="571">
        <f t="shared" si="13"/>
        <v>1.178285471624269</v>
      </c>
      <c r="CS89" s="571">
        <f t="shared" si="13"/>
        <v>1.178285471624269</v>
      </c>
      <c r="CT89" s="571">
        <f t="shared" si="13"/>
        <v>1.178285471624269</v>
      </c>
      <c r="CU89" s="571">
        <f t="shared" si="13"/>
        <v>1.178285471624269</v>
      </c>
      <c r="CV89" s="571">
        <f t="shared" si="13"/>
        <v>1.178285471624269</v>
      </c>
      <c r="CW89" s="571">
        <f t="shared" si="13"/>
        <v>1.178285471624269</v>
      </c>
      <c r="CX89" s="571">
        <f t="shared" si="13"/>
        <v>1.1782854716242688</v>
      </c>
      <c r="CY89" s="571">
        <f t="shared" si="13"/>
        <v>1.1782854716242688</v>
      </c>
      <c r="CZ89" s="571">
        <f t="shared" si="13"/>
        <v>1.178285471624269</v>
      </c>
      <c r="DA89" s="571">
        <f t="shared" si="13"/>
        <v>1.1782854716242688</v>
      </c>
      <c r="DB89" s="571">
        <f t="shared" si="13"/>
        <v>1.178285471624269</v>
      </c>
      <c r="DC89" s="571">
        <f t="shared" si="13"/>
        <v>1.178285471624269</v>
      </c>
      <c r="DD89" s="571">
        <f t="shared" si="13"/>
        <v>1.1782854716242692</v>
      </c>
      <c r="DE89" s="571">
        <f t="shared" si="13"/>
        <v>1.1782854716242692</v>
      </c>
      <c r="DF89" s="571">
        <f t="shared" si="14"/>
        <v>1.1782854716242688</v>
      </c>
    </row>
    <row r="90" spans="1:110" ht="15.75" hidden="1" thickBot="1">
      <c r="A90" s="2773"/>
      <c r="B90" s="2763" t="s">
        <v>291</v>
      </c>
      <c r="C90" s="2764"/>
      <c r="D90" s="844"/>
      <c r="E90" s="844"/>
      <c r="F90" s="844"/>
      <c r="G90" s="844"/>
      <c r="H90" s="844"/>
      <c r="I90" s="844"/>
      <c r="J90" s="845"/>
      <c r="K90" s="845"/>
      <c r="L90" s="845">
        <f>((L$86-$H$4)/1000)*IF($C$13=0,$R$23,$R$40)*(($C$8/70)^$AC$40)*IF($C$13=1,$AG$40,IF($C$13=2,$AH$40,IF($C$13=3,$AI$40,1)))</f>
        <v>1172.0473674</v>
      </c>
      <c r="M90" s="845">
        <f t="shared" ref="M90:BF90" si="17">((M$86-$H$4)/1000)*IF($C$13=0,$R$23,$R$40)*(($C$8/70)^$AC$40)*IF($C$13=1,$AG$40,IF($C$13=2,$AH$40,IF($C$13=3,$AI$40,1)))</f>
        <v>1339.4827056000001</v>
      </c>
      <c r="N90" s="845">
        <f t="shared" si="17"/>
        <v>1506.9180438000001</v>
      </c>
      <c r="O90" s="845">
        <f t="shared" si="17"/>
        <v>1674.353382</v>
      </c>
      <c r="P90" s="845">
        <f t="shared" si="17"/>
        <v>1841.7887202000002</v>
      </c>
      <c r="Q90" s="845">
        <f t="shared" si="17"/>
        <v>2009.2240584000001</v>
      </c>
      <c r="R90" s="845">
        <f t="shared" si="17"/>
        <v>2176.6593966</v>
      </c>
      <c r="S90" s="845">
        <f t="shared" si="17"/>
        <v>2344.0947348</v>
      </c>
      <c r="T90" s="845">
        <f t="shared" si="17"/>
        <v>2511.5300730000004</v>
      </c>
      <c r="U90" s="845">
        <f t="shared" si="17"/>
        <v>2678.9654112000003</v>
      </c>
      <c r="V90" s="845">
        <f t="shared" si="17"/>
        <v>2846.4007494000002</v>
      </c>
      <c r="W90" s="845">
        <f t="shared" si="17"/>
        <v>3013.8360876000002</v>
      </c>
      <c r="X90" s="845">
        <f t="shared" si="17"/>
        <v>3181.2714258000001</v>
      </c>
      <c r="Y90" s="845">
        <f t="shared" si="17"/>
        <v>3348.706764</v>
      </c>
      <c r="Z90" s="845">
        <f t="shared" si="17"/>
        <v>3516.1421022000004</v>
      </c>
      <c r="AA90" s="845">
        <f t="shared" si="17"/>
        <v>3683.5774404000003</v>
      </c>
      <c r="AB90" s="845">
        <f t="shared" si="17"/>
        <v>3851.0127786000003</v>
      </c>
      <c r="AC90" s="845">
        <f t="shared" si="17"/>
        <v>4018.4481168000002</v>
      </c>
      <c r="AD90" s="845">
        <f t="shared" si="17"/>
        <v>4185.8834550000001</v>
      </c>
      <c r="AE90" s="845">
        <f t="shared" si="17"/>
        <v>4353.3187932000001</v>
      </c>
      <c r="AF90" s="845">
        <f t="shared" si="17"/>
        <v>4520.7541314</v>
      </c>
      <c r="AG90" s="845">
        <f t="shared" si="17"/>
        <v>4688.1894695999999</v>
      </c>
      <c r="AH90" s="845">
        <f t="shared" si="17"/>
        <v>4855.6248077999999</v>
      </c>
      <c r="AI90" s="845">
        <f t="shared" si="17"/>
        <v>5023.0601460000007</v>
      </c>
      <c r="AJ90" s="845">
        <f t="shared" si="17"/>
        <v>5190.4954842000006</v>
      </c>
      <c r="AK90" s="845">
        <f t="shared" si="17"/>
        <v>5357.9308224000006</v>
      </c>
      <c r="AL90" s="845">
        <f t="shared" si="17"/>
        <v>5525.3661606000005</v>
      </c>
      <c r="AM90" s="845">
        <f t="shared" si="17"/>
        <v>5692.8014988000004</v>
      </c>
      <c r="AN90" s="845">
        <f t="shared" si="17"/>
        <v>5860.2368370000004</v>
      </c>
      <c r="AO90" s="845">
        <f t="shared" si="17"/>
        <v>6027.6721752000003</v>
      </c>
      <c r="AP90" s="845">
        <f t="shared" si="17"/>
        <v>6195.1075134000002</v>
      </c>
      <c r="AQ90" s="845">
        <f t="shared" si="17"/>
        <v>6362.5428516000002</v>
      </c>
      <c r="AR90" s="845">
        <f t="shared" si="17"/>
        <v>6529.9781898000001</v>
      </c>
      <c r="AS90" s="845">
        <f t="shared" si="17"/>
        <v>6697.413528</v>
      </c>
      <c r="AT90" s="845">
        <f t="shared" si="17"/>
        <v>6864.8488662</v>
      </c>
      <c r="AU90" s="845">
        <f t="shared" si="17"/>
        <v>7032.2842044000008</v>
      </c>
      <c r="AV90" s="845">
        <f t="shared" si="17"/>
        <v>7199.7195426000008</v>
      </c>
      <c r="AW90" s="845">
        <f t="shared" si="17"/>
        <v>7367.1548808000007</v>
      </c>
      <c r="AX90" s="845">
        <f t="shared" si="17"/>
        <v>7534.5902190000006</v>
      </c>
      <c r="AY90" s="845">
        <f t="shared" si="17"/>
        <v>7702.0255572000005</v>
      </c>
      <c r="AZ90" s="845">
        <f t="shared" si="17"/>
        <v>7869.4608954000005</v>
      </c>
      <c r="BA90" s="845">
        <f t="shared" si="17"/>
        <v>8036.8962336000004</v>
      </c>
      <c r="BB90" s="845">
        <f t="shared" si="17"/>
        <v>8204.3315718000013</v>
      </c>
      <c r="BC90" s="845">
        <f t="shared" si="17"/>
        <v>8371.7669100000003</v>
      </c>
      <c r="BD90" s="845">
        <f t="shared" si="17"/>
        <v>8539.2022482000011</v>
      </c>
      <c r="BE90" s="845">
        <f t="shared" si="17"/>
        <v>8706.6375864000001</v>
      </c>
      <c r="BF90" s="845">
        <f t="shared" si="17"/>
        <v>8874.072924600001</v>
      </c>
      <c r="BG90" s="17"/>
      <c r="BH90" s="17"/>
      <c r="BJ90" s="571" t="e">
        <f t="shared" si="11"/>
        <v>#DIV/0!</v>
      </c>
      <c r="BK90" s="571" t="e">
        <f t="shared" si="11"/>
        <v>#DIV/0!</v>
      </c>
      <c r="BL90" s="571">
        <f t="shared" si="11"/>
        <v>1.1961123110151188</v>
      </c>
      <c r="BM90" s="571">
        <f t="shared" si="11"/>
        <v>1.1961123110151191</v>
      </c>
      <c r="BN90" s="571">
        <f t="shared" si="11"/>
        <v>1.1961123110151191</v>
      </c>
      <c r="BO90" s="571">
        <f t="shared" si="11"/>
        <v>1.1961123110151191</v>
      </c>
      <c r="BP90" s="571">
        <f t="shared" si="11"/>
        <v>1.1961123110151191</v>
      </c>
      <c r="BQ90" s="571">
        <f t="shared" si="11"/>
        <v>1.1961123110151188</v>
      </c>
      <c r="BR90" s="571">
        <f t="shared" si="11"/>
        <v>1.1961123110151191</v>
      </c>
      <c r="BS90" s="571">
        <f t="shared" si="11"/>
        <v>1.1961123110151188</v>
      </c>
      <c r="BT90" s="571">
        <f t="shared" si="11"/>
        <v>1.1961123110151188</v>
      </c>
      <c r="BU90" s="571">
        <f t="shared" si="11"/>
        <v>1.1961123110151191</v>
      </c>
      <c r="BV90" s="571">
        <f t="shared" si="11"/>
        <v>1.1961123110151191</v>
      </c>
      <c r="BW90" s="571">
        <f t="shared" si="11"/>
        <v>1.1961123110151191</v>
      </c>
      <c r="BX90" s="571">
        <f t="shared" si="11"/>
        <v>1.1961123110151188</v>
      </c>
      <c r="BY90" s="571">
        <f t="shared" si="11"/>
        <v>1.1961123110151191</v>
      </c>
      <c r="BZ90" s="571">
        <f t="shared" si="12"/>
        <v>1.1961123110151188</v>
      </c>
      <c r="CA90" s="571">
        <f t="shared" si="12"/>
        <v>1.1961123110151191</v>
      </c>
      <c r="CB90" s="571">
        <f t="shared" si="12"/>
        <v>1.1961123110151188</v>
      </c>
      <c r="CC90" s="571">
        <f t="shared" si="12"/>
        <v>1.1961123110151188</v>
      </c>
      <c r="CD90" s="571">
        <f t="shared" si="12"/>
        <v>1.1961123110151191</v>
      </c>
      <c r="CE90" s="571">
        <f t="shared" si="12"/>
        <v>1.1961123110151191</v>
      </c>
      <c r="CF90" s="571">
        <f t="shared" si="12"/>
        <v>1.1961123110151193</v>
      </c>
      <c r="CG90" s="571">
        <f t="shared" si="12"/>
        <v>1.1961123110151188</v>
      </c>
      <c r="CH90" s="571">
        <f t="shared" si="12"/>
        <v>1.1961123110151191</v>
      </c>
      <c r="CI90" s="571">
        <f t="shared" si="12"/>
        <v>1.1961123110151188</v>
      </c>
      <c r="CJ90" s="571">
        <f t="shared" si="12"/>
        <v>1.1961123110151188</v>
      </c>
      <c r="CK90" s="571">
        <f t="shared" si="12"/>
        <v>1.1961123110151191</v>
      </c>
      <c r="CL90" s="571">
        <f t="shared" si="12"/>
        <v>1.1961123110151188</v>
      </c>
      <c r="CM90" s="571">
        <f t="shared" si="12"/>
        <v>1.1961123110151191</v>
      </c>
      <c r="CN90" s="571">
        <f t="shared" si="12"/>
        <v>1.1961123110151188</v>
      </c>
      <c r="CO90" s="571">
        <f t="shared" si="12"/>
        <v>1.1961123110151191</v>
      </c>
      <c r="CP90" s="571">
        <f t="shared" si="13"/>
        <v>1.1961123110151191</v>
      </c>
      <c r="CQ90" s="571">
        <f t="shared" si="13"/>
        <v>1.1961123110151188</v>
      </c>
      <c r="CR90" s="571">
        <f t="shared" si="13"/>
        <v>1.1961123110151188</v>
      </c>
      <c r="CS90" s="571">
        <f t="shared" si="13"/>
        <v>1.1961123110151191</v>
      </c>
      <c r="CT90" s="571">
        <f t="shared" si="13"/>
        <v>1.1961123110151188</v>
      </c>
      <c r="CU90" s="571">
        <f t="shared" si="13"/>
        <v>1.1961123110151188</v>
      </c>
      <c r="CV90" s="571">
        <f t="shared" si="13"/>
        <v>1.1961123110151188</v>
      </c>
      <c r="CW90" s="571">
        <f t="shared" si="13"/>
        <v>1.1961123110151191</v>
      </c>
      <c r="CX90" s="571">
        <f t="shared" si="13"/>
        <v>1.1961123110151188</v>
      </c>
      <c r="CY90" s="571">
        <f t="shared" si="13"/>
        <v>1.1961123110151188</v>
      </c>
      <c r="CZ90" s="571">
        <f t="shared" si="13"/>
        <v>1.1961123110151191</v>
      </c>
      <c r="DA90" s="571">
        <f t="shared" si="13"/>
        <v>1.1961123110151188</v>
      </c>
      <c r="DB90" s="571">
        <f t="shared" si="13"/>
        <v>1.1961123110151188</v>
      </c>
      <c r="DC90" s="571">
        <f t="shared" si="13"/>
        <v>1.1961123110151191</v>
      </c>
      <c r="DD90" s="571">
        <f t="shared" si="13"/>
        <v>1.1961123110151188</v>
      </c>
      <c r="DE90" s="571">
        <f t="shared" si="13"/>
        <v>1.1961123110151191</v>
      </c>
      <c r="DF90" s="571">
        <f t="shared" si="14"/>
        <v>1.1961123110151188</v>
      </c>
    </row>
    <row r="91" spans="1:110">
      <c r="A91" s="2773"/>
      <c r="B91" s="2774" t="s">
        <v>495</v>
      </c>
      <c r="C91" s="2775"/>
      <c r="D91" s="846"/>
      <c r="E91" s="846"/>
      <c r="F91" s="846"/>
      <c r="G91" s="846"/>
      <c r="H91" s="846"/>
      <c r="I91" s="846"/>
      <c r="J91" s="847"/>
      <c r="K91" s="847"/>
      <c r="L91" s="847">
        <f>((L$86-$H$4)/1000)*IF($C$13=0,$M$24,$M$41)*(($C$8/70)^$X$41)*IF($C$13=1,$AG$41,IF($C$13=2,$AH$41,IF($C$13=3,$AI$41,1)))</f>
        <v>868.09979201399995</v>
      </c>
      <c r="M91" s="847">
        <f t="shared" ref="M91:BF91" si="18">((M$86-$H$4)/1000)*IF($C$13=0,$M$24,$M$41)*(($C$8/70)^$X$41)*IF($C$13=1,$AG$41,IF($C$13=2,$AH$41,IF($C$13=3,$AI$41,1)))</f>
        <v>992.11404801600008</v>
      </c>
      <c r="N91" s="847">
        <f t="shared" si="18"/>
        <v>1116.1283040180001</v>
      </c>
      <c r="O91" s="847">
        <f t="shared" si="18"/>
        <v>1240.14256002</v>
      </c>
      <c r="P91" s="847">
        <f t="shared" si="18"/>
        <v>1364.1568160220002</v>
      </c>
      <c r="Q91" s="847">
        <f t="shared" si="18"/>
        <v>1488.1710720240001</v>
      </c>
      <c r="R91" s="847">
        <f t="shared" si="18"/>
        <v>1612.1853280260002</v>
      </c>
      <c r="S91" s="847">
        <f t="shared" si="18"/>
        <v>1736.1995840279999</v>
      </c>
      <c r="T91" s="847">
        <f t="shared" si="18"/>
        <v>1860.2138400300003</v>
      </c>
      <c r="U91" s="847">
        <f t="shared" si="18"/>
        <v>1984.2280960320002</v>
      </c>
      <c r="V91" s="847">
        <f t="shared" si="18"/>
        <v>2108.2423520339999</v>
      </c>
      <c r="W91" s="847">
        <f t="shared" si="18"/>
        <v>2232.2566080360002</v>
      </c>
      <c r="X91" s="847">
        <f t="shared" si="18"/>
        <v>2356.2708640379997</v>
      </c>
      <c r="Y91" s="847">
        <f t="shared" si="18"/>
        <v>2480.28512004</v>
      </c>
      <c r="Z91" s="847">
        <f t="shared" si="18"/>
        <v>2604.2993760420004</v>
      </c>
      <c r="AA91" s="847">
        <f t="shared" si="18"/>
        <v>2728.3136320440003</v>
      </c>
      <c r="AB91" s="847">
        <f t="shared" si="18"/>
        <v>2852.3278880459998</v>
      </c>
      <c r="AC91" s="847">
        <f t="shared" si="18"/>
        <v>2976.3421440480001</v>
      </c>
      <c r="AD91" s="847">
        <f t="shared" si="18"/>
        <v>3100.35640005</v>
      </c>
      <c r="AE91" s="847">
        <f t="shared" si="18"/>
        <v>3224.3706560520004</v>
      </c>
      <c r="AF91" s="847">
        <f t="shared" si="18"/>
        <v>3348.3849120540003</v>
      </c>
      <c r="AG91" s="847">
        <f t="shared" si="18"/>
        <v>3472.3991680559998</v>
      </c>
      <c r="AH91" s="847">
        <f t="shared" si="18"/>
        <v>3596.4134240580001</v>
      </c>
      <c r="AI91" s="847">
        <f t="shared" si="18"/>
        <v>3720.4276800600005</v>
      </c>
      <c r="AJ91" s="847">
        <f t="shared" si="18"/>
        <v>3844.4419360620009</v>
      </c>
      <c r="AK91" s="847">
        <f t="shared" si="18"/>
        <v>3968.4561920640003</v>
      </c>
      <c r="AL91" s="847">
        <f t="shared" si="18"/>
        <v>4092.4704480659998</v>
      </c>
      <c r="AM91" s="847">
        <f t="shared" si="18"/>
        <v>4216.4847040679997</v>
      </c>
      <c r="AN91" s="847">
        <f t="shared" si="18"/>
        <v>4340.4989600700001</v>
      </c>
      <c r="AO91" s="847">
        <f t="shared" si="18"/>
        <v>4464.5132160720004</v>
      </c>
      <c r="AP91" s="847">
        <f t="shared" si="18"/>
        <v>4588.5274720739999</v>
      </c>
      <c r="AQ91" s="847">
        <f t="shared" si="18"/>
        <v>4712.5417280759993</v>
      </c>
      <c r="AR91" s="847">
        <f t="shared" si="18"/>
        <v>4836.5559840779997</v>
      </c>
      <c r="AS91" s="847">
        <f t="shared" si="18"/>
        <v>4960.5702400800001</v>
      </c>
      <c r="AT91" s="847">
        <f t="shared" si="18"/>
        <v>5084.5844960819995</v>
      </c>
      <c r="AU91" s="847">
        <f t="shared" si="18"/>
        <v>5208.5987520840008</v>
      </c>
      <c r="AV91" s="847">
        <f t="shared" si="18"/>
        <v>5332.6130080860003</v>
      </c>
      <c r="AW91" s="847">
        <f t="shared" si="18"/>
        <v>5456.6272640880006</v>
      </c>
      <c r="AX91" s="847">
        <f t="shared" si="18"/>
        <v>5580.6415200900001</v>
      </c>
      <c r="AY91" s="847">
        <f t="shared" si="18"/>
        <v>5704.6557760919995</v>
      </c>
      <c r="AZ91" s="847">
        <f t="shared" si="18"/>
        <v>5828.6700320940008</v>
      </c>
      <c r="BA91" s="847">
        <f t="shared" si="18"/>
        <v>5952.6842880960003</v>
      </c>
      <c r="BB91" s="847">
        <f t="shared" si="18"/>
        <v>6076.6985440980006</v>
      </c>
      <c r="BC91" s="847">
        <f t="shared" si="18"/>
        <v>6200.7128001000001</v>
      </c>
      <c r="BD91" s="847">
        <f t="shared" si="18"/>
        <v>6324.7270561019996</v>
      </c>
      <c r="BE91" s="847">
        <f t="shared" si="18"/>
        <v>6448.7413121040008</v>
      </c>
      <c r="BF91" s="847">
        <f t="shared" si="18"/>
        <v>6572.7555681060003</v>
      </c>
      <c r="BG91" s="17"/>
      <c r="BH91" s="17"/>
      <c r="BJ91" s="571" t="e">
        <f t="shared" si="11"/>
        <v>#DIV/0!</v>
      </c>
      <c r="BK91" s="571" t="e">
        <f t="shared" si="11"/>
        <v>#DIV/0!</v>
      </c>
      <c r="BL91" s="571">
        <f t="shared" si="11"/>
        <v>1.1458832603705518</v>
      </c>
      <c r="BM91" s="571">
        <f t="shared" si="11"/>
        <v>1.1458832603705515</v>
      </c>
      <c r="BN91" s="571">
        <f t="shared" si="11"/>
        <v>1.1458832603705515</v>
      </c>
      <c r="BO91" s="571">
        <f t="shared" si="11"/>
        <v>1.1458832603705515</v>
      </c>
      <c r="BP91" s="571">
        <f t="shared" si="11"/>
        <v>1.1458832603705515</v>
      </c>
      <c r="BQ91" s="571">
        <f t="shared" si="11"/>
        <v>1.1458832603705515</v>
      </c>
      <c r="BR91" s="571">
        <f t="shared" si="11"/>
        <v>1.1458832603705515</v>
      </c>
      <c r="BS91" s="571">
        <f t="shared" si="11"/>
        <v>1.1458832603705518</v>
      </c>
      <c r="BT91" s="571">
        <f t="shared" si="11"/>
        <v>1.1458832603705513</v>
      </c>
      <c r="BU91" s="571">
        <f t="shared" si="11"/>
        <v>1.1458832603705515</v>
      </c>
      <c r="BV91" s="571">
        <f t="shared" si="11"/>
        <v>1.1458832603705518</v>
      </c>
      <c r="BW91" s="571">
        <f t="shared" si="11"/>
        <v>1.1458832603705515</v>
      </c>
      <c r="BX91" s="571">
        <f t="shared" si="11"/>
        <v>1.1458832603705518</v>
      </c>
      <c r="BY91" s="571">
        <f t="shared" si="11"/>
        <v>1.1458832603705515</v>
      </c>
      <c r="BZ91" s="571">
        <f t="shared" si="12"/>
        <v>1.1458832603705515</v>
      </c>
      <c r="CA91" s="571">
        <f t="shared" si="12"/>
        <v>1.1458832603705515</v>
      </c>
      <c r="CB91" s="571">
        <f t="shared" si="12"/>
        <v>1.1458832603705515</v>
      </c>
      <c r="CC91" s="571">
        <f t="shared" si="12"/>
        <v>1.1458832603705515</v>
      </c>
      <c r="CD91" s="571">
        <f t="shared" si="12"/>
        <v>1.1458832603705515</v>
      </c>
      <c r="CE91" s="571">
        <f t="shared" si="12"/>
        <v>1.1458832603705515</v>
      </c>
      <c r="CF91" s="571">
        <f t="shared" si="12"/>
        <v>1.1458832603705515</v>
      </c>
      <c r="CG91" s="571">
        <f t="shared" si="12"/>
        <v>1.1458832603705518</v>
      </c>
      <c r="CH91" s="571">
        <f t="shared" si="12"/>
        <v>1.1458832603705515</v>
      </c>
      <c r="CI91" s="571">
        <f t="shared" si="12"/>
        <v>1.1458832603705513</v>
      </c>
      <c r="CJ91" s="571">
        <f t="shared" si="12"/>
        <v>1.1458832603705513</v>
      </c>
      <c r="CK91" s="571">
        <f t="shared" si="12"/>
        <v>1.1458832603705515</v>
      </c>
      <c r="CL91" s="571">
        <f t="shared" si="12"/>
        <v>1.1458832603705515</v>
      </c>
      <c r="CM91" s="571">
        <f t="shared" si="12"/>
        <v>1.1458832603705518</v>
      </c>
      <c r="CN91" s="571">
        <f t="shared" si="12"/>
        <v>1.1458832603705518</v>
      </c>
      <c r="CO91" s="571">
        <f t="shared" si="12"/>
        <v>1.1458832603705515</v>
      </c>
      <c r="CP91" s="571">
        <f t="shared" si="13"/>
        <v>1.1458832603705515</v>
      </c>
      <c r="CQ91" s="571">
        <f t="shared" si="13"/>
        <v>1.1458832603705518</v>
      </c>
      <c r="CR91" s="571">
        <f t="shared" si="13"/>
        <v>1.1458832603705515</v>
      </c>
      <c r="CS91" s="571">
        <f t="shared" si="13"/>
        <v>1.1458832603705515</v>
      </c>
      <c r="CT91" s="571">
        <f t="shared" si="13"/>
        <v>1.1458832603705515</v>
      </c>
      <c r="CU91" s="571">
        <f t="shared" si="13"/>
        <v>1.1458832603705515</v>
      </c>
      <c r="CV91" s="571">
        <f t="shared" si="13"/>
        <v>1.1458832603705515</v>
      </c>
      <c r="CW91" s="571">
        <f t="shared" si="13"/>
        <v>1.1458832603705515</v>
      </c>
      <c r="CX91" s="571">
        <f t="shared" si="13"/>
        <v>1.1458832603705515</v>
      </c>
      <c r="CY91" s="571">
        <f t="shared" si="13"/>
        <v>1.1458832603705515</v>
      </c>
      <c r="CZ91" s="571">
        <f t="shared" si="13"/>
        <v>1.1458832603705515</v>
      </c>
      <c r="DA91" s="571">
        <f t="shared" si="13"/>
        <v>1.1458832603705515</v>
      </c>
      <c r="DB91" s="571">
        <f t="shared" si="13"/>
        <v>1.1458832603705518</v>
      </c>
      <c r="DC91" s="571">
        <f t="shared" si="13"/>
        <v>1.1458832603705515</v>
      </c>
      <c r="DD91" s="571">
        <f t="shared" si="13"/>
        <v>1.1458832603705515</v>
      </c>
      <c r="DE91" s="571">
        <f t="shared" si="13"/>
        <v>1.1458832603705515</v>
      </c>
      <c r="DF91" s="571">
        <f t="shared" si="14"/>
        <v>1.1458832603705515</v>
      </c>
    </row>
    <row r="92" spans="1:110" ht="15.75" thickBot="1">
      <c r="A92" s="2773"/>
      <c r="B92" s="2741" t="s">
        <v>496</v>
      </c>
      <c r="C92" s="2742"/>
      <c r="D92" s="848"/>
      <c r="E92" s="848"/>
      <c r="F92" s="848"/>
      <c r="G92" s="848"/>
      <c r="H92" s="848"/>
      <c r="I92" s="848"/>
      <c r="J92" s="849"/>
      <c r="K92" s="849"/>
      <c r="L92" s="849">
        <f>((L$86-$H$4)/1000)*IF($C$13=0,$N$24,$N$41)*(($C$8/70)^$Y$41)*IF($C$13=1,$AG$41,IF($C$13=2,$AH$41,IF($C$13=3,$AI$41,1)))</f>
        <v>959.76250297199999</v>
      </c>
      <c r="M92" s="849">
        <f t="shared" ref="M92:BF92" si="19">((M$86-$H$4)/1000)*IF($C$13=0,$N$24,$N$41)*(($C$8/70)^$Y$41)*IF($C$13=1,$AG$41,IF($C$13=2,$AH$41,IF($C$13=3,$AI$41,1)))</f>
        <v>1096.8714319680003</v>
      </c>
      <c r="N92" s="849">
        <f t="shared" si="19"/>
        <v>1233.9803609640001</v>
      </c>
      <c r="O92" s="849">
        <f t="shared" si="19"/>
        <v>1371.0892899600001</v>
      </c>
      <c r="P92" s="849">
        <f t="shared" si="19"/>
        <v>1508.1982189560001</v>
      </c>
      <c r="Q92" s="849">
        <f t="shared" si="19"/>
        <v>1645.3071479520002</v>
      </c>
      <c r="R92" s="849">
        <f t="shared" si="19"/>
        <v>1782.4160769480002</v>
      </c>
      <c r="S92" s="849">
        <f t="shared" si="19"/>
        <v>1919.525005944</v>
      </c>
      <c r="T92" s="849">
        <f t="shared" si="19"/>
        <v>2056.63393494</v>
      </c>
      <c r="U92" s="849">
        <f t="shared" si="19"/>
        <v>2193.7428639360005</v>
      </c>
      <c r="V92" s="849">
        <f t="shared" si="19"/>
        <v>2330.8517929320001</v>
      </c>
      <c r="W92" s="849">
        <f t="shared" si="19"/>
        <v>2467.9607219280001</v>
      </c>
      <c r="X92" s="849">
        <f t="shared" si="19"/>
        <v>2605.0696509240001</v>
      </c>
      <c r="Y92" s="849">
        <f t="shared" si="19"/>
        <v>2742.1785799200002</v>
      </c>
      <c r="Z92" s="849">
        <f t="shared" si="19"/>
        <v>2879.2875089160002</v>
      </c>
      <c r="AA92" s="849">
        <f t="shared" si="19"/>
        <v>3016.3964379120002</v>
      </c>
      <c r="AB92" s="849">
        <f t="shared" si="19"/>
        <v>3153.5053669080003</v>
      </c>
      <c r="AC92" s="849">
        <f t="shared" si="19"/>
        <v>3290.6142959040003</v>
      </c>
      <c r="AD92" s="849">
        <f t="shared" si="19"/>
        <v>3427.7232249000003</v>
      </c>
      <c r="AE92" s="849">
        <f t="shared" si="19"/>
        <v>3564.8321538960004</v>
      </c>
      <c r="AF92" s="849">
        <f t="shared" si="19"/>
        <v>3701.9410828920004</v>
      </c>
      <c r="AG92" s="849">
        <f t="shared" si="19"/>
        <v>3839.050011888</v>
      </c>
      <c r="AH92" s="849">
        <f t="shared" si="19"/>
        <v>3976.158940884</v>
      </c>
      <c r="AI92" s="849">
        <f t="shared" si="19"/>
        <v>4113.26786988</v>
      </c>
      <c r="AJ92" s="849">
        <f t="shared" si="19"/>
        <v>4250.376798876001</v>
      </c>
      <c r="AK92" s="849">
        <f t="shared" si="19"/>
        <v>4387.485727872001</v>
      </c>
      <c r="AL92" s="849">
        <f t="shared" si="19"/>
        <v>4524.5946568680001</v>
      </c>
      <c r="AM92" s="849">
        <f t="shared" si="19"/>
        <v>4661.7035858640002</v>
      </c>
      <c r="AN92" s="849">
        <f t="shared" si="19"/>
        <v>4798.8125148600002</v>
      </c>
      <c r="AO92" s="849">
        <f t="shared" si="19"/>
        <v>4935.9214438560002</v>
      </c>
      <c r="AP92" s="849">
        <f t="shared" si="19"/>
        <v>5073.0303728520003</v>
      </c>
      <c r="AQ92" s="849">
        <f t="shared" si="19"/>
        <v>5210.1393018480003</v>
      </c>
      <c r="AR92" s="849">
        <f t="shared" si="19"/>
        <v>5347.2482308440003</v>
      </c>
      <c r="AS92" s="849">
        <f t="shared" si="19"/>
        <v>5484.3571598400003</v>
      </c>
      <c r="AT92" s="849">
        <f t="shared" si="19"/>
        <v>5621.4660888359995</v>
      </c>
      <c r="AU92" s="849">
        <f t="shared" si="19"/>
        <v>5758.5750178320004</v>
      </c>
      <c r="AV92" s="849">
        <f t="shared" si="19"/>
        <v>5895.6839468280004</v>
      </c>
      <c r="AW92" s="849">
        <f t="shared" si="19"/>
        <v>6032.7928758240005</v>
      </c>
      <c r="AX92" s="849">
        <f t="shared" si="19"/>
        <v>6169.9018048200005</v>
      </c>
      <c r="AY92" s="849">
        <f t="shared" si="19"/>
        <v>6307.0107338160005</v>
      </c>
      <c r="AZ92" s="849">
        <f t="shared" si="19"/>
        <v>6444.1196628120006</v>
      </c>
      <c r="BA92" s="849">
        <f t="shared" si="19"/>
        <v>6581.2285918080006</v>
      </c>
      <c r="BB92" s="849">
        <f t="shared" si="19"/>
        <v>6718.3375208040006</v>
      </c>
      <c r="BC92" s="849">
        <f t="shared" si="19"/>
        <v>6855.4464498000007</v>
      </c>
      <c r="BD92" s="849">
        <f t="shared" si="19"/>
        <v>6992.5553787959998</v>
      </c>
      <c r="BE92" s="849">
        <f t="shared" si="19"/>
        <v>7129.6643077920007</v>
      </c>
      <c r="BF92" s="849">
        <f t="shared" si="19"/>
        <v>7266.7732367880008</v>
      </c>
      <c r="BG92" s="17"/>
      <c r="BH92" s="17"/>
      <c r="BJ92" s="571" t="e">
        <f t="shared" si="11"/>
        <v>#DIV/0!</v>
      </c>
      <c r="BK92" s="571" t="e">
        <f t="shared" si="11"/>
        <v>#DIV/0!</v>
      </c>
      <c r="BL92" s="571">
        <f t="shared" si="11"/>
        <v>1.1478906673145377</v>
      </c>
      <c r="BM92" s="571">
        <f t="shared" si="11"/>
        <v>1.1478906673145377</v>
      </c>
      <c r="BN92" s="571">
        <f t="shared" si="11"/>
        <v>1.1478906673145377</v>
      </c>
      <c r="BO92" s="571">
        <f t="shared" si="11"/>
        <v>1.1478906673145377</v>
      </c>
      <c r="BP92" s="571">
        <f t="shared" si="11"/>
        <v>1.1478906673145377</v>
      </c>
      <c r="BQ92" s="571">
        <f t="shared" si="11"/>
        <v>1.1478906673145375</v>
      </c>
      <c r="BR92" s="571">
        <f t="shared" si="11"/>
        <v>1.1478906673145377</v>
      </c>
      <c r="BS92" s="571">
        <f t="shared" si="11"/>
        <v>1.1478906673145377</v>
      </c>
      <c r="BT92" s="571">
        <f t="shared" si="11"/>
        <v>1.1478906673145379</v>
      </c>
      <c r="BU92" s="571">
        <f t="shared" si="11"/>
        <v>1.1478906673145377</v>
      </c>
      <c r="BV92" s="571">
        <f t="shared" si="11"/>
        <v>1.1478906673145377</v>
      </c>
      <c r="BW92" s="571">
        <f t="shared" si="11"/>
        <v>1.1478906673145377</v>
      </c>
      <c r="BX92" s="571">
        <f t="shared" si="11"/>
        <v>1.1478906673145377</v>
      </c>
      <c r="BY92" s="571">
        <f t="shared" si="11"/>
        <v>1.1478906673145377</v>
      </c>
      <c r="BZ92" s="571">
        <f t="shared" si="12"/>
        <v>1.1478906673145377</v>
      </c>
      <c r="CA92" s="571">
        <f t="shared" si="12"/>
        <v>1.1478906673145377</v>
      </c>
      <c r="CB92" s="571">
        <f t="shared" si="12"/>
        <v>1.1478906673145377</v>
      </c>
      <c r="CC92" s="571">
        <f t="shared" si="12"/>
        <v>1.1478906673145375</v>
      </c>
      <c r="CD92" s="571">
        <f t="shared" si="12"/>
        <v>1.1478906673145377</v>
      </c>
      <c r="CE92" s="571">
        <f t="shared" si="12"/>
        <v>1.1478906673145377</v>
      </c>
      <c r="CF92" s="571">
        <f t="shared" si="12"/>
        <v>1.1478906673145377</v>
      </c>
      <c r="CG92" s="571">
        <f t="shared" si="12"/>
        <v>1.1478906673145377</v>
      </c>
      <c r="CH92" s="571">
        <f t="shared" si="12"/>
        <v>1.1478906673145377</v>
      </c>
      <c r="CI92" s="571">
        <f t="shared" si="12"/>
        <v>1.1478906673145379</v>
      </c>
      <c r="CJ92" s="571">
        <f t="shared" si="12"/>
        <v>1.1478906673145375</v>
      </c>
      <c r="CK92" s="571">
        <f t="shared" si="12"/>
        <v>1.1478906673145377</v>
      </c>
      <c r="CL92" s="571">
        <f t="shared" si="12"/>
        <v>1.1478906673145377</v>
      </c>
      <c r="CM92" s="571">
        <f t="shared" si="12"/>
        <v>1.1478906673145377</v>
      </c>
      <c r="CN92" s="571">
        <f t="shared" si="12"/>
        <v>1.1478906673145377</v>
      </c>
      <c r="CO92" s="571">
        <f t="shared" si="12"/>
        <v>1.1478906673145377</v>
      </c>
      <c r="CP92" s="571">
        <f t="shared" si="13"/>
        <v>1.1478906673145379</v>
      </c>
      <c r="CQ92" s="571">
        <f t="shared" si="13"/>
        <v>1.1478906673145377</v>
      </c>
      <c r="CR92" s="571">
        <f t="shared" si="13"/>
        <v>1.1478906673145377</v>
      </c>
      <c r="CS92" s="571">
        <f t="shared" si="13"/>
        <v>1.1478906673145377</v>
      </c>
      <c r="CT92" s="571">
        <f t="shared" si="13"/>
        <v>1.1478906673145377</v>
      </c>
      <c r="CU92" s="571">
        <f t="shared" si="13"/>
        <v>1.1478906673145377</v>
      </c>
      <c r="CV92" s="571">
        <f t="shared" si="13"/>
        <v>1.1478906673145377</v>
      </c>
      <c r="CW92" s="571">
        <f t="shared" si="13"/>
        <v>1.1478906673145377</v>
      </c>
      <c r="CX92" s="571">
        <f t="shared" si="13"/>
        <v>1.1478906673145377</v>
      </c>
      <c r="CY92" s="571">
        <f t="shared" si="13"/>
        <v>1.1478906673145377</v>
      </c>
      <c r="CZ92" s="571">
        <f t="shared" si="13"/>
        <v>1.1478906673145377</v>
      </c>
      <c r="DA92" s="571">
        <f t="shared" si="13"/>
        <v>1.1478906673145375</v>
      </c>
      <c r="DB92" s="571">
        <f t="shared" si="13"/>
        <v>1.1478906673145377</v>
      </c>
      <c r="DC92" s="571">
        <f t="shared" si="13"/>
        <v>1.1478906673145377</v>
      </c>
      <c r="DD92" s="571">
        <f t="shared" si="13"/>
        <v>1.1478906673145377</v>
      </c>
      <c r="DE92" s="571">
        <f t="shared" si="13"/>
        <v>1.1478906673145377</v>
      </c>
      <c r="DF92" s="571">
        <f t="shared" si="14"/>
        <v>1.1478906673145375</v>
      </c>
    </row>
    <row r="93" spans="1:110" hidden="1">
      <c r="A93" s="2773"/>
      <c r="B93" s="2741" t="s">
        <v>292</v>
      </c>
      <c r="C93" s="2742"/>
      <c r="D93" s="848"/>
      <c r="E93" s="848"/>
      <c r="F93" s="848"/>
      <c r="G93" s="848"/>
      <c r="H93" s="848"/>
      <c r="I93" s="848"/>
      <c r="J93" s="849"/>
      <c r="K93" s="849"/>
      <c r="L93" s="849">
        <f>((L$86-$H$4)/1000)*IF($C$13=0,$Q$24,$Q$41)*(($C$8/70)^$AB$41)*IF($C$13=1,$AG$41,IF($C$13=2,$AH$41,IF($C$13=3,$AI$41,1)))</f>
        <v>1285.5588595293873</v>
      </c>
      <c r="M93" s="849">
        <f t="shared" ref="M93:BF93" si="20">((M$86-$H$4)/1000)*IF($C$13=0,$Q$24,$Q$41)*(($C$8/70)^$AB$41)*IF($C$13=1,$AG$41,IF($C$13=2,$AH$41,IF($C$13=3,$AI$41,1)))</f>
        <v>1469.2101251764429</v>
      </c>
      <c r="N93" s="849">
        <f t="shared" si="20"/>
        <v>1652.8613908234984</v>
      </c>
      <c r="O93" s="849">
        <f t="shared" si="20"/>
        <v>1836.5126564705536</v>
      </c>
      <c r="P93" s="849">
        <f t="shared" si="20"/>
        <v>2020.1639221176092</v>
      </c>
      <c r="Q93" s="849">
        <f t="shared" si="20"/>
        <v>2203.8151877646642</v>
      </c>
      <c r="R93" s="849">
        <f t="shared" si="20"/>
        <v>2387.4664534117201</v>
      </c>
      <c r="S93" s="849">
        <f t="shared" si="20"/>
        <v>2571.1177190587746</v>
      </c>
      <c r="T93" s="849">
        <f t="shared" si="20"/>
        <v>2754.7689847058305</v>
      </c>
      <c r="U93" s="849">
        <f t="shared" si="20"/>
        <v>2938.4202503528859</v>
      </c>
      <c r="V93" s="849">
        <f t="shared" si="20"/>
        <v>3122.0715159999409</v>
      </c>
      <c r="W93" s="849">
        <f t="shared" si="20"/>
        <v>3305.7227816469967</v>
      </c>
      <c r="X93" s="849">
        <f t="shared" si="20"/>
        <v>3489.3740472940517</v>
      </c>
      <c r="Y93" s="849">
        <f t="shared" si="20"/>
        <v>3673.0253129411071</v>
      </c>
      <c r="Z93" s="849">
        <f t="shared" si="20"/>
        <v>3856.676578588163</v>
      </c>
      <c r="AA93" s="849">
        <f t="shared" si="20"/>
        <v>4040.3278442352184</v>
      </c>
      <c r="AB93" s="849">
        <f t="shared" si="20"/>
        <v>4223.9791098822725</v>
      </c>
      <c r="AC93" s="849">
        <f t="shared" si="20"/>
        <v>4407.6303755293284</v>
      </c>
      <c r="AD93" s="849">
        <f t="shared" si="20"/>
        <v>4591.2816411763843</v>
      </c>
      <c r="AE93" s="849">
        <f t="shared" si="20"/>
        <v>4774.9329068234401</v>
      </c>
      <c r="AF93" s="849">
        <f t="shared" si="20"/>
        <v>4958.5841724704951</v>
      </c>
      <c r="AG93" s="849">
        <f t="shared" si="20"/>
        <v>5142.2354381175492</v>
      </c>
      <c r="AH93" s="849">
        <f t="shared" si="20"/>
        <v>5325.886703764605</v>
      </c>
      <c r="AI93" s="849">
        <f t="shared" si="20"/>
        <v>5509.5379694116609</v>
      </c>
      <c r="AJ93" s="849">
        <f t="shared" si="20"/>
        <v>5693.1892350587168</v>
      </c>
      <c r="AK93" s="849">
        <f t="shared" si="20"/>
        <v>5876.8405007057718</v>
      </c>
      <c r="AL93" s="849">
        <f t="shared" si="20"/>
        <v>6060.4917663528267</v>
      </c>
      <c r="AM93" s="849">
        <f t="shared" si="20"/>
        <v>6244.1430319998817</v>
      </c>
      <c r="AN93" s="849">
        <f t="shared" si="20"/>
        <v>6427.7942976469376</v>
      </c>
      <c r="AO93" s="849">
        <f t="shared" si="20"/>
        <v>6611.4455632939935</v>
      </c>
      <c r="AP93" s="849">
        <f t="shared" si="20"/>
        <v>6795.0968289410484</v>
      </c>
      <c r="AQ93" s="849">
        <f t="shared" si="20"/>
        <v>6978.7480945881034</v>
      </c>
      <c r="AR93" s="849">
        <f t="shared" si="20"/>
        <v>7162.3993602351593</v>
      </c>
      <c r="AS93" s="849">
        <f t="shared" si="20"/>
        <v>7346.0506258822143</v>
      </c>
      <c r="AT93" s="849">
        <f t="shared" si="20"/>
        <v>7529.7018915292692</v>
      </c>
      <c r="AU93" s="849">
        <f t="shared" si="20"/>
        <v>7713.353157176326</v>
      </c>
      <c r="AV93" s="849">
        <f t="shared" si="20"/>
        <v>7897.004422823381</v>
      </c>
      <c r="AW93" s="849">
        <f t="shared" si="20"/>
        <v>8080.6556884704369</v>
      </c>
      <c r="AX93" s="849">
        <f t="shared" si="20"/>
        <v>8264.30695411749</v>
      </c>
      <c r="AY93" s="849">
        <f t="shared" si="20"/>
        <v>8447.958219764545</v>
      </c>
      <c r="AZ93" s="849">
        <f t="shared" si="20"/>
        <v>8631.6094854116018</v>
      </c>
      <c r="BA93" s="849">
        <f t="shared" si="20"/>
        <v>8815.2607510586568</v>
      </c>
      <c r="BB93" s="849">
        <f t="shared" si="20"/>
        <v>8998.9120167057135</v>
      </c>
      <c r="BC93" s="849">
        <f t="shared" si="20"/>
        <v>9182.5632823527685</v>
      </c>
      <c r="BD93" s="849">
        <f t="shared" si="20"/>
        <v>9366.2145479998235</v>
      </c>
      <c r="BE93" s="849">
        <f t="shared" si="20"/>
        <v>9549.8658136468803</v>
      </c>
      <c r="BF93" s="849">
        <f t="shared" si="20"/>
        <v>9733.5170792939334</v>
      </c>
      <c r="BG93" s="17"/>
      <c r="BH93" s="17"/>
      <c r="BJ93" s="571" t="e">
        <f t="shared" si="11"/>
        <v>#DIV/0!</v>
      </c>
      <c r="BK93" s="571" t="e">
        <f t="shared" si="11"/>
        <v>#DIV/0!</v>
      </c>
      <c r="BL93" s="571">
        <f t="shared" si="11"/>
        <v>1.1953391076644613</v>
      </c>
      <c r="BM93" s="571">
        <f t="shared" si="11"/>
        <v>1.1953391076644611</v>
      </c>
      <c r="BN93" s="571">
        <f t="shared" si="11"/>
        <v>1.1953391076644611</v>
      </c>
      <c r="BO93" s="571">
        <f t="shared" si="11"/>
        <v>1.1953391076644611</v>
      </c>
      <c r="BP93" s="571">
        <f t="shared" si="11"/>
        <v>1.1953391076644611</v>
      </c>
      <c r="BQ93" s="571">
        <f t="shared" si="11"/>
        <v>1.1953391076644613</v>
      </c>
      <c r="BR93" s="571">
        <f t="shared" si="11"/>
        <v>1.1953391076644608</v>
      </c>
      <c r="BS93" s="571">
        <f t="shared" si="11"/>
        <v>1.1953391076644613</v>
      </c>
      <c r="BT93" s="571">
        <f t="shared" si="11"/>
        <v>1.1953391076644611</v>
      </c>
      <c r="BU93" s="571">
        <f t="shared" si="11"/>
        <v>1.1953391076644611</v>
      </c>
      <c r="BV93" s="571">
        <f t="shared" si="11"/>
        <v>1.1953391076644611</v>
      </c>
      <c r="BW93" s="571">
        <f t="shared" si="11"/>
        <v>1.1953391076644611</v>
      </c>
      <c r="BX93" s="571">
        <f t="shared" si="11"/>
        <v>1.1953391076644611</v>
      </c>
      <c r="BY93" s="571">
        <f t="shared" si="11"/>
        <v>1.1953391076644611</v>
      </c>
      <c r="BZ93" s="571">
        <f t="shared" si="12"/>
        <v>1.1953391076644611</v>
      </c>
      <c r="CA93" s="571">
        <f t="shared" si="12"/>
        <v>1.1953391076644611</v>
      </c>
      <c r="CB93" s="571">
        <f t="shared" si="12"/>
        <v>1.1953391076644613</v>
      </c>
      <c r="CC93" s="571">
        <f t="shared" si="12"/>
        <v>1.1953391076644613</v>
      </c>
      <c r="CD93" s="571">
        <f t="shared" si="12"/>
        <v>1.1953391076644611</v>
      </c>
      <c r="CE93" s="571">
        <f t="shared" si="12"/>
        <v>1.1953391076644608</v>
      </c>
      <c r="CF93" s="571">
        <f t="shared" si="12"/>
        <v>1.1953391076644611</v>
      </c>
      <c r="CG93" s="571">
        <f t="shared" si="12"/>
        <v>1.1953391076644613</v>
      </c>
      <c r="CH93" s="571">
        <f t="shared" si="12"/>
        <v>1.1953391076644611</v>
      </c>
      <c r="CI93" s="571">
        <f t="shared" si="12"/>
        <v>1.1953391076644611</v>
      </c>
      <c r="CJ93" s="571">
        <f t="shared" si="12"/>
        <v>1.1953391076644608</v>
      </c>
      <c r="CK93" s="571">
        <f t="shared" si="12"/>
        <v>1.1953391076644611</v>
      </c>
      <c r="CL93" s="571">
        <f t="shared" si="12"/>
        <v>1.1953391076644611</v>
      </c>
      <c r="CM93" s="571">
        <f t="shared" si="12"/>
        <v>1.1953391076644611</v>
      </c>
      <c r="CN93" s="571">
        <f t="shared" si="12"/>
        <v>1.1953391076644611</v>
      </c>
      <c r="CO93" s="571">
        <f t="shared" si="12"/>
        <v>1.1953391076644611</v>
      </c>
      <c r="CP93" s="571">
        <f t="shared" si="13"/>
        <v>1.1953391076644611</v>
      </c>
      <c r="CQ93" s="571">
        <f t="shared" si="13"/>
        <v>1.1953391076644611</v>
      </c>
      <c r="CR93" s="571">
        <f t="shared" si="13"/>
        <v>1.1953391076644613</v>
      </c>
      <c r="CS93" s="571">
        <f t="shared" si="13"/>
        <v>1.1953391076644611</v>
      </c>
      <c r="CT93" s="571">
        <f t="shared" si="13"/>
        <v>1.1953391076644613</v>
      </c>
      <c r="CU93" s="571">
        <f t="shared" si="13"/>
        <v>1.1953391076644611</v>
      </c>
      <c r="CV93" s="571">
        <f t="shared" si="13"/>
        <v>1.1953391076644611</v>
      </c>
      <c r="CW93" s="571">
        <f t="shared" si="13"/>
        <v>1.1953391076644611</v>
      </c>
      <c r="CX93" s="571">
        <f t="shared" si="13"/>
        <v>1.1953391076644613</v>
      </c>
      <c r="CY93" s="571">
        <f t="shared" si="13"/>
        <v>1.1953391076644613</v>
      </c>
      <c r="CZ93" s="571">
        <f t="shared" si="13"/>
        <v>1.1953391076644611</v>
      </c>
      <c r="DA93" s="571">
        <f t="shared" si="13"/>
        <v>1.1953391076644613</v>
      </c>
      <c r="DB93" s="571">
        <f t="shared" si="13"/>
        <v>1.1953391076644611</v>
      </c>
      <c r="DC93" s="571">
        <f t="shared" si="13"/>
        <v>1.1953391076644611</v>
      </c>
      <c r="DD93" s="571">
        <f t="shared" si="13"/>
        <v>1.1953391076644611</v>
      </c>
      <c r="DE93" s="571">
        <f t="shared" si="13"/>
        <v>1.1953391076644608</v>
      </c>
      <c r="DF93" s="571">
        <f t="shared" si="14"/>
        <v>1.1953391076644613</v>
      </c>
    </row>
    <row r="94" spans="1:110" ht="15.75" hidden="1" thickBot="1">
      <c r="A94" s="2773"/>
      <c r="B94" s="2743" t="s">
        <v>293</v>
      </c>
      <c r="C94" s="2744"/>
      <c r="D94" s="850"/>
      <c r="E94" s="850"/>
      <c r="F94" s="850"/>
      <c r="G94" s="850"/>
      <c r="H94" s="850"/>
      <c r="I94" s="850"/>
      <c r="J94" s="851"/>
      <c r="K94" s="851"/>
      <c r="L94" s="851">
        <f>((L$86-$H$4)/1000)*IF($C$13=0,$R$24,$R$41)*(($C$8/70)^$AC$41)*IF($C$13=1,$AG$41,IF($C$13=2,$AH$41,IF($C$13=3,$AI$41,1)))</f>
        <v>1401.9002852400001</v>
      </c>
      <c r="M94" s="851">
        <f t="shared" ref="M94:BF94" si="21">((M$86-$H$4)/1000)*IF($C$13=0,$R$24,$R$41)*(($C$8/70)^$AC$41)*IF($C$13=1,$AG$41,IF($C$13=2,$AH$41,IF($C$13=3,$AI$41,1)))</f>
        <v>1602.1717545600004</v>
      </c>
      <c r="N94" s="851">
        <f t="shared" si="21"/>
        <v>1802.4432238800005</v>
      </c>
      <c r="O94" s="851">
        <f t="shared" si="21"/>
        <v>2002.7146932000003</v>
      </c>
      <c r="P94" s="851">
        <f t="shared" si="21"/>
        <v>2202.9861625200006</v>
      </c>
      <c r="Q94" s="851">
        <f t="shared" si="21"/>
        <v>2403.2576318400002</v>
      </c>
      <c r="R94" s="851">
        <f t="shared" si="21"/>
        <v>2603.5291011600007</v>
      </c>
      <c r="S94" s="851">
        <f t="shared" si="21"/>
        <v>2803.8005704800003</v>
      </c>
      <c r="T94" s="851">
        <f t="shared" si="21"/>
        <v>3004.0720398000008</v>
      </c>
      <c r="U94" s="851">
        <f t="shared" si="21"/>
        <v>3204.3435091200008</v>
      </c>
      <c r="V94" s="851">
        <f t="shared" si="21"/>
        <v>3404.6149784400009</v>
      </c>
      <c r="W94" s="851">
        <f t="shared" si="21"/>
        <v>3604.8864477600009</v>
      </c>
      <c r="X94" s="851">
        <f t="shared" si="21"/>
        <v>3805.1579170800005</v>
      </c>
      <c r="Y94" s="851">
        <f t="shared" si="21"/>
        <v>4005.4293864000006</v>
      </c>
      <c r="Z94" s="851">
        <f t="shared" si="21"/>
        <v>4205.7008557200006</v>
      </c>
      <c r="AA94" s="851">
        <f t="shared" si="21"/>
        <v>4405.9723250400011</v>
      </c>
      <c r="AB94" s="851">
        <f t="shared" si="21"/>
        <v>4606.2437943600007</v>
      </c>
      <c r="AC94" s="851">
        <f t="shared" si="21"/>
        <v>4806.5152636800003</v>
      </c>
      <c r="AD94" s="851">
        <f t="shared" si="21"/>
        <v>5006.7867330000008</v>
      </c>
      <c r="AE94" s="851">
        <f t="shared" si="21"/>
        <v>5207.0582023200013</v>
      </c>
      <c r="AF94" s="851">
        <f t="shared" si="21"/>
        <v>5407.3296716400018</v>
      </c>
      <c r="AG94" s="851">
        <f t="shared" si="21"/>
        <v>5607.6011409600005</v>
      </c>
      <c r="AH94" s="851">
        <f t="shared" si="21"/>
        <v>5807.872610280001</v>
      </c>
      <c r="AI94" s="851">
        <f t="shared" si="21"/>
        <v>6008.1440796000015</v>
      </c>
      <c r="AJ94" s="851">
        <f t="shared" si="21"/>
        <v>6208.4155489200011</v>
      </c>
      <c r="AK94" s="851">
        <f t="shared" si="21"/>
        <v>6408.6870182400016</v>
      </c>
      <c r="AL94" s="851">
        <f t="shared" si="21"/>
        <v>6608.9584875600003</v>
      </c>
      <c r="AM94" s="851">
        <f t="shared" si="21"/>
        <v>6809.2299568800017</v>
      </c>
      <c r="AN94" s="851">
        <f t="shared" si="21"/>
        <v>7009.5014262000004</v>
      </c>
      <c r="AO94" s="851">
        <f t="shared" si="21"/>
        <v>7209.7728955200018</v>
      </c>
      <c r="AP94" s="851">
        <f t="shared" si="21"/>
        <v>7410.0443648400023</v>
      </c>
      <c r="AQ94" s="851">
        <f t="shared" si="21"/>
        <v>7610.315834160001</v>
      </c>
      <c r="AR94" s="851">
        <f t="shared" si="21"/>
        <v>7810.5873034800006</v>
      </c>
      <c r="AS94" s="851">
        <f t="shared" si="21"/>
        <v>8010.8587728000011</v>
      </c>
      <c r="AT94" s="851">
        <f t="shared" si="21"/>
        <v>8211.1302421199998</v>
      </c>
      <c r="AU94" s="851">
        <f t="shared" si="21"/>
        <v>8411.4017114400012</v>
      </c>
      <c r="AV94" s="851">
        <f t="shared" si="21"/>
        <v>8611.6731807600008</v>
      </c>
      <c r="AW94" s="851">
        <f t="shared" si="21"/>
        <v>8811.9446500800022</v>
      </c>
      <c r="AX94" s="851">
        <f t="shared" si="21"/>
        <v>9012.2161194000018</v>
      </c>
      <c r="AY94" s="851">
        <f t="shared" si="21"/>
        <v>9212.4875887200014</v>
      </c>
      <c r="AZ94" s="851">
        <f t="shared" si="21"/>
        <v>9412.7590580400029</v>
      </c>
      <c r="BA94" s="851">
        <f t="shared" si="21"/>
        <v>9613.0305273600006</v>
      </c>
      <c r="BB94" s="851">
        <f t="shared" si="21"/>
        <v>9813.301996680002</v>
      </c>
      <c r="BC94" s="851">
        <f t="shared" si="21"/>
        <v>10013.573466000002</v>
      </c>
      <c r="BD94" s="851">
        <f t="shared" si="21"/>
        <v>10213.844935320001</v>
      </c>
      <c r="BE94" s="851">
        <f t="shared" si="21"/>
        <v>10414.116404640003</v>
      </c>
      <c r="BF94" s="851">
        <f t="shared" si="21"/>
        <v>10614.387873960002</v>
      </c>
      <c r="BG94" s="17"/>
      <c r="BH94" s="17"/>
      <c r="BJ94" s="571" t="e">
        <f t="shared" si="11"/>
        <v>#DIV/0!</v>
      </c>
      <c r="BK94" s="571" t="e">
        <f t="shared" si="11"/>
        <v>#DIV/0!</v>
      </c>
      <c r="BL94" s="571">
        <f t="shared" si="11"/>
        <v>1.1775237920843951</v>
      </c>
      <c r="BM94" s="571">
        <f t="shared" si="11"/>
        <v>1.1775237920843951</v>
      </c>
      <c r="BN94" s="571">
        <f t="shared" si="11"/>
        <v>1.1775237920843953</v>
      </c>
      <c r="BO94" s="571">
        <f t="shared" si="11"/>
        <v>1.1775237920843953</v>
      </c>
      <c r="BP94" s="571">
        <f t="shared" si="11"/>
        <v>1.1775237920843951</v>
      </c>
      <c r="BQ94" s="571">
        <f t="shared" si="11"/>
        <v>1.1775237920843953</v>
      </c>
      <c r="BR94" s="571">
        <f t="shared" si="11"/>
        <v>1.1775237920843951</v>
      </c>
      <c r="BS94" s="571">
        <f t="shared" si="11"/>
        <v>1.1775237920843951</v>
      </c>
      <c r="BT94" s="571">
        <f t="shared" si="11"/>
        <v>1.1775237920843951</v>
      </c>
      <c r="BU94" s="571">
        <f t="shared" si="11"/>
        <v>1.1775237920843951</v>
      </c>
      <c r="BV94" s="571">
        <f t="shared" si="11"/>
        <v>1.1775237920843951</v>
      </c>
      <c r="BW94" s="571">
        <f t="shared" si="11"/>
        <v>1.1775237920843953</v>
      </c>
      <c r="BX94" s="571">
        <f t="shared" si="11"/>
        <v>1.1775237920843951</v>
      </c>
      <c r="BY94" s="571">
        <f t="shared" si="11"/>
        <v>1.1775237920843953</v>
      </c>
      <c r="BZ94" s="571">
        <f t="shared" si="12"/>
        <v>1.1775237920843953</v>
      </c>
      <c r="CA94" s="571">
        <f t="shared" si="12"/>
        <v>1.1775237920843951</v>
      </c>
      <c r="CB94" s="571">
        <f t="shared" si="12"/>
        <v>1.1775237920843951</v>
      </c>
      <c r="CC94" s="571">
        <f t="shared" si="12"/>
        <v>1.1775237920843953</v>
      </c>
      <c r="CD94" s="571">
        <f t="shared" si="12"/>
        <v>1.1775237920843951</v>
      </c>
      <c r="CE94" s="571">
        <f t="shared" si="12"/>
        <v>1.1775237920843951</v>
      </c>
      <c r="CF94" s="571">
        <f t="shared" si="12"/>
        <v>1.1775237920843951</v>
      </c>
      <c r="CG94" s="571">
        <f t="shared" si="12"/>
        <v>1.1775237920843951</v>
      </c>
      <c r="CH94" s="571">
        <f t="shared" si="12"/>
        <v>1.1775237920843951</v>
      </c>
      <c r="CI94" s="571">
        <f t="shared" si="12"/>
        <v>1.1775237920843951</v>
      </c>
      <c r="CJ94" s="571">
        <f t="shared" si="12"/>
        <v>1.1775237920843951</v>
      </c>
      <c r="CK94" s="571">
        <f t="shared" si="12"/>
        <v>1.1775237920843951</v>
      </c>
      <c r="CL94" s="571">
        <f t="shared" si="12"/>
        <v>1.1775237920843953</v>
      </c>
      <c r="CM94" s="571">
        <f t="shared" si="12"/>
        <v>1.1775237920843951</v>
      </c>
      <c r="CN94" s="571">
        <f t="shared" si="12"/>
        <v>1.1775237920843953</v>
      </c>
      <c r="CO94" s="571">
        <f t="shared" si="12"/>
        <v>1.1775237920843953</v>
      </c>
      <c r="CP94" s="571">
        <f t="shared" si="13"/>
        <v>1.1775237920843951</v>
      </c>
      <c r="CQ94" s="571">
        <f t="shared" si="13"/>
        <v>1.1775237920843951</v>
      </c>
      <c r="CR94" s="571">
        <f t="shared" si="13"/>
        <v>1.1775237920843953</v>
      </c>
      <c r="CS94" s="571">
        <f t="shared" si="13"/>
        <v>1.1775237920843953</v>
      </c>
      <c r="CT94" s="571">
        <f t="shared" si="13"/>
        <v>1.1775237920843951</v>
      </c>
      <c r="CU94" s="571">
        <f t="shared" si="13"/>
        <v>1.1775237920843953</v>
      </c>
      <c r="CV94" s="571">
        <f t="shared" si="13"/>
        <v>1.1775237920843951</v>
      </c>
      <c r="CW94" s="571">
        <f t="shared" si="13"/>
        <v>1.1775237920843951</v>
      </c>
      <c r="CX94" s="571">
        <f t="shared" si="13"/>
        <v>1.1775237920843951</v>
      </c>
      <c r="CY94" s="571">
        <f t="shared" si="13"/>
        <v>1.1775237920843951</v>
      </c>
      <c r="CZ94" s="571">
        <f t="shared" si="13"/>
        <v>1.1775237920843948</v>
      </c>
      <c r="DA94" s="571">
        <f t="shared" si="13"/>
        <v>1.1775237920843953</v>
      </c>
      <c r="DB94" s="571">
        <f t="shared" si="13"/>
        <v>1.1775237920843951</v>
      </c>
      <c r="DC94" s="571">
        <f t="shared" si="13"/>
        <v>1.1775237920843951</v>
      </c>
      <c r="DD94" s="571">
        <f t="shared" si="13"/>
        <v>1.1775237920843951</v>
      </c>
      <c r="DE94" s="571">
        <f t="shared" si="13"/>
        <v>1.1775237920843951</v>
      </c>
      <c r="DF94" s="571">
        <f t="shared" si="14"/>
        <v>1.1775237920843951</v>
      </c>
    </row>
    <row r="95" spans="1:110">
      <c r="A95" s="2773"/>
      <c r="B95" s="2745" t="s">
        <v>497</v>
      </c>
      <c r="C95" s="2746"/>
      <c r="D95" s="852"/>
      <c r="E95" s="852"/>
      <c r="F95" s="852"/>
      <c r="G95" s="852"/>
      <c r="H95" s="852"/>
      <c r="I95" s="852"/>
      <c r="J95" s="853"/>
      <c r="K95" s="853"/>
      <c r="L95" s="853">
        <f>((L$86-$H$4)/1000)*IF($C$13=0,$M$25,$M$42)*(($C$8/70)^$X$42)*IF($C$13=1,$AG$42,IF($C$13=2,$AH$42,IF($C$13=3,$AI$42,1)))</f>
        <v>994.74102000000005</v>
      </c>
      <c r="M95" s="853">
        <f t="shared" ref="M95:BF95" si="22">((M$86-$H$4)/1000)*IF($C$13=0,$M$25,$M$42)*(($C$8/70)^$X$42)*IF($C$13=1,$AG$42,IF($C$13=2,$AH$42,IF($C$13=3,$AI$42,1)))</f>
        <v>1136.8468800000001</v>
      </c>
      <c r="N95" s="853">
        <f t="shared" si="22"/>
        <v>1278.9527400000002</v>
      </c>
      <c r="O95" s="853">
        <f t="shared" si="22"/>
        <v>1421.0586000000001</v>
      </c>
      <c r="P95" s="853">
        <f t="shared" si="22"/>
        <v>1563.1644600000002</v>
      </c>
      <c r="Q95" s="853">
        <f t="shared" si="22"/>
        <v>1705.2703200000001</v>
      </c>
      <c r="R95" s="853">
        <f t="shared" si="22"/>
        <v>1847.3761800000002</v>
      </c>
      <c r="S95" s="853">
        <f t="shared" si="22"/>
        <v>1989.4820400000001</v>
      </c>
      <c r="T95" s="853">
        <f t="shared" si="22"/>
        <v>2131.5879</v>
      </c>
      <c r="U95" s="853">
        <f t="shared" si="22"/>
        <v>2273.6937600000001</v>
      </c>
      <c r="V95" s="853">
        <f t="shared" si="22"/>
        <v>2415.7996200000002</v>
      </c>
      <c r="W95" s="853">
        <f t="shared" si="22"/>
        <v>2557.9054800000004</v>
      </c>
      <c r="X95" s="853">
        <f t="shared" si="22"/>
        <v>2700.01134</v>
      </c>
      <c r="Y95" s="853">
        <f t="shared" si="22"/>
        <v>2842.1172000000001</v>
      </c>
      <c r="Z95" s="853">
        <f t="shared" si="22"/>
        <v>2984.2230600000003</v>
      </c>
      <c r="AA95" s="853">
        <f t="shared" si="22"/>
        <v>3126.3289200000004</v>
      </c>
      <c r="AB95" s="853">
        <f t="shared" si="22"/>
        <v>3268.43478</v>
      </c>
      <c r="AC95" s="853">
        <f t="shared" si="22"/>
        <v>3410.5406400000002</v>
      </c>
      <c r="AD95" s="853">
        <f t="shared" si="22"/>
        <v>3552.6464999999998</v>
      </c>
      <c r="AE95" s="853">
        <f t="shared" si="22"/>
        <v>3694.7523600000004</v>
      </c>
      <c r="AF95" s="853">
        <f t="shared" si="22"/>
        <v>3836.8582200000005</v>
      </c>
      <c r="AG95" s="853">
        <f t="shared" si="22"/>
        <v>3978.9640800000002</v>
      </c>
      <c r="AH95" s="853">
        <f t="shared" si="22"/>
        <v>4121.0699400000003</v>
      </c>
      <c r="AI95" s="853">
        <f t="shared" si="22"/>
        <v>4263.1758</v>
      </c>
      <c r="AJ95" s="853">
        <f t="shared" si="22"/>
        <v>4405.2816600000006</v>
      </c>
      <c r="AK95" s="853">
        <f t="shared" si="22"/>
        <v>4547.3875200000002</v>
      </c>
      <c r="AL95" s="853">
        <f t="shared" si="22"/>
        <v>4689.4933799999999</v>
      </c>
      <c r="AM95" s="853">
        <f t="shared" si="22"/>
        <v>4831.5992400000005</v>
      </c>
      <c r="AN95" s="853">
        <f t="shared" si="22"/>
        <v>4973.705100000001</v>
      </c>
      <c r="AO95" s="853">
        <f t="shared" si="22"/>
        <v>5115.8109600000007</v>
      </c>
      <c r="AP95" s="853">
        <f t="shared" si="22"/>
        <v>5257.9168200000004</v>
      </c>
      <c r="AQ95" s="853">
        <f t="shared" si="22"/>
        <v>5400.02268</v>
      </c>
      <c r="AR95" s="853">
        <f t="shared" si="22"/>
        <v>5542.1285399999997</v>
      </c>
      <c r="AS95" s="853">
        <f t="shared" si="22"/>
        <v>5684.2344000000003</v>
      </c>
      <c r="AT95" s="853">
        <f t="shared" si="22"/>
        <v>5826.3402599999999</v>
      </c>
      <c r="AU95" s="853">
        <f t="shared" si="22"/>
        <v>5968.4461200000005</v>
      </c>
      <c r="AV95" s="853">
        <f t="shared" si="22"/>
        <v>6110.5519800000002</v>
      </c>
      <c r="AW95" s="853">
        <f t="shared" si="22"/>
        <v>6252.6578400000008</v>
      </c>
      <c r="AX95" s="853">
        <f t="shared" si="22"/>
        <v>6394.7637000000004</v>
      </c>
      <c r="AY95" s="853">
        <f t="shared" si="22"/>
        <v>6536.8695600000001</v>
      </c>
      <c r="AZ95" s="853">
        <f t="shared" si="22"/>
        <v>6678.9754200000007</v>
      </c>
      <c r="BA95" s="853">
        <f t="shared" si="22"/>
        <v>6821.0812800000003</v>
      </c>
      <c r="BB95" s="853">
        <f t="shared" si="22"/>
        <v>6963.1871400000018</v>
      </c>
      <c r="BC95" s="853">
        <f t="shared" si="22"/>
        <v>7105.2929999999997</v>
      </c>
      <c r="BD95" s="853">
        <f t="shared" si="22"/>
        <v>7247.3988599999993</v>
      </c>
      <c r="BE95" s="853">
        <f t="shared" si="22"/>
        <v>7389.5047200000008</v>
      </c>
      <c r="BF95" s="853">
        <f t="shared" si="22"/>
        <v>7531.6105800000005</v>
      </c>
      <c r="BG95" s="17"/>
      <c r="BH95" s="17"/>
      <c r="BJ95" s="571" t="e">
        <f t="shared" si="11"/>
        <v>#DIV/0!</v>
      </c>
      <c r="BK95" s="571" t="e">
        <f t="shared" si="11"/>
        <v>#DIV/0!</v>
      </c>
      <c r="BL95" s="571">
        <f t="shared" si="11"/>
        <v>1.0540861861713513</v>
      </c>
      <c r="BM95" s="571">
        <f t="shared" si="11"/>
        <v>1.0540861861713515</v>
      </c>
      <c r="BN95" s="571">
        <f t="shared" si="11"/>
        <v>1.0540861861713513</v>
      </c>
      <c r="BO95" s="571">
        <f t="shared" si="11"/>
        <v>1.0540861861713513</v>
      </c>
      <c r="BP95" s="571">
        <f t="shared" si="11"/>
        <v>1.0540861861713515</v>
      </c>
      <c r="BQ95" s="571">
        <f t="shared" si="11"/>
        <v>1.0540861861713513</v>
      </c>
      <c r="BR95" s="571">
        <f t="shared" si="11"/>
        <v>1.0540861861713513</v>
      </c>
      <c r="BS95" s="571">
        <f t="shared" si="11"/>
        <v>1.0540861861713513</v>
      </c>
      <c r="BT95" s="571">
        <f t="shared" si="11"/>
        <v>1.0540861861713513</v>
      </c>
      <c r="BU95" s="571">
        <f t="shared" si="11"/>
        <v>1.0540861861713515</v>
      </c>
      <c r="BV95" s="571">
        <f t="shared" si="11"/>
        <v>1.0540861861713513</v>
      </c>
      <c r="BW95" s="571">
        <f t="shared" si="11"/>
        <v>1.0540861861713513</v>
      </c>
      <c r="BX95" s="571">
        <f t="shared" si="11"/>
        <v>1.0540861861713515</v>
      </c>
      <c r="BY95" s="571">
        <f t="shared" si="11"/>
        <v>1.0540861861713513</v>
      </c>
      <c r="BZ95" s="571">
        <f t="shared" si="12"/>
        <v>1.0540861861713515</v>
      </c>
      <c r="CA95" s="571">
        <f t="shared" si="12"/>
        <v>1.0540861861713515</v>
      </c>
      <c r="CB95" s="571">
        <f t="shared" si="12"/>
        <v>1.0540861861713513</v>
      </c>
      <c r="CC95" s="571">
        <f t="shared" si="12"/>
        <v>1.0540861861713513</v>
      </c>
      <c r="CD95" s="571">
        <f t="shared" si="12"/>
        <v>1.0540861861713515</v>
      </c>
      <c r="CE95" s="571">
        <f t="shared" si="12"/>
        <v>1.0540861861713513</v>
      </c>
      <c r="CF95" s="571">
        <f t="shared" si="12"/>
        <v>1.0540861861713515</v>
      </c>
      <c r="CG95" s="571">
        <f t="shared" si="12"/>
        <v>1.0540861861713513</v>
      </c>
      <c r="CH95" s="571">
        <f t="shared" si="12"/>
        <v>1.0540861861713513</v>
      </c>
      <c r="CI95" s="571">
        <f t="shared" si="12"/>
        <v>1.0540861861713513</v>
      </c>
      <c r="CJ95" s="571">
        <f t="shared" si="12"/>
        <v>1.0540861861713515</v>
      </c>
      <c r="CK95" s="571">
        <f t="shared" si="12"/>
        <v>1.0540861861713515</v>
      </c>
      <c r="CL95" s="571">
        <f t="shared" si="12"/>
        <v>1.0540861861713513</v>
      </c>
      <c r="CM95" s="571">
        <f t="shared" si="12"/>
        <v>1.0540861861713513</v>
      </c>
      <c r="CN95" s="571">
        <f t="shared" si="12"/>
        <v>1.0540861861713513</v>
      </c>
      <c r="CO95" s="571">
        <f t="shared" si="12"/>
        <v>1.0540861861713513</v>
      </c>
      <c r="CP95" s="571">
        <f t="shared" si="13"/>
        <v>1.0540861861713515</v>
      </c>
      <c r="CQ95" s="571">
        <f t="shared" si="13"/>
        <v>1.0540861861713515</v>
      </c>
      <c r="CR95" s="571">
        <f t="shared" si="13"/>
        <v>1.0540861861713515</v>
      </c>
      <c r="CS95" s="571">
        <f t="shared" si="13"/>
        <v>1.0540861861713513</v>
      </c>
      <c r="CT95" s="571">
        <f t="shared" si="13"/>
        <v>1.0540861861713513</v>
      </c>
      <c r="CU95" s="571">
        <f t="shared" si="13"/>
        <v>1.0540861861713515</v>
      </c>
      <c r="CV95" s="571">
        <f t="shared" si="13"/>
        <v>1.0540861861713513</v>
      </c>
      <c r="CW95" s="571">
        <f t="shared" si="13"/>
        <v>1.0540861861713515</v>
      </c>
      <c r="CX95" s="571">
        <f t="shared" si="13"/>
        <v>1.0540861861713513</v>
      </c>
      <c r="CY95" s="571">
        <f t="shared" si="13"/>
        <v>1.0540861861713513</v>
      </c>
      <c r="CZ95" s="571">
        <f t="shared" si="13"/>
        <v>1.0540861861713515</v>
      </c>
      <c r="DA95" s="571">
        <f t="shared" si="13"/>
        <v>1.0540861861713513</v>
      </c>
      <c r="DB95" s="571">
        <f t="shared" si="13"/>
        <v>1.0540861861713513</v>
      </c>
      <c r="DC95" s="571">
        <f t="shared" si="13"/>
        <v>1.0540861861713515</v>
      </c>
      <c r="DD95" s="571">
        <f t="shared" si="13"/>
        <v>1.0540861861713513</v>
      </c>
      <c r="DE95" s="571">
        <f t="shared" si="13"/>
        <v>1.0540861861713513</v>
      </c>
      <c r="DF95" s="571">
        <f t="shared" si="14"/>
        <v>1.0540861861713513</v>
      </c>
    </row>
    <row r="96" spans="1:110">
      <c r="A96" s="2773"/>
      <c r="B96" s="2747" t="s">
        <v>498</v>
      </c>
      <c r="C96" s="2748"/>
      <c r="D96" s="854"/>
      <c r="E96" s="854"/>
      <c r="F96" s="854"/>
      <c r="G96" s="854"/>
      <c r="H96" s="854"/>
      <c r="I96" s="854"/>
      <c r="J96" s="855"/>
      <c r="K96" s="855"/>
      <c r="L96" s="855">
        <f>((L$86-$H$4)/1000)*IF($C$13=0,$N$25,$N$42)*(($C$8/70)^$Y$42)*IF($C$13=1,$AG$42,IF($C$13=2,$AH$42,IF($C$13=3,$AI$42,1)))</f>
        <v>1101.7024200000001</v>
      </c>
      <c r="M96" s="855">
        <f t="shared" ref="M96:BF96" si="23">((M$86-$H$4)/1000)*IF($C$13=0,$N$25,$N$42)*(($C$8/70)^$Y$42)*IF($C$13=1,$AG$42,IF($C$13=2,$AH$42,IF($C$13=3,$AI$42,1)))</f>
        <v>1259.0884800000003</v>
      </c>
      <c r="N96" s="855">
        <f t="shared" si="23"/>
        <v>1416.4745400000002</v>
      </c>
      <c r="O96" s="855">
        <f t="shared" si="23"/>
        <v>1573.8606000000002</v>
      </c>
      <c r="P96" s="855">
        <f t="shared" si="23"/>
        <v>1731.2466600000002</v>
      </c>
      <c r="Q96" s="855">
        <f t="shared" si="23"/>
        <v>1888.6327200000001</v>
      </c>
      <c r="R96" s="855">
        <f t="shared" si="23"/>
        <v>2046.0187800000003</v>
      </c>
      <c r="S96" s="855">
        <f t="shared" si="23"/>
        <v>2203.4048400000001</v>
      </c>
      <c r="T96" s="855">
        <f t="shared" si="23"/>
        <v>2360.7909000000004</v>
      </c>
      <c r="U96" s="855">
        <f t="shared" si="23"/>
        <v>2518.1769600000007</v>
      </c>
      <c r="V96" s="855">
        <f t="shared" si="23"/>
        <v>2675.5630200000001</v>
      </c>
      <c r="W96" s="855">
        <f t="shared" si="23"/>
        <v>2832.9490800000003</v>
      </c>
      <c r="X96" s="855">
        <f t="shared" si="23"/>
        <v>2990.3351400000001</v>
      </c>
      <c r="Y96" s="855">
        <f t="shared" si="23"/>
        <v>3147.7212000000004</v>
      </c>
      <c r="Z96" s="855">
        <f t="shared" si="23"/>
        <v>3305.1072600000007</v>
      </c>
      <c r="AA96" s="855">
        <f t="shared" si="23"/>
        <v>3462.4933200000005</v>
      </c>
      <c r="AB96" s="855">
        <f t="shared" si="23"/>
        <v>3619.8793800000003</v>
      </c>
      <c r="AC96" s="855">
        <f t="shared" si="23"/>
        <v>3777.2654400000001</v>
      </c>
      <c r="AD96" s="855">
        <f t="shared" si="23"/>
        <v>3934.6515000000004</v>
      </c>
      <c r="AE96" s="855">
        <f t="shared" si="23"/>
        <v>4092.0375600000007</v>
      </c>
      <c r="AF96" s="855">
        <f t="shared" si="23"/>
        <v>4249.4236200000005</v>
      </c>
      <c r="AG96" s="855">
        <f t="shared" si="23"/>
        <v>4406.8096800000003</v>
      </c>
      <c r="AH96" s="855">
        <f t="shared" si="23"/>
        <v>4564.1957400000001</v>
      </c>
      <c r="AI96" s="855">
        <f t="shared" si="23"/>
        <v>4721.5818000000008</v>
      </c>
      <c r="AJ96" s="855">
        <f t="shared" si="23"/>
        <v>4878.9678600000007</v>
      </c>
      <c r="AK96" s="855">
        <f t="shared" si="23"/>
        <v>5036.3539200000014</v>
      </c>
      <c r="AL96" s="855">
        <f t="shared" si="23"/>
        <v>5193.7399800000003</v>
      </c>
      <c r="AM96" s="855">
        <f t="shared" si="23"/>
        <v>5351.1260400000001</v>
      </c>
      <c r="AN96" s="855">
        <f t="shared" si="23"/>
        <v>5508.5121000000008</v>
      </c>
      <c r="AO96" s="855">
        <f t="shared" si="23"/>
        <v>5665.8981600000006</v>
      </c>
      <c r="AP96" s="855">
        <f t="shared" si="23"/>
        <v>5823.2842200000014</v>
      </c>
      <c r="AQ96" s="855">
        <f t="shared" si="23"/>
        <v>5980.6702800000003</v>
      </c>
      <c r="AR96" s="855">
        <f t="shared" si="23"/>
        <v>6138.056340000001</v>
      </c>
      <c r="AS96" s="855">
        <f t="shared" si="23"/>
        <v>6295.4424000000008</v>
      </c>
      <c r="AT96" s="855">
        <f t="shared" si="23"/>
        <v>6452.8284599999997</v>
      </c>
      <c r="AU96" s="855">
        <f t="shared" si="23"/>
        <v>6610.2145200000014</v>
      </c>
      <c r="AV96" s="855">
        <f t="shared" si="23"/>
        <v>6767.6005800000003</v>
      </c>
      <c r="AW96" s="855">
        <f t="shared" si="23"/>
        <v>6924.986640000001</v>
      </c>
      <c r="AX96" s="855">
        <f t="shared" si="23"/>
        <v>7082.3727000000008</v>
      </c>
      <c r="AY96" s="855">
        <f t="shared" si="23"/>
        <v>7239.7587600000006</v>
      </c>
      <c r="AZ96" s="855">
        <f t="shared" si="23"/>
        <v>7397.1448200000013</v>
      </c>
      <c r="BA96" s="855">
        <f t="shared" si="23"/>
        <v>7554.5308800000003</v>
      </c>
      <c r="BB96" s="855">
        <f t="shared" si="23"/>
        <v>7711.916940000001</v>
      </c>
      <c r="BC96" s="855">
        <f t="shared" si="23"/>
        <v>7869.3030000000008</v>
      </c>
      <c r="BD96" s="855">
        <f t="shared" si="23"/>
        <v>8026.6890600000006</v>
      </c>
      <c r="BE96" s="855">
        <f t="shared" si="23"/>
        <v>8184.0751200000013</v>
      </c>
      <c r="BF96" s="855">
        <f t="shared" si="23"/>
        <v>8341.4611800000002</v>
      </c>
      <c r="BG96" s="17"/>
      <c r="BH96" s="17"/>
      <c r="BJ96" s="571" t="e">
        <f t="shared" si="11"/>
        <v>#DIV/0!</v>
      </c>
      <c r="BK96" s="571" t="e">
        <f t="shared" si="11"/>
        <v>#DIV/0!</v>
      </c>
      <c r="BL96" s="571">
        <f t="shared" si="11"/>
        <v>1.0522428225218929</v>
      </c>
      <c r="BM96" s="571">
        <f t="shared" si="11"/>
        <v>1.0522428225218929</v>
      </c>
      <c r="BN96" s="571">
        <f t="shared" si="11"/>
        <v>1.0522428225218929</v>
      </c>
      <c r="BO96" s="571">
        <f t="shared" si="11"/>
        <v>1.0522428225218929</v>
      </c>
      <c r="BP96" s="571">
        <f t="shared" si="11"/>
        <v>1.0522428225218929</v>
      </c>
      <c r="BQ96" s="571">
        <f t="shared" si="11"/>
        <v>1.0522428225218932</v>
      </c>
      <c r="BR96" s="571">
        <f t="shared" si="11"/>
        <v>1.0522428225218929</v>
      </c>
      <c r="BS96" s="571">
        <f t="shared" si="11"/>
        <v>1.0522428225218929</v>
      </c>
      <c r="BT96" s="571">
        <f t="shared" si="11"/>
        <v>1.0522428225218929</v>
      </c>
      <c r="BU96" s="571">
        <f t="shared" si="11"/>
        <v>1.0522428225218929</v>
      </c>
      <c r="BV96" s="571">
        <f t="shared" si="11"/>
        <v>1.0522428225218929</v>
      </c>
      <c r="BW96" s="571">
        <f t="shared" si="11"/>
        <v>1.0522428225218929</v>
      </c>
      <c r="BX96" s="571">
        <f t="shared" si="11"/>
        <v>1.0522428225218929</v>
      </c>
      <c r="BY96" s="571">
        <f t="shared" si="11"/>
        <v>1.0522428225218929</v>
      </c>
      <c r="BZ96" s="571">
        <f t="shared" si="12"/>
        <v>1.0522428225218929</v>
      </c>
      <c r="CA96" s="571">
        <f t="shared" si="12"/>
        <v>1.0522428225218929</v>
      </c>
      <c r="CB96" s="571">
        <f t="shared" si="12"/>
        <v>1.0522428225218929</v>
      </c>
      <c r="CC96" s="571">
        <f t="shared" si="12"/>
        <v>1.0522428225218932</v>
      </c>
      <c r="CD96" s="571">
        <f t="shared" si="12"/>
        <v>1.0522428225218929</v>
      </c>
      <c r="CE96" s="571">
        <f t="shared" si="12"/>
        <v>1.0522428225218929</v>
      </c>
      <c r="CF96" s="571">
        <f t="shared" si="12"/>
        <v>1.0522428225218929</v>
      </c>
      <c r="CG96" s="571">
        <f t="shared" si="12"/>
        <v>1.0522428225218929</v>
      </c>
      <c r="CH96" s="571">
        <f t="shared" si="12"/>
        <v>1.0522428225218929</v>
      </c>
      <c r="CI96" s="571">
        <f t="shared" si="12"/>
        <v>1.0522428225218929</v>
      </c>
      <c r="CJ96" s="571">
        <f t="shared" si="12"/>
        <v>1.0522428225218929</v>
      </c>
      <c r="CK96" s="571">
        <f t="shared" si="12"/>
        <v>1.0522428225218929</v>
      </c>
      <c r="CL96" s="571">
        <f t="shared" si="12"/>
        <v>1.0522428225218929</v>
      </c>
      <c r="CM96" s="571">
        <f t="shared" si="12"/>
        <v>1.0522428225218929</v>
      </c>
      <c r="CN96" s="571">
        <f t="shared" si="12"/>
        <v>1.0522428225218929</v>
      </c>
      <c r="CO96" s="571">
        <f t="shared" si="12"/>
        <v>1.0522428225218929</v>
      </c>
      <c r="CP96" s="571">
        <f t="shared" si="13"/>
        <v>1.0522428225218929</v>
      </c>
      <c r="CQ96" s="571">
        <f t="shared" si="13"/>
        <v>1.0522428225218929</v>
      </c>
      <c r="CR96" s="571">
        <f t="shared" si="13"/>
        <v>1.0522428225218929</v>
      </c>
      <c r="CS96" s="571">
        <f t="shared" si="13"/>
        <v>1.0522428225218929</v>
      </c>
      <c r="CT96" s="571">
        <f t="shared" si="13"/>
        <v>1.0522428225218929</v>
      </c>
      <c r="CU96" s="571">
        <f t="shared" si="13"/>
        <v>1.0522428225218929</v>
      </c>
      <c r="CV96" s="571">
        <f t="shared" si="13"/>
        <v>1.0522428225218929</v>
      </c>
      <c r="CW96" s="571">
        <f t="shared" si="13"/>
        <v>1.0522428225218929</v>
      </c>
      <c r="CX96" s="571">
        <f t="shared" si="13"/>
        <v>1.0522428225218932</v>
      </c>
      <c r="CY96" s="571">
        <f t="shared" si="13"/>
        <v>1.0522428225218929</v>
      </c>
      <c r="CZ96" s="571">
        <f t="shared" si="13"/>
        <v>1.0522428225218929</v>
      </c>
      <c r="DA96" s="571">
        <f t="shared" si="13"/>
        <v>1.0522428225218932</v>
      </c>
      <c r="DB96" s="571">
        <f t="shared" si="13"/>
        <v>1.0522428225218929</v>
      </c>
      <c r="DC96" s="571">
        <f t="shared" si="13"/>
        <v>1.0522428225218929</v>
      </c>
      <c r="DD96" s="571">
        <f t="shared" si="13"/>
        <v>1.0522428225218932</v>
      </c>
      <c r="DE96" s="571">
        <f t="shared" si="13"/>
        <v>1.0522428225218929</v>
      </c>
      <c r="DF96" s="571">
        <f t="shared" si="14"/>
        <v>1.0522428225218929</v>
      </c>
    </row>
    <row r="97" spans="1:110">
      <c r="A97" s="2773"/>
      <c r="B97" s="2747" t="s">
        <v>499</v>
      </c>
      <c r="C97" s="2748"/>
      <c r="D97" s="854"/>
      <c r="E97" s="854"/>
      <c r="F97" s="854"/>
      <c r="G97" s="854"/>
      <c r="H97" s="854"/>
      <c r="I97" s="854"/>
      <c r="J97" s="855"/>
      <c r="K97" s="855"/>
      <c r="L97" s="855">
        <f>((L$86-$H$4)/1000)*IF($C$13=0,$Q$25,$Q$42)*(($C$8/70)^$AB$42)*IF($C$13=1,$AG$42,IF($C$13=2,$AH$42,IF($C$13=3,$AI$42,1)))</f>
        <v>1536.6787800000002</v>
      </c>
      <c r="M97" s="855">
        <f t="shared" ref="M97:BF97" si="24">((M$86-$H$4)/1000)*IF($C$13=0,$Q$25,$Q$42)*(($C$8/70)^$AB$42)*IF($C$13=1,$AG$42,IF($C$13=2,$AH$42,IF($C$13=3,$AI$42,1)))</f>
        <v>1756.2043200000005</v>
      </c>
      <c r="N97" s="855">
        <f t="shared" si="24"/>
        <v>1975.7298600000006</v>
      </c>
      <c r="O97" s="855">
        <f t="shared" si="24"/>
        <v>2195.2554000000005</v>
      </c>
      <c r="P97" s="855">
        <f t="shared" si="24"/>
        <v>2414.780940000001</v>
      </c>
      <c r="Q97" s="855">
        <f t="shared" si="24"/>
        <v>2634.3064800000006</v>
      </c>
      <c r="R97" s="855">
        <f t="shared" si="24"/>
        <v>2853.8320200000007</v>
      </c>
      <c r="S97" s="855">
        <f t="shared" si="24"/>
        <v>3073.3575600000004</v>
      </c>
      <c r="T97" s="855">
        <f t="shared" si="24"/>
        <v>3292.8831000000009</v>
      </c>
      <c r="U97" s="855">
        <f t="shared" si="24"/>
        <v>3512.408640000001</v>
      </c>
      <c r="V97" s="855">
        <f t="shared" si="24"/>
        <v>3731.9341800000007</v>
      </c>
      <c r="W97" s="855">
        <f t="shared" si="24"/>
        <v>3951.4597200000012</v>
      </c>
      <c r="X97" s="855">
        <f t="shared" si="24"/>
        <v>4170.9852600000004</v>
      </c>
      <c r="Y97" s="855">
        <f t="shared" si="24"/>
        <v>4390.5108000000009</v>
      </c>
      <c r="Z97" s="855">
        <f t="shared" si="24"/>
        <v>4610.0363400000015</v>
      </c>
      <c r="AA97" s="855">
        <f t="shared" si="24"/>
        <v>4829.561880000002</v>
      </c>
      <c r="AB97" s="855">
        <f t="shared" si="24"/>
        <v>5049.0874200000007</v>
      </c>
      <c r="AC97" s="855">
        <f t="shared" si="24"/>
        <v>5268.6129600000013</v>
      </c>
      <c r="AD97" s="855">
        <f t="shared" si="24"/>
        <v>5488.1385000000009</v>
      </c>
      <c r="AE97" s="855">
        <f t="shared" si="24"/>
        <v>5707.6640400000015</v>
      </c>
      <c r="AF97" s="855">
        <f t="shared" si="24"/>
        <v>5927.189580000002</v>
      </c>
      <c r="AG97" s="855">
        <f t="shared" si="24"/>
        <v>6146.7151200000008</v>
      </c>
      <c r="AH97" s="855">
        <f t="shared" si="24"/>
        <v>6366.2406600000013</v>
      </c>
      <c r="AI97" s="855">
        <f t="shared" si="24"/>
        <v>6585.7662000000018</v>
      </c>
      <c r="AJ97" s="855">
        <f t="shared" si="24"/>
        <v>6805.2917400000015</v>
      </c>
      <c r="AK97" s="855">
        <f t="shared" si="24"/>
        <v>7024.817280000002</v>
      </c>
      <c r="AL97" s="855">
        <f t="shared" si="24"/>
        <v>7244.3428200000017</v>
      </c>
      <c r="AM97" s="855">
        <f t="shared" si="24"/>
        <v>7463.8683600000013</v>
      </c>
      <c r="AN97" s="855">
        <f t="shared" si="24"/>
        <v>7683.3939000000009</v>
      </c>
      <c r="AO97" s="855">
        <f t="shared" si="24"/>
        <v>7902.9194400000024</v>
      </c>
      <c r="AP97" s="855">
        <f t="shared" si="24"/>
        <v>8122.444980000002</v>
      </c>
      <c r="AQ97" s="855">
        <f t="shared" si="24"/>
        <v>8341.9705200000008</v>
      </c>
      <c r="AR97" s="855">
        <f t="shared" si="24"/>
        <v>8561.4960600000031</v>
      </c>
      <c r="AS97" s="855">
        <f t="shared" si="24"/>
        <v>8781.0216000000019</v>
      </c>
      <c r="AT97" s="855">
        <f t="shared" si="24"/>
        <v>9000.5471400000024</v>
      </c>
      <c r="AU97" s="855">
        <f t="shared" si="24"/>
        <v>9220.0726800000029</v>
      </c>
      <c r="AV97" s="855">
        <f t="shared" si="24"/>
        <v>9439.5982200000017</v>
      </c>
      <c r="AW97" s="855">
        <f t="shared" si="24"/>
        <v>9659.123760000004</v>
      </c>
      <c r="AX97" s="855">
        <f t="shared" si="24"/>
        <v>9878.6493000000028</v>
      </c>
      <c r="AY97" s="855">
        <f t="shared" si="24"/>
        <v>10098.174840000001</v>
      </c>
      <c r="AZ97" s="855">
        <f t="shared" si="24"/>
        <v>10317.700380000002</v>
      </c>
      <c r="BA97" s="855">
        <f t="shared" si="24"/>
        <v>10537.225920000003</v>
      </c>
      <c r="BB97" s="855">
        <f t="shared" si="24"/>
        <v>10756.751460000003</v>
      </c>
      <c r="BC97" s="855">
        <f t="shared" si="24"/>
        <v>10976.277000000002</v>
      </c>
      <c r="BD97" s="855">
        <f t="shared" si="24"/>
        <v>11195.802540000002</v>
      </c>
      <c r="BE97" s="855">
        <f t="shared" si="24"/>
        <v>11415.328080000003</v>
      </c>
      <c r="BF97" s="855">
        <f t="shared" si="24"/>
        <v>11634.853620000004</v>
      </c>
      <c r="BG97" s="17"/>
      <c r="BH97" s="17"/>
      <c r="BJ97" s="571" t="e">
        <f t="shared" si="11"/>
        <v>#DIV/0!</v>
      </c>
      <c r="BK97" s="571" t="e">
        <f t="shared" si="11"/>
        <v>#DIV/0!</v>
      </c>
      <c r="BL97" s="571">
        <f t="shared" si="11"/>
        <v>1.0104745239044268</v>
      </c>
      <c r="BM97" s="571">
        <f t="shared" si="11"/>
        <v>1.0104745239044266</v>
      </c>
      <c r="BN97" s="571">
        <f t="shared" si="11"/>
        <v>1.0104745239044266</v>
      </c>
      <c r="BO97" s="571">
        <f t="shared" si="11"/>
        <v>1.0104745239044266</v>
      </c>
      <c r="BP97" s="571">
        <f t="shared" si="11"/>
        <v>1.0104745239044264</v>
      </c>
      <c r="BQ97" s="571">
        <f t="shared" si="11"/>
        <v>1.0104745239044266</v>
      </c>
      <c r="BR97" s="571">
        <f t="shared" si="11"/>
        <v>1.0104745239044266</v>
      </c>
      <c r="BS97" s="571">
        <f t="shared" si="11"/>
        <v>1.0104745239044268</v>
      </c>
      <c r="BT97" s="571">
        <f t="shared" si="11"/>
        <v>1.0104745239044266</v>
      </c>
      <c r="BU97" s="571">
        <f t="shared" si="11"/>
        <v>1.0104745239044266</v>
      </c>
      <c r="BV97" s="571">
        <f t="shared" si="11"/>
        <v>1.0104745239044266</v>
      </c>
      <c r="BW97" s="571">
        <f t="shared" si="11"/>
        <v>1.0104745239044266</v>
      </c>
      <c r="BX97" s="571">
        <f t="shared" si="11"/>
        <v>1.0104745239044266</v>
      </c>
      <c r="BY97" s="571">
        <f t="shared" si="11"/>
        <v>1.0104745239044266</v>
      </c>
      <c r="BZ97" s="571">
        <f t="shared" si="12"/>
        <v>1.0104745239044264</v>
      </c>
      <c r="CA97" s="571">
        <f t="shared" si="12"/>
        <v>1.0104745239044264</v>
      </c>
      <c r="CB97" s="571">
        <f t="shared" si="12"/>
        <v>1.0104745239044266</v>
      </c>
      <c r="CC97" s="571">
        <f t="shared" si="12"/>
        <v>1.0104745239044266</v>
      </c>
      <c r="CD97" s="571">
        <f t="shared" si="12"/>
        <v>1.0104745239044266</v>
      </c>
      <c r="CE97" s="571">
        <f t="shared" si="12"/>
        <v>1.0104745239044266</v>
      </c>
      <c r="CF97" s="571">
        <f t="shared" si="12"/>
        <v>1.0104745239044266</v>
      </c>
      <c r="CG97" s="571">
        <f t="shared" si="12"/>
        <v>1.0104745239044268</v>
      </c>
      <c r="CH97" s="571">
        <f t="shared" si="12"/>
        <v>1.0104745239044266</v>
      </c>
      <c r="CI97" s="571">
        <f t="shared" si="12"/>
        <v>1.0104745239044266</v>
      </c>
      <c r="CJ97" s="571">
        <f t="shared" si="12"/>
        <v>1.0104745239044268</v>
      </c>
      <c r="CK97" s="571">
        <f t="shared" si="12"/>
        <v>1.0104745239044266</v>
      </c>
      <c r="CL97" s="571">
        <f t="shared" si="12"/>
        <v>1.0104745239044266</v>
      </c>
      <c r="CM97" s="571">
        <f t="shared" si="12"/>
        <v>1.0104745239044266</v>
      </c>
      <c r="CN97" s="571">
        <f t="shared" si="12"/>
        <v>1.0104745239044266</v>
      </c>
      <c r="CO97" s="571">
        <f t="shared" si="12"/>
        <v>1.0104745239044266</v>
      </c>
      <c r="CP97" s="571">
        <f t="shared" si="13"/>
        <v>1.0104745239044266</v>
      </c>
      <c r="CQ97" s="571">
        <f t="shared" si="13"/>
        <v>1.0104745239044266</v>
      </c>
      <c r="CR97" s="571">
        <f t="shared" si="13"/>
        <v>1.0104745239044264</v>
      </c>
      <c r="CS97" s="571">
        <f t="shared" si="13"/>
        <v>1.0104745239044266</v>
      </c>
      <c r="CT97" s="571">
        <f t="shared" si="13"/>
        <v>1.0104745239044266</v>
      </c>
      <c r="CU97" s="571">
        <f t="shared" si="13"/>
        <v>1.0104745239044264</v>
      </c>
      <c r="CV97" s="571">
        <f t="shared" si="13"/>
        <v>1.0104745239044266</v>
      </c>
      <c r="CW97" s="571">
        <f t="shared" si="13"/>
        <v>1.0104745239044264</v>
      </c>
      <c r="CX97" s="571">
        <f t="shared" si="13"/>
        <v>1.0104745239044266</v>
      </c>
      <c r="CY97" s="571">
        <f t="shared" si="13"/>
        <v>1.0104745239044266</v>
      </c>
      <c r="CZ97" s="571">
        <f t="shared" si="13"/>
        <v>1.0104745239044268</v>
      </c>
      <c r="DA97" s="571">
        <f t="shared" si="13"/>
        <v>1.0104745239044266</v>
      </c>
      <c r="DB97" s="571">
        <f t="shared" si="13"/>
        <v>1.0104745239044266</v>
      </c>
      <c r="DC97" s="571">
        <f t="shared" si="13"/>
        <v>1.0104745239044266</v>
      </c>
      <c r="DD97" s="571">
        <f t="shared" si="13"/>
        <v>1.0104745239044266</v>
      </c>
      <c r="DE97" s="571">
        <f t="shared" si="13"/>
        <v>1.0104745239044266</v>
      </c>
      <c r="DF97" s="571">
        <f t="shared" si="14"/>
        <v>1.0104745239044266</v>
      </c>
    </row>
    <row r="98" spans="1:110" ht="15.75" thickBot="1">
      <c r="A98" s="2773"/>
      <c r="B98" s="2759" t="s">
        <v>500</v>
      </c>
      <c r="C98" s="2760"/>
      <c r="D98" s="856"/>
      <c r="E98" s="856"/>
      <c r="F98" s="856"/>
      <c r="G98" s="856"/>
      <c r="H98" s="856"/>
      <c r="I98" s="856"/>
      <c r="J98" s="857"/>
      <c r="K98" s="857"/>
      <c r="L98" s="857">
        <f>((L$86-$H$4)/1000)*IF($C$13=0,$R$25,$R$42)*(($C$8/70)^$AC$42)*IF($C$13=1,$AG$42,IF($C$13=2,$AH$42,IF($C$13=3,$AI$42,1)))</f>
        <v>1650.7709400000001</v>
      </c>
      <c r="M98" s="857">
        <f t="shared" ref="M98:BF98" si="25">((M$86-$H$4)/1000)*IF($C$13=0,$R$25,$R$42)*(($C$8/70)^$AC$42)*IF($C$13=1,$AG$42,IF($C$13=2,$AH$42,IF($C$13=3,$AI$42,1)))</f>
        <v>1886.5953600000003</v>
      </c>
      <c r="N98" s="857">
        <f t="shared" si="25"/>
        <v>2122.4197800000006</v>
      </c>
      <c r="O98" s="857">
        <f t="shared" si="25"/>
        <v>2358.2442000000005</v>
      </c>
      <c r="P98" s="857">
        <f t="shared" si="25"/>
        <v>2594.0686200000005</v>
      </c>
      <c r="Q98" s="857">
        <f t="shared" si="25"/>
        <v>2829.8930400000004</v>
      </c>
      <c r="R98" s="857">
        <f t="shared" si="25"/>
        <v>3065.7174600000008</v>
      </c>
      <c r="S98" s="857">
        <f t="shared" si="25"/>
        <v>3301.5418800000002</v>
      </c>
      <c r="T98" s="857">
        <f t="shared" si="25"/>
        <v>3537.3663000000006</v>
      </c>
      <c r="U98" s="857">
        <f t="shared" si="25"/>
        <v>3773.1907200000005</v>
      </c>
      <c r="V98" s="857">
        <f t="shared" si="25"/>
        <v>4009.0151400000009</v>
      </c>
      <c r="W98" s="857">
        <f t="shared" si="25"/>
        <v>4244.8395600000013</v>
      </c>
      <c r="X98" s="857">
        <f t="shared" si="25"/>
        <v>4480.6639800000003</v>
      </c>
      <c r="Y98" s="857">
        <f t="shared" si="25"/>
        <v>4716.4884000000011</v>
      </c>
      <c r="Z98" s="857">
        <f t="shared" si="25"/>
        <v>4952.312820000001</v>
      </c>
      <c r="AA98" s="857">
        <f t="shared" si="25"/>
        <v>5188.1372400000009</v>
      </c>
      <c r="AB98" s="857">
        <f t="shared" si="25"/>
        <v>5423.9616600000008</v>
      </c>
      <c r="AC98" s="857">
        <f t="shared" si="25"/>
        <v>5659.7860800000008</v>
      </c>
      <c r="AD98" s="857">
        <f t="shared" si="25"/>
        <v>5895.6105000000007</v>
      </c>
      <c r="AE98" s="857">
        <f t="shared" si="25"/>
        <v>6131.4349200000015</v>
      </c>
      <c r="AF98" s="857">
        <f t="shared" si="25"/>
        <v>6367.2593400000014</v>
      </c>
      <c r="AG98" s="857">
        <f t="shared" si="25"/>
        <v>6603.0837600000004</v>
      </c>
      <c r="AH98" s="857">
        <f t="shared" si="25"/>
        <v>6838.9081800000004</v>
      </c>
      <c r="AI98" s="857">
        <f t="shared" si="25"/>
        <v>7074.7326000000012</v>
      </c>
      <c r="AJ98" s="857">
        <f t="shared" si="25"/>
        <v>7310.5570200000011</v>
      </c>
      <c r="AK98" s="857">
        <f t="shared" si="25"/>
        <v>7546.381440000001</v>
      </c>
      <c r="AL98" s="857">
        <f t="shared" si="25"/>
        <v>7782.2058600000018</v>
      </c>
      <c r="AM98" s="857">
        <f t="shared" si="25"/>
        <v>8018.0302800000018</v>
      </c>
      <c r="AN98" s="857">
        <f t="shared" si="25"/>
        <v>8253.8547000000017</v>
      </c>
      <c r="AO98" s="857">
        <f t="shared" si="25"/>
        <v>8489.6791200000025</v>
      </c>
      <c r="AP98" s="857">
        <f t="shared" si="25"/>
        <v>8725.5035400000015</v>
      </c>
      <c r="AQ98" s="857">
        <f t="shared" si="25"/>
        <v>8961.3279600000005</v>
      </c>
      <c r="AR98" s="857">
        <f t="shared" si="25"/>
        <v>9197.1523800000014</v>
      </c>
      <c r="AS98" s="857">
        <f t="shared" si="25"/>
        <v>9432.9768000000022</v>
      </c>
      <c r="AT98" s="857">
        <f t="shared" si="25"/>
        <v>9668.8012199999994</v>
      </c>
      <c r="AU98" s="857">
        <f t="shared" si="25"/>
        <v>9904.625640000002</v>
      </c>
      <c r="AV98" s="857">
        <f t="shared" si="25"/>
        <v>10140.450060000001</v>
      </c>
      <c r="AW98" s="857">
        <f t="shared" si="25"/>
        <v>10376.274480000002</v>
      </c>
      <c r="AX98" s="857">
        <f t="shared" si="25"/>
        <v>10612.098900000001</v>
      </c>
      <c r="AY98" s="857">
        <f t="shared" si="25"/>
        <v>10847.923320000002</v>
      </c>
      <c r="AZ98" s="857">
        <f t="shared" si="25"/>
        <v>11083.747740000001</v>
      </c>
      <c r="BA98" s="857">
        <f t="shared" si="25"/>
        <v>11319.572160000002</v>
      </c>
      <c r="BB98" s="857">
        <f t="shared" si="25"/>
        <v>11555.396580000002</v>
      </c>
      <c r="BC98" s="857">
        <f t="shared" si="25"/>
        <v>11791.221000000001</v>
      </c>
      <c r="BD98" s="857">
        <f t="shared" si="25"/>
        <v>12027.04542</v>
      </c>
      <c r="BE98" s="857">
        <f t="shared" si="25"/>
        <v>12262.869840000003</v>
      </c>
      <c r="BF98" s="857">
        <f t="shared" si="25"/>
        <v>12498.694260000002</v>
      </c>
      <c r="BG98" s="17"/>
      <c r="BH98" s="17"/>
      <c r="BJ98" s="571" t="e">
        <f t="shared" si="11"/>
        <v>#DIV/0!</v>
      </c>
      <c r="BK98" s="571" t="e">
        <f t="shared" si="11"/>
        <v>#DIV/0!</v>
      </c>
      <c r="BL98" s="571">
        <f t="shared" si="11"/>
        <v>1.0257624719272074</v>
      </c>
      <c r="BM98" s="571">
        <f t="shared" si="11"/>
        <v>1.0257624719272074</v>
      </c>
      <c r="BN98" s="571">
        <f t="shared" si="11"/>
        <v>1.0257624719272072</v>
      </c>
      <c r="BO98" s="571">
        <f t="shared" si="11"/>
        <v>1.0257624719272074</v>
      </c>
      <c r="BP98" s="571">
        <f t="shared" si="11"/>
        <v>1.0257624719272074</v>
      </c>
      <c r="BQ98" s="571">
        <f t="shared" si="11"/>
        <v>1.0257624719272074</v>
      </c>
      <c r="BR98" s="571">
        <f t="shared" si="11"/>
        <v>1.0257624719272074</v>
      </c>
      <c r="BS98" s="571">
        <f t="shared" si="11"/>
        <v>1.0257624719272074</v>
      </c>
      <c r="BT98" s="571">
        <f t="shared" si="11"/>
        <v>1.0257624719272074</v>
      </c>
      <c r="BU98" s="571">
        <f t="shared" si="11"/>
        <v>1.0257624719272074</v>
      </c>
      <c r="BV98" s="571">
        <f t="shared" si="11"/>
        <v>1.0257624719272072</v>
      </c>
      <c r="BW98" s="571">
        <f t="shared" si="11"/>
        <v>1.0257624719272072</v>
      </c>
      <c r="BX98" s="571">
        <f t="shared" si="11"/>
        <v>1.0257624719272074</v>
      </c>
      <c r="BY98" s="571">
        <f t="shared" si="11"/>
        <v>1.0257624719272074</v>
      </c>
      <c r="BZ98" s="571">
        <f t="shared" si="12"/>
        <v>1.0257624719272074</v>
      </c>
      <c r="CA98" s="571">
        <f t="shared" si="12"/>
        <v>1.0257624719272074</v>
      </c>
      <c r="CB98" s="571">
        <f t="shared" si="12"/>
        <v>1.0257624719272072</v>
      </c>
      <c r="CC98" s="571">
        <f t="shared" si="12"/>
        <v>1.0257624719272074</v>
      </c>
      <c r="CD98" s="571">
        <f t="shared" si="12"/>
        <v>1.0257624719272074</v>
      </c>
      <c r="CE98" s="571">
        <f t="shared" si="12"/>
        <v>1.0257624719272074</v>
      </c>
      <c r="CF98" s="571">
        <f t="shared" si="12"/>
        <v>1.0257624719272074</v>
      </c>
      <c r="CG98" s="571">
        <f t="shared" si="12"/>
        <v>1.0257624719272074</v>
      </c>
      <c r="CH98" s="571">
        <f t="shared" si="12"/>
        <v>1.0257624719272074</v>
      </c>
      <c r="CI98" s="571">
        <f t="shared" si="12"/>
        <v>1.0257624719272074</v>
      </c>
      <c r="CJ98" s="571">
        <f t="shared" si="12"/>
        <v>1.0257624719272074</v>
      </c>
      <c r="CK98" s="571">
        <f t="shared" si="12"/>
        <v>1.0257624719272074</v>
      </c>
      <c r="CL98" s="571">
        <f t="shared" si="12"/>
        <v>1.0257624719272072</v>
      </c>
      <c r="CM98" s="571">
        <f t="shared" si="12"/>
        <v>1.0257624719272072</v>
      </c>
      <c r="CN98" s="571">
        <f t="shared" si="12"/>
        <v>1.0257624719272074</v>
      </c>
      <c r="CO98" s="571">
        <f t="shared" si="12"/>
        <v>1.0257624719272072</v>
      </c>
      <c r="CP98" s="571">
        <f t="shared" si="13"/>
        <v>1.0257624719272074</v>
      </c>
      <c r="CQ98" s="571">
        <f t="shared" si="13"/>
        <v>1.0257624719272074</v>
      </c>
      <c r="CR98" s="571">
        <f t="shared" si="13"/>
        <v>1.0257624719272074</v>
      </c>
      <c r="CS98" s="571">
        <f t="shared" si="13"/>
        <v>1.0257624719272074</v>
      </c>
      <c r="CT98" s="571">
        <f t="shared" si="13"/>
        <v>1.0257624719272074</v>
      </c>
      <c r="CU98" s="571">
        <f t="shared" si="13"/>
        <v>1.0257624719272074</v>
      </c>
      <c r="CV98" s="571">
        <f t="shared" si="13"/>
        <v>1.0257624719272072</v>
      </c>
      <c r="CW98" s="571">
        <f t="shared" si="13"/>
        <v>1.0257624719272074</v>
      </c>
      <c r="CX98" s="571">
        <f t="shared" si="13"/>
        <v>1.0257624719272074</v>
      </c>
      <c r="CY98" s="571">
        <f t="shared" si="13"/>
        <v>1.0257624719272072</v>
      </c>
      <c r="CZ98" s="571">
        <f t="shared" si="13"/>
        <v>1.0257624719272074</v>
      </c>
      <c r="DA98" s="571">
        <f t="shared" si="13"/>
        <v>1.0257624719272074</v>
      </c>
      <c r="DB98" s="571">
        <f t="shared" si="13"/>
        <v>1.0257624719272076</v>
      </c>
      <c r="DC98" s="571">
        <f t="shared" si="13"/>
        <v>1.0257624719272074</v>
      </c>
      <c r="DD98" s="571">
        <f t="shared" si="13"/>
        <v>1.0257624719272074</v>
      </c>
      <c r="DE98" s="571">
        <f t="shared" si="13"/>
        <v>1.0257624719272074</v>
      </c>
      <c r="DF98" s="571">
        <f t="shared" si="14"/>
        <v>1.0257624719272074</v>
      </c>
    </row>
    <row r="99" spans="1:110">
      <c r="A99" s="2773"/>
      <c r="B99" s="2761" t="s">
        <v>501</v>
      </c>
      <c r="C99" s="2762"/>
      <c r="D99" s="858"/>
      <c r="E99" s="858"/>
      <c r="F99" s="858"/>
      <c r="G99" s="858"/>
      <c r="H99" s="858"/>
      <c r="I99" s="858"/>
      <c r="J99" s="859"/>
      <c r="K99" s="859"/>
      <c r="L99" s="859">
        <f>((L$86-$H$4)/1000)*IF($C$13=0,$M$26,$M$43)*(($C$8/70)^$X$43)*IF($C$13=1,$AG$43,IF($C$13=2,$AH$43,IF($C$13=3,$AI$43,1)))</f>
        <v>1048.542768</v>
      </c>
      <c r="M99" s="859">
        <f t="shared" ref="M99:BF99" si="26">((M$86-$H$4)/1000)*IF($C$13=0,$M$26,$M$43)*(($C$8/70)^$X$43)*IF($C$13=1,$AG$43,IF($C$13=2,$AH$43,IF($C$13=3,$AI$43,1)))</f>
        <v>1198.3345920000002</v>
      </c>
      <c r="N99" s="859">
        <f t="shared" si="26"/>
        <v>1348.1264160000001</v>
      </c>
      <c r="O99" s="859">
        <f t="shared" si="26"/>
        <v>1497.91824</v>
      </c>
      <c r="P99" s="859">
        <f t="shared" si="26"/>
        <v>1647.7100640000003</v>
      </c>
      <c r="Q99" s="859">
        <f t="shared" si="26"/>
        <v>1797.501888</v>
      </c>
      <c r="R99" s="859">
        <f t="shared" si="26"/>
        <v>1947.2937120000001</v>
      </c>
      <c r="S99" s="859">
        <f t="shared" si="26"/>
        <v>2097.085536</v>
      </c>
      <c r="T99" s="859">
        <f t="shared" si="26"/>
        <v>2246.87736</v>
      </c>
      <c r="U99" s="859">
        <f t="shared" si="26"/>
        <v>2396.6691840000003</v>
      </c>
      <c r="V99" s="859">
        <f t="shared" si="26"/>
        <v>2546.4610079999998</v>
      </c>
      <c r="W99" s="859">
        <f t="shared" si="26"/>
        <v>2696.2528320000001</v>
      </c>
      <c r="X99" s="859">
        <f t="shared" si="26"/>
        <v>2846.044656</v>
      </c>
      <c r="Y99" s="859">
        <f t="shared" si="26"/>
        <v>2995.8364799999999</v>
      </c>
      <c r="Z99" s="859">
        <f t="shared" si="26"/>
        <v>3145.6283040000003</v>
      </c>
      <c r="AA99" s="859">
        <f t="shared" si="26"/>
        <v>3295.4201280000007</v>
      </c>
      <c r="AB99" s="859">
        <f t="shared" si="26"/>
        <v>3445.2119519999997</v>
      </c>
      <c r="AC99" s="859">
        <f t="shared" si="26"/>
        <v>3595.003776</v>
      </c>
      <c r="AD99" s="859">
        <f t="shared" si="26"/>
        <v>3744.7955999999999</v>
      </c>
      <c r="AE99" s="859">
        <f t="shared" si="26"/>
        <v>3894.5874240000003</v>
      </c>
      <c r="AF99" s="859">
        <f t="shared" si="26"/>
        <v>4044.3792480000006</v>
      </c>
      <c r="AG99" s="859">
        <f t="shared" si="26"/>
        <v>4194.1710720000001</v>
      </c>
      <c r="AH99" s="859">
        <f t="shared" si="26"/>
        <v>4343.962896</v>
      </c>
      <c r="AI99" s="859">
        <f t="shared" si="26"/>
        <v>4493.7547199999999</v>
      </c>
      <c r="AJ99" s="859">
        <f t="shared" si="26"/>
        <v>4643.5465440000007</v>
      </c>
      <c r="AK99" s="859">
        <f t="shared" si="26"/>
        <v>4793.3383680000006</v>
      </c>
      <c r="AL99" s="859">
        <f t="shared" si="26"/>
        <v>4943.1301919999996</v>
      </c>
      <c r="AM99" s="859">
        <f t="shared" si="26"/>
        <v>5092.9220159999995</v>
      </c>
      <c r="AN99" s="859">
        <f t="shared" si="26"/>
        <v>5242.7138400000003</v>
      </c>
      <c r="AO99" s="859">
        <f t="shared" si="26"/>
        <v>5392.5056640000003</v>
      </c>
      <c r="AP99" s="859">
        <f t="shared" si="26"/>
        <v>5542.2974880000011</v>
      </c>
      <c r="AQ99" s="859">
        <f t="shared" si="26"/>
        <v>5692.0893120000001</v>
      </c>
      <c r="AR99" s="859">
        <f t="shared" si="26"/>
        <v>5841.881136</v>
      </c>
      <c r="AS99" s="859">
        <f t="shared" si="26"/>
        <v>5991.6729599999999</v>
      </c>
      <c r="AT99" s="859">
        <f t="shared" si="26"/>
        <v>6141.4647839999989</v>
      </c>
      <c r="AU99" s="859">
        <f t="shared" si="26"/>
        <v>6291.2566080000006</v>
      </c>
      <c r="AV99" s="859">
        <f t="shared" si="26"/>
        <v>6441.0484319999996</v>
      </c>
      <c r="AW99" s="859">
        <f t="shared" si="26"/>
        <v>6590.8402560000013</v>
      </c>
      <c r="AX99" s="859">
        <f t="shared" si="26"/>
        <v>6740.6320800000003</v>
      </c>
      <c r="AY99" s="859">
        <f t="shared" si="26"/>
        <v>6890.4239039999993</v>
      </c>
      <c r="AZ99" s="859">
        <f t="shared" si="26"/>
        <v>7040.215728000001</v>
      </c>
      <c r="BA99" s="859">
        <f t="shared" si="26"/>
        <v>7190.007552</v>
      </c>
      <c r="BB99" s="859">
        <f t="shared" si="26"/>
        <v>7339.7993760000008</v>
      </c>
      <c r="BC99" s="859">
        <f t="shared" si="26"/>
        <v>7489.5911999999998</v>
      </c>
      <c r="BD99" s="859">
        <f t="shared" si="26"/>
        <v>7639.3830239999988</v>
      </c>
      <c r="BE99" s="859">
        <f t="shared" si="26"/>
        <v>7789.1748480000006</v>
      </c>
      <c r="BF99" s="859">
        <f t="shared" si="26"/>
        <v>7938.9666719999996</v>
      </c>
      <c r="BG99" s="17"/>
      <c r="BH99" s="17"/>
      <c r="BJ99" s="571" t="e">
        <f t="shared" ref="BJ99:BY106" si="27">J104/J99</f>
        <v>#DIV/0!</v>
      </c>
      <c r="BK99" s="571" t="e">
        <f t="shared" si="27"/>
        <v>#DIV/0!</v>
      </c>
      <c r="BL99" s="571">
        <f t="shared" si="27"/>
        <v>1.037133775739322</v>
      </c>
      <c r="BM99" s="571">
        <f t="shared" si="27"/>
        <v>1.037133775739322</v>
      </c>
      <c r="BN99" s="571">
        <f t="shared" si="27"/>
        <v>1.037133775739322</v>
      </c>
      <c r="BO99" s="571">
        <f t="shared" si="27"/>
        <v>1.0371337757393222</v>
      </c>
      <c r="BP99" s="571">
        <f t="shared" si="27"/>
        <v>1.0371337757393218</v>
      </c>
      <c r="BQ99" s="571">
        <f t="shared" si="27"/>
        <v>1.037133775739322</v>
      </c>
      <c r="BR99" s="571">
        <f t="shared" si="27"/>
        <v>1.037133775739322</v>
      </c>
      <c r="BS99" s="571">
        <f t="shared" si="27"/>
        <v>1.037133775739322</v>
      </c>
      <c r="BT99" s="571">
        <f t="shared" si="27"/>
        <v>1.037133775739322</v>
      </c>
      <c r="BU99" s="571">
        <f t="shared" si="27"/>
        <v>1.037133775739322</v>
      </c>
      <c r="BV99" s="571">
        <f t="shared" si="27"/>
        <v>1.037133775739322</v>
      </c>
      <c r="BW99" s="571">
        <f t="shared" si="27"/>
        <v>1.037133775739322</v>
      </c>
      <c r="BX99" s="571">
        <f t="shared" si="27"/>
        <v>1.037133775739322</v>
      </c>
      <c r="BY99" s="571">
        <f t="shared" si="27"/>
        <v>1.0371337757393222</v>
      </c>
      <c r="BZ99" s="571">
        <f t="shared" ref="BZ99:CO106" si="28">Z104/Z99</f>
        <v>1.037133775739322</v>
      </c>
      <c r="CA99" s="571">
        <f t="shared" si="28"/>
        <v>1.0371337757393218</v>
      </c>
      <c r="CB99" s="571">
        <f t="shared" si="28"/>
        <v>1.037133775739322</v>
      </c>
      <c r="CC99" s="571">
        <f t="shared" si="28"/>
        <v>1.037133775739322</v>
      </c>
      <c r="CD99" s="571">
        <f t="shared" si="28"/>
        <v>1.037133775739322</v>
      </c>
      <c r="CE99" s="571">
        <f t="shared" si="28"/>
        <v>1.037133775739322</v>
      </c>
      <c r="CF99" s="571">
        <f t="shared" si="28"/>
        <v>1.037133775739322</v>
      </c>
      <c r="CG99" s="571">
        <f t="shared" si="28"/>
        <v>1.037133775739322</v>
      </c>
      <c r="CH99" s="571">
        <f t="shared" si="28"/>
        <v>1.037133775739322</v>
      </c>
      <c r="CI99" s="571">
        <f t="shared" si="28"/>
        <v>1.037133775739322</v>
      </c>
      <c r="CJ99" s="571">
        <f t="shared" si="28"/>
        <v>1.037133775739322</v>
      </c>
      <c r="CK99" s="571">
        <f t="shared" si="28"/>
        <v>1.037133775739322</v>
      </c>
      <c r="CL99" s="571">
        <f t="shared" si="28"/>
        <v>1.037133775739322</v>
      </c>
      <c r="CM99" s="571">
        <f t="shared" si="28"/>
        <v>1.037133775739322</v>
      </c>
      <c r="CN99" s="571">
        <f t="shared" si="28"/>
        <v>1.037133775739322</v>
      </c>
      <c r="CO99" s="571">
        <f t="shared" si="28"/>
        <v>1.037133775739322</v>
      </c>
      <c r="CP99" s="571">
        <f t="shared" ref="CP99:DE106" si="29">AP104/AP99</f>
        <v>1.0371337757393218</v>
      </c>
      <c r="CQ99" s="571">
        <f t="shared" si="29"/>
        <v>1.037133775739322</v>
      </c>
      <c r="CR99" s="571">
        <f t="shared" si="29"/>
        <v>1.0371337757393222</v>
      </c>
      <c r="CS99" s="571">
        <f t="shared" si="29"/>
        <v>1.0371337757393222</v>
      </c>
      <c r="CT99" s="571">
        <f t="shared" si="29"/>
        <v>1.0371337757393222</v>
      </c>
      <c r="CU99" s="571">
        <f t="shared" si="29"/>
        <v>1.037133775739322</v>
      </c>
      <c r="CV99" s="571">
        <f t="shared" si="29"/>
        <v>1.037133775739322</v>
      </c>
      <c r="CW99" s="571">
        <f t="shared" si="29"/>
        <v>1.0371337757393218</v>
      </c>
      <c r="CX99" s="571">
        <f t="shared" si="29"/>
        <v>1.037133775739322</v>
      </c>
      <c r="CY99" s="571">
        <f t="shared" si="29"/>
        <v>1.037133775739322</v>
      </c>
      <c r="CZ99" s="571">
        <f t="shared" si="29"/>
        <v>1.037133775739322</v>
      </c>
      <c r="DA99" s="571">
        <f t="shared" si="29"/>
        <v>1.037133775739322</v>
      </c>
      <c r="DB99" s="571">
        <f t="shared" si="29"/>
        <v>1.037133775739322</v>
      </c>
      <c r="DC99" s="571">
        <f t="shared" si="29"/>
        <v>1.037133775739322</v>
      </c>
      <c r="DD99" s="571">
        <f t="shared" si="29"/>
        <v>1.037133775739322</v>
      </c>
      <c r="DE99" s="571">
        <f t="shared" si="29"/>
        <v>1.037133775739322</v>
      </c>
      <c r="DF99" s="571">
        <f t="shared" ref="DF99:DF106" si="30">BF104/BF99</f>
        <v>1.037133775739322</v>
      </c>
    </row>
    <row r="100" spans="1:110">
      <c r="A100" s="2773"/>
      <c r="B100" s="2765" t="s">
        <v>502</v>
      </c>
      <c r="C100" s="2766"/>
      <c r="D100" s="860"/>
      <c r="E100" s="860"/>
      <c r="F100" s="860"/>
      <c r="G100" s="860"/>
      <c r="H100" s="860"/>
      <c r="I100" s="860"/>
      <c r="J100" s="861"/>
      <c r="K100" s="861"/>
      <c r="L100" s="861">
        <f>((L$86-$H$4)/1000)*IF($C$13=0,$N$26,$N$43)*(($C$8/70)^$Y$43)*IF($C$13=1,$AG$43,IF($C$13=2,$AH$43,IF($C$13=3,$AI$43,1)))</f>
        <v>1159.258464</v>
      </c>
      <c r="M100" s="861">
        <f t="shared" ref="M100:BF100" si="31">((M$86-$H$4)/1000)*IF($C$13=0,$N$26,$N$43)*(($C$8/70)^$Y$43)*IF($C$13=1,$AG$43,IF($C$13=2,$AH$43,IF($C$13=3,$AI$43,1)))</f>
        <v>1324.8668160000002</v>
      </c>
      <c r="N100" s="861">
        <f t="shared" si="31"/>
        <v>1490.4751680000002</v>
      </c>
      <c r="O100" s="861">
        <f t="shared" si="31"/>
        <v>1656.0835200000001</v>
      </c>
      <c r="P100" s="861">
        <f t="shared" si="31"/>
        <v>1821.6918720000001</v>
      </c>
      <c r="Q100" s="861">
        <f t="shared" si="31"/>
        <v>1987.3002240000003</v>
      </c>
      <c r="R100" s="861">
        <f t="shared" si="31"/>
        <v>2152.9085760000003</v>
      </c>
      <c r="S100" s="861">
        <f t="shared" si="31"/>
        <v>2318.516928</v>
      </c>
      <c r="T100" s="861">
        <f t="shared" si="31"/>
        <v>2484.1252800000002</v>
      </c>
      <c r="U100" s="861">
        <f t="shared" si="31"/>
        <v>2649.7336320000004</v>
      </c>
      <c r="V100" s="861">
        <f t="shared" si="31"/>
        <v>2815.3419840000001</v>
      </c>
      <c r="W100" s="861">
        <f t="shared" si="31"/>
        <v>2980.9503360000003</v>
      </c>
      <c r="X100" s="861">
        <f t="shared" si="31"/>
        <v>3146.5586880000001</v>
      </c>
      <c r="Y100" s="861">
        <f t="shared" si="31"/>
        <v>3312.1670400000003</v>
      </c>
      <c r="Z100" s="861">
        <f t="shared" si="31"/>
        <v>3477.7753920000009</v>
      </c>
      <c r="AA100" s="861">
        <f t="shared" si="31"/>
        <v>3643.3837440000002</v>
      </c>
      <c r="AB100" s="861">
        <f t="shared" si="31"/>
        <v>3808.9920959999999</v>
      </c>
      <c r="AC100" s="861">
        <f t="shared" si="31"/>
        <v>3974.6004480000006</v>
      </c>
      <c r="AD100" s="861">
        <f t="shared" si="31"/>
        <v>4140.2088000000003</v>
      </c>
      <c r="AE100" s="861">
        <f t="shared" si="31"/>
        <v>4305.8171520000005</v>
      </c>
      <c r="AF100" s="861">
        <f t="shared" si="31"/>
        <v>4471.4255040000007</v>
      </c>
      <c r="AG100" s="861">
        <f t="shared" si="31"/>
        <v>4637.033856</v>
      </c>
      <c r="AH100" s="861">
        <f t="shared" si="31"/>
        <v>4802.6422080000002</v>
      </c>
      <c r="AI100" s="861">
        <f t="shared" si="31"/>
        <v>4968.2505600000004</v>
      </c>
      <c r="AJ100" s="861">
        <f t="shared" si="31"/>
        <v>5133.8589120000006</v>
      </c>
      <c r="AK100" s="861">
        <f t="shared" si="31"/>
        <v>5299.4672640000008</v>
      </c>
      <c r="AL100" s="861">
        <f t="shared" si="31"/>
        <v>5465.0756160000001</v>
      </c>
      <c r="AM100" s="861">
        <f t="shared" si="31"/>
        <v>5630.6839680000003</v>
      </c>
      <c r="AN100" s="861">
        <f t="shared" si="31"/>
        <v>5796.2923200000005</v>
      </c>
      <c r="AO100" s="861">
        <f t="shared" si="31"/>
        <v>5961.9006720000007</v>
      </c>
      <c r="AP100" s="861">
        <f t="shared" si="31"/>
        <v>6127.5090240000009</v>
      </c>
      <c r="AQ100" s="861">
        <f t="shared" si="31"/>
        <v>6293.1173760000001</v>
      </c>
      <c r="AR100" s="861">
        <f t="shared" si="31"/>
        <v>6458.7257280000003</v>
      </c>
      <c r="AS100" s="861">
        <f t="shared" si="31"/>
        <v>6624.3340800000005</v>
      </c>
      <c r="AT100" s="861">
        <f t="shared" si="31"/>
        <v>6789.9424319999998</v>
      </c>
      <c r="AU100" s="861">
        <f t="shared" si="31"/>
        <v>6955.5507840000018</v>
      </c>
      <c r="AV100" s="861">
        <f t="shared" si="31"/>
        <v>7121.1591360000002</v>
      </c>
      <c r="AW100" s="861">
        <f t="shared" si="31"/>
        <v>7286.7674880000004</v>
      </c>
      <c r="AX100" s="861">
        <f t="shared" si="31"/>
        <v>7452.3758400000015</v>
      </c>
      <c r="AY100" s="861">
        <f t="shared" si="31"/>
        <v>7617.9841919999999</v>
      </c>
      <c r="AZ100" s="861">
        <f t="shared" si="31"/>
        <v>7783.592544000001</v>
      </c>
      <c r="BA100" s="861">
        <f t="shared" si="31"/>
        <v>7949.2008960000012</v>
      </c>
      <c r="BB100" s="861">
        <f t="shared" si="31"/>
        <v>8114.8092480000014</v>
      </c>
      <c r="BC100" s="861">
        <f t="shared" si="31"/>
        <v>8280.4176000000007</v>
      </c>
      <c r="BD100" s="861">
        <f t="shared" si="31"/>
        <v>8446.0259520000018</v>
      </c>
      <c r="BE100" s="861">
        <f t="shared" si="31"/>
        <v>8611.6343040000011</v>
      </c>
      <c r="BF100" s="861">
        <f t="shared" si="31"/>
        <v>8777.2426560000004</v>
      </c>
      <c r="BG100" s="17"/>
      <c r="BH100" s="17"/>
      <c r="BJ100" s="571" t="e">
        <f t="shared" si="27"/>
        <v>#DIV/0!</v>
      </c>
      <c r="BK100" s="571" t="e">
        <f t="shared" si="27"/>
        <v>#DIV/0!</v>
      </c>
      <c r="BL100" s="571">
        <f t="shared" si="27"/>
        <v>1.0890106556944661</v>
      </c>
      <c r="BM100" s="571">
        <f t="shared" si="27"/>
        <v>1.0890106556944661</v>
      </c>
      <c r="BN100" s="571">
        <f t="shared" si="27"/>
        <v>1.0890106556944663</v>
      </c>
      <c r="BO100" s="571">
        <f t="shared" si="27"/>
        <v>1.0890106556944663</v>
      </c>
      <c r="BP100" s="571">
        <f t="shared" si="27"/>
        <v>1.0890106556944663</v>
      </c>
      <c r="BQ100" s="571">
        <f t="shared" si="27"/>
        <v>1.0890106556944663</v>
      </c>
      <c r="BR100" s="571">
        <f t="shared" si="27"/>
        <v>1.0890106556944663</v>
      </c>
      <c r="BS100" s="571">
        <f t="shared" si="27"/>
        <v>1.0890106556944661</v>
      </c>
      <c r="BT100" s="571">
        <f t="shared" si="27"/>
        <v>1.0890106556944663</v>
      </c>
      <c r="BU100" s="571">
        <f t="shared" si="27"/>
        <v>1.0890106556944661</v>
      </c>
      <c r="BV100" s="571">
        <f t="shared" si="27"/>
        <v>1.0890106556944663</v>
      </c>
      <c r="BW100" s="571">
        <f t="shared" si="27"/>
        <v>1.0890106556944663</v>
      </c>
      <c r="BX100" s="571">
        <f t="shared" si="27"/>
        <v>1.0890106556944663</v>
      </c>
      <c r="BY100" s="571">
        <f t="shared" si="27"/>
        <v>1.0890106556944663</v>
      </c>
      <c r="BZ100" s="571">
        <f t="shared" si="28"/>
        <v>1.0890106556944661</v>
      </c>
      <c r="CA100" s="571">
        <f t="shared" si="28"/>
        <v>1.0890106556944663</v>
      </c>
      <c r="CB100" s="571">
        <f t="shared" si="28"/>
        <v>1.0890106556944665</v>
      </c>
      <c r="CC100" s="571">
        <f t="shared" si="28"/>
        <v>1.0890106556944663</v>
      </c>
      <c r="CD100" s="571">
        <f t="shared" si="28"/>
        <v>1.0890106556944663</v>
      </c>
      <c r="CE100" s="571">
        <f t="shared" si="28"/>
        <v>1.0890106556944663</v>
      </c>
      <c r="CF100" s="571">
        <f t="shared" si="28"/>
        <v>1.0890106556944661</v>
      </c>
      <c r="CG100" s="571">
        <f t="shared" si="28"/>
        <v>1.0890106556944661</v>
      </c>
      <c r="CH100" s="571">
        <f t="shared" si="28"/>
        <v>1.0890106556944663</v>
      </c>
      <c r="CI100" s="571">
        <f t="shared" si="28"/>
        <v>1.0890106556944663</v>
      </c>
      <c r="CJ100" s="571">
        <f t="shared" si="28"/>
        <v>1.0890106556944663</v>
      </c>
      <c r="CK100" s="571">
        <f t="shared" si="28"/>
        <v>1.0890106556944661</v>
      </c>
      <c r="CL100" s="571">
        <f t="shared" si="28"/>
        <v>1.0890106556944663</v>
      </c>
      <c r="CM100" s="571">
        <f t="shared" si="28"/>
        <v>1.0890106556944663</v>
      </c>
      <c r="CN100" s="571">
        <f t="shared" si="28"/>
        <v>1.0890106556944663</v>
      </c>
      <c r="CO100" s="571">
        <f t="shared" si="28"/>
        <v>1.0890106556944663</v>
      </c>
      <c r="CP100" s="571">
        <f t="shared" si="29"/>
        <v>1.0890106556944663</v>
      </c>
      <c r="CQ100" s="571">
        <f t="shared" si="29"/>
        <v>1.0890106556944663</v>
      </c>
      <c r="CR100" s="571">
        <f t="shared" si="29"/>
        <v>1.0890106556944663</v>
      </c>
      <c r="CS100" s="571">
        <f t="shared" si="29"/>
        <v>1.0890106556944663</v>
      </c>
      <c r="CT100" s="571">
        <f t="shared" si="29"/>
        <v>1.0890106556944663</v>
      </c>
      <c r="CU100" s="571">
        <f t="shared" si="29"/>
        <v>1.0890106556944661</v>
      </c>
      <c r="CV100" s="571">
        <f t="shared" si="29"/>
        <v>1.0890106556944663</v>
      </c>
      <c r="CW100" s="571">
        <f t="shared" si="29"/>
        <v>1.0890106556944663</v>
      </c>
      <c r="CX100" s="571">
        <f t="shared" si="29"/>
        <v>1.0890106556944661</v>
      </c>
      <c r="CY100" s="571">
        <f t="shared" si="29"/>
        <v>1.0890106556944665</v>
      </c>
      <c r="CZ100" s="571">
        <f t="shared" si="29"/>
        <v>1.0890106556944661</v>
      </c>
      <c r="DA100" s="571">
        <f t="shared" si="29"/>
        <v>1.0890106556944663</v>
      </c>
      <c r="DB100" s="571">
        <f t="shared" si="29"/>
        <v>1.0890106556944661</v>
      </c>
      <c r="DC100" s="571">
        <f t="shared" si="29"/>
        <v>1.0890106556944663</v>
      </c>
      <c r="DD100" s="571">
        <f t="shared" si="29"/>
        <v>1.0890106556944661</v>
      </c>
      <c r="DE100" s="571">
        <f t="shared" si="29"/>
        <v>1.0890106556944663</v>
      </c>
      <c r="DF100" s="571">
        <f t="shared" si="30"/>
        <v>1.0890106556944663</v>
      </c>
    </row>
    <row r="101" spans="1:110">
      <c r="A101" s="2773"/>
      <c r="B101" s="2765" t="s">
        <v>503</v>
      </c>
      <c r="C101" s="2766"/>
      <c r="D101" s="860"/>
      <c r="E101" s="860"/>
      <c r="F101" s="860"/>
      <c r="G101" s="860"/>
      <c r="H101" s="860"/>
      <c r="I101" s="860"/>
      <c r="J101" s="861"/>
      <c r="K101" s="861"/>
      <c r="L101" s="861">
        <f>((L$86-$H$4)/1000)*IF($C$13=0,$Q$26,$Q$43)*(($C$8/70)^$AB$43)*IF($C$13=1,$AG$43,IF($C$13=2,$AH$43,IF($C$13=3,$AI$43,1)))</f>
        <v>1552.7747586145356</v>
      </c>
      <c r="M101" s="861">
        <f t="shared" ref="M101:BF101" si="32">((M$86-$H$4)/1000)*IF($C$13=0,$Q$26,$Q$43)*(($C$8/70)^$AB$43)*IF($C$13=1,$AG$43,IF($C$13=2,$AH$43,IF($C$13=3,$AI$43,1)))</f>
        <v>1774.5997241308978</v>
      </c>
      <c r="N101" s="861">
        <f t="shared" si="32"/>
        <v>1996.4246896472598</v>
      </c>
      <c r="O101" s="861">
        <f t="shared" si="32"/>
        <v>2218.2496551636223</v>
      </c>
      <c r="P101" s="861">
        <f t="shared" si="32"/>
        <v>2440.0746206799845</v>
      </c>
      <c r="Q101" s="861">
        <f t="shared" si="32"/>
        <v>2661.8995861963467</v>
      </c>
      <c r="R101" s="861">
        <f t="shared" si="32"/>
        <v>2883.7245517127089</v>
      </c>
      <c r="S101" s="861">
        <f t="shared" si="32"/>
        <v>3105.5495172290712</v>
      </c>
      <c r="T101" s="861">
        <f t="shared" si="32"/>
        <v>3327.3744827454334</v>
      </c>
      <c r="U101" s="861">
        <f t="shared" si="32"/>
        <v>3549.1994482617956</v>
      </c>
      <c r="V101" s="861">
        <f t="shared" si="32"/>
        <v>3771.0244137781574</v>
      </c>
      <c r="W101" s="861">
        <f t="shared" si="32"/>
        <v>3992.8493792945196</v>
      </c>
      <c r="X101" s="861">
        <f t="shared" si="32"/>
        <v>4214.6743448108818</v>
      </c>
      <c r="Y101" s="861">
        <f t="shared" si="32"/>
        <v>4436.4993103272445</v>
      </c>
      <c r="Z101" s="861">
        <f t="shared" si="32"/>
        <v>4658.3242758436063</v>
      </c>
      <c r="AA101" s="861">
        <f t="shared" si="32"/>
        <v>4880.149241359969</v>
      </c>
      <c r="AB101" s="861">
        <f t="shared" si="32"/>
        <v>5101.9742068763298</v>
      </c>
      <c r="AC101" s="861">
        <f t="shared" si="32"/>
        <v>5323.7991723926934</v>
      </c>
      <c r="AD101" s="861">
        <f t="shared" si="32"/>
        <v>5545.6241379090552</v>
      </c>
      <c r="AE101" s="861">
        <f t="shared" si="32"/>
        <v>5767.4491034254179</v>
      </c>
      <c r="AF101" s="861">
        <f t="shared" si="32"/>
        <v>5989.2740689417806</v>
      </c>
      <c r="AG101" s="861">
        <f t="shared" si="32"/>
        <v>6211.0990344581423</v>
      </c>
      <c r="AH101" s="861">
        <f t="shared" si="32"/>
        <v>6432.9239999745032</v>
      </c>
      <c r="AI101" s="861">
        <f t="shared" si="32"/>
        <v>6654.7489654908668</v>
      </c>
      <c r="AJ101" s="861">
        <f t="shared" si="32"/>
        <v>6876.5739310072295</v>
      </c>
      <c r="AK101" s="861">
        <f t="shared" si="32"/>
        <v>7098.3988965235912</v>
      </c>
      <c r="AL101" s="861">
        <f t="shared" si="32"/>
        <v>7320.2238620399521</v>
      </c>
      <c r="AM101" s="861">
        <f t="shared" si="32"/>
        <v>7542.0488275563148</v>
      </c>
      <c r="AN101" s="861">
        <f t="shared" si="32"/>
        <v>7763.8737930726766</v>
      </c>
      <c r="AO101" s="861">
        <f t="shared" si="32"/>
        <v>7985.6987585890392</v>
      </c>
      <c r="AP101" s="861">
        <f t="shared" si="32"/>
        <v>8207.5237241054019</v>
      </c>
      <c r="AQ101" s="861">
        <f t="shared" si="32"/>
        <v>8429.3486896217637</v>
      </c>
      <c r="AR101" s="861">
        <f t="shared" si="32"/>
        <v>8651.1736551381255</v>
      </c>
      <c r="AS101" s="861">
        <f t="shared" si="32"/>
        <v>8872.9986206544891</v>
      </c>
      <c r="AT101" s="861">
        <f t="shared" si="32"/>
        <v>9094.8235861708508</v>
      </c>
      <c r="AU101" s="861">
        <f t="shared" si="32"/>
        <v>9316.6485516872126</v>
      </c>
      <c r="AV101" s="861">
        <f t="shared" si="32"/>
        <v>9538.4735172035744</v>
      </c>
      <c r="AW101" s="861">
        <f t="shared" si="32"/>
        <v>9760.298482719938</v>
      </c>
      <c r="AX101" s="861">
        <f t="shared" si="32"/>
        <v>9982.1234482362997</v>
      </c>
      <c r="AY101" s="861">
        <f t="shared" si="32"/>
        <v>10203.94841375266</v>
      </c>
      <c r="AZ101" s="861">
        <f t="shared" si="32"/>
        <v>10425.773379269025</v>
      </c>
      <c r="BA101" s="861">
        <f t="shared" si="32"/>
        <v>10647.598344785387</v>
      </c>
      <c r="BB101" s="861">
        <f t="shared" si="32"/>
        <v>10869.423310301749</v>
      </c>
      <c r="BC101" s="861">
        <f t="shared" si="32"/>
        <v>11091.24827581811</v>
      </c>
      <c r="BD101" s="861">
        <f t="shared" si="32"/>
        <v>11313.073241334472</v>
      </c>
      <c r="BE101" s="861">
        <f t="shared" si="32"/>
        <v>11534.898206850836</v>
      </c>
      <c r="BF101" s="861">
        <f t="shared" si="32"/>
        <v>11756.723172367198</v>
      </c>
      <c r="BG101" s="17"/>
      <c r="BH101" s="17"/>
      <c r="BJ101" s="571" t="e">
        <f t="shared" si="27"/>
        <v>#DIV/0!</v>
      </c>
      <c r="BK101" s="571" t="e">
        <f t="shared" si="27"/>
        <v>#DIV/0!</v>
      </c>
      <c r="BL101" s="571">
        <f t="shared" si="27"/>
        <v>1.0089138500665829</v>
      </c>
      <c r="BM101" s="571">
        <f t="shared" si="27"/>
        <v>1.0089138500665829</v>
      </c>
      <c r="BN101" s="571">
        <f t="shared" si="27"/>
        <v>1.0089138500665829</v>
      </c>
      <c r="BO101" s="571">
        <f t="shared" si="27"/>
        <v>1.0089138500665829</v>
      </c>
      <c r="BP101" s="571">
        <f t="shared" si="27"/>
        <v>1.0089138500665826</v>
      </c>
      <c r="BQ101" s="571">
        <f t="shared" si="27"/>
        <v>1.0089138500665826</v>
      </c>
      <c r="BR101" s="571">
        <f t="shared" si="27"/>
        <v>1.0089138500665829</v>
      </c>
      <c r="BS101" s="571">
        <f t="shared" si="27"/>
        <v>1.0089138500665829</v>
      </c>
      <c r="BT101" s="571">
        <f t="shared" si="27"/>
        <v>1.0089138500665829</v>
      </c>
      <c r="BU101" s="571">
        <f t="shared" si="27"/>
        <v>1.0089138500665829</v>
      </c>
      <c r="BV101" s="571">
        <f t="shared" si="27"/>
        <v>1.0089138500665831</v>
      </c>
      <c r="BW101" s="571">
        <f t="shared" si="27"/>
        <v>1.0089138500665829</v>
      </c>
      <c r="BX101" s="571">
        <f t="shared" si="27"/>
        <v>1.0089138500665829</v>
      </c>
      <c r="BY101" s="571">
        <f t="shared" si="27"/>
        <v>1.0089138500665829</v>
      </c>
      <c r="BZ101" s="571">
        <f t="shared" si="28"/>
        <v>1.0089138500665831</v>
      </c>
      <c r="CA101" s="571">
        <f t="shared" si="28"/>
        <v>1.0089138500665826</v>
      </c>
      <c r="CB101" s="571">
        <f t="shared" si="28"/>
        <v>1.0089138500665831</v>
      </c>
      <c r="CC101" s="571">
        <f t="shared" si="28"/>
        <v>1.0089138500665826</v>
      </c>
      <c r="CD101" s="571">
        <f t="shared" si="28"/>
        <v>1.0089138500665829</v>
      </c>
      <c r="CE101" s="571">
        <f t="shared" si="28"/>
        <v>1.0089138500665829</v>
      </c>
      <c r="CF101" s="571">
        <f t="shared" si="28"/>
        <v>1.0089138500665829</v>
      </c>
      <c r="CG101" s="571">
        <f t="shared" si="28"/>
        <v>1.0089138500665829</v>
      </c>
      <c r="CH101" s="571">
        <f t="shared" si="28"/>
        <v>1.0089138500665831</v>
      </c>
      <c r="CI101" s="571">
        <f t="shared" si="28"/>
        <v>1.0089138500665829</v>
      </c>
      <c r="CJ101" s="571">
        <f t="shared" si="28"/>
        <v>1.0089138500665829</v>
      </c>
      <c r="CK101" s="571">
        <f t="shared" si="28"/>
        <v>1.0089138500665829</v>
      </c>
      <c r="CL101" s="571">
        <f t="shared" si="28"/>
        <v>1.0089138500665829</v>
      </c>
      <c r="CM101" s="571">
        <f t="shared" si="28"/>
        <v>1.0089138500665831</v>
      </c>
      <c r="CN101" s="571">
        <f t="shared" si="28"/>
        <v>1.0089138500665829</v>
      </c>
      <c r="CO101" s="571">
        <f t="shared" si="28"/>
        <v>1.0089138500665829</v>
      </c>
      <c r="CP101" s="571">
        <f t="shared" si="29"/>
        <v>1.0089138500665829</v>
      </c>
      <c r="CQ101" s="571">
        <f t="shared" si="29"/>
        <v>1.0089138500665829</v>
      </c>
      <c r="CR101" s="571">
        <f t="shared" si="29"/>
        <v>1.0089138500665829</v>
      </c>
      <c r="CS101" s="571">
        <f t="shared" si="29"/>
        <v>1.0089138500665829</v>
      </c>
      <c r="CT101" s="571">
        <f t="shared" si="29"/>
        <v>1.0089138500665826</v>
      </c>
      <c r="CU101" s="571">
        <f t="shared" si="29"/>
        <v>1.0089138500665831</v>
      </c>
      <c r="CV101" s="571">
        <f t="shared" si="29"/>
        <v>1.0089138500665829</v>
      </c>
      <c r="CW101" s="571">
        <f t="shared" si="29"/>
        <v>1.0089138500665826</v>
      </c>
      <c r="CX101" s="571">
        <f t="shared" si="29"/>
        <v>1.0089138500665829</v>
      </c>
      <c r="CY101" s="571">
        <f t="shared" si="29"/>
        <v>1.0089138500665831</v>
      </c>
      <c r="CZ101" s="571">
        <f t="shared" si="29"/>
        <v>1.0089138500665829</v>
      </c>
      <c r="DA101" s="571">
        <f t="shared" si="29"/>
        <v>1.0089138500665826</v>
      </c>
      <c r="DB101" s="571">
        <f t="shared" si="29"/>
        <v>1.0089138500665829</v>
      </c>
      <c r="DC101" s="571">
        <f t="shared" si="29"/>
        <v>1.0089138500665829</v>
      </c>
      <c r="DD101" s="571">
        <f t="shared" si="29"/>
        <v>1.0089138500665831</v>
      </c>
      <c r="DE101" s="571">
        <f t="shared" si="29"/>
        <v>1.0089138500665829</v>
      </c>
      <c r="DF101" s="571">
        <f t="shared" si="30"/>
        <v>1.0089138500665829</v>
      </c>
    </row>
    <row r="102" spans="1:110" ht="15.75" thickBot="1">
      <c r="A102" s="2773"/>
      <c r="B102" s="2738" t="s">
        <v>504</v>
      </c>
      <c r="C102" s="2739"/>
      <c r="D102" s="862"/>
      <c r="E102" s="862"/>
      <c r="F102" s="862"/>
      <c r="G102" s="862"/>
      <c r="H102" s="862"/>
      <c r="I102" s="862"/>
      <c r="J102" s="863"/>
      <c r="K102" s="863"/>
      <c r="L102" s="863">
        <f>((L$86-$H$4)/1000)*IF($C$13=0,$R$26,$R$43)*(($C$8/70)^$AC$43)*IF($C$13=1,$AG$43,IF($C$13=2,$AH$43,IF($C$13=3,$AI$43,1)))</f>
        <v>1693.2988799999998</v>
      </c>
      <c r="M102" s="863">
        <f t="shared" ref="M102:BF102" si="33">((M$86-$H$4)/1000)*IF($C$13=0,$R$26,$R$43)*(($C$8/70)^$AC$43)*IF($C$13=1,$AG$43,IF($C$13=2,$AH$43,IF($C$13=3,$AI$43,1)))</f>
        <v>1935.1987200000001</v>
      </c>
      <c r="N102" s="863">
        <f t="shared" si="33"/>
        <v>2177.0985599999999</v>
      </c>
      <c r="O102" s="863">
        <f t="shared" si="33"/>
        <v>2418.9983999999999</v>
      </c>
      <c r="P102" s="863">
        <f t="shared" si="33"/>
        <v>2660.89824</v>
      </c>
      <c r="Q102" s="863">
        <f t="shared" si="33"/>
        <v>2902.79808</v>
      </c>
      <c r="R102" s="863">
        <f t="shared" si="33"/>
        <v>3144.6979200000001</v>
      </c>
      <c r="S102" s="863">
        <f t="shared" si="33"/>
        <v>3386.5977599999997</v>
      </c>
      <c r="T102" s="863">
        <f t="shared" si="33"/>
        <v>3628.4975999999997</v>
      </c>
      <c r="U102" s="863">
        <f t="shared" si="33"/>
        <v>3870.3974400000002</v>
      </c>
      <c r="V102" s="863">
        <f t="shared" si="33"/>
        <v>4112.2972799999998</v>
      </c>
      <c r="W102" s="863">
        <f t="shared" si="33"/>
        <v>4354.1971199999998</v>
      </c>
      <c r="X102" s="863">
        <f t="shared" si="33"/>
        <v>4596.0969599999999</v>
      </c>
      <c r="Y102" s="863">
        <f t="shared" si="33"/>
        <v>4837.9967999999999</v>
      </c>
      <c r="Z102" s="863">
        <f t="shared" si="33"/>
        <v>5079.8966399999999</v>
      </c>
      <c r="AA102" s="863">
        <f t="shared" si="33"/>
        <v>5321.79648</v>
      </c>
      <c r="AB102" s="863">
        <f t="shared" si="33"/>
        <v>5563.6963199999991</v>
      </c>
      <c r="AC102" s="863">
        <f t="shared" si="33"/>
        <v>5805.5961600000001</v>
      </c>
      <c r="AD102" s="863">
        <f t="shared" si="33"/>
        <v>6047.4960000000001</v>
      </c>
      <c r="AE102" s="863">
        <f t="shared" si="33"/>
        <v>6289.3958400000001</v>
      </c>
      <c r="AF102" s="863">
        <f t="shared" si="33"/>
        <v>6531.2956800000002</v>
      </c>
      <c r="AG102" s="863">
        <f t="shared" si="33"/>
        <v>6773.1955199999993</v>
      </c>
      <c r="AH102" s="863">
        <f t="shared" si="33"/>
        <v>7015.0953599999993</v>
      </c>
      <c r="AI102" s="863">
        <f t="shared" si="33"/>
        <v>7256.9951999999994</v>
      </c>
      <c r="AJ102" s="863">
        <f t="shared" si="33"/>
        <v>7498.8950400000003</v>
      </c>
      <c r="AK102" s="863">
        <f t="shared" si="33"/>
        <v>7740.7948800000004</v>
      </c>
      <c r="AL102" s="863">
        <f t="shared" si="33"/>
        <v>7982.6947199999995</v>
      </c>
      <c r="AM102" s="863">
        <f t="shared" si="33"/>
        <v>8224.5945599999995</v>
      </c>
      <c r="AN102" s="863">
        <f t="shared" si="33"/>
        <v>8466.4943999999996</v>
      </c>
      <c r="AO102" s="863">
        <f t="shared" si="33"/>
        <v>8708.3942399999996</v>
      </c>
      <c r="AP102" s="863">
        <f t="shared" si="33"/>
        <v>8950.2940799999997</v>
      </c>
      <c r="AQ102" s="863">
        <f t="shared" si="33"/>
        <v>9192.1939199999997</v>
      </c>
      <c r="AR102" s="863">
        <f t="shared" si="33"/>
        <v>9434.0937599999997</v>
      </c>
      <c r="AS102" s="863">
        <f t="shared" si="33"/>
        <v>9675.9935999999998</v>
      </c>
      <c r="AT102" s="863">
        <f t="shared" si="33"/>
        <v>9917.893439999998</v>
      </c>
      <c r="AU102" s="863">
        <f t="shared" si="33"/>
        <v>10159.79328</v>
      </c>
      <c r="AV102" s="863">
        <f t="shared" si="33"/>
        <v>10401.693119999998</v>
      </c>
      <c r="AW102" s="863">
        <f t="shared" si="33"/>
        <v>10643.59296</v>
      </c>
      <c r="AX102" s="863">
        <f t="shared" si="33"/>
        <v>10885.4928</v>
      </c>
      <c r="AY102" s="863">
        <f t="shared" si="33"/>
        <v>11127.392639999998</v>
      </c>
      <c r="AZ102" s="863">
        <f t="shared" si="33"/>
        <v>11369.29248</v>
      </c>
      <c r="BA102" s="863">
        <f t="shared" si="33"/>
        <v>11611.19232</v>
      </c>
      <c r="BB102" s="863">
        <f t="shared" si="33"/>
        <v>11853.092160000002</v>
      </c>
      <c r="BC102" s="863">
        <f t="shared" si="33"/>
        <v>12094.992</v>
      </c>
      <c r="BD102" s="863">
        <f t="shared" si="33"/>
        <v>12336.891839999998</v>
      </c>
      <c r="BE102" s="863">
        <f t="shared" si="33"/>
        <v>12578.79168</v>
      </c>
      <c r="BF102" s="863">
        <f t="shared" si="33"/>
        <v>12820.69152</v>
      </c>
      <c r="BG102" s="17"/>
      <c r="BH102" s="17"/>
      <c r="BJ102" s="571" t="e">
        <f t="shared" si="27"/>
        <v>#DIV/0!</v>
      </c>
      <c r="BK102" s="571" t="e">
        <f t="shared" si="27"/>
        <v>#DIV/0!</v>
      </c>
      <c r="BL102" s="571">
        <f t="shared" si="27"/>
        <v>1.0237450343084145</v>
      </c>
      <c r="BM102" s="571">
        <f t="shared" si="27"/>
        <v>1.0237450343084145</v>
      </c>
      <c r="BN102" s="571">
        <f t="shared" si="27"/>
        <v>1.0237450343084145</v>
      </c>
      <c r="BO102" s="571">
        <f t="shared" si="27"/>
        <v>1.0237450343084145</v>
      </c>
      <c r="BP102" s="571">
        <f t="shared" si="27"/>
        <v>1.0237450343084147</v>
      </c>
      <c r="BQ102" s="571">
        <f t="shared" si="27"/>
        <v>1.0237450343084145</v>
      </c>
      <c r="BR102" s="571">
        <f t="shared" si="27"/>
        <v>1.0237450343084145</v>
      </c>
      <c r="BS102" s="571">
        <f t="shared" si="27"/>
        <v>1.0237450343084145</v>
      </c>
      <c r="BT102" s="571">
        <f t="shared" si="27"/>
        <v>1.0237450343084147</v>
      </c>
      <c r="BU102" s="571">
        <f t="shared" si="27"/>
        <v>1.0237450343084145</v>
      </c>
      <c r="BV102" s="571">
        <f t="shared" si="27"/>
        <v>1.0237450343084147</v>
      </c>
      <c r="BW102" s="571">
        <f t="shared" si="27"/>
        <v>1.0237450343084145</v>
      </c>
      <c r="BX102" s="571">
        <f t="shared" si="27"/>
        <v>1.0237450343084145</v>
      </c>
      <c r="BY102" s="571">
        <f t="shared" si="27"/>
        <v>1.0237450343084145</v>
      </c>
      <c r="BZ102" s="571">
        <f t="shared" si="28"/>
        <v>1.0237450343084147</v>
      </c>
      <c r="CA102" s="571">
        <f t="shared" si="28"/>
        <v>1.0237450343084147</v>
      </c>
      <c r="CB102" s="571">
        <f t="shared" si="28"/>
        <v>1.0237450343084145</v>
      </c>
      <c r="CC102" s="571">
        <f t="shared" si="28"/>
        <v>1.0237450343084145</v>
      </c>
      <c r="CD102" s="571">
        <f t="shared" si="28"/>
        <v>1.0237450343084145</v>
      </c>
      <c r="CE102" s="571">
        <f t="shared" si="28"/>
        <v>1.0237450343084145</v>
      </c>
      <c r="CF102" s="571">
        <f t="shared" si="28"/>
        <v>1.0237450343084145</v>
      </c>
      <c r="CG102" s="571">
        <f t="shared" si="28"/>
        <v>1.0237450343084145</v>
      </c>
      <c r="CH102" s="571">
        <f t="shared" si="28"/>
        <v>1.0237450343084145</v>
      </c>
      <c r="CI102" s="571">
        <f t="shared" si="28"/>
        <v>1.0237450343084147</v>
      </c>
      <c r="CJ102" s="571">
        <f t="shared" si="28"/>
        <v>1.0237450343084145</v>
      </c>
      <c r="CK102" s="571">
        <f t="shared" si="28"/>
        <v>1.0237450343084145</v>
      </c>
      <c r="CL102" s="571">
        <f t="shared" si="28"/>
        <v>1.0237450343084147</v>
      </c>
      <c r="CM102" s="571">
        <f t="shared" si="28"/>
        <v>1.0237450343084147</v>
      </c>
      <c r="CN102" s="571">
        <f t="shared" si="28"/>
        <v>1.0237450343084145</v>
      </c>
      <c r="CO102" s="571">
        <f t="shared" si="28"/>
        <v>1.0237450343084145</v>
      </c>
      <c r="CP102" s="571">
        <f t="shared" si="29"/>
        <v>1.0237450343084147</v>
      </c>
      <c r="CQ102" s="571">
        <f t="shared" si="29"/>
        <v>1.0237450343084145</v>
      </c>
      <c r="CR102" s="571">
        <f t="shared" si="29"/>
        <v>1.0237450343084147</v>
      </c>
      <c r="CS102" s="571">
        <f t="shared" si="29"/>
        <v>1.0237450343084145</v>
      </c>
      <c r="CT102" s="571">
        <f t="shared" si="29"/>
        <v>1.0237450343084147</v>
      </c>
      <c r="CU102" s="571">
        <f t="shared" si="29"/>
        <v>1.0237450343084147</v>
      </c>
      <c r="CV102" s="571">
        <f t="shared" si="29"/>
        <v>1.0237450343084147</v>
      </c>
      <c r="CW102" s="571">
        <f t="shared" si="29"/>
        <v>1.0237450343084147</v>
      </c>
      <c r="CX102" s="571">
        <f t="shared" si="29"/>
        <v>1.0237450343084145</v>
      </c>
      <c r="CY102" s="571">
        <f t="shared" si="29"/>
        <v>1.0237450343084145</v>
      </c>
      <c r="CZ102" s="571">
        <f t="shared" si="29"/>
        <v>1.0237450343084145</v>
      </c>
      <c r="DA102" s="571">
        <f t="shared" si="29"/>
        <v>1.0237450343084145</v>
      </c>
      <c r="DB102" s="571">
        <f t="shared" si="29"/>
        <v>1.0237450343084145</v>
      </c>
      <c r="DC102" s="571">
        <f t="shared" si="29"/>
        <v>1.0237450343084145</v>
      </c>
      <c r="DD102" s="571">
        <f t="shared" si="29"/>
        <v>1.0237450343084147</v>
      </c>
      <c r="DE102" s="571">
        <f t="shared" si="29"/>
        <v>1.0237450343084145</v>
      </c>
      <c r="DF102" s="571">
        <f t="shared" si="30"/>
        <v>1.0237450343084145</v>
      </c>
    </row>
    <row r="103" spans="1:110">
      <c r="A103" s="2773"/>
      <c r="B103" s="2749" t="s">
        <v>505</v>
      </c>
      <c r="C103" s="2750"/>
      <c r="D103" s="864"/>
      <c r="E103" s="864"/>
      <c r="F103" s="864"/>
      <c r="G103" s="864"/>
      <c r="H103" s="864"/>
      <c r="I103" s="864"/>
      <c r="J103" s="865"/>
      <c r="K103" s="865"/>
      <c r="L103" s="865">
        <f>((L$86-$H$4)/1000)*IF($C$13=0,$L$27,$L$44)*(($C$8/70)^$W$44)*IF($C$13=1,$AG$44,IF($C$13=2,$AH$44,IF($C$13=3,$AI$44,1)))</f>
        <v>820.99289999999996</v>
      </c>
      <c r="M103" s="865">
        <f t="shared" ref="M103:BF103" si="34">((M$86-$H$4)/1000)*IF($C$13=0,$L$27,$L$44)*(($C$8/70)^$W$44)*IF($C$13=1,$AG$44,IF($C$13=2,$AH$44,IF($C$13=3,$AI$44,1)))</f>
        <v>938.27760000000001</v>
      </c>
      <c r="N103" s="865">
        <f t="shared" si="34"/>
        <v>1055.5623000000001</v>
      </c>
      <c r="O103" s="865">
        <f t="shared" si="34"/>
        <v>1172.847</v>
      </c>
      <c r="P103" s="865">
        <f t="shared" si="34"/>
        <v>1290.1317000000001</v>
      </c>
      <c r="Q103" s="865">
        <f t="shared" si="34"/>
        <v>1407.4164000000001</v>
      </c>
      <c r="R103" s="865">
        <f t="shared" si="34"/>
        <v>1524.7011</v>
      </c>
      <c r="S103" s="865">
        <f t="shared" si="34"/>
        <v>1641.9857999999999</v>
      </c>
      <c r="T103" s="865">
        <f t="shared" si="34"/>
        <v>1759.2705000000001</v>
      </c>
      <c r="U103" s="865">
        <f t="shared" si="34"/>
        <v>1876.5552</v>
      </c>
      <c r="V103" s="865">
        <f t="shared" si="34"/>
        <v>1993.8398999999999</v>
      </c>
      <c r="W103" s="865">
        <f t="shared" si="34"/>
        <v>2111.1246000000001</v>
      </c>
      <c r="X103" s="865">
        <f t="shared" si="34"/>
        <v>2228.4092999999998</v>
      </c>
      <c r="Y103" s="865">
        <f t="shared" si="34"/>
        <v>2345.694</v>
      </c>
      <c r="Z103" s="865">
        <f t="shared" si="34"/>
        <v>2462.9787000000001</v>
      </c>
      <c r="AA103" s="865">
        <f t="shared" si="34"/>
        <v>2580.2634000000003</v>
      </c>
      <c r="AB103" s="865">
        <f t="shared" si="34"/>
        <v>2697.5480999999995</v>
      </c>
      <c r="AC103" s="865">
        <f t="shared" si="34"/>
        <v>2814.8328000000001</v>
      </c>
      <c r="AD103" s="865">
        <f t="shared" si="34"/>
        <v>2932.1174999999998</v>
      </c>
      <c r="AE103" s="865">
        <f t="shared" si="34"/>
        <v>3049.4022</v>
      </c>
      <c r="AF103" s="865">
        <f t="shared" si="34"/>
        <v>3166.6869000000002</v>
      </c>
      <c r="AG103" s="865">
        <f t="shared" si="34"/>
        <v>3283.9715999999999</v>
      </c>
      <c r="AH103" s="865">
        <f t="shared" si="34"/>
        <v>3401.2562999999996</v>
      </c>
      <c r="AI103" s="865">
        <f t="shared" si="34"/>
        <v>3518.5410000000002</v>
      </c>
      <c r="AJ103" s="865">
        <f t="shared" si="34"/>
        <v>3635.8256999999999</v>
      </c>
      <c r="AK103" s="865">
        <f t="shared" si="34"/>
        <v>3753.1104</v>
      </c>
      <c r="AL103" s="865">
        <f t="shared" si="34"/>
        <v>3870.3950999999993</v>
      </c>
      <c r="AM103" s="865">
        <f t="shared" si="34"/>
        <v>3987.6797999999999</v>
      </c>
      <c r="AN103" s="865">
        <f t="shared" si="34"/>
        <v>4104.9645</v>
      </c>
      <c r="AO103" s="865">
        <f t="shared" si="34"/>
        <v>4222.2492000000002</v>
      </c>
      <c r="AP103" s="865">
        <f t="shared" si="34"/>
        <v>4339.5338999999994</v>
      </c>
      <c r="AQ103" s="865">
        <f t="shared" si="34"/>
        <v>4456.8185999999996</v>
      </c>
      <c r="AR103" s="865">
        <f t="shared" si="34"/>
        <v>4574.1032999999998</v>
      </c>
      <c r="AS103" s="865">
        <f t="shared" si="34"/>
        <v>4691.3879999999999</v>
      </c>
      <c r="AT103" s="865">
        <f t="shared" si="34"/>
        <v>4808.6727000000001</v>
      </c>
      <c r="AU103" s="865">
        <f t="shared" si="34"/>
        <v>4925.9574000000002</v>
      </c>
      <c r="AV103" s="865">
        <f t="shared" si="34"/>
        <v>5043.2420999999995</v>
      </c>
      <c r="AW103" s="865">
        <f t="shared" si="34"/>
        <v>5160.5268000000005</v>
      </c>
      <c r="AX103" s="865">
        <f t="shared" si="34"/>
        <v>5277.8114999999998</v>
      </c>
      <c r="AY103" s="865">
        <f t="shared" si="34"/>
        <v>5395.096199999999</v>
      </c>
      <c r="AZ103" s="865">
        <f t="shared" si="34"/>
        <v>5512.3809000000001</v>
      </c>
      <c r="BA103" s="865">
        <f t="shared" si="34"/>
        <v>5629.6656000000003</v>
      </c>
      <c r="BB103" s="865">
        <f t="shared" si="34"/>
        <v>5746.9502999999995</v>
      </c>
      <c r="BC103" s="865">
        <f t="shared" si="34"/>
        <v>5864.2349999999997</v>
      </c>
      <c r="BD103" s="865">
        <f t="shared" si="34"/>
        <v>5981.5196999999998</v>
      </c>
      <c r="BE103" s="865">
        <f t="shared" si="34"/>
        <v>6098.8044</v>
      </c>
      <c r="BF103" s="865">
        <f t="shared" si="34"/>
        <v>6216.0890999999992</v>
      </c>
      <c r="BG103" s="17"/>
      <c r="BH103" s="17"/>
      <c r="BJ103" s="571" t="e">
        <f t="shared" si="27"/>
        <v>#DIV/0!</v>
      </c>
      <c r="BK103" s="571" t="e">
        <f t="shared" si="27"/>
        <v>#DIV/0!</v>
      </c>
      <c r="BL103" s="571">
        <f t="shared" si="27"/>
        <v>1.0429534758620689</v>
      </c>
      <c r="BM103" s="571">
        <f t="shared" si="27"/>
        <v>1.0429534758620691</v>
      </c>
      <c r="BN103" s="571">
        <f t="shared" si="27"/>
        <v>1.0429534758620689</v>
      </c>
      <c r="BO103" s="571">
        <f t="shared" si="27"/>
        <v>1.0429534758620689</v>
      </c>
      <c r="BP103" s="571">
        <f t="shared" si="27"/>
        <v>1.0429534758620687</v>
      </c>
      <c r="BQ103" s="571">
        <f t="shared" si="27"/>
        <v>1.0429534758620689</v>
      </c>
      <c r="BR103" s="571">
        <f t="shared" si="27"/>
        <v>1.0429534758620689</v>
      </c>
      <c r="BS103" s="571">
        <f t="shared" si="27"/>
        <v>1.0429534758620689</v>
      </c>
      <c r="BT103" s="571">
        <f t="shared" si="27"/>
        <v>1.0429534758620689</v>
      </c>
      <c r="BU103" s="571">
        <f t="shared" si="27"/>
        <v>1.0429534758620691</v>
      </c>
      <c r="BV103" s="571">
        <f t="shared" si="27"/>
        <v>1.0429534758620689</v>
      </c>
      <c r="BW103" s="571">
        <f t="shared" si="27"/>
        <v>1.0429534758620689</v>
      </c>
      <c r="BX103" s="571">
        <f t="shared" si="27"/>
        <v>1.0429534758620689</v>
      </c>
      <c r="BY103" s="571">
        <f t="shared" si="27"/>
        <v>1.0429534758620689</v>
      </c>
      <c r="BZ103" s="571">
        <f t="shared" si="28"/>
        <v>1.0429534758620689</v>
      </c>
      <c r="CA103" s="571">
        <f t="shared" si="28"/>
        <v>1.0429534758620687</v>
      </c>
      <c r="CB103" s="571">
        <f t="shared" si="28"/>
        <v>1.0429534758620691</v>
      </c>
      <c r="CC103" s="571">
        <f t="shared" si="28"/>
        <v>1.0429534758620689</v>
      </c>
      <c r="CD103" s="571">
        <f t="shared" si="28"/>
        <v>1.0429534758620689</v>
      </c>
      <c r="CE103" s="571">
        <f t="shared" si="28"/>
        <v>1.0429534758620689</v>
      </c>
      <c r="CF103" s="571">
        <f t="shared" si="28"/>
        <v>1.0429534758620689</v>
      </c>
      <c r="CG103" s="571">
        <f t="shared" si="28"/>
        <v>1.0429534758620689</v>
      </c>
      <c r="CH103" s="571">
        <f t="shared" si="28"/>
        <v>1.0429534758620689</v>
      </c>
      <c r="CI103" s="571">
        <f t="shared" si="28"/>
        <v>1.0429534758620689</v>
      </c>
      <c r="CJ103" s="571">
        <f t="shared" si="28"/>
        <v>1.0429534758620691</v>
      </c>
      <c r="CK103" s="571">
        <f t="shared" si="28"/>
        <v>1.0429534758620691</v>
      </c>
      <c r="CL103" s="571">
        <f t="shared" si="28"/>
        <v>1.0429534758620691</v>
      </c>
      <c r="CM103" s="571">
        <f t="shared" si="28"/>
        <v>1.0429534758620689</v>
      </c>
      <c r="CN103" s="571">
        <f t="shared" si="28"/>
        <v>1.0429534758620687</v>
      </c>
      <c r="CO103" s="571">
        <f t="shared" si="28"/>
        <v>1.0429534758620689</v>
      </c>
      <c r="CP103" s="571">
        <f t="shared" si="29"/>
        <v>1.0429534758620691</v>
      </c>
      <c r="CQ103" s="571">
        <f t="shared" si="29"/>
        <v>1.0429534758620689</v>
      </c>
      <c r="CR103" s="571">
        <f t="shared" si="29"/>
        <v>1.0429534758620689</v>
      </c>
      <c r="CS103" s="571">
        <f t="shared" si="29"/>
        <v>1.0429534758620689</v>
      </c>
      <c r="CT103" s="571">
        <f t="shared" si="29"/>
        <v>1.0429534758620689</v>
      </c>
      <c r="CU103" s="571">
        <f t="shared" si="29"/>
        <v>1.0429534758620689</v>
      </c>
      <c r="CV103" s="571">
        <f t="shared" si="29"/>
        <v>1.0429534758620689</v>
      </c>
      <c r="CW103" s="571">
        <f t="shared" si="29"/>
        <v>1.0429534758620687</v>
      </c>
      <c r="CX103" s="571">
        <f t="shared" si="29"/>
        <v>1.0429534758620689</v>
      </c>
      <c r="CY103" s="571">
        <f t="shared" si="29"/>
        <v>1.0429534758620691</v>
      </c>
      <c r="CZ103" s="571">
        <f t="shared" si="29"/>
        <v>1.0429534758620689</v>
      </c>
      <c r="DA103" s="571">
        <f t="shared" si="29"/>
        <v>1.0429534758620689</v>
      </c>
      <c r="DB103" s="571">
        <f t="shared" si="29"/>
        <v>1.0429534758620691</v>
      </c>
      <c r="DC103" s="571">
        <f t="shared" si="29"/>
        <v>1.0429534758620689</v>
      </c>
      <c r="DD103" s="571">
        <f t="shared" si="29"/>
        <v>1.0429534758620689</v>
      </c>
      <c r="DE103" s="571">
        <f t="shared" si="29"/>
        <v>1.0429534758620689</v>
      </c>
      <c r="DF103" s="571">
        <f t="shared" si="30"/>
        <v>1.0429534758620689</v>
      </c>
    </row>
    <row r="104" spans="1:110">
      <c r="A104" s="2773"/>
      <c r="B104" s="2751" t="s">
        <v>506</v>
      </c>
      <c r="C104" s="2752"/>
      <c r="D104" s="866"/>
      <c r="E104" s="866"/>
      <c r="F104" s="866"/>
      <c r="G104" s="866"/>
      <c r="H104" s="866"/>
      <c r="I104" s="866"/>
      <c r="J104" s="867"/>
      <c r="K104" s="867"/>
      <c r="L104" s="867">
        <f>((L$86-$H$4)/1000)*IF($C$13=0,$M$27,$M$44)*(($C$8/70)^$X$44)*IF($C$13=1,$AG$44,IF($C$13=2,$AH$44,IF($C$13=3,$AI$44,1)))</f>
        <v>1087.47912</v>
      </c>
      <c r="M104" s="867">
        <f t="shared" ref="M104:BF104" si="35">((M$86-$H$4)/1000)*IF($C$13=0,$M$27,$M$44)*(($C$8/70)^$X$44)*IF($C$13=1,$AG$44,IF($C$13=2,$AH$44,IF($C$13=3,$AI$44,1)))</f>
        <v>1242.8332800000001</v>
      </c>
      <c r="N104" s="867">
        <f t="shared" si="35"/>
        <v>1398.1874399999999</v>
      </c>
      <c r="O104" s="867">
        <f t="shared" si="35"/>
        <v>1553.5416</v>
      </c>
      <c r="P104" s="867">
        <f t="shared" si="35"/>
        <v>1708.8957599999999</v>
      </c>
      <c r="Q104" s="867">
        <f t="shared" si="35"/>
        <v>1864.24992</v>
      </c>
      <c r="R104" s="867">
        <f t="shared" si="35"/>
        <v>2019.6040799999998</v>
      </c>
      <c r="S104" s="867">
        <f t="shared" si="35"/>
        <v>2174.9582399999999</v>
      </c>
      <c r="T104" s="867">
        <f t="shared" si="35"/>
        <v>2330.3123999999998</v>
      </c>
      <c r="U104" s="867">
        <f t="shared" si="35"/>
        <v>2485.6665600000001</v>
      </c>
      <c r="V104" s="867">
        <f t="shared" si="35"/>
        <v>2641.0207199999995</v>
      </c>
      <c r="W104" s="867">
        <f t="shared" si="35"/>
        <v>2796.3748799999998</v>
      </c>
      <c r="X104" s="867">
        <f t="shared" si="35"/>
        <v>2951.7290399999997</v>
      </c>
      <c r="Y104" s="867">
        <f t="shared" si="35"/>
        <v>3107.0832</v>
      </c>
      <c r="Z104" s="867">
        <f t="shared" si="35"/>
        <v>3262.4373600000004</v>
      </c>
      <c r="AA104" s="867">
        <f t="shared" si="35"/>
        <v>3417.7915199999998</v>
      </c>
      <c r="AB104" s="867">
        <f t="shared" si="35"/>
        <v>3573.1456799999996</v>
      </c>
      <c r="AC104" s="867">
        <f t="shared" si="35"/>
        <v>3728.4998399999999</v>
      </c>
      <c r="AD104" s="867">
        <f t="shared" si="35"/>
        <v>3883.8539999999994</v>
      </c>
      <c r="AE104" s="867">
        <f t="shared" si="35"/>
        <v>4039.2081599999997</v>
      </c>
      <c r="AF104" s="867">
        <f t="shared" si="35"/>
        <v>4194.56232</v>
      </c>
      <c r="AG104" s="867">
        <f t="shared" si="35"/>
        <v>4349.9164799999999</v>
      </c>
      <c r="AH104" s="867">
        <f t="shared" si="35"/>
        <v>4505.2706399999997</v>
      </c>
      <c r="AI104" s="867">
        <f t="shared" si="35"/>
        <v>4660.6247999999996</v>
      </c>
      <c r="AJ104" s="867">
        <f t="shared" si="35"/>
        <v>4815.9789600000004</v>
      </c>
      <c r="AK104" s="867">
        <f t="shared" si="35"/>
        <v>4971.3331200000002</v>
      </c>
      <c r="AL104" s="867">
        <f t="shared" si="35"/>
        <v>5126.6872799999992</v>
      </c>
      <c r="AM104" s="867">
        <f t="shared" si="35"/>
        <v>5282.0414399999991</v>
      </c>
      <c r="AN104" s="867">
        <f t="shared" si="35"/>
        <v>5437.3955999999998</v>
      </c>
      <c r="AO104" s="867">
        <f t="shared" si="35"/>
        <v>5592.7497599999997</v>
      </c>
      <c r="AP104" s="867">
        <f t="shared" si="35"/>
        <v>5748.1039199999996</v>
      </c>
      <c r="AQ104" s="867">
        <f t="shared" si="35"/>
        <v>5903.4580799999994</v>
      </c>
      <c r="AR104" s="867">
        <f t="shared" si="35"/>
        <v>6058.8122400000002</v>
      </c>
      <c r="AS104" s="867">
        <f t="shared" si="35"/>
        <v>6214.1664000000001</v>
      </c>
      <c r="AT104" s="867">
        <f t="shared" si="35"/>
        <v>6369.520559999999</v>
      </c>
      <c r="AU104" s="867">
        <f t="shared" si="35"/>
        <v>6524.8747200000007</v>
      </c>
      <c r="AV104" s="867">
        <f t="shared" si="35"/>
        <v>6680.2288799999997</v>
      </c>
      <c r="AW104" s="867">
        <f t="shared" si="35"/>
        <v>6835.5830399999995</v>
      </c>
      <c r="AX104" s="867">
        <f t="shared" si="35"/>
        <v>6990.9371999999994</v>
      </c>
      <c r="AY104" s="867">
        <f t="shared" si="35"/>
        <v>7146.2913599999993</v>
      </c>
      <c r="AZ104" s="867">
        <f t="shared" si="35"/>
        <v>7301.64552</v>
      </c>
      <c r="BA104" s="867">
        <f t="shared" si="35"/>
        <v>7456.9996799999999</v>
      </c>
      <c r="BB104" s="867">
        <f t="shared" si="35"/>
        <v>7612.3538400000007</v>
      </c>
      <c r="BC104" s="867">
        <f t="shared" si="35"/>
        <v>7767.7079999999987</v>
      </c>
      <c r="BD104" s="867">
        <f t="shared" si="35"/>
        <v>7923.0621599999986</v>
      </c>
      <c r="BE104" s="867">
        <f t="shared" si="35"/>
        <v>8078.4163199999994</v>
      </c>
      <c r="BF104" s="867">
        <f t="shared" si="35"/>
        <v>8233.7704799999992</v>
      </c>
      <c r="BG104" s="17"/>
      <c r="BH104" s="17"/>
      <c r="BJ104" s="571" t="e">
        <f t="shared" si="27"/>
        <v>#DIV/0!</v>
      </c>
      <c r="BK104" s="571" t="e">
        <f t="shared" si="27"/>
        <v>#DIV/0!</v>
      </c>
      <c r="BL104" s="571">
        <f t="shared" si="27"/>
        <v>1.1955445544554457</v>
      </c>
      <c r="BM104" s="571">
        <f t="shared" si="27"/>
        <v>1.1955445544554453</v>
      </c>
      <c r="BN104" s="571">
        <f t="shared" si="27"/>
        <v>1.1955445544554455</v>
      </c>
      <c r="BO104" s="571">
        <f t="shared" si="27"/>
        <v>1.1955445544554455</v>
      </c>
      <c r="BP104" s="571">
        <f t="shared" si="27"/>
        <v>1.1955445544554457</v>
      </c>
      <c r="BQ104" s="571">
        <f t="shared" si="27"/>
        <v>1.1955445544554455</v>
      </c>
      <c r="BR104" s="571">
        <f t="shared" si="27"/>
        <v>1.1955445544554457</v>
      </c>
      <c r="BS104" s="571">
        <f t="shared" si="27"/>
        <v>1.1955445544554457</v>
      </c>
      <c r="BT104" s="571">
        <f t="shared" si="27"/>
        <v>1.1955445544554455</v>
      </c>
      <c r="BU104" s="571">
        <f t="shared" si="27"/>
        <v>1.1955445544554453</v>
      </c>
      <c r="BV104" s="571">
        <f t="shared" si="27"/>
        <v>1.1955445544554457</v>
      </c>
      <c r="BW104" s="571">
        <f t="shared" si="27"/>
        <v>1.1955445544554455</v>
      </c>
      <c r="BX104" s="571">
        <f t="shared" si="27"/>
        <v>1.1955445544554457</v>
      </c>
      <c r="BY104" s="571">
        <f t="shared" si="27"/>
        <v>1.1955445544554455</v>
      </c>
      <c r="BZ104" s="571">
        <f t="shared" si="28"/>
        <v>1.1955445544554453</v>
      </c>
      <c r="CA104" s="571">
        <f t="shared" si="28"/>
        <v>1.1955445544554457</v>
      </c>
      <c r="CB104" s="571">
        <f t="shared" si="28"/>
        <v>1.1955445544554455</v>
      </c>
      <c r="CC104" s="571">
        <f t="shared" si="28"/>
        <v>1.1955445544554455</v>
      </c>
      <c r="CD104" s="571">
        <f t="shared" si="28"/>
        <v>1.1955445544554457</v>
      </c>
      <c r="CE104" s="571">
        <f t="shared" si="28"/>
        <v>1.1955445544554457</v>
      </c>
      <c r="CF104" s="571">
        <f t="shared" si="28"/>
        <v>1.1955445544554455</v>
      </c>
      <c r="CG104" s="571">
        <f t="shared" si="28"/>
        <v>1.1955445544554457</v>
      </c>
      <c r="CH104" s="571">
        <f t="shared" si="28"/>
        <v>1.1955445544554455</v>
      </c>
      <c r="CI104" s="571">
        <f t="shared" si="28"/>
        <v>1.1955445544554455</v>
      </c>
      <c r="CJ104" s="571">
        <f t="shared" si="28"/>
        <v>1.1955445544554455</v>
      </c>
      <c r="CK104" s="571">
        <f t="shared" si="28"/>
        <v>1.1955445544554453</v>
      </c>
      <c r="CL104" s="571">
        <f t="shared" si="28"/>
        <v>1.1955445544554457</v>
      </c>
      <c r="CM104" s="571">
        <f t="shared" si="28"/>
        <v>1.1955445544554457</v>
      </c>
      <c r="CN104" s="571">
        <f t="shared" si="28"/>
        <v>1.1955445544554457</v>
      </c>
      <c r="CO104" s="571">
        <f t="shared" si="28"/>
        <v>1.1955445544554455</v>
      </c>
      <c r="CP104" s="571">
        <f t="shared" si="29"/>
        <v>1.1955445544554457</v>
      </c>
      <c r="CQ104" s="571">
        <f t="shared" si="29"/>
        <v>1.1955445544554457</v>
      </c>
      <c r="CR104" s="571">
        <f t="shared" si="29"/>
        <v>1.1955445544554455</v>
      </c>
      <c r="CS104" s="571">
        <f t="shared" si="29"/>
        <v>1.1955445544554455</v>
      </c>
      <c r="CT104" s="571">
        <f t="shared" si="29"/>
        <v>1.1955445544554457</v>
      </c>
      <c r="CU104" s="571">
        <f t="shared" si="29"/>
        <v>1.1955445544554453</v>
      </c>
      <c r="CV104" s="571">
        <f t="shared" si="29"/>
        <v>1.1955445544554455</v>
      </c>
      <c r="CW104" s="571">
        <f t="shared" si="29"/>
        <v>1.1955445544554457</v>
      </c>
      <c r="CX104" s="571">
        <f t="shared" si="29"/>
        <v>1.1955445544554455</v>
      </c>
      <c r="CY104" s="571">
        <f t="shared" si="29"/>
        <v>1.1955445544554455</v>
      </c>
      <c r="CZ104" s="571">
        <f t="shared" si="29"/>
        <v>1.1955445544554455</v>
      </c>
      <c r="DA104" s="571">
        <f t="shared" si="29"/>
        <v>1.1955445544554455</v>
      </c>
      <c r="DB104" s="571">
        <f t="shared" si="29"/>
        <v>1.1955445544554455</v>
      </c>
      <c r="DC104" s="571">
        <f t="shared" si="29"/>
        <v>1.1955445544554457</v>
      </c>
      <c r="DD104" s="571">
        <f t="shared" si="29"/>
        <v>1.1955445544554457</v>
      </c>
      <c r="DE104" s="571">
        <f t="shared" si="29"/>
        <v>1.1955445544554457</v>
      </c>
      <c r="DF104" s="571">
        <f t="shared" si="30"/>
        <v>1.1955445544554455</v>
      </c>
    </row>
    <row r="105" spans="1:110">
      <c r="A105" s="2773"/>
      <c r="B105" s="2751" t="s">
        <v>507</v>
      </c>
      <c r="C105" s="2752"/>
      <c r="D105" s="866"/>
      <c r="E105" s="866"/>
      <c r="F105" s="866"/>
      <c r="G105" s="866"/>
      <c r="H105" s="866"/>
      <c r="I105" s="866"/>
      <c r="J105" s="867"/>
      <c r="K105" s="867"/>
      <c r="L105" s="867">
        <f>((L$86-$H$4)/1000)*IF($C$13=0,$N$27,$N$44)*(($C$8/70)^$Y$44)*IF($C$13=1,$AG$44,IF($C$13=2,$AH$44,IF($C$13=3,$AI$44,1)))</f>
        <v>1262.4448199999997</v>
      </c>
      <c r="M105" s="867">
        <f t="shared" ref="M105:BF105" si="36">((M$86-$H$4)/1000)*IF($C$13=0,$N$27,$N$44)*(($C$8/70)^$Y$44)*IF($C$13=1,$AG$44,IF($C$13=2,$AH$44,IF($C$13=3,$AI$44,1)))</f>
        <v>1442.7940799999999</v>
      </c>
      <c r="N105" s="867">
        <f t="shared" si="36"/>
        <v>1623.1433399999999</v>
      </c>
      <c r="O105" s="867">
        <f t="shared" si="36"/>
        <v>1803.4925999999998</v>
      </c>
      <c r="P105" s="867">
        <f t="shared" si="36"/>
        <v>1983.84186</v>
      </c>
      <c r="Q105" s="867">
        <f t="shared" si="36"/>
        <v>2164.19112</v>
      </c>
      <c r="R105" s="867">
        <f t="shared" si="36"/>
        <v>2344.5403799999999</v>
      </c>
      <c r="S105" s="867">
        <f t="shared" si="36"/>
        <v>2524.8896399999994</v>
      </c>
      <c r="T105" s="867">
        <f t="shared" si="36"/>
        <v>2705.2388999999998</v>
      </c>
      <c r="U105" s="867">
        <f t="shared" si="36"/>
        <v>2885.5881599999998</v>
      </c>
      <c r="V105" s="867">
        <f t="shared" si="36"/>
        <v>3065.9374199999997</v>
      </c>
      <c r="W105" s="867">
        <f t="shared" si="36"/>
        <v>3246.2866799999997</v>
      </c>
      <c r="X105" s="867">
        <f t="shared" si="36"/>
        <v>3426.6359399999997</v>
      </c>
      <c r="Y105" s="867">
        <f t="shared" si="36"/>
        <v>3606.9851999999996</v>
      </c>
      <c r="Z105" s="867">
        <f t="shared" si="36"/>
        <v>3787.3344599999996</v>
      </c>
      <c r="AA105" s="867">
        <f t="shared" si="36"/>
        <v>3967.68372</v>
      </c>
      <c r="AB105" s="867">
        <f t="shared" si="36"/>
        <v>4148.03298</v>
      </c>
      <c r="AC105" s="867">
        <f t="shared" si="36"/>
        <v>4328.3822399999999</v>
      </c>
      <c r="AD105" s="867">
        <f t="shared" si="36"/>
        <v>4508.7314999999999</v>
      </c>
      <c r="AE105" s="867">
        <f t="shared" si="36"/>
        <v>4689.0807599999998</v>
      </c>
      <c r="AF105" s="867">
        <f t="shared" si="36"/>
        <v>4869.4300199999998</v>
      </c>
      <c r="AG105" s="867">
        <f t="shared" si="36"/>
        <v>5049.7792799999988</v>
      </c>
      <c r="AH105" s="867">
        <f t="shared" si="36"/>
        <v>5230.1285399999997</v>
      </c>
      <c r="AI105" s="867">
        <f t="shared" si="36"/>
        <v>5410.4777999999997</v>
      </c>
      <c r="AJ105" s="867">
        <f t="shared" si="36"/>
        <v>5590.8270599999996</v>
      </c>
      <c r="AK105" s="867">
        <f t="shared" si="36"/>
        <v>5771.1763199999996</v>
      </c>
      <c r="AL105" s="867">
        <f t="shared" si="36"/>
        <v>5951.5255799999995</v>
      </c>
      <c r="AM105" s="867">
        <f t="shared" si="36"/>
        <v>6131.8748399999995</v>
      </c>
      <c r="AN105" s="867">
        <f t="shared" si="36"/>
        <v>6312.2240999999995</v>
      </c>
      <c r="AO105" s="867">
        <f t="shared" si="36"/>
        <v>6492.5733599999994</v>
      </c>
      <c r="AP105" s="867">
        <f t="shared" si="36"/>
        <v>6672.9226200000003</v>
      </c>
      <c r="AQ105" s="867">
        <f t="shared" si="36"/>
        <v>6853.2718799999993</v>
      </c>
      <c r="AR105" s="867">
        <f t="shared" si="36"/>
        <v>7033.6211399999993</v>
      </c>
      <c r="AS105" s="867">
        <f t="shared" si="36"/>
        <v>7213.9703999999992</v>
      </c>
      <c r="AT105" s="867">
        <f t="shared" si="36"/>
        <v>7394.3196599999992</v>
      </c>
      <c r="AU105" s="867">
        <f t="shared" si="36"/>
        <v>7574.6689199999992</v>
      </c>
      <c r="AV105" s="867">
        <f t="shared" si="36"/>
        <v>7755.0181799999991</v>
      </c>
      <c r="AW105" s="867">
        <f t="shared" si="36"/>
        <v>7935.36744</v>
      </c>
      <c r="AX105" s="867">
        <f t="shared" si="36"/>
        <v>8115.7166999999999</v>
      </c>
      <c r="AY105" s="867">
        <f t="shared" si="36"/>
        <v>8296.0659599999999</v>
      </c>
      <c r="AZ105" s="867">
        <f t="shared" si="36"/>
        <v>8476.415219999999</v>
      </c>
      <c r="BA105" s="867">
        <f t="shared" si="36"/>
        <v>8656.7644799999998</v>
      </c>
      <c r="BB105" s="867">
        <f t="shared" si="36"/>
        <v>8837.1137399999989</v>
      </c>
      <c r="BC105" s="867">
        <f t="shared" si="36"/>
        <v>9017.4629999999997</v>
      </c>
      <c r="BD105" s="867">
        <f t="shared" si="36"/>
        <v>9197.8122599999988</v>
      </c>
      <c r="BE105" s="867">
        <f t="shared" si="36"/>
        <v>9378.1615199999997</v>
      </c>
      <c r="BF105" s="867">
        <f t="shared" si="36"/>
        <v>9558.5107799999987</v>
      </c>
      <c r="BG105" s="17"/>
      <c r="BH105" s="17"/>
      <c r="BJ105" s="571" t="e">
        <f t="shared" si="27"/>
        <v>#DIV/0!</v>
      </c>
      <c r="BK105" s="571" t="e">
        <f t="shared" si="27"/>
        <v>#DIV/0!</v>
      </c>
      <c r="BL105" s="571">
        <f t="shared" si="27"/>
        <v>1.1385927505330491</v>
      </c>
      <c r="BM105" s="571">
        <f t="shared" si="27"/>
        <v>1.1385927505330491</v>
      </c>
      <c r="BN105" s="571">
        <f t="shared" si="27"/>
        <v>1.1385927505330491</v>
      </c>
      <c r="BO105" s="571">
        <f t="shared" si="27"/>
        <v>1.1385927505330489</v>
      </c>
      <c r="BP105" s="571">
        <f t="shared" si="27"/>
        <v>1.1385927505330491</v>
      </c>
      <c r="BQ105" s="571">
        <f t="shared" si="27"/>
        <v>1.1385927505330489</v>
      </c>
      <c r="BR105" s="571">
        <f t="shared" si="27"/>
        <v>1.1385927505330489</v>
      </c>
      <c r="BS105" s="571">
        <f t="shared" si="27"/>
        <v>1.1385927505330491</v>
      </c>
      <c r="BT105" s="571">
        <f t="shared" si="27"/>
        <v>1.1385927505330491</v>
      </c>
      <c r="BU105" s="571">
        <f t="shared" si="27"/>
        <v>1.1385927505330491</v>
      </c>
      <c r="BV105" s="571">
        <f t="shared" si="27"/>
        <v>1.1385927505330489</v>
      </c>
      <c r="BW105" s="571">
        <f t="shared" si="27"/>
        <v>1.1385927505330491</v>
      </c>
      <c r="BX105" s="571">
        <f t="shared" si="27"/>
        <v>1.1385927505330489</v>
      </c>
      <c r="BY105" s="571">
        <f t="shared" si="27"/>
        <v>1.1385927505330489</v>
      </c>
      <c r="BZ105" s="571">
        <f t="shared" si="28"/>
        <v>1.1385927505330493</v>
      </c>
      <c r="CA105" s="571">
        <f t="shared" si="28"/>
        <v>1.1385927505330491</v>
      </c>
      <c r="CB105" s="571">
        <f t="shared" si="28"/>
        <v>1.1385927505330489</v>
      </c>
      <c r="CC105" s="571">
        <f t="shared" si="28"/>
        <v>1.1385927505330489</v>
      </c>
      <c r="CD105" s="571">
        <f t="shared" si="28"/>
        <v>1.1385927505330489</v>
      </c>
      <c r="CE105" s="571">
        <f t="shared" si="28"/>
        <v>1.1385927505330489</v>
      </c>
      <c r="CF105" s="571">
        <f t="shared" si="28"/>
        <v>1.1385927505330491</v>
      </c>
      <c r="CG105" s="571">
        <f t="shared" si="28"/>
        <v>1.1385927505330491</v>
      </c>
      <c r="CH105" s="571">
        <f t="shared" si="28"/>
        <v>1.1385927505330489</v>
      </c>
      <c r="CI105" s="571">
        <f t="shared" si="28"/>
        <v>1.1385927505330491</v>
      </c>
      <c r="CJ105" s="571">
        <f t="shared" si="28"/>
        <v>1.1385927505330491</v>
      </c>
      <c r="CK105" s="571">
        <f t="shared" si="28"/>
        <v>1.1385927505330491</v>
      </c>
      <c r="CL105" s="571">
        <f t="shared" si="28"/>
        <v>1.1385927505330489</v>
      </c>
      <c r="CM105" s="571">
        <f t="shared" si="28"/>
        <v>1.1385927505330489</v>
      </c>
      <c r="CN105" s="571">
        <f t="shared" si="28"/>
        <v>1.1385927505330491</v>
      </c>
      <c r="CO105" s="571">
        <f t="shared" si="28"/>
        <v>1.1385927505330491</v>
      </c>
      <c r="CP105" s="571">
        <f t="shared" si="29"/>
        <v>1.1385927505330491</v>
      </c>
      <c r="CQ105" s="571">
        <f t="shared" si="29"/>
        <v>1.1385927505330489</v>
      </c>
      <c r="CR105" s="571">
        <f t="shared" si="29"/>
        <v>1.1385927505330491</v>
      </c>
      <c r="CS105" s="571">
        <f t="shared" si="29"/>
        <v>1.1385927505330489</v>
      </c>
      <c r="CT105" s="571">
        <f t="shared" si="29"/>
        <v>1.1385927505330489</v>
      </c>
      <c r="CU105" s="571">
        <f t="shared" si="29"/>
        <v>1.1385927505330493</v>
      </c>
      <c r="CV105" s="571">
        <f t="shared" si="29"/>
        <v>1.1385927505330491</v>
      </c>
      <c r="CW105" s="571">
        <f t="shared" si="29"/>
        <v>1.1385927505330491</v>
      </c>
      <c r="CX105" s="571">
        <f t="shared" si="29"/>
        <v>1.1385927505330491</v>
      </c>
      <c r="CY105" s="571">
        <f t="shared" si="29"/>
        <v>1.1385927505330489</v>
      </c>
      <c r="CZ105" s="571">
        <f t="shared" si="29"/>
        <v>1.1385927505330491</v>
      </c>
      <c r="DA105" s="571">
        <f t="shared" si="29"/>
        <v>1.1385927505330489</v>
      </c>
      <c r="DB105" s="571">
        <f t="shared" si="29"/>
        <v>1.1385927505330491</v>
      </c>
      <c r="DC105" s="571">
        <f t="shared" si="29"/>
        <v>1.1385927505330489</v>
      </c>
      <c r="DD105" s="571">
        <f t="shared" si="29"/>
        <v>1.1385927505330491</v>
      </c>
      <c r="DE105" s="571">
        <f t="shared" si="29"/>
        <v>1.1385927505330489</v>
      </c>
      <c r="DF105" s="571">
        <f t="shared" si="30"/>
        <v>1.1385927505330491</v>
      </c>
    </row>
    <row r="106" spans="1:110">
      <c r="A106" s="2773"/>
      <c r="B106" s="2751" t="s">
        <v>508</v>
      </c>
      <c r="C106" s="2752"/>
      <c r="D106" s="866"/>
      <c r="E106" s="866"/>
      <c r="F106" s="866"/>
      <c r="G106" s="866"/>
      <c r="H106" s="866"/>
      <c r="I106" s="866"/>
      <c r="J106" s="867"/>
      <c r="K106" s="867"/>
      <c r="L106" s="867">
        <f>((L$86-$H$4)/1000)*IF($C$13=0,$Q$27,$Q$44)*(($C$8/70)^$AB$44)*IF($C$13=1,$AG$44,IF($C$13=2,$AH$44,IF($C$13=3,$AI$44,1)))</f>
        <v>1566.6159599999999</v>
      </c>
      <c r="M106" s="867">
        <f t="shared" ref="M106:BF106" si="37">((M$86-$H$4)/1000)*IF($C$13=0,$Q$27,$Q$44)*(($C$8/70)^$AB$44)*IF($C$13=1,$AG$44,IF($C$13=2,$AH$44,IF($C$13=3,$AI$44,1)))</f>
        <v>1790.41824</v>
      </c>
      <c r="N106" s="867">
        <f t="shared" si="37"/>
        <v>2014.2205199999996</v>
      </c>
      <c r="O106" s="867">
        <f t="shared" si="37"/>
        <v>2238.0227999999997</v>
      </c>
      <c r="P106" s="867">
        <f t="shared" si="37"/>
        <v>2461.8250799999996</v>
      </c>
      <c r="Q106" s="867">
        <f t="shared" si="37"/>
        <v>2685.6273599999995</v>
      </c>
      <c r="R106" s="867">
        <f t="shared" si="37"/>
        <v>2909.4296399999998</v>
      </c>
      <c r="S106" s="867">
        <f t="shared" si="37"/>
        <v>3133.2319199999997</v>
      </c>
      <c r="T106" s="867">
        <f t="shared" si="37"/>
        <v>3357.0341999999996</v>
      </c>
      <c r="U106" s="867">
        <f t="shared" si="37"/>
        <v>3580.8364799999999</v>
      </c>
      <c r="V106" s="867">
        <f t="shared" si="37"/>
        <v>3804.6387599999998</v>
      </c>
      <c r="W106" s="867">
        <f t="shared" si="37"/>
        <v>4028.4410399999992</v>
      </c>
      <c r="X106" s="867">
        <f t="shared" si="37"/>
        <v>4252.2433199999996</v>
      </c>
      <c r="Y106" s="867">
        <f t="shared" si="37"/>
        <v>4476.0455999999995</v>
      </c>
      <c r="Z106" s="867">
        <f t="shared" si="37"/>
        <v>4699.8478800000003</v>
      </c>
      <c r="AA106" s="867">
        <f t="shared" si="37"/>
        <v>4923.6501599999992</v>
      </c>
      <c r="AB106" s="867">
        <f t="shared" si="37"/>
        <v>5147.4524399999991</v>
      </c>
      <c r="AC106" s="867">
        <f t="shared" si="37"/>
        <v>5371.254719999999</v>
      </c>
      <c r="AD106" s="867">
        <f t="shared" si="37"/>
        <v>5595.0569999999989</v>
      </c>
      <c r="AE106" s="867">
        <f t="shared" si="37"/>
        <v>5818.8592799999997</v>
      </c>
      <c r="AF106" s="867">
        <f t="shared" si="37"/>
        <v>6042.6615599999996</v>
      </c>
      <c r="AG106" s="867">
        <f t="shared" si="37"/>
        <v>6266.4638399999994</v>
      </c>
      <c r="AH106" s="867">
        <f t="shared" si="37"/>
        <v>6490.2661199999993</v>
      </c>
      <c r="AI106" s="867">
        <f t="shared" si="37"/>
        <v>6714.0683999999992</v>
      </c>
      <c r="AJ106" s="867">
        <f t="shared" si="37"/>
        <v>6937.87068</v>
      </c>
      <c r="AK106" s="867">
        <f t="shared" si="37"/>
        <v>7161.6729599999999</v>
      </c>
      <c r="AL106" s="867">
        <f t="shared" si="37"/>
        <v>7385.4752399999979</v>
      </c>
      <c r="AM106" s="867">
        <f t="shared" si="37"/>
        <v>7609.2775199999996</v>
      </c>
      <c r="AN106" s="867">
        <f t="shared" si="37"/>
        <v>7833.0797999999986</v>
      </c>
      <c r="AO106" s="867">
        <f t="shared" si="37"/>
        <v>8056.8820799999985</v>
      </c>
      <c r="AP106" s="867">
        <f t="shared" si="37"/>
        <v>8280.6843599999993</v>
      </c>
      <c r="AQ106" s="867">
        <f t="shared" si="37"/>
        <v>8504.4866399999992</v>
      </c>
      <c r="AR106" s="867">
        <f t="shared" si="37"/>
        <v>8728.2889199999991</v>
      </c>
      <c r="AS106" s="867">
        <f t="shared" si="37"/>
        <v>8952.0911999999989</v>
      </c>
      <c r="AT106" s="867">
        <f t="shared" si="37"/>
        <v>9175.893479999997</v>
      </c>
      <c r="AU106" s="867">
        <f t="shared" si="37"/>
        <v>9399.6957600000005</v>
      </c>
      <c r="AV106" s="867">
        <f t="shared" si="37"/>
        <v>9623.4980399999986</v>
      </c>
      <c r="AW106" s="867">
        <f t="shared" si="37"/>
        <v>9847.3003199999985</v>
      </c>
      <c r="AX106" s="867">
        <f t="shared" si="37"/>
        <v>10071.102599999998</v>
      </c>
      <c r="AY106" s="867">
        <f t="shared" si="37"/>
        <v>10294.904879999998</v>
      </c>
      <c r="AZ106" s="867">
        <f t="shared" si="37"/>
        <v>10518.70716</v>
      </c>
      <c r="BA106" s="867">
        <f t="shared" si="37"/>
        <v>10742.509439999998</v>
      </c>
      <c r="BB106" s="867">
        <f t="shared" si="37"/>
        <v>10966.31172</v>
      </c>
      <c r="BC106" s="867">
        <f t="shared" si="37"/>
        <v>11190.113999999998</v>
      </c>
      <c r="BD106" s="867">
        <f t="shared" si="37"/>
        <v>11413.916279999999</v>
      </c>
      <c r="BE106" s="867">
        <f t="shared" si="37"/>
        <v>11637.718559999999</v>
      </c>
      <c r="BF106" s="867">
        <f t="shared" si="37"/>
        <v>11861.520839999999</v>
      </c>
      <c r="BG106" s="17"/>
      <c r="BH106" s="17"/>
      <c r="BJ106" s="571" t="e">
        <f t="shared" si="27"/>
        <v>#DIV/0!</v>
      </c>
      <c r="BK106" s="571" t="e">
        <f t="shared" si="27"/>
        <v>#DIV/0!</v>
      </c>
      <c r="BL106" s="571">
        <f t="shared" si="27"/>
        <v>1.2289846528969071</v>
      </c>
      <c r="BM106" s="571">
        <f t="shared" si="27"/>
        <v>1.2289846528969075</v>
      </c>
      <c r="BN106" s="571">
        <f t="shared" si="27"/>
        <v>1.2289846528969075</v>
      </c>
      <c r="BO106" s="571">
        <f t="shared" si="27"/>
        <v>1.2289846528969073</v>
      </c>
      <c r="BP106" s="571">
        <f t="shared" si="27"/>
        <v>1.2289846528969077</v>
      </c>
      <c r="BQ106" s="571">
        <f t="shared" si="27"/>
        <v>1.2289846528969073</v>
      </c>
      <c r="BR106" s="571">
        <f t="shared" si="27"/>
        <v>1.2289846528969073</v>
      </c>
      <c r="BS106" s="571">
        <f t="shared" si="27"/>
        <v>1.2289846528969071</v>
      </c>
      <c r="BT106" s="571">
        <f t="shared" si="27"/>
        <v>1.2289846528969073</v>
      </c>
      <c r="BU106" s="571">
        <f t="shared" si="27"/>
        <v>1.2289846528969075</v>
      </c>
      <c r="BV106" s="571">
        <f t="shared" si="27"/>
        <v>1.2289846528969073</v>
      </c>
      <c r="BW106" s="571">
        <f t="shared" si="27"/>
        <v>1.2289846528969075</v>
      </c>
      <c r="BX106" s="571">
        <f t="shared" si="27"/>
        <v>1.2289846528969073</v>
      </c>
      <c r="BY106" s="571">
        <f t="shared" si="27"/>
        <v>1.2289846528969073</v>
      </c>
      <c r="BZ106" s="571">
        <f t="shared" si="28"/>
        <v>1.2289846528969071</v>
      </c>
      <c r="CA106" s="571">
        <f t="shared" si="28"/>
        <v>1.2289846528969077</v>
      </c>
      <c r="CB106" s="571">
        <f t="shared" si="28"/>
        <v>1.2289846528969073</v>
      </c>
      <c r="CC106" s="571">
        <f t="shared" si="28"/>
        <v>1.2289846528969073</v>
      </c>
      <c r="CD106" s="571">
        <f t="shared" si="28"/>
        <v>1.2289846528969073</v>
      </c>
      <c r="CE106" s="571">
        <f t="shared" si="28"/>
        <v>1.2289846528969073</v>
      </c>
      <c r="CF106" s="571">
        <f t="shared" si="28"/>
        <v>1.2289846528969073</v>
      </c>
      <c r="CG106" s="571">
        <f t="shared" si="28"/>
        <v>1.2289846528969071</v>
      </c>
      <c r="CH106" s="571">
        <f t="shared" si="28"/>
        <v>1.2289846528969073</v>
      </c>
      <c r="CI106" s="571">
        <f t="shared" si="28"/>
        <v>1.2289846528969073</v>
      </c>
      <c r="CJ106" s="571">
        <f t="shared" si="28"/>
        <v>1.2289846528969073</v>
      </c>
      <c r="CK106" s="571">
        <f t="shared" si="28"/>
        <v>1.2289846528969075</v>
      </c>
      <c r="CL106" s="571">
        <f t="shared" si="28"/>
        <v>1.2289846528969073</v>
      </c>
      <c r="CM106" s="571">
        <f t="shared" si="28"/>
        <v>1.2289846528969073</v>
      </c>
      <c r="CN106" s="571">
        <f t="shared" si="28"/>
        <v>1.2289846528969075</v>
      </c>
      <c r="CO106" s="571">
        <f t="shared" si="28"/>
        <v>1.2289846528969075</v>
      </c>
      <c r="CP106" s="571">
        <f t="shared" si="29"/>
        <v>1.2289846528969073</v>
      </c>
      <c r="CQ106" s="571">
        <f t="shared" si="29"/>
        <v>1.2289846528969073</v>
      </c>
      <c r="CR106" s="571">
        <f t="shared" si="29"/>
        <v>1.2289846528969073</v>
      </c>
      <c r="CS106" s="571">
        <f t="shared" si="29"/>
        <v>1.2289846528969073</v>
      </c>
      <c r="CT106" s="571">
        <f t="shared" si="29"/>
        <v>1.2289846528969075</v>
      </c>
      <c r="CU106" s="571">
        <f t="shared" si="29"/>
        <v>1.2289846528969071</v>
      </c>
      <c r="CV106" s="571">
        <f t="shared" si="29"/>
        <v>1.2289846528969073</v>
      </c>
      <c r="CW106" s="571">
        <f t="shared" si="29"/>
        <v>1.2289846528969077</v>
      </c>
      <c r="CX106" s="571">
        <f t="shared" si="29"/>
        <v>1.2289846528969073</v>
      </c>
      <c r="CY106" s="571">
        <f t="shared" si="29"/>
        <v>1.2289846528969073</v>
      </c>
      <c r="CZ106" s="571">
        <f t="shared" si="29"/>
        <v>1.2289846528969073</v>
      </c>
      <c r="DA106" s="571">
        <f t="shared" si="29"/>
        <v>1.2289846528969073</v>
      </c>
      <c r="DB106" s="571">
        <f t="shared" si="29"/>
        <v>1.2289846528969073</v>
      </c>
      <c r="DC106" s="571">
        <f t="shared" si="29"/>
        <v>1.2289846528969073</v>
      </c>
      <c r="DD106" s="571">
        <f t="shared" si="29"/>
        <v>1.2289846528969073</v>
      </c>
      <c r="DE106" s="571">
        <f t="shared" si="29"/>
        <v>1.2289846528969073</v>
      </c>
      <c r="DF106" s="571">
        <f t="shared" si="30"/>
        <v>1.2289846528969073</v>
      </c>
    </row>
    <row r="107" spans="1:110" ht="15.75" thickBot="1">
      <c r="A107" s="2773"/>
      <c r="B107" s="2755" t="s">
        <v>509</v>
      </c>
      <c r="C107" s="2756"/>
      <c r="D107" s="868"/>
      <c r="E107" s="868"/>
      <c r="F107" s="868"/>
      <c r="G107" s="868"/>
      <c r="H107" s="868"/>
      <c r="I107" s="868"/>
      <c r="J107" s="869"/>
      <c r="K107" s="869"/>
      <c r="L107" s="869">
        <f>((L$86-$H$4)/1000)*IF($C$13=0,$R$27,$R$44)*(($C$8/70)^$AC$44)*IF($C$13=1,$AG$44,IF($C$13=2,$AH$44,IF($C$13=3,$AI$44,1)))</f>
        <v>1733.5063199999997</v>
      </c>
      <c r="M107" s="869">
        <f t="shared" ref="M107:BF107" si="38">((M$86-$H$4)/1000)*IF($C$13=0,$R$27,$R$44)*(($C$8/70)^$AC$44)*IF($C$13=1,$AG$44,IF($C$13=2,$AH$44,IF($C$13=3,$AI$44,1)))</f>
        <v>1981.1500799999999</v>
      </c>
      <c r="N107" s="869">
        <f t="shared" si="38"/>
        <v>2228.7938399999998</v>
      </c>
      <c r="O107" s="869">
        <f t="shared" si="38"/>
        <v>2476.4375999999997</v>
      </c>
      <c r="P107" s="869">
        <f t="shared" si="38"/>
        <v>2724.0813600000001</v>
      </c>
      <c r="Q107" s="869">
        <f t="shared" si="38"/>
        <v>2971.7251199999996</v>
      </c>
      <c r="R107" s="869">
        <f t="shared" si="38"/>
        <v>3219.3688799999995</v>
      </c>
      <c r="S107" s="869">
        <f t="shared" si="38"/>
        <v>3467.0126399999995</v>
      </c>
      <c r="T107" s="869">
        <f t="shared" si="38"/>
        <v>3714.6563999999998</v>
      </c>
      <c r="U107" s="869">
        <f t="shared" si="38"/>
        <v>3962.3001599999998</v>
      </c>
      <c r="V107" s="869">
        <f t="shared" si="38"/>
        <v>4209.9439199999997</v>
      </c>
      <c r="W107" s="869">
        <f t="shared" si="38"/>
        <v>4457.5876799999996</v>
      </c>
      <c r="X107" s="869">
        <f t="shared" si="38"/>
        <v>4705.2314399999996</v>
      </c>
      <c r="Y107" s="869">
        <f t="shared" si="38"/>
        <v>4952.8751999999995</v>
      </c>
      <c r="Z107" s="869">
        <f t="shared" si="38"/>
        <v>5200.5189600000003</v>
      </c>
      <c r="AA107" s="869">
        <f t="shared" si="38"/>
        <v>5448.1627200000003</v>
      </c>
      <c r="AB107" s="869">
        <f t="shared" si="38"/>
        <v>5695.8064799999984</v>
      </c>
      <c r="AC107" s="869">
        <f t="shared" si="38"/>
        <v>5943.4502399999992</v>
      </c>
      <c r="AD107" s="869">
        <f t="shared" si="38"/>
        <v>6191.0939999999991</v>
      </c>
      <c r="AE107" s="869">
        <f t="shared" si="38"/>
        <v>6438.7377599999991</v>
      </c>
      <c r="AF107" s="869">
        <f t="shared" si="38"/>
        <v>6686.3815199999999</v>
      </c>
      <c r="AG107" s="869">
        <f t="shared" si="38"/>
        <v>6934.0252799999989</v>
      </c>
      <c r="AH107" s="869">
        <f t="shared" si="38"/>
        <v>7181.6690399999989</v>
      </c>
      <c r="AI107" s="869">
        <f t="shared" si="38"/>
        <v>7429.3127999999997</v>
      </c>
      <c r="AJ107" s="869">
        <f t="shared" si="38"/>
        <v>7676.9565599999996</v>
      </c>
      <c r="AK107" s="869">
        <f t="shared" si="38"/>
        <v>7924.6003199999996</v>
      </c>
      <c r="AL107" s="869">
        <f t="shared" si="38"/>
        <v>8172.2440799999995</v>
      </c>
      <c r="AM107" s="869">
        <f t="shared" si="38"/>
        <v>8419.8878399999994</v>
      </c>
      <c r="AN107" s="869">
        <f t="shared" si="38"/>
        <v>8667.5315999999984</v>
      </c>
      <c r="AO107" s="869">
        <f t="shared" si="38"/>
        <v>8915.1753599999993</v>
      </c>
      <c r="AP107" s="869">
        <f t="shared" si="38"/>
        <v>9162.8191200000001</v>
      </c>
      <c r="AQ107" s="869">
        <f t="shared" si="38"/>
        <v>9410.4628799999991</v>
      </c>
      <c r="AR107" s="869">
        <f t="shared" si="38"/>
        <v>9658.10664</v>
      </c>
      <c r="AS107" s="869">
        <f t="shared" si="38"/>
        <v>9905.750399999999</v>
      </c>
      <c r="AT107" s="869">
        <f t="shared" si="38"/>
        <v>10153.394159999998</v>
      </c>
      <c r="AU107" s="869">
        <f t="shared" si="38"/>
        <v>10401.037920000001</v>
      </c>
      <c r="AV107" s="869">
        <f t="shared" si="38"/>
        <v>10648.681679999998</v>
      </c>
      <c r="AW107" s="869">
        <f t="shared" si="38"/>
        <v>10896.325440000001</v>
      </c>
      <c r="AX107" s="869">
        <f t="shared" si="38"/>
        <v>11143.9692</v>
      </c>
      <c r="AY107" s="869">
        <f t="shared" si="38"/>
        <v>11391.612959999997</v>
      </c>
      <c r="AZ107" s="869">
        <f t="shared" si="38"/>
        <v>11639.256719999999</v>
      </c>
      <c r="BA107" s="869">
        <f t="shared" si="38"/>
        <v>11886.900479999998</v>
      </c>
      <c r="BB107" s="869">
        <f t="shared" si="38"/>
        <v>12134.544239999999</v>
      </c>
      <c r="BC107" s="869">
        <f t="shared" si="38"/>
        <v>12382.187999999998</v>
      </c>
      <c r="BD107" s="869">
        <f t="shared" si="38"/>
        <v>12629.831759999999</v>
      </c>
      <c r="BE107" s="869">
        <f t="shared" si="38"/>
        <v>12877.475519999998</v>
      </c>
      <c r="BF107" s="869">
        <f t="shared" si="38"/>
        <v>13125.119279999999</v>
      </c>
      <c r="BG107" s="17"/>
      <c r="BH107" s="17"/>
      <c r="BJ107" s="571">
        <f>0</f>
        <v>0</v>
      </c>
      <c r="BK107" s="571">
        <f>0</f>
        <v>0</v>
      </c>
      <c r="BL107" s="571">
        <f>0</f>
        <v>0</v>
      </c>
      <c r="BM107" s="571">
        <f>0</f>
        <v>0</v>
      </c>
      <c r="BN107" s="571">
        <f>0</f>
        <v>0</v>
      </c>
      <c r="BO107" s="571">
        <f>0</f>
        <v>0</v>
      </c>
      <c r="BP107" s="571">
        <f>0</f>
        <v>0</v>
      </c>
      <c r="BQ107" s="571">
        <f>0</f>
        <v>0</v>
      </c>
      <c r="BR107" s="571">
        <f>0</f>
        <v>0</v>
      </c>
      <c r="BS107" s="571">
        <f>0</f>
        <v>0</v>
      </c>
      <c r="BT107" s="571">
        <f>0</f>
        <v>0</v>
      </c>
      <c r="BU107" s="571">
        <f>0</f>
        <v>0</v>
      </c>
      <c r="BV107" s="571">
        <f>0</f>
        <v>0</v>
      </c>
      <c r="BW107" s="571">
        <f>0</f>
        <v>0</v>
      </c>
      <c r="BX107" s="571">
        <f>0</f>
        <v>0</v>
      </c>
      <c r="BY107" s="571">
        <f>0</f>
        <v>0</v>
      </c>
      <c r="BZ107" s="571">
        <f>0</f>
        <v>0</v>
      </c>
      <c r="CA107" s="571">
        <f>0</f>
        <v>0</v>
      </c>
      <c r="CB107" s="571">
        <f>0</f>
        <v>0</v>
      </c>
      <c r="CC107" s="571">
        <f>0</f>
        <v>0</v>
      </c>
      <c r="CD107" s="571">
        <f>0</f>
        <v>0</v>
      </c>
      <c r="CE107" s="571">
        <f>0</f>
        <v>0</v>
      </c>
      <c r="CF107" s="571">
        <f>0</f>
        <v>0</v>
      </c>
      <c r="CG107" s="571">
        <f>0</f>
        <v>0</v>
      </c>
      <c r="CH107" s="571">
        <f>0</f>
        <v>0</v>
      </c>
      <c r="CI107" s="571">
        <f>0</f>
        <v>0</v>
      </c>
      <c r="CJ107" s="571">
        <f>0</f>
        <v>0</v>
      </c>
      <c r="CK107" s="571">
        <f>0</f>
        <v>0</v>
      </c>
      <c r="CL107" s="571">
        <f>0</f>
        <v>0</v>
      </c>
      <c r="CM107" s="571">
        <f>0</f>
        <v>0</v>
      </c>
      <c r="CN107" s="571">
        <f>0</f>
        <v>0</v>
      </c>
      <c r="CO107" s="571">
        <f>0</f>
        <v>0</v>
      </c>
      <c r="CP107" s="571">
        <f>0</f>
        <v>0</v>
      </c>
      <c r="CQ107" s="571">
        <f>0</f>
        <v>0</v>
      </c>
      <c r="CR107" s="571">
        <f>0</f>
        <v>0</v>
      </c>
      <c r="CS107" s="571">
        <f>0</f>
        <v>0</v>
      </c>
      <c r="CT107" s="571">
        <f>0</f>
        <v>0</v>
      </c>
      <c r="CU107" s="571">
        <f>0</f>
        <v>0</v>
      </c>
      <c r="CV107" s="571">
        <f>0</f>
        <v>0</v>
      </c>
      <c r="CW107" s="571">
        <f>0</f>
        <v>0</v>
      </c>
      <c r="CX107" s="571">
        <f>0</f>
        <v>0</v>
      </c>
      <c r="CY107" s="571">
        <f>0</f>
        <v>0</v>
      </c>
      <c r="CZ107" s="571">
        <f>0</f>
        <v>0</v>
      </c>
      <c r="DA107" s="571">
        <f>0</f>
        <v>0</v>
      </c>
      <c r="DB107" s="571">
        <f>0</f>
        <v>0</v>
      </c>
      <c r="DC107" s="571">
        <f>0</f>
        <v>0</v>
      </c>
      <c r="DD107" s="571">
        <f>0</f>
        <v>0</v>
      </c>
      <c r="DE107" s="571">
        <f>0</f>
        <v>0</v>
      </c>
      <c r="DF107" s="571">
        <f>0</f>
        <v>0</v>
      </c>
    </row>
    <row r="108" spans="1:110">
      <c r="A108" s="2773"/>
      <c r="B108" s="2757" t="s">
        <v>510</v>
      </c>
      <c r="C108" s="2758"/>
      <c r="D108" s="1175"/>
      <c r="E108" s="1175"/>
      <c r="F108" s="1175"/>
      <c r="G108" s="1175"/>
      <c r="H108" s="1175"/>
      <c r="I108" s="1175"/>
      <c r="J108" s="1176"/>
      <c r="K108" s="1176"/>
      <c r="L108" s="1176">
        <f>((L$86-$H$4)/1000)*IF($C$13=0,$L28,$L45)*(($C$8/70)^$W$45)*IF($C$13=1,$AG$51,IF($C$13=2,$AH$51,IF($C$13=3,$AI$51,1)))</f>
        <v>856.25739871307985</v>
      </c>
      <c r="M108" s="1176">
        <f t="shared" ref="M108:AQ108" si="39">((M$86-$H$4)/1000)*IF($C$13=0,$L28,$L45)*(($C$8/70)^$W$45)*IF($C$13=1,$AG$51,IF($C$13=2,$AH$51,IF($C$13=3,$AI$51,1)))</f>
        <v>978.57988424352004</v>
      </c>
      <c r="N108" s="1176">
        <f t="shared" si="39"/>
        <v>1100.9023697739599</v>
      </c>
      <c r="O108" s="1176">
        <f t="shared" si="39"/>
        <v>1223.2248553043999</v>
      </c>
      <c r="P108" s="1176">
        <f t="shared" si="39"/>
        <v>1345.5473408348398</v>
      </c>
      <c r="Q108" s="1176">
        <f t="shared" si="39"/>
        <v>1467.86982636528</v>
      </c>
      <c r="R108" s="1176">
        <f t="shared" si="39"/>
        <v>1590.19231189572</v>
      </c>
      <c r="S108" s="1176">
        <f t="shared" si="39"/>
        <v>1712.5147974261597</v>
      </c>
      <c r="T108" s="1176">
        <f t="shared" si="39"/>
        <v>1834.8372829565999</v>
      </c>
      <c r="U108" s="1176">
        <f t="shared" si="39"/>
        <v>1957.1597684870401</v>
      </c>
      <c r="V108" s="1176">
        <f t="shared" si="39"/>
        <v>2079.4822540174796</v>
      </c>
      <c r="W108" s="1176">
        <f t="shared" si="39"/>
        <v>2201.8047395479198</v>
      </c>
      <c r="X108" s="1176">
        <f t="shared" si="39"/>
        <v>2324.1272250783595</v>
      </c>
      <c r="Y108" s="1176">
        <f t="shared" si="39"/>
        <v>2446.4497106087997</v>
      </c>
      <c r="Z108" s="1176">
        <f t="shared" si="39"/>
        <v>2568.7721961392399</v>
      </c>
      <c r="AA108" s="1176">
        <f t="shared" si="39"/>
        <v>2691.0946816696796</v>
      </c>
      <c r="AB108" s="1176">
        <f t="shared" si="39"/>
        <v>2813.4171672001198</v>
      </c>
      <c r="AC108" s="1176">
        <f t="shared" si="39"/>
        <v>2935.73965273056</v>
      </c>
      <c r="AD108" s="1176">
        <f t="shared" si="39"/>
        <v>3058.0621382609997</v>
      </c>
      <c r="AE108" s="1176">
        <f t="shared" si="39"/>
        <v>3180.3846237914399</v>
      </c>
      <c r="AF108" s="1176">
        <f t="shared" si="39"/>
        <v>3302.7071093218801</v>
      </c>
      <c r="AG108" s="1176">
        <f t="shared" si="39"/>
        <v>3425.0295948523194</v>
      </c>
      <c r="AH108" s="1176">
        <f t="shared" si="39"/>
        <v>3547.3520803827596</v>
      </c>
      <c r="AI108" s="1176">
        <f t="shared" si="39"/>
        <v>3669.6745659131998</v>
      </c>
      <c r="AJ108" s="1176">
        <f t="shared" si="39"/>
        <v>3791.99705144364</v>
      </c>
      <c r="AK108" s="1176">
        <f t="shared" si="39"/>
        <v>3914.3195369740802</v>
      </c>
      <c r="AL108" s="1176">
        <f t="shared" si="39"/>
        <v>4036.6420225045194</v>
      </c>
      <c r="AM108" s="1176">
        <f t="shared" si="39"/>
        <v>4158.9645080349592</v>
      </c>
      <c r="AN108" s="1176">
        <f t="shared" si="39"/>
        <v>4281.2869935653989</v>
      </c>
      <c r="AO108" s="1176">
        <f t="shared" si="39"/>
        <v>4403.6094790958396</v>
      </c>
      <c r="AP108" s="1176">
        <f t="shared" si="39"/>
        <v>4525.9319646262802</v>
      </c>
      <c r="AQ108" s="1176">
        <f t="shared" si="39"/>
        <v>4648.254450156719</v>
      </c>
      <c r="AR108" s="1176">
        <f t="shared" ref="AR108:BW108" si="40">((AR$86-$H$4)/1000)*IF($C$13=0,$L28,$L45)*(($C$8/70)^$W$45)*IF($C$13=1,$AG$51,IF($C$13=2,$AH$51,IF($C$13=3,$AI$51,1)))</f>
        <v>4770.5769356871597</v>
      </c>
      <c r="AS108" s="1176">
        <f t="shared" si="40"/>
        <v>4892.8994212175994</v>
      </c>
      <c r="AT108" s="1176">
        <f t="shared" si="40"/>
        <v>5015.2219067480391</v>
      </c>
      <c r="AU108" s="1176">
        <f t="shared" si="40"/>
        <v>5137.5443922784798</v>
      </c>
      <c r="AV108" s="1176">
        <f t="shared" si="40"/>
        <v>5259.8668778089195</v>
      </c>
      <c r="AW108" s="1176">
        <f t="shared" si="40"/>
        <v>5382.1893633393593</v>
      </c>
      <c r="AX108" s="1176">
        <f t="shared" si="40"/>
        <v>5504.5118488697999</v>
      </c>
      <c r="AY108" s="1176">
        <f t="shared" si="40"/>
        <v>5626.8343344002396</v>
      </c>
      <c r="AZ108" s="1176">
        <f t="shared" si="40"/>
        <v>5749.1568199306794</v>
      </c>
      <c r="BA108" s="1176">
        <f t="shared" si="40"/>
        <v>5871.47930546112</v>
      </c>
      <c r="BB108" s="1176">
        <f t="shared" si="40"/>
        <v>5993.8017909915598</v>
      </c>
      <c r="BC108" s="1176">
        <f t="shared" si="40"/>
        <v>6116.1242765219995</v>
      </c>
      <c r="BD108" s="1176">
        <f t="shared" si="40"/>
        <v>6238.4467620524392</v>
      </c>
      <c r="BE108" s="1176">
        <f t="shared" si="40"/>
        <v>6360.7692475828799</v>
      </c>
      <c r="BF108" s="1176">
        <f t="shared" si="40"/>
        <v>6483.0917331133187</v>
      </c>
      <c r="BG108" s="870">
        <f t="shared" si="40"/>
        <v>-856.25739871307985</v>
      </c>
      <c r="BH108" s="870">
        <f t="shared" si="40"/>
        <v>-856.25739871307985</v>
      </c>
      <c r="BI108" s="870">
        <f t="shared" si="40"/>
        <v>-856.25739871307985</v>
      </c>
      <c r="BJ108" s="870">
        <f t="shared" si="40"/>
        <v>366.96745659132</v>
      </c>
      <c r="BK108" s="870">
        <f t="shared" si="40"/>
        <v>489.28994212176002</v>
      </c>
      <c r="BL108" s="870">
        <f t="shared" si="40"/>
        <v>611.61242765219993</v>
      </c>
      <c r="BM108" s="870">
        <f t="shared" si="40"/>
        <v>733.93491318264</v>
      </c>
      <c r="BN108" s="870">
        <f t="shared" si="40"/>
        <v>856.25739871307985</v>
      </c>
      <c r="BO108" s="870">
        <f t="shared" si="40"/>
        <v>978.57988424352004</v>
      </c>
      <c r="BP108" s="870">
        <f t="shared" si="40"/>
        <v>1100.9023697739599</v>
      </c>
      <c r="BQ108" s="870">
        <f t="shared" si="40"/>
        <v>1223.2248553043999</v>
      </c>
      <c r="BR108" s="870">
        <f t="shared" si="40"/>
        <v>1345.5473408348398</v>
      </c>
      <c r="BS108" s="870">
        <f t="shared" si="40"/>
        <v>1467.86982636528</v>
      </c>
      <c r="BT108" s="870">
        <f t="shared" si="40"/>
        <v>1590.19231189572</v>
      </c>
      <c r="BU108" s="870">
        <f t="shared" si="40"/>
        <v>1712.5147974261597</v>
      </c>
      <c r="BV108" s="870">
        <f t="shared" si="40"/>
        <v>1834.8372829565999</v>
      </c>
      <c r="BW108" s="870">
        <f t="shared" si="40"/>
        <v>1957.1597684870401</v>
      </c>
      <c r="BX108" s="870">
        <f t="shared" ref="BX108:DF108" si="41">((BX$86-$H$4)/1000)*IF($C$13=0,$L28,$L45)*(($C$8/70)^$W$45)*IF($C$13=1,$AG$51,IF($C$13=2,$AH$51,IF($C$13=3,$AI$51,1)))</f>
        <v>2079.4822540174796</v>
      </c>
      <c r="BY108" s="870">
        <f t="shared" si="41"/>
        <v>2201.8047395479198</v>
      </c>
      <c r="BZ108" s="870">
        <f t="shared" si="41"/>
        <v>2324.1272250783595</v>
      </c>
      <c r="CA108" s="870">
        <f t="shared" si="41"/>
        <v>2446.4497106087997</v>
      </c>
      <c r="CB108" s="870">
        <f t="shared" si="41"/>
        <v>2568.7721961392399</v>
      </c>
      <c r="CC108" s="870">
        <f t="shared" si="41"/>
        <v>2691.0946816696796</v>
      </c>
      <c r="CD108" s="870">
        <f t="shared" si="41"/>
        <v>2813.4171672001198</v>
      </c>
      <c r="CE108" s="870">
        <f t="shared" si="41"/>
        <v>2935.73965273056</v>
      </c>
      <c r="CF108" s="870">
        <f t="shared" si="41"/>
        <v>3058.0621382609997</v>
      </c>
      <c r="CG108" s="870">
        <f t="shared" si="41"/>
        <v>3180.3846237914399</v>
      </c>
      <c r="CH108" s="870">
        <f t="shared" si="41"/>
        <v>3302.7071093218801</v>
      </c>
      <c r="CI108" s="870">
        <f t="shared" si="41"/>
        <v>3425.0295948523194</v>
      </c>
      <c r="CJ108" s="870">
        <f t="shared" si="41"/>
        <v>3547.3520803827596</v>
      </c>
      <c r="CK108" s="870">
        <f t="shared" si="41"/>
        <v>3669.6745659131998</v>
      </c>
      <c r="CL108" s="870">
        <f t="shared" si="41"/>
        <v>3791.99705144364</v>
      </c>
      <c r="CM108" s="870">
        <f t="shared" si="41"/>
        <v>3914.3195369740802</v>
      </c>
      <c r="CN108" s="870">
        <f t="shared" si="41"/>
        <v>4036.6420225045194</v>
      </c>
      <c r="CO108" s="870">
        <f t="shared" si="41"/>
        <v>4158.9645080349592</v>
      </c>
      <c r="CP108" s="870">
        <f t="shared" si="41"/>
        <v>4281.2869935653989</v>
      </c>
      <c r="CQ108" s="870">
        <f t="shared" si="41"/>
        <v>4403.6094790958396</v>
      </c>
      <c r="CR108" s="870">
        <f t="shared" si="41"/>
        <v>4525.9319646262802</v>
      </c>
      <c r="CS108" s="870">
        <f t="shared" si="41"/>
        <v>4648.254450156719</v>
      </c>
      <c r="CT108" s="870">
        <f t="shared" si="41"/>
        <v>4770.5769356871597</v>
      </c>
      <c r="CU108" s="870">
        <f t="shared" si="41"/>
        <v>4892.8994212175994</v>
      </c>
      <c r="CV108" s="870">
        <f t="shared" si="41"/>
        <v>5015.2219067480391</v>
      </c>
      <c r="CW108" s="870">
        <f t="shared" si="41"/>
        <v>5137.5443922784798</v>
      </c>
      <c r="CX108" s="870">
        <f t="shared" si="41"/>
        <v>5259.8668778089195</v>
      </c>
      <c r="CY108" s="870">
        <f t="shared" si="41"/>
        <v>5382.1893633393593</v>
      </c>
      <c r="CZ108" s="870">
        <f t="shared" si="41"/>
        <v>5504.5118488697999</v>
      </c>
      <c r="DA108" s="870">
        <f t="shared" si="41"/>
        <v>5626.8343344002396</v>
      </c>
      <c r="DB108" s="870">
        <f t="shared" si="41"/>
        <v>5749.1568199306794</v>
      </c>
      <c r="DC108" s="870">
        <f t="shared" si="41"/>
        <v>5871.47930546112</v>
      </c>
      <c r="DD108" s="870">
        <f t="shared" si="41"/>
        <v>5993.8017909915598</v>
      </c>
      <c r="DE108" s="870">
        <f t="shared" si="41"/>
        <v>6116.1242765219995</v>
      </c>
      <c r="DF108" s="870">
        <f t="shared" si="41"/>
        <v>6238.4467620524392</v>
      </c>
    </row>
    <row r="109" spans="1:110">
      <c r="A109" s="2773"/>
      <c r="B109" s="2753" t="s">
        <v>511</v>
      </c>
      <c r="C109" s="2754"/>
      <c r="D109" s="871"/>
      <c r="E109" s="871"/>
      <c r="F109" s="871"/>
      <c r="G109" s="871"/>
      <c r="H109" s="871"/>
      <c r="I109" s="871"/>
      <c r="J109" s="872"/>
      <c r="K109" s="872"/>
      <c r="L109" s="872">
        <f>((L$86-$H$4)/1000)*IF($C$13=0,$M$28,$M$45)*(($C$8/70)^$X$45)*IF($C$13=1,$AG$45,IF($C$13=2,$AH$45,IF($C$13=3,$AI$45,1)))</f>
        <v>1300.1297400000001</v>
      </c>
      <c r="M109" s="872">
        <f t="shared" ref="M109:BF109" si="42">((M$86-$H$4)/1000)*IF($C$13=0,$M$28,$M$45)*(($C$8/70)^$X$45)*IF($C$13=1,$AG$45,IF($C$13=2,$AH$45,IF($C$13=3,$AI$45,1)))</f>
        <v>1485.8625599999998</v>
      </c>
      <c r="N109" s="872">
        <f t="shared" si="42"/>
        <v>1671.59538</v>
      </c>
      <c r="O109" s="872">
        <f t="shared" si="42"/>
        <v>1857.3281999999999</v>
      </c>
      <c r="P109" s="872">
        <f t="shared" si="42"/>
        <v>2043.0610200000001</v>
      </c>
      <c r="Q109" s="872">
        <f t="shared" si="42"/>
        <v>2228.7938399999998</v>
      </c>
      <c r="R109" s="872">
        <f t="shared" si="42"/>
        <v>2414.52666</v>
      </c>
      <c r="S109" s="872">
        <f t="shared" si="42"/>
        <v>2600.2594800000002</v>
      </c>
      <c r="T109" s="872">
        <f t="shared" si="42"/>
        <v>2785.9922999999999</v>
      </c>
      <c r="U109" s="872">
        <f t="shared" si="42"/>
        <v>2971.7251199999996</v>
      </c>
      <c r="V109" s="872">
        <f t="shared" si="42"/>
        <v>3157.4579399999998</v>
      </c>
      <c r="W109" s="872">
        <f t="shared" si="42"/>
        <v>3343.19076</v>
      </c>
      <c r="X109" s="872">
        <f t="shared" si="42"/>
        <v>3528.9235800000001</v>
      </c>
      <c r="Y109" s="872">
        <f t="shared" si="42"/>
        <v>3714.6563999999998</v>
      </c>
      <c r="Z109" s="872">
        <f t="shared" si="42"/>
        <v>3900.3892199999996</v>
      </c>
      <c r="AA109" s="872">
        <f t="shared" si="42"/>
        <v>4086.1220400000002</v>
      </c>
      <c r="AB109" s="872">
        <f t="shared" si="42"/>
        <v>4271.8548599999995</v>
      </c>
      <c r="AC109" s="872">
        <f t="shared" si="42"/>
        <v>4457.5876799999996</v>
      </c>
      <c r="AD109" s="872">
        <f t="shared" si="42"/>
        <v>4643.3204999999998</v>
      </c>
      <c r="AE109" s="872">
        <f t="shared" si="42"/>
        <v>4829.05332</v>
      </c>
      <c r="AF109" s="872">
        <f t="shared" si="42"/>
        <v>5014.7861400000002</v>
      </c>
      <c r="AG109" s="872">
        <f t="shared" si="42"/>
        <v>5200.5189600000003</v>
      </c>
      <c r="AH109" s="872">
        <f t="shared" si="42"/>
        <v>5386.2517799999996</v>
      </c>
      <c r="AI109" s="872">
        <f t="shared" si="42"/>
        <v>5571.9845999999998</v>
      </c>
      <c r="AJ109" s="872">
        <f t="shared" si="42"/>
        <v>5757.7174199999999</v>
      </c>
      <c r="AK109" s="872">
        <f t="shared" si="42"/>
        <v>5943.4502399999992</v>
      </c>
      <c r="AL109" s="872">
        <f t="shared" si="42"/>
        <v>6129.1830599999994</v>
      </c>
      <c r="AM109" s="872">
        <f t="shared" si="42"/>
        <v>6314.9158799999996</v>
      </c>
      <c r="AN109" s="872">
        <f t="shared" si="42"/>
        <v>6500.6487000000006</v>
      </c>
      <c r="AO109" s="872">
        <f t="shared" si="42"/>
        <v>6686.3815199999999</v>
      </c>
      <c r="AP109" s="872">
        <f t="shared" si="42"/>
        <v>6872.1143400000001</v>
      </c>
      <c r="AQ109" s="872">
        <f t="shared" si="42"/>
        <v>7057.8471600000003</v>
      </c>
      <c r="AR109" s="872">
        <f t="shared" si="42"/>
        <v>7243.5799799999995</v>
      </c>
      <c r="AS109" s="872">
        <f t="shared" si="42"/>
        <v>7429.3127999999997</v>
      </c>
      <c r="AT109" s="872">
        <f t="shared" si="42"/>
        <v>7615.0456199999999</v>
      </c>
      <c r="AU109" s="872">
        <f t="shared" si="42"/>
        <v>7800.7784399999991</v>
      </c>
      <c r="AV109" s="872">
        <f t="shared" si="42"/>
        <v>7986.5112599999993</v>
      </c>
      <c r="AW109" s="872">
        <f t="shared" si="42"/>
        <v>8172.2440800000004</v>
      </c>
      <c r="AX109" s="872">
        <f t="shared" si="42"/>
        <v>8357.9768999999997</v>
      </c>
      <c r="AY109" s="872">
        <f t="shared" si="42"/>
        <v>8543.7097199999989</v>
      </c>
      <c r="AZ109" s="872">
        <f t="shared" si="42"/>
        <v>8729.44254</v>
      </c>
      <c r="BA109" s="872">
        <f t="shared" si="42"/>
        <v>8915.1753599999993</v>
      </c>
      <c r="BB109" s="872">
        <f t="shared" si="42"/>
        <v>9100.9081800000004</v>
      </c>
      <c r="BC109" s="872">
        <f t="shared" si="42"/>
        <v>9286.6409999999996</v>
      </c>
      <c r="BD109" s="872">
        <f t="shared" si="42"/>
        <v>9472.3738199999989</v>
      </c>
      <c r="BE109" s="872">
        <f t="shared" si="42"/>
        <v>9658.10664</v>
      </c>
      <c r="BF109" s="872">
        <f t="shared" si="42"/>
        <v>9843.8394599999992</v>
      </c>
      <c r="BG109" s="17"/>
      <c r="BH109" s="17"/>
      <c r="BJ109" s="571" t="e">
        <f t="shared" ref="BJ109:CO109" si="43">J124/J110</f>
        <v>#DIV/0!</v>
      </c>
      <c r="BK109" s="571" t="e">
        <f t="shared" si="43"/>
        <v>#DIV/0!</v>
      </c>
      <c r="BL109" s="571">
        <f t="shared" si="43"/>
        <v>1.5302485736642588</v>
      </c>
      <c r="BM109" s="571">
        <f t="shared" si="43"/>
        <v>1.5302485736642588</v>
      </c>
      <c r="BN109" s="571">
        <f t="shared" si="43"/>
        <v>1.5302485736642588</v>
      </c>
      <c r="BO109" s="571">
        <f t="shared" si="43"/>
        <v>1.530248573664259</v>
      </c>
      <c r="BP109" s="571">
        <f t="shared" si="43"/>
        <v>1.5302485736642588</v>
      </c>
      <c r="BQ109" s="571">
        <f t="shared" si="43"/>
        <v>1.5302485736642586</v>
      </c>
      <c r="BR109" s="571">
        <f t="shared" si="43"/>
        <v>1.5302485736642588</v>
      </c>
      <c r="BS109" s="571">
        <f t="shared" si="43"/>
        <v>1.5302485736642588</v>
      </c>
      <c r="BT109" s="571">
        <f t="shared" si="43"/>
        <v>1.5302485736642588</v>
      </c>
      <c r="BU109" s="571">
        <f t="shared" si="43"/>
        <v>1.5302485736642588</v>
      </c>
      <c r="BV109" s="571">
        <f t="shared" si="43"/>
        <v>1.5302485736642588</v>
      </c>
      <c r="BW109" s="571">
        <f t="shared" si="43"/>
        <v>1.5302485736642588</v>
      </c>
      <c r="BX109" s="571">
        <f t="shared" si="43"/>
        <v>1.530248573664259</v>
      </c>
      <c r="BY109" s="571">
        <f t="shared" si="43"/>
        <v>1.530248573664259</v>
      </c>
      <c r="BZ109" s="571">
        <f t="shared" si="43"/>
        <v>1.5302485736642586</v>
      </c>
      <c r="CA109" s="571">
        <f t="shared" si="43"/>
        <v>1.5302485736642588</v>
      </c>
      <c r="CB109" s="571">
        <f t="shared" si="43"/>
        <v>1.5302485736642586</v>
      </c>
      <c r="CC109" s="571">
        <f t="shared" si="43"/>
        <v>1.5302485736642586</v>
      </c>
      <c r="CD109" s="571">
        <f t="shared" si="43"/>
        <v>1.5302485736642586</v>
      </c>
      <c r="CE109" s="571">
        <f t="shared" si="43"/>
        <v>1.5302485736642588</v>
      </c>
      <c r="CF109" s="571">
        <f t="shared" si="43"/>
        <v>1.530248573664259</v>
      </c>
      <c r="CG109" s="571">
        <f t="shared" si="43"/>
        <v>1.5302485736642588</v>
      </c>
      <c r="CH109" s="571">
        <f t="shared" si="43"/>
        <v>1.5302485736642588</v>
      </c>
      <c r="CI109" s="571">
        <f t="shared" si="43"/>
        <v>1.5302485736642588</v>
      </c>
      <c r="CJ109" s="571">
        <f t="shared" si="43"/>
        <v>1.5302485736642588</v>
      </c>
      <c r="CK109" s="571">
        <f t="shared" si="43"/>
        <v>1.5302485736642588</v>
      </c>
      <c r="CL109" s="571">
        <f t="shared" si="43"/>
        <v>1.5302485736642588</v>
      </c>
      <c r="CM109" s="571">
        <f t="shared" si="43"/>
        <v>1.5302485736642588</v>
      </c>
      <c r="CN109" s="571">
        <f t="shared" si="43"/>
        <v>1.530248573664259</v>
      </c>
      <c r="CO109" s="571">
        <f t="shared" si="43"/>
        <v>1.5302485736642588</v>
      </c>
      <c r="CP109" s="571">
        <f t="shared" ref="CP109:DF109" si="44">AP124/AP110</f>
        <v>1.5302485736642586</v>
      </c>
      <c r="CQ109" s="571">
        <f t="shared" si="44"/>
        <v>1.530248573664259</v>
      </c>
      <c r="CR109" s="571">
        <f t="shared" si="44"/>
        <v>1.5302485736642588</v>
      </c>
      <c r="CS109" s="571">
        <f t="shared" si="44"/>
        <v>1.530248573664259</v>
      </c>
      <c r="CT109" s="571">
        <f t="shared" si="44"/>
        <v>1.530248573664259</v>
      </c>
      <c r="CU109" s="571">
        <f t="shared" si="44"/>
        <v>1.5302485736642586</v>
      </c>
      <c r="CV109" s="571">
        <f t="shared" si="44"/>
        <v>1.5302485736642586</v>
      </c>
      <c r="CW109" s="571">
        <f t="shared" si="44"/>
        <v>1.5302485736642588</v>
      </c>
      <c r="CX109" s="571">
        <f t="shared" si="44"/>
        <v>1.5302485736642586</v>
      </c>
      <c r="CY109" s="571">
        <f t="shared" si="44"/>
        <v>1.5302485736642586</v>
      </c>
      <c r="CZ109" s="571">
        <f t="shared" si="44"/>
        <v>1.5302485736642588</v>
      </c>
      <c r="DA109" s="571">
        <f t="shared" si="44"/>
        <v>1.5302485736642586</v>
      </c>
      <c r="DB109" s="571">
        <f t="shared" si="44"/>
        <v>1.5302485736642588</v>
      </c>
      <c r="DC109" s="571">
        <f t="shared" si="44"/>
        <v>1.5302485736642586</v>
      </c>
      <c r="DD109" s="571">
        <f t="shared" si="44"/>
        <v>1.5302485736642586</v>
      </c>
      <c r="DE109" s="571">
        <f t="shared" si="44"/>
        <v>1.5302485736642588</v>
      </c>
      <c r="DF109" s="571">
        <f t="shared" si="44"/>
        <v>1.5302485736642586</v>
      </c>
    </row>
    <row r="110" spans="1:110">
      <c r="A110" s="2773"/>
      <c r="B110" s="2753" t="s">
        <v>512</v>
      </c>
      <c r="C110" s="2754"/>
      <c r="D110" s="871"/>
      <c r="E110" s="871"/>
      <c r="F110" s="871"/>
      <c r="G110" s="871"/>
      <c r="H110" s="871"/>
      <c r="I110" s="871"/>
      <c r="J110" s="872"/>
      <c r="K110" s="872"/>
      <c r="L110" s="872">
        <f>((L$86-$H$4)/1000)*IF($C$13=0,$N$28,$N$45)*(($C$8/70)^$Y$45)*IF($C$13=1,$AG$45,IF($C$13=2,$AH$45,IF($C$13=3,$AI$45,1)))</f>
        <v>1437.4105199999997</v>
      </c>
      <c r="M110" s="872">
        <f t="shared" ref="M110:BF110" si="45">((M$86-$H$4)/1000)*IF($C$13=0,$N$28,$N$45)*(($C$8/70)^$Y$45)*IF($C$13=1,$AG$45,IF($C$13=2,$AH$45,IF($C$13=3,$AI$45,1)))</f>
        <v>1642.75488</v>
      </c>
      <c r="N110" s="872">
        <f t="shared" si="45"/>
        <v>1848.0992399999998</v>
      </c>
      <c r="O110" s="872">
        <f t="shared" si="45"/>
        <v>2053.4435999999996</v>
      </c>
      <c r="P110" s="872">
        <f t="shared" si="45"/>
        <v>2258.7879600000001</v>
      </c>
      <c r="Q110" s="872">
        <f t="shared" si="45"/>
        <v>2464.1323199999997</v>
      </c>
      <c r="R110" s="872">
        <f t="shared" si="45"/>
        <v>2669.4766799999998</v>
      </c>
      <c r="S110" s="872">
        <f t="shared" si="45"/>
        <v>2874.8210399999994</v>
      </c>
      <c r="T110" s="872">
        <f t="shared" si="45"/>
        <v>3080.1653999999999</v>
      </c>
      <c r="U110" s="872">
        <f t="shared" si="45"/>
        <v>3285.5097599999999</v>
      </c>
      <c r="V110" s="872">
        <f t="shared" si="45"/>
        <v>3490.8541199999995</v>
      </c>
      <c r="W110" s="872">
        <f t="shared" si="45"/>
        <v>3696.1984799999996</v>
      </c>
      <c r="X110" s="872">
        <f t="shared" si="45"/>
        <v>3901.5428399999992</v>
      </c>
      <c r="Y110" s="872">
        <f t="shared" si="45"/>
        <v>4106.8871999999992</v>
      </c>
      <c r="Z110" s="872">
        <f t="shared" si="45"/>
        <v>4312.2315600000002</v>
      </c>
      <c r="AA110" s="872">
        <f t="shared" si="45"/>
        <v>4517.5759200000002</v>
      </c>
      <c r="AB110" s="872">
        <f t="shared" si="45"/>
        <v>4722.9202799999994</v>
      </c>
      <c r="AC110" s="872">
        <f t="shared" si="45"/>
        <v>4928.2646399999994</v>
      </c>
      <c r="AD110" s="872">
        <f t="shared" si="45"/>
        <v>5133.6089999999995</v>
      </c>
      <c r="AE110" s="872">
        <f t="shared" si="45"/>
        <v>5338.9533599999995</v>
      </c>
      <c r="AF110" s="872">
        <f t="shared" si="45"/>
        <v>5544.2977199999996</v>
      </c>
      <c r="AG110" s="872">
        <f t="shared" si="45"/>
        <v>5749.6420799999987</v>
      </c>
      <c r="AH110" s="872">
        <f t="shared" si="45"/>
        <v>5954.9864399999988</v>
      </c>
      <c r="AI110" s="872">
        <f t="shared" si="45"/>
        <v>6160.3307999999997</v>
      </c>
      <c r="AJ110" s="872">
        <f t="shared" si="45"/>
        <v>6365.6751599999998</v>
      </c>
      <c r="AK110" s="872">
        <f t="shared" si="45"/>
        <v>6571.0195199999998</v>
      </c>
      <c r="AL110" s="872">
        <f t="shared" si="45"/>
        <v>6776.363879999999</v>
      </c>
      <c r="AM110" s="872">
        <f t="shared" si="45"/>
        <v>6981.708239999999</v>
      </c>
      <c r="AN110" s="872">
        <f t="shared" si="45"/>
        <v>7187.0525999999991</v>
      </c>
      <c r="AO110" s="872">
        <f t="shared" si="45"/>
        <v>7392.3969599999991</v>
      </c>
      <c r="AP110" s="872">
        <f t="shared" si="45"/>
        <v>7597.7413200000001</v>
      </c>
      <c r="AQ110" s="872">
        <f t="shared" si="45"/>
        <v>7803.0856799999983</v>
      </c>
      <c r="AR110" s="872">
        <f t="shared" si="45"/>
        <v>8008.4300399999993</v>
      </c>
      <c r="AS110" s="872">
        <f t="shared" si="45"/>
        <v>8213.7743999999984</v>
      </c>
      <c r="AT110" s="872">
        <f t="shared" si="45"/>
        <v>8419.1187599999976</v>
      </c>
      <c r="AU110" s="872">
        <f t="shared" si="45"/>
        <v>8624.4631200000003</v>
      </c>
      <c r="AV110" s="872">
        <f t="shared" si="45"/>
        <v>8829.8074799999995</v>
      </c>
      <c r="AW110" s="872">
        <f t="shared" si="45"/>
        <v>9035.1518400000004</v>
      </c>
      <c r="AX110" s="872">
        <f t="shared" si="45"/>
        <v>9240.4961999999996</v>
      </c>
      <c r="AY110" s="872">
        <f t="shared" si="45"/>
        <v>9445.8405599999987</v>
      </c>
      <c r="AZ110" s="872">
        <f t="shared" si="45"/>
        <v>9651.1849199999997</v>
      </c>
      <c r="BA110" s="872">
        <f t="shared" si="45"/>
        <v>9856.5292799999988</v>
      </c>
      <c r="BB110" s="872">
        <f t="shared" si="45"/>
        <v>10061.87364</v>
      </c>
      <c r="BC110" s="872">
        <f t="shared" si="45"/>
        <v>10267.217999999999</v>
      </c>
      <c r="BD110" s="872">
        <f t="shared" si="45"/>
        <v>10472.56236</v>
      </c>
      <c r="BE110" s="872">
        <f t="shared" si="45"/>
        <v>10677.906719999999</v>
      </c>
      <c r="BF110" s="872">
        <f t="shared" si="45"/>
        <v>10883.25108</v>
      </c>
      <c r="BG110" s="17"/>
      <c r="BH110" s="17"/>
      <c r="BJ110" s="571" t="e">
        <f t="shared" ref="BJ110:CO110" si="46">J126/J111</f>
        <v>#DIV/0!</v>
      </c>
      <c r="BK110" s="571" t="e">
        <f t="shared" si="46"/>
        <v>#DIV/0!</v>
      </c>
      <c r="BL110" s="571">
        <f t="shared" si="46"/>
        <v>1.3449484159978096</v>
      </c>
      <c r="BM110" s="571">
        <f t="shared" si="46"/>
        <v>1.3449484159978091</v>
      </c>
      <c r="BN110" s="571">
        <f t="shared" si="46"/>
        <v>1.3449484159978093</v>
      </c>
      <c r="BO110" s="571">
        <f t="shared" si="46"/>
        <v>1.3449484159978096</v>
      </c>
      <c r="BP110" s="571">
        <f t="shared" si="46"/>
        <v>1.3449484159978093</v>
      </c>
      <c r="BQ110" s="571">
        <f t="shared" si="46"/>
        <v>1.3449484159978096</v>
      </c>
      <c r="BR110" s="571">
        <f t="shared" si="46"/>
        <v>1.3449484159978096</v>
      </c>
      <c r="BS110" s="571">
        <f t="shared" si="46"/>
        <v>1.3449484159978096</v>
      </c>
      <c r="BT110" s="571">
        <f t="shared" si="46"/>
        <v>1.3449484159978093</v>
      </c>
      <c r="BU110" s="571">
        <f t="shared" si="46"/>
        <v>1.3449484159978091</v>
      </c>
      <c r="BV110" s="571">
        <f t="shared" si="46"/>
        <v>1.3449484159978093</v>
      </c>
      <c r="BW110" s="571">
        <f t="shared" si="46"/>
        <v>1.3449484159978093</v>
      </c>
      <c r="BX110" s="571">
        <f t="shared" si="46"/>
        <v>1.3449484159978096</v>
      </c>
      <c r="BY110" s="571">
        <f t="shared" si="46"/>
        <v>1.3449484159978096</v>
      </c>
      <c r="BZ110" s="571">
        <f t="shared" si="46"/>
        <v>1.3449484159978096</v>
      </c>
      <c r="CA110" s="571">
        <f t="shared" si="46"/>
        <v>1.3449484159978093</v>
      </c>
      <c r="CB110" s="571">
        <f t="shared" si="46"/>
        <v>1.3449484159978096</v>
      </c>
      <c r="CC110" s="571">
        <f t="shared" si="46"/>
        <v>1.3449484159978096</v>
      </c>
      <c r="CD110" s="571">
        <f t="shared" si="46"/>
        <v>1.3449484159978096</v>
      </c>
      <c r="CE110" s="571">
        <f t="shared" si="46"/>
        <v>1.3449484159978096</v>
      </c>
      <c r="CF110" s="571">
        <f t="shared" si="46"/>
        <v>1.3449484159978096</v>
      </c>
      <c r="CG110" s="571">
        <f t="shared" si="46"/>
        <v>1.3449484159978096</v>
      </c>
      <c r="CH110" s="571">
        <f t="shared" si="46"/>
        <v>1.3449484159978093</v>
      </c>
      <c r="CI110" s="571">
        <f t="shared" si="46"/>
        <v>1.3449484159978093</v>
      </c>
      <c r="CJ110" s="571">
        <f t="shared" si="46"/>
        <v>1.3449484159978093</v>
      </c>
      <c r="CK110" s="571">
        <f t="shared" si="46"/>
        <v>1.3449484159978091</v>
      </c>
      <c r="CL110" s="571">
        <f t="shared" si="46"/>
        <v>1.3449484159978096</v>
      </c>
      <c r="CM110" s="571">
        <f t="shared" si="46"/>
        <v>1.3449484159978093</v>
      </c>
      <c r="CN110" s="571">
        <f t="shared" si="46"/>
        <v>1.3449484159978093</v>
      </c>
      <c r="CO110" s="571">
        <f t="shared" si="46"/>
        <v>1.3449484159978093</v>
      </c>
      <c r="CP110" s="571">
        <f t="shared" ref="CP110:DF110" si="47">AP126/AP111</f>
        <v>1.3449484159978096</v>
      </c>
      <c r="CQ110" s="571">
        <f t="shared" si="47"/>
        <v>1.3449484159978096</v>
      </c>
      <c r="CR110" s="571">
        <f t="shared" si="47"/>
        <v>1.3449484159978093</v>
      </c>
      <c r="CS110" s="571">
        <f t="shared" si="47"/>
        <v>1.3449484159978096</v>
      </c>
      <c r="CT110" s="571">
        <f t="shared" si="47"/>
        <v>1.3449484159978091</v>
      </c>
      <c r="CU110" s="571">
        <f t="shared" si="47"/>
        <v>1.3449484159978096</v>
      </c>
      <c r="CV110" s="571">
        <f t="shared" si="47"/>
        <v>1.3449484159978091</v>
      </c>
      <c r="CW110" s="571">
        <f t="shared" si="47"/>
        <v>1.3449484159978093</v>
      </c>
      <c r="CX110" s="571">
        <f t="shared" si="47"/>
        <v>1.3449484159978096</v>
      </c>
      <c r="CY110" s="571">
        <f t="shared" si="47"/>
        <v>1.3449484159978096</v>
      </c>
      <c r="CZ110" s="571">
        <f t="shared" si="47"/>
        <v>1.3449484159978093</v>
      </c>
      <c r="DA110" s="571">
        <f t="shared" si="47"/>
        <v>1.3449484159978096</v>
      </c>
      <c r="DB110" s="571">
        <f t="shared" si="47"/>
        <v>1.3449484159978096</v>
      </c>
      <c r="DC110" s="571">
        <f t="shared" si="47"/>
        <v>1.3449484159978096</v>
      </c>
      <c r="DD110" s="571">
        <f t="shared" si="47"/>
        <v>1.3449484159978093</v>
      </c>
      <c r="DE110" s="571">
        <f t="shared" si="47"/>
        <v>1.3449484159978096</v>
      </c>
      <c r="DF110" s="571">
        <f t="shared" si="47"/>
        <v>1.3449484159978091</v>
      </c>
    </row>
    <row r="111" spans="1:110">
      <c r="A111" s="2773"/>
      <c r="B111" s="2753" t="s">
        <v>513</v>
      </c>
      <c r="C111" s="2754"/>
      <c r="D111" s="871"/>
      <c r="E111" s="871"/>
      <c r="F111" s="871"/>
      <c r="G111" s="871"/>
      <c r="H111" s="871"/>
      <c r="I111" s="871"/>
      <c r="J111" s="872"/>
      <c r="K111" s="872"/>
      <c r="L111" s="872">
        <f>((L$86-$H$4)/1000)*IF($C$13=0,$Q$28,$Q$45)*(($C$8/70)^$AB$45)*IF($C$13=1,$AG$45,IF($C$13=2,$AH$45,IF($C$13=3,$AI$45,1)))</f>
        <v>1925.3469718233548</v>
      </c>
      <c r="M111" s="872">
        <f t="shared" ref="M111:BF111" si="48">((M$86-$H$4)/1000)*IF($C$13=0,$Q$28,$Q$45)*(($C$8/70)^$AB$45)*IF($C$13=1,$AG$45,IF($C$13=2,$AH$45,IF($C$13=3,$AI$45,1)))</f>
        <v>2200.3965392266919</v>
      </c>
      <c r="N111" s="872">
        <f t="shared" si="48"/>
        <v>2475.4461066300282</v>
      </c>
      <c r="O111" s="872">
        <f t="shared" si="48"/>
        <v>2750.4956740333641</v>
      </c>
      <c r="P111" s="872">
        <f t="shared" si="48"/>
        <v>3025.5452414367014</v>
      </c>
      <c r="Q111" s="872">
        <f t="shared" si="48"/>
        <v>3300.5948088400369</v>
      </c>
      <c r="R111" s="872">
        <f t="shared" si="48"/>
        <v>3575.6443762433737</v>
      </c>
      <c r="S111" s="872">
        <f t="shared" si="48"/>
        <v>3850.6939436467096</v>
      </c>
      <c r="T111" s="872">
        <f t="shared" si="48"/>
        <v>4125.7435110500464</v>
      </c>
      <c r="U111" s="872">
        <f t="shared" si="48"/>
        <v>4400.7930784533837</v>
      </c>
      <c r="V111" s="872">
        <f t="shared" si="48"/>
        <v>4675.8426458567192</v>
      </c>
      <c r="W111" s="872">
        <f t="shared" si="48"/>
        <v>4950.8922132600565</v>
      </c>
      <c r="X111" s="872">
        <f t="shared" si="48"/>
        <v>5225.9417806633919</v>
      </c>
      <c r="Y111" s="872">
        <f t="shared" si="48"/>
        <v>5500.9913480667283</v>
      </c>
      <c r="Z111" s="872">
        <f t="shared" si="48"/>
        <v>5776.0409154700646</v>
      </c>
      <c r="AA111" s="872">
        <f t="shared" si="48"/>
        <v>6051.0904828734028</v>
      </c>
      <c r="AB111" s="872">
        <f t="shared" si="48"/>
        <v>6326.1400502767374</v>
      </c>
      <c r="AC111" s="872">
        <f t="shared" si="48"/>
        <v>6601.1896176800738</v>
      </c>
      <c r="AD111" s="872">
        <f t="shared" si="48"/>
        <v>6876.2391850834101</v>
      </c>
      <c r="AE111" s="872">
        <f t="shared" si="48"/>
        <v>7151.2887524867474</v>
      </c>
      <c r="AF111" s="872">
        <f t="shared" si="48"/>
        <v>7426.3383198900838</v>
      </c>
      <c r="AG111" s="872">
        <f t="shared" si="48"/>
        <v>7701.3878872934192</v>
      </c>
      <c r="AH111" s="872">
        <f t="shared" si="48"/>
        <v>7976.4374546967565</v>
      </c>
      <c r="AI111" s="872">
        <f t="shared" si="48"/>
        <v>8251.4870221000929</v>
      </c>
      <c r="AJ111" s="872">
        <f t="shared" si="48"/>
        <v>8526.5365895034302</v>
      </c>
      <c r="AK111" s="872">
        <f t="shared" si="48"/>
        <v>8801.5861569067674</v>
      </c>
      <c r="AL111" s="872">
        <f t="shared" si="48"/>
        <v>9076.6357243101011</v>
      </c>
      <c r="AM111" s="872">
        <f t="shared" si="48"/>
        <v>9351.6852917134383</v>
      </c>
      <c r="AN111" s="872">
        <f t="shared" si="48"/>
        <v>9626.7348591167756</v>
      </c>
      <c r="AO111" s="872">
        <f t="shared" si="48"/>
        <v>9901.7844265201129</v>
      </c>
      <c r="AP111" s="872">
        <f t="shared" si="48"/>
        <v>10176.833993923448</v>
      </c>
      <c r="AQ111" s="872">
        <f t="shared" si="48"/>
        <v>10451.883561326784</v>
      </c>
      <c r="AR111" s="872">
        <f t="shared" si="48"/>
        <v>10726.933128730121</v>
      </c>
      <c r="AS111" s="872">
        <f t="shared" si="48"/>
        <v>11001.982696133457</v>
      </c>
      <c r="AT111" s="872">
        <f t="shared" si="48"/>
        <v>11277.032263536794</v>
      </c>
      <c r="AU111" s="872">
        <f t="shared" si="48"/>
        <v>11552.081830940129</v>
      </c>
      <c r="AV111" s="872">
        <f t="shared" si="48"/>
        <v>11827.131398343467</v>
      </c>
      <c r="AW111" s="872">
        <f t="shared" si="48"/>
        <v>12102.180965746806</v>
      </c>
      <c r="AX111" s="872">
        <f t="shared" si="48"/>
        <v>12377.230533150139</v>
      </c>
      <c r="AY111" s="872">
        <f t="shared" si="48"/>
        <v>12652.280100553475</v>
      </c>
      <c r="AZ111" s="872">
        <f t="shared" si="48"/>
        <v>12927.329667956814</v>
      </c>
      <c r="BA111" s="872">
        <f t="shared" si="48"/>
        <v>13202.379235360148</v>
      </c>
      <c r="BB111" s="872">
        <f t="shared" si="48"/>
        <v>13477.428802763487</v>
      </c>
      <c r="BC111" s="872">
        <f t="shared" si="48"/>
        <v>13752.47837016682</v>
      </c>
      <c r="BD111" s="872">
        <f t="shared" si="48"/>
        <v>14027.527937570158</v>
      </c>
      <c r="BE111" s="872">
        <f t="shared" si="48"/>
        <v>14302.577504973495</v>
      </c>
      <c r="BF111" s="872">
        <f t="shared" si="48"/>
        <v>14577.62707237683</v>
      </c>
      <c r="BG111" s="17"/>
      <c r="BH111" s="17"/>
      <c r="BJ111" s="571" t="e">
        <f t="shared" ref="BJ111:CO111" si="49">J124/J111</f>
        <v>#DIV/0!</v>
      </c>
      <c r="BK111" s="571" t="e">
        <f t="shared" si="49"/>
        <v>#DIV/0!</v>
      </c>
      <c r="BL111" s="571">
        <f t="shared" si="49"/>
        <v>1.1424410405969188</v>
      </c>
      <c r="BM111" s="571">
        <f t="shared" si="49"/>
        <v>1.1424410405969188</v>
      </c>
      <c r="BN111" s="571">
        <f t="shared" si="49"/>
        <v>1.1424410405969188</v>
      </c>
      <c r="BO111" s="571">
        <f t="shared" si="49"/>
        <v>1.142441040596919</v>
      </c>
      <c r="BP111" s="571">
        <f t="shared" si="49"/>
        <v>1.1424410405969188</v>
      </c>
      <c r="BQ111" s="571">
        <f t="shared" si="49"/>
        <v>1.1424410405969188</v>
      </c>
      <c r="BR111" s="571">
        <f t="shared" si="49"/>
        <v>1.1424410405969188</v>
      </c>
      <c r="BS111" s="571">
        <f t="shared" si="49"/>
        <v>1.1424410405969188</v>
      </c>
      <c r="BT111" s="571">
        <f t="shared" si="49"/>
        <v>1.142441040596919</v>
      </c>
      <c r="BU111" s="571">
        <f t="shared" si="49"/>
        <v>1.1424410405969188</v>
      </c>
      <c r="BV111" s="571">
        <f t="shared" si="49"/>
        <v>1.142441040596919</v>
      </c>
      <c r="BW111" s="571">
        <f t="shared" si="49"/>
        <v>1.1424410405969188</v>
      </c>
      <c r="BX111" s="571">
        <f t="shared" si="49"/>
        <v>1.142441040596919</v>
      </c>
      <c r="BY111" s="571">
        <f t="shared" si="49"/>
        <v>1.142441040596919</v>
      </c>
      <c r="BZ111" s="571">
        <f t="shared" si="49"/>
        <v>1.142441040596919</v>
      </c>
      <c r="CA111" s="571">
        <f t="shared" si="49"/>
        <v>1.1424410405969188</v>
      </c>
      <c r="CB111" s="571">
        <f t="shared" si="49"/>
        <v>1.1424410405969188</v>
      </c>
      <c r="CC111" s="571">
        <f t="shared" si="49"/>
        <v>1.1424410405969188</v>
      </c>
      <c r="CD111" s="571">
        <f t="shared" si="49"/>
        <v>1.142441040596919</v>
      </c>
      <c r="CE111" s="571">
        <f t="shared" si="49"/>
        <v>1.1424410405969188</v>
      </c>
      <c r="CF111" s="571">
        <f t="shared" si="49"/>
        <v>1.142441040596919</v>
      </c>
      <c r="CG111" s="571">
        <f t="shared" si="49"/>
        <v>1.1424410405969188</v>
      </c>
      <c r="CH111" s="571">
        <f t="shared" si="49"/>
        <v>1.1424410405969188</v>
      </c>
      <c r="CI111" s="571">
        <f t="shared" si="49"/>
        <v>1.142441040596919</v>
      </c>
      <c r="CJ111" s="571">
        <f t="shared" si="49"/>
        <v>1.142441040596919</v>
      </c>
      <c r="CK111" s="571">
        <f t="shared" si="49"/>
        <v>1.1424410405969188</v>
      </c>
      <c r="CL111" s="571">
        <f t="shared" si="49"/>
        <v>1.142441040596919</v>
      </c>
      <c r="CM111" s="571">
        <f t="shared" si="49"/>
        <v>1.142441040596919</v>
      </c>
      <c r="CN111" s="571">
        <f t="shared" si="49"/>
        <v>1.142441040596919</v>
      </c>
      <c r="CO111" s="571">
        <f t="shared" si="49"/>
        <v>1.1424410405969188</v>
      </c>
      <c r="CP111" s="571">
        <f t="shared" ref="CP111:DF111" si="50">AP124/AP111</f>
        <v>1.1424410405969188</v>
      </c>
      <c r="CQ111" s="571">
        <f t="shared" si="50"/>
        <v>1.142441040596919</v>
      </c>
      <c r="CR111" s="571">
        <f t="shared" si="50"/>
        <v>1.1424410405969188</v>
      </c>
      <c r="CS111" s="571">
        <f t="shared" si="50"/>
        <v>1.142441040596919</v>
      </c>
      <c r="CT111" s="571">
        <f t="shared" si="50"/>
        <v>1.1424410405969188</v>
      </c>
      <c r="CU111" s="571">
        <f t="shared" si="50"/>
        <v>1.142441040596919</v>
      </c>
      <c r="CV111" s="571">
        <f t="shared" si="50"/>
        <v>1.1424410405969188</v>
      </c>
      <c r="CW111" s="571">
        <f t="shared" si="50"/>
        <v>1.1424410405969188</v>
      </c>
      <c r="CX111" s="571">
        <f t="shared" si="50"/>
        <v>1.1424410405969188</v>
      </c>
      <c r="CY111" s="571">
        <f t="shared" si="50"/>
        <v>1.1424410405969188</v>
      </c>
      <c r="CZ111" s="571">
        <f t="shared" si="50"/>
        <v>1.1424410405969188</v>
      </c>
      <c r="DA111" s="571">
        <f t="shared" si="50"/>
        <v>1.1424410405969188</v>
      </c>
      <c r="DB111" s="571">
        <f t="shared" si="50"/>
        <v>1.1424410405969188</v>
      </c>
      <c r="DC111" s="571">
        <f t="shared" si="50"/>
        <v>1.142441040596919</v>
      </c>
      <c r="DD111" s="571">
        <f t="shared" si="50"/>
        <v>1.142441040596919</v>
      </c>
      <c r="DE111" s="571">
        <f t="shared" si="50"/>
        <v>1.1424410405969188</v>
      </c>
      <c r="DF111" s="571">
        <f t="shared" si="50"/>
        <v>1.142441040596919</v>
      </c>
    </row>
    <row r="112" spans="1:110" ht="15.75" thickBot="1">
      <c r="A112" s="2773"/>
      <c r="B112" s="2736" t="s">
        <v>556</v>
      </c>
      <c r="C112" s="2737"/>
      <c r="D112" s="1174" t="s">
        <v>557</v>
      </c>
      <c r="E112" s="1174">
        <v>110</v>
      </c>
      <c r="F112" s="1174">
        <v>400</v>
      </c>
      <c r="G112" s="1174">
        <v>4</v>
      </c>
      <c r="H112" s="873"/>
      <c r="I112" s="873"/>
      <c r="J112" s="874"/>
      <c r="K112" s="874"/>
      <c r="L112" s="874">
        <f>((L$86-$H$4)/1000)*IF($C$13=0,$R$28,$R$45)*(($C$8/70)^$AC$45)*IF($C$13=1,$AG$45,IF($C$13=2,$AH$45,IF($C$13=3,$AI$45,1)))</f>
        <v>2099.5883999999996</v>
      </c>
      <c r="M112" s="874">
        <f t="shared" ref="M112:AQ112" si="51">((M$86-$H$4)/1000)*IF($C$13=0,$R$28,$R$45)*(($C$8/70)^$AC$45)*IF($C$13=1,$AG$45,IF($C$13=2,$AH$45,IF($C$13=3,$AI$45,1)))</f>
        <v>2399.5295999999998</v>
      </c>
      <c r="N112" s="874">
        <f t="shared" si="51"/>
        <v>2699.4707999999996</v>
      </c>
      <c r="O112" s="874">
        <f t="shared" si="51"/>
        <v>2999.4119999999998</v>
      </c>
      <c r="P112" s="874">
        <f t="shared" si="51"/>
        <v>3299.3532</v>
      </c>
      <c r="Q112" s="874">
        <f t="shared" si="51"/>
        <v>3599.2943999999993</v>
      </c>
      <c r="R112" s="874">
        <f t="shared" si="51"/>
        <v>3899.2355999999995</v>
      </c>
      <c r="S112" s="874">
        <f t="shared" si="51"/>
        <v>4199.1767999999993</v>
      </c>
      <c r="T112" s="874">
        <f t="shared" si="51"/>
        <v>4499.1179999999995</v>
      </c>
      <c r="U112" s="874">
        <f t="shared" si="51"/>
        <v>4799.0591999999997</v>
      </c>
      <c r="V112" s="874">
        <f t="shared" si="51"/>
        <v>5099.0003999999999</v>
      </c>
      <c r="W112" s="874">
        <f t="shared" si="51"/>
        <v>5398.9415999999992</v>
      </c>
      <c r="X112" s="874">
        <f t="shared" si="51"/>
        <v>5698.8827999999985</v>
      </c>
      <c r="Y112" s="874">
        <f t="shared" si="51"/>
        <v>5998.8239999999996</v>
      </c>
      <c r="Z112" s="874">
        <f t="shared" si="51"/>
        <v>6298.7651999999998</v>
      </c>
      <c r="AA112" s="874">
        <f t="shared" si="51"/>
        <v>6598.7064</v>
      </c>
      <c r="AB112" s="874">
        <f t="shared" si="51"/>
        <v>6898.6475999999993</v>
      </c>
      <c r="AC112" s="874">
        <f t="shared" si="51"/>
        <v>7198.5887999999986</v>
      </c>
      <c r="AD112" s="874">
        <f t="shared" si="51"/>
        <v>7498.53</v>
      </c>
      <c r="AE112" s="874">
        <f t="shared" si="51"/>
        <v>7798.471199999999</v>
      </c>
      <c r="AF112" s="874">
        <f t="shared" si="51"/>
        <v>8098.4124000000002</v>
      </c>
      <c r="AG112" s="874">
        <f t="shared" si="51"/>
        <v>8398.3535999999986</v>
      </c>
      <c r="AH112" s="874">
        <f t="shared" si="51"/>
        <v>8698.2947999999997</v>
      </c>
      <c r="AI112" s="874">
        <f t="shared" si="51"/>
        <v>8998.235999999999</v>
      </c>
      <c r="AJ112" s="874">
        <f t="shared" si="51"/>
        <v>9298.1772000000001</v>
      </c>
      <c r="AK112" s="874">
        <f t="shared" si="51"/>
        <v>9598.1183999999994</v>
      </c>
      <c r="AL112" s="874">
        <f t="shared" si="51"/>
        <v>9898.0595999999987</v>
      </c>
      <c r="AM112" s="874">
        <f t="shared" si="51"/>
        <v>10198.0008</v>
      </c>
      <c r="AN112" s="874">
        <f t="shared" si="51"/>
        <v>10497.941999999999</v>
      </c>
      <c r="AO112" s="874">
        <f t="shared" si="51"/>
        <v>10797.883199999998</v>
      </c>
      <c r="AP112" s="874">
        <f t="shared" si="51"/>
        <v>11097.8244</v>
      </c>
      <c r="AQ112" s="874">
        <f t="shared" si="51"/>
        <v>11397.765599999997</v>
      </c>
      <c r="AR112" s="874">
        <f t="shared" ref="AR112:BW112" si="52">((AR$86-$H$4)/1000)*IF($C$13=0,$R$28,$R$45)*(($C$8/70)^$AC$45)*IF($C$13=1,$AG$45,IF($C$13=2,$AH$45,IF($C$13=3,$AI$45,1)))</f>
        <v>11697.706799999998</v>
      </c>
      <c r="AS112" s="874">
        <f t="shared" si="52"/>
        <v>11997.647999999999</v>
      </c>
      <c r="AT112" s="874">
        <f t="shared" si="52"/>
        <v>12297.589199999997</v>
      </c>
      <c r="AU112" s="874">
        <f t="shared" si="52"/>
        <v>12597.5304</v>
      </c>
      <c r="AV112" s="874">
        <f t="shared" si="52"/>
        <v>12897.471599999999</v>
      </c>
      <c r="AW112" s="874">
        <f t="shared" si="52"/>
        <v>13197.4128</v>
      </c>
      <c r="AX112" s="874">
        <f t="shared" si="52"/>
        <v>13497.353999999998</v>
      </c>
      <c r="AY112" s="874">
        <f t="shared" si="52"/>
        <v>13797.295199999999</v>
      </c>
      <c r="AZ112" s="874">
        <f t="shared" si="52"/>
        <v>14097.2364</v>
      </c>
      <c r="BA112" s="874">
        <f t="shared" si="52"/>
        <v>14397.177599999997</v>
      </c>
      <c r="BB112" s="874">
        <f t="shared" si="52"/>
        <v>14697.1188</v>
      </c>
      <c r="BC112" s="874">
        <f t="shared" si="52"/>
        <v>14997.06</v>
      </c>
      <c r="BD112" s="874">
        <f t="shared" si="52"/>
        <v>15297.001199999997</v>
      </c>
      <c r="BE112" s="874">
        <f t="shared" si="52"/>
        <v>15596.942399999998</v>
      </c>
      <c r="BF112" s="874">
        <f t="shared" si="52"/>
        <v>15896.883599999999</v>
      </c>
      <c r="BG112" s="874">
        <f t="shared" si="52"/>
        <v>-2099.5883999999996</v>
      </c>
      <c r="BH112" s="874">
        <f t="shared" si="52"/>
        <v>-2099.5883999999996</v>
      </c>
      <c r="BI112" s="874">
        <f t="shared" si="52"/>
        <v>-2099.5883999999996</v>
      </c>
      <c r="BJ112" s="874">
        <f t="shared" si="52"/>
        <v>899.82359999999983</v>
      </c>
      <c r="BK112" s="874">
        <f t="shared" si="52"/>
        <v>1199.7647999999999</v>
      </c>
      <c r="BL112" s="874">
        <f t="shared" si="52"/>
        <v>1499.7059999999999</v>
      </c>
      <c r="BM112" s="874">
        <f t="shared" si="52"/>
        <v>1799.6471999999997</v>
      </c>
      <c r="BN112" s="874">
        <f t="shared" si="52"/>
        <v>2099.5883999999996</v>
      </c>
      <c r="BO112" s="874">
        <f t="shared" si="52"/>
        <v>2399.5295999999998</v>
      </c>
      <c r="BP112" s="874">
        <f t="shared" si="52"/>
        <v>2699.4707999999996</v>
      </c>
      <c r="BQ112" s="874">
        <f t="shared" si="52"/>
        <v>2999.4119999999998</v>
      </c>
      <c r="BR112" s="874">
        <f t="shared" si="52"/>
        <v>3299.3532</v>
      </c>
      <c r="BS112" s="874">
        <f t="shared" si="52"/>
        <v>3599.2943999999993</v>
      </c>
      <c r="BT112" s="874">
        <f t="shared" si="52"/>
        <v>3899.2355999999995</v>
      </c>
      <c r="BU112" s="874">
        <f t="shared" si="52"/>
        <v>4199.1767999999993</v>
      </c>
      <c r="BV112" s="874">
        <f t="shared" si="52"/>
        <v>4499.1179999999995</v>
      </c>
      <c r="BW112" s="874">
        <f t="shared" si="52"/>
        <v>4799.0591999999997</v>
      </c>
      <c r="BX112" s="874">
        <f t="shared" ref="BX112:DF112" si="53">((BX$86-$H$4)/1000)*IF($C$13=0,$R$28,$R$45)*(($C$8/70)^$AC$45)*IF($C$13=1,$AG$45,IF($C$13=2,$AH$45,IF($C$13=3,$AI$45,1)))</f>
        <v>5099.0003999999999</v>
      </c>
      <c r="BY112" s="874">
        <f t="shared" si="53"/>
        <v>5398.9415999999992</v>
      </c>
      <c r="BZ112" s="874">
        <f t="shared" si="53"/>
        <v>5698.8827999999985</v>
      </c>
      <c r="CA112" s="874">
        <f t="shared" si="53"/>
        <v>5998.8239999999996</v>
      </c>
      <c r="CB112" s="874">
        <f t="shared" si="53"/>
        <v>6298.7651999999998</v>
      </c>
      <c r="CC112" s="874">
        <f t="shared" si="53"/>
        <v>6598.7064</v>
      </c>
      <c r="CD112" s="874">
        <f t="shared" si="53"/>
        <v>6898.6475999999993</v>
      </c>
      <c r="CE112" s="874">
        <f t="shared" si="53"/>
        <v>7198.5887999999986</v>
      </c>
      <c r="CF112" s="874">
        <f t="shared" si="53"/>
        <v>7498.53</v>
      </c>
      <c r="CG112" s="874">
        <f t="shared" si="53"/>
        <v>7798.471199999999</v>
      </c>
      <c r="CH112" s="874">
        <f t="shared" si="53"/>
        <v>8098.4124000000002</v>
      </c>
      <c r="CI112" s="874">
        <f t="shared" si="53"/>
        <v>8398.3535999999986</v>
      </c>
      <c r="CJ112" s="874">
        <f t="shared" si="53"/>
        <v>8698.2947999999997</v>
      </c>
      <c r="CK112" s="874">
        <f t="shared" si="53"/>
        <v>8998.235999999999</v>
      </c>
      <c r="CL112" s="874">
        <f t="shared" si="53"/>
        <v>9298.1772000000001</v>
      </c>
      <c r="CM112" s="874">
        <f t="shared" si="53"/>
        <v>9598.1183999999994</v>
      </c>
      <c r="CN112" s="874">
        <f t="shared" si="53"/>
        <v>9898.0595999999987</v>
      </c>
      <c r="CO112" s="874">
        <f t="shared" si="53"/>
        <v>10198.0008</v>
      </c>
      <c r="CP112" s="874">
        <f t="shared" si="53"/>
        <v>10497.941999999999</v>
      </c>
      <c r="CQ112" s="874">
        <f t="shared" si="53"/>
        <v>10797.883199999998</v>
      </c>
      <c r="CR112" s="874">
        <f t="shared" si="53"/>
        <v>11097.8244</v>
      </c>
      <c r="CS112" s="874">
        <f t="shared" si="53"/>
        <v>11397.765599999997</v>
      </c>
      <c r="CT112" s="874">
        <f t="shared" si="53"/>
        <v>11697.706799999998</v>
      </c>
      <c r="CU112" s="874">
        <f t="shared" si="53"/>
        <v>11997.647999999999</v>
      </c>
      <c r="CV112" s="874">
        <f t="shared" si="53"/>
        <v>12297.589199999997</v>
      </c>
      <c r="CW112" s="874">
        <f t="shared" si="53"/>
        <v>12597.5304</v>
      </c>
      <c r="CX112" s="874">
        <f t="shared" si="53"/>
        <v>12897.471599999999</v>
      </c>
      <c r="CY112" s="874">
        <f t="shared" si="53"/>
        <v>13197.4128</v>
      </c>
      <c r="CZ112" s="874">
        <f t="shared" si="53"/>
        <v>13497.353999999998</v>
      </c>
      <c r="DA112" s="874">
        <f t="shared" si="53"/>
        <v>13797.295199999999</v>
      </c>
      <c r="DB112" s="874">
        <f t="shared" si="53"/>
        <v>14097.2364</v>
      </c>
      <c r="DC112" s="874">
        <f t="shared" si="53"/>
        <v>14397.177599999997</v>
      </c>
      <c r="DD112" s="874">
        <f t="shared" si="53"/>
        <v>14697.1188</v>
      </c>
      <c r="DE112" s="874">
        <f t="shared" si="53"/>
        <v>14997.06</v>
      </c>
      <c r="DF112" s="874">
        <f t="shared" si="53"/>
        <v>15297.001199999997</v>
      </c>
    </row>
    <row r="113" spans="1:110">
      <c r="A113" s="2773"/>
      <c r="B113" s="2740" t="s">
        <v>514</v>
      </c>
      <c r="C113" s="2740"/>
      <c r="D113" s="1090"/>
      <c r="E113" s="1090"/>
      <c r="F113" s="1090"/>
      <c r="G113" s="1090"/>
      <c r="H113" s="1090"/>
      <c r="I113" s="1090"/>
      <c r="J113" s="954"/>
      <c r="K113" s="954"/>
      <c r="L113" s="954">
        <f>((L$86-$H$4)/1000)*IF($C$13=0,$K$29,$K$46)*(($C$8/70)^$V$46)*IF($C$13=1,$AG$48,IF($C$13=2,$AH$48,IF($C$13=3,$AI$48,1)))</f>
        <v>748.10476649999998</v>
      </c>
      <c r="M113" s="954">
        <f t="shared" ref="M113:AQ113" si="54">((M$86-$H$4)/1000)*IF($C$13=0,$K$29,$K$46)*(($C$8/70)^$V$46)*IF($C$13=1,$AG$48,IF($C$13=2,$AH$48,IF($C$13=3,$AI$48,1)))</f>
        <v>854.97687600000017</v>
      </c>
      <c r="N113" s="954">
        <f t="shared" si="54"/>
        <v>961.84898550000003</v>
      </c>
      <c r="O113" s="954">
        <f t="shared" si="54"/>
        <v>1068.7210950000001</v>
      </c>
      <c r="P113" s="954">
        <f t="shared" si="54"/>
        <v>1175.5932045000002</v>
      </c>
      <c r="Q113" s="954">
        <f t="shared" si="54"/>
        <v>1282.465314</v>
      </c>
      <c r="R113" s="954">
        <f t="shared" si="54"/>
        <v>1389.3374235000001</v>
      </c>
      <c r="S113" s="954">
        <f t="shared" si="54"/>
        <v>1496.209533</v>
      </c>
      <c r="T113" s="954">
        <f t="shared" si="54"/>
        <v>1603.0816425</v>
      </c>
      <c r="U113" s="954">
        <f t="shared" si="54"/>
        <v>1709.9537520000003</v>
      </c>
      <c r="V113" s="954">
        <f t="shared" si="54"/>
        <v>1816.8258615</v>
      </c>
      <c r="W113" s="954">
        <f t="shared" si="54"/>
        <v>1923.6979710000001</v>
      </c>
      <c r="X113" s="954">
        <f t="shared" si="54"/>
        <v>2030.5700804999999</v>
      </c>
      <c r="Y113" s="954">
        <f t="shared" si="54"/>
        <v>2137.4421900000002</v>
      </c>
      <c r="Z113" s="954">
        <f t="shared" si="54"/>
        <v>2244.3142995000003</v>
      </c>
      <c r="AA113" s="954">
        <f t="shared" si="54"/>
        <v>2351.1864090000004</v>
      </c>
      <c r="AB113" s="954">
        <f t="shared" si="54"/>
        <v>2458.0585184999995</v>
      </c>
      <c r="AC113" s="954">
        <f t="shared" si="54"/>
        <v>2564.9306280000001</v>
      </c>
      <c r="AD113" s="954">
        <f t="shared" si="54"/>
        <v>2671.8027375000001</v>
      </c>
      <c r="AE113" s="954">
        <f t="shared" si="54"/>
        <v>2778.6748470000002</v>
      </c>
      <c r="AF113" s="954">
        <f t="shared" si="54"/>
        <v>2885.5469565000003</v>
      </c>
      <c r="AG113" s="954">
        <f t="shared" si="54"/>
        <v>2992.4190659999999</v>
      </c>
      <c r="AH113" s="954">
        <f t="shared" si="54"/>
        <v>3099.2911755</v>
      </c>
      <c r="AI113" s="954">
        <f t="shared" si="54"/>
        <v>3206.1632850000001</v>
      </c>
      <c r="AJ113" s="954">
        <f t="shared" si="54"/>
        <v>3313.0353945000002</v>
      </c>
      <c r="AK113" s="954">
        <f t="shared" si="54"/>
        <v>3419.9075040000007</v>
      </c>
      <c r="AL113" s="954">
        <f t="shared" si="54"/>
        <v>3526.7796134999999</v>
      </c>
      <c r="AM113" s="954">
        <f t="shared" si="54"/>
        <v>3633.6517229999999</v>
      </c>
      <c r="AN113" s="954">
        <f t="shared" si="54"/>
        <v>3740.5238325</v>
      </c>
      <c r="AO113" s="954">
        <f t="shared" si="54"/>
        <v>3847.3959420000001</v>
      </c>
      <c r="AP113" s="954">
        <f t="shared" si="54"/>
        <v>3954.2680515000006</v>
      </c>
      <c r="AQ113" s="954">
        <f t="shared" si="54"/>
        <v>4061.1401609999998</v>
      </c>
      <c r="AR113" s="954">
        <f t="shared" ref="AR113:BW113" si="55">((AR$86-$H$4)/1000)*IF($C$13=0,$K$29,$K$46)*(($C$8/70)^$V$46)*IF($C$13=1,$AG$48,IF($C$13=2,$AH$48,IF($C$13=3,$AI$48,1)))</f>
        <v>4168.0122705000003</v>
      </c>
      <c r="AS113" s="954">
        <f t="shared" si="55"/>
        <v>4274.8843800000004</v>
      </c>
      <c r="AT113" s="954">
        <f t="shared" si="55"/>
        <v>4381.7564894999996</v>
      </c>
      <c r="AU113" s="954">
        <f t="shared" si="55"/>
        <v>4488.6285990000006</v>
      </c>
      <c r="AV113" s="954">
        <f t="shared" si="55"/>
        <v>4595.5007085000007</v>
      </c>
      <c r="AW113" s="954">
        <f t="shared" si="55"/>
        <v>4702.3728180000007</v>
      </c>
      <c r="AX113" s="954">
        <f t="shared" si="55"/>
        <v>4809.2449274999999</v>
      </c>
      <c r="AY113" s="954">
        <f t="shared" si="55"/>
        <v>4916.1170369999991</v>
      </c>
      <c r="AZ113" s="954">
        <f t="shared" si="55"/>
        <v>5022.9891465000001</v>
      </c>
      <c r="BA113" s="954">
        <f t="shared" si="55"/>
        <v>5129.8612560000001</v>
      </c>
      <c r="BB113" s="954">
        <f t="shared" si="55"/>
        <v>5236.7333655000002</v>
      </c>
      <c r="BC113" s="954">
        <f t="shared" si="55"/>
        <v>5343.6054750000003</v>
      </c>
      <c r="BD113" s="954">
        <f t="shared" si="55"/>
        <v>5450.4775845000004</v>
      </c>
      <c r="BE113" s="954">
        <f t="shared" si="55"/>
        <v>5557.3496940000005</v>
      </c>
      <c r="BF113" s="954">
        <f t="shared" si="55"/>
        <v>5664.2218035000005</v>
      </c>
      <c r="BG113" s="954">
        <f t="shared" si="55"/>
        <v>-748.10476649999998</v>
      </c>
      <c r="BH113" s="954">
        <f t="shared" si="55"/>
        <v>-748.10476649999998</v>
      </c>
      <c r="BI113" s="954">
        <f t="shared" si="55"/>
        <v>-748.10476649999998</v>
      </c>
      <c r="BJ113" s="954">
        <f t="shared" si="55"/>
        <v>320.61632850000001</v>
      </c>
      <c r="BK113" s="954">
        <f t="shared" si="55"/>
        <v>427.48843800000009</v>
      </c>
      <c r="BL113" s="954">
        <f t="shared" si="55"/>
        <v>534.36054750000005</v>
      </c>
      <c r="BM113" s="954">
        <f t="shared" si="55"/>
        <v>641.23265700000002</v>
      </c>
      <c r="BN113" s="954">
        <f t="shared" si="55"/>
        <v>748.10476649999998</v>
      </c>
      <c r="BO113" s="954">
        <f t="shared" si="55"/>
        <v>854.97687600000017</v>
      </c>
      <c r="BP113" s="954">
        <f t="shared" si="55"/>
        <v>961.84898550000003</v>
      </c>
      <c r="BQ113" s="954">
        <f t="shared" si="55"/>
        <v>1068.7210950000001</v>
      </c>
      <c r="BR113" s="954">
        <f t="shared" si="55"/>
        <v>1175.5932045000002</v>
      </c>
      <c r="BS113" s="954">
        <f t="shared" si="55"/>
        <v>1282.465314</v>
      </c>
      <c r="BT113" s="954">
        <f t="shared" si="55"/>
        <v>1389.3374235000001</v>
      </c>
      <c r="BU113" s="954">
        <f t="shared" si="55"/>
        <v>1496.209533</v>
      </c>
      <c r="BV113" s="954">
        <f t="shared" si="55"/>
        <v>1603.0816425</v>
      </c>
      <c r="BW113" s="954">
        <f t="shared" si="55"/>
        <v>1709.9537520000003</v>
      </c>
      <c r="BX113" s="954">
        <f t="shared" ref="BX113:DF113" si="56">((BX$86-$H$4)/1000)*IF($C$13=0,$K$29,$K$46)*(($C$8/70)^$V$46)*IF($C$13=1,$AG$48,IF($C$13=2,$AH$48,IF($C$13=3,$AI$48,1)))</f>
        <v>1816.8258615</v>
      </c>
      <c r="BY113" s="954">
        <f t="shared" si="56"/>
        <v>1923.6979710000001</v>
      </c>
      <c r="BZ113" s="954">
        <f t="shared" si="56"/>
        <v>2030.5700804999999</v>
      </c>
      <c r="CA113" s="954">
        <f t="shared" si="56"/>
        <v>2137.4421900000002</v>
      </c>
      <c r="CB113" s="954">
        <f t="shared" si="56"/>
        <v>2244.3142995000003</v>
      </c>
      <c r="CC113" s="954">
        <f t="shared" si="56"/>
        <v>2351.1864090000004</v>
      </c>
      <c r="CD113" s="954">
        <f t="shared" si="56"/>
        <v>2458.0585184999995</v>
      </c>
      <c r="CE113" s="954">
        <f t="shared" si="56"/>
        <v>2564.9306280000001</v>
      </c>
      <c r="CF113" s="954">
        <f t="shared" si="56"/>
        <v>2671.8027375000001</v>
      </c>
      <c r="CG113" s="954">
        <f t="shared" si="56"/>
        <v>2778.6748470000002</v>
      </c>
      <c r="CH113" s="954">
        <f t="shared" si="56"/>
        <v>2885.5469565000003</v>
      </c>
      <c r="CI113" s="954">
        <f t="shared" si="56"/>
        <v>2992.4190659999999</v>
      </c>
      <c r="CJ113" s="954">
        <f t="shared" si="56"/>
        <v>3099.2911755</v>
      </c>
      <c r="CK113" s="954">
        <f t="shared" si="56"/>
        <v>3206.1632850000001</v>
      </c>
      <c r="CL113" s="954">
        <f t="shared" si="56"/>
        <v>3313.0353945000002</v>
      </c>
      <c r="CM113" s="954">
        <f t="shared" si="56"/>
        <v>3419.9075040000007</v>
      </c>
      <c r="CN113" s="954">
        <f t="shared" si="56"/>
        <v>3526.7796134999999</v>
      </c>
      <c r="CO113" s="954">
        <f t="shared" si="56"/>
        <v>3633.6517229999999</v>
      </c>
      <c r="CP113" s="954">
        <f t="shared" si="56"/>
        <v>3740.5238325</v>
      </c>
      <c r="CQ113" s="954">
        <f t="shared" si="56"/>
        <v>3847.3959420000001</v>
      </c>
      <c r="CR113" s="954">
        <f t="shared" si="56"/>
        <v>3954.2680515000006</v>
      </c>
      <c r="CS113" s="954">
        <f t="shared" si="56"/>
        <v>4061.1401609999998</v>
      </c>
      <c r="CT113" s="954">
        <f t="shared" si="56"/>
        <v>4168.0122705000003</v>
      </c>
      <c r="CU113" s="954">
        <f t="shared" si="56"/>
        <v>4274.8843800000004</v>
      </c>
      <c r="CV113" s="954">
        <f t="shared" si="56"/>
        <v>4381.7564894999996</v>
      </c>
      <c r="CW113" s="954">
        <f t="shared" si="56"/>
        <v>4488.6285990000006</v>
      </c>
      <c r="CX113" s="954">
        <f t="shared" si="56"/>
        <v>4595.5007085000007</v>
      </c>
      <c r="CY113" s="954">
        <f t="shared" si="56"/>
        <v>4702.3728180000007</v>
      </c>
      <c r="CZ113" s="954">
        <f t="shared" si="56"/>
        <v>4809.2449274999999</v>
      </c>
      <c r="DA113" s="954">
        <f t="shared" si="56"/>
        <v>4916.1170369999991</v>
      </c>
      <c r="DB113" s="954">
        <f t="shared" si="56"/>
        <v>5022.9891465000001</v>
      </c>
      <c r="DC113" s="954">
        <f t="shared" si="56"/>
        <v>5129.8612560000001</v>
      </c>
      <c r="DD113" s="954">
        <f t="shared" si="56"/>
        <v>5236.7333655000002</v>
      </c>
      <c r="DE113" s="954">
        <f t="shared" si="56"/>
        <v>5343.6054750000003</v>
      </c>
      <c r="DF113" s="954">
        <f t="shared" si="56"/>
        <v>5450.4775845000004</v>
      </c>
    </row>
    <row r="114" spans="1:110">
      <c r="A114" s="2773"/>
      <c r="B114" s="2730" t="s">
        <v>515</v>
      </c>
      <c r="C114" s="2730"/>
      <c r="D114" s="1091"/>
      <c r="E114" s="1091"/>
      <c r="F114" s="1091"/>
      <c r="G114" s="1091"/>
      <c r="H114" s="1091"/>
      <c r="I114" s="1091"/>
      <c r="J114" s="955"/>
      <c r="K114" s="955"/>
      <c r="L114" s="955">
        <f>((L$86-$H$4)/1000)*IF($C$13=0,$L$29,$L$46)*(($C$8/70)^$W$46)*IF($C$13=1,$AG$49,IF($C$13=2,$AH$49,IF($C$13=3,$AI$49,1)))</f>
        <v>885.14358659999982</v>
      </c>
      <c r="M114" s="955">
        <f t="shared" ref="M114:AQ114" si="57">((M$86-$H$4)/1000)*IF($C$13=0,$L$29,$L$46)*(($C$8/70)^$W$46)*IF($C$13=1,$AG$49,IF($C$13=2,$AH$49,IF($C$13=3,$AI$49,1)))</f>
        <v>1011.5926704</v>
      </c>
      <c r="N114" s="955">
        <f t="shared" si="57"/>
        <v>1138.0417542</v>
      </c>
      <c r="O114" s="955">
        <f t="shared" si="57"/>
        <v>1264.4908379999999</v>
      </c>
      <c r="P114" s="955">
        <f t="shared" si="57"/>
        <v>1390.9399218000001</v>
      </c>
      <c r="Q114" s="955">
        <f t="shared" si="57"/>
        <v>1517.3890055999998</v>
      </c>
      <c r="R114" s="955">
        <f t="shared" si="57"/>
        <v>1643.8380893999999</v>
      </c>
      <c r="S114" s="955">
        <f t="shared" si="57"/>
        <v>1770.2871731999996</v>
      </c>
      <c r="T114" s="955">
        <f t="shared" si="57"/>
        <v>1896.7362569999998</v>
      </c>
      <c r="U114" s="955">
        <f t="shared" si="57"/>
        <v>2023.1853407999999</v>
      </c>
      <c r="V114" s="955">
        <f t="shared" si="57"/>
        <v>2149.6344245999999</v>
      </c>
      <c r="W114" s="955">
        <f t="shared" si="57"/>
        <v>2276.0835084</v>
      </c>
      <c r="X114" s="955">
        <f t="shared" si="57"/>
        <v>2402.5325921999997</v>
      </c>
      <c r="Y114" s="955">
        <f t="shared" si="57"/>
        <v>2528.9816759999999</v>
      </c>
      <c r="Z114" s="955">
        <f t="shared" si="57"/>
        <v>2655.4307598</v>
      </c>
      <c r="AA114" s="955">
        <f t="shared" si="57"/>
        <v>2781.8798436000002</v>
      </c>
      <c r="AB114" s="955">
        <f t="shared" si="57"/>
        <v>2908.3289273999994</v>
      </c>
      <c r="AC114" s="955">
        <f t="shared" si="57"/>
        <v>3034.7780111999996</v>
      </c>
      <c r="AD114" s="955">
        <f t="shared" si="57"/>
        <v>3161.2270949999997</v>
      </c>
      <c r="AE114" s="955">
        <f t="shared" si="57"/>
        <v>3287.6761787999999</v>
      </c>
      <c r="AF114" s="955">
        <f t="shared" si="57"/>
        <v>3414.1252626</v>
      </c>
      <c r="AG114" s="955">
        <f t="shared" si="57"/>
        <v>3540.5743463999993</v>
      </c>
      <c r="AH114" s="955">
        <f t="shared" si="57"/>
        <v>3667.0234301999994</v>
      </c>
      <c r="AI114" s="955">
        <f t="shared" si="57"/>
        <v>3793.4725139999996</v>
      </c>
      <c r="AJ114" s="955">
        <f t="shared" si="57"/>
        <v>3919.9215977999993</v>
      </c>
      <c r="AK114" s="955">
        <f t="shared" si="57"/>
        <v>4046.3706815999999</v>
      </c>
      <c r="AL114" s="955">
        <f t="shared" si="57"/>
        <v>4172.8197653999996</v>
      </c>
      <c r="AM114" s="955">
        <f t="shared" si="57"/>
        <v>4299.2688491999997</v>
      </c>
      <c r="AN114" s="955">
        <f t="shared" si="57"/>
        <v>4425.717932999999</v>
      </c>
      <c r="AO114" s="955">
        <f t="shared" si="57"/>
        <v>4552.1670168000001</v>
      </c>
      <c r="AP114" s="955">
        <f t="shared" si="57"/>
        <v>4678.6161005999993</v>
      </c>
      <c r="AQ114" s="955">
        <f t="shared" si="57"/>
        <v>4805.0651843999995</v>
      </c>
      <c r="AR114" s="955">
        <f t="shared" ref="AR114:BW114" si="58">((AR$86-$H$4)/1000)*IF($C$13=0,$L$29,$L$46)*(($C$8/70)^$W$46)*IF($C$13=1,$AG$49,IF($C$13=2,$AH$49,IF($C$13=3,$AI$49,1)))</f>
        <v>4931.5142681999996</v>
      </c>
      <c r="AS114" s="955">
        <f t="shared" si="58"/>
        <v>5057.9633519999998</v>
      </c>
      <c r="AT114" s="955">
        <f t="shared" si="58"/>
        <v>5184.412435799999</v>
      </c>
      <c r="AU114" s="955">
        <f t="shared" si="58"/>
        <v>5310.8615196000001</v>
      </c>
      <c r="AV114" s="955">
        <f t="shared" si="58"/>
        <v>5437.3106033999993</v>
      </c>
      <c r="AW114" s="955">
        <f t="shared" si="58"/>
        <v>5563.7596872000004</v>
      </c>
      <c r="AX114" s="955">
        <f t="shared" si="58"/>
        <v>5690.2087709999996</v>
      </c>
      <c r="AY114" s="955">
        <f t="shared" si="58"/>
        <v>5816.6578547999989</v>
      </c>
      <c r="AZ114" s="955">
        <f t="shared" si="58"/>
        <v>5943.106938599999</v>
      </c>
      <c r="BA114" s="955">
        <f t="shared" si="58"/>
        <v>6069.5560223999992</v>
      </c>
      <c r="BB114" s="955">
        <f t="shared" si="58"/>
        <v>6196.0051061999993</v>
      </c>
      <c r="BC114" s="955">
        <f t="shared" si="58"/>
        <v>6322.4541899999995</v>
      </c>
      <c r="BD114" s="955">
        <f t="shared" si="58"/>
        <v>6448.9032737999996</v>
      </c>
      <c r="BE114" s="955">
        <f t="shared" si="58"/>
        <v>6575.3523575999998</v>
      </c>
      <c r="BF114" s="955">
        <f t="shared" si="58"/>
        <v>6701.8014413999999</v>
      </c>
      <c r="BG114" s="955">
        <f t="shared" si="58"/>
        <v>-885.14358659999982</v>
      </c>
      <c r="BH114" s="955">
        <f t="shared" si="58"/>
        <v>-885.14358659999982</v>
      </c>
      <c r="BI114" s="955">
        <f t="shared" si="58"/>
        <v>-885.14358659999982</v>
      </c>
      <c r="BJ114" s="955">
        <f t="shared" si="58"/>
        <v>379.34725139999995</v>
      </c>
      <c r="BK114" s="955">
        <f t="shared" si="58"/>
        <v>505.79633519999999</v>
      </c>
      <c r="BL114" s="955">
        <f t="shared" si="58"/>
        <v>632.24541899999997</v>
      </c>
      <c r="BM114" s="955">
        <f t="shared" si="58"/>
        <v>758.6945027999999</v>
      </c>
      <c r="BN114" s="955">
        <f t="shared" si="58"/>
        <v>885.14358659999982</v>
      </c>
      <c r="BO114" s="955">
        <f t="shared" si="58"/>
        <v>1011.5926704</v>
      </c>
      <c r="BP114" s="955">
        <f t="shared" si="58"/>
        <v>1138.0417542</v>
      </c>
      <c r="BQ114" s="955">
        <f t="shared" si="58"/>
        <v>1264.4908379999999</v>
      </c>
      <c r="BR114" s="955">
        <f t="shared" si="58"/>
        <v>1390.9399218000001</v>
      </c>
      <c r="BS114" s="955">
        <f t="shared" si="58"/>
        <v>1517.3890055999998</v>
      </c>
      <c r="BT114" s="955">
        <f t="shared" si="58"/>
        <v>1643.8380893999999</v>
      </c>
      <c r="BU114" s="955">
        <f t="shared" si="58"/>
        <v>1770.2871731999996</v>
      </c>
      <c r="BV114" s="955">
        <f t="shared" si="58"/>
        <v>1896.7362569999998</v>
      </c>
      <c r="BW114" s="955">
        <f t="shared" si="58"/>
        <v>2023.1853407999999</v>
      </c>
      <c r="BX114" s="955">
        <f t="shared" ref="BX114:DF114" si="59">((BX$86-$H$4)/1000)*IF($C$13=0,$L$29,$L$46)*(($C$8/70)^$W$46)*IF($C$13=1,$AG$49,IF($C$13=2,$AH$49,IF($C$13=3,$AI$49,1)))</f>
        <v>2149.6344245999999</v>
      </c>
      <c r="BY114" s="955">
        <f t="shared" si="59"/>
        <v>2276.0835084</v>
      </c>
      <c r="BZ114" s="955">
        <f t="shared" si="59"/>
        <v>2402.5325921999997</v>
      </c>
      <c r="CA114" s="955">
        <f t="shared" si="59"/>
        <v>2528.9816759999999</v>
      </c>
      <c r="CB114" s="955">
        <f t="shared" si="59"/>
        <v>2655.4307598</v>
      </c>
      <c r="CC114" s="955">
        <f t="shared" si="59"/>
        <v>2781.8798436000002</v>
      </c>
      <c r="CD114" s="955">
        <f t="shared" si="59"/>
        <v>2908.3289273999994</v>
      </c>
      <c r="CE114" s="955">
        <f t="shared" si="59"/>
        <v>3034.7780111999996</v>
      </c>
      <c r="CF114" s="955">
        <f t="shared" si="59"/>
        <v>3161.2270949999997</v>
      </c>
      <c r="CG114" s="955">
        <f t="shared" si="59"/>
        <v>3287.6761787999999</v>
      </c>
      <c r="CH114" s="955">
        <f t="shared" si="59"/>
        <v>3414.1252626</v>
      </c>
      <c r="CI114" s="955">
        <f t="shared" si="59"/>
        <v>3540.5743463999993</v>
      </c>
      <c r="CJ114" s="955">
        <f t="shared" si="59"/>
        <v>3667.0234301999994</v>
      </c>
      <c r="CK114" s="955">
        <f t="shared" si="59"/>
        <v>3793.4725139999996</v>
      </c>
      <c r="CL114" s="955">
        <f t="shared" si="59"/>
        <v>3919.9215977999993</v>
      </c>
      <c r="CM114" s="955">
        <f t="shared" si="59"/>
        <v>4046.3706815999999</v>
      </c>
      <c r="CN114" s="955">
        <f t="shared" si="59"/>
        <v>4172.8197653999996</v>
      </c>
      <c r="CO114" s="955">
        <f t="shared" si="59"/>
        <v>4299.2688491999997</v>
      </c>
      <c r="CP114" s="955">
        <f t="shared" si="59"/>
        <v>4425.717932999999</v>
      </c>
      <c r="CQ114" s="955">
        <f t="shared" si="59"/>
        <v>4552.1670168000001</v>
      </c>
      <c r="CR114" s="955">
        <f t="shared" si="59"/>
        <v>4678.6161005999993</v>
      </c>
      <c r="CS114" s="955">
        <f t="shared" si="59"/>
        <v>4805.0651843999995</v>
      </c>
      <c r="CT114" s="955">
        <f t="shared" si="59"/>
        <v>4931.5142681999996</v>
      </c>
      <c r="CU114" s="955">
        <f t="shared" si="59"/>
        <v>5057.9633519999998</v>
      </c>
      <c r="CV114" s="955">
        <f t="shared" si="59"/>
        <v>5184.412435799999</v>
      </c>
      <c r="CW114" s="955">
        <f t="shared" si="59"/>
        <v>5310.8615196000001</v>
      </c>
      <c r="CX114" s="955">
        <f t="shared" si="59"/>
        <v>5437.3106033999993</v>
      </c>
      <c r="CY114" s="955">
        <f t="shared" si="59"/>
        <v>5563.7596872000004</v>
      </c>
      <c r="CZ114" s="955">
        <f t="shared" si="59"/>
        <v>5690.2087709999996</v>
      </c>
      <c r="DA114" s="955">
        <f t="shared" si="59"/>
        <v>5816.6578547999989</v>
      </c>
      <c r="DB114" s="955">
        <f t="shared" si="59"/>
        <v>5943.106938599999</v>
      </c>
      <c r="DC114" s="955">
        <f t="shared" si="59"/>
        <v>6069.5560223999992</v>
      </c>
      <c r="DD114" s="955">
        <f t="shared" si="59"/>
        <v>6196.0051061999993</v>
      </c>
      <c r="DE114" s="955">
        <f t="shared" si="59"/>
        <v>6322.4541899999995</v>
      </c>
      <c r="DF114" s="955">
        <f t="shared" si="59"/>
        <v>6448.9032737999996</v>
      </c>
    </row>
    <row r="115" spans="1:110">
      <c r="A115" s="2773"/>
      <c r="B115" s="2730" t="s">
        <v>516</v>
      </c>
      <c r="C115" s="2730"/>
      <c r="D115" s="1091"/>
      <c r="E115" s="1091"/>
      <c r="F115" s="1091"/>
      <c r="G115" s="1091"/>
      <c r="H115" s="1091"/>
      <c r="I115" s="1091"/>
      <c r="J115" s="955"/>
      <c r="K115" s="955"/>
      <c r="L115" s="955">
        <f>((L$86-$H$4)/1000)*IF($C$13=0,$M$29,$M$46)*(($C$8/70)^$X$46)*IF($C$13=1,$AG$47,IF($C$13=2,$AH$47,IF($C$13=3,$AI$47,1)))</f>
        <v>1981.9441550999995</v>
      </c>
      <c r="M115" s="955">
        <f t="shared" ref="M115:AQ115" si="60">((M$86-$H$4)/1000)*IF($C$13=0,$M$29,$M$46)*(($C$8/70)^$X$46)*IF($C$13=1,$AG$47,IF($C$13=2,$AH$47,IF($C$13=3,$AI$47,1)))</f>
        <v>2265.0790343999997</v>
      </c>
      <c r="N115" s="955">
        <f t="shared" si="60"/>
        <v>2548.2139136999995</v>
      </c>
      <c r="O115" s="955">
        <f t="shared" si="60"/>
        <v>2831.3487929999997</v>
      </c>
      <c r="P115" s="955">
        <f t="shared" si="60"/>
        <v>3114.4836722999994</v>
      </c>
      <c r="Q115" s="955">
        <f t="shared" si="60"/>
        <v>3397.6185515999991</v>
      </c>
      <c r="R115" s="955">
        <f t="shared" si="60"/>
        <v>3680.7534308999998</v>
      </c>
      <c r="S115" s="955">
        <f t="shared" si="60"/>
        <v>3963.8883101999991</v>
      </c>
      <c r="T115" s="955">
        <f t="shared" si="60"/>
        <v>4247.0231894999988</v>
      </c>
      <c r="U115" s="955">
        <f t="shared" si="60"/>
        <v>4530.1580687999995</v>
      </c>
      <c r="V115" s="955">
        <f t="shared" si="60"/>
        <v>4813.2929480999983</v>
      </c>
      <c r="W115" s="955">
        <f t="shared" si="60"/>
        <v>5096.4278273999989</v>
      </c>
      <c r="X115" s="955">
        <f t="shared" si="60"/>
        <v>5379.5627066999987</v>
      </c>
      <c r="Y115" s="955">
        <f t="shared" si="60"/>
        <v>5662.6975859999993</v>
      </c>
      <c r="Z115" s="955">
        <f t="shared" si="60"/>
        <v>5945.8324652999991</v>
      </c>
      <c r="AA115" s="955">
        <f t="shared" si="60"/>
        <v>6228.9673445999988</v>
      </c>
      <c r="AB115" s="955">
        <f t="shared" si="60"/>
        <v>6512.1022238999976</v>
      </c>
      <c r="AC115" s="955">
        <f t="shared" si="60"/>
        <v>6795.2371031999983</v>
      </c>
      <c r="AD115" s="955">
        <f t="shared" si="60"/>
        <v>7078.371982499998</v>
      </c>
      <c r="AE115" s="955">
        <f t="shared" si="60"/>
        <v>7361.5068617999996</v>
      </c>
      <c r="AF115" s="955">
        <f t="shared" si="60"/>
        <v>7644.6417410999993</v>
      </c>
      <c r="AG115" s="955">
        <f t="shared" si="60"/>
        <v>7927.7766203999981</v>
      </c>
      <c r="AH115" s="955">
        <f t="shared" si="60"/>
        <v>8210.9114996999979</v>
      </c>
      <c r="AI115" s="955">
        <f t="shared" si="60"/>
        <v>8494.0463789999976</v>
      </c>
      <c r="AJ115" s="955">
        <f t="shared" si="60"/>
        <v>8777.1812582999992</v>
      </c>
      <c r="AK115" s="955">
        <f t="shared" si="60"/>
        <v>9060.3161375999989</v>
      </c>
      <c r="AL115" s="955">
        <f t="shared" si="60"/>
        <v>9343.4510168999968</v>
      </c>
      <c r="AM115" s="955">
        <f t="shared" si="60"/>
        <v>9626.5858961999966</v>
      </c>
      <c r="AN115" s="955">
        <f t="shared" si="60"/>
        <v>9909.7207754999981</v>
      </c>
      <c r="AO115" s="955">
        <f t="shared" si="60"/>
        <v>10192.855654799998</v>
      </c>
      <c r="AP115" s="955">
        <f t="shared" si="60"/>
        <v>10475.990534099999</v>
      </c>
      <c r="AQ115" s="955">
        <f t="shared" si="60"/>
        <v>10759.125413399997</v>
      </c>
      <c r="AR115" s="955">
        <f t="shared" ref="AR115:BW115" si="61">((AR$86-$H$4)/1000)*IF($C$13=0,$M$29,$M$46)*(($C$8/70)^$X$46)*IF($C$13=1,$AG$47,IF($C$13=2,$AH$47,IF($C$13=3,$AI$47,1)))</f>
        <v>11042.260292699997</v>
      </c>
      <c r="AS115" s="955">
        <f t="shared" si="61"/>
        <v>11325.395171999999</v>
      </c>
      <c r="AT115" s="955">
        <f t="shared" si="61"/>
        <v>11608.530051299997</v>
      </c>
      <c r="AU115" s="955">
        <f t="shared" si="61"/>
        <v>11891.664930599998</v>
      </c>
      <c r="AV115" s="955">
        <f t="shared" si="61"/>
        <v>12174.799809899996</v>
      </c>
      <c r="AW115" s="955">
        <f t="shared" si="61"/>
        <v>12457.934689199998</v>
      </c>
      <c r="AX115" s="955">
        <f t="shared" si="61"/>
        <v>12741.069568499997</v>
      </c>
      <c r="AY115" s="955">
        <f t="shared" si="61"/>
        <v>13024.204447799995</v>
      </c>
      <c r="AZ115" s="955">
        <f t="shared" si="61"/>
        <v>13307.339327099997</v>
      </c>
      <c r="BA115" s="955">
        <f t="shared" si="61"/>
        <v>13590.474206399997</v>
      </c>
      <c r="BB115" s="955">
        <f t="shared" si="61"/>
        <v>13873.609085699996</v>
      </c>
      <c r="BC115" s="955">
        <f t="shared" si="61"/>
        <v>14156.743964999996</v>
      </c>
      <c r="BD115" s="955">
        <f t="shared" si="61"/>
        <v>14439.878844299998</v>
      </c>
      <c r="BE115" s="955">
        <f t="shared" si="61"/>
        <v>14723.013723599999</v>
      </c>
      <c r="BF115" s="955">
        <f t="shared" si="61"/>
        <v>15006.148602899997</v>
      </c>
      <c r="BG115" s="955">
        <f t="shared" si="61"/>
        <v>-1981.9441550999995</v>
      </c>
      <c r="BH115" s="955">
        <f t="shared" si="61"/>
        <v>-1981.9441550999995</v>
      </c>
      <c r="BI115" s="955">
        <f t="shared" si="61"/>
        <v>-1981.9441550999995</v>
      </c>
      <c r="BJ115" s="955">
        <f t="shared" si="61"/>
        <v>849.40463789999978</v>
      </c>
      <c r="BK115" s="955">
        <f t="shared" si="61"/>
        <v>1132.5395171999999</v>
      </c>
      <c r="BL115" s="955">
        <f t="shared" si="61"/>
        <v>1415.6743964999998</v>
      </c>
      <c r="BM115" s="955">
        <f t="shared" si="61"/>
        <v>1698.8092757999996</v>
      </c>
      <c r="BN115" s="955">
        <f t="shared" si="61"/>
        <v>1981.9441550999995</v>
      </c>
      <c r="BO115" s="955">
        <f t="shared" si="61"/>
        <v>2265.0790343999997</v>
      </c>
      <c r="BP115" s="955">
        <f t="shared" si="61"/>
        <v>2548.2139136999995</v>
      </c>
      <c r="BQ115" s="955">
        <f t="shared" si="61"/>
        <v>2831.3487929999997</v>
      </c>
      <c r="BR115" s="955">
        <f t="shared" si="61"/>
        <v>3114.4836722999994</v>
      </c>
      <c r="BS115" s="955">
        <f t="shared" si="61"/>
        <v>3397.6185515999991</v>
      </c>
      <c r="BT115" s="955">
        <f t="shared" si="61"/>
        <v>3680.7534308999998</v>
      </c>
      <c r="BU115" s="955">
        <f t="shared" si="61"/>
        <v>3963.8883101999991</v>
      </c>
      <c r="BV115" s="955">
        <f t="shared" si="61"/>
        <v>4247.0231894999988</v>
      </c>
      <c r="BW115" s="955">
        <f t="shared" si="61"/>
        <v>4530.1580687999995</v>
      </c>
      <c r="BX115" s="955">
        <f t="shared" ref="BX115:DF115" si="62">((BX$86-$H$4)/1000)*IF($C$13=0,$M$29,$M$46)*(($C$8/70)^$X$46)*IF($C$13=1,$AG$47,IF($C$13=2,$AH$47,IF($C$13=3,$AI$47,1)))</f>
        <v>4813.2929480999983</v>
      </c>
      <c r="BY115" s="955">
        <f t="shared" si="62"/>
        <v>5096.4278273999989</v>
      </c>
      <c r="BZ115" s="955">
        <f t="shared" si="62"/>
        <v>5379.5627066999987</v>
      </c>
      <c r="CA115" s="955">
        <f t="shared" si="62"/>
        <v>5662.6975859999993</v>
      </c>
      <c r="CB115" s="955">
        <f t="shared" si="62"/>
        <v>5945.8324652999991</v>
      </c>
      <c r="CC115" s="955">
        <f t="shared" si="62"/>
        <v>6228.9673445999988</v>
      </c>
      <c r="CD115" s="955">
        <f t="shared" si="62"/>
        <v>6512.1022238999976</v>
      </c>
      <c r="CE115" s="955">
        <f t="shared" si="62"/>
        <v>6795.2371031999983</v>
      </c>
      <c r="CF115" s="955">
        <f t="shared" si="62"/>
        <v>7078.371982499998</v>
      </c>
      <c r="CG115" s="955">
        <f t="shared" si="62"/>
        <v>7361.5068617999996</v>
      </c>
      <c r="CH115" s="955">
        <f t="shared" si="62"/>
        <v>7644.6417410999993</v>
      </c>
      <c r="CI115" s="955">
        <f t="shared" si="62"/>
        <v>7927.7766203999981</v>
      </c>
      <c r="CJ115" s="955">
        <f t="shared" si="62"/>
        <v>8210.9114996999979</v>
      </c>
      <c r="CK115" s="955">
        <f t="shared" si="62"/>
        <v>8494.0463789999976</v>
      </c>
      <c r="CL115" s="955">
        <f t="shared" si="62"/>
        <v>8777.1812582999992</v>
      </c>
      <c r="CM115" s="955">
        <f t="shared" si="62"/>
        <v>9060.3161375999989</v>
      </c>
      <c r="CN115" s="955">
        <f t="shared" si="62"/>
        <v>9343.4510168999968</v>
      </c>
      <c r="CO115" s="955">
        <f t="shared" si="62"/>
        <v>9626.5858961999966</v>
      </c>
      <c r="CP115" s="955">
        <f t="shared" si="62"/>
        <v>9909.7207754999981</v>
      </c>
      <c r="CQ115" s="955">
        <f t="shared" si="62"/>
        <v>10192.855654799998</v>
      </c>
      <c r="CR115" s="955">
        <f t="shared" si="62"/>
        <v>10475.990534099999</v>
      </c>
      <c r="CS115" s="955">
        <f t="shared" si="62"/>
        <v>10759.125413399997</v>
      </c>
      <c r="CT115" s="955">
        <f t="shared" si="62"/>
        <v>11042.260292699997</v>
      </c>
      <c r="CU115" s="955">
        <f t="shared" si="62"/>
        <v>11325.395171999999</v>
      </c>
      <c r="CV115" s="955">
        <f t="shared" si="62"/>
        <v>11608.530051299997</v>
      </c>
      <c r="CW115" s="955">
        <f t="shared" si="62"/>
        <v>11891.664930599998</v>
      </c>
      <c r="CX115" s="955">
        <f t="shared" si="62"/>
        <v>12174.799809899996</v>
      </c>
      <c r="CY115" s="955">
        <f t="shared" si="62"/>
        <v>12457.934689199998</v>
      </c>
      <c r="CZ115" s="955">
        <f t="shared" si="62"/>
        <v>12741.069568499997</v>
      </c>
      <c r="DA115" s="955">
        <f t="shared" si="62"/>
        <v>13024.204447799995</v>
      </c>
      <c r="DB115" s="955">
        <f t="shared" si="62"/>
        <v>13307.339327099997</v>
      </c>
      <c r="DC115" s="955">
        <f t="shared" si="62"/>
        <v>13590.474206399997</v>
      </c>
      <c r="DD115" s="955">
        <f t="shared" si="62"/>
        <v>13873.609085699996</v>
      </c>
      <c r="DE115" s="955">
        <f t="shared" si="62"/>
        <v>14156.743964999996</v>
      </c>
      <c r="DF115" s="955">
        <f t="shared" si="62"/>
        <v>14439.878844299998</v>
      </c>
    </row>
    <row r="116" spans="1:110">
      <c r="A116" s="2773"/>
      <c r="B116" s="2730" t="s">
        <v>517</v>
      </c>
      <c r="C116" s="2730"/>
      <c r="D116" s="1091"/>
      <c r="E116" s="1091"/>
      <c r="F116" s="1091"/>
      <c r="G116" s="1091"/>
      <c r="H116" s="1091"/>
      <c r="I116" s="1091"/>
      <c r="J116" s="955"/>
      <c r="K116" s="955"/>
      <c r="L116" s="955">
        <f>((L$86-$H$4)/1000)*IF($C$13=0,$O$29,($O$46*1.1))*(($C$8/70)^$Z$46)*IF($C$13=1,$AG$50,IF($C$13=2,$AH$50,IF($C$13=3,$AI$50,1)))</f>
        <v>2122.6095590700002</v>
      </c>
      <c r="M116" s="955">
        <f t="shared" ref="M116:AQ116" si="63">((M$86-$H$4)/1000)*IF($C$13=0,$O$29,($O$46*1.1))*(($C$8/70)^$Z$46)*IF($C$13=1,$AG$50,IF($C$13=2,$AH$50,IF($C$13=3,$AI$50,1)))</f>
        <v>2425.8394960800001</v>
      </c>
      <c r="N116" s="955">
        <f t="shared" si="63"/>
        <v>2729.0694330900001</v>
      </c>
      <c r="O116" s="955">
        <f t="shared" si="63"/>
        <v>3032.2993701000005</v>
      </c>
      <c r="P116" s="955">
        <f t="shared" si="63"/>
        <v>3335.5293071100004</v>
      </c>
      <c r="Q116" s="955">
        <f t="shared" si="63"/>
        <v>3638.7592441200004</v>
      </c>
      <c r="R116" s="955">
        <f t="shared" si="63"/>
        <v>3941.9891811300008</v>
      </c>
      <c r="S116" s="955">
        <f t="shared" si="63"/>
        <v>4245.2191181400003</v>
      </c>
      <c r="T116" s="955">
        <f t="shared" si="63"/>
        <v>4548.4490551500012</v>
      </c>
      <c r="U116" s="955">
        <f t="shared" si="63"/>
        <v>4851.6789921600002</v>
      </c>
      <c r="V116" s="955">
        <f t="shared" si="63"/>
        <v>5154.9089291700011</v>
      </c>
      <c r="W116" s="955">
        <f t="shared" si="63"/>
        <v>5458.1388661800002</v>
      </c>
      <c r="X116" s="955">
        <f t="shared" si="63"/>
        <v>5761.3688031900001</v>
      </c>
      <c r="Y116" s="955">
        <f t="shared" si="63"/>
        <v>6064.598740200001</v>
      </c>
      <c r="Z116" s="955">
        <f t="shared" si="63"/>
        <v>6367.8286772100009</v>
      </c>
      <c r="AA116" s="955">
        <f t="shared" si="63"/>
        <v>6671.0586142200009</v>
      </c>
      <c r="AB116" s="955">
        <f t="shared" si="63"/>
        <v>6974.2885512300008</v>
      </c>
      <c r="AC116" s="955">
        <f t="shared" si="63"/>
        <v>7277.5184882400008</v>
      </c>
      <c r="AD116" s="955">
        <f t="shared" si="63"/>
        <v>7580.7484252500008</v>
      </c>
      <c r="AE116" s="955">
        <f t="shared" si="63"/>
        <v>7883.9783622600016</v>
      </c>
      <c r="AF116" s="955">
        <f t="shared" si="63"/>
        <v>8187.2082992700016</v>
      </c>
      <c r="AG116" s="955">
        <f t="shared" si="63"/>
        <v>8490.4382362800006</v>
      </c>
      <c r="AH116" s="955">
        <f t="shared" si="63"/>
        <v>8793.6681732900015</v>
      </c>
      <c r="AI116" s="955">
        <f t="shared" si="63"/>
        <v>9096.8981103000024</v>
      </c>
      <c r="AJ116" s="955">
        <f t="shared" si="63"/>
        <v>9400.1280473100014</v>
      </c>
      <c r="AK116" s="955">
        <f t="shared" si="63"/>
        <v>9703.3579843200005</v>
      </c>
      <c r="AL116" s="955">
        <f t="shared" si="63"/>
        <v>10006.587921330001</v>
      </c>
      <c r="AM116" s="955">
        <f t="shared" si="63"/>
        <v>10309.817858340002</v>
      </c>
      <c r="AN116" s="955">
        <f t="shared" si="63"/>
        <v>10613.047795350001</v>
      </c>
      <c r="AO116" s="955">
        <f t="shared" si="63"/>
        <v>10916.27773236</v>
      </c>
      <c r="AP116" s="955">
        <f t="shared" si="63"/>
        <v>11219.507669370001</v>
      </c>
      <c r="AQ116" s="955">
        <f t="shared" si="63"/>
        <v>11522.73760638</v>
      </c>
      <c r="AR116" s="955">
        <f t="shared" ref="AR116:BW116" si="64">((AR$86-$H$4)/1000)*IF($C$13=0,$O$29,($O$46*1.1))*(($C$8/70)^$Z$46)*IF($C$13=1,$AG$50,IF($C$13=2,$AH$50,IF($C$13=3,$AI$50,1)))</f>
        <v>11825.967543390001</v>
      </c>
      <c r="AS116" s="955">
        <f t="shared" si="64"/>
        <v>12129.197480400002</v>
      </c>
      <c r="AT116" s="955">
        <f t="shared" si="64"/>
        <v>12432.427417409999</v>
      </c>
      <c r="AU116" s="955">
        <f t="shared" si="64"/>
        <v>12735.657354420002</v>
      </c>
      <c r="AV116" s="955">
        <f t="shared" si="64"/>
        <v>13038.887291430001</v>
      </c>
      <c r="AW116" s="955">
        <f t="shared" si="64"/>
        <v>13342.117228440002</v>
      </c>
      <c r="AX116" s="955">
        <f t="shared" si="64"/>
        <v>13645.347165450003</v>
      </c>
      <c r="AY116" s="955">
        <f t="shared" si="64"/>
        <v>13948.577102460002</v>
      </c>
      <c r="AZ116" s="955">
        <f t="shared" si="64"/>
        <v>14251.807039470001</v>
      </c>
      <c r="BA116" s="955">
        <f t="shared" si="64"/>
        <v>14555.036976480002</v>
      </c>
      <c r="BB116" s="955">
        <f t="shared" si="64"/>
        <v>14858.266913490002</v>
      </c>
      <c r="BC116" s="955">
        <f t="shared" si="64"/>
        <v>15161.496850500002</v>
      </c>
      <c r="BD116" s="955">
        <f t="shared" si="64"/>
        <v>15464.726787510001</v>
      </c>
      <c r="BE116" s="955">
        <f t="shared" si="64"/>
        <v>15767.956724520003</v>
      </c>
      <c r="BF116" s="955">
        <f t="shared" si="64"/>
        <v>16071.18666153</v>
      </c>
      <c r="BG116" s="955">
        <f t="shared" si="64"/>
        <v>-2122.6095590700002</v>
      </c>
      <c r="BH116" s="955">
        <f t="shared" si="64"/>
        <v>-2122.6095590700002</v>
      </c>
      <c r="BI116" s="955">
        <f t="shared" si="64"/>
        <v>-2122.6095590700002</v>
      </c>
      <c r="BJ116" s="955">
        <f t="shared" si="64"/>
        <v>909.6898110300001</v>
      </c>
      <c r="BK116" s="955">
        <f t="shared" si="64"/>
        <v>1212.9197480400001</v>
      </c>
      <c r="BL116" s="955">
        <f t="shared" si="64"/>
        <v>1516.1496850500002</v>
      </c>
      <c r="BM116" s="955">
        <f t="shared" si="64"/>
        <v>1819.3796220600002</v>
      </c>
      <c r="BN116" s="955">
        <f t="shared" si="64"/>
        <v>2122.6095590700002</v>
      </c>
      <c r="BO116" s="955">
        <f t="shared" si="64"/>
        <v>2425.8394960800001</v>
      </c>
      <c r="BP116" s="955">
        <f t="shared" si="64"/>
        <v>2729.0694330900001</v>
      </c>
      <c r="BQ116" s="955">
        <f t="shared" si="64"/>
        <v>3032.2993701000005</v>
      </c>
      <c r="BR116" s="955">
        <f t="shared" si="64"/>
        <v>3335.5293071100004</v>
      </c>
      <c r="BS116" s="955">
        <f t="shared" si="64"/>
        <v>3638.7592441200004</v>
      </c>
      <c r="BT116" s="955">
        <f t="shared" si="64"/>
        <v>3941.9891811300008</v>
      </c>
      <c r="BU116" s="955">
        <f t="shared" si="64"/>
        <v>4245.2191181400003</v>
      </c>
      <c r="BV116" s="955">
        <f t="shared" si="64"/>
        <v>4548.4490551500012</v>
      </c>
      <c r="BW116" s="955">
        <f t="shared" si="64"/>
        <v>4851.6789921600002</v>
      </c>
      <c r="BX116" s="955">
        <f t="shared" ref="BX116:DF116" si="65">((BX$86-$H$4)/1000)*IF($C$13=0,$O$29,($O$46*1.1))*(($C$8/70)^$Z$46)*IF($C$13=1,$AG$50,IF($C$13=2,$AH$50,IF($C$13=3,$AI$50,1)))</f>
        <v>5154.9089291700011</v>
      </c>
      <c r="BY116" s="955">
        <f t="shared" si="65"/>
        <v>5458.1388661800002</v>
      </c>
      <c r="BZ116" s="955">
        <f t="shared" si="65"/>
        <v>5761.3688031900001</v>
      </c>
      <c r="CA116" s="955">
        <f t="shared" si="65"/>
        <v>6064.598740200001</v>
      </c>
      <c r="CB116" s="955">
        <f t="shared" si="65"/>
        <v>6367.8286772100009</v>
      </c>
      <c r="CC116" s="955">
        <f t="shared" si="65"/>
        <v>6671.0586142200009</v>
      </c>
      <c r="CD116" s="955">
        <f t="shared" si="65"/>
        <v>6974.2885512300008</v>
      </c>
      <c r="CE116" s="955">
        <f t="shared" si="65"/>
        <v>7277.5184882400008</v>
      </c>
      <c r="CF116" s="955">
        <f t="shared" si="65"/>
        <v>7580.7484252500008</v>
      </c>
      <c r="CG116" s="955">
        <f t="shared" si="65"/>
        <v>7883.9783622600016</v>
      </c>
      <c r="CH116" s="955">
        <f t="shared" si="65"/>
        <v>8187.2082992700016</v>
      </c>
      <c r="CI116" s="955">
        <f t="shared" si="65"/>
        <v>8490.4382362800006</v>
      </c>
      <c r="CJ116" s="955">
        <f t="shared" si="65"/>
        <v>8793.6681732900015</v>
      </c>
      <c r="CK116" s="955">
        <f t="shared" si="65"/>
        <v>9096.8981103000024</v>
      </c>
      <c r="CL116" s="955">
        <f t="shared" si="65"/>
        <v>9400.1280473100014</v>
      </c>
      <c r="CM116" s="955">
        <f t="shared" si="65"/>
        <v>9703.3579843200005</v>
      </c>
      <c r="CN116" s="955">
        <f t="shared" si="65"/>
        <v>10006.587921330001</v>
      </c>
      <c r="CO116" s="955">
        <f t="shared" si="65"/>
        <v>10309.817858340002</v>
      </c>
      <c r="CP116" s="955">
        <f t="shared" si="65"/>
        <v>10613.047795350001</v>
      </c>
      <c r="CQ116" s="955">
        <f t="shared" si="65"/>
        <v>10916.27773236</v>
      </c>
      <c r="CR116" s="955">
        <f t="shared" si="65"/>
        <v>11219.507669370001</v>
      </c>
      <c r="CS116" s="955">
        <f t="shared" si="65"/>
        <v>11522.73760638</v>
      </c>
      <c r="CT116" s="955">
        <f t="shared" si="65"/>
        <v>11825.967543390001</v>
      </c>
      <c r="CU116" s="955">
        <f t="shared" si="65"/>
        <v>12129.197480400002</v>
      </c>
      <c r="CV116" s="955">
        <f t="shared" si="65"/>
        <v>12432.427417409999</v>
      </c>
      <c r="CW116" s="955">
        <f t="shared" si="65"/>
        <v>12735.657354420002</v>
      </c>
      <c r="CX116" s="955">
        <f t="shared" si="65"/>
        <v>13038.887291430001</v>
      </c>
      <c r="CY116" s="955">
        <f t="shared" si="65"/>
        <v>13342.117228440002</v>
      </c>
      <c r="CZ116" s="955">
        <f t="shared" si="65"/>
        <v>13645.347165450003</v>
      </c>
      <c r="DA116" s="955">
        <f t="shared" si="65"/>
        <v>13948.577102460002</v>
      </c>
      <c r="DB116" s="955">
        <f t="shared" si="65"/>
        <v>14251.807039470001</v>
      </c>
      <c r="DC116" s="955">
        <f t="shared" si="65"/>
        <v>14555.036976480002</v>
      </c>
      <c r="DD116" s="955">
        <f t="shared" si="65"/>
        <v>14858.266913490002</v>
      </c>
      <c r="DE116" s="955">
        <f t="shared" si="65"/>
        <v>15161.496850500002</v>
      </c>
      <c r="DF116" s="955">
        <f t="shared" si="65"/>
        <v>15464.726787510001</v>
      </c>
    </row>
    <row r="117" spans="1:110">
      <c r="A117" s="2773"/>
      <c r="B117" s="2730" t="s">
        <v>535</v>
      </c>
      <c r="C117" s="2730"/>
      <c r="D117" s="1091"/>
      <c r="E117" s="1091"/>
      <c r="F117" s="1091"/>
      <c r="G117" s="1091"/>
      <c r="H117" s="1091"/>
      <c r="I117" s="1091"/>
      <c r="J117" s="955"/>
      <c r="K117" s="955"/>
      <c r="L117" s="955">
        <f>((L$86-$H$4)/1000)*IF($C$13=0,$P$29,$P$46)*(($C$8/70)^$AB$46)*IF($C$13=1,$AG$47,IF($C$13=2,$AH$47,IF($C$13=3,$AI$47,1)))</f>
        <v>2373.9171210300001</v>
      </c>
      <c r="M117" s="955">
        <f t="shared" ref="M117:BF117" si="66">((M$86-$H$4)/1000)*IF($C$13=0,$P$29,$P$46)*(($C$8/70)^$AB$46)*IF($C$13=1,$AG$47,IF($C$13=2,$AH$47,IF($C$13=3,$AI$47,1)))</f>
        <v>2713.0481383200004</v>
      </c>
      <c r="N117" s="955">
        <f t="shared" si="66"/>
        <v>3052.1791556100002</v>
      </c>
      <c r="O117" s="955">
        <f t="shared" si="66"/>
        <v>3391.3101729</v>
      </c>
      <c r="P117" s="955">
        <f t="shared" si="66"/>
        <v>3730.4411901900003</v>
      </c>
      <c r="Q117" s="955">
        <f t="shared" si="66"/>
        <v>4069.5722074800001</v>
      </c>
      <c r="R117" s="955">
        <f t="shared" si="66"/>
        <v>4408.7032247700008</v>
      </c>
      <c r="S117" s="955">
        <f t="shared" si="66"/>
        <v>4747.8342420600002</v>
      </c>
      <c r="T117" s="955">
        <f t="shared" si="66"/>
        <v>5086.9652593500005</v>
      </c>
      <c r="U117" s="955">
        <f t="shared" si="66"/>
        <v>5426.0962766400007</v>
      </c>
      <c r="V117" s="955">
        <f t="shared" si="66"/>
        <v>5765.227293930001</v>
      </c>
      <c r="W117" s="955">
        <f t="shared" si="66"/>
        <v>6104.3583112200004</v>
      </c>
      <c r="X117" s="955">
        <f t="shared" si="66"/>
        <v>6443.4893285099997</v>
      </c>
      <c r="Y117" s="955">
        <f t="shared" si="66"/>
        <v>6782.6203458</v>
      </c>
      <c r="Z117" s="955">
        <f t="shared" si="66"/>
        <v>7121.7513630900012</v>
      </c>
      <c r="AA117" s="955">
        <f t="shared" si="66"/>
        <v>7460.8823803800005</v>
      </c>
      <c r="AB117" s="955">
        <f t="shared" si="66"/>
        <v>7800.0133976699999</v>
      </c>
      <c r="AC117" s="955">
        <f t="shared" si="66"/>
        <v>8139.1444149600002</v>
      </c>
      <c r="AD117" s="955">
        <f t="shared" si="66"/>
        <v>8478.2754322500004</v>
      </c>
      <c r="AE117" s="955">
        <f t="shared" si="66"/>
        <v>8817.4064495400016</v>
      </c>
      <c r="AF117" s="955">
        <f t="shared" si="66"/>
        <v>9156.537466830001</v>
      </c>
      <c r="AG117" s="955">
        <f t="shared" si="66"/>
        <v>9495.6684841200004</v>
      </c>
      <c r="AH117" s="955">
        <f t="shared" si="66"/>
        <v>9834.7995014099997</v>
      </c>
      <c r="AI117" s="955">
        <f t="shared" si="66"/>
        <v>10173.930518700001</v>
      </c>
      <c r="AJ117" s="955">
        <f t="shared" si="66"/>
        <v>10513.06153599</v>
      </c>
      <c r="AK117" s="955">
        <f t="shared" si="66"/>
        <v>10852.192553280001</v>
      </c>
      <c r="AL117" s="955">
        <f t="shared" si="66"/>
        <v>11191.323570569999</v>
      </c>
      <c r="AM117" s="955">
        <f t="shared" si="66"/>
        <v>11530.454587860002</v>
      </c>
      <c r="AN117" s="955">
        <f t="shared" si="66"/>
        <v>11869.585605150001</v>
      </c>
      <c r="AO117" s="955">
        <f t="shared" si="66"/>
        <v>12208.716622440001</v>
      </c>
      <c r="AP117" s="955">
        <f t="shared" si="66"/>
        <v>12547.847639730002</v>
      </c>
      <c r="AQ117" s="955">
        <f t="shared" si="66"/>
        <v>12886.978657019999</v>
      </c>
      <c r="AR117" s="955">
        <f t="shared" si="66"/>
        <v>13226.109674310001</v>
      </c>
      <c r="AS117" s="955">
        <f t="shared" si="66"/>
        <v>13565.2406916</v>
      </c>
      <c r="AT117" s="955">
        <f t="shared" si="66"/>
        <v>13904.371708890001</v>
      </c>
      <c r="AU117" s="955">
        <f t="shared" si="66"/>
        <v>14243.502726180002</v>
      </c>
      <c r="AV117" s="955">
        <f t="shared" si="66"/>
        <v>14582.63374347</v>
      </c>
      <c r="AW117" s="955">
        <f t="shared" si="66"/>
        <v>14921.764760760001</v>
      </c>
      <c r="AX117" s="955">
        <f t="shared" si="66"/>
        <v>15260.89577805</v>
      </c>
      <c r="AY117" s="955">
        <f t="shared" si="66"/>
        <v>15600.02679534</v>
      </c>
      <c r="AZ117" s="955">
        <f t="shared" si="66"/>
        <v>15939.157812630003</v>
      </c>
      <c r="BA117" s="955">
        <f t="shared" si="66"/>
        <v>16278.28882992</v>
      </c>
      <c r="BB117" s="955">
        <f t="shared" si="66"/>
        <v>16617.41984721</v>
      </c>
      <c r="BC117" s="955">
        <f t="shared" si="66"/>
        <v>16956.550864500001</v>
      </c>
      <c r="BD117" s="955">
        <f t="shared" si="66"/>
        <v>17295.681881790002</v>
      </c>
      <c r="BE117" s="955">
        <f t="shared" si="66"/>
        <v>17634.812899080003</v>
      </c>
      <c r="BF117" s="955">
        <f t="shared" si="66"/>
        <v>17973.943916370001</v>
      </c>
      <c r="BG117" s="1151"/>
      <c r="BH117" s="1151"/>
      <c r="BI117" s="1151"/>
      <c r="BJ117" s="1151"/>
      <c r="BK117" s="1151"/>
      <c r="BL117" s="1151"/>
      <c r="BM117" s="1151"/>
      <c r="BN117" s="1151"/>
      <c r="BO117" s="1151"/>
      <c r="BP117" s="1151"/>
      <c r="BQ117" s="1151"/>
      <c r="BR117" s="1151"/>
      <c r="BS117" s="1151"/>
      <c r="BT117" s="1151"/>
      <c r="BU117" s="1151"/>
      <c r="BV117" s="1151"/>
      <c r="BW117" s="1151"/>
      <c r="BX117" s="1151"/>
      <c r="BY117" s="1151"/>
      <c r="BZ117" s="1151"/>
      <c r="CA117" s="1151"/>
      <c r="CB117" s="1151"/>
      <c r="CC117" s="1151"/>
      <c r="CD117" s="1151"/>
      <c r="CE117" s="1151"/>
      <c r="CF117" s="1151"/>
      <c r="CG117" s="1151"/>
      <c r="CH117" s="1151"/>
      <c r="CI117" s="1151"/>
      <c r="CJ117" s="1151"/>
      <c r="CK117" s="1151"/>
      <c r="CL117" s="1151"/>
      <c r="CM117" s="1151"/>
      <c r="CN117" s="1151"/>
      <c r="CO117" s="1151"/>
      <c r="CP117" s="1151"/>
      <c r="CQ117" s="1151"/>
      <c r="CR117" s="1151"/>
      <c r="CS117" s="1151"/>
      <c r="CT117" s="1151"/>
      <c r="CU117" s="1151"/>
      <c r="CV117" s="1151"/>
      <c r="CW117" s="1151"/>
      <c r="CX117" s="1151"/>
      <c r="CY117" s="1151"/>
      <c r="CZ117" s="1151"/>
      <c r="DA117" s="1151"/>
      <c r="DB117" s="1151"/>
      <c r="DC117" s="1151"/>
      <c r="DD117" s="1151"/>
      <c r="DE117" s="1151"/>
      <c r="DF117" s="1151"/>
    </row>
    <row r="118" spans="1:110" ht="15.75" thickBot="1">
      <c r="A118" s="2773"/>
      <c r="B118" s="2730" t="s">
        <v>518</v>
      </c>
      <c r="C118" s="2730"/>
      <c r="D118" s="1091"/>
      <c r="E118" s="1091"/>
      <c r="F118" s="1091"/>
      <c r="G118" s="1091"/>
      <c r="H118" s="1091"/>
      <c r="I118" s="1091"/>
      <c r="J118" s="955"/>
      <c r="K118" s="955"/>
      <c r="L118" s="955">
        <f>((L$86-$H$4)/1000)*IF($C$13=0,$Q$29,$Q$46)*(($C$8/70)^$AB$46)*IF($C$13=1,$AG$47,IF($C$13=2,$AH$47,IF($C$13=3,$AI$47,1)))</f>
        <v>2498.8601274000002</v>
      </c>
      <c r="M118" s="955">
        <f t="shared" ref="M118:AQ118" si="67">((M$86-$H$4)/1000)*IF($C$13=0,$Q$29,$Q$46)*(($C$8/70)^$AB$46)*IF($C$13=1,$AG$47,IF($C$13=2,$AH$47,IF($C$13=3,$AI$47,1)))</f>
        <v>2855.8401456000006</v>
      </c>
      <c r="N118" s="955">
        <f t="shared" si="67"/>
        <v>3212.8201638000005</v>
      </c>
      <c r="O118" s="955">
        <f t="shared" si="67"/>
        <v>3569.8001820000004</v>
      </c>
      <c r="P118" s="955">
        <f t="shared" si="67"/>
        <v>3926.7802002000008</v>
      </c>
      <c r="Q118" s="955">
        <f t="shared" si="67"/>
        <v>4283.7602184000007</v>
      </c>
      <c r="R118" s="955">
        <f t="shared" si="67"/>
        <v>4640.7402366000006</v>
      </c>
      <c r="S118" s="955">
        <f t="shared" si="67"/>
        <v>4997.7202548000005</v>
      </c>
      <c r="T118" s="955">
        <f t="shared" si="67"/>
        <v>5354.7002730000004</v>
      </c>
      <c r="U118" s="955">
        <f t="shared" si="67"/>
        <v>5711.6802912000012</v>
      </c>
      <c r="V118" s="955">
        <f t="shared" si="67"/>
        <v>6068.6603094000002</v>
      </c>
      <c r="W118" s="955">
        <f t="shared" si="67"/>
        <v>6425.640327600001</v>
      </c>
      <c r="X118" s="955">
        <f t="shared" si="67"/>
        <v>6782.6203458</v>
      </c>
      <c r="Y118" s="955">
        <f t="shared" si="67"/>
        <v>7139.6003640000008</v>
      </c>
      <c r="Z118" s="955">
        <f t="shared" si="67"/>
        <v>7496.5803822000007</v>
      </c>
      <c r="AA118" s="955">
        <f t="shared" si="67"/>
        <v>7853.5604004000015</v>
      </c>
      <c r="AB118" s="955">
        <f t="shared" si="67"/>
        <v>8210.5404185999996</v>
      </c>
      <c r="AC118" s="955">
        <f t="shared" si="67"/>
        <v>8567.5204368000013</v>
      </c>
      <c r="AD118" s="955">
        <f t="shared" si="67"/>
        <v>8924.5004550000012</v>
      </c>
      <c r="AE118" s="955">
        <f t="shared" si="67"/>
        <v>9281.4804732000011</v>
      </c>
      <c r="AF118" s="955">
        <f t="shared" si="67"/>
        <v>9638.460491400001</v>
      </c>
      <c r="AG118" s="955">
        <f t="shared" si="67"/>
        <v>9995.440509600001</v>
      </c>
      <c r="AH118" s="955">
        <f t="shared" si="67"/>
        <v>10352.420527800001</v>
      </c>
      <c r="AI118" s="955">
        <f t="shared" si="67"/>
        <v>10709.400546000001</v>
      </c>
      <c r="AJ118" s="955">
        <f t="shared" si="67"/>
        <v>11066.380564200001</v>
      </c>
      <c r="AK118" s="955">
        <f t="shared" si="67"/>
        <v>11423.360582400002</v>
      </c>
      <c r="AL118" s="955">
        <f t="shared" si="67"/>
        <v>11780.340600599999</v>
      </c>
      <c r="AM118" s="955">
        <f t="shared" si="67"/>
        <v>12137.3206188</v>
      </c>
      <c r="AN118" s="955">
        <f t="shared" si="67"/>
        <v>12494.300637</v>
      </c>
      <c r="AO118" s="955">
        <f t="shared" si="67"/>
        <v>12851.280655200002</v>
      </c>
      <c r="AP118" s="955">
        <f t="shared" si="67"/>
        <v>13208.260673400002</v>
      </c>
      <c r="AQ118" s="955">
        <f t="shared" si="67"/>
        <v>13565.2406916</v>
      </c>
      <c r="AR118" s="955">
        <f t="shared" ref="AR118:BW118" si="68">((AR$86-$H$4)/1000)*IF($C$13=0,$Q$29,$Q$46)*(($C$8/70)^$AB$46)*IF($C$13=1,$AG$47,IF($C$13=2,$AH$47,IF($C$13=3,$AI$47,1)))</f>
        <v>13922.220709800002</v>
      </c>
      <c r="AS118" s="955">
        <f t="shared" si="68"/>
        <v>14279.200728000002</v>
      </c>
      <c r="AT118" s="955">
        <f t="shared" si="68"/>
        <v>14636.1807462</v>
      </c>
      <c r="AU118" s="955">
        <f t="shared" si="68"/>
        <v>14993.160764400001</v>
      </c>
      <c r="AV118" s="955">
        <f t="shared" si="68"/>
        <v>15350.1407826</v>
      </c>
      <c r="AW118" s="955">
        <f t="shared" si="68"/>
        <v>15707.120800800003</v>
      </c>
      <c r="AX118" s="955">
        <f t="shared" si="68"/>
        <v>16064.100819000003</v>
      </c>
      <c r="AY118" s="955">
        <f t="shared" si="68"/>
        <v>16421.080837199999</v>
      </c>
      <c r="AZ118" s="955">
        <f t="shared" si="68"/>
        <v>16778.060855400003</v>
      </c>
      <c r="BA118" s="955">
        <f t="shared" si="68"/>
        <v>17135.040873600003</v>
      </c>
      <c r="BB118" s="955">
        <f t="shared" si="68"/>
        <v>17492.020891800003</v>
      </c>
      <c r="BC118" s="955">
        <f t="shared" si="68"/>
        <v>17849.000910000002</v>
      </c>
      <c r="BD118" s="955">
        <f t="shared" si="68"/>
        <v>18205.980928199999</v>
      </c>
      <c r="BE118" s="955">
        <f t="shared" si="68"/>
        <v>18562.960946400002</v>
      </c>
      <c r="BF118" s="955">
        <f t="shared" si="68"/>
        <v>18919.940964599999</v>
      </c>
      <c r="BG118" s="956">
        <f t="shared" si="68"/>
        <v>-2498.8601274000002</v>
      </c>
      <c r="BH118" s="956">
        <f t="shared" si="68"/>
        <v>-2498.8601274000002</v>
      </c>
      <c r="BI118" s="956">
        <f t="shared" si="68"/>
        <v>-2498.8601274000002</v>
      </c>
      <c r="BJ118" s="956">
        <f t="shared" si="68"/>
        <v>1070.9400546000002</v>
      </c>
      <c r="BK118" s="956">
        <f t="shared" si="68"/>
        <v>1427.9200728000003</v>
      </c>
      <c r="BL118" s="956">
        <f t="shared" si="68"/>
        <v>1784.9000910000002</v>
      </c>
      <c r="BM118" s="956">
        <f t="shared" si="68"/>
        <v>2141.8801092000003</v>
      </c>
      <c r="BN118" s="956">
        <f t="shared" si="68"/>
        <v>2498.8601274000002</v>
      </c>
      <c r="BO118" s="956">
        <f t="shared" si="68"/>
        <v>2855.8401456000006</v>
      </c>
      <c r="BP118" s="956">
        <f t="shared" si="68"/>
        <v>3212.8201638000005</v>
      </c>
      <c r="BQ118" s="956">
        <f t="shared" si="68"/>
        <v>3569.8001820000004</v>
      </c>
      <c r="BR118" s="956">
        <f t="shared" si="68"/>
        <v>3926.7802002000008</v>
      </c>
      <c r="BS118" s="956">
        <f t="shared" si="68"/>
        <v>4283.7602184000007</v>
      </c>
      <c r="BT118" s="956">
        <f t="shared" si="68"/>
        <v>4640.7402366000006</v>
      </c>
      <c r="BU118" s="956">
        <f t="shared" si="68"/>
        <v>4997.7202548000005</v>
      </c>
      <c r="BV118" s="956">
        <f t="shared" si="68"/>
        <v>5354.7002730000004</v>
      </c>
      <c r="BW118" s="956">
        <f t="shared" si="68"/>
        <v>5711.6802912000012</v>
      </c>
      <c r="BX118" s="956">
        <f t="shared" ref="BX118:DF118" si="69">((BX$86-$H$4)/1000)*IF($C$13=0,$Q$29,$Q$46)*(($C$8/70)^$AB$46)*IF($C$13=1,$AG$47,IF($C$13=2,$AH$47,IF($C$13=3,$AI$47,1)))</f>
        <v>6068.6603094000002</v>
      </c>
      <c r="BY118" s="956">
        <f t="shared" si="69"/>
        <v>6425.640327600001</v>
      </c>
      <c r="BZ118" s="956">
        <f t="shared" si="69"/>
        <v>6782.6203458</v>
      </c>
      <c r="CA118" s="956">
        <f t="shared" si="69"/>
        <v>7139.6003640000008</v>
      </c>
      <c r="CB118" s="956">
        <f t="shared" si="69"/>
        <v>7496.5803822000007</v>
      </c>
      <c r="CC118" s="956">
        <f t="shared" si="69"/>
        <v>7853.5604004000015</v>
      </c>
      <c r="CD118" s="956">
        <f t="shared" si="69"/>
        <v>8210.5404185999996</v>
      </c>
      <c r="CE118" s="956">
        <f t="shared" si="69"/>
        <v>8567.5204368000013</v>
      </c>
      <c r="CF118" s="956">
        <f t="shared" si="69"/>
        <v>8924.5004550000012</v>
      </c>
      <c r="CG118" s="956">
        <f t="shared" si="69"/>
        <v>9281.4804732000011</v>
      </c>
      <c r="CH118" s="956">
        <f t="shared" si="69"/>
        <v>9638.460491400001</v>
      </c>
      <c r="CI118" s="956">
        <f t="shared" si="69"/>
        <v>9995.440509600001</v>
      </c>
      <c r="CJ118" s="956">
        <f t="shared" si="69"/>
        <v>10352.420527800001</v>
      </c>
      <c r="CK118" s="956">
        <f t="shared" si="69"/>
        <v>10709.400546000001</v>
      </c>
      <c r="CL118" s="956">
        <f t="shared" si="69"/>
        <v>11066.380564200001</v>
      </c>
      <c r="CM118" s="956">
        <f t="shared" si="69"/>
        <v>11423.360582400002</v>
      </c>
      <c r="CN118" s="956">
        <f t="shared" si="69"/>
        <v>11780.340600599999</v>
      </c>
      <c r="CO118" s="956">
        <f t="shared" si="69"/>
        <v>12137.3206188</v>
      </c>
      <c r="CP118" s="956">
        <f t="shared" si="69"/>
        <v>12494.300637</v>
      </c>
      <c r="CQ118" s="956">
        <f t="shared" si="69"/>
        <v>12851.280655200002</v>
      </c>
      <c r="CR118" s="956">
        <f t="shared" si="69"/>
        <v>13208.260673400002</v>
      </c>
      <c r="CS118" s="956">
        <f t="shared" si="69"/>
        <v>13565.2406916</v>
      </c>
      <c r="CT118" s="956">
        <f t="shared" si="69"/>
        <v>13922.220709800002</v>
      </c>
      <c r="CU118" s="956">
        <f t="shared" si="69"/>
        <v>14279.200728000002</v>
      </c>
      <c r="CV118" s="956">
        <f t="shared" si="69"/>
        <v>14636.1807462</v>
      </c>
      <c r="CW118" s="956">
        <f t="shared" si="69"/>
        <v>14993.160764400001</v>
      </c>
      <c r="CX118" s="956">
        <f t="shared" si="69"/>
        <v>15350.1407826</v>
      </c>
      <c r="CY118" s="956">
        <f t="shared" si="69"/>
        <v>15707.120800800003</v>
      </c>
      <c r="CZ118" s="956">
        <f t="shared" si="69"/>
        <v>16064.100819000003</v>
      </c>
      <c r="DA118" s="956">
        <f t="shared" si="69"/>
        <v>16421.080837199999</v>
      </c>
      <c r="DB118" s="956">
        <f t="shared" si="69"/>
        <v>16778.060855400003</v>
      </c>
      <c r="DC118" s="956">
        <f t="shared" si="69"/>
        <v>17135.040873600003</v>
      </c>
      <c r="DD118" s="956">
        <f t="shared" si="69"/>
        <v>17492.020891800003</v>
      </c>
      <c r="DE118" s="956">
        <f t="shared" si="69"/>
        <v>17849.000910000002</v>
      </c>
      <c r="DF118" s="956">
        <f t="shared" si="69"/>
        <v>18205.980928199999</v>
      </c>
    </row>
    <row r="119" spans="1:110">
      <c r="A119" s="2773"/>
      <c r="B119" s="2730" t="s">
        <v>536</v>
      </c>
      <c r="C119" s="2730"/>
      <c r="D119" s="1091"/>
      <c r="E119" s="1091"/>
      <c r="F119" s="1091"/>
      <c r="G119" s="1091"/>
      <c r="H119" s="1091"/>
      <c r="I119" s="1091"/>
      <c r="J119" s="955"/>
      <c r="K119" s="955"/>
      <c r="L119" s="955">
        <f>((L$86-$H$4)/1000)*IF($C$13=0,$R$29,$R$46)*(($C$8/70)^$AC$46)*IF($C$13=1,$AG$46,IF($C$13=2,$AH$46,IF($C$13=3,$AI$46,1)))</f>
        <v>2457.5847766469997</v>
      </c>
      <c r="M119" s="955">
        <f t="shared" ref="M119:BF119" si="70">((M$86-$H$4)/1000)*IF($C$13=0,$R$29,$R$46)*(($C$8/70)^$AC$46)*IF($C$13=1,$AG$46,IF($C$13=2,$AH$46,IF($C$13=3,$AI$46,1)))</f>
        <v>2808.6683161680003</v>
      </c>
      <c r="N119" s="955">
        <f t="shared" si="70"/>
        <v>3159.751855689</v>
      </c>
      <c r="O119" s="955">
        <f t="shared" si="70"/>
        <v>3510.8353952100001</v>
      </c>
      <c r="P119" s="955">
        <f t="shared" si="70"/>
        <v>3861.9189347310007</v>
      </c>
      <c r="Q119" s="955">
        <f t="shared" si="70"/>
        <v>4213.002474252</v>
      </c>
      <c r="R119" s="955">
        <f t="shared" si="70"/>
        <v>4564.0860137730006</v>
      </c>
      <c r="S119" s="955">
        <f t="shared" si="70"/>
        <v>4915.1695532939993</v>
      </c>
      <c r="T119" s="955">
        <f t="shared" si="70"/>
        <v>5266.2530928149999</v>
      </c>
      <c r="U119" s="955">
        <f t="shared" si="70"/>
        <v>5617.3366323360005</v>
      </c>
      <c r="V119" s="955">
        <f t="shared" si="70"/>
        <v>5968.4201718570002</v>
      </c>
      <c r="W119" s="955">
        <f t="shared" si="70"/>
        <v>6319.5037113779999</v>
      </c>
      <c r="X119" s="955">
        <f t="shared" si="70"/>
        <v>6670.5872508990005</v>
      </c>
      <c r="Y119" s="955">
        <f t="shared" si="70"/>
        <v>7021.6707904200002</v>
      </c>
      <c r="Z119" s="955">
        <f t="shared" si="70"/>
        <v>7372.7543299409999</v>
      </c>
      <c r="AA119" s="955">
        <f t="shared" si="70"/>
        <v>7723.8378694620014</v>
      </c>
      <c r="AB119" s="955">
        <f t="shared" si="70"/>
        <v>8074.9214089829993</v>
      </c>
      <c r="AC119" s="955">
        <f t="shared" si="70"/>
        <v>8426.0049485039999</v>
      </c>
      <c r="AD119" s="955">
        <f t="shared" si="70"/>
        <v>8777.0884880249996</v>
      </c>
      <c r="AE119" s="955">
        <f t="shared" si="70"/>
        <v>9128.1720275460011</v>
      </c>
      <c r="AF119" s="955">
        <f t="shared" si="70"/>
        <v>9479.2555670670008</v>
      </c>
      <c r="AG119" s="955">
        <f t="shared" si="70"/>
        <v>9830.3391065879987</v>
      </c>
      <c r="AH119" s="955">
        <f t="shared" si="70"/>
        <v>10181.422646108998</v>
      </c>
      <c r="AI119" s="955">
        <f t="shared" si="70"/>
        <v>10532.50618563</v>
      </c>
      <c r="AJ119" s="955">
        <f t="shared" si="70"/>
        <v>10883.589725151001</v>
      </c>
      <c r="AK119" s="955">
        <f t="shared" si="70"/>
        <v>11234.673264672001</v>
      </c>
      <c r="AL119" s="955">
        <f t="shared" si="70"/>
        <v>11585.756804192999</v>
      </c>
      <c r="AM119" s="955">
        <f t="shared" si="70"/>
        <v>11936.840343714</v>
      </c>
      <c r="AN119" s="955">
        <f t="shared" si="70"/>
        <v>12287.923883235002</v>
      </c>
      <c r="AO119" s="955">
        <f t="shared" si="70"/>
        <v>12639.007422756</v>
      </c>
      <c r="AP119" s="955">
        <f t="shared" si="70"/>
        <v>12990.090962277001</v>
      </c>
      <c r="AQ119" s="955">
        <f t="shared" si="70"/>
        <v>13341.174501798001</v>
      </c>
      <c r="AR119" s="955">
        <f t="shared" si="70"/>
        <v>13692.258041318999</v>
      </c>
      <c r="AS119" s="955">
        <f t="shared" si="70"/>
        <v>14043.34158084</v>
      </c>
      <c r="AT119" s="955">
        <f t="shared" si="70"/>
        <v>14394.425120361</v>
      </c>
      <c r="AU119" s="955">
        <f t="shared" si="70"/>
        <v>14745.508659882</v>
      </c>
      <c r="AV119" s="955">
        <f t="shared" si="70"/>
        <v>15096.592199403</v>
      </c>
      <c r="AW119" s="955">
        <f t="shared" si="70"/>
        <v>15447.675738924003</v>
      </c>
      <c r="AX119" s="955">
        <f t="shared" si="70"/>
        <v>15798.759278444999</v>
      </c>
      <c r="AY119" s="955">
        <f t="shared" si="70"/>
        <v>16149.842817965999</v>
      </c>
      <c r="AZ119" s="955">
        <f t="shared" si="70"/>
        <v>16500.926357487002</v>
      </c>
      <c r="BA119" s="955">
        <f t="shared" si="70"/>
        <v>16852.009897008</v>
      </c>
      <c r="BB119" s="955">
        <f t="shared" si="70"/>
        <v>17203.093436529001</v>
      </c>
      <c r="BC119" s="955">
        <f t="shared" si="70"/>
        <v>17554.176976049999</v>
      </c>
      <c r="BD119" s="955">
        <f t="shared" si="70"/>
        <v>17905.260515571001</v>
      </c>
      <c r="BE119" s="955">
        <f t="shared" si="70"/>
        <v>18256.344055092002</v>
      </c>
      <c r="BF119" s="955">
        <f t="shared" si="70"/>
        <v>18607.427594613</v>
      </c>
      <c r="BG119" s="1152"/>
      <c r="BH119" s="1152"/>
      <c r="BI119" s="1152"/>
      <c r="BJ119" s="1152"/>
      <c r="BK119" s="1152"/>
      <c r="BL119" s="1152"/>
      <c r="BM119" s="1152"/>
      <c r="BN119" s="1152"/>
      <c r="BO119" s="1152"/>
      <c r="BP119" s="1152"/>
      <c r="BQ119" s="1152"/>
      <c r="BR119" s="1152"/>
      <c r="BS119" s="1152"/>
      <c r="BT119" s="1152"/>
      <c r="BU119" s="1152"/>
      <c r="BV119" s="1152"/>
      <c r="BW119" s="1152"/>
      <c r="BX119" s="1152"/>
      <c r="BY119" s="1152"/>
      <c r="BZ119" s="1152"/>
      <c r="CA119" s="1152"/>
      <c r="CB119" s="1152"/>
      <c r="CC119" s="1152"/>
      <c r="CD119" s="1152"/>
      <c r="CE119" s="1152"/>
      <c r="CF119" s="1152"/>
      <c r="CG119" s="1152"/>
      <c r="CH119" s="1152"/>
      <c r="CI119" s="1152"/>
      <c r="CJ119" s="1152"/>
      <c r="CK119" s="1152"/>
      <c r="CL119" s="1152"/>
      <c r="CM119" s="1152"/>
      <c r="CN119" s="1152"/>
      <c r="CO119" s="1152"/>
      <c r="CP119" s="1152"/>
      <c r="CQ119" s="1152"/>
      <c r="CR119" s="1152"/>
      <c r="CS119" s="1152"/>
      <c r="CT119" s="1152"/>
      <c r="CU119" s="1152"/>
      <c r="CV119" s="1152"/>
      <c r="CW119" s="1152"/>
      <c r="CX119" s="1152"/>
      <c r="CY119" s="1152"/>
      <c r="CZ119" s="1152"/>
      <c r="DA119" s="1152"/>
      <c r="DB119" s="1152"/>
      <c r="DC119" s="1152"/>
      <c r="DD119" s="1152"/>
      <c r="DE119" s="1152"/>
      <c r="DF119" s="1152"/>
    </row>
    <row r="120" spans="1:110" ht="15.75" thickBot="1">
      <c r="A120" s="2773"/>
      <c r="B120" s="2731" t="s">
        <v>537</v>
      </c>
      <c r="C120" s="2731"/>
      <c r="D120" s="1092"/>
      <c r="E120" s="1092"/>
      <c r="F120" s="1092"/>
      <c r="G120" s="1092"/>
      <c r="H120" s="1092"/>
      <c r="I120" s="1092"/>
      <c r="J120" s="956"/>
      <c r="K120" s="956"/>
      <c r="L120" s="956">
        <f>((L$86-$H$4)/1000)*IF($C$13=0,$S$29,$S$46)*(($C$8/70)^$AD$46)*IF($C$13=1,$AG$46,IF($C$13=2,$AH$46,IF($C$13=3,$AI$46,1)))</f>
        <v>2685.8850017999994</v>
      </c>
      <c r="M120" s="956">
        <f t="shared" ref="M120:BF120" si="71">((M$86-$H$4)/1000)*IF($C$13=0,$S$29,$S$46)*(($C$8/70)^$AD$46)*IF($C$13=1,$AG$46,IF($C$13=2,$AH$46,IF($C$13=3,$AI$46,1)))</f>
        <v>3069.5828592000003</v>
      </c>
      <c r="N120" s="956">
        <f t="shared" si="71"/>
        <v>3453.2807165999998</v>
      </c>
      <c r="O120" s="956">
        <f t="shared" si="71"/>
        <v>3836.9785739999998</v>
      </c>
      <c r="P120" s="956">
        <f t="shared" si="71"/>
        <v>4220.6764314000002</v>
      </c>
      <c r="Q120" s="956">
        <f t="shared" si="71"/>
        <v>4604.3742887999988</v>
      </c>
      <c r="R120" s="956">
        <f t="shared" si="71"/>
        <v>4988.0721462000001</v>
      </c>
      <c r="S120" s="956">
        <f t="shared" si="71"/>
        <v>5371.7700035999987</v>
      </c>
      <c r="T120" s="956">
        <f t="shared" si="71"/>
        <v>5755.4678609999992</v>
      </c>
      <c r="U120" s="956">
        <f t="shared" si="71"/>
        <v>6139.1657184000005</v>
      </c>
      <c r="V120" s="956">
        <f t="shared" si="71"/>
        <v>6522.8635757999991</v>
      </c>
      <c r="W120" s="956">
        <f t="shared" si="71"/>
        <v>6906.5614331999996</v>
      </c>
      <c r="X120" s="956">
        <f t="shared" si="71"/>
        <v>7290.2592905999982</v>
      </c>
      <c r="Y120" s="956">
        <f t="shared" si="71"/>
        <v>7673.9571479999995</v>
      </c>
      <c r="Z120" s="956">
        <f t="shared" si="71"/>
        <v>8057.6550053999999</v>
      </c>
      <c r="AA120" s="956">
        <f t="shared" si="71"/>
        <v>8441.3528628000004</v>
      </c>
      <c r="AB120" s="956">
        <f t="shared" si="71"/>
        <v>8825.050720199999</v>
      </c>
      <c r="AC120" s="956">
        <f t="shared" si="71"/>
        <v>9208.7485775999976</v>
      </c>
      <c r="AD120" s="956">
        <f t="shared" si="71"/>
        <v>9592.4464349999998</v>
      </c>
      <c r="AE120" s="956">
        <f t="shared" si="71"/>
        <v>9976.1442924000003</v>
      </c>
      <c r="AF120" s="956">
        <f t="shared" si="71"/>
        <v>10359.842149800001</v>
      </c>
      <c r="AG120" s="956">
        <f t="shared" si="71"/>
        <v>10743.540007199997</v>
      </c>
      <c r="AH120" s="956">
        <f t="shared" si="71"/>
        <v>11127.237864599998</v>
      </c>
      <c r="AI120" s="956">
        <f t="shared" si="71"/>
        <v>11510.935721999998</v>
      </c>
      <c r="AJ120" s="956">
        <f t="shared" si="71"/>
        <v>11894.633579400001</v>
      </c>
      <c r="AK120" s="956">
        <f t="shared" si="71"/>
        <v>12278.331436800001</v>
      </c>
      <c r="AL120" s="956">
        <f t="shared" si="71"/>
        <v>12662.029294199998</v>
      </c>
      <c r="AM120" s="956">
        <f t="shared" si="71"/>
        <v>13045.727151599998</v>
      </c>
      <c r="AN120" s="956">
        <f t="shared" si="71"/>
        <v>13429.425008999999</v>
      </c>
      <c r="AO120" s="956">
        <f t="shared" si="71"/>
        <v>13813.122866399999</v>
      </c>
      <c r="AP120" s="956">
        <f t="shared" si="71"/>
        <v>14196.8207238</v>
      </c>
      <c r="AQ120" s="956">
        <f t="shared" si="71"/>
        <v>14580.518581199996</v>
      </c>
      <c r="AR120" s="956">
        <f t="shared" si="71"/>
        <v>14964.216438599997</v>
      </c>
      <c r="AS120" s="956">
        <f t="shared" si="71"/>
        <v>15347.914295999999</v>
      </c>
      <c r="AT120" s="956">
        <f t="shared" si="71"/>
        <v>15731.612153399998</v>
      </c>
      <c r="AU120" s="956">
        <f t="shared" si="71"/>
        <v>16115.3100108</v>
      </c>
      <c r="AV120" s="956">
        <f t="shared" si="71"/>
        <v>16499.007868199995</v>
      </c>
      <c r="AW120" s="956">
        <f t="shared" si="71"/>
        <v>16882.705725600001</v>
      </c>
      <c r="AX120" s="956">
        <f t="shared" si="71"/>
        <v>17266.403582999999</v>
      </c>
      <c r="AY120" s="956">
        <f t="shared" si="71"/>
        <v>17650.101440399998</v>
      </c>
      <c r="AZ120" s="956">
        <f t="shared" si="71"/>
        <v>18033.7992978</v>
      </c>
      <c r="BA120" s="956">
        <f t="shared" si="71"/>
        <v>18417.497155199995</v>
      </c>
      <c r="BB120" s="956">
        <f t="shared" si="71"/>
        <v>18801.195012600001</v>
      </c>
      <c r="BC120" s="956">
        <f t="shared" si="71"/>
        <v>19184.89287</v>
      </c>
      <c r="BD120" s="956">
        <f t="shared" si="71"/>
        <v>19568.590727399998</v>
      </c>
      <c r="BE120" s="956">
        <f t="shared" si="71"/>
        <v>19952.288584800001</v>
      </c>
      <c r="BF120" s="956">
        <f t="shared" si="71"/>
        <v>20335.986442199999</v>
      </c>
      <c r="BG120" s="1152"/>
      <c r="BH120" s="1152"/>
      <c r="BI120" s="1152"/>
      <c r="BJ120" s="1152"/>
      <c r="BK120" s="1152"/>
      <c r="BL120" s="1152"/>
      <c r="BM120" s="1152"/>
      <c r="BN120" s="1152"/>
      <c r="BO120" s="1152"/>
      <c r="BP120" s="1152"/>
      <c r="BQ120" s="1152"/>
      <c r="BR120" s="1152"/>
      <c r="BS120" s="1152"/>
      <c r="BT120" s="1152"/>
      <c r="BU120" s="1152"/>
      <c r="BV120" s="1152"/>
      <c r="BW120" s="1152"/>
      <c r="BX120" s="1152"/>
      <c r="BY120" s="1152"/>
      <c r="BZ120" s="1152"/>
      <c r="CA120" s="1152"/>
      <c r="CB120" s="1152"/>
      <c r="CC120" s="1152"/>
      <c r="CD120" s="1152"/>
      <c r="CE120" s="1152"/>
      <c r="CF120" s="1152"/>
      <c r="CG120" s="1152"/>
      <c r="CH120" s="1152"/>
      <c r="CI120" s="1152"/>
      <c r="CJ120" s="1152"/>
      <c r="CK120" s="1152"/>
      <c r="CL120" s="1152"/>
      <c r="CM120" s="1152"/>
      <c r="CN120" s="1152"/>
      <c r="CO120" s="1152"/>
      <c r="CP120" s="1152"/>
      <c r="CQ120" s="1152"/>
      <c r="CR120" s="1152"/>
      <c r="CS120" s="1152"/>
      <c r="CT120" s="1152"/>
      <c r="CU120" s="1152"/>
      <c r="CV120" s="1152"/>
      <c r="CW120" s="1152"/>
      <c r="CX120" s="1152"/>
      <c r="CY120" s="1152"/>
      <c r="CZ120" s="1152"/>
      <c r="DA120" s="1152"/>
      <c r="DB120" s="1152"/>
      <c r="DC120" s="1152"/>
      <c r="DD120" s="1152"/>
      <c r="DE120" s="1152"/>
      <c r="DF120" s="1152"/>
    </row>
    <row r="121" spans="1:110">
      <c r="A121" s="2773"/>
      <c r="B121" s="2790" t="s">
        <v>519</v>
      </c>
      <c r="C121" s="2790"/>
      <c r="D121" s="1166"/>
      <c r="E121" s="1166"/>
      <c r="F121" s="1166"/>
      <c r="G121" s="1166"/>
      <c r="H121" s="1166"/>
      <c r="I121" s="1166"/>
      <c r="J121" s="875"/>
      <c r="K121" s="875"/>
      <c r="L121" s="875">
        <f>((L$86-$H$4)/1000)*IF($C$13=0,$K$30,$K$47)*(($C$8/70)^$V$47)*IF($C$13=1,$AG$48,IF($C$13=2,$AH$48,IF($C$13=3,$AI$48,1)))</f>
        <v>775.23810000000003</v>
      </c>
      <c r="M121" s="875">
        <f t="shared" ref="M121:BF121" si="72">((M$86-$H$4)/1000)*IF($C$13=0,$K$30,$K$47)*(($C$8/70)^$V$47)*IF($C$13=1,$AG$48,IF($C$13=2,$AH$48,IF($C$13=3,$AI$48,1)))</f>
        <v>885.9864</v>
      </c>
      <c r="N121" s="875">
        <f t="shared" si="72"/>
        <v>996.73470000000009</v>
      </c>
      <c r="O121" s="875">
        <f t="shared" si="72"/>
        <v>1107.4829999999999</v>
      </c>
      <c r="P121" s="875">
        <f t="shared" si="72"/>
        <v>1218.2313000000001</v>
      </c>
      <c r="Q121" s="875">
        <f t="shared" si="72"/>
        <v>1328.9795999999999</v>
      </c>
      <c r="R121" s="875">
        <f t="shared" si="72"/>
        <v>1439.7279000000001</v>
      </c>
      <c r="S121" s="875">
        <f t="shared" si="72"/>
        <v>1550.4762000000001</v>
      </c>
      <c r="T121" s="875">
        <f t="shared" si="72"/>
        <v>1661.2244999999998</v>
      </c>
      <c r="U121" s="875">
        <f t="shared" si="72"/>
        <v>1771.9728</v>
      </c>
      <c r="V121" s="875">
        <f t="shared" si="72"/>
        <v>1882.7211</v>
      </c>
      <c r="W121" s="875">
        <f t="shared" si="72"/>
        <v>1993.4694000000002</v>
      </c>
      <c r="X121" s="875">
        <f t="shared" si="72"/>
        <v>2104.2176999999997</v>
      </c>
      <c r="Y121" s="875">
        <f t="shared" si="72"/>
        <v>2214.9659999999999</v>
      </c>
      <c r="Z121" s="875">
        <f t="shared" si="72"/>
        <v>2325.7143000000001</v>
      </c>
      <c r="AA121" s="875">
        <f t="shared" si="72"/>
        <v>2436.4626000000003</v>
      </c>
      <c r="AB121" s="875">
        <f t="shared" si="72"/>
        <v>2547.2109</v>
      </c>
      <c r="AC121" s="875">
        <f t="shared" si="72"/>
        <v>2657.9591999999998</v>
      </c>
      <c r="AD121" s="875">
        <f t="shared" si="72"/>
        <v>2768.7075</v>
      </c>
      <c r="AE121" s="875">
        <f t="shared" si="72"/>
        <v>2879.4558000000002</v>
      </c>
      <c r="AF121" s="875">
        <f t="shared" si="72"/>
        <v>2990.2041000000004</v>
      </c>
      <c r="AG121" s="875">
        <f t="shared" si="72"/>
        <v>3100.9524000000001</v>
      </c>
      <c r="AH121" s="875">
        <f t="shared" si="72"/>
        <v>3211.7006999999999</v>
      </c>
      <c r="AI121" s="875">
        <f t="shared" si="72"/>
        <v>3322.4489999999996</v>
      </c>
      <c r="AJ121" s="875">
        <f t="shared" si="72"/>
        <v>3433.1972999999998</v>
      </c>
      <c r="AK121" s="875">
        <f t="shared" si="72"/>
        <v>3543.9456</v>
      </c>
      <c r="AL121" s="875">
        <f t="shared" si="72"/>
        <v>3654.6938999999998</v>
      </c>
      <c r="AM121" s="875">
        <f t="shared" si="72"/>
        <v>3765.4422</v>
      </c>
      <c r="AN121" s="875">
        <f t="shared" si="72"/>
        <v>3876.1904999999997</v>
      </c>
      <c r="AO121" s="875">
        <f t="shared" si="72"/>
        <v>3986.9388000000004</v>
      </c>
      <c r="AP121" s="875">
        <f t="shared" si="72"/>
        <v>4097.6871000000001</v>
      </c>
      <c r="AQ121" s="875">
        <f t="shared" si="72"/>
        <v>4208.4353999999994</v>
      </c>
      <c r="AR121" s="875">
        <f t="shared" si="72"/>
        <v>4319.1836999999996</v>
      </c>
      <c r="AS121" s="875">
        <f t="shared" si="72"/>
        <v>4429.9319999999998</v>
      </c>
      <c r="AT121" s="875">
        <f t="shared" si="72"/>
        <v>4540.6802999999991</v>
      </c>
      <c r="AU121" s="875">
        <f t="shared" si="72"/>
        <v>4651.4286000000002</v>
      </c>
      <c r="AV121" s="875">
        <f t="shared" si="72"/>
        <v>4762.1768999999995</v>
      </c>
      <c r="AW121" s="875">
        <f t="shared" si="72"/>
        <v>4872.9252000000006</v>
      </c>
      <c r="AX121" s="875">
        <f t="shared" si="72"/>
        <v>4983.6734999999999</v>
      </c>
      <c r="AY121" s="875">
        <f t="shared" si="72"/>
        <v>5094.4218000000001</v>
      </c>
      <c r="AZ121" s="875">
        <f t="shared" si="72"/>
        <v>5205.1701000000003</v>
      </c>
      <c r="BA121" s="875">
        <f t="shared" si="72"/>
        <v>5315.9183999999996</v>
      </c>
      <c r="BB121" s="875">
        <f t="shared" si="72"/>
        <v>5426.6666999999998</v>
      </c>
      <c r="BC121" s="875">
        <f t="shared" si="72"/>
        <v>5537.415</v>
      </c>
      <c r="BD121" s="875">
        <f t="shared" si="72"/>
        <v>5648.1632999999993</v>
      </c>
      <c r="BE121" s="875">
        <f t="shared" si="72"/>
        <v>5758.9116000000004</v>
      </c>
      <c r="BF121" s="875">
        <f t="shared" si="72"/>
        <v>5869.6598999999997</v>
      </c>
      <c r="BG121" s="17"/>
      <c r="BH121" s="17"/>
      <c r="BJ121" s="571">
        <f>0</f>
        <v>0</v>
      </c>
      <c r="BK121" s="571">
        <f>0</f>
        <v>0</v>
      </c>
      <c r="BL121" s="571">
        <f>0</f>
        <v>0</v>
      </c>
      <c r="BM121" s="571">
        <f>0</f>
        <v>0</v>
      </c>
      <c r="BN121" s="571">
        <f>0</f>
        <v>0</v>
      </c>
      <c r="BO121" s="571">
        <f>0</f>
        <v>0</v>
      </c>
      <c r="BP121" s="571">
        <f>0</f>
        <v>0</v>
      </c>
      <c r="BQ121" s="571">
        <f>0</f>
        <v>0</v>
      </c>
      <c r="BR121" s="571">
        <f>0</f>
        <v>0</v>
      </c>
      <c r="BS121" s="571">
        <f>0</f>
        <v>0</v>
      </c>
      <c r="BT121" s="571">
        <f>0</f>
        <v>0</v>
      </c>
      <c r="BU121" s="571">
        <f>0</f>
        <v>0</v>
      </c>
      <c r="BV121" s="571">
        <f>0</f>
        <v>0</v>
      </c>
      <c r="BW121" s="571">
        <f>0</f>
        <v>0</v>
      </c>
      <c r="BX121" s="571">
        <f>0</f>
        <v>0</v>
      </c>
      <c r="BY121" s="571">
        <f>0</f>
        <v>0</v>
      </c>
      <c r="BZ121" s="571">
        <f>0</f>
        <v>0</v>
      </c>
      <c r="CA121" s="571">
        <f>0</f>
        <v>0</v>
      </c>
      <c r="CB121" s="571">
        <f>0</f>
        <v>0</v>
      </c>
      <c r="CC121" s="571">
        <f>0</f>
        <v>0</v>
      </c>
      <c r="CD121" s="571">
        <f>0</f>
        <v>0</v>
      </c>
      <c r="CE121" s="571">
        <f>0</f>
        <v>0</v>
      </c>
      <c r="CF121" s="571">
        <f>0</f>
        <v>0</v>
      </c>
      <c r="CG121" s="571">
        <f>0</f>
        <v>0</v>
      </c>
      <c r="CH121" s="571">
        <f>0</f>
        <v>0</v>
      </c>
      <c r="CI121" s="571">
        <f>0</f>
        <v>0</v>
      </c>
      <c r="CJ121" s="571">
        <f>0</f>
        <v>0</v>
      </c>
      <c r="CK121" s="571">
        <f>0</f>
        <v>0</v>
      </c>
      <c r="CL121" s="571">
        <f>0</f>
        <v>0</v>
      </c>
      <c r="CM121" s="571">
        <f>0</f>
        <v>0</v>
      </c>
      <c r="CN121" s="571">
        <f>0</f>
        <v>0</v>
      </c>
      <c r="CO121" s="571">
        <f>0</f>
        <v>0</v>
      </c>
      <c r="CP121" s="571">
        <f>0</f>
        <v>0</v>
      </c>
      <c r="CQ121" s="571">
        <f>0</f>
        <v>0</v>
      </c>
      <c r="CR121" s="571">
        <f>0</f>
        <v>0</v>
      </c>
      <c r="CS121" s="571">
        <f>0</f>
        <v>0</v>
      </c>
      <c r="CT121" s="571">
        <f>0</f>
        <v>0</v>
      </c>
      <c r="CU121" s="571">
        <f>0</f>
        <v>0</v>
      </c>
      <c r="CV121" s="571">
        <f>0</f>
        <v>0</v>
      </c>
      <c r="CW121" s="571">
        <f>0</f>
        <v>0</v>
      </c>
      <c r="CX121" s="571">
        <f>0</f>
        <v>0</v>
      </c>
      <c r="CY121" s="571">
        <f>0</f>
        <v>0</v>
      </c>
      <c r="CZ121" s="571">
        <f>0</f>
        <v>0</v>
      </c>
      <c r="DA121" s="571">
        <f>0</f>
        <v>0</v>
      </c>
      <c r="DB121" s="571">
        <f>0</f>
        <v>0</v>
      </c>
      <c r="DC121" s="571">
        <f>0</f>
        <v>0</v>
      </c>
      <c r="DD121" s="571">
        <f>0</f>
        <v>0</v>
      </c>
      <c r="DE121" s="571">
        <f>0</f>
        <v>0</v>
      </c>
      <c r="DF121" s="571">
        <f>0</f>
        <v>0</v>
      </c>
    </row>
    <row r="122" spans="1:110">
      <c r="A122" s="2773"/>
      <c r="B122" s="2734" t="s">
        <v>520</v>
      </c>
      <c r="C122" s="2734"/>
      <c r="D122" s="1167"/>
      <c r="E122" s="1167"/>
      <c r="F122" s="1167"/>
      <c r="G122" s="1167"/>
      <c r="H122" s="1167"/>
      <c r="I122" s="1167"/>
      <c r="J122" s="876"/>
      <c r="K122" s="876"/>
      <c r="L122" s="876">
        <f>((L$86-$H$4)/1000)*IF($C$13=0,$L$30,$L$47)*(($C$8/70)^$W$47)*IF($C$13=1,$AG$49,IF($C$13=2,$AH$49,IF($C$13=3,$AI$49,1)))</f>
        <v>917.24723999999992</v>
      </c>
      <c r="M122" s="876">
        <f t="shared" ref="M122:BF122" si="73">((M$86-$H$4)/1000)*IF($C$13=0,$L$30,$L$47)*(($C$8/70)^$W$47)*IF($C$13=1,$AG$49,IF($C$13=2,$AH$49,IF($C$13=3,$AI$49,1)))</f>
        <v>1048.2825600000001</v>
      </c>
      <c r="N122" s="876">
        <f t="shared" si="73"/>
        <v>1179.3178800000001</v>
      </c>
      <c r="O122" s="876">
        <f t="shared" si="73"/>
        <v>1310.3532</v>
      </c>
      <c r="P122" s="876">
        <f t="shared" si="73"/>
        <v>1441.38852</v>
      </c>
      <c r="Q122" s="876">
        <f t="shared" si="73"/>
        <v>1572.4238399999999</v>
      </c>
      <c r="R122" s="876">
        <f t="shared" si="73"/>
        <v>1703.4591600000001</v>
      </c>
      <c r="S122" s="876">
        <f t="shared" si="73"/>
        <v>1834.4944799999998</v>
      </c>
      <c r="T122" s="876">
        <f t="shared" si="73"/>
        <v>1965.5298</v>
      </c>
      <c r="U122" s="876">
        <f t="shared" si="73"/>
        <v>2096.5651200000002</v>
      </c>
      <c r="V122" s="876">
        <f t="shared" si="73"/>
        <v>2227.6004399999997</v>
      </c>
      <c r="W122" s="876">
        <f t="shared" si="73"/>
        <v>2358.6357600000001</v>
      </c>
      <c r="X122" s="876">
        <f t="shared" si="73"/>
        <v>2489.6710800000001</v>
      </c>
      <c r="Y122" s="876">
        <f t="shared" si="73"/>
        <v>2620.7064</v>
      </c>
      <c r="Z122" s="876">
        <f t="shared" si="73"/>
        <v>2751.74172</v>
      </c>
      <c r="AA122" s="876">
        <f t="shared" si="73"/>
        <v>2882.7770399999999</v>
      </c>
      <c r="AB122" s="876">
        <f t="shared" si="73"/>
        <v>3013.8123599999999</v>
      </c>
      <c r="AC122" s="876">
        <f t="shared" si="73"/>
        <v>3144.8476799999999</v>
      </c>
      <c r="AD122" s="876">
        <f t="shared" si="73"/>
        <v>3275.8829999999998</v>
      </c>
      <c r="AE122" s="876">
        <f t="shared" si="73"/>
        <v>3406.9183200000002</v>
      </c>
      <c r="AF122" s="876">
        <f t="shared" si="73"/>
        <v>3537.9536400000002</v>
      </c>
      <c r="AG122" s="876">
        <f t="shared" si="73"/>
        <v>3668.9889599999997</v>
      </c>
      <c r="AH122" s="876">
        <f t="shared" si="73"/>
        <v>3800.0242799999996</v>
      </c>
      <c r="AI122" s="876">
        <f t="shared" si="73"/>
        <v>3931.0596</v>
      </c>
      <c r="AJ122" s="876">
        <f t="shared" si="73"/>
        <v>4062.0949200000005</v>
      </c>
      <c r="AK122" s="876">
        <f t="shared" si="73"/>
        <v>4193.1302400000004</v>
      </c>
      <c r="AL122" s="876">
        <f t="shared" si="73"/>
        <v>4324.1655599999995</v>
      </c>
      <c r="AM122" s="876">
        <f t="shared" si="73"/>
        <v>4455.2008799999994</v>
      </c>
      <c r="AN122" s="876">
        <f t="shared" si="73"/>
        <v>4586.2362000000003</v>
      </c>
      <c r="AO122" s="876">
        <f t="shared" si="73"/>
        <v>4717.2715200000002</v>
      </c>
      <c r="AP122" s="876">
        <f t="shared" si="73"/>
        <v>4848.3068400000002</v>
      </c>
      <c r="AQ122" s="876">
        <f t="shared" si="73"/>
        <v>4979.3421600000001</v>
      </c>
      <c r="AR122" s="876">
        <f t="shared" si="73"/>
        <v>5110.3774799999992</v>
      </c>
      <c r="AS122" s="876">
        <f t="shared" si="73"/>
        <v>5241.4128000000001</v>
      </c>
      <c r="AT122" s="876">
        <f t="shared" si="73"/>
        <v>5372.44812</v>
      </c>
      <c r="AU122" s="876">
        <f t="shared" si="73"/>
        <v>5503.48344</v>
      </c>
      <c r="AV122" s="876">
        <f t="shared" si="73"/>
        <v>5634.5187599999999</v>
      </c>
      <c r="AW122" s="876">
        <f t="shared" si="73"/>
        <v>5765.5540799999999</v>
      </c>
      <c r="AX122" s="876">
        <f t="shared" si="73"/>
        <v>5896.5893999999998</v>
      </c>
      <c r="AY122" s="876">
        <f t="shared" si="73"/>
        <v>6027.6247199999998</v>
      </c>
      <c r="AZ122" s="876">
        <f t="shared" si="73"/>
        <v>6158.6600399999998</v>
      </c>
      <c r="BA122" s="876">
        <f t="shared" si="73"/>
        <v>6289.6953599999997</v>
      </c>
      <c r="BB122" s="876">
        <f t="shared" si="73"/>
        <v>6420.7306800000006</v>
      </c>
      <c r="BC122" s="876">
        <f t="shared" si="73"/>
        <v>6551.7659999999996</v>
      </c>
      <c r="BD122" s="876">
        <f t="shared" si="73"/>
        <v>6682.8013199999996</v>
      </c>
      <c r="BE122" s="876">
        <f t="shared" si="73"/>
        <v>6813.8366400000004</v>
      </c>
      <c r="BF122" s="876">
        <f t="shared" si="73"/>
        <v>6944.8719599999995</v>
      </c>
      <c r="BG122" s="17"/>
      <c r="BH122" s="17"/>
      <c r="BJ122" s="571" t="e">
        <f>#REF!/J122</f>
        <v>#REF!</v>
      </c>
      <c r="BK122" s="571" t="e">
        <f>#REF!/K122</f>
        <v>#REF!</v>
      </c>
      <c r="BL122" s="571" t="e">
        <f>#REF!/L122</f>
        <v>#REF!</v>
      </c>
      <c r="BM122" s="571" t="e">
        <f>#REF!/M122</f>
        <v>#REF!</v>
      </c>
      <c r="BN122" s="571" t="e">
        <f>#REF!/N122</f>
        <v>#REF!</v>
      </c>
      <c r="BO122" s="571" t="e">
        <f>#REF!/O122</f>
        <v>#REF!</v>
      </c>
      <c r="BP122" s="571" t="e">
        <f>#REF!/P122</f>
        <v>#REF!</v>
      </c>
      <c r="BQ122" s="571" t="e">
        <f>#REF!/Q122</f>
        <v>#REF!</v>
      </c>
      <c r="BR122" s="571" t="e">
        <f>#REF!/R122</f>
        <v>#REF!</v>
      </c>
      <c r="BS122" s="571" t="e">
        <f>#REF!/S122</f>
        <v>#REF!</v>
      </c>
      <c r="BT122" s="571" t="e">
        <f>#REF!/T122</f>
        <v>#REF!</v>
      </c>
      <c r="BU122" s="571" t="e">
        <f>#REF!/U122</f>
        <v>#REF!</v>
      </c>
      <c r="BV122" s="571" t="e">
        <f>#REF!/V122</f>
        <v>#REF!</v>
      </c>
      <c r="BW122" s="571" t="e">
        <f>#REF!/W122</f>
        <v>#REF!</v>
      </c>
      <c r="BX122" s="571" t="e">
        <f>#REF!/X122</f>
        <v>#REF!</v>
      </c>
      <c r="BY122" s="571" t="e">
        <f>#REF!/Y122</f>
        <v>#REF!</v>
      </c>
      <c r="BZ122" s="571" t="e">
        <f>#REF!/Z122</f>
        <v>#REF!</v>
      </c>
      <c r="CA122" s="571" t="e">
        <f>#REF!/AA122</f>
        <v>#REF!</v>
      </c>
      <c r="CB122" s="571" t="e">
        <f>#REF!/AB122</f>
        <v>#REF!</v>
      </c>
      <c r="CC122" s="571" t="e">
        <f>#REF!/AC122</f>
        <v>#REF!</v>
      </c>
      <c r="CD122" s="571" t="e">
        <f>#REF!/AD122</f>
        <v>#REF!</v>
      </c>
      <c r="CE122" s="571" t="e">
        <f>#REF!/AE122</f>
        <v>#REF!</v>
      </c>
      <c r="CF122" s="571" t="e">
        <f>#REF!/AF122</f>
        <v>#REF!</v>
      </c>
      <c r="CG122" s="571" t="e">
        <f>#REF!/AG122</f>
        <v>#REF!</v>
      </c>
      <c r="CH122" s="571" t="e">
        <f>#REF!/AH122</f>
        <v>#REF!</v>
      </c>
      <c r="CI122" s="571" t="e">
        <f>#REF!/AI122</f>
        <v>#REF!</v>
      </c>
      <c r="CJ122" s="571" t="e">
        <f>#REF!/AJ122</f>
        <v>#REF!</v>
      </c>
      <c r="CK122" s="571" t="e">
        <f>#REF!/AK122</f>
        <v>#REF!</v>
      </c>
      <c r="CL122" s="571" t="e">
        <f>#REF!/AL122</f>
        <v>#REF!</v>
      </c>
      <c r="CM122" s="571" t="e">
        <f>#REF!/AM122</f>
        <v>#REF!</v>
      </c>
      <c r="CN122" s="571" t="e">
        <f>#REF!/AN122</f>
        <v>#REF!</v>
      </c>
      <c r="CO122" s="571" t="e">
        <f>#REF!/AO122</f>
        <v>#REF!</v>
      </c>
      <c r="CP122" s="571" t="e">
        <f>#REF!/AP122</f>
        <v>#REF!</v>
      </c>
      <c r="CQ122" s="571" t="e">
        <f>#REF!/AQ122</f>
        <v>#REF!</v>
      </c>
      <c r="CR122" s="571" t="e">
        <f>#REF!/AR122</f>
        <v>#REF!</v>
      </c>
      <c r="CS122" s="571" t="e">
        <f>#REF!/AS122</f>
        <v>#REF!</v>
      </c>
      <c r="CT122" s="571" t="e">
        <f>#REF!/AT122</f>
        <v>#REF!</v>
      </c>
      <c r="CU122" s="571" t="e">
        <f>#REF!/AU122</f>
        <v>#REF!</v>
      </c>
      <c r="CV122" s="571" t="e">
        <f>#REF!/AV122</f>
        <v>#REF!</v>
      </c>
      <c r="CW122" s="571" t="e">
        <f>#REF!/AW122</f>
        <v>#REF!</v>
      </c>
      <c r="CX122" s="571" t="e">
        <f>#REF!/AX122</f>
        <v>#REF!</v>
      </c>
      <c r="CY122" s="571" t="e">
        <f>#REF!/AY122</f>
        <v>#REF!</v>
      </c>
      <c r="CZ122" s="571" t="e">
        <f>#REF!/AZ122</f>
        <v>#REF!</v>
      </c>
      <c r="DA122" s="571" t="e">
        <f>#REF!/BA122</f>
        <v>#REF!</v>
      </c>
      <c r="DB122" s="571" t="e">
        <f>#REF!/BB122</f>
        <v>#REF!</v>
      </c>
      <c r="DC122" s="571" t="e">
        <f>#REF!/BC122</f>
        <v>#REF!</v>
      </c>
      <c r="DD122" s="571" t="e">
        <f>#REF!/BD122</f>
        <v>#REF!</v>
      </c>
      <c r="DE122" s="571" t="e">
        <f>#REF!/BE122</f>
        <v>#REF!</v>
      </c>
      <c r="DF122" s="571" t="e">
        <f>#REF!/BF122</f>
        <v>#REF!</v>
      </c>
    </row>
    <row r="123" spans="1:110">
      <c r="A123" s="2773"/>
      <c r="B123" s="2734" t="s">
        <v>521</v>
      </c>
      <c r="C123" s="2734"/>
      <c r="D123" s="1167"/>
      <c r="E123" s="1167"/>
      <c r="F123" s="1167"/>
      <c r="G123" s="1167"/>
      <c r="H123" s="1167"/>
      <c r="I123" s="1167"/>
      <c r="J123" s="876"/>
      <c r="K123" s="876"/>
      <c r="L123" s="876">
        <f>((L$86-$H$4)/1000)*IF($C$13=0,$M$30,$M$47)*(($C$8/70)^$X$47)*IF($C$13=1,$AG$47,IF($C$13=2,$AH$47,IF($C$13=3,$AI$47,1)))</f>
        <v>2053.8281399999996</v>
      </c>
      <c r="M123" s="876">
        <f t="shared" ref="M123:BF123" si="74">((M$86-$H$4)/1000)*IF($C$13=0,$M$30,$M$47)*(($C$8/70)^$X$47)*IF($C$13=1,$AG$47,IF($C$13=2,$AH$47,IF($C$13=3,$AI$47,1)))</f>
        <v>2347.23216</v>
      </c>
      <c r="N123" s="876">
        <f t="shared" si="74"/>
        <v>2640.6361799999995</v>
      </c>
      <c r="O123" s="876">
        <f t="shared" si="74"/>
        <v>2934.0401999999999</v>
      </c>
      <c r="P123" s="876">
        <f t="shared" si="74"/>
        <v>3227.4442199999999</v>
      </c>
      <c r="Q123" s="876">
        <f t="shared" si="74"/>
        <v>3520.8482399999998</v>
      </c>
      <c r="R123" s="876">
        <f t="shared" si="74"/>
        <v>3814.2522599999998</v>
      </c>
      <c r="S123" s="876">
        <f t="shared" si="74"/>
        <v>4107.6562799999992</v>
      </c>
      <c r="T123" s="876">
        <f t="shared" si="74"/>
        <v>4401.0603000000001</v>
      </c>
      <c r="U123" s="876">
        <f t="shared" si="74"/>
        <v>4694.46432</v>
      </c>
      <c r="V123" s="876">
        <f t="shared" si="74"/>
        <v>4987.8683399999991</v>
      </c>
      <c r="W123" s="876">
        <f t="shared" si="74"/>
        <v>5281.272359999999</v>
      </c>
      <c r="X123" s="876">
        <f t="shared" si="74"/>
        <v>5574.676379999999</v>
      </c>
      <c r="Y123" s="876">
        <f t="shared" si="74"/>
        <v>5868.0803999999998</v>
      </c>
      <c r="Z123" s="876">
        <f t="shared" si="74"/>
        <v>6161.4844199999998</v>
      </c>
      <c r="AA123" s="876">
        <f t="shared" si="74"/>
        <v>6454.8884399999997</v>
      </c>
      <c r="AB123" s="876">
        <f t="shared" si="74"/>
        <v>6748.2924599999988</v>
      </c>
      <c r="AC123" s="876">
        <f t="shared" si="74"/>
        <v>7041.6964799999996</v>
      </c>
      <c r="AD123" s="876">
        <f t="shared" si="74"/>
        <v>7335.1004999999996</v>
      </c>
      <c r="AE123" s="876">
        <f t="shared" si="74"/>
        <v>7628.5045199999995</v>
      </c>
      <c r="AF123" s="876">
        <f t="shared" si="74"/>
        <v>7921.9085400000004</v>
      </c>
      <c r="AG123" s="876">
        <f t="shared" si="74"/>
        <v>8215.3125599999985</v>
      </c>
      <c r="AH123" s="876">
        <f t="shared" si="74"/>
        <v>8508.7165799999984</v>
      </c>
      <c r="AI123" s="876">
        <f t="shared" si="74"/>
        <v>8802.1206000000002</v>
      </c>
      <c r="AJ123" s="876">
        <f t="shared" si="74"/>
        <v>9095.5246200000001</v>
      </c>
      <c r="AK123" s="876">
        <f t="shared" si="74"/>
        <v>9388.9286400000001</v>
      </c>
      <c r="AL123" s="876">
        <f t="shared" si="74"/>
        <v>9682.3326599999982</v>
      </c>
      <c r="AM123" s="876">
        <f t="shared" si="74"/>
        <v>9975.7366799999982</v>
      </c>
      <c r="AN123" s="876">
        <f t="shared" si="74"/>
        <v>10269.140699999998</v>
      </c>
      <c r="AO123" s="876">
        <f t="shared" si="74"/>
        <v>10562.544719999998</v>
      </c>
      <c r="AP123" s="876">
        <f t="shared" si="74"/>
        <v>10855.94874</v>
      </c>
      <c r="AQ123" s="876">
        <f t="shared" si="74"/>
        <v>11149.352759999998</v>
      </c>
      <c r="AR123" s="876">
        <f t="shared" si="74"/>
        <v>11442.756779999998</v>
      </c>
      <c r="AS123" s="876">
        <f t="shared" si="74"/>
        <v>11736.1608</v>
      </c>
      <c r="AT123" s="876">
        <f t="shared" si="74"/>
        <v>12029.564819999998</v>
      </c>
      <c r="AU123" s="876">
        <f t="shared" si="74"/>
        <v>12322.96884</v>
      </c>
      <c r="AV123" s="876">
        <f t="shared" si="74"/>
        <v>12616.372859999999</v>
      </c>
      <c r="AW123" s="876">
        <f t="shared" si="74"/>
        <v>12909.776879999999</v>
      </c>
      <c r="AX123" s="876">
        <f t="shared" si="74"/>
        <v>13203.180899999999</v>
      </c>
      <c r="AY123" s="876">
        <f t="shared" si="74"/>
        <v>13496.584919999998</v>
      </c>
      <c r="AZ123" s="876">
        <f t="shared" si="74"/>
        <v>13789.988939999999</v>
      </c>
      <c r="BA123" s="876">
        <f t="shared" si="74"/>
        <v>14083.392959999999</v>
      </c>
      <c r="BB123" s="876">
        <f t="shared" si="74"/>
        <v>14376.796979999999</v>
      </c>
      <c r="BC123" s="876">
        <f t="shared" si="74"/>
        <v>14670.200999999999</v>
      </c>
      <c r="BD123" s="876">
        <f t="shared" si="74"/>
        <v>14963.605019999999</v>
      </c>
      <c r="BE123" s="876">
        <f t="shared" si="74"/>
        <v>15257.009039999999</v>
      </c>
      <c r="BF123" s="876">
        <f t="shared" si="74"/>
        <v>15550.413059999997</v>
      </c>
      <c r="BG123" s="17"/>
      <c r="BH123" s="17"/>
      <c r="BJ123" s="571" t="e">
        <f t="shared" ref="BJ123:BS124" si="75">H151/J123</f>
        <v>#DIV/0!</v>
      </c>
      <c r="BK123" s="571" t="e">
        <f t="shared" si="75"/>
        <v>#DIV/0!</v>
      </c>
      <c r="BL123" s="571">
        <f t="shared" si="75"/>
        <v>0.45054945054945056</v>
      </c>
      <c r="BM123" s="571">
        <f t="shared" si="75"/>
        <v>0.47307692307692301</v>
      </c>
      <c r="BN123" s="571">
        <f t="shared" si="75"/>
        <v>0.49059829059829052</v>
      </c>
      <c r="BO123" s="571">
        <f t="shared" si="75"/>
        <v>0.50461538461538458</v>
      </c>
      <c r="BP123" s="571">
        <f t="shared" si="75"/>
        <v>0.51608391608391602</v>
      </c>
      <c r="BQ123" s="571">
        <f t="shared" si="75"/>
        <v>0.52564102564102555</v>
      </c>
      <c r="BR123" s="571">
        <f t="shared" si="75"/>
        <v>0.53372781065088759</v>
      </c>
      <c r="BS123" s="571">
        <f t="shared" si="75"/>
        <v>0.54065934065934063</v>
      </c>
      <c r="BT123" s="571">
        <f t="shared" ref="BT123:CC124" si="76">R151/T123</f>
        <v>0.54666666666666652</v>
      </c>
      <c r="BU123" s="571">
        <f t="shared" si="76"/>
        <v>0.55192307692307674</v>
      </c>
      <c r="BV123" s="571">
        <f t="shared" si="76"/>
        <v>0.5565610859728507</v>
      </c>
      <c r="BW123" s="571">
        <f t="shared" si="76"/>
        <v>0.56068376068376069</v>
      </c>
      <c r="BX123" s="571">
        <f t="shared" si="76"/>
        <v>0.56437246963562748</v>
      </c>
      <c r="BY123" s="571">
        <f t="shared" si="76"/>
        <v>0.56769230769230761</v>
      </c>
      <c r="BZ123" s="571">
        <f t="shared" si="76"/>
        <v>0.57069597069597056</v>
      </c>
      <c r="CA123" s="571">
        <f t="shared" si="76"/>
        <v>0.57342657342657333</v>
      </c>
      <c r="CB123" s="571">
        <f t="shared" si="76"/>
        <v>0.57591973244147165</v>
      </c>
      <c r="CC123" s="571">
        <f t="shared" si="76"/>
        <v>0.57820512820512815</v>
      </c>
      <c r="CD123" s="571">
        <f t="shared" ref="CD123:CM124" si="77">AB151/AD123</f>
        <v>0.5803076923076923</v>
      </c>
      <c r="CE123" s="571">
        <f t="shared" si="77"/>
        <v>0.58224852071005906</v>
      </c>
      <c r="CF123" s="571">
        <f t="shared" si="77"/>
        <v>0.58404558404558382</v>
      </c>
      <c r="CG123" s="571">
        <f t="shared" si="77"/>
        <v>0.58571428571428574</v>
      </c>
      <c r="CH123" s="571">
        <f t="shared" si="77"/>
        <v>0.58726790450928379</v>
      </c>
      <c r="CI123" s="571">
        <f t="shared" si="77"/>
        <v>0.58871794871794858</v>
      </c>
      <c r="CJ123" s="571">
        <f t="shared" si="77"/>
        <v>0.5900744416873448</v>
      </c>
      <c r="CK123" s="571">
        <f t="shared" si="77"/>
        <v>0.59134615384615374</v>
      </c>
      <c r="CL123" s="571">
        <f t="shared" si="77"/>
        <v>0.5925407925407925</v>
      </c>
      <c r="CM123" s="571">
        <f t="shared" si="77"/>
        <v>0.59366515837104084</v>
      </c>
      <c r="CN123" s="571">
        <f t="shared" ref="CN123:CW124" si="78">AL151/AN123</f>
        <v>0.5947252747252747</v>
      </c>
      <c r="CO123" s="571">
        <f t="shared" si="78"/>
        <v>0.59572649572649572</v>
      </c>
      <c r="CP123" s="571">
        <f t="shared" si="78"/>
        <v>0.59667359667359665</v>
      </c>
      <c r="CQ123" s="571">
        <f t="shared" si="78"/>
        <v>0.59757085020242917</v>
      </c>
      <c r="CR123" s="571">
        <f t="shared" si="78"/>
        <v>0.59842209072978314</v>
      </c>
      <c r="CS123" s="571">
        <f t="shared" si="78"/>
        <v>0.59923076923076912</v>
      </c>
      <c r="CT123" s="571">
        <f t="shared" si="78"/>
        <v>0.6</v>
      </c>
      <c r="CU123" s="571">
        <f t="shared" si="78"/>
        <v>0.60073260073260071</v>
      </c>
      <c r="CV123" s="571">
        <f t="shared" si="78"/>
        <v>0.60143112701252222</v>
      </c>
      <c r="CW123" s="571">
        <f t="shared" si="78"/>
        <v>0.60209790209790204</v>
      </c>
      <c r="CX123" s="571">
        <f t="shared" ref="CX123:DF124" si="79">AV151/AX123</f>
        <v>0.60273504273504264</v>
      </c>
      <c r="CY123" s="571">
        <f t="shared" si="79"/>
        <v>0.60334448160535126</v>
      </c>
      <c r="CZ123" s="571">
        <f t="shared" si="79"/>
        <v>0.60392798690671023</v>
      </c>
      <c r="DA123" s="571">
        <f t="shared" si="79"/>
        <v>0.60448717948717945</v>
      </c>
      <c r="DB123" s="571">
        <f t="shared" si="79"/>
        <v>0.60502354788069068</v>
      </c>
      <c r="DC123" s="571">
        <f t="shared" si="79"/>
        <v>0.60553846153846147</v>
      </c>
      <c r="DD123" s="571">
        <f t="shared" si="79"/>
        <v>0.6060331825037707</v>
      </c>
      <c r="DE123" s="571">
        <f t="shared" si="79"/>
        <v>0.60650887573964485</v>
      </c>
      <c r="DF123" s="571">
        <f t="shared" si="79"/>
        <v>0.60696661828737297</v>
      </c>
    </row>
    <row r="124" spans="1:110">
      <c r="A124" s="2773"/>
      <c r="B124" s="2734" t="s">
        <v>522</v>
      </c>
      <c r="C124" s="2734"/>
      <c r="D124" s="1167"/>
      <c r="E124" s="1167"/>
      <c r="F124" s="1167"/>
      <c r="G124" s="1167"/>
      <c r="H124" s="1167"/>
      <c r="I124" s="1167"/>
      <c r="J124" s="876"/>
      <c r="K124" s="876"/>
      <c r="L124" s="876">
        <f>((L$86-$H$4)/1000)*IF($C$13=0,$O$30,($O$47*1.1))*(($C$8/70)^$Z$47)*IF($C$13=1,$AG$50,IF($C$13=2,$AH$50,IF($C$13=3,$AI$50,1)))</f>
        <v>2199.5953979999999</v>
      </c>
      <c r="M124" s="876">
        <f t="shared" ref="M124:BF124" si="80">((M$86-$H$4)/1000)*IF($C$13=0,$O$30,($O$47*1.1))*(($C$8/70)^$Z$47)*IF($C$13=1,$AG$50,IF($C$13=2,$AH$50,IF($C$13=3,$AI$50,1)))</f>
        <v>2513.8233120000004</v>
      </c>
      <c r="N124" s="876">
        <f t="shared" si="80"/>
        <v>2828.0512260000005</v>
      </c>
      <c r="O124" s="876">
        <f t="shared" si="80"/>
        <v>3142.2791400000006</v>
      </c>
      <c r="P124" s="876">
        <f t="shared" si="80"/>
        <v>3456.5070540000011</v>
      </c>
      <c r="Q124" s="876">
        <f t="shared" si="80"/>
        <v>3770.7349680000002</v>
      </c>
      <c r="R124" s="876">
        <f t="shared" si="80"/>
        <v>4084.9628820000007</v>
      </c>
      <c r="S124" s="876">
        <f t="shared" si="80"/>
        <v>4399.1907959999999</v>
      </c>
      <c r="T124" s="876">
        <f t="shared" si="80"/>
        <v>4713.4187100000008</v>
      </c>
      <c r="U124" s="876">
        <f t="shared" si="80"/>
        <v>5027.6466240000009</v>
      </c>
      <c r="V124" s="876">
        <f t="shared" si="80"/>
        <v>5341.8745380000009</v>
      </c>
      <c r="W124" s="876">
        <f t="shared" si="80"/>
        <v>5656.102452000001</v>
      </c>
      <c r="X124" s="876">
        <f t="shared" si="80"/>
        <v>5970.330366000001</v>
      </c>
      <c r="Y124" s="876">
        <f t="shared" si="80"/>
        <v>6284.5582800000011</v>
      </c>
      <c r="Z124" s="876">
        <f t="shared" si="80"/>
        <v>6598.7861940000012</v>
      </c>
      <c r="AA124" s="876">
        <f t="shared" si="80"/>
        <v>6913.0141080000021</v>
      </c>
      <c r="AB124" s="876">
        <f t="shared" si="80"/>
        <v>7227.2420220000004</v>
      </c>
      <c r="AC124" s="876">
        <f t="shared" si="80"/>
        <v>7541.4699360000004</v>
      </c>
      <c r="AD124" s="876">
        <f t="shared" si="80"/>
        <v>7855.6978500000005</v>
      </c>
      <c r="AE124" s="876">
        <f t="shared" si="80"/>
        <v>8169.9257640000014</v>
      </c>
      <c r="AF124" s="876">
        <f t="shared" si="80"/>
        <v>8484.1536780000024</v>
      </c>
      <c r="AG124" s="876">
        <f t="shared" si="80"/>
        <v>8798.3815919999997</v>
      </c>
      <c r="AH124" s="876">
        <f t="shared" si="80"/>
        <v>9112.6095060000007</v>
      </c>
      <c r="AI124" s="876">
        <f t="shared" si="80"/>
        <v>9426.8374200000017</v>
      </c>
      <c r="AJ124" s="876">
        <f t="shared" si="80"/>
        <v>9741.0653340000026</v>
      </c>
      <c r="AK124" s="876">
        <f t="shared" si="80"/>
        <v>10055.293248000002</v>
      </c>
      <c r="AL124" s="876">
        <f t="shared" si="80"/>
        <v>10369.521162000001</v>
      </c>
      <c r="AM124" s="876">
        <f t="shared" si="80"/>
        <v>10683.749076000002</v>
      </c>
      <c r="AN124" s="876">
        <f t="shared" si="80"/>
        <v>10997.976990000003</v>
      </c>
      <c r="AO124" s="876">
        <f t="shared" si="80"/>
        <v>11312.204904000002</v>
      </c>
      <c r="AP124" s="876">
        <f t="shared" si="80"/>
        <v>11626.432818000001</v>
      </c>
      <c r="AQ124" s="876">
        <f t="shared" si="80"/>
        <v>11940.660732000002</v>
      </c>
      <c r="AR124" s="876">
        <f t="shared" si="80"/>
        <v>12254.888646000001</v>
      </c>
      <c r="AS124" s="876">
        <f t="shared" si="80"/>
        <v>12569.116560000002</v>
      </c>
      <c r="AT124" s="876">
        <f t="shared" si="80"/>
        <v>12883.344474000001</v>
      </c>
      <c r="AU124" s="876">
        <f t="shared" si="80"/>
        <v>13197.572388000002</v>
      </c>
      <c r="AV124" s="876">
        <f t="shared" si="80"/>
        <v>13511.800302000001</v>
      </c>
      <c r="AW124" s="876">
        <f t="shared" si="80"/>
        <v>13826.028216000004</v>
      </c>
      <c r="AX124" s="876">
        <f t="shared" si="80"/>
        <v>14140.256130000002</v>
      </c>
      <c r="AY124" s="876">
        <f t="shared" si="80"/>
        <v>14454.484044000001</v>
      </c>
      <c r="AZ124" s="876">
        <f t="shared" si="80"/>
        <v>14768.711958000004</v>
      </c>
      <c r="BA124" s="876">
        <f t="shared" si="80"/>
        <v>15082.939872000001</v>
      </c>
      <c r="BB124" s="876">
        <f t="shared" si="80"/>
        <v>15397.167786000004</v>
      </c>
      <c r="BC124" s="876">
        <f t="shared" si="80"/>
        <v>15711.395700000001</v>
      </c>
      <c r="BD124" s="876">
        <f t="shared" si="80"/>
        <v>16025.623614000002</v>
      </c>
      <c r="BE124" s="876">
        <f t="shared" si="80"/>
        <v>16339.851528000003</v>
      </c>
      <c r="BF124" s="876">
        <f t="shared" si="80"/>
        <v>16654.079442000002</v>
      </c>
      <c r="BG124" s="17"/>
      <c r="BH124" s="17"/>
      <c r="BJ124" s="571" t="e">
        <f t="shared" si="75"/>
        <v>#DIV/0!</v>
      </c>
      <c r="BK124" s="571" t="e">
        <f t="shared" si="75"/>
        <v>#DIV/0!</v>
      </c>
      <c r="BL124" s="571">
        <f t="shared" si="75"/>
        <v>0.40959040959040954</v>
      </c>
      <c r="BM124" s="571">
        <f t="shared" si="75"/>
        <v>0.43006993006992994</v>
      </c>
      <c r="BN124" s="571">
        <f t="shared" si="75"/>
        <v>0.44599844599844585</v>
      </c>
      <c r="BO124" s="571">
        <f t="shared" si="75"/>
        <v>0.45874125874125865</v>
      </c>
      <c r="BP124" s="571">
        <f t="shared" si="75"/>
        <v>0.46916719643992355</v>
      </c>
      <c r="BQ124" s="571">
        <f t="shared" si="75"/>
        <v>0.47785547785547777</v>
      </c>
      <c r="BR124" s="571">
        <f t="shared" si="75"/>
        <v>0.48520710059171585</v>
      </c>
      <c r="BS124" s="571">
        <f t="shared" si="75"/>
        <v>0.49150849150849146</v>
      </c>
      <c r="BT124" s="571">
        <f t="shared" si="76"/>
        <v>0.49696969696969684</v>
      </c>
      <c r="BU124" s="571">
        <f t="shared" si="76"/>
        <v>0.50174825174825155</v>
      </c>
      <c r="BV124" s="571">
        <f t="shared" si="76"/>
        <v>0.50596462361168226</v>
      </c>
      <c r="BW124" s="571">
        <f t="shared" si="76"/>
        <v>0.50971250971250959</v>
      </c>
      <c r="BX124" s="571">
        <f t="shared" si="76"/>
        <v>0.51306588148693388</v>
      </c>
      <c r="BY124" s="571">
        <f t="shared" si="76"/>
        <v>0.51608391608391591</v>
      </c>
      <c r="BZ124" s="571">
        <f t="shared" si="76"/>
        <v>0.51881451881451868</v>
      </c>
      <c r="CA124" s="571">
        <f t="shared" si="76"/>
        <v>0.52129688493324833</v>
      </c>
      <c r="CB124" s="571">
        <f t="shared" si="76"/>
        <v>0.52356339312861044</v>
      </c>
      <c r="CC124" s="571">
        <f t="shared" si="76"/>
        <v>0.52564102564102555</v>
      </c>
      <c r="CD124" s="571">
        <f t="shared" si="77"/>
        <v>0.52755244755244746</v>
      </c>
      <c r="CE124" s="571">
        <f t="shared" si="77"/>
        <v>0.52931683700914456</v>
      </c>
      <c r="CF124" s="571">
        <f t="shared" si="77"/>
        <v>0.5309505309505308</v>
      </c>
      <c r="CG124" s="571">
        <f t="shared" si="77"/>
        <v>0.53246753246753242</v>
      </c>
      <c r="CH124" s="571">
        <f t="shared" si="77"/>
        <v>0.53387991319025796</v>
      </c>
      <c r="CI124" s="571">
        <f t="shared" si="77"/>
        <v>0.53519813519813497</v>
      </c>
      <c r="CJ124" s="571">
        <f t="shared" si="77"/>
        <v>0.53643131062485883</v>
      </c>
      <c r="CK124" s="571">
        <f t="shared" si="77"/>
        <v>0.53758741258741238</v>
      </c>
      <c r="CL124" s="571">
        <f t="shared" si="77"/>
        <v>0.53867344776435677</v>
      </c>
      <c r="CM124" s="571">
        <f t="shared" si="77"/>
        <v>0.53969559851912785</v>
      </c>
      <c r="CN124" s="571">
        <f t="shared" si="78"/>
        <v>0.5406593406593404</v>
      </c>
      <c r="CO124" s="571">
        <f t="shared" si="78"/>
        <v>0.5415695415695414</v>
      </c>
      <c r="CP124" s="571">
        <f t="shared" si="78"/>
        <v>0.54243054243054234</v>
      </c>
      <c r="CQ124" s="571">
        <f t="shared" si="78"/>
        <v>0.54324622745675366</v>
      </c>
      <c r="CR124" s="571">
        <f t="shared" si="78"/>
        <v>0.54402008248162081</v>
      </c>
      <c r="CS124" s="571">
        <f t="shared" si="78"/>
        <v>0.54475524475524462</v>
      </c>
      <c r="CT124" s="571">
        <f t="shared" si="78"/>
        <v>0.5454545454545453</v>
      </c>
      <c r="CU124" s="571">
        <f t="shared" si="78"/>
        <v>0.54612054612054595</v>
      </c>
      <c r="CV124" s="571">
        <f t="shared" si="78"/>
        <v>0.54675557001138375</v>
      </c>
      <c r="CW124" s="571">
        <f t="shared" si="78"/>
        <v>0.54736172917991077</v>
      </c>
      <c r="CX124" s="571">
        <f t="shared" si="79"/>
        <v>0.54794094794094772</v>
      </c>
      <c r="CY124" s="571">
        <f t="shared" si="79"/>
        <v>0.54849498327759194</v>
      </c>
      <c r="CZ124" s="571">
        <f t="shared" si="79"/>
        <v>0.54902544264246367</v>
      </c>
      <c r="DA124" s="571">
        <f t="shared" si="79"/>
        <v>0.54953379953379944</v>
      </c>
      <c r="DB124" s="571">
        <f t="shared" si="79"/>
        <v>0.55002140716426406</v>
      </c>
      <c r="DC124" s="571">
        <f t="shared" si="79"/>
        <v>0.55048951048951045</v>
      </c>
      <c r="DD124" s="571">
        <f t="shared" si="79"/>
        <v>0.55093925682160971</v>
      </c>
      <c r="DE124" s="571">
        <f t="shared" si="79"/>
        <v>0.55137170521785894</v>
      </c>
      <c r="DF124" s="571">
        <f t="shared" si="79"/>
        <v>0.55178783480670257</v>
      </c>
    </row>
    <row r="125" spans="1:110">
      <c r="A125" s="2773"/>
      <c r="B125" s="2734" t="s">
        <v>538</v>
      </c>
      <c r="C125" s="2734"/>
      <c r="D125" s="1167"/>
      <c r="E125" s="1167"/>
      <c r="F125" s="1167"/>
      <c r="G125" s="1167"/>
      <c r="H125" s="1167"/>
      <c r="I125" s="1167"/>
      <c r="J125" s="876"/>
      <c r="K125" s="876"/>
      <c r="L125" s="876">
        <f>((L$86-$H$4)/1000)*IF($C$13=0,$P$30,$P$47)*(($C$8/70)^$AA$47)*IF($C$13=1,$AG$47,IF($C$13=2,$AH$47,IF($C$13=3,$AI$47,1)))</f>
        <v>2460.017742</v>
      </c>
      <c r="M125" s="876">
        <f t="shared" ref="M125:AQ125" si="81">((M$86-$H$4)/1000)*IF($C$13=0,$P$30,$P$47)*(($C$8/70)^$AA$47)*IF($C$13=1,$AG$47,IF($C$13=2,$AH$47,IF($C$13=3,$AI$47,1)))</f>
        <v>2811.4488480000005</v>
      </c>
      <c r="N125" s="876">
        <f t="shared" si="81"/>
        <v>3162.8799540000005</v>
      </c>
      <c r="O125" s="876">
        <f t="shared" si="81"/>
        <v>3514.3110600000005</v>
      </c>
      <c r="P125" s="876">
        <f t="shared" si="81"/>
        <v>3865.7421660000005</v>
      </c>
      <c r="Q125" s="876">
        <f t="shared" si="81"/>
        <v>4217.173272</v>
      </c>
      <c r="R125" s="876">
        <f t="shared" si="81"/>
        <v>4568.6043780000009</v>
      </c>
      <c r="S125" s="876">
        <f t="shared" si="81"/>
        <v>4920.035484</v>
      </c>
      <c r="T125" s="876">
        <f t="shared" si="81"/>
        <v>5271.46659</v>
      </c>
      <c r="U125" s="876">
        <f t="shared" si="81"/>
        <v>5622.8976960000009</v>
      </c>
      <c r="V125" s="876">
        <f t="shared" si="81"/>
        <v>5974.328802</v>
      </c>
      <c r="W125" s="876">
        <f t="shared" si="81"/>
        <v>6325.7599080000009</v>
      </c>
      <c r="X125" s="876">
        <f t="shared" si="81"/>
        <v>6677.191014</v>
      </c>
      <c r="Y125" s="876">
        <f t="shared" si="81"/>
        <v>7028.6221200000009</v>
      </c>
      <c r="Z125" s="876">
        <f t="shared" si="81"/>
        <v>7380.0532260000009</v>
      </c>
      <c r="AA125" s="876">
        <f t="shared" si="81"/>
        <v>7731.4843320000009</v>
      </c>
      <c r="AB125" s="876">
        <f t="shared" si="81"/>
        <v>8082.915438</v>
      </c>
      <c r="AC125" s="876">
        <f t="shared" si="81"/>
        <v>8434.346544</v>
      </c>
      <c r="AD125" s="876">
        <f t="shared" si="81"/>
        <v>8785.77765</v>
      </c>
      <c r="AE125" s="876">
        <f t="shared" si="81"/>
        <v>9137.2087560000018</v>
      </c>
      <c r="AF125" s="876">
        <f t="shared" si="81"/>
        <v>9488.6398620000018</v>
      </c>
      <c r="AG125" s="876">
        <f t="shared" si="81"/>
        <v>9840.070968</v>
      </c>
      <c r="AH125" s="876">
        <f t="shared" si="81"/>
        <v>10191.502074</v>
      </c>
      <c r="AI125" s="876">
        <f t="shared" si="81"/>
        <v>10542.93318</v>
      </c>
      <c r="AJ125" s="876">
        <f t="shared" si="81"/>
        <v>10894.364286000002</v>
      </c>
      <c r="AK125" s="876">
        <f t="shared" si="81"/>
        <v>11245.795392000002</v>
      </c>
      <c r="AL125" s="876">
        <f t="shared" si="81"/>
        <v>11597.226498</v>
      </c>
      <c r="AM125" s="876">
        <f t="shared" si="81"/>
        <v>11948.657604</v>
      </c>
      <c r="AN125" s="876">
        <f t="shared" si="81"/>
        <v>12300.08871</v>
      </c>
      <c r="AO125" s="876">
        <f t="shared" si="81"/>
        <v>12651.519816000002</v>
      </c>
      <c r="AP125" s="876">
        <f t="shared" si="81"/>
        <v>13002.950922000002</v>
      </c>
      <c r="AQ125" s="876">
        <f t="shared" si="81"/>
        <v>13354.382028</v>
      </c>
      <c r="AR125" s="876">
        <f t="shared" ref="AR125:BW125" si="82">((AR$86-$H$4)/1000)*IF($C$13=0,$P$30,$P$47)*(($C$8/70)^$AA$47)*IF($C$13=1,$AG$47,IF($C$13=2,$AH$47,IF($C$13=3,$AI$47,1)))</f>
        <v>13705.813134</v>
      </c>
      <c r="AS125" s="876">
        <f t="shared" si="82"/>
        <v>14057.244240000002</v>
      </c>
      <c r="AT125" s="876">
        <f t="shared" si="82"/>
        <v>14408.675346</v>
      </c>
      <c r="AU125" s="876">
        <f t="shared" si="82"/>
        <v>14760.106452000002</v>
      </c>
      <c r="AV125" s="876">
        <f t="shared" si="82"/>
        <v>15111.537558</v>
      </c>
      <c r="AW125" s="876">
        <f t="shared" si="82"/>
        <v>15462.968664000002</v>
      </c>
      <c r="AX125" s="876">
        <f t="shared" si="82"/>
        <v>15814.399770000002</v>
      </c>
      <c r="AY125" s="876">
        <f t="shared" si="82"/>
        <v>16165.830876</v>
      </c>
      <c r="AZ125" s="876">
        <f t="shared" si="82"/>
        <v>16517.261982000004</v>
      </c>
      <c r="BA125" s="876">
        <f t="shared" si="82"/>
        <v>16868.693088</v>
      </c>
      <c r="BB125" s="876">
        <f t="shared" si="82"/>
        <v>17220.124194000004</v>
      </c>
      <c r="BC125" s="876">
        <f t="shared" si="82"/>
        <v>17571.5553</v>
      </c>
      <c r="BD125" s="876">
        <f t="shared" si="82"/>
        <v>17922.986406</v>
      </c>
      <c r="BE125" s="876">
        <f t="shared" si="82"/>
        <v>18274.417512000004</v>
      </c>
      <c r="BF125" s="876">
        <f t="shared" si="82"/>
        <v>18625.848618</v>
      </c>
      <c r="BG125" s="876">
        <f t="shared" si="82"/>
        <v>-2460.017742</v>
      </c>
      <c r="BH125" s="876">
        <f t="shared" si="82"/>
        <v>-2460.017742</v>
      </c>
      <c r="BI125" s="876">
        <f t="shared" si="82"/>
        <v>-2460.017742</v>
      </c>
      <c r="BJ125" s="876">
        <f t="shared" si="82"/>
        <v>1054.293318</v>
      </c>
      <c r="BK125" s="876">
        <f t="shared" si="82"/>
        <v>1405.7244240000002</v>
      </c>
      <c r="BL125" s="876">
        <f t="shared" si="82"/>
        <v>1757.1555300000002</v>
      </c>
      <c r="BM125" s="876">
        <f t="shared" si="82"/>
        <v>2108.586636</v>
      </c>
      <c r="BN125" s="876">
        <f t="shared" si="82"/>
        <v>2460.017742</v>
      </c>
      <c r="BO125" s="876">
        <f t="shared" si="82"/>
        <v>2811.4488480000005</v>
      </c>
      <c r="BP125" s="876">
        <f t="shared" si="82"/>
        <v>3162.8799540000005</v>
      </c>
      <c r="BQ125" s="876">
        <f t="shared" si="82"/>
        <v>3514.3110600000005</v>
      </c>
      <c r="BR125" s="876">
        <f t="shared" si="82"/>
        <v>3865.7421660000005</v>
      </c>
      <c r="BS125" s="876">
        <f t="shared" si="82"/>
        <v>4217.173272</v>
      </c>
      <c r="BT125" s="876">
        <f t="shared" si="82"/>
        <v>4568.6043780000009</v>
      </c>
      <c r="BU125" s="876">
        <f t="shared" si="82"/>
        <v>4920.035484</v>
      </c>
      <c r="BV125" s="876">
        <f t="shared" si="82"/>
        <v>5271.46659</v>
      </c>
      <c r="BW125" s="876">
        <f t="shared" si="82"/>
        <v>5622.8976960000009</v>
      </c>
      <c r="BX125" s="876">
        <f t="shared" ref="BX125:DF125" si="83">((BX$86-$H$4)/1000)*IF($C$13=0,$P$30,$P$47)*(($C$8/70)^$AA$47)*IF($C$13=1,$AG$47,IF($C$13=2,$AH$47,IF($C$13=3,$AI$47,1)))</f>
        <v>5974.328802</v>
      </c>
      <c r="BY125" s="876">
        <f t="shared" si="83"/>
        <v>6325.7599080000009</v>
      </c>
      <c r="BZ125" s="876">
        <f t="shared" si="83"/>
        <v>6677.191014</v>
      </c>
      <c r="CA125" s="876">
        <f t="shared" si="83"/>
        <v>7028.6221200000009</v>
      </c>
      <c r="CB125" s="876">
        <f t="shared" si="83"/>
        <v>7380.0532260000009</v>
      </c>
      <c r="CC125" s="876">
        <f t="shared" si="83"/>
        <v>7731.4843320000009</v>
      </c>
      <c r="CD125" s="876">
        <f t="shared" si="83"/>
        <v>8082.915438</v>
      </c>
      <c r="CE125" s="876">
        <f t="shared" si="83"/>
        <v>8434.346544</v>
      </c>
      <c r="CF125" s="876">
        <f t="shared" si="83"/>
        <v>8785.77765</v>
      </c>
      <c r="CG125" s="876">
        <f t="shared" si="83"/>
        <v>9137.2087560000018</v>
      </c>
      <c r="CH125" s="876">
        <f t="shared" si="83"/>
        <v>9488.6398620000018</v>
      </c>
      <c r="CI125" s="876">
        <f t="shared" si="83"/>
        <v>9840.070968</v>
      </c>
      <c r="CJ125" s="876">
        <f t="shared" si="83"/>
        <v>10191.502074</v>
      </c>
      <c r="CK125" s="876">
        <f t="shared" si="83"/>
        <v>10542.93318</v>
      </c>
      <c r="CL125" s="876">
        <f t="shared" si="83"/>
        <v>10894.364286000002</v>
      </c>
      <c r="CM125" s="876">
        <f t="shared" si="83"/>
        <v>11245.795392000002</v>
      </c>
      <c r="CN125" s="876">
        <f t="shared" si="83"/>
        <v>11597.226498</v>
      </c>
      <c r="CO125" s="876">
        <f t="shared" si="83"/>
        <v>11948.657604</v>
      </c>
      <c r="CP125" s="876">
        <f t="shared" si="83"/>
        <v>12300.08871</v>
      </c>
      <c r="CQ125" s="876">
        <f t="shared" si="83"/>
        <v>12651.519816000002</v>
      </c>
      <c r="CR125" s="876">
        <f t="shared" si="83"/>
        <v>13002.950922000002</v>
      </c>
      <c r="CS125" s="876">
        <f t="shared" si="83"/>
        <v>13354.382028</v>
      </c>
      <c r="CT125" s="876">
        <f t="shared" si="83"/>
        <v>13705.813134</v>
      </c>
      <c r="CU125" s="876">
        <f t="shared" si="83"/>
        <v>14057.244240000002</v>
      </c>
      <c r="CV125" s="876">
        <f t="shared" si="83"/>
        <v>14408.675346</v>
      </c>
      <c r="CW125" s="876">
        <f t="shared" si="83"/>
        <v>14760.106452000002</v>
      </c>
      <c r="CX125" s="876">
        <f t="shared" si="83"/>
        <v>15111.537558</v>
      </c>
      <c r="CY125" s="876">
        <f t="shared" si="83"/>
        <v>15462.968664000002</v>
      </c>
      <c r="CZ125" s="876">
        <f t="shared" si="83"/>
        <v>15814.399770000002</v>
      </c>
      <c r="DA125" s="876">
        <f t="shared" si="83"/>
        <v>16165.830876</v>
      </c>
      <c r="DB125" s="876">
        <f t="shared" si="83"/>
        <v>16517.261982000004</v>
      </c>
      <c r="DC125" s="876">
        <f t="shared" si="83"/>
        <v>16868.693088</v>
      </c>
      <c r="DD125" s="876">
        <f t="shared" si="83"/>
        <v>17220.124194000004</v>
      </c>
      <c r="DE125" s="876">
        <f t="shared" si="83"/>
        <v>17571.5553</v>
      </c>
      <c r="DF125" s="876">
        <f t="shared" si="83"/>
        <v>17922.986406</v>
      </c>
    </row>
    <row r="126" spans="1:110">
      <c r="A126" s="2773"/>
      <c r="B126" s="2734" t="s">
        <v>523</v>
      </c>
      <c r="C126" s="2734"/>
      <c r="D126" s="1167"/>
      <c r="E126" s="1167"/>
      <c r="F126" s="1167"/>
      <c r="G126" s="1167"/>
      <c r="H126" s="1167"/>
      <c r="I126" s="1167"/>
      <c r="J126" s="876"/>
      <c r="K126" s="876"/>
      <c r="L126" s="876">
        <f>((L$86-$H$4)/1000)*IF($C$13=0,$Q$30,$Q$47)*(($C$8/70)^$AB$47)*IF($C$13=1,$AG$47,IF($C$13=2,$AH$47,IF($C$13=3,$AI$47,1)))</f>
        <v>2589.4923600000002</v>
      </c>
      <c r="M126" s="876">
        <f t="shared" ref="M126:AQ126" si="84">((M$86-$H$4)/1000)*IF($C$13=0,$Q$30,$Q$47)*(($C$8/70)^$AB$47)*IF($C$13=1,$AG$47,IF($C$13=2,$AH$47,IF($C$13=3,$AI$47,1)))</f>
        <v>2959.4198400000005</v>
      </c>
      <c r="N126" s="876">
        <f t="shared" si="84"/>
        <v>3329.3473200000008</v>
      </c>
      <c r="O126" s="876">
        <f t="shared" si="84"/>
        <v>3699.2748000000006</v>
      </c>
      <c r="P126" s="876">
        <f t="shared" si="84"/>
        <v>4069.2022800000009</v>
      </c>
      <c r="Q126" s="876">
        <f t="shared" si="84"/>
        <v>4439.1297600000007</v>
      </c>
      <c r="R126" s="876">
        <f t="shared" si="84"/>
        <v>4809.057240000001</v>
      </c>
      <c r="S126" s="876">
        <f t="shared" si="84"/>
        <v>5178.9847200000004</v>
      </c>
      <c r="T126" s="876">
        <f t="shared" si="84"/>
        <v>5548.9122000000007</v>
      </c>
      <c r="U126" s="876">
        <f t="shared" si="84"/>
        <v>5918.839680000001</v>
      </c>
      <c r="V126" s="876">
        <f t="shared" si="84"/>
        <v>6288.7671600000003</v>
      </c>
      <c r="W126" s="876">
        <f t="shared" si="84"/>
        <v>6658.6946400000015</v>
      </c>
      <c r="X126" s="876">
        <f t="shared" si="84"/>
        <v>7028.6221200000009</v>
      </c>
      <c r="Y126" s="876">
        <f t="shared" si="84"/>
        <v>7398.5496000000012</v>
      </c>
      <c r="Z126" s="876">
        <f t="shared" si="84"/>
        <v>7768.4770800000015</v>
      </c>
      <c r="AA126" s="876">
        <f t="shared" si="84"/>
        <v>8138.4045600000018</v>
      </c>
      <c r="AB126" s="876">
        <f t="shared" si="84"/>
        <v>8508.3320400000011</v>
      </c>
      <c r="AC126" s="876">
        <f t="shared" si="84"/>
        <v>8878.2595200000014</v>
      </c>
      <c r="AD126" s="876">
        <f t="shared" si="84"/>
        <v>9248.1870000000017</v>
      </c>
      <c r="AE126" s="876">
        <f t="shared" si="84"/>
        <v>9618.114480000002</v>
      </c>
      <c r="AF126" s="876">
        <f t="shared" si="84"/>
        <v>9988.0419600000023</v>
      </c>
      <c r="AG126" s="876">
        <f t="shared" si="84"/>
        <v>10357.969440000001</v>
      </c>
      <c r="AH126" s="876">
        <f t="shared" si="84"/>
        <v>10727.896920000001</v>
      </c>
      <c r="AI126" s="876">
        <f t="shared" si="84"/>
        <v>11097.824400000001</v>
      </c>
      <c r="AJ126" s="876">
        <f t="shared" si="84"/>
        <v>11467.751880000002</v>
      </c>
      <c r="AK126" s="876">
        <f t="shared" si="84"/>
        <v>11837.679360000002</v>
      </c>
      <c r="AL126" s="876">
        <f t="shared" si="84"/>
        <v>12207.60684</v>
      </c>
      <c r="AM126" s="876">
        <f t="shared" si="84"/>
        <v>12577.534320000001</v>
      </c>
      <c r="AN126" s="876">
        <f t="shared" si="84"/>
        <v>12947.461800000001</v>
      </c>
      <c r="AO126" s="876">
        <f t="shared" si="84"/>
        <v>13317.389280000003</v>
      </c>
      <c r="AP126" s="876">
        <f t="shared" si="84"/>
        <v>13687.316760000003</v>
      </c>
      <c r="AQ126" s="876">
        <f t="shared" si="84"/>
        <v>14057.244240000002</v>
      </c>
      <c r="AR126" s="876">
        <f t="shared" ref="AR126:BW126" si="85">((AR$86-$H$4)/1000)*IF($C$13=0,$Q$30,$Q$47)*(($C$8/70)^$AB$47)*IF($C$13=1,$AG$47,IF($C$13=2,$AH$47,IF($C$13=3,$AI$47,1)))</f>
        <v>14427.171720000002</v>
      </c>
      <c r="AS126" s="876">
        <f t="shared" si="85"/>
        <v>14797.099200000002</v>
      </c>
      <c r="AT126" s="876">
        <f t="shared" si="85"/>
        <v>15167.026679999999</v>
      </c>
      <c r="AU126" s="876">
        <f t="shared" si="85"/>
        <v>15536.954160000003</v>
      </c>
      <c r="AV126" s="876">
        <f t="shared" si="85"/>
        <v>15906.88164</v>
      </c>
      <c r="AW126" s="876">
        <f t="shared" si="85"/>
        <v>16276.809120000004</v>
      </c>
      <c r="AX126" s="876">
        <f t="shared" si="85"/>
        <v>16646.736600000004</v>
      </c>
      <c r="AY126" s="876">
        <f t="shared" si="85"/>
        <v>17016.664080000002</v>
      </c>
      <c r="AZ126" s="876">
        <f t="shared" si="85"/>
        <v>17386.591560000004</v>
      </c>
      <c r="BA126" s="876">
        <f t="shared" si="85"/>
        <v>17756.519040000003</v>
      </c>
      <c r="BB126" s="876">
        <f t="shared" si="85"/>
        <v>18126.446520000005</v>
      </c>
      <c r="BC126" s="876">
        <f t="shared" si="85"/>
        <v>18496.374000000003</v>
      </c>
      <c r="BD126" s="876">
        <f t="shared" si="85"/>
        <v>18866.301480000002</v>
      </c>
      <c r="BE126" s="876">
        <f t="shared" si="85"/>
        <v>19236.228960000004</v>
      </c>
      <c r="BF126" s="876">
        <f t="shared" si="85"/>
        <v>19606.156439999999</v>
      </c>
      <c r="BG126" s="876">
        <f t="shared" si="85"/>
        <v>-2589.4923600000002</v>
      </c>
      <c r="BH126" s="876">
        <f t="shared" si="85"/>
        <v>-2589.4923600000002</v>
      </c>
      <c r="BI126" s="876">
        <f t="shared" si="85"/>
        <v>-2589.4923600000002</v>
      </c>
      <c r="BJ126" s="876">
        <f t="shared" si="85"/>
        <v>1109.7824400000002</v>
      </c>
      <c r="BK126" s="876">
        <f t="shared" si="85"/>
        <v>1479.7099200000002</v>
      </c>
      <c r="BL126" s="876">
        <f t="shared" si="85"/>
        <v>1849.6374000000003</v>
      </c>
      <c r="BM126" s="876">
        <f t="shared" si="85"/>
        <v>2219.5648800000004</v>
      </c>
      <c r="BN126" s="876">
        <f t="shared" si="85"/>
        <v>2589.4923600000002</v>
      </c>
      <c r="BO126" s="876">
        <f t="shared" si="85"/>
        <v>2959.4198400000005</v>
      </c>
      <c r="BP126" s="876">
        <f t="shared" si="85"/>
        <v>3329.3473200000008</v>
      </c>
      <c r="BQ126" s="876">
        <f t="shared" si="85"/>
        <v>3699.2748000000006</v>
      </c>
      <c r="BR126" s="876">
        <f t="shared" si="85"/>
        <v>4069.2022800000009</v>
      </c>
      <c r="BS126" s="876">
        <f t="shared" si="85"/>
        <v>4439.1297600000007</v>
      </c>
      <c r="BT126" s="876">
        <f t="shared" si="85"/>
        <v>4809.057240000001</v>
      </c>
      <c r="BU126" s="876">
        <f t="shared" si="85"/>
        <v>5178.9847200000004</v>
      </c>
      <c r="BV126" s="876">
        <f t="shared" si="85"/>
        <v>5548.9122000000007</v>
      </c>
      <c r="BW126" s="876">
        <f t="shared" si="85"/>
        <v>5918.839680000001</v>
      </c>
      <c r="BX126" s="876">
        <f t="shared" ref="BX126:DF126" si="86">((BX$86-$H$4)/1000)*IF($C$13=0,$Q$30,$Q$47)*(($C$8/70)^$AB$47)*IF($C$13=1,$AG$47,IF($C$13=2,$AH$47,IF($C$13=3,$AI$47,1)))</f>
        <v>6288.7671600000003</v>
      </c>
      <c r="BY126" s="876">
        <f t="shared" si="86"/>
        <v>6658.6946400000015</v>
      </c>
      <c r="BZ126" s="876">
        <f t="shared" si="86"/>
        <v>7028.6221200000009</v>
      </c>
      <c r="CA126" s="876">
        <f t="shared" si="86"/>
        <v>7398.5496000000012</v>
      </c>
      <c r="CB126" s="876">
        <f t="shared" si="86"/>
        <v>7768.4770800000015</v>
      </c>
      <c r="CC126" s="876">
        <f t="shared" si="86"/>
        <v>8138.4045600000018</v>
      </c>
      <c r="CD126" s="876">
        <f t="shared" si="86"/>
        <v>8508.3320400000011</v>
      </c>
      <c r="CE126" s="876">
        <f t="shared" si="86"/>
        <v>8878.2595200000014</v>
      </c>
      <c r="CF126" s="876">
        <f t="shared" si="86"/>
        <v>9248.1870000000017</v>
      </c>
      <c r="CG126" s="876">
        <f t="shared" si="86"/>
        <v>9618.114480000002</v>
      </c>
      <c r="CH126" s="876">
        <f t="shared" si="86"/>
        <v>9988.0419600000023</v>
      </c>
      <c r="CI126" s="876">
        <f t="shared" si="86"/>
        <v>10357.969440000001</v>
      </c>
      <c r="CJ126" s="876">
        <f t="shared" si="86"/>
        <v>10727.896920000001</v>
      </c>
      <c r="CK126" s="876">
        <f t="shared" si="86"/>
        <v>11097.824400000001</v>
      </c>
      <c r="CL126" s="876">
        <f t="shared" si="86"/>
        <v>11467.751880000002</v>
      </c>
      <c r="CM126" s="876">
        <f t="shared" si="86"/>
        <v>11837.679360000002</v>
      </c>
      <c r="CN126" s="876">
        <f t="shared" si="86"/>
        <v>12207.60684</v>
      </c>
      <c r="CO126" s="876">
        <f t="shared" si="86"/>
        <v>12577.534320000001</v>
      </c>
      <c r="CP126" s="876">
        <f t="shared" si="86"/>
        <v>12947.461800000001</v>
      </c>
      <c r="CQ126" s="876">
        <f t="shared" si="86"/>
        <v>13317.389280000003</v>
      </c>
      <c r="CR126" s="876">
        <f t="shared" si="86"/>
        <v>13687.316760000003</v>
      </c>
      <c r="CS126" s="876">
        <f t="shared" si="86"/>
        <v>14057.244240000002</v>
      </c>
      <c r="CT126" s="876">
        <f t="shared" si="86"/>
        <v>14427.171720000002</v>
      </c>
      <c r="CU126" s="876">
        <f t="shared" si="86"/>
        <v>14797.099200000002</v>
      </c>
      <c r="CV126" s="876">
        <f t="shared" si="86"/>
        <v>15167.026679999999</v>
      </c>
      <c r="CW126" s="876">
        <f t="shared" si="86"/>
        <v>15536.954160000003</v>
      </c>
      <c r="CX126" s="876">
        <f t="shared" si="86"/>
        <v>15906.88164</v>
      </c>
      <c r="CY126" s="876">
        <f t="shared" si="86"/>
        <v>16276.809120000004</v>
      </c>
      <c r="CZ126" s="876">
        <f t="shared" si="86"/>
        <v>16646.736600000004</v>
      </c>
      <c r="DA126" s="876">
        <f t="shared" si="86"/>
        <v>17016.664080000002</v>
      </c>
      <c r="DB126" s="876">
        <f t="shared" si="86"/>
        <v>17386.591560000004</v>
      </c>
      <c r="DC126" s="876">
        <f t="shared" si="86"/>
        <v>17756.519040000003</v>
      </c>
      <c r="DD126" s="876">
        <f t="shared" si="86"/>
        <v>18126.446520000005</v>
      </c>
      <c r="DE126" s="876">
        <f t="shared" si="86"/>
        <v>18496.374000000003</v>
      </c>
      <c r="DF126" s="876">
        <f t="shared" si="86"/>
        <v>18866.301480000002</v>
      </c>
    </row>
    <row r="127" spans="1:110">
      <c r="A127" s="1153"/>
      <c r="B127" s="2734" t="s">
        <v>539</v>
      </c>
      <c r="C127" s="2734"/>
      <c r="D127" s="1167"/>
      <c r="E127" s="1167"/>
      <c r="F127" s="1167"/>
      <c r="G127" s="1167"/>
      <c r="H127" s="1167"/>
      <c r="I127" s="1167"/>
      <c r="J127" s="876"/>
      <c r="K127" s="876"/>
      <c r="L127" s="876">
        <f>((L$86-$H$4)/1000)*IF($C$13=0,$R$30,$R$47)*(($C$8/70)^$AC$47)*IF($C$13=1,$AG$47,IF($C$13=2,$AH$47,IF($C$13=3,$AI$47,1)))</f>
        <v>2546.7199757999997</v>
      </c>
      <c r="M127" s="876">
        <f t="shared" ref="M127:AQ127" si="87">((M$86-$H$4)/1000)*IF($C$13=0,$R$30,$R$47)*(($C$8/70)^$AC$47)*IF($C$13=1,$AG$47,IF($C$13=2,$AH$47,IF($C$13=3,$AI$47,1)))</f>
        <v>2910.5371152000002</v>
      </c>
      <c r="N127" s="876">
        <f t="shared" si="87"/>
        <v>3274.3542546000003</v>
      </c>
      <c r="O127" s="876">
        <f t="shared" si="87"/>
        <v>3638.171394</v>
      </c>
      <c r="P127" s="876">
        <f t="shared" si="87"/>
        <v>4001.9885334000005</v>
      </c>
      <c r="Q127" s="876">
        <f t="shared" si="87"/>
        <v>4365.8056728000001</v>
      </c>
      <c r="R127" s="876">
        <f t="shared" si="87"/>
        <v>4729.6228122000002</v>
      </c>
      <c r="S127" s="876">
        <f t="shared" si="87"/>
        <v>5093.4399515999994</v>
      </c>
      <c r="T127" s="876">
        <f t="shared" si="87"/>
        <v>5457.2570910000004</v>
      </c>
      <c r="U127" s="876">
        <f t="shared" si="87"/>
        <v>5821.0742304000005</v>
      </c>
      <c r="V127" s="876">
        <f t="shared" si="87"/>
        <v>6184.8913697999997</v>
      </c>
      <c r="W127" s="876">
        <f t="shared" si="87"/>
        <v>6548.7085092000007</v>
      </c>
      <c r="X127" s="876">
        <f t="shared" si="87"/>
        <v>6912.5256485999989</v>
      </c>
      <c r="Y127" s="876">
        <f t="shared" si="87"/>
        <v>7276.3427879999999</v>
      </c>
      <c r="Z127" s="876">
        <f t="shared" si="87"/>
        <v>7640.1599274000009</v>
      </c>
      <c r="AA127" s="876">
        <f t="shared" si="87"/>
        <v>8003.977066800001</v>
      </c>
      <c r="AB127" s="876">
        <f t="shared" si="87"/>
        <v>8367.7942062000002</v>
      </c>
      <c r="AC127" s="876">
        <f t="shared" si="87"/>
        <v>8731.6113456000003</v>
      </c>
      <c r="AD127" s="876">
        <f t="shared" si="87"/>
        <v>9095.4284850000004</v>
      </c>
      <c r="AE127" s="876">
        <f t="shared" si="87"/>
        <v>9459.2456244000005</v>
      </c>
      <c r="AF127" s="876">
        <f t="shared" si="87"/>
        <v>9823.0627638000005</v>
      </c>
      <c r="AG127" s="876">
        <f t="shared" si="87"/>
        <v>10186.879903199999</v>
      </c>
      <c r="AH127" s="876">
        <f t="shared" si="87"/>
        <v>10550.697042600001</v>
      </c>
      <c r="AI127" s="876">
        <f t="shared" si="87"/>
        <v>10914.514182000001</v>
      </c>
      <c r="AJ127" s="876">
        <f t="shared" si="87"/>
        <v>11278.331321400001</v>
      </c>
      <c r="AK127" s="876">
        <f t="shared" si="87"/>
        <v>11642.148460800001</v>
      </c>
      <c r="AL127" s="876">
        <f t="shared" si="87"/>
        <v>12005.965600199999</v>
      </c>
      <c r="AM127" s="876">
        <f t="shared" si="87"/>
        <v>12369.782739599999</v>
      </c>
      <c r="AN127" s="876">
        <f t="shared" si="87"/>
        <v>12733.599879000001</v>
      </c>
      <c r="AO127" s="876">
        <f t="shared" si="87"/>
        <v>13097.417018400001</v>
      </c>
      <c r="AP127" s="876">
        <f t="shared" si="87"/>
        <v>13461.2341578</v>
      </c>
      <c r="AQ127" s="876">
        <f t="shared" si="87"/>
        <v>13825.051297199998</v>
      </c>
      <c r="AR127" s="876">
        <f t="shared" ref="AR127:BW127" si="88">((AR$86-$H$4)/1000)*IF($C$13=0,$R$30,$R$47)*(($C$8/70)^$AC$47)*IF($C$13=1,$AG$47,IF($C$13=2,$AH$47,IF($C$13=3,$AI$47,1)))</f>
        <v>14188.8684366</v>
      </c>
      <c r="AS127" s="876">
        <f t="shared" si="88"/>
        <v>14552.685576</v>
      </c>
      <c r="AT127" s="876">
        <f t="shared" si="88"/>
        <v>14916.502715399998</v>
      </c>
      <c r="AU127" s="876">
        <f t="shared" si="88"/>
        <v>15280.319854800002</v>
      </c>
      <c r="AV127" s="876">
        <f t="shared" si="88"/>
        <v>15644.1369942</v>
      </c>
      <c r="AW127" s="876">
        <f t="shared" si="88"/>
        <v>16007.954133600002</v>
      </c>
      <c r="AX127" s="876">
        <f t="shared" si="88"/>
        <v>16371.771273</v>
      </c>
      <c r="AY127" s="876">
        <f t="shared" si="88"/>
        <v>16735.5884124</v>
      </c>
      <c r="AZ127" s="876">
        <f t="shared" si="88"/>
        <v>17099.405551800002</v>
      </c>
      <c r="BA127" s="876">
        <f t="shared" si="88"/>
        <v>17463.222691200001</v>
      </c>
      <c r="BB127" s="876">
        <f t="shared" si="88"/>
        <v>17827.039830600002</v>
      </c>
      <c r="BC127" s="876">
        <f t="shared" si="88"/>
        <v>18190.856970000001</v>
      </c>
      <c r="BD127" s="876">
        <f t="shared" si="88"/>
        <v>18554.674109399999</v>
      </c>
      <c r="BE127" s="876">
        <f t="shared" si="88"/>
        <v>18918.491248800001</v>
      </c>
      <c r="BF127" s="876">
        <f t="shared" si="88"/>
        <v>19282.308388199999</v>
      </c>
      <c r="BG127" s="876">
        <f t="shared" si="88"/>
        <v>-2546.7199757999997</v>
      </c>
      <c r="BH127" s="876">
        <f t="shared" si="88"/>
        <v>-2546.7199757999997</v>
      </c>
      <c r="BI127" s="876">
        <f t="shared" si="88"/>
        <v>-2546.7199757999997</v>
      </c>
      <c r="BJ127" s="876">
        <f t="shared" si="88"/>
        <v>1091.4514182</v>
      </c>
      <c r="BK127" s="876">
        <f t="shared" si="88"/>
        <v>1455.2685576000001</v>
      </c>
      <c r="BL127" s="876">
        <f t="shared" si="88"/>
        <v>1819.085697</v>
      </c>
      <c r="BM127" s="876">
        <f t="shared" si="88"/>
        <v>2182.9028364000001</v>
      </c>
      <c r="BN127" s="876">
        <f t="shared" si="88"/>
        <v>2546.7199757999997</v>
      </c>
      <c r="BO127" s="876">
        <f t="shared" si="88"/>
        <v>2910.5371152000002</v>
      </c>
      <c r="BP127" s="876">
        <f t="shared" si="88"/>
        <v>3274.3542546000003</v>
      </c>
      <c r="BQ127" s="876">
        <f t="shared" si="88"/>
        <v>3638.171394</v>
      </c>
      <c r="BR127" s="876">
        <f t="shared" si="88"/>
        <v>4001.9885334000005</v>
      </c>
      <c r="BS127" s="876">
        <f t="shared" si="88"/>
        <v>4365.8056728000001</v>
      </c>
      <c r="BT127" s="876">
        <f t="shared" si="88"/>
        <v>4729.6228122000002</v>
      </c>
      <c r="BU127" s="876">
        <f t="shared" si="88"/>
        <v>5093.4399515999994</v>
      </c>
      <c r="BV127" s="876">
        <f t="shared" si="88"/>
        <v>5457.2570910000004</v>
      </c>
      <c r="BW127" s="876">
        <f t="shared" si="88"/>
        <v>5821.0742304000005</v>
      </c>
      <c r="BX127" s="876">
        <f t="shared" ref="BX127:DF127" si="89">((BX$86-$H$4)/1000)*IF($C$13=0,$R$30,$R$47)*(($C$8/70)^$AC$47)*IF($C$13=1,$AG$47,IF($C$13=2,$AH$47,IF($C$13=3,$AI$47,1)))</f>
        <v>6184.8913697999997</v>
      </c>
      <c r="BY127" s="876">
        <f t="shared" si="89"/>
        <v>6548.7085092000007</v>
      </c>
      <c r="BZ127" s="876">
        <f t="shared" si="89"/>
        <v>6912.5256485999989</v>
      </c>
      <c r="CA127" s="876">
        <f t="shared" si="89"/>
        <v>7276.3427879999999</v>
      </c>
      <c r="CB127" s="876">
        <f t="shared" si="89"/>
        <v>7640.1599274000009</v>
      </c>
      <c r="CC127" s="876">
        <f t="shared" si="89"/>
        <v>8003.977066800001</v>
      </c>
      <c r="CD127" s="876">
        <f t="shared" si="89"/>
        <v>8367.7942062000002</v>
      </c>
      <c r="CE127" s="876">
        <f t="shared" si="89"/>
        <v>8731.6113456000003</v>
      </c>
      <c r="CF127" s="876">
        <f t="shared" si="89"/>
        <v>9095.4284850000004</v>
      </c>
      <c r="CG127" s="876">
        <f t="shared" si="89"/>
        <v>9459.2456244000005</v>
      </c>
      <c r="CH127" s="876">
        <f t="shared" si="89"/>
        <v>9823.0627638000005</v>
      </c>
      <c r="CI127" s="876">
        <f t="shared" si="89"/>
        <v>10186.879903199999</v>
      </c>
      <c r="CJ127" s="876">
        <f t="shared" si="89"/>
        <v>10550.697042600001</v>
      </c>
      <c r="CK127" s="876">
        <f t="shared" si="89"/>
        <v>10914.514182000001</v>
      </c>
      <c r="CL127" s="876">
        <f t="shared" si="89"/>
        <v>11278.331321400001</v>
      </c>
      <c r="CM127" s="876">
        <f t="shared" si="89"/>
        <v>11642.148460800001</v>
      </c>
      <c r="CN127" s="876">
        <f t="shared" si="89"/>
        <v>12005.965600199999</v>
      </c>
      <c r="CO127" s="876">
        <f t="shared" si="89"/>
        <v>12369.782739599999</v>
      </c>
      <c r="CP127" s="876">
        <f t="shared" si="89"/>
        <v>12733.599879000001</v>
      </c>
      <c r="CQ127" s="876">
        <f t="shared" si="89"/>
        <v>13097.417018400001</v>
      </c>
      <c r="CR127" s="876">
        <f t="shared" si="89"/>
        <v>13461.2341578</v>
      </c>
      <c r="CS127" s="876">
        <f t="shared" si="89"/>
        <v>13825.051297199998</v>
      </c>
      <c r="CT127" s="876">
        <f t="shared" si="89"/>
        <v>14188.8684366</v>
      </c>
      <c r="CU127" s="876">
        <f t="shared" si="89"/>
        <v>14552.685576</v>
      </c>
      <c r="CV127" s="876">
        <f t="shared" si="89"/>
        <v>14916.502715399998</v>
      </c>
      <c r="CW127" s="876">
        <f t="shared" si="89"/>
        <v>15280.319854800002</v>
      </c>
      <c r="CX127" s="876">
        <f t="shared" si="89"/>
        <v>15644.1369942</v>
      </c>
      <c r="CY127" s="876">
        <f t="shared" si="89"/>
        <v>16007.954133600002</v>
      </c>
      <c r="CZ127" s="876">
        <f t="shared" si="89"/>
        <v>16371.771273</v>
      </c>
      <c r="DA127" s="876">
        <f t="shared" si="89"/>
        <v>16735.5884124</v>
      </c>
      <c r="DB127" s="876">
        <f t="shared" si="89"/>
        <v>17099.405551800002</v>
      </c>
      <c r="DC127" s="876">
        <f t="shared" si="89"/>
        <v>17463.222691200001</v>
      </c>
      <c r="DD127" s="876">
        <f t="shared" si="89"/>
        <v>17827.039830600002</v>
      </c>
      <c r="DE127" s="876">
        <f t="shared" si="89"/>
        <v>18190.856970000001</v>
      </c>
      <c r="DF127" s="876">
        <f t="shared" si="89"/>
        <v>18554.674109399999</v>
      </c>
    </row>
    <row r="128" spans="1:110" ht="15.75" thickBot="1">
      <c r="A128" s="1153"/>
      <c r="B128" s="2735" t="s">
        <v>540</v>
      </c>
      <c r="C128" s="2735"/>
      <c r="D128" s="1168"/>
      <c r="E128" s="1168"/>
      <c r="F128" s="1168"/>
      <c r="G128" s="1168"/>
      <c r="H128" s="1168"/>
      <c r="I128" s="1168"/>
      <c r="J128" s="877"/>
      <c r="K128" s="877"/>
      <c r="L128" s="877">
        <f>((L$86-$H$4)/1000)*IF($C$13=0,$S$30,$S$47)*(($C$8/70)^$AD$47)*IF($C$13=1,$AG$47,IF($C$13=2,$AH$47,IF($C$13=3,$AI$47,1)))</f>
        <v>2783.3005199999998</v>
      </c>
      <c r="M128" s="877">
        <f t="shared" ref="M128:AQ128" si="90">((M$86-$H$4)/1000)*IF($C$13=0,$S$30,$S$47)*(($C$8/70)^$AD$47)*IF($C$13=1,$AG$47,IF($C$13=2,$AH$47,IF($C$13=3,$AI$47,1)))</f>
        <v>3180.9148799999998</v>
      </c>
      <c r="N128" s="877">
        <f t="shared" si="90"/>
        <v>3578.5292399999998</v>
      </c>
      <c r="O128" s="877">
        <f t="shared" si="90"/>
        <v>3976.1435999999999</v>
      </c>
      <c r="P128" s="877">
        <f t="shared" si="90"/>
        <v>4373.7579599999999</v>
      </c>
      <c r="Q128" s="877">
        <f t="shared" si="90"/>
        <v>4771.3723199999995</v>
      </c>
      <c r="R128" s="877">
        <f t="shared" si="90"/>
        <v>5168.98668</v>
      </c>
      <c r="S128" s="877">
        <f t="shared" si="90"/>
        <v>5566.6010399999996</v>
      </c>
      <c r="T128" s="877">
        <f t="shared" si="90"/>
        <v>5964.2153999999991</v>
      </c>
      <c r="U128" s="877">
        <f t="shared" si="90"/>
        <v>6361.8297599999996</v>
      </c>
      <c r="V128" s="877">
        <f t="shared" si="90"/>
        <v>6759.4441199999992</v>
      </c>
      <c r="W128" s="877">
        <f t="shared" si="90"/>
        <v>7157.0584799999997</v>
      </c>
      <c r="X128" s="877">
        <f t="shared" si="90"/>
        <v>7554.6728399999993</v>
      </c>
      <c r="Y128" s="877">
        <f t="shared" si="90"/>
        <v>7952.2871999999998</v>
      </c>
      <c r="Z128" s="877">
        <f t="shared" si="90"/>
        <v>8349.9015600000002</v>
      </c>
      <c r="AA128" s="877">
        <f t="shared" si="90"/>
        <v>8747.5159199999998</v>
      </c>
      <c r="AB128" s="877">
        <f t="shared" si="90"/>
        <v>9145.1302799999994</v>
      </c>
      <c r="AC128" s="877">
        <f t="shared" si="90"/>
        <v>9542.744639999999</v>
      </c>
      <c r="AD128" s="877">
        <f t="shared" si="90"/>
        <v>9940.3589999999986</v>
      </c>
      <c r="AE128" s="877">
        <f t="shared" si="90"/>
        <v>10337.97336</v>
      </c>
      <c r="AF128" s="877">
        <f t="shared" si="90"/>
        <v>10735.587720000001</v>
      </c>
      <c r="AG128" s="877">
        <f t="shared" si="90"/>
        <v>11133.202079999999</v>
      </c>
      <c r="AH128" s="877">
        <f t="shared" si="90"/>
        <v>11530.816439999999</v>
      </c>
      <c r="AI128" s="877">
        <f t="shared" si="90"/>
        <v>11928.430799999998</v>
      </c>
      <c r="AJ128" s="877">
        <f t="shared" si="90"/>
        <v>12326.04516</v>
      </c>
      <c r="AK128" s="877">
        <f t="shared" si="90"/>
        <v>12723.659519999999</v>
      </c>
      <c r="AL128" s="877">
        <f t="shared" si="90"/>
        <v>13121.273879999997</v>
      </c>
      <c r="AM128" s="877">
        <f t="shared" si="90"/>
        <v>13518.888239999998</v>
      </c>
      <c r="AN128" s="877">
        <f t="shared" si="90"/>
        <v>13916.502599999998</v>
      </c>
      <c r="AO128" s="877">
        <f t="shared" si="90"/>
        <v>14314.116959999999</v>
      </c>
      <c r="AP128" s="877">
        <f t="shared" si="90"/>
        <v>14711.731320000001</v>
      </c>
      <c r="AQ128" s="877">
        <f t="shared" si="90"/>
        <v>15109.345679999999</v>
      </c>
      <c r="AR128" s="877">
        <f t="shared" ref="AR128:BW128" si="91">((AR$86-$H$4)/1000)*IF($C$13=0,$S$30,$S$47)*(($C$8/70)^$AD$47)*IF($C$13=1,$AG$47,IF($C$13=2,$AH$47,IF($C$13=3,$AI$47,1)))</f>
        <v>15506.960039999998</v>
      </c>
      <c r="AS128" s="877">
        <f t="shared" si="91"/>
        <v>15904.5744</v>
      </c>
      <c r="AT128" s="877">
        <f t="shared" si="91"/>
        <v>16302.188759999997</v>
      </c>
      <c r="AU128" s="877">
        <f t="shared" si="91"/>
        <v>16699.80312</v>
      </c>
      <c r="AV128" s="877">
        <f t="shared" si="91"/>
        <v>17097.417479999996</v>
      </c>
      <c r="AW128" s="877">
        <f t="shared" si="91"/>
        <v>17495.03184</v>
      </c>
      <c r="AX128" s="877">
        <f t="shared" si="91"/>
        <v>17892.646199999999</v>
      </c>
      <c r="AY128" s="877">
        <f t="shared" si="91"/>
        <v>18290.260559999999</v>
      </c>
      <c r="AZ128" s="877">
        <f t="shared" si="91"/>
        <v>18687.874919999998</v>
      </c>
      <c r="BA128" s="877">
        <f t="shared" si="91"/>
        <v>19085.489279999998</v>
      </c>
      <c r="BB128" s="877">
        <f t="shared" si="91"/>
        <v>19483.103640000001</v>
      </c>
      <c r="BC128" s="877">
        <f t="shared" si="91"/>
        <v>19880.717999999997</v>
      </c>
      <c r="BD128" s="877">
        <f t="shared" si="91"/>
        <v>20278.332359999997</v>
      </c>
      <c r="BE128" s="877">
        <f t="shared" si="91"/>
        <v>20675.94672</v>
      </c>
      <c r="BF128" s="877">
        <f t="shared" si="91"/>
        <v>21073.561079999996</v>
      </c>
      <c r="BG128" s="877">
        <f t="shared" si="91"/>
        <v>-2783.3005199999998</v>
      </c>
      <c r="BH128" s="877">
        <f t="shared" si="91"/>
        <v>-2783.3005199999998</v>
      </c>
      <c r="BI128" s="877">
        <f t="shared" si="91"/>
        <v>-2783.3005199999998</v>
      </c>
      <c r="BJ128" s="877">
        <f t="shared" si="91"/>
        <v>1192.8430799999999</v>
      </c>
      <c r="BK128" s="877">
        <f t="shared" si="91"/>
        <v>1590.4574399999999</v>
      </c>
      <c r="BL128" s="877">
        <f t="shared" si="91"/>
        <v>1988.0717999999999</v>
      </c>
      <c r="BM128" s="877">
        <f t="shared" si="91"/>
        <v>2385.6861599999997</v>
      </c>
      <c r="BN128" s="877">
        <f t="shared" si="91"/>
        <v>2783.3005199999998</v>
      </c>
      <c r="BO128" s="877">
        <f t="shared" si="91"/>
        <v>3180.9148799999998</v>
      </c>
      <c r="BP128" s="877">
        <f t="shared" si="91"/>
        <v>3578.5292399999998</v>
      </c>
      <c r="BQ128" s="877">
        <f t="shared" si="91"/>
        <v>3976.1435999999999</v>
      </c>
      <c r="BR128" s="877">
        <f t="shared" si="91"/>
        <v>4373.7579599999999</v>
      </c>
      <c r="BS128" s="877">
        <f t="shared" si="91"/>
        <v>4771.3723199999995</v>
      </c>
      <c r="BT128" s="877">
        <f t="shared" si="91"/>
        <v>5168.98668</v>
      </c>
      <c r="BU128" s="877">
        <f t="shared" si="91"/>
        <v>5566.6010399999996</v>
      </c>
      <c r="BV128" s="877">
        <f t="shared" si="91"/>
        <v>5964.2153999999991</v>
      </c>
      <c r="BW128" s="877">
        <f t="shared" si="91"/>
        <v>6361.8297599999996</v>
      </c>
      <c r="BX128" s="877">
        <f t="shared" ref="BX128:DF128" si="92">((BX$86-$H$4)/1000)*IF($C$13=0,$S$30,$S$47)*(($C$8/70)^$AD$47)*IF($C$13=1,$AG$47,IF($C$13=2,$AH$47,IF($C$13=3,$AI$47,1)))</f>
        <v>6759.4441199999992</v>
      </c>
      <c r="BY128" s="877">
        <f t="shared" si="92"/>
        <v>7157.0584799999997</v>
      </c>
      <c r="BZ128" s="877">
        <f t="shared" si="92"/>
        <v>7554.6728399999993</v>
      </c>
      <c r="CA128" s="877">
        <f t="shared" si="92"/>
        <v>7952.2871999999998</v>
      </c>
      <c r="CB128" s="877">
        <f t="shared" si="92"/>
        <v>8349.9015600000002</v>
      </c>
      <c r="CC128" s="877">
        <f t="shared" si="92"/>
        <v>8747.5159199999998</v>
      </c>
      <c r="CD128" s="877">
        <f t="shared" si="92"/>
        <v>9145.1302799999994</v>
      </c>
      <c r="CE128" s="877">
        <f t="shared" si="92"/>
        <v>9542.744639999999</v>
      </c>
      <c r="CF128" s="877">
        <f t="shared" si="92"/>
        <v>9940.3589999999986</v>
      </c>
      <c r="CG128" s="877">
        <f t="shared" si="92"/>
        <v>10337.97336</v>
      </c>
      <c r="CH128" s="877">
        <f t="shared" si="92"/>
        <v>10735.587720000001</v>
      </c>
      <c r="CI128" s="877">
        <f t="shared" si="92"/>
        <v>11133.202079999999</v>
      </c>
      <c r="CJ128" s="877">
        <f t="shared" si="92"/>
        <v>11530.816439999999</v>
      </c>
      <c r="CK128" s="877">
        <f t="shared" si="92"/>
        <v>11928.430799999998</v>
      </c>
      <c r="CL128" s="877">
        <f t="shared" si="92"/>
        <v>12326.04516</v>
      </c>
      <c r="CM128" s="877">
        <f t="shared" si="92"/>
        <v>12723.659519999999</v>
      </c>
      <c r="CN128" s="877">
        <f t="shared" si="92"/>
        <v>13121.273879999997</v>
      </c>
      <c r="CO128" s="877">
        <f t="shared" si="92"/>
        <v>13518.888239999998</v>
      </c>
      <c r="CP128" s="877">
        <f t="shared" si="92"/>
        <v>13916.502599999998</v>
      </c>
      <c r="CQ128" s="877">
        <f t="shared" si="92"/>
        <v>14314.116959999999</v>
      </c>
      <c r="CR128" s="877">
        <f t="shared" si="92"/>
        <v>14711.731320000001</v>
      </c>
      <c r="CS128" s="877">
        <f t="shared" si="92"/>
        <v>15109.345679999999</v>
      </c>
      <c r="CT128" s="877">
        <f t="shared" si="92"/>
        <v>15506.960039999998</v>
      </c>
      <c r="CU128" s="877">
        <f t="shared" si="92"/>
        <v>15904.5744</v>
      </c>
      <c r="CV128" s="877">
        <f t="shared" si="92"/>
        <v>16302.188759999997</v>
      </c>
      <c r="CW128" s="877">
        <f t="shared" si="92"/>
        <v>16699.80312</v>
      </c>
      <c r="CX128" s="877">
        <f t="shared" si="92"/>
        <v>17097.417479999996</v>
      </c>
      <c r="CY128" s="877">
        <f t="shared" si="92"/>
        <v>17495.03184</v>
      </c>
      <c r="CZ128" s="877">
        <f t="shared" si="92"/>
        <v>17892.646199999999</v>
      </c>
      <c r="DA128" s="877">
        <f t="shared" si="92"/>
        <v>18290.260559999999</v>
      </c>
      <c r="DB128" s="877">
        <f t="shared" si="92"/>
        <v>18687.874919999998</v>
      </c>
      <c r="DC128" s="877">
        <f t="shared" si="92"/>
        <v>19085.489279999998</v>
      </c>
      <c r="DD128" s="877">
        <f t="shared" si="92"/>
        <v>19483.103640000001</v>
      </c>
      <c r="DE128" s="877">
        <f t="shared" si="92"/>
        <v>19880.717999999997</v>
      </c>
      <c r="DF128" s="877">
        <f t="shared" si="92"/>
        <v>20278.332359999997</v>
      </c>
    </row>
    <row r="129" spans="1:110" ht="15.75" thickBot="1"/>
    <row r="130" spans="1:110" ht="15.75" hidden="1" thickBot="1">
      <c r="A130" s="906"/>
      <c r="B130" s="2776" t="s">
        <v>343</v>
      </c>
      <c r="C130" s="2777"/>
      <c r="D130" s="2784" t="s">
        <v>192</v>
      </c>
      <c r="E130" s="2786" t="s">
        <v>0</v>
      </c>
      <c r="F130" s="2786" t="s">
        <v>1</v>
      </c>
      <c r="G130" s="2788" t="s">
        <v>153</v>
      </c>
      <c r="H130" s="2514" t="s">
        <v>16</v>
      </c>
      <c r="I130" s="2493"/>
      <c r="J130" s="2493"/>
      <c r="K130" s="2493"/>
      <c r="L130" s="2493"/>
      <c r="M130" s="2493"/>
      <c r="N130" s="2493"/>
      <c r="O130" s="2493"/>
      <c r="P130" s="2493"/>
      <c r="Q130" s="2493"/>
      <c r="R130" s="2493"/>
      <c r="S130" s="2493"/>
      <c r="T130" s="2493"/>
      <c r="U130" s="2493"/>
      <c r="V130" s="2493"/>
      <c r="W130" s="2493"/>
      <c r="X130" s="2493"/>
      <c r="Y130" s="2493"/>
      <c r="Z130" s="2493"/>
      <c r="AA130" s="2493"/>
      <c r="AB130" s="2493"/>
      <c r="AC130" s="2493"/>
      <c r="AD130" s="2493"/>
      <c r="AE130" s="2493"/>
      <c r="AF130" s="2493"/>
      <c r="AG130" s="2493"/>
      <c r="AH130" s="2493"/>
      <c r="AI130" s="2493"/>
      <c r="AJ130" s="2493"/>
      <c r="AK130" s="2493"/>
      <c r="AL130" s="2493"/>
      <c r="AM130" s="2493"/>
      <c r="AN130" s="2493"/>
      <c r="AO130" s="2493"/>
      <c r="AP130" s="2493"/>
      <c r="AQ130" s="2493"/>
      <c r="AR130" s="2493"/>
      <c r="AS130" s="2493"/>
      <c r="AT130" s="2493"/>
      <c r="AU130" s="2493"/>
      <c r="AV130" s="2493"/>
      <c r="AW130" s="2493"/>
      <c r="AX130" s="2493"/>
      <c r="AY130" s="2493"/>
      <c r="AZ130" s="2493"/>
      <c r="BA130" s="2493"/>
      <c r="BB130" s="2493"/>
      <c r="BC130" s="2493"/>
      <c r="BD130" s="2493"/>
      <c r="BE130" s="2493"/>
      <c r="BF130" s="2494"/>
    </row>
    <row r="131" spans="1:110" ht="15.75" hidden="1" thickBot="1">
      <c r="A131" s="906"/>
      <c r="B131" s="2778"/>
      <c r="C131" s="2779"/>
      <c r="D131" s="2785"/>
      <c r="E131" s="2787"/>
      <c r="F131" s="2787"/>
      <c r="G131" s="2789"/>
      <c r="H131" s="924">
        <v>500</v>
      </c>
      <c r="I131" s="925">
        <v>550</v>
      </c>
      <c r="J131" s="733">
        <v>600</v>
      </c>
      <c r="K131" s="734">
        <v>650</v>
      </c>
      <c r="L131" s="734">
        <v>700</v>
      </c>
      <c r="M131" s="734">
        <v>750</v>
      </c>
      <c r="N131" s="734">
        <v>800</v>
      </c>
      <c r="O131" s="734">
        <v>850</v>
      </c>
      <c r="P131" s="734">
        <v>900</v>
      </c>
      <c r="Q131" s="734">
        <v>950</v>
      </c>
      <c r="R131" s="734">
        <v>1000</v>
      </c>
      <c r="S131" s="734">
        <v>1050</v>
      </c>
      <c r="T131" s="734">
        <v>1100</v>
      </c>
      <c r="U131" s="734">
        <v>1150</v>
      </c>
      <c r="V131" s="734">
        <v>1200</v>
      </c>
      <c r="W131" s="734">
        <v>1250</v>
      </c>
      <c r="X131" s="734">
        <v>1300</v>
      </c>
      <c r="Y131" s="734">
        <v>1350</v>
      </c>
      <c r="Z131" s="734">
        <v>1400</v>
      </c>
      <c r="AA131" s="734">
        <v>1450</v>
      </c>
      <c r="AB131" s="734">
        <v>1500</v>
      </c>
      <c r="AC131" s="734">
        <v>1550</v>
      </c>
      <c r="AD131" s="734">
        <v>1600</v>
      </c>
      <c r="AE131" s="734">
        <v>1650</v>
      </c>
      <c r="AF131" s="734">
        <v>1700</v>
      </c>
      <c r="AG131" s="734">
        <v>1750</v>
      </c>
      <c r="AH131" s="734">
        <v>1800</v>
      </c>
      <c r="AI131" s="734">
        <v>1850</v>
      </c>
      <c r="AJ131" s="734">
        <v>1900</v>
      </c>
      <c r="AK131" s="734">
        <v>1950</v>
      </c>
      <c r="AL131" s="734">
        <v>2000</v>
      </c>
      <c r="AM131" s="734">
        <v>2050</v>
      </c>
      <c r="AN131" s="734">
        <v>2100</v>
      </c>
      <c r="AO131" s="734">
        <v>2150</v>
      </c>
      <c r="AP131" s="734">
        <v>2200</v>
      </c>
      <c r="AQ131" s="734">
        <v>2250</v>
      </c>
      <c r="AR131" s="734">
        <v>2300</v>
      </c>
      <c r="AS131" s="734">
        <v>2350</v>
      </c>
      <c r="AT131" s="734">
        <v>2400</v>
      </c>
      <c r="AU131" s="734">
        <v>2450</v>
      </c>
      <c r="AV131" s="734">
        <v>2500</v>
      </c>
      <c r="AW131" s="734">
        <v>2550</v>
      </c>
      <c r="AX131" s="734">
        <v>2600</v>
      </c>
      <c r="AY131" s="734">
        <v>2650</v>
      </c>
      <c r="AZ131" s="734">
        <v>2700</v>
      </c>
      <c r="BA131" s="734">
        <v>2750</v>
      </c>
      <c r="BB131" s="734">
        <v>2800</v>
      </c>
      <c r="BC131" s="734">
        <v>2850</v>
      </c>
      <c r="BD131" s="734">
        <v>2900</v>
      </c>
      <c r="BE131" s="735">
        <v>2950</v>
      </c>
      <c r="BF131" s="736">
        <v>3000</v>
      </c>
      <c r="BH131" s="907">
        <v>500</v>
      </c>
      <c r="BI131" s="632">
        <v>550</v>
      </c>
      <c r="BJ131" s="633">
        <v>600</v>
      </c>
      <c r="BK131" s="634">
        <v>650</v>
      </c>
      <c r="BL131" s="634">
        <v>700</v>
      </c>
      <c r="BM131" s="634">
        <v>750</v>
      </c>
      <c r="BN131" s="634">
        <v>800</v>
      </c>
      <c r="BO131" s="634">
        <v>850</v>
      </c>
      <c r="BP131" s="634">
        <v>900</v>
      </c>
      <c r="BQ131" s="634">
        <v>950</v>
      </c>
      <c r="BR131" s="634">
        <v>1000</v>
      </c>
      <c r="BS131" s="634">
        <v>1050</v>
      </c>
      <c r="BT131" s="634">
        <v>1100</v>
      </c>
      <c r="BU131" s="634">
        <v>1150</v>
      </c>
      <c r="BV131" s="634">
        <v>1200</v>
      </c>
      <c r="BW131" s="634">
        <v>1250</v>
      </c>
      <c r="BX131" s="634">
        <v>1300</v>
      </c>
      <c r="BY131" s="634">
        <v>1350</v>
      </c>
      <c r="BZ131" s="634">
        <v>1400</v>
      </c>
      <c r="CA131" s="634">
        <v>1450</v>
      </c>
      <c r="CB131" s="634">
        <v>1500</v>
      </c>
      <c r="CC131" s="634">
        <v>1550</v>
      </c>
      <c r="CD131" s="634">
        <v>1600</v>
      </c>
      <c r="CE131" s="634">
        <v>1650</v>
      </c>
      <c r="CF131" s="634">
        <v>1700</v>
      </c>
      <c r="CG131" s="634">
        <v>1750</v>
      </c>
      <c r="CH131" s="634">
        <v>1800</v>
      </c>
      <c r="CI131" s="634">
        <v>1850</v>
      </c>
      <c r="CJ131" s="634">
        <v>1900</v>
      </c>
      <c r="CK131" s="634">
        <v>1950</v>
      </c>
      <c r="CL131" s="634">
        <v>2000</v>
      </c>
      <c r="CM131" s="634">
        <v>2050</v>
      </c>
      <c r="CN131" s="634">
        <v>2100</v>
      </c>
      <c r="CO131" s="634">
        <v>2150</v>
      </c>
      <c r="CP131" s="634">
        <v>2200</v>
      </c>
      <c r="CQ131" s="634">
        <v>2250</v>
      </c>
      <c r="CR131" s="634">
        <v>2300</v>
      </c>
      <c r="CS131" s="634">
        <v>2350</v>
      </c>
      <c r="CT131" s="634">
        <v>2400</v>
      </c>
      <c r="CU131" s="634">
        <v>2450</v>
      </c>
      <c r="CV131" s="634">
        <v>2500</v>
      </c>
      <c r="CW131" s="634">
        <v>2550</v>
      </c>
      <c r="CX131" s="634">
        <v>2600</v>
      </c>
      <c r="CY131" s="634">
        <v>2650</v>
      </c>
      <c r="CZ131" s="634">
        <v>2700</v>
      </c>
      <c r="DA131" s="634">
        <v>2750</v>
      </c>
      <c r="DB131" s="634">
        <v>2800</v>
      </c>
      <c r="DC131" s="634">
        <v>2850</v>
      </c>
      <c r="DD131" s="634">
        <v>2900</v>
      </c>
      <c r="DE131" s="635">
        <v>2950</v>
      </c>
      <c r="DF131" s="636">
        <v>3000</v>
      </c>
    </row>
    <row r="132" spans="1:110" ht="15.75" hidden="1" thickBot="1">
      <c r="B132" s="2780" t="s">
        <v>524</v>
      </c>
      <c r="C132" s="2781"/>
      <c r="D132" s="920"/>
      <c r="E132" s="920"/>
      <c r="F132" s="920"/>
      <c r="G132" s="922"/>
      <c r="H132" s="932">
        <f>((H$131-$H$4)/1000)*$M63*(($C$8/70)^$W$63)*IF($C$13=1,$AE$63,IF($C$13=2,$AF$63,IF($C$13=3,$AG$63,1)))</f>
        <v>564.23849999999993</v>
      </c>
      <c r="I132" s="932">
        <f>((I$131-$H$4)/1000)*$M63*(($C$8/70)^$W$63)*IF($C$13=1,$AE$63,IF($C$13=2,$AF$63,IF($C$13=3,$AG$63,1)))</f>
        <v>752.31799999999998</v>
      </c>
      <c r="J132" s="932"/>
      <c r="K132" s="932"/>
      <c r="L132" s="932">
        <f t="shared" ref="L132:AQ132" si="93">((L$131-$H$4)/1000)*$M63*(($C$8/70)^$W$63)*IF($C$13=1,$AE$63,IF($C$13=2,$AF$63,IF($C$13=3,$AG$63,1)))</f>
        <v>1316.5564999999999</v>
      </c>
      <c r="M132" s="932">
        <f t="shared" si="93"/>
        <v>1504.636</v>
      </c>
      <c r="N132" s="932">
        <f t="shared" si="93"/>
        <v>1692.7155</v>
      </c>
      <c r="O132" s="932">
        <f t="shared" si="93"/>
        <v>1880.7949999999998</v>
      </c>
      <c r="P132" s="932">
        <f t="shared" si="93"/>
        <v>2068.8744999999999</v>
      </c>
      <c r="Q132" s="932">
        <f t="shared" si="93"/>
        <v>2256.9539999999997</v>
      </c>
      <c r="R132" s="932">
        <f t="shared" si="93"/>
        <v>2445.0335</v>
      </c>
      <c r="S132" s="932">
        <f t="shared" si="93"/>
        <v>2633.1129999999998</v>
      </c>
      <c r="T132" s="932">
        <f t="shared" si="93"/>
        <v>2821.1924999999997</v>
      </c>
      <c r="U132" s="932">
        <f t="shared" si="93"/>
        <v>3009.2719999999999</v>
      </c>
      <c r="V132" s="932">
        <f t="shared" si="93"/>
        <v>3197.3514999999998</v>
      </c>
      <c r="W132" s="932">
        <f t="shared" si="93"/>
        <v>3385.431</v>
      </c>
      <c r="X132" s="932">
        <f t="shared" si="93"/>
        <v>3573.5104999999999</v>
      </c>
      <c r="Y132" s="932">
        <f t="shared" si="93"/>
        <v>3761.5899999999997</v>
      </c>
      <c r="Z132" s="932">
        <f t="shared" si="93"/>
        <v>3949.6694999999995</v>
      </c>
      <c r="AA132" s="932">
        <f t="shared" si="93"/>
        <v>4137.7489999999998</v>
      </c>
      <c r="AB132" s="932">
        <f t="shared" si="93"/>
        <v>4325.8284999999996</v>
      </c>
      <c r="AC132" s="932">
        <f t="shared" si="93"/>
        <v>4513.9079999999994</v>
      </c>
      <c r="AD132" s="932">
        <f t="shared" si="93"/>
        <v>4701.9875000000002</v>
      </c>
      <c r="AE132" s="932">
        <f t="shared" si="93"/>
        <v>4890.067</v>
      </c>
      <c r="AF132" s="932">
        <f t="shared" si="93"/>
        <v>5078.1464999999998</v>
      </c>
      <c r="AG132" s="932">
        <f t="shared" si="93"/>
        <v>5266.2259999999997</v>
      </c>
      <c r="AH132" s="932">
        <f t="shared" si="93"/>
        <v>5454.3054999999995</v>
      </c>
      <c r="AI132" s="932">
        <f t="shared" si="93"/>
        <v>5642.3849999999993</v>
      </c>
      <c r="AJ132" s="932">
        <f t="shared" si="93"/>
        <v>5830.4645</v>
      </c>
      <c r="AK132" s="932">
        <f t="shared" si="93"/>
        <v>6018.5439999999999</v>
      </c>
      <c r="AL132" s="932">
        <f t="shared" si="93"/>
        <v>6206.6234999999997</v>
      </c>
      <c r="AM132" s="932">
        <f t="shared" si="93"/>
        <v>6394.7029999999995</v>
      </c>
      <c r="AN132" s="932">
        <f t="shared" si="93"/>
        <v>6582.7824999999993</v>
      </c>
      <c r="AO132" s="932">
        <f t="shared" si="93"/>
        <v>6770.8620000000001</v>
      </c>
      <c r="AP132" s="932">
        <f t="shared" si="93"/>
        <v>6958.941499999999</v>
      </c>
      <c r="AQ132" s="932">
        <f t="shared" si="93"/>
        <v>7147.0209999999997</v>
      </c>
      <c r="AR132" s="932">
        <f t="shared" ref="AR132:BW132" si="94">((AR$131-$H$4)/1000)*$M63*(($C$8/70)^$W$63)*IF($C$13=1,$AE$63,IF($C$13=2,$AF$63,IF($C$13=3,$AG$63,1)))</f>
        <v>7335.1004999999996</v>
      </c>
      <c r="AS132" s="932">
        <f t="shared" si="94"/>
        <v>7523.1799999999994</v>
      </c>
      <c r="AT132" s="932">
        <f t="shared" si="94"/>
        <v>7711.2594999999992</v>
      </c>
      <c r="AU132" s="932">
        <f t="shared" si="94"/>
        <v>7899.338999999999</v>
      </c>
      <c r="AV132" s="932">
        <f t="shared" si="94"/>
        <v>8087.4184999999998</v>
      </c>
      <c r="AW132" s="932">
        <f t="shared" si="94"/>
        <v>8275.4979999999996</v>
      </c>
      <c r="AX132" s="932">
        <f t="shared" si="94"/>
        <v>8463.5774999999994</v>
      </c>
      <c r="AY132" s="932">
        <f t="shared" si="94"/>
        <v>8651.6569999999992</v>
      </c>
      <c r="AZ132" s="932">
        <f t="shared" si="94"/>
        <v>8839.7364999999991</v>
      </c>
      <c r="BA132" s="932">
        <f t="shared" si="94"/>
        <v>9027.8159999999989</v>
      </c>
      <c r="BB132" s="932">
        <f t="shared" si="94"/>
        <v>9215.8955000000005</v>
      </c>
      <c r="BC132" s="932">
        <f t="shared" si="94"/>
        <v>9403.9750000000004</v>
      </c>
      <c r="BD132" s="932">
        <f t="shared" si="94"/>
        <v>9592.0544999999984</v>
      </c>
      <c r="BE132" s="932">
        <f t="shared" si="94"/>
        <v>9780.134</v>
      </c>
      <c r="BF132" s="933">
        <f t="shared" si="94"/>
        <v>9968.2134999999998</v>
      </c>
      <c r="BG132" s="923">
        <f t="shared" si="94"/>
        <v>-1316.5564999999999</v>
      </c>
      <c r="BH132" s="919">
        <f t="shared" si="94"/>
        <v>564.23849999999993</v>
      </c>
      <c r="BI132" s="919">
        <f t="shared" si="94"/>
        <v>752.31799999999998</v>
      </c>
      <c r="BJ132" s="919">
        <f t="shared" si="94"/>
        <v>940.39749999999992</v>
      </c>
      <c r="BK132" s="919">
        <f t="shared" si="94"/>
        <v>1128.4769999999999</v>
      </c>
      <c r="BL132" s="919">
        <f t="shared" si="94"/>
        <v>1316.5564999999999</v>
      </c>
      <c r="BM132" s="919">
        <f t="shared" si="94"/>
        <v>1504.636</v>
      </c>
      <c r="BN132" s="919">
        <f t="shared" si="94"/>
        <v>1692.7155</v>
      </c>
      <c r="BO132" s="919">
        <f t="shared" si="94"/>
        <v>1880.7949999999998</v>
      </c>
      <c r="BP132" s="919">
        <f t="shared" si="94"/>
        <v>2068.8744999999999</v>
      </c>
      <c r="BQ132" s="919">
        <f t="shared" si="94"/>
        <v>2256.9539999999997</v>
      </c>
      <c r="BR132" s="919">
        <f t="shared" si="94"/>
        <v>2445.0335</v>
      </c>
      <c r="BS132" s="919">
        <f t="shared" si="94"/>
        <v>2633.1129999999998</v>
      </c>
      <c r="BT132" s="919">
        <f t="shared" si="94"/>
        <v>2821.1924999999997</v>
      </c>
      <c r="BU132" s="919">
        <f t="shared" si="94"/>
        <v>3009.2719999999999</v>
      </c>
      <c r="BV132" s="919">
        <f t="shared" si="94"/>
        <v>3197.3514999999998</v>
      </c>
      <c r="BW132" s="919">
        <f t="shared" si="94"/>
        <v>3385.431</v>
      </c>
      <c r="BX132" s="919">
        <f t="shared" ref="BX132:DF132" si="95">((BX$131-$H$4)/1000)*$M63*(($C$8/70)^$W$63)*IF($C$13=1,$AE$63,IF($C$13=2,$AF$63,IF($C$13=3,$AG$63,1)))</f>
        <v>3573.5104999999999</v>
      </c>
      <c r="BY132" s="919">
        <f t="shared" si="95"/>
        <v>3761.5899999999997</v>
      </c>
      <c r="BZ132" s="919">
        <f t="shared" si="95"/>
        <v>3949.6694999999995</v>
      </c>
      <c r="CA132" s="919">
        <f t="shared" si="95"/>
        <v>4137.7489999999998</v>
      </c>
      <c r="CB132" s="919">
        <f t="shared" si="95"/>
        <v>4325.8284999999996</v>
      </c>
      <c r="CC132" s="919">
        <f t="shared" si="95"/>
        <v>4513.9079999999994</v>
      </c>
      <c r="CD132" s="919">
        <f t="shared" si="95"/>
        <v>4701.9875000000002</v>
      </c>
      <c r="CE132" s="919">
        <f t="shared" si="95"/>
        <v>4890.067</v>
      </c>
      <c r="CF132" s="919">
        <f t="shared" si="95"/>
        <v>5078.1464999999998</v>
      </c>
      <c r="CG132" s="919">
        <f t="shared" si="95"/>
        <v>5266.2259999999997</v>
      </c>
      <c r="CH132" s="919">
        <f t="shared" si="95"/>
        <v>5454.3054999999995</v>
      </c>
      <c r="CI132" s="919">
        <f t="shared" si="95"/>
        <v>5642.3849999999993</v>
      </c>
      <c r="CJ132" s="919">
        <f t="shared" si="95"/>
        <v>5830.4645</v>
      </c>
      <c r="CK132" s="919">
        <f t="shared" si="95"/>
        <v>6018.5439999999999</v>
      </c>
      <c r="CL132" s="919">
        <f t="shared" si="95"/>
        <v>6206.6234999999997</v>
      </c>
      <c r="CM132" s="919">
        <f t="shared" si="95"/>
        <v>6394.7029999999995</v>
      </c>
      <c r="CN132" s="919">
        <f t="shared" si="95"/>
        <v>6582.7824999999993</v>
      </c>
      <c r="CO132" s="919">
        <f t="shared" si="95"/>
        <v>6770.8620000000001</v>
      </c>
      <c r="CP132" s="919">
        <f t="shared" si="95"/>
        <v>6958.941499999999</v>
      </c>
      <c r="CQ132" s="919">
        <f t="shared" si="95"/>
        <v>7147.0209999999997</v>
      </c>
      <c r="CR132" s="919">
        <f t="shared" si="95"/>
        <v>7335.1004999999996</v>
      </c>
      <c r="CS132" s="919">
        <f t="shared" si="95"/>
        <v>7523.1799999999994</v>
      </c>
      <c r="CT132" s="919">
        <f t="shared" si="95"/>
        <v>7711.2594999999992</v>
      </c>
      <c r="CU132" s="919">
        <f t="shared" si="95"/>
        <v>7899.338999999999</v>
      </c>
      <c r="CV132" s="919">
        <f t="shared" si="95"/>
        <v>8087.4184999999998</v>
      </c>
      <c r="CW132" s="919">
        <f t="shared" si="95"/>
        <v>8275.4979999999996</v>
      </c>
      <c r="CX132" s="919">
        <f t="shared" si="95"/>
        <v>8463.5774999999994</v>
      </c>
      <c r="CY132" s="919">
        <f t="shared" si="95"/>
        <v>8651.6569999999992</v>
      </c>
      <c r="CZ132" s="919">
        <f t="shared" si="95"/>
        <v>8839.7364999999991</v>
      </c>
      <c r="DA132" s="919">
        <f t="shared" si="95"/>
        <v>9027.8159999999989</v>
      </c>
      <c r="DB132" s="919">
        <f t="shared" si="95"/>
        <v>9215.8955000000005</v>
      </c>
      <c r="DC132" s="919">
        <f t="shared" si="95"/>
        <v>9403.9750000000004</v>
      </c>
      <c r="DD132" s="919">
        <f t="shared" si="95"/>
        <v>9592.0544999999984</v>
      </c>
      <c r="DE132" s="919">
        <f t="shared" si="95"/>
        <v>9780.134</v>
      </c>
      <c r="DF132" s="919">
        <f t="shared" si="95"/>
        <v>9968.2134999999998</v>
      </c>
    </row>
    <row r="133" spans="1:110" ht="15.75" hidden="1" thickBot="1">
      <c r="B133" s="2782" t="s">
        <v>525</v>
      </c>
      <c r="C133" s="2783"/>
      <c r="D133" s="934"/>
      <c r="E133" s="934"/>
      <c r="F133" s="934"/>
      <c r="G133" s="935"/>
      <c r="H133" s="936">
        <f>((H$131-$H$4)/1000)*$O63*(($C$8/70)^$Y$63)*IF($C$13=1,$AE$63,IF($C$13=2,$AF$63,IF($C$13=3,$AG$63,1)))</f>
        <v>643.43894999999986</v>
      </c>
      <c r="I133" s="936">
        <f>((I$131-$H$4)/1000)*$O63*(($C$8/70)^$Y$63)*IF($C$13=1,$AE$63,IF($C$13=2,$AF$63,IF($C$13=3,$AG$63,1)))</f>
        <v>857.91859999999997</v>
      </c>
      <c r="J133" s="936"/>
      <c r="K133" s="936"/>
      <c r="L133" s="936">
        <f t="shared" ref="L133:AQ133" si="96">((L$131-$H$4)/1000)*$O63*(($C$8/70)^$Y$63)*IF($C$13=1,$AE$63,IF($C$13=2,$AF$63,IF($C$13=3,$AG$63,1)))</f>
        <v>1501.3575499999997</v>
      </c>
      <c r="M133" s="936">
        <f t="shared" si="96"/>
        <v>1715.8371999999999</v>
      </c>
      <c r="N133" s="936">
        <f t="shared" si="96"/>
        <v>1930.3168499999999</v>
      </c>
      <c r="O133" s="936">
        <f t="shared" si="96"/>
        <v>2144.7964999999999</v>
      </c>
      <c r="P133" s="936">
        <f t="shared" si="96"/>
        <v>2359.2761500000001</v>
      </c>
      <c r="Q133" s="936">
        <f t="shared" si="96"/>
        <v>2573.7557999999995</v>
      </c>
      <c r="R133" s="936">
        <f t="shared" si="96"/>
        <v>2788.2354500000001</v>
      </c>
      <c r="S133" s="936">
        <f t="shared" si="96"/>
        <v>3002.7150999999994</v>
      </c>
      <c r="T133" s="936">
        <f t="shared" si="96"/>
        <v>3217.1947500000001</v>
      </c>
      <c r="U133" s="936">
        <f t="shared" si="96"/>
        <v>3431.6743999999999</v>
      </c>
      <c r="V133" s="936">
        <f t="shared" si="96"/>
        <v>3646.1540500000001</v>
      </c>
      <c r="W133" s="936">
        <f t="shared" si="96"/>
        <v>3860.6336999999999</v>
      </c>
      <c r="X133" s="936">
        <f t="shared" si="96"/>
        <v>4075.1133500000001</v>
      </c>
      <c r="Y133" s="936">
        <f t="shared" si="96"/>
        <v>4289.5929999999998</v>
      </c>
      <c r="Z133" s="936">
        <f t="shared" si="96"/>
        <v>4504.0726500000001</v>
      </c>
      <c r="AA133" s="936">
        <f t="shared" si="96"/>
        <v>4718.5523000000003</v>
      </c>
      <c r="AB133" s="936">
        <f t="shared" si="96"/>
        <v>4933.0319499999996</v>
      </c>
      <c r="AC133" s="936">
        <f t="shared" si="96"/>
        <v>5147.5115999999989</v>
      </c>
      <c r="AD133" s="936">
        <f t="shared" si="96"/>
        <v>5361.99125</v>
      </c>
      <c r="AE133" s="936">
        <f t="shared" si="96"/>
        <v>5576.4709000000003</v>
      </c>
      <c r="AF133" s="936">
        <f t="shared" si="96"/>
        <v>5790.9505500000005</v>
      </c>
      <c r="AG133" s="936">
        <f t="shared" si="96"/>
        <v>6005.4301999999989</v>
      </c>
      <c r="AH133" s="936">
        <f t="shared" si="96"/>
        <v>6219.90985</v>
      </c>
      <c r="AI133" s="936">
        <f t="shared" si="96"/>
        <v>6434.3895000000002</v>
      </c>
      <c r="AJ133" s="936">
        <f t="shared" si="96"/>
        <v>6648.8691499999995</v>
      </c>
      <c r="AK133" s="936">
        <f t="shared" si="96"/>
        <v>6863.3487999999998</v>
      </c>
      <c r="AL133" s="936">
        <f t="shared" si="96"/>
        <v>7077.8284499999991</v>
      </c>
      <c r="AM133" s="936">
        <f t="shared" si="96"/>
        <v>7292.3081000000002</v>
      </c>
      <c r="AN133" s="936">
        <f t="shared" si="96"/>
        <v>7506.7877499999995</v>
      </c>
      <c r="AO133" s="936">
        <f t="shared" si="96"/>
        <v>7721.2673999999997</v>
      </c>
      <c r="AP133" s="936">
        <f t="shared" si="96"/>
        <v>7935.7470499999999</v>
      </c>
      <c r="AQ133" s="936">
        <f t="shared" si="96"/>
        <v>8150.2267000000002</v>
      </c>
      <c r="AR133" s="936">
        <f t="shared" ref="AR133:BW133" si="97">((AR$131-$H$4)/1000)*$O63*(($C$8/70)^$Y$63)*IF($C$13=1,$AE$63,IF($C$13=2,$AF$63,IF($C$13=3,$AG$63,1)))</f>
        <v>8364.7063499999986</v>
      </c>
      <c r="AS133" s="936">
        <f t="shared" si="97"/>
        <v>8579.1859999999997</v>
      </c>
      <c r="AT133" s="936">
        <f t="shared" si="97"/>
        <v>8793.665649999999</v>
      </c>
      <c r="AU133" s="936">
        <f t="shared" si="97"/>
        <v>9008.1453000000001</v>
      </c>
      <c r="AV133" s="936">
        <f t="shared" si="97"/>
        <v>9222.6249499999994</v>
      </c>
      <c r="AW133" s="936">
        <f t="shared" si="97"/>
        <v>9437.1046000000006</v>
      </c>
      <c r="AX133" s="936">
        <f t="shared" si="97"/>
        <v>9651.5842499999999</v>
      </c>
      <c r="AY133" s="936">
        <f t="shared" si="97"/>
        <v>9866.0638999999992</v>
      </c>
      <c r="AZ133" s="936">
        <f t="shared" si="97"/>
        <v>10080.54355</v>
      </c>
      <c r="BA133" s="936">
        <f t="shared" si="97"/>
        <v>10295.023199999998</v>
      </c>
      <c r="BB133" s="936">
        <f t="shared" si="97"/>
        <v>10509.502850000001</v>
      </c>
      <c r="BC133" s="936">
        <f t="shared" si="97"/>
        <v>10723.9825</v>
      </c>
      <c r="BD133" s="936">
        <f t="shared" si="97"/>
        <v>10938.462149999999</v>
      </c>
      <c r="BE133" s="936">
        <f t="shared" si="97"/>
        <v>11152.941800000001</v>
      </c>
      <c r="BF133" s="937">
        <f t="shared" si="97"/>
        <v>11367.421449999998</v>
      </c>
      <c r="BG133" s="923">
        <f t="shared" si="97"/>
        <v>-1501.3575499999997</v>
      </c>
      <c r="BH133" s="919">
        <f t="shared" si="97"/>
        <v>643.43894999999986</v>
      </c>
      <c r="BI133" s="919">
        <f t="shared" si="97"/>
        <v>857.91859999999997</v>
      </c>
      <c r="BJ133" s="919">
        <f t="shared" si="97"/>
        <v>1072.39825</v>
      </c>
      <c r="BK133" s="919">
        <f t="shared" si="97"/>
        <v>1286.8778999999997</v>
      </c>
      <c r="BL133" s="919">
        <f t="shared" si="97"/>
        <v>1501.3575499999997</v>
      </c>
      <c r="BM133" s="919">
        <f t="shared" si="97"/>
        <v>1715.8371999999999</v>
      </c>
      <c r="BN133" s="919">
        <f t="shared" si="97"/>
        <v>1930.3168499999999</v>
      </c>
      <c r="BO133" s="919">
        <f t="shared" si="97"/>
        <v>2144.7964999999999</v>
      </c>
      <c r="BP133" s="919">
        <f t="shared" si="97"/>
        <v>2359.2761500000001</v>
      </c>
      <c r="BQ133" s="919">
        <f t="shared" si="97"/>
        <v>2573.7557999999995</v>
      </c>
      <c r="BR133" s="919">
        <f t="shared" si="97"/>
        <v>2788.2354500000001</v>
      </c>
      <c r="BS133" s="919">
        <f t="shared" si="97"/>
        <v>3002.7150999999994</v>
      </c>
      <c r="BT133" s="919">
        <f t="shared" si="97"/>
        <v>3217.1947500000001</v>
      </c>
      <c r="BU133" s="919">
        <f t="shared" si="97"/>
        <v>3431.6743999999999</v>
      </c>
      <c r="BV133" s="919">
        <f t="shared" si="97"/>
        <v>3646.1540500000001</v>
      </c>
      <c r="BW133" s="919">
        <f t="shared" si="97"/>
        <v>3860.6336999999999</v>
      </c>
      <c r="BX133" s="919">
        <f t="shared" ref="BX133:DF133" si="98">((BX$131-$H$4)/1000)*$O63*(($C$8/70)^$Y$63)*IF($C$13=1,$AE$63,IF($C$13=2,$AF$63,IF($C$13=3,$AG$63,1)))</f>
        <v>4075.1133500000001</v>
      </c>
      <c r="BY133" s="919">
        <f t="shared" si="98"/>
        <v>4289.5929999999998</v>
      </c>
      <c r="BZ133" s="919">
        <f t="shared" si="98"/>
        <v>4504.0726500000001</v>
      </c>
      <c r="CA133" s="919">
        <f t="shared" si="98"/>
        <v>4718.5523000000003</v>
      </c>
      <c r="CB133" s="919">
        <f t="shared" si="98"/>
        <v>4933.0319499999996</v>
      </c>
      <c r="CC133" s="919">
        <f t="shared" si="98"/>
        <v>5147.5115999999989</v>
      </c>
      <c r="CD133" s="919">
        <f t="shared" si="98"/>
        <v>5361.99125</v>
      </c>
      <c r="CE133" s="919">
        <f t="shared" si="98"/>
        <v>5576.4709000000003</v>
      </c>
      <c r="CF133" s="919">
        <f t="shared" si="98"/>
        <v>5790.9505500000005</v>
      </c>
      <c r="CG133" s="919">
        <f t="shared" si="98"/>
        <v>6005.4301999999989</v>
      </c>
      <c r="CH133" s="919">
        <f t="shared" si="98"/>
        <v>6219.90985</v>
      </c>
      <c r="CI133" s="919">
        <f t="shared" si="98"/>
        <v>6434.3895000000002</v>
      </c>
      <c r="CJ133" s="919">
        <f t="shared" si="98"/>
        <v>6648.8691499999995</v>
      </c>
      <c r="CK133" s="919">
        <f t="shared" si="98"/>
        <v>6863.3487999999998</v>
      </c>
      <c r="CL133" s="919">
        <f t="shared" si="98"/>
        <v>7077.8284499999991</v>
      </c>
      <c r="CM133" s="919">
        <f t="shared" si="98"/>
        <v>7292.3081000000002</v>
      </c>
      <c r="CN133" s="919">
        <f t="shared" si="98"/>
        <v>7506.7877499999995</v>
      </c>
      <c r="CO133" s="919">
        <f t="shared" si="98"/>
        <v>7721.2673999999997</v>
      </c>
      <c r="CP133" s="919">
        <f t="shared" si="98"/>
        <v>7935.7470499999999</v>
      </c>
      <c r="CQ133" s="919">
        <f t="shared" si="98"/>
        <v>8150.2267000000002</v>
      </c>
      <c r="CR133" s="919">
        <f t="shared" si="98"/>
        <v>8364.7063499999986</v>
      </c>
      <c r="CS133" s="919">
        <f t="shared" si="98"/>
        <v>8579.1859999999997</v>
      </c>
      <c r="CT133" s="919">
        <f t="shared" si="98"/>
        <v>8793.665649999999</v>
      </c>
      <c r="CU133" s="919">
        <f t="shared" si="98"/>
        <v>9008.1453000000001</v>
      </c>
      <c r="CV133" s="919">
        <f t="shared" si="98"/>
        <v>9222.6249499999994</v>
      </c>
      <c r="CW133" s="919">
        <f t="shared" si="98"/>
        <v>9437.1046000000006</v>
      </c>
      <c r="CX133" s="919">
        <f t="shared" si="98"/>
        <v>9651.5842499999999</v>
      </c>
      <c r="CY133" s="919">
        <f t="shared" si="98"/>
        <v>9866.0638999999992</v>
      </c>
      <c r="CZ133" s="919">
        <f t="shared" si="98"/>
        <v>10080.54355</v>
      </c>
      <c r="DA133" s="919">
        <f t="shared" si="98"/>
        <v>10295.023199999998</v>
      </c>
      <c r="DB133" s="919">
        <f t="shared" si="98"/>
        <v>10509.502850000001</v>
      </c>
      <c r="DC133" s="919">
        <f t="shared" si="98"/>
        <v>10723.9825</v>
      </c>
      <c r="DD133" s="919">
        <f t="shared" si="98"/>
        <v>10938.462149999999</v>
      </c>
      <c r="DE133" s="919">
        <f t="shared" si="98"/>
        <v>11152.941800000001</v>
      </c>
      <c r="DF133" s="919">
        <f t="shared" si="98"/>
        <v>11367.421449999998</v>
      </c>
    </row>
    <row r="134" spans="1:110" ht="15.75" hidden="1" thickBot="1">
      <c r="B134" s="909"/>
      <c r="C134" s="909"/>
      <c r="D134" s="909"/>
      <c r="E134" s="909"/>
      <c r="F134" s="909"/>
      <c r="G134" s="909"/>
      <c r="H134" s="910"/>
      <c r="I134" s="910"/>
      <c r="J134" s="910"/>
      <c r="K134" s="910"/>
      <c r="L134" s="910"/>
      <c r="M134" s="910"/>
      <c r="N134" s="910"/>
      <c r="O134" s="910"/>
      <c r="P134" s="910"/>
      <c r="Q134" s="910"/>
      <c r="R134" s="910"/>
      <c r="S134" s="910"/>
      <c r="T134" s="910"/>
      <c r="U134" s="910"/>
      <c r="V134" s="910"/>
      <c r="W134" s="910"/>
      <c r="X134" s="910"/>
      <c r="Y134" s="910"/>
      <c r="Z134" s="910"/>
      <c r="AA134" s="910"/>
      <c r="AB134" s="910"/>
      <c r="AC134" s="910"/>
      <c r="AD134" s="910"/>
      <c r="AE134" s="910"/>
      <c r="AF134" s="910"/>
      <c r="AG134" s="910"/>
      <c r="AH134" s="910"/>
      <c r="AI134" s="910"/>
      <c r="AJ134" s="910"/>
      <c r="AK134" s="910"/>
      <c r="AL134" s="910"/>
      <c r="AM134" s="910"/>
      <c r="AN134" s="910"/>
      <c r="AO134" s="910"/>
      <c r="AP134" s="910"/>
      <c r="AQ134" s="910"/>
      <c r="AR134" s="910"/>
      <c r="AS134" s="910"/>
      <c r="AT134" s="910"/>
      <c r="AU134" s="910"/>
      <c r="AV134" s="910"/>
      <c r="AW134" s="910"/>
      <c r="AX134" s="910"/>
      <c r="AY134" s="910"/>
      <c r="AZ134" s="910"/>
      <c r="BA134" s="910"/>
      <c r="BB134" s="910"/>
      <c r="BC134" s="910"/>
      <c r="BD134" s="910"/>
      <c r="BE134" s="910"/>
      <c r="BF134" s="910"/>
    </row>
    <row r="135" spans="1:110" ht="15.75" hidden="1" thickBot="1">
      <c r="B135" s="2681" t="s">
        <v>343</v>
      </c>
      <c r="C135" s="2682"/>
      <c r="D135" s="884"/>
      <c r="E135" s="884"/>
      <c r="F135" s="884"/>
      <c r="G135" s="884"/>
      <c r="H135" s="2685" t="s">
        <v>16</v>
      </c>
      <c r="I135" s="2686"/>
      <c r="J135" s="2686"/>
      <c r="K135" s="2686"/>
      <c r="L135" s="2686"/>
      <c r="M135" s="2686"/>
      <c r="N135" s="2686"/>
      <c r="O135" s="2686"/>
      <c r="P135" s="2686"/>
      <c r="Q135" s="2686"/>
      <c r="R135" s="2686"/>
      <c r="S135" s="2686"/>
      <c r="T135" s="2686"/>
      <c r="U135" s="2686"/>
      <c r="V135" s="2686"/>
      <c r="W135" s="2686"/>
      <c r="X135" s="2686"/>
      <c r="Y135" s="2686"/>
      <c r="Z135" s="2686"/>
      <c r="AA135" s="2686"/>
      <c r="AB135" s="2686"/>
      <c r="AC135" s="2686"/>
      <c r="AD135" s="2686"/>
      <c r="AE135" s="2686"/>
      <c r="AF135" s="2686"/>
      <c r="AG135" s="2686"/>
      <c r="AH135" s="2686"/>
      <c r="AI135" s="2686"/>
      <c r="AJ135" s="2686"/>
      <c r="AK135" s="2686"/>
      <c r="AL135" s="2686"/>
      <c r="AM135" s="2686"/>
      <c r="AN135" s="2686"/>
      <c r="AO135" s="2686"/>
      <c r="AP135" s="2686"/>
      <c r="AQ135" s="2686"/>
      <c r="AR135" s="2686"/>
      <c r="AS135" s="2686"/>
      <c r="AT135" s="2686"/>
      <c r="AU135" s="2686"/>
      <c r="AV135" s="2686"/>
      <c r="AW135" s="2686"/>
      <c r="AX135" s="2686"/>
      <c r="AY135" s="2686"/>
      <c r="AZ135" s="2686"/>
      <c r="BA135" s="2686"/>
      <c r="BB135" s="2686"/>
      <c r="BC135" s="2686"/>
      <c r="BD135" s="2686"/>
      <c r="BE135" s="2686"/>
      <c r="BF135" s="2687"/>
    </row>
    <row r="136" spans="1:110" ht="15.75" hidden="1" thickBot="1">
      <c r="B136" s="2683"/>
      <c r="C136" s="2684"/>
      <c r="D136" s="885"/>
      <c r="E136" s="885"/>
      <c r="F136" s="885"/>
      <c r="G136" s="885"/>
      <c r="H136" s="878">
        <v>500</v>
      </c>
      <c r="I136" s="879">
        <v>550</v>
      </c>
      <c r="J136" s="880">
        <v>600</v>
      </c>
      <c r="K136" s="881">
        <v>650</v>
      </c>
      <c r="L136" s="881">
        <v>700</v>
      </c>
      <c r="M136" s="881">
        <v>750</v>
      </c>
      <c r="N136" s="881">
        <v>800</v>
      </c>
      <c r="O136" s="881">
        <v>850</v>
      </c>
      <c r="P136" s="881">
        <v>900</v>
      </c>
      <c r="Q136" s="881">
        <v>950</v>
      </c>
      <c r="R136" s="881">
        <v>1000</v>
      </c>
      <c r="S136" s="881">
        <v>1050</v>
      </c>
      <c r="T136" s="881">
        <v>1100</v>
      </c>
      <c r="U136" s="881">
        <v>1150</v>
      </c>
      <c r="V136" s="881">
        <v>1200</v>
      </c>
      <c r="W136" s="881">
        <v>1250</v>
      </c>
      <c r="X136" s="881">
        <v>1300</v>
      </c>
      <c r="Y136" s="881">
        <v>1350</v>
      </c>
      <c r="Z136" s="881">
        <v>1400</v>
      </c>
      <c r="AA136" s="881">
        <v>1450</v>
      </c>
      <c r="AB136" s="881">
        <v>1500</v>
      </c>
      <c r="AC136" s="881">
        <v>1550</v>
      </c>
      <c r="AD136" s="881">
        <v>1600</v>
      </c>
      <c r="AE136" s="881">
        <v>1650</v>
      </c>
      <c r="AF136" s="881">
        <v>1700</v>
      </c>
      <c r="AG136" s="881">
        <v>1750</v>
      </c>
      <c r="AH136" s="881">
        <v>1800</v>
      </c>
      <c r="AI136" s="881">
        <v>1850</v>
      </c>
      <c r="AJ136" s="881">
        <v>1900</v>
      </c>
      <c r="AK136" s="881">
        <v>1950</v>
      </c>
      <c r="AL136" s="881">
        <v>2000</v>
      </c>
      <c r="AM136" s="881">
        <v>2050</v>
      </c>
      <c r="AN136" s="881">
        <v>2100</v>
      </c>
      <c r="AO136" s="881">
        <v>2150</v>
      </c>
      <c r="AP136" s="881">
        <v>2200</v>
      </c>
      <c r="AQ136" s="881">
        <v>2250</v>
      </c>
      <c r="AR136" s="881">
        <v>2300</v>
      </c>
      <c r="AS136" s="881">
        <v>2350</v>
      </c>
      <c r="AT136" s="881">
        <v>2400</v>
      </c>
      <c r="AU136" s="881">
        <v>2450</v>
      </c>
      <c r="AV136" s="881">
        <v>2500</v>
      </c>
      <c r="AW136" s="881">
        <v>2550</v>
      </c>
      <c r="AX136" s="881">
        <v>2600</v>
      </c>
      <c r="AY136" s="881">
        <v>2650</v>
      </c>
      <c r="AZ136" s="881">
        <v>2700</v>
      </c>
      <c r="BA136" s="881">
        <v>2750</v>
      </c>
      <c r="BB136" s="881">
        <v>2800</v>
      </c>
      <c r="BC136" s="881">
        <v>2850</v>
      </c>
      <c r="BD136" s="881">
        <v>2900</v>
      </c>
      <c r="BE136" s="882">
        <v>2950</v>
      </c>
      <c r="BF136" s="883">
        <v>3000</v>
      </c>
    </row>
    <row r="137" spans="1:110" ht="15.75" hidden="1" thickBot="1">
      <c r="B137" s="2728" t="s">
        <v>526</v>
      </c>
      <c r="C137" s="2729"/>
      <c r="D137" s="886"/>
      <c r="E137" s="886"/>
      <c r="F137" s="886"/>
      <c r="G137" s="886"/>
      <c r="H137" s="887">
        <f>((H$136-$H$4)/1000)*$M$73*(($C$8/70)^$W$73)*IF($C$13=1,$AE$72,IF($C$13=2,$AF$72,IF($C$13=3,$AG$72,1)))</f>
        <v>268.90801199999993</v>
      </c>
      <c r="I137" s="887">
        <f>((I$136-$H$4)/1000)*$M$73*(($C$8/70)^$W$73)*IF($C$13=1,$AE$72,IF($C$13=2,$AF$72,IF($C$13=3,$AG$72,1)))</f>
        <v>358.54401599999994</v>
      </c>
      <c r="J137" s="887"/>
      <c r="K137" s="887"/>
      <c r="L137" s="887">
        <f t="shared" ref="L137:AQ137" si="99">((L$136-$H$4)/1000)*$M$73*(($C$8/70)^$W$73)*IF($C$13=1,$AE$72,IF($C$13=2,$AF$72,IF($C$13=3,$AG$72,1)))</f>
        <v>627.45202799999993</v>
      </c>
      <c r="M137" s="887">
        <f t="shared" si="99"/>
        <v>717.08803199999988</v>
      </c>
      <c r="N137" s="887">
        <f t="shared" si="99"/>
        <v>806.72403599999984</v>
      </c>
      <c r="O137" s="887">
        <f t="shared" si="99"/>
        <v>896.3600399999998</v>
      </c>
      <c r="P137" s="887">
        <f t="shared" si="99"/>
        <v>985.99604399999987</v>
      </c>
      <c r="Q137" s="887">
        <f t="shared" si="99"/>
        <v>1075.6320479999997</v>
      </c>
      <c r="R137" s="887">
        <f t="shared" si="99"/>
        <v>1165.2680519999999</v>
      </c>
      <c r="S137" s="887">
        <f t="shared" si="99"/>
        <v>1254.9040559999999</v>
      </c>
      <c r="T137" s="887">
        <f t="shared" si="99"/>
        <v>1344.5400599999998</v>
      </c>
      <c r="U137" s="887">
        <f t="shared" si="99"/>
        <v>1434.1760639999998</v>
      </c>
      <c r="V137" s="887">
        <f t="shared" si="99"/>
        <v>1523.8120679999997</v>
      </c>
      <c r="W137" s="887">
        <f t="shared" si="99"/>
        <v>1613.4480719999997</v>
      </c>
      <c r="X137" s="887">
        <f t="shared" si="99"/>
        <v>1703.0840759999996</v>
      </c>
      <c r="Y137" s="887">
        <f t="shared" si="99"/>
        <v>1792.7200799999996</v>
      </c>
      <c r="Z137" s="887">
        <f t="shared" si="99"/>
        <v>1882.3560839999998</v>
      </c>
      <c r="AA137" s="887">
        <f t="shared" si="99"/>
        <v>1971.9920879999997</v>
      </c>
      <c r="AB137" s="887">
        <f t="shared" si="99"/>
        <v>2061.6280919999995</v>
      </c>
      <c r="AC137" s="887">
        <f t="shared" si="99"/>
        <v>2151.2640959999994</v>
      </c>
      <c r="AD137" s="887">
        <f t="shared" si="99"/>
        <v>2240.9000999999998</v>
      </c>
      <c r="AE137" s="887">
        <f t="shared" si="99"/>
        <v>2330.5361039999998</v>
      </c>
      <c r="AF137" s="887">
        <f t="shared" si="99"/>
        <v>2420.1721079999998</v>
      </c>
      <c r="AG137" s="887">
        <f t="shared" si="99"/>
        <v>2509.8081119999997</v>
      </c>
      <c r="AH137" s="887">
        <f t="shared" si="99"/>
        <v>2599.4441159999992</v>
      </c>
      <c r="AI137" s="887">
        <f t="shared" si="99"/>
        <v>2689.0801199999996</v>
      </c>
      <c r="AJ137" s="887">
        <f t="shared" si="99"/>
        <v>2778.7161239999996</v>
      </c>
      <c r="AK137" s="887">
        <f t="shared" si="99"/>
        <v>2868.3521279999995</v>
      </c>
      <c r="AL137" s="887">
        <f t="shared" si="99"/>
        <v>2957.9881319999995</v>
      </c>
      <c r="AM137" s="887">
        <f t="shared" si="99"/>
        <v>3047.6241359999995</v>
      </c>
      <c r="AN137" s="887">
        <f t="shared" si="99"/>
        <v>3137.2601399999994</v>
      </c>
      <c r="AO137" s="887">
        <f t="shared" si="99"/>
        <v>3226.8961439999994</v>
      </c>
      <c r="AP137" s="887">
        <f t="shared" si="99"/>
        <v>3316.5321479999998</v>
      </c>
      <c r="AQ137" s="887">
        <f t="shared" si="99"/>
        <v>3406.1681519999993</v>
      </c>
      <c r="AR137" s="887">
        <f t="shared" ref="AR137:BW137" si="100">((AR$136-$H$4)/1000)*$M$73*(($C$8/70)^$W$73)*IF($C$13=1,$AE$72,IF($C$13=2,$AF$72,IF($C$13=3,$AG$72,1)))</f>
        <v>3495.8041559999992</v>
      </c>
      <c r="AS137" s="887">
        <f t="shared" si="100"/>
        <v>3585.4401599999992</v>
      </c>
      <c r="AT137" s="887">
        <f t="shared" si="100"/>
        <v>3675.0761639999987</v>
      </c>
      <c r="AU137" s="887">
        <f t="shared" si="100"/>
        <v>3764.7121679999996</v>
      </c>
      <c r="AV137" s="887">
        <f t="shared" si="100"/>
        <v>3854.3481719999991</v>
      </c>
      <c r="AW137" s="887">
        <f t="shared" si="100"/>
        <v>3943.9841759999995</v>
      </c>
      <c r="AX137" s="887">
        <f t="shared" si="100"/>
        <v>4033.6201799999994</v>
      </c>
      <c r="AY137" s="887">
        <f t="shared" si="100"/>
        <v>4123.2561839999989</v>
      </c>
      <c r="AZ137" s="887">
        <f t="shared" si="100"/>
        <v>4212.8921879999989</v>
      </c>
      <c r="BA137" s="887">
        <f t="shared" si="100"/>
        <v>4302.5281919999989</v>
      </c>
      <c r="BB137" s="887">
        <f t="shared" si="100"/>
        <v>4392.1641959999997</v>
      </c>
      <c r="BC137" s="887">
        <f t="shared" si="100"/>
        <v>4481.8001999999997</v>
      </c>
      <c r="BD137" s="887">
        <f t="shared" si="100"/>
        <v>4571.4362039999987</v>
      </c>
      <c r="BE137" s="887">
        <f t="shared" si="100"/>
        <v>4661.0722079999996</v>
      </c>
      <c r="BF137" s="887">
        <f t="shared" si="100"/>
        <v>4750.7082119999995</v>
      </c>
      <c r="BG137" s="804">
        <f t="shared" si="100"/>
        <v>-627.45202799999993</v>
      </c>
      <c r="BH137" s="804">
        <f t="shared" si="100"/>
        <v>-627.45202799999993</v>
      </c>
      <c r="BI137" s="804">
        <f t="shared" si="100"/>
        <v>-627.45202799999993</v>
      </c>
      <c r="BJ137" s="804">
        <f t="shared" si="100"/>
        <v>-627.45202799999993</v>
      </c>
      <c r="BK137" s="804">
        <f t="shared" si="100"/>
        <v>-627.45202799999993</v>
      </c>
      <c r="BL137" s="804">
        <f t="shared" si="100"/>
        <v>-627.45202799999993</v>
      </c>
      <c r="BM137" s="804">
        <f t="shared" si="100"/>
        <v>-627.45202799999993</v>
      </c>
      <c r="BN137" s="804">
        <f t="shared" si="100"/>
        <v>-627.45202799999993</v>
      </c>
      <c r="BO137" s="804">
        <f t="shared" si="100"/>
        <v>-627.45202799999993</v>
      </c>
      <c r="BP137" s="804">
        <f t="shared" si="100"/>
        <v>-627.45202799999993</v>
      </c>
      <c r="BQ137" s="804">
        <f t="shared" si="100"/>
        <v>-627.45202799999993</v>
      </c>
      <c r="BR137" s="804">
        <f t="shared" si="100"/>
        <v>-627.45202799999993</v>
      </c>
      <c r="BS137" s="804">
        <f t="shared" si="100"/>
        <v>-627.45202799999993</v>
      </c>
      <c r="BT137" s="804">
        <f t="shared" si="100"/>
        <v>-627.45202799999993</v>
      </c>
      <c r="BU137" s="804">
        <f t="shared" si="100"/>
        <v>-627.45202799999993</v>
      </c>
      <c r="BV137" s="804">
        <f t="shared" si="100"/>
        <v>-627.45202799999993</v>
      </c>
      <c r="BW137" s="804">
        <f t="shared" si="100"/>
        <v>-627.45202799999993</v>
      </c>
      <c r="BX137" s="804">
        <f t="shared" ref="BX137:DF137" si="101">((BX$136-$H$4)/1000)*$M$73*(($C$8/70)^$W$73)*IF($C$13=1,$AE$72,IF($C$13=2,$AF$72,IF($C$13=3,$AG$72,1)))</f>
        <v>-627.45202799999993</v>
      </c>
      <c r="BY137" s="804">
        <f t="shared" si="101"/>
        <v>-627.45202799999993</v>
      </c>
      <c r="BZ137" s="804">
        <f t="shared" si="101"/>
        <v>-627.45202799999993</v>
      </c>
      <c r="CA137" s="804">
        <f t="shared" si="101"/>
        <v>-627.45202799999993</v>
      </c>
      <c r="CB137" s="804">
        <f t="shared" si="101"/>
        <v>-627.45202799999993</v>
      </c>
      <c r="CC137" s="804">
        <f t="shared" si="101"/>
        <v>-627.45202799999993</v>
      </c>
      <c r="CD137" s="804">
        <f t="shared" si="101"/>
        <v>-627.45202799999993</v>
      </c>
      <c r="CE137" s="804">
        <f t="shared" si="101"/>
        <v>-627.45202799999993</v>
      </c>
      <c r="CF137" s="804">
        <f t="shared" si="101"/>
        <v>-627.45202799999993</v>
      </c>
      <c r="CG137" s="804">
        <f t="shared" si="101"/>
        <v>-627.45202799999993</v>
      </c>
      <c r="CH137" s="804">
        <f t="shared" si="101"/>
        <v>-627.45202799999993</v>
      </c>
      <c r="CI137" s="804">
        <f t="shared" si="101"/>
        <v>-627.45202799999993</v>
      </c>
      <c r="CJ137" s="804">
        <f t="shared" si="101"/>
        <v>-627.45202799999993</v>
      </c>
      <c r="CK137" s="804">
        <f t="shared" si="101"/>
        <v>-627.45202799999993</v>
      </c>
      <c r="CL137" s="804">
        <f t="shared" si="101"/>
        <v>-627.45202799999993</v>
      </c>
      <c r="CM137" s="804">
        <f t="shared" si="101"/>
        <v>-627.45202799999993</v>
      </c>
      <c r="CN137" s="804">
        <f t="shared" si="101"/>
        <v>-627.45202799999993</v>
      </c>
      <c r="CO137" s="804">
        <f t="shared" si="101"/>
        <v>-627.45202799999993</v>
      </c>
      <c r="CP137" s="804">
        <f t="shared" si="101"/>
        <v>-627.45202799999993</v>
      </c>
      <c r="CQ137" s="804">
        <f t="shared" si="101"/>
        <v>-627.45202799999993</v>
      </c>
      <c r="CR137" s="804">
        <f t="shared" si="101"/>
        <v>-627.45202799999993</v>
      </c>
      <c r="CS137" s="804">
        <f t="shared" si="101"/>
        <v>-627.45202799999993</v>
      </c>
      <c r="CT137" s="804">
        <f t="shared" si="101"/>
        <v>-627.45202799999993</v>
      </c>
      <c r="CU137" s="804">
        <f t="shared" si="101"/>
        <v>-627.45202799999993</v>
      </c>
      <c r="CV137" s="804">
        <f t="shared" si="101"/>
        <v>-627.45202799999993</v>
      </c>
      <c r="CW137" s="804">
        <f t="shared" si="101"/>
        <v>-627.45202799999993</v>
      </c>
      <c r="CX137" s="804">
        <f t="shared" si="101"/>
        <v>-627.45202799999993</v>
      </c>
      <c r="CY137" s="804">
        <f t="shared" si="101"/>
        <v>-627.45202799999993</v>
      </c>
      <c r="CZ137" s="804">
        <f t="shared" si="101"/>
        <v>-627.45202799999993</v>
      </c>
      <c r="DA137" s="804">
        <f t="shared" si="101"/>
        <v>-627.45202799999993</v>
      </c>
      <c r="DB137" s="804">
        <f t="shared" si="101"/>
        <v>-627.45202799999993</v>
      </c>
      <c r="DC137" s="804">
        <f t="shared" si="101"/>
        <v>-627.45202799999993</v>
      </c>
      <c r="DD137" s="804">
        <f t="shared" si="101"/>
        <v>-627.45202799999993</v>
      </c>
      <c r="DE137" s="804">
        <f t="shared" si="101"/>
        <v>-627.45202799999993</v>
      </c>
      <c r="DF137" s="804">
        <f t="shared" si="101"/>
        <v>-627.45202799999993</v>
      </c>
    </row>
    <row r="138" spans="1:110" ht="15.75" hidden="1" thickBot="1">
      <c r="B138" s="2714" t="s">
        <v>329</v>
      </c>
      <c r="C138" s="2715"/>
      <c r="D138" s="888"/>
      <c r="E138" s="888"/>
      <c r="F138" s="888"/>
      <c r="G138" s="888"/>
      <c r="H138" s="889">
        <f>((H$136-$H$4)/1000)*$N$73*(($C$8/70)^$X$73)*IF($C$13=1,$AE$72,IF($C$13=2,$AF$72,IF($C$13=3,$AG$72,1)))</f>
        <v>297.82285200000001</v>
      </c>
      <c r="I138" s="889">
        <f>((I$136-$H$4)/1000)*$N$73*(($C$8/70)^$X$73)*IF($C$13=1,$AE$72,IF($C$13=2,$AF$72,IF($C$13=3,$AG$72,1)))</f>
        <v>397.09713600000003</v>
      </c>
      <c r="J138" s="889"/>
      <c r="K138" s="889"/>
      <c r="L138" s="889">
        <f t="shared" ref="L138:AQ138" si="102">((L$136-$H$4)/1000)*$N$73*(($C$8/70)^$X$73)*IF($C$13=1,$AE$72,IF($C$13=2,$AF$72,IF($C$13=3,$AG$72,1)))</f>
        <v>694.91998799999999</v>
      </c>
      <c r="M138" s="889">
        <f t="shared" si="102"/>
        <v>794.19427200000007</v>
      </c>
      <c r="N138" s="889">
        <f t="shared" si="102"/>
        <v>893.46855600000004</v>
      </c>
      <c r="O138" s="889">
        <f t="shared" si="102"/>
        <v>992.74284</v>
      </c>
      <c r="P138" s="889">
        <f t="shared" si="102"/>
        <v>1092.0171240000002</v>
      </c>
      <c r="Q138" s="889">
        <f t="shared" si="102"/>
        <v>1191.291408</v>
      </c>
      <c r="R138" s="889">
        <f t="shared" si="102"/>
        <v>1290.5656920000001</v>
      </c>
      <c r="S138" s="889">
        <f t="shared" si="102"/>
        <v>1389.839976</v>
      </c>
      <c r="T138" s="889">
        <f t="shared" si="102"/>
        <v>1489.1142599999998</v>
      </c>
      <c r="U138" s="889">
        <f t="shared" si="102"/>
        <v>1588.3885440000001</v>
      </c>
      <c r="V138" s="889">
        <f t="shared" si="102"/>
        <v>1687.6628279999998</v>
      </c>
      <c r="W138" s="889">
        <f t="shared" si="102"/>
        <v>1786.9371120000001</v>
      </c>
      <c r="X138" s="889">
        <f t="shared" si="102"/>
        <v>1886.2113959999997</v>
      </c>
      <c r="Y138" s="889">
        <f t="shared" si="102"/>
        <v>1985.48568</v>
      </c>
      <c r="Z138" s="889">
        <f t="shared" si="102"/>
        <v>2084.7599640000003</v>
      </c>
      <c r="AA138" s="889">
        <f t="shared" si="102"/>
        <v>2184.0342480000004</v>
      </c>
      <c r="AB138" s="889">
        <f t="shared" si="102"/>
        <v>2283.3085319999996</v>
      </c>
      <c r="AC138" s="889">
        <f t="shared" si="102"/>
        <v>2382.5828160000001</v>
      </c>
      <c r="AD138" s="889">
        <f t="shared" si="102"/>
        <v>2481.8571000000002</v>
      </c>
      <c r="AE138" s="889">
        <f t="shared" si="102"/>
        <v>2581.1313840000003</v>
      </c>
      <c r="AF138" s="889">
        <f t="shared" si="102"/>
        <v>2680.4056679999999</v>
      </c>
      <c r="AG138" s="889">
        <f t="shared" si="102"/>
        <v>2779.679952</v>
      </c>
      <c r="AH138" s="889">
        <f t="shared" si="102"/>
        <v>2878.954236</v>
      </c>
      <c r="AI138" s="889">
        <f t="shared" si="102"/>
        <v>2978.2285199999997</v>
      </c>
      <c r="AJ138" s="889">
        <f t="shared" si="102"/>
        <v>3077.5028039999997</v>
      </c>
      <c r="AK138" s="889">
        <f t="shared" si="102"/>
        <v>3176.7770880000003</v>
      </c>
      <c r="AL138" s="889">
        <f t="shared" si="102"/>
        <v>3276.0513719999999</v>
      </c>
      <c r="AM138" s="889">
        <f t="shared" si="102"/>
        <v>3375.3256559999995</v>
      </c>
      <c r="AN138" s="889">
        <f t="shared" si="102"/>
        <v>3474.5999400000001</v>
      </c>
      <c r="AO138" s="889">
        <f t="shared" si="102"/>
        <v>3573.8742240000001</v>
      </c>
      <c r="AP138" s="889">
        <f t="shared" si="102"/>
        <v>3673.1485080000002</v>
      </c>
      <c r="AQ138" s="889">
        <f t="shared" si="102"/>
        <v>3772.4227919999994</v>
      </c>
      <c r="AR138" s="889">
        <f t="shared" ref="AR138:BW138" si="103">((AR$136-$H$4)/1000)*$N$73*(($C$8/70)^$X$73)*IF($C$13=1,$AE$72,IF($C$13=2,$AF$72,IF($C$13=3,$AG$72,1)))</f>
        <v>3871.6970759999999</v>
      </c>
      <c r="AS138" s="889">
        <f t="shared" si="103"/>
        <v>3970.97136</v>
      </c>
      <c r="AT138" s="889">
        <f t="shared" si="103"/>
        <v>4070.2456439999992</v>
      </c>
      <c r="AU138" s="889">
        <f t="shared" si="103"/>
        <v>4169.5199280000006</v>
      </c>
      <c r="AV138" s="889">
        <f t="shared" si="103"/>
        <v>4268.7942119999998</v>
      </c>
      <c r="AW138" s="889">
        <f t="shared" si="103"/>
        <v>4368.0684960000008</v>
      </c>
      <c r="AX138" s="889">
        <f t="shared" si="103"/>
        <v>4467.3427799999999</v>
      </c>
      <c r="AY138" s="889">
        <f t="shared" si="103"/>
        <v>4566.6170639999991</v>
      </c>
      <c r="AZ138" s="889">
        <f t="shared" si="103"/>
        <v>4665.8913480000001</v>
      </c>
      <c r="BA138" s="889">
        <f t="shared" si="103"/>
        <v>4765.1656320000002</v>
      </c>
      <c r="BB138" s="889">
        <f t="shared" si="103"/>
        <v>4864.4399160000003</v>
      </c>
      <c r="BC138" s="889">
        <f t="shared" si="103"/>
        <v>4963.7142000000003</v>
      </c>
      <c r="BD138" s="889">
        <f t="shared" si="103"/>
        <v>5062.9884839999995</v>
      </c>
      <c r="BE138" s="889">
        <f t="shared" si="103"/>
        <v>5162.2627680000005</v>
      </c>
      <c r="BF138" s="889">
        <f t="shared" si="103"/>
        <v>5261.5370519999997</v>
      </c>
      <c r="BG138" s="804">
        <f t="shared" si="103"/>
        <v>-694.91998799999999</v>
      </c>
      <c r="BH138" s="804">
        <f t="shared" si="103"/>
        <v>-694.91998799999999</v>
      </c>
      <c r="BI138" s="804">
        <f t="shared" si="103"/>
        <v>-694.91998799999999</v>
      </c>
      <c r="BJ138" s="804">
        <f t="shared" si="103"/>
        <v>-694.91998799999999</v>
      </c>
      <c r="BK138" s="804">
        <f t="shared" si="103"/>
        <v>-694.91998799999999</v>
      </c>
      <c r="BL138" s="804">
        <f t="shared" si="103"/>
        <v>-694.91998799999999</v>
      </c>
      <c r="BM138" s="804">
        <f t="shared" si="103"/>
        <v>-694.91998799999999</v>
      </c>
      <c r="BN138" s="804">
        <f t="shared" si="103"/>
        <v>-694.91998799999999</v>
      </c>
      <c r="BO138" s="804">
        <f t="shared" si="103"/>
        <v>-694.91998799999999</v>
      </c>
      <c r="BP138" s="804">
        <f t="shared" si="103"/>
        <v>-694.91998799999999</v>
      </c>
      <c r="BQ138" s="804">
        <f t="shared" si="103"/>
        <v>-694.91998799999999</v>
      </c>
      <c r="BR138" s="804">
        <f t="shared" si="103"/>
        <v>-694.91998799999999</v>
      </c>
      <c r="BS138" s="804">
        <f t="shared" si="103"/>
        <v>-694.91998799999999</v>
      </c>
      <c r="BT138" s="804">
        <f t="shared" si="103"/>
        <v>-694.91998799999999</v>
      </c>
      <c r="BU138" s="804">
        <f t="shared" si="103"/>
        <v>-694.91998799999999</v>
      </c>
      <c r="BV138" s="804">
        <f t="shared" si="103"/>
        <v>-694.91998799999999</v>
      </c>
      <c r="BW138" s="804">
        <f t="shared" si="103"/>
        <v>-694.91998799999999</v>
      </c>
      <c r="BX138" s="804">
        <f t="shared" ref="BX138:DF138" si="104">((BX$136-$H$4)/1000)*$N$73*(($C$8/70)^$X$73)*IF($C$13=1,$AE$72,IF($C$13=2,$AF$72,IF($C$13=3,$AG$72,1)))</f>
        <v>-694.91998799999999</v>
      </c>
      <c r="BY138" s="804">
        <f t="shared" si="104"/>
        <v>-694.91998799999999</v>
      </c>
      <c r="BZ138" s="804">
        <f t="shared" si="104"/>
        <v>-694.91998799999999</v>
      </c>
      <c r="CA138" s="804">
        <f t="shared" si="104"/>
        <v>-694.91998799999999</v>
      </c>
      <c r="CB138" s="804">
        <f t="shared" si="104"/>
        <v>-694.91998799999999</v>
      </c>
      <c r="CC138" s="804">
        <f t="shared" si="104"/>
        <v>-694.91998799999999</v>
      </c>
      <c r="CD138" s="804">
        <f t="shared" si="104"/>
        <v>-694.91998799999999</v>
      </c>
      <c r="CE138" s="804">
        <f t="shared" si="104"/>
        <v>-694.91998799999999</v>
      </c>
      <c r="CF138" s="804">
        <f t="shared" si="104"/>
        <v>-694.91998799999999</v>
      </c>
      <c r="CG138" s="804">
        <f t="shared" si="104"/>
        <v>-694.91998799999999</v>
      </c>
      <c r="CH138" s="804">
        <f t="shared" si="104"/>
        <v>-694.91998799999999</v>
      </c>
      <c r="CI138" s="804">
        <f t="shared" si="104"/>
        <v>-694.91998799999999</v>
      </c>
      <c r="CJ138" s="804">
        <f t="shared" si="104"/>
        <v>-694.91998799999999</v>
      </c>
      <c r="CK138" s="804">
        <f t="shared" si="104"/>
        <v>-694.91998799999999</v>
      </c>
      <c r="CL138" s="804">
        <f t="shared" si="104"/>
        <v>-694.91998799999999</v>
      </c>
      <c r="CM138" s="804">
        <f t="shared" si="104"/>
        <v>-694.91998799999999</v>
      </c>
      <c r="CN138" s="804">
        <f t="shared" si="104"/>
        <v>-694.91998799999999</v>
      </c>
      <c r="CO138" s="804">
        <f t="shared" si="104"/>
        <v>-694.91998799999999</v>
      </c>
      <c r="CP138" s="804">
        <f t="shared" si="104"/>
        <v>-694.91998799999999</v>
      </c>
      <c r="CQ138" s="804">
        <f t="shared" si="104"/>
        <v>-694.91998799999999</v>
      </c>
      <c r="CR138" s="804">
        <f t="shared" si="104"/>
        <v>-694.91998799999999</v>
      </c>
      <c r="CS138" s="804">
        <f t="shared" si="104"/>
        <v>-694.91998799999999</v>
      </c>
      <c r="CT138" s="804">
        <f t="shared" si="104"/>
        <v>-694.91998799999999</v>
      </c>
      <c r="CU138" s="804">
        <f t="shared" si="104"/>
        <v>-694.91998799999999</v>
      </c>
      <c r="CV138" s="804">
        <f t="shared" si="104"/>
        <v>-694.91998799999999</v>
      </c>
      <c r="CW138" s="804">
        <f t="shared" si="104"/>
        <v>-694.91998799999999</v>
      </c>
      <c r="CX138" s="804">
        <f t="shared" si="104"/>
        <v>-694.91998799999999</v>
      </c>
      <c r="CY138" s="804">
        <f t="shared" si="104"/>
        <v>-694.91998799999999</v>
      </c>
      <c r="CZ138" s="804">
        <f t="shared" si="104"/>
        <v>-694.91998799999999</v>
      </c>
      <c r="DA138" s="804">
        <f t="shared" si="104"/>
        <v>-694.91998799999999</v>
      </c>
      <c r="DB138" s="804">
        <f t="shared" si="104"/>
        <v>-694.91998799999999</v>
      </c>
      <c r="DC138" s="804">
        <f t="shared" si="104"/>
        <v>-694.91998799999999</v>
      </c>
      <c r="DD138" s="804">
        <f t="shared" si="104"/>
        <v>-694.91998799999999</v>
      </c>
      <c r="DE138" s="804">
        <f t="shared" si="104"/>
        <v>-694.91998799999999</v>
      </c>
      <c r="DF138" s="804">
        <f t="shared" si="104"/>
        <v>-694.91998799999999</v>
      </c>
    </row>
    <row r="139" spans="1:110" ht="15.75" hidden="1" thickBot="1">
      <c r="B139" s="2714" t="s">
        <v>330</v>
      </c>
      <c r="C139" s="2715"/>
      <c r="D139" s="888"/>
      <c r="E139" s="888"/>
      <c r="F139" s="888"/>
      <c r="G139" s="888"/>
      <c r="H139" s="889">
        <f>((H$136-$H$4)/1000)*$P$73*(($C$8/70)^$Z$73)*IF($C$13=1,$AE$72,IF($C$13=2,$AF$72,IF($C$13=3,$AG$72,1)))</f>
        <v>415.4098679999999</v>
      </c>
      <c r="I139" s="889">
        <f>((I$136-$H$4)/1000)*$P$73*(($C$8/70)^$Z$73)*IF($C$13=1,$AE$72,IF($C$13=2,$AF$72,IF($C$13=3,$AG$72,1)))</f>
        <v>553.87982399999999</v>
      </c>
      <c r="J139" s="889"/>
      <c r="K139" s="889"/>
      <c r="L139" s="889">
        <f t="shared" ref="L139:AQ139" si="105">((L$136-$H$4)/1000)*$P$73*(($C$8/70)^$Z$73)*IF($C$13=1,$AE$72,IF($C$13=2,$AF$72,IF($C$13=3,$AG$72,1)))</f>
        <v>969.28969199999983</v>
      </c>
      <c r="M139" s="889">
        <f t="shared" si="105"/>
        <v>1107.759648</v>
      </c>
      <c r="N139" s="889">
        <f t="shared" si="105"/>
        <v>1246.2296039999999</v>
      </c>
      <c r="O139" s="889">
        <f t="shared" si="105"/>
        <v>1384.6995599999998</v>
      </c>
      <c r="P139" s="889">
        <f t="shared" si="105"/>
        <v>1523.1695159999999</v>
      </c>
      <c r="Q139" s="889">
        <f t="shared" si="105"/>
        <v>1661.6394719999996</v>
      </c>
      <c r="R139" s="889">
        <f t="shared" si="105"/>
        <v>1800.1094279999998</v>
      </c>
      <c r="S139" s="889">
        <f t="shared" si="105"/>
        <v>1938.5793839999997</v>
      </c>
      <c r="T139" s="889">
        <f t="shared" si="105"/>
        <v>2077.04934</v>
      </c>
      <c r="U139" s="889">
        <f t="shared" si="105"/>
        <v>2215.5192959999999</v>
      </c>
      <c r="V139" s="889">
        <f t="shared" si="105"/>
        <v>2353.9892519999999</v>
      </c>
      <c r="W139" s="889">
        <f t="shared" si="105"/>
        <v>2492.4592079999998</v>
      </c>
      <c r="X139" s="889">
        <f t="shared" si="105"/>
        <v>2630.9291639999997</v>
      </c>
      <c r="Y139" s="889">
        <f t="shared" si="105"/>
        <v>2769.3991199999996</v>
      </c>
      <c r="Z139" s="889">
        <f t="shared" si="105"/>
        <v>2907.8690759999995</v>
      </c>
      <c r="AA139" s="889">
        <f t="shared" si="105"/>
        <v>3046.3390319999999</v>
      </c>
      <c r="AB139" s="889">
        <f t="shared" si="105"/>
        <v>3184.8089879999993</v>
      </c>
      <c r="AC139" s="889">
        <f t="shared" si="105"/>
        <v>3323.2789439999992</v>
      </c>
      <c r="AD139" s="889">
        <f t="shared" si="105"/>
        <v>3461.7488999999991</v>
      </c>
      <c r="AE139" s="889">
        <f t="shared" si="105"/>
        <v>3600.2188559999995</v>
      </c>
      <c r="AF139" s="889">
        <f t="shared" si="105"/>
        <v>3738.6888119999999</v>
      </c>
      <c r="AG139" s="889">
        <f t="shared" si="105"/>
        <v>3877.1587679999993</v>
      </c>
      <c r="AH139" s="889">
        <f t="shared" si="105"/>
        <v>4015.6287239999992</v>
      </c>
      <c r="AI139" s="889">
        <f t="shared" si="105"/>
        <v>4154.0986800000001</v>
      </c>
      <c r="AJ139" s="889">
        <f t="shared" si="105"/>
        <v>4292.568636</v>
      </c>
      <c r="AK139" s="889">
        <f t="shared" si="105"/>
        <v>4431.0385919999999</v>
      </c>
      <c r="AL139" s="889">
        <f t="shared" si="105"/>
        <v>4569.5085479999989</v>
      </c>
      <c r="AM139" s="889">
        <f t="shared" si="105"/>
        <v>4707.9785039999997</v>
      </c>
      <c r="AN139" s="889">
        <f t="shared" si="105"/>
        <v>4846.4484599999996</v>
      </c>
      <c r="AO139" s="889">
        <f t="shared" si="105"/>
        <v>4984.9184159999995</v>
      </c>
      <c r="AP139" s="889">
        <f t="shared" si="105"/>
        <v>5123.3883719999994</v>
      </c>
      <c r="AQ139" s="889">
        <f t="shared" si="105"/>
        <v>5261.8583279999993</v>
      </c>
      <c r="AR139" s="889">
        <f t="shared" ref="AR139:BW139" si="106">((AR$136-$H$4)/1000)*$P$73*(($C$8/70)^$Z$73)*IF($C$13=1,$AE$72,IF($C$13=2,$AF$72,IF($C$13=3,$AG$72,1)))</f>
        <v>5400.3282839999993</v>
      </c>
      <c r="AS139" s="889">
        <f t="shared" si="106"/>
        <v>5538.7982399999992</v>
      </c>
      <c r="AT139" s="889">
        <f t="shared" si="106"/>
        <v>5677.2681959999982</v>
      </c>
      <c r="AU139" s="889">
        <f t="shared" si="106"/>
        <v>5815.738151999999</v>
      </c>
      <c r="AV139" s="889">
        <f t="shared" si="106"/>
        <v>5954.2081079999989</v>
      </c>
      <c r="AW139" s="889">
        <f t="shared" si="106"/>
        <v>6092.6780639999997</v>
      </c>
      <c r="AX139" s="889">
        <f t="shared" si="106"/>
        <v>6231.1480199999987</v>
      </c>
      <c r="AY139" s="889">
        <f t="shared" si="106"/>
        <v>6369.6179759999986</v>
      </c>
      <c r="AZ139" s="889">
        <f t="shared" si="106"/>
        <v>6508.0879319999995</v>
      </c>
      <c r="BA139" s="889">
        <f t="shared" si="106"/>
        <v>6646.5578879999985</v>
      </c>
      <c r="BB139" s="889">
        <f t="shared" si="106"/>
        <v>6785.0278439999993</v>
      </c>
      <c r="BC139" s="889">
        <f t="shared" si="106"/>
        <v>6923.4977999999983</v>
      </c>
      <c r="BD139" s="889">
        <f t="shared" si="106"/>
        <v>7061.9677559999982</v>
      </c>
      <c r="BE139" s="889">
        <f t="shared" si="106"/>
        <v>7200.437711999999</v>
      </c>
      <c r="BF139" s="889">
        <f t="shared" si="106"/>
        <v>7338.9076679999989</v>
      </c>
      <c r="BG139" s="804">
        <f t="shared" si="106"/>
        <v>-969.28969199999983</v>
      </c>
      <c r="BH139" s="804">
        <f t="shared" si="106"/>
        <v>-969.28969199999983</v>
      </c>
      <c r="BI139" s="804">
        <f t="shared" si="106"/>
        <v>-969.28969199999983</v>
      </c>
      <c r="BJ139" s="804">
        <f t="shared" si="106"/>
        <v>-969.28969199999983</v>
      </c>
      <c r="BK139" s="804">
        <f t="shared" si="106"/>
        <v>-969.28969199999983</v>
      </c>
      <c r="BL139" s="804">
        <f t="shared" si="106"/>
        <v>-969.28969199999983</v>
      </c>
      <c r="BM139" s="804">
        <f t="shared" si="106"/>
        <v>-969.28969199999983</v>
      </c>
      <c r="BN139" s="804">
        <f t="shared" si="106"/>
        <v>-969.28969199999983</v>
      </c>
      <c r="BO139" s="804">
        <f t="shared" si="106"/>
        <v>-969.28969199999983</v>
      </c>
      <c r="BP139" s="804">
        <f t="shared" si="106"/>
        <v>-969.28969199999983</v>
      </c>
      <c r="BQ139" s="804">
        <f t="shared" si="106"/>
        <v>-969.28969199999983</v>
      </c>
      <c r="BR139" s="804">
        <f t="shared" si="106"/>
        <v>-969.28969199999983</v>
      </c>
      <c r="BS139" s="804">
        <f t="shared" si="106"/>
        <v>-969.28969199999983</v>
      </c>
      <c r="BT139" s="804">
        <f t="shared" si="106"/>
        <v>-969.28969199999983</v>
      </c>
      <c r="BU139" s="804">
        <f t="shared" si="106"/>
        <v>-969.28969199999983</v>
      </c>
      <c r="BV139" s="804">
        <f t="shared" si="106"/>
        <v>-969.28969199999983</v>
      </c>
      <c r="BW139" s="804">
        <f t="shared" si="106"/>
        <v>-969.28969199999983</v>
      </c>
      <c r="BX139" s="804">
        <f t="shared" ref="BX139:DF139" si="107">((BX$136-$H$4)/1000)*$P$73*(($C$8/70)^$Z$73)*IF($C$13=1,$AE$72,IF($C$13=2,$AF$72,IF($C$13=3,$AG$72,1)))</f>
        <v>-969.28969199999983</v>
      </c>
      <c r="BY139" s="804">
        <f t="shared" si="107"/>
        <v>-969.28969199999983</v>
      </c>
      <c r="BZ139" s="804">
        <f t="shared" si="107"/>
        <v>-969.28969199999983</v>
      </c>
      <c r="CA139" s="804">
        <f t="shared" si="107"/>
        <v>-969.28969199999983</v>
      </c>
      <c r="CB139" s="804">
        <f t="shared" si="107"/>
        <v>-969.28969199999983</v>
      </c>
      <c r="CC139" s="804">
        <f t="shared" si="107"/>
        <v>-969.28969199999983</v>
      </c>
      <c r="CD139" s="804">
        <f t="shared" si="107"/>
        <v>-969.28969199999983</v>
      </c>
      <c r="CE139" s="804">
        <f t="shared" si="107"/>
        <v>-969.28969199999983</v>
      </c>
      <c r="CF139" s="804">
        <f t="shared" si="107"/>
        <v>-969.28969199999983</v>
      </c>
      <c r="CG139" s="804">
        <f t="shared" si="107"/>
        <v>-969.28969199999983</v>
      </c>
      <c r="CH139" s="804">
        <f t="shared" si="107"/>
        <v>-969.28969199999983</v>
      </c>
      <c r="CI139" s="804">
        <f t="shared" si="107"/>
        <v>-969.28969199999983</v>
      </c>
      <c r="CJ139" s="804">
        <f t="shared" si="107"/>
        <v>-969.28969199999983</v>
      </c>
      <c r="CK139" s="804">
        <f t="shared" si="107"/>
        <v>-969.28969199999983</v>
      </c>
      <c r="CL139" s="804">
        <f t="shared" si="107"/>
        <v>-969.28969199999983</v>
      </c>
      <c r="CM139" s="804">
        <f t="shared" si="107"/>
        <v>-969.28969199999983</v>
      </c>
      <c r="CN139" s="804">
        <f t="shared" si="107"/>
        <v>-969.28969199999983</v>
      </c>
      <c r="CO139" s="804">
        <f t="shared" si="107"/>
        <v>-969.28969199999983</v>
      </c>
      <c r="CP139" s="804">
        <f t="shared" si="107"/>
        <v>-969.28969199999983</v>
      </c>
      <c r="CQ139" s="804">
        <f t="shared" si="107"/>
        <v>-969.28969199999983</v>
      </c>
      <c r="CR139" s="804">
        <f t="shared" si="107"/>
        <v>-969.28969199999983</v>
      </c>
      <c r="CS139" s="804">
        <f t="shared" si="107"/>
        <v>-969.28969199999983</v>
      </c>
      <c r="CT139" s="804">
        <f t="shared" si="107"/>
        <v>-969.28969199999983</v>
      </c>
      <c r="CU139" s="804">
        <f t="shared" si="107"/>
        <v>-969.28969199999983</v>
      </c>
      <c r="CV139" s="804">
        <f t="shared" si="107"/>
        <v>-969.28969199999983</v>
      </c>
      <c r="CW139" s="804">
        <f t="shared" si="107"/>
        <v>-969.28969199999983</v>
      </c>
      <c r="CX139" s="804">
        <f t="shared" si="107"/>
        <v>-969.28969199999983</v>
      </c>
      <c r="CY139" s="804">
        <f t="shared" si="107"/>
        <v>-969.28969199999983</v>
      </c>
      <c r="CZ139" s="804">
        <f t="shared" si="107"/>
        <v>-969.28969199999983</v>
      </c>
      <c r="DA139" s="804">
        <f t="shared" si="107"/>
        <v>-969.28969199999983</v>
      </c>
      <c r="DB139" s="804">
        <f t="shared" si="107"/>
        <v>-969.28969199999983</v>
      </c>
      <c r="DC139" s="804">
        <f t="shared" si="107"/>
        <v>-969.28969199999983</v>
      </c>
      <c r="DD139" s="804">
        <f t="shared" si="107"/>
        <v>-969.28969199999983</v>
      </c>
      <c r="DE139" s="804">
        <f t="shared" si="107"/>
        <v>-969.28969199999983</v>
      </c>
      <c r="DF139" s="804">
        <f t="shared" si="107"/>
        <v>-969.28969199999983</v>
      </c>
    </row>
    <row r="140" spans="1:110" ht="15.75" hidden="1" thickBot="1">
      <c r="B140" s="2716" t="s">
        <v>331</v>
      </c>
      <c r="C140" s="2717"/>
      <c r="D140" s="890"/>
      <c r="E140" s="890"/>
      <c r="F140" s="890"/>
      <c r="G140" s="890"/>
      <c r="H140" s="891">
        <f>((H$136-$H$4)/1000)*$Q$73*(($C$8/70)^$AA$73)*IF($C$13=1,$AE$72,IF($C$13=2,$AF$72,IF($C$13=3,$AG$72,1)))</f>
        <v>446.25236399999994</v>
      </c>
      <c r="I140" s="891">
        <f>((I$136-$H$4)/1000)*$Q$73*(($C$8/70)^$AA$73)*IF($C$13=1,$AE$72,IF($C$13=2,$AF$72,IF($C$13=3,$AG$72,1)))</f>
        <v>595.003152</v>
      </c>
      <c r="J140" s="891"/>
      <c r="K140" s="891"/>
      <c r="L140" s="891">
        <f t="shared" ref="L140:AQ140" si="108">((L$136-$H$4)/1000)*$Q$73*(($C$8/70)^$AA$73)*IF($C$13=1,$AE$72,IF($C$13=2,$AF$72,IF($C$13=3,$AG$72,1)))</f>
        <v>1041.2555159999999</v>
      </c>
      <c r="M140" s="891">
        <f t="shared" si="108"/>
        <v>1190.006304</v>
      </c>
      <c r="N140" s="891">
        <f t="shared" si="108"/>
        <v>1338.7570919999998</v>
      </c>
      <c r="O140" s="891">
        <f t="shared" si="108"/>
        <v>1487.5078799999999</v>
      </c>
      <c r="P140" s="891">
        <f t="shared" si="108"/>
        <v>1636.2586679999999</v>
      </c>
      <c r="Q140" s="891">
        <f t="shared" si="108"/>
        <v>1785.0094559999998</v>
      </c>
      <c r="R140" s="891">
        <f t="shared" si="108"/>
        <v>1933.7602440000001</v>
      </c>
      <c r="S140" s="891">
        <f t="shared" si="108"/>
        <v>2082.5110319999999</v>
      </c>
      <c r="T140" s="891">
        <f t="shared" si="108"/>
        <v>2231.2618199999997</v>
      </c>
      <c r="U140" s="891">
        <f t="shared" si="108"/>
        <v>2380.012608</v>
      </c>
      <c r="V140" s="891">
        <f t="shared" si="108"/>
        <v>2528.7633959999998</v>
      </c>
      <c r="W140" s="891">
        <f t="shared" si="108"/>
        <v>2677.5141839999997</v>
      </c>
      <c r="X140" s="891">
        <f t="shared" si="108"/>
        <v>2826.2649719999995</v>
      </c>
      <c r="Y140" s="891">
        <f t="shared" si="108"/>
        <v>2975.0157599999998</v>
      </c>
      <c r="Z140" s="891">
        <f t="shared" si="108"/>
        <v>3123.7665479999996</v>
      </c>
      <c r="AA140" s="891">
        <f t="shared" si="108"/>
        <v>3272.5173359999999</v>
      </c>
      <c r="AB140" s="891">
        <f t="shared" si="108"/>
        <v>3421.2681239999993</v>
      </c>
      <c r="AC140" s="891">
        <f t="shared" si="108"/>
        <v>3570.0189119999995</v>
      </c>
      <c r="AD140" s="891">
        <f t="shared" si="108"/>
        <v>3718.7696999999994</v>
      </c>
      <c r="AE140" s="891">
        <f t="shared" si="108"/>
        <v>3867.5204880000001</v>
      </c>
      <c r="AF140" s="891">
        <f t="shared" si="108"/>
        <v>4016.2712759999995</v>
      </c>
      <c r="AG140" s="891">
        <f t="shared" si="108"/>
        <v>4165.0220639999998</v>
      </c>
      <c r="AH140" s="891">
        <f t="shared" si="108"/>
        <v>4313.7728519999991</v>
      </c>
      <c r="AI140" s="891">
        <f t="shared" si="108"/>
        <v>4462.5236399999994</v>
      </c>
      <c r="AJ140" s="891">
        <f t="shared" si="108"/>
        <v>4611.2744279999997</v>
      </c>
      <c r="AK140" s="891">
        <f t="shared" si="108"/>
        <v>4760.025216</v>
      </c>
      <c r="AL140" s="891">
        <f t="shared" si="108"/>
        <v>4908.7760039999985</v>
      </c>
      <c r="AM140" s="891">
        <f t="shared" si="108"/>
        <v>5057.5267919999997</v>
      </c>
      <c r="AN140" s="891">
        <f t="shared" si="108"/>
        <v>5206.277579999999</v>
      </c>
      <c r="AO140" s="891">
        <f t="shared" si="108"/>
        <v>5355.0283679999993</v>
      </c>
      <c r="AP140" s="891">
        <f t="shared" si="108"/>
        <v>5503.7791559999996</v>
      </c>
      <c r="AQ140" s="891">
        <f t="shared" si="108"/>
        <v>5652.529943999999</v>
      </c>
      <c r="AR140" s="891">
        <f t="shared" ref="AR140:BW140" si="109">((AR$136-$H$4)/1000)*$Q$73*(($C$8/70)^$AA$73)*IF($C$13=1,$AE$72,IF($C$13=2,$AF$72,IF($C$13=3,$AG$72,1)))</f>
        <v>5801.2807319999984</v>
      </c>
      <c r="AS140" s="891">
        <f t="shared" si="109"/>
        <v>5950.0315199999995</v>
      </c>
      <c r="AT140" s="891">
        <f t="shared" si="109"/>
        <v>6098.7823079999989</v>
      </c>
      <c r="AU140" s="891">
        <f t="shared" si="109"/>
        <v>6247.5330959999992</v>
      </c>
      <c r="AV140" s="891">
        <f t="shared" si="109"/>
        <v>6396.2838839999995</v>
      </c>
      <c r="AW140" s="891">
        <f t="shared" si="109"/>
        <v>6545.0346719999998</v>
      </c>
      <c r="AX140" s="891">
        <f t="shared" si="109"/>
        <v>6693.7854599999991</v>
      </c>
      <c r="AY140" s="891">
        <f t="shared" si="109"/>
        <v>6842.5362479999985</v>
      </c>
      <c r="AZ140" s="891">
        <f t="shared" si="109"/>
        <v>6991.2870359999988</v>
      </c>
      <c r="BA140" s="891">
        <f t="shared" si="109"/>
        <v>7140.0378239999991</v>
      </c>
      <c r="BB140" s="891">
        <f t="shared" si="109"/>
        <v>7288.7886120000003</v>
      </c>
      <c r="BC140" s="891">
        <f t="shared" si="109"/>
        <v>7437.5393999999987</v>
      </c>
      <c r="BD140" s="891">
        <f t="shared" si="109"/>
        <v>7586.2901879999981</v>
      </c>
      <c r="BE140" s="891">
        <f t="shared" si="109"/>
        <v>7735.0409760000002</v>
      </c>
      <c r="BF140" s="891">
        <f t="shared" si="109"/>
        <v>7883.7917639999987</v>
      </c>
      <c r="BG140" s="804">
        <f t="shared" si="109"/>
        <v>-1041.2555159999999</v>
      </c>
      <c r="BH140" s="804">
        <f t="shared" si="109"/>
        <v>-1041.2555159999999</v>
      </c>
      <c r="BI140" s="804">
        <f t="shared" si="109"/>
        <v>-1041.2555159999999</v>
      </c>
      <c r="BJ140" s="804">
        <f t="shared" si="109"/>
        <v>-1041.2555159999999</v>
      </c>
      <c r="BK140" s="804">
        <f t="shared" si="109"/>
        <v>-1041.2555159999999</v>
      </c>
      <c r="BL140" s="804">
        <f t="shared" si="109"/>
        <v>-1041.2555159999999</v>
      </c>
      <c r="BM140" s="804">
        <f t="shared" si="109"/>
        <v>-1041.2555159999999</v>
      </c>
      <c r="BN140" s="804">
        <f t="shared" si="109"/>
        <v>-1041.2555159999999</v>
      </c>
      <c r="BO140" s="804">
        <f t="shared" si="109"/>
        <v>-1041.2555159999999</v>
      </c>
      <c r="BP140" s="804">
        <f t="shared" si="109"/>
        <v>-1041.2555159999999</v>
      </c>
      <c r="BQ140" s="804">
        <f t="shared" si="109"/>
        <v>-1041.2555159999999</v>
      </c>
      <c r="BR140" s="804">
        <f t="shared" si="109"/>
        <v>-1041.2555159999999</v>
      </c>
      <c r="BS140" s="804">
        <f t="shared" si="109"/>
        <v>-1041.2555159999999</v>
      </c>
      <c r="BT140" s="804">
        <f t="shared" si="109"/>
        <v>-1041.2555159999999</v>
      </c>
      <c r="BU140" s="804">
        <f t="shared" si="109"/>
        <v>-1041.2555159999999</v>
      </c>
      <c r="BV140" s="804">
        <f t="shared" si="109"/>
        <v>-1041.2555159999999</v>
      </c>
      <c r="BW140" s="804">
        <f t="shared" si="109"/>
        <v>-1041.2555159999999</v>
      </c>
      <c r="BX140" s="804">
        <f t="shared" ref="BX140:DF140" si="110">((BX$136-$H$4)/1000)*$Q$73*(($C$8/70)^$AA$73)*IF($C$13=1,$AE$72,IF($C$13=2,$AF$72,IF($C$13=3,$AG$72,1)))</f>
        <v>-1041.2555159999999</v>
      </c>
      <c r="BY140" s="804">
        <f t="shared" si="110"/>
        <v>-1041.2555159999999</v>
      </c>
      <c r="BZ140" s="804">
        <f t="shared" si="110"/>
        <v>-1041.2555159999999</v>
      </c>
      <c r="CA140" s="804">
        <f t="shared" si="110"/>
        <v>-1041.2555159999999</v>
      </c>
      <c r="CB140" s="804">
        <f t="shared" si="110"/>
        <v>-1041.2555159999999</v>
      </c>
      <c r="CC140" s="804">
        <f t="shared" si="110"/>
        <v>-1041.2555159999999</v>
      </c>
      <c r="CD140" s="804">
        <f t="shared" si="110"/>
        <v>-1041.2555159999999</v>
      </c>
      <c r="CE140" s="804">
        <f t="shared" si="110"/>
        <v>-1041.2555159999999</v>
      </c>
      <c r="CF140" s="804">
        <f t="shared" si="110"/>
        <v>-1041.2555159999999</v>
      </c>
      <c r="CG140" s="804">
        <f t="shared" si="110"/>
        <v>-1041.2555159999999</v>
      </c>
      <c r="CH140" s="804">
        <f t="shared" si="110"/>
        <v>-1041.2555159999999</v>
      </c>
      <c r="CI140" s="804">
        <f t="shared" si="110"/>
        <v>-1041.2555159999999</v>
      </c>
      <c r="CJ140" s="804">
        <f t="shared" si="110"/>
        <v>-1041.2555159999999</v>
      </c>
      <c r="CK140" s="804">
        <f t="shared" si="110"/>
        <v>-1041.2555159999999</v>
      </c>
      <c r="CL140" s="804">
        <f t="shared" si="110"/>
        <v>-1041.2555159999999</v>
      </c>
      <c r="CM140" s="804">
        <f t="shared" si="110"/>
        <v>-1041.2555159999999</v>
      </c>
      <c r="CN140" s="804">
        <f t="shared" si="110"/>
        <v>-1041.2555159999999</v>
      </c>
      <c r="CO140" s="804">
        <f t="shared" si="110"/>
        <v>-1041.2555159999999</v>
      </c>
      <c r="CP140" s="804">
        <f t="shared" si="110"/>
        <v>-1041.2555159999999</v>
      </c>
      <c r="CQ140" s="804">
        <f t="shared" si="110"/>
        <v>-1041.2555159999999</v>
      </c>
      <c r="CR140" s="804">
        <f t="shared" si="110"/>
        <v>-1041.2555159999999</v>
      </c>
      <c r="CS140" s="804">
        <f t="shared" si="110"/>
        <v>-1041.2555159999999</v>
      </c>
      <c r="CT140" s="804">
        <f t="shared" si="110"/>
        <v>-1041.2555159999999</v>
      </c>
      <c r="CU140" s="804">
        <f t="shared" si="110"/>
        <v>-1041.2555159999999</v>
      </c>
      <c r="CV140" s="804">
        <f t="shared" si="110"/>
        <v>-1041.2555159999999</v>
      </c>
      <c r="CW140" s="804">
        <f t="shared" si="110"/>
        <v>-1041.2555159999999</v>
      </c>
      <c r="CX140" s="804">
        <f t="shared" si="110"/>
        <v>-1041.2555159999999</v>
      </c>
      <c r="CY140" s="804">
        <f t="shared" si="110"/>
        <v>-1041.2555159999999</v>
      </c>
      <c r="CZ140" s="804">
        <f t="shared" si="110"/>
        <v>-1041.2555159999999</v>
      </c>
      <c r="DA140" s="804">
        <f t="shared" si="110"/>
        <v>-1041.2555159999999</v>
      </c>
      <c r="DB140" s="804">
        <f t="shared" si="110"/>
        <v>-1041.2555159999999</v>
      </c>
      <c r="DC140" s="804">
        <f t="shared" si="110"/>
        <v>-1041.2555159999999</v>
      </c>
      <c r="DD140" s="804">
        <f t="shared" si="110"/>
        <v>-1041.2555159999999</v>
      </c>
      <c r="DE140" s="804">
        <f t="shared" si="110"/>
        <v>-1041.2555159999999</v>
      </c>
      <c r="DF140" s="804">
        <f t="shared" si="110"/>
        <v>-1041.2555159999999</v>
      </c>
    </row>
    <row r="141" spans="1:110" ht="15.75" hidden="1" thickBot="1">
      <c r="B141" s="2718" t="s">
        <v>527</v>
      </c>
      <c r="C141" s="2719"/>
      <c r="D141" s="892"/>
      <c r="E141" s="892"/>
      <c r="F141" s="892"/>
      <c r="G141" s="892"/>
      <c r="H141" s="893">
        <f>((H$136-$H$4)/1000)*$L$74*(($C$8/70)^$V$74)*IF($C$13=1,$AE$73,IF($C$13=2,$AF$73,IF($C$13=3,$AG$73,1)))</f>
        <v>212.48496</v>
      </c>
      <c r="I141" s="893">
        <f>((I$136-$H$4)/1000)*$L$74*(($C$8/70)^$V$74)*IF($C$13=1,$AE$73,IF($C$13=2,$AF$73,IF($C$13=3,$AG$73,1)))</f>
        <v>283.31327999999996</v>
      </c>
      <c r="J141" s="893"/>
      <c r="K141" s="893"/>
      <c r="L141" s="893">
        <f t="shared" ref="L141:AQ141" si="111">((L$136-$H$4)/1000)*$L$74*(($C$8/70)^$V$74)*IF($C$13=1,$AE$73,IF($C$13=2,$AF$73,IF($C$13=3,$AG$73,1)))</f>
        <v>495.79823999999996</v>
      </c>
      <c r="M141" s="893">
        <f t="shared" si="111"/>
        <v>566.62655999999993</v>
      </c>
      <c r="N141" s="893">
        <f t="shared" si="111"/>
        <v>637.45488</v>
      </c>
      <c r="O141" s="893">
        <f t="shared" si="111"/>
        <v>708.28319999999997</v>
      </c>
      <c r="P141" s="893">
        <f t="shared" si="111"/>
        <v>779.11151999999993</v>
      </c>
      <c r="Q141" s="893">
        <f t="shared" si="111"/>
        <v>849.93984</v>
      </c>
      <c r="R141" s="893">
        <f t="shared" si="111"/>
        <v>920.76815999999997</v>
      </c>
      <c r="S141" s="893">
        <f t="shared" si="111"/>
        <v>991.59647999999993</v>
      </c>
      <c r="T141" s="893">
        <f t="shared" si="111"/>
        <v>1062.4248</v>
      </c>
      <c r="U141" s="893">
        <f t="shared" si="111"/>
        <v>1133.2531199999999</v>
      </c>
      <c r="V141" s="893">
        <f t="shared" si="111"/>
        <v>1204.0814399999999</v>
      </c>
      <c r="W141" s="893">
        <f t="shared" si="111"/>
        <v>1274.90976</v>
      </c>
      <c r="X141" s="893">
        <f t="shared" si="111"/>
        <v>1345.7380799999999</v>
      </c>
      <c r="Y141" s="893">
        <f t="shared" si="111"/>
        <v>1416.5663999999999</v>
      </c>
      <c r="Z141" s="893">
        <f t="shared" si="111"/>
        <v>1487.39472</v>
      </c>
      <c r="AA141" s="893">
        <f t="shared" si="111"/>
        <v>1558.2230399999999</v>
      </c>
      <c r="AB141" s="893">
        <f t="shared" si="111"/>
        <v>1629.0513599999997</v>
      </c>
      <c r="AC141" s="893">
        <f t="shared" si="111"/>
        <v>1699.87968</v>
      </c>
      <c r="AD141" s="893">
        <f t="shared" si="111"/>
        <v>1770.7079999999999</v>
      </c>
      <c r="AE141" s="893">
        <f t="shared" si="111"/>
        <v>1841.5363199999999</v>
      </c>
      <c r="AF141" s="893">
        <f t="shared" si="111"/>
        <v>1912.36464</v>
      </c>
      <c r="AG141" s="893">
        <f t="shared" si="111"/>
        <v>1983.1929599999999</v>
      </c>
      <c r="AH141" s="893">
        <f t="shared" si="111"/>
        <v>2054.0212799999999</v>
      </c>
      <c r="AI141" s="893">
        <f t="shared" si="111"/>
        <v>2124.8496</v>
      </c>
      <c r="AJ141" s="893">
        <f t="shared" si="111"/>
        <v>2195.6779200000001</v>
      </c>
      <c r="AK141" s="893">
        <f t="shared" si="111"/>
        <v>2266.5062399999997</v>
      </c>
      <c r="AL141" s="893">
        <f t="shared" si="111"/>
        <v>2337.3345599999998</v>
      </c>
      <c r="AM141" s="893">
        <f t="shared" si="111"/>
        <v>2408.1628799999999</v>
      </c>
      <c r="AN141" s="893">
        <f t="shared" si="111"/>
        <v>2478.9911999999999</v>
      </c>
      <c r="AO141" s="893">
        <f t="shared" si="111"/>
        <v>2549.81952</v>
      </c>
      <c r="AP141" s="893">
        <f t="shared" si="111"/>
        <v>2620.6478399999996</v>
      </c>
      <c r="AQ141" s="893">
        <f t="shared" si="111"/>
        <v>2691.4761599999997</v>
      </c>
      <c r="AR141" s="893">
        <f t="shared" ref="AR141:BW141" si="112">((AR$136-$H$4)/1000)*$L$74*(($C$8/70)^$V$74)*IF($C$13=1,$AE$73,IF($C$13=2,$AF$73,IF($C$13=3,$AG$73,1)))</f>
        <v>2762.3044800000002</v>
      </c>
      <c r="AS141" s="893">
        <f t="shared" si="112"/>
        <v>2833.1327999999999</v>
      </c>
      <c r="AT141" s="893">
        <f t="shared" si="112"/>
        <v>2903.9611199999999</v>
      </c>
      <c r="AU141" s="893">
        <f t="shared" si="112"/>
        <v>2974.78944</v>
      </c>
      <c r="AV141" s="893">
        <f t="shared" si="112"/>
        <v>3045.6177600000001</v>
      </c>
      <c r="AW141" s="893">
        <f t="shared" si="112"/>
        <v>3116.4460799999997</v>
      </c>
      <c r="AX141" s="893">
        <f t="shared" si="112"/>
        <v>3187.2743999999998</v>
      </c>
      <c r="AY141" s="893">
        <f t="shared" si="112"/>
        <v>3258.1027199999994</v>
      </c>
      <c r="AZ141" s="893">
        <f t="shared" si="112"/>
        <v>3328.9310399999999</v>
      </c>
      <c r="BA141" s="893">
        <f t="shared" si="112"/>
        <v>3399.75936</v>
      </c>
      <c r="BB141" s="893">
        <f t="shared" si="112"/>
        <v>3470.5876800000001</v>
      </c>
      <c r="BC141" s="893">
        <f t="shared" si="112"/>
        <v>3541.4159999999997</v>
      </c>
      <c r="BD141" s="893">
        <f t="shared" si="112"/>
        <v>3612.2443199999993</v>
      </c>
      <c r="BE141" s="893">
        <f t="shared" si="112"/>
        <v>3683.0726399999999</v>
      </c>
      <c r="BF141" s="893">
        <f t="shared" si="112"/>
        <v>3753.9009599999999</v>
      </c>
      <c r="BG141" s="804">
        <f t="shared" si="112"/>
        <v>-495.79823999999996</v>
      </c>
      <c r="BH141" s="804">
        <f t="shared" si="112"/>
        <v>-495.79823999999996</v>
      </c>
      <c r="BI141" s="804">
        <f t="shared" si="112"/>
        <v>-495.79823999999996</v>
      </c>
      <c r="BJ141" s="804">
        <f t="shared" si="112"/>
        <v>-495.79823999999996</v>
      </c>
      <c r="BK141" s="804">
        <f t="shared" si="112"/>
        <v>-495.79823999999996</v>
      </c>
      <c r="BL141" s="804">
        <f t="shared" si="112"/>
        <v>-495.79823999999996</v>
      </c>
      <c r="BM141" s="804">
        <f t="shared" si="112"/>
        <v>-495.79823999999996</v>
      </c>
      <c r="BN141" s="804">
        <f t="shared" si="112"/>
        <v>-495.79823999999996</v>
      </c>
      <c r="BO141" s="804">
        <f t="shared" si="112"/>
        <v>-495.79823999999996</v>
      </c>
      <c r="BP141" s="804">
        <f t="shared" si="112"/>
        <v>-495.79823999999996</v>
      </c>
      <c r="BQ141" s="804">
        <f t="shared" si="112"/>
        <v>-495.79823999999996</v>
      </c>
      <c r="BR141" s="804">
        <f t="shared" si="112"/>
        <v>-495.79823999999996</v>
      </c>
      <c r="BS141" s="804">
        <f t="shared" si="112"/>
        <v>-495.79823999999996</v>
      </c>
      <c r="BT141" s="804">
        <f t="shared" si="112"/>
        <v>-495.79823999999996</v>
      </c>
      <c r="BU141" s="804">
        <f t="shared" si="112"/>
        <v>-495.79823999999996</v>
      </c>
      <c r="BV141" s="804">
        <f t="shared" si="112"/>
        <v>-495.79823999999996</v>
      </c>
      <c r="BW141" s="804">
        <f t="shared" si="112"/>
        <v>-495.79823999999996</v>
      </c>
      <c r="BX141" s="804">
        <f t="shared" ref="BX141:DF141" si="113">((BX$136-$H$4)/1000)*$L$74*(($C$8/70)^$V$74)*IF($C$13=1,$AE$73,IF($C$13=2,$AF$73,IF($C$13=3,$AG$73,1)))</f>
        <v>-495.79823999999996</v>
      </c>
      <c r="BY141" s="804">
        <f t="shared" si="113"/>
        <v>-495.79823999999996</v>
      </c>
      <c r="BZ141" s="804">
        <f t="shared" si="113"/>
        <v>-495.79823999999996</v>
      </c>
      <c r="CA141" s="804">
        <f t="shared" si="113"/>
        <v>-495.79823999999996</v>
      </c>
      <c r="CB141" s="804">
        <f t="shared" si="113"/>
        <v>-495.79823999999996</v>
      </c>
      <c r="CC141" s="804">
        <f t="shared" si="113"/>
        <v>-495.79823999999996</v>
      </c>
      <c r="CD141" s="804">
        <f t="shared" si="113"/>
        <v>-495.79823999999996</v>
      </c>
      <c r="CE141" s="804">
        <f t="shared" si="113"/>
        <v>-495.79823999999996</v>
      </c>
      <c r="CF141" s="804">
        <f t="shared" si="113"/>
        <v>-495.79823999999996</v>
      </c>
      <c r="CG141" s="804">
        <f t="shared" si="113"/>
        <v>-495.79823999999996</v>
      </c>
      <c r="CH141" s="804">
        <f t="shared" si="113"/>
        <v>-495.79823999999996</v>
      </c>
      <c r="CI141" s="804">
        <f t="shared" si="113"/>
        <v>-495.79823999999996</v>
      </c>
      <c r="CJ141" s="804">
        <f t="shared" si="113"/>
        <v>-495.79823999999996</v>
      </c>
      <c r="CK141" s="804">
        <f t="shared" si="113"/>
        <v>-495.79823999999996</v>
      </c>
      <c r="CL141" s="804">
        <f t="shared" si="113"/>
        <v>-495.79823999999996</v>
      </c>
      <c r="CM141" s="804">
        <f t="shared" si="113"/>
        <v>-495.79823999999996</v>
      </c>
      <c r="CN141" s="804">
        <f t="shared" si="113"/>
        <v>-495.79823999999996</v>
      </c>
      <c r="CO141" s="804">
        <f t="shared" si="113"/>
        <v>-495.79823999999996</v>
      </c>
      <c r="CP141" s="804">
        <f t="shared" si="113"/>
        <v>-495.79823999999996</v>
      </c>
      <c r="CQ141" s="804">
        <f t="shared" si="113"/>
        <v>-495.79823999999996</v>
      </c>
      <c r="CR141" s="804">
        <f t="shared" si="113"/>
        <v>-495.79823999999996</v>
      </c>
      <c r="CS141" s="804">
        <f t="shared" si="113"/>
        <v>-495.79823999999996</v>
      </c>
      <c r="CT141" s="804">
        <f t="shared" si="113"/>
        <v>-495.79823999999996</v>
      </c>
      <c r="CU141" s="804">
        <f t="shared" si="113"/>
        <v>-495.79823999999996</v>
      </c>
      <c r="CV141" s="804">
        <f t="shared" si="113"/>
        <v>-495.79823999999996</v>
      </c>
      <c r="CW141" s="804">
        <f t="shared" si="113"/>
        <v>-495.79823999999996</v>
      </c>
      <c r="CX141" s="804">
        <f t="shared" si="113"/>
        <v>-495.79823999999996</v>
      </c>
      <c r="CY141" s="804">
        <f t="shared" si="113"/>
        <v>-495.79823999999996</v>
      </c>
      <c r="CZ141" s="804">
        <f t="shared" si="113"/>
        <v>-495.79823999999996</v>
      </c>
      <c r="DA141" s="804">
        <f t="shared" si="113"/>
        <v>-495.79823999999996</v>
      </c>
      <c r="DB141" s="804">
        <f t="shared" si="113"/>
        <v>-495.79823999999996</v>
      </c>
      <c r="DC141" s="804">
        <f t="shared" si="113"/>
        <v>-495.79823999999996</v>
      </c>
      <c r="DD141" s="804">
        <f t="shared" si="113"/>
        <v>-495.79823999999996</v>
      </c>
      <c r="DE141" s="804">
        <f t="shared" si="113"/>
        <v>-495.79823999999996</v>
      </c>
      <c r="DF141" s="804">
        <f t="shared" si="113"/>
        <v>-495.79823999999996</v>
      </c>
    </row>
    <row r="142" spans="1:110" ht="15.75" hidden="1" thickBot="1">
      <c r="B142" s="2720" t="s">
        <v>528</v>
      </c>
      <c r="C142" s="2721"/>
      <c r="D142" s="894"/>
      <c r="E142" s="894"/>
      <c r="F142" s="894"/>
      <c r="G142" s="894"/>
      <c r="H142" s="939">
        <f>((H$136-$H$4)/1000)*$M$74*(($C$8/70)^$W$74)*IF($C$13=1,$AE$73,IF($C$13=2,$AF$73,IF($C$13=3,$AG$73,1)))</f>
        <v>281.45548799999995</v>
      </c>
      <c r="I142" s="939">
        <f>((I$136-$H$4)/1000)*$M$74*(($C$8/70)^$W$74)*IF($C$13=1,$AE$73,IF($C$13=2,$AF$73,IF($C$13=3,$AG$73,1)))</f>
        <v>375.27398399999998</v>
      </c>
      <c r="J142" s="939"/>
      <c r="K142" s="939"/>
      <c r="L142" s="939">
        <f t="shared" ref="L142:AQ142" si="114">((L$136-$H$4)/1000)*$M$74*(($C$8/70)^$W$74)*IF($C$13=1,$AE$73,IF($C$13=2,$AF$73,IF($C$13=3,$AG$73,1)))</f>
        <v>656.72947199999976</v>
      </c>
      <c r="M142" s="939">
        <f t="shared" si="114"/>
        <v>750.54796799999997</v>
      </c>
      <c r="N142" s="939">
        <f t="shared" si="114"/>
        <v>844.36646399999984</v>
      </c>
      <c r="O142" s="939">
        <f t="shared" si="114"/>
        <v>938.18495999999982</v>
      </c>
      <c r="P142" s="939">
        <f t="shared" si="114"/>
        <v>1032.0034559999999</v>
      </c>
      <c r="Q142" s="939">
        <f t="shared" si="114"/>
        <v>1125.8219519999998</v>
      </c>
      <c r="R142" s="939">
        <f t="shared" si="114"/>
        <v>1219.6404479999999</v>
      </c>
      <c r="S142" s="939">
        <f t="shared" si="114"/>
        <v>1313.4589439999995</v>
      </c>
      <c r="T142" s="939">
        <f t="shared" si="114"/>
        <v>1407.2774399999996</v>
      </c>
      <c r="U142" s="939">
        <f t="shared" si="114"/>
        <v>1501.0959359999999</v>
      </c>
      <c r="V142" s="939">
        <f t="shared" si="114"/>
        <v>1594.9144319999996</v>
      </c>
      <c r="W142" s="939">
        <f t="shared" si="114"/>
        <v>1688.7329279999997</v>
      </c>
      <c r="X142" s="939">
        <f t="shared" si="114"/>
        <v>1782.5514239999995</v>
      </c>
      <c r="Y142" s="939">
        <f t="shared" si="114"/>
        <v>1876.3699199999996</v>
      </c>
      <c r="Z142" s="939">
        <f t="shared" si="114"/>
        <v>1970.1884159999997</v>
      </c>
      <c r="AA142" s="939">
        <f t="shared" si="114"/>
        <v>2064.0069119999998</v>
      </c>
      <c r="AB142" s="939">
        <f t="shared" si="114"/>
        <v>2157.8254079999992</v>
      </c>
      <c r="AC142" s="939">
        <f t="shared" si="114"/>
        <v>2251.6439039999996</v>
      </c>
      <c r="AD142" s="939">
        <f t="shared" si="114"/>
        <v>2345.4623999999999</v>
      </c>
      <c r="AE142" s="939">
        <f t="shared" si="114"/>
        <v>2439.2808959999998</v>
      </c>
      <c r="AF142" s="939">
        <f t="shared" si="114"/>
        <v>2533.0993919999996</v>
      </c>
      <c r="AG142" s="939">
        <f t="shared" si="114"/>
        <v>2626.917887999999</v>
      </c>
      <c r="AH142" s="939">
        <f t="shared" si="114"/>
        <v>2720.7363839999994</v>
      </c>
      <c r="AI142" s="939">
        <f t="shared" si="114"/>
        <v>2814.5548799999992</v>
      </c>
      <c r="AJ142" s="939">
        <f t="shared" si="114"/>
        <v>2908.3733759999996</v>
      </c>
      <c r="AK142" s="939">
        <f t="shared" si="114"/>
        <v>3002.1918719999999</v>
      </c>
      <c r="AL142" s="939">
        <f t="shared" si="114"/>
        <v>3096.0103679999993</v>
      </c>
      <c r="AM142" s="939">
        <f t="shared" si="114"/>
        <v>3189.8288639999992</v>
      </c>
      <c r="AN142" s="939">
        <f t="shared" si="114"/>
        <v>3283.647359999999</v>
      </c>
      <c r="AO142" s="939">
        <f t="shared" si="114"/>
        <v>3377.4658559999993</v>
      </c>
      <c r="AP142" s="939">
        <f t="shared" si="114"/>
        <v>3471.2843519999992</v>
      </c>
      <c r="AQ142" s="939">
        <f t="shared" si="114"/>
        <v>3565.1028479999991</v>
      </c>
      <c r="AR142" s="939">
        <f t="shared" ref="AR142:BW142" si="115">((AR$136-$H$4)/1000)*$M$74*(($C$8/70)^$W$74)*IF($C$13=1,$AE$73,IF($C$13=2,$AF$73,IF($C$13=3,$AG$73,1)))</f>
        <v>3658.9213439999994</v>
      </c>
      <c r="AS142" s="939">
        <f t="shared" si="115"/>
        <v>3752.7398399999993</v>
      </c>
      <c r="AT142" s="939">
        <f t="shared" si="115"/>
        <v>3846.5583359999987</v>
      </c>
      <c r="AU142" s="939">
        <f t="shared" si="115"/>
        <v>3940.3768319999995</v>
      </c>
      <c r="AV142" s="939">
        <f t="shared" si="115"/>
        <v>4034.1953279999993</v>
      </c>
      <c r="AW142" s="939">
        <f t="shared" si="115"/>
        <v>4128.0138239999997</v>
      </c>
      <c r="AX142" s="939">
        <f t="shared" si="115"/>
        <v>4221.8323199999995</v>
      </c>
      <c r="AY142" s="939">
        <f t="shared" si="115"/>
        <v>4315.6508159999985</v>
      </c>
      <c r="AZ142" s="939">
        <f t="shared" si="115"/>
        <v>4409.4693119999993</v>
      </c>
      <c r="BA142" s="939">
        <f t="shared" si="115"/>
        <v>4503.2878079999991</v>
      </c>
      <c r="BB142" s="939">
        <f t="shared" si="115"/>
        <v>4597.106303999999</v>
      </c>
      <c r="BC142" s="939">
        <f t="shared" si="115"/>
        <v>4690.9247999999998</v>
      </c>
      <c r="BD142" s="939">
        <f t="shared" si="115"/>
        <v>4784.7432959999987</v>
      </c>
      <c r="BE142" s="939">
        <f t="shared" si="115"/>
        <v>4878.5617919999995</v>
      </c>
      <c r="BF142" s="939">
        <f t="shared" si="115"/>
        <v>4972.3802879999994</v>
      </c>
      <c r="BG142" s="804">
        <f t="shared" si="115"/>
        <v>-656.72947199999976</v>
      </c>
      <c r="BH142" s="804">
        <f t="shared" si="115"/>
        <v>-656.72947199999976</v>
      </c>
      <c r="BI142" s="804">
        <f t="shared" si="115"/>
        <v>-656.72947199999976</v>
      </c>
      <c r="BJ142" s="804">
        <f t="shared" si="115"/>
        <v>-656.72947199999976</v>
      </c>
      <c r="BK142" s="804">
        <f t="shared" si="115"/>
        <v>-656.72947199999976</v>
      </c>
      <c r="BL142" s="804">
        <f t="shared" si="115"/>
        <v>-656.72947199999976</v>
      </c>
      <c r="BM142" s="804">
        <f t="shared" si="115"/>
        <v>-656.72947199999976</v>
      </c>
      <c r="BN142" s="804">
        <f t="shared" si="115"/>
        <v>-656.72947199999976</v>
      </c>
      <c r="BO142" s="804">
        <f t="shared" si="115"/>
        <v>-656.72947199999976</v>
      </c>
      <c r="BP142" s="804">
        <f t="shared" si="115"/>
        <v>-656.72947199999976</v>
      </c>
      <c r="BQ142" s="804">
        <f t="shared" si="115"/>
        <v>-656.72947199999976</v>
      </c>
      <c r="BR142" s="804">
        <f t="shared" si="115"/>
        <v>-656.72947199999976</v>
      </c>
      <c r="BS142" s="804">
        <f t="shared" si="115"/>
        <v>-656.72947199999976</v>
      </c>
      <c r="BT142" s="804">
        <f t="shared" si="115"/>
        <v>-656.72947199999976</v>
      </c>
      <c r="BU142" s="804">
        <f t="shared" si="115"/>
        <v>-656.72947199999976</v>
      </c>
      <c r="BV142" s="804">
        <f t="shared" si="115"/>
        <v>-656.72947199999976</v>
      </c>
      <c r="BW142" s="804">
        <f t="shared" si="115"/>
        <v>-656.72947199999976</v>
      </c>
      <c r="BX142" s="804">
        <f t="shared" ref="BX142:DF142" si="116">((BX$136-$H$4)/1000)*$M$74*(($C$8/70)^$W$74)*IF($C$13=1,$AE$73,IF($C$13=2,$AF$73,IF($C$13=3,$AG$73,1)))</f>
        <v>-656.72947199999976</v>
      </c>
      <c r="BY142" s="804">
        <f t="shared" si="116"/>
        <v>-656.72947199999976</v>
      </c>
      <c r="BZ142" s="804">
        <f t="shared" si="116"/>
        <v>-656.72947199999976</v>
      </c>
      <c r="CA142" s="804">
        <f t="shared" si="116"/>
        <v>-656.72947199999976</v>
      </c>
      <c r="CB142" s="804">
        <f t="shared" si="116"/>
        <v>-656.72947199999976</v>
      </c>
      <c r="CC142" s="804">
        <f t="shared" si="116"/>
        <v>-656.72947199999976</v>
      </c>
      <c r="CD142" s="804">
        <f t="shared" si="116"/>
        <v>-656.72947199999976</v>
      </c>
      <c r="CE142" s="804">
        <f t="shared" si="116"/>
        <v>-656.72947199999976</v>
      </c>
      <c r="CF142" s="804">
        <f t="shared" si="116"/>
        <v>-656.72947199999976</v>
      </c>
      <c r="CG142" s="804">
        <f t="shared" si="116"/>
        <v>-656.72947199999976</v>
      </c>
      <c r="CH142" s="804">
        <f t="shared" si="116"/>
        <v>-656.72947199999976</v>
      </c>
      <c r="CI142" s="804">
        <f t="shared" si="116"/>
        <v>-656.72947199999976</v>
      </c>
      <c r="CJ142" s="804">
        <f t="shared" si="116"/>
        <v>-656.72947199999976</v>
      </c>
      <c r="CK142" s="804">
        <f t="shared" si="116"/>
        <v>-656.72947199999976</v>
      </c>
      <c r="CL142" s="804">
        <f t="shared" si="116"/>
        <v>-656.72947199999976</v>
      </c>
      <c r="CM142" s="804">
        <f t="shared" si="116"/>
        <v>-656.72947199999976</v>
      </c>
      <c r="CN142" s="804">
        <f t="shared" si="116"/>
        <v>-656.72947199999976</v>
      </c>
      <c r="CO142" s="804">
        <f t="shared" si="116"/>
        <v>-656.72947199999976</v>
      </c>
      <c r="CP142" s="804">
        <f t="shared" si="116"/>
        <v>-656.72947199999976</v>
      </c>
      <c r="CQ142" s="804">
        <f t="shared" si="116"/>
        <v>-656.72947199999976</v>
      </c>
      <c r="CR142" s="804">
        <f t="shared" si="116"/>
        <v>-656.72947199999976</v>
      </c>
      <c r="CS142" s="804">
        <f t="shared" si="116"/>
        <v>-656.72947199999976</v>
      </c>
      <c r="CT142" s="804">
        <f t="shared" si="116"/>
        <v>-656.72947199999976</v>
      </c>
      <c r="CU142" s="804">
        <f t="shared" si="116"/>
        <v>-656.72947199999976</v>
      </c>
      <c r="CV142" s="804">
        <f t="shared" si="116"/>
        <v>-656.72947199999976</v>
      </c>
      <c r="CW142" s="804">
        <f t="shared" si="116"/>
        <v>-656.72947199999976</v>
      </c>
      <c r="CX142" s="804">
        <f t="shared" si="116"/>
        <v>-656.72947199999976</v>
      </c>
      <c r="CY142" s="804">
        <f t="shared" si="116"/>
        <v>-656.72947199999976</v>
      </c>
      <c r="CZ142" s="804">
        <f t="shared" si="116"/>
        <v>-656.72947199999976</v>
      </c>
      <c r="DA142" s="804">
        <f t="shared" si="116"/>
        <v>-656.72947199999976</v>
      </c>
      <c r="DB142" s="804">
        <f t="shared" si="116"/>
        <v>-656.72947199999976</v>
      </c>
      <c r="DC142" s="804">
        <f t="shared" si="116"/>
        <v>-656.72947199999976</v>
      </c>
      <c r="DD142" s="804">
        <f t="shared" si="116"/>
        <v>-656.72947199999976</v>
      </c>
      <c r="DE142" s="804">
        <f t="shared" si="116"/>
        <v>-656.72947199999976</v>
      </c>
      <c r="DF142" s="804">
        <f t="shared" si="116"/>
        <v>-656.72947199999976</v>
      </c>
    </row>
    <row r="143" spans="1:110" hidden="1">
      <c r="B143" s="2722" t="s">
        <v>332</v>
      </c>
      <c r="C143" s="2723"/>
      <c r="D143" s="834"/>
      <c r="E143" s="834"/>
      <c r="F143" s="834"/>
      <c r="G143" s="834"/>
      <c r="H143" s="938">
        <f t="shared" ref="H143:AM143" si="117">((H$136-$H$4)/1000)*$N$74*(($C$8/70)^$X$74)*IF($C$13=1,$AE$73,IF($C$13=2,$AF$73,IF($C$13=3,$AG$73,1)))</f>
        <v>326.73916799999995</v>
      </c>
      <c r="I143" s="938">
        <f t="shared" si="117"/>
        <v>435.65222399999999</v>
      </c>
      <c r="J143" s="938">
        <f t="shared" si="117"/>
        <v>544.56527999999992</v>
      </c>
      <c r="K143" s="938">
        <f t="shared" si="117"/>
        <v>653.4783359999999</v>
      </c>
      <c r="L143" s="938">
        <f t="shared" si="117"/>
        <v>762.39139199999988</v>
      </c>
      <c r="M143" s="938">
        <f t="shared" si="117"/>
        <v>871.30444799999998</v>
      </c>
      <c r="N143" s="938">
        <f t="shared" si="117"/>
        <v>980.21750399999996</v>
      </c>
      <c r="O143" s="938">
        <f t="shared" si="117"/>
        <v>1089.1305599999998</v>
      </c>
      <c r="P143" s="938">
        <f t="shared" si="117"/>
        <v>1198.0436159999999</v>
      </c>
      <c r="Q143" s="938">
        <f t="shared" si="117"/>
        <v>1306.9566719999998</v>
      </c>
      <c r="R143" s="938">
        <f t="shared" si="117"/>
        <v>1415.8697279999999</v>
      </c>
      <c r="S143" s="938">
        <f t="shared" si="117"/>
        <v>1524.7827839999998</v>
      </c>
      <c r="T143" s="938">
        <f t="shared" si="117"/>
        <v>1633.6958399999996</v>
      </c>
      <c r="U143" s="938">
        <f t="shared" si="117"/>
        <v>1742.608896</v>
      </c>
      <c r="V143" s="938">
        <f t="shared" si="117"/>
        <v>1851.5219519999998</v>
      </c>
      <c r="W143" s="938">
        <f t="shared" si="117"/>
        <v>1960.4350079999999</v>
      </c>
      <c r="X143" s="938">
        <f t="shared" si="117"/>
        <v>2069.3480639999998</v>
      </c>
      <c r="Y143" s="938">
        <f t="shared" si="117"/>
        <v>2178.2611199999997</v>
      </c>
      <c r="Z143" s="938">
        <f t="shared" si="117"/>
        <v>2287.174176</v>
      </c>
      <c r="AA143" s="938">
        <f t="shared" si="117"/>
        <v>2396.0872319999999</v>
      </c>
      <c r="AB143" s="938">
        <f t="shared" si="117"/>
        <v>2505.0002879999997</v>
      </c>
      <c r="AC143" s="938">
        <f t="shared" si="117"/>
        <v>2613.9133439999996</v>
      </c>
      <c r="AD143" s="938">
        <f t="shared" si="117"/>
        <v>2722.8263999999999</v>
      </c>
      <c r="AE143" s="938">
        <f t="shared" si="117"/>
        <v>2831.7394559999998</v>
      </c>
      <c r="AF143" s="938">
        <f t="shared" si="117"/>
        <v>2940.6525119999997</v>
      </c>
      <c r="AG143" s="938">
        <f t="shared" si="117"/>
        <v>3049.5655679999995</v>
      </c>
      <c r="AH143" s="938">
        <f t="shared" si="117"/>
        <v>3158.4786239999994</v>
      </c>
      <c r="AI143" s="938">
        <f t="shared" si="117"/>
        <v>3267.3916799999993</v>
      </c>
      <c r="AJ143" s="938">
        <f t="shared" si="117"/>
        <v>3376.304736</v>
      </c>
      <c r="AK143" s="938">
        <f t="shared" si="117"/>
        <v>3485.2177919999999</v>
      </c>
      <c r="AL143" s="938">
        <f t="shared" si="117"/>
        <v>3594.1308479999998</v>
      </c>
      <c r="AM143" s="938">
        <f t="shared" si="117"/>
        <v>3703.0439039999997</v>
      </c>
      <c r="AN143" s="938">
        <f t="shared" ref="AN143:BS143" si="118">((AN$136-$H$4)/1000)*$N$74*(($C$8/70)^$X$74)*IF($C$13=1,$AE$73,IF($C$13=2,$AF$73,IF($C$13=3,$AG$73,1)))</f>
        <v>3811.9569599999995</v>
      </c>
      <c r="AO143" s="938">
        <f t="shared" si="118"/>
        <v>3920.8700159999999</v>
      </c>
      <c r="AP143" s="938">
        <f t="shared" si="118"/>
        <v>4029.7830719999997</v>
      </c>
      <c r="AQ143" s="938">
        <f t="shared" si="118"/>
        <v>4138.6961279999996</v>
      </c>
      <c r="AR143" s="938">
        <f t="shared" si="118"/>
        <v>4247.6091839999999</v>
      </c>
      <c r="AS143" s="938">
        <f t="shared" si="118"/>
        <v>4356.5222399999993</v>
      </c>
      <c r="AT143" s="938">
        <f t="shared" si="118"/>
        <v>4465.4352959999987</v>
      </c>
      <c r="AU143" s="938">
        <f t="shared" si="118"/>
        <v>4574.348352</v>
      </c>
      <c r="AV143" s="938">
        <f t="shared" si="118"/>
        <v>4683.2614079999994</v>
      </c>
      <c r="AW143" s="938">
        <f t="shared" si="118"/>
        <v>4792.1744639999997</v>
      </c>
      <c r="AX143" s="938">
        <f t="shared" si="118"/>
        <v>4901.08752</v>
      </c>
      <c r="AY143" s="938">
        <f t="shared" si="118"/>
        <v>5010.0005759999995</v>
      </c>
      <c r="AZ143" s="938">
        <f t="shared" si="118"/>
        <v>5118.9136319999998</v>
      </c>
      <c r="BA143" s="938">
        <f t="shared" si="118"/>
        <v>5227.8266879999992</v>
      </c>
      <c r="BB143" s="938">
        <f t="shared" si="118"/>
        <v>5336.7397440000004</v>
      </c>
      <c r="BC143" s="938">
        <f t="shared" si="118"/>
        <v>5445.6527999999998</v>
      </c>
      <c r="BD143" s="938">
        <f t="shared" si="118"/>
        <v>5554.5658559999993</v>
      </c>
      <c r="BE143" s="938">
        <f t="shared" si="118"/>
        <v>5663.4789119999996</v>
      </c>
      <c r="BF143" s="938">
        <f t="shared" si="118"/>
        <v>5772.391967999999</v>
      </c>
      <c r="BG143" s="804">
        <f t="shared" si="118"/>
        <v>-762.39139199999988</v>
      </c>
      <c r="BH143" s="804">
        <f t="shared" si="118"/>
        <v>-762.39139199999988</v>
      </c>
      <c r="BI143" s="804">
        <f t="shared" si="118"/>
        <v>-762.39139199999988</v>
      </c>
      <c r="BJ143" s="804">
        <f t="shared" si="118"/>
        <v>-762.39139199999988</v>
      </c>
      <c r="BK143" s="804">
        <f t="shared" si="118"/>
        <v>-762.39139199999988</v>
      </c>
      <c r="BL143" s="804">
        <f t="shared" si="118"/>
        <v>-762.39139199999988</v>
      </c>
      <c r="BM143" s="804">
        <f t="shared" si="118"/>
        <v>-762.39139199999988</v>
      </c>
      <c r="BN143" s="804">
        <f t="shared" si="118"/>
        <v>-762.39139199999988</v>
      </c>
      <c r="BO143" s="804">
        <f t="shared" si="118"/>
        <v>-762.39139199999988</v>
      </c>
      <c r="BP143" s="804">
        <f t="shared" si="118"/>
        <v>-762.39139199999988</v>
      </c>
      <c r="BQ143" s="804">
        <f t="shared" si="118"/>
        <v>-762.39139199999988</v>
      </c>
      <c r="BR143" s="804">
        <f t="shared" si="118"/>
        <v>-762.39139199999988</v>
      </c>
      <c r="BS143" s="804">
        <f t="shared" si="118"/>
        <v>-762.39139199999988</v>
      </c>
      <c r="BT143" s="804">
        <f t="shared" ref="BT143:CY143" si="119">((BT$136-$H$4)/1000)*$N$74*(($C$8/70)^$X$74)*IF($C$13=1,$AE$73,IF($C$13=2,$AF$73,IF($C$13=3,$AG$73,1)))</f>
        <v>-762.39139199999988</v>
      </c>
      <c r="BU143" s="804">
        <f t="shared" si="119"/>
        <v>-762.39139199999988</v>
      </c>
      <c r="BV143" s="804">
        <f t="shared" si="119"/>
        <v>-762.39139199999988</v>
      </c>
      <c r="BW143" s="804">
        <f t="shared" si="119"/>
        <v>-762.39139199999988</v>
      </c>
      <c r="BX143" s="804">
        <f t="shared" si="119"/>
        <v>-762.39139199999988</v>
      </c>
      <c r="BY143" s="804">
        <f t="shared" si="119"/>
        <v>-762.39139199999988</v>
      </c>
      <c r="BZ143" s="804">
        <f t="shared" si="119"/>
        <v>-762.39139199999988</v>
      </c>
      <c r="CA143" s="804">
        <f t="shared" si="119"/>
        <v>-762.39139199999988</v>
      </c>
      <c r="CB143" s="804">
        <f t="shared" si="119"/>
        <v>-762.39139199999988</v>
      </c>
      <c r="CC143" s="804">
        <f t="shared" si="119"/>
        <v>-762.39139199999988</v>
      </c>
      <c r="CD143" s="804">
        <f t="shared" si="119"/>
        <v>-762.39139199999988</v>
      </c>
      <c r="CE143" s="804">
        <f t="shared" si="119"/>
        <v>-762.39139199999988</v>
      </c>
      <c r="CF143" s="804">
        <f t="shared" si="119"/>
        <v>-762.39139199999988</v>
      </c>
      <c r="CG143" s="804">
        <f t="shared" si="119"/>
        <v>-762.39139199999988</v>
      </c>
      <c r="CH143" s="804">
        <f t="shared" si="119"/>
        <v>-762.39139199999988</v>
      </c>
      <c r="CI143" s="804">
        <f t="shared" si="119"/>
        <v>-762.39139199999988</v>
      </c>
      <c r="CJ143" s="804">
        <f t="shared" si="119"/>
        <v>-762.39139199999988</v>
      </c>
      <c r="CK143" s="804">
        <f t="shared" si="119"/>
        <v>-762.39139199999988</v>
      </c>
      <c r="CL143" s="804">
        <f t="shared" si="119"/>
        <v>-762.39139199999988</v>
      </c>
      <c r="CM143" s="804">
        <f t="shared" si="119"/>
        <v>-762.39139199999988</v>
      </c>
      <c r="CN143" s="804">
        <f t="shared" si="119"/>
        <v>-762.39139199999988</v>
      </c>
      <c r="CO143" s="804">
        <f t="shared" si="119"/>
        <v>-762.39139199999988</v>
      </c>
      <c r="CP143" s="804">
        <f t="shared" si="119"/>
        <v>-762.39139199999988</v>
      </c>
      <c r="CQ143" s="804">
        <f t="shared" si="119"/>
        <v>-762.39139199999988</v>
      </c>
      <c r="CR143" s="804">
        <f t="shared" si="119"/>
        <v>-762.39139199999988</v>
      </c>
      <c r="CS143" s="804">
        <f t="shared" si="119"/>
        <v>-762.39139199999988</v>
      </c>
      <c r="CT143" s="804">
        <f t="shared" si="119"/>
        <v>-762.39139199999988</v>
      </c>
      <c r="CU143" s="804">
        <f t="shared" si="119"/>
        <v>-762.39139199999988</v>
      </c>
      <c r="CV143" s="804">
        <f t="shared" si="119"/>
        <v>-762.39139199999988</v>
      </c>
      <c r="CW143" s="804">
        <f t="shared" si="119"/>
        <v>-762.39139199999988</v>
      </c>
      <c r="CX143" s="804">
        <f t="shared" si="119"/>
        <v>-762.39139199999988</v>
      </c>
      <c r="CY143" s="804">
        <f t="shared" si="119"/>
        <v>-762.39139199999988</v>
      </c>
      <c r="CZ143" s="804">
        <f t="shared" ref="CZ143:DF143" si="120">((CZ$136-$H$4)/1000)*$N$74*(($C$8/70)^$X$74)*IF($C$13=1,$AE$73,IF($C$13=2,$AF$73,IF($C$13=3,$AG$73,1)))</f>
        <v>-762.39139199999988</v>
      </c>
      <c r="DA143" s="804">
        <f t="shared" si="120"/>
        <v>-762.39139199999988</v>
      </c>
      <c r="DB143" s="804">
        <f t="shared" si="120"/>
        <v>-762.39139199999988</v>
      </c>
      <c r="DC143" s="804">
        <f t="shared" si="120"/>
        <v>-762.39139199999988</v>
      </c>
      <c r="DD143" s="804">
        <f t="shared" si="120"/>
        <v>-762.39139199999988</v>
      </c>
      <c r="DE143" s="804">
        <f t="shared" si="120"/>
        <v>-762.39139199999988</v>
      </c>
      <c r="DF143" s="804">
        <f t="shared" si="120"/>
        <v>-762.39139199999988</v>
      </c>
    </row>
    <row r="144" spans="1:110" ht="15.75" hidden="1" thickBot="1">
      <c r="B144" s="2712" t="s">
        <v>333</v>
      </c>
      <c r="C144" s="2713"/>
      <c r="D144" s="833"/>
      <c r="E144" s="833"/>
      <c r="F144" s="833"/>
      <c r="G144" s="833"/>
      <c r="H144" s="618">
        <f t="shared" ref="H144:AM144" si="121">((H$136-$H$4)/1000)*$P$74*(($C$8/70)^$Z$74)*IF($C$13=1,$AE$73,IF($C$13=2,$AF$73,IF($C$13=3,$AG$73,1)))</f>
        <v>405.46310399999993</v>
      </c>
      <c r="I144" s="618">
        <f t="shared" si="121"/>
        <v>540.61747199999991</v>
      </c>
      <c r="J144" s="618">
        <f t="shared" si="121"/>
        <v>675.77183999999977</v>
      </c>
      <c r="K144" s="618">
        <f t="shared" si="121"/>
        <v>810.92620799999986</v>
      </c>
      <c r="L144" s="618">
        <f t="shared" si="121"/>
        <v>946.08057599999961</v>
      </c>
      <c r="M144" s="618">
        <f t="shared" si="121"/>
        <v>1081.2349439999998</v>
      </c>
      <c r="N144" s="618">
        <f t="shared" si="121"/>
        <v>1216.3893119999998</v>
      </c>
      <c r="O144" s="618">
        <f t="shared" si="121"/>
        <v>1351.5436799999995</v>
      </c>
      <c r="P144" s="618">
        <f t="shared" si="121"/>
        <v>1486.6980479999997</v>
      </c>
      <c r="Q144" s="618">
        <f t="shared" si="121"/>
        <v>1621.8524159999997</v>
      </c>
      <c r="R144" s="618">
        <f t="shared" si="121"/>
        <v>1757.0067839999995</v>
      </c>
      <c r="S144" s="618">
        <f t="shared" si="121"/>
        <v>1892.1611519999992</v>
      </c>
      <c r="T144" s="618">
        <f t="shared" si="121"/>
        <v>2027.3155199999994</v>
      </c>
      <c r="U144" s="618">
        <f t="shared" si="121"/>
        <v>2162.4698879999996</v>
      </c>
      <c r="V144" s="618">
        <f t="shared" si="121"/>
        <v>2297.6242559999996</v>
      </c>
      <c r="W144" s="618">
        <f t="shared" si="121"/>
        <v>2432.7786239999996</v>
      </c>
      <c r="X144" s="618">
        <f t="shared" si="121"/>
        <v>2567.9329919999991</v>
      </c>
      <c r="Y144" s="618">
        <f t="shared" si="121"/>
        <v>2703.0873599999991</v>
      </c>
      <c r="Z144" s="618">
        <f t="shared" si="121"/>
        <v>2838.2417279999995</v>
      </c>
      <c r="AA144" s="618">
        <f t="shared" si="121"/>
        <v>2973.3960959999995</v>
      </c>
      <c r="AB144" s="618">
        <f t="shared" si="121"/>
        <v>3108.550463999999</v>
      </c>
      <c r="AC144" s="618">
        <f t="shared" si="121"/>
        <v>3243.7048319999994</v>
      </c>
      <c r="AD144" s="618">
        <f t="shared" si="121"/>
        <v>3378.8591999999994</v>
      </c>
      <c r="AE144" s="618">
        <f t="shared" si="121"/>
        <v>3514.0135679999989</v>
      </c>
      <c r="AF144" s="618">
        <f t="shared" si="121"/>
        <v>3649.1679359999989</v>
      </c>
      <c r="AG144" s="618">
        <f t="shared" si="121"/>
        <v>3784.3223039999984</v>
      </c>
      <c r="AH144" s="618">
        <f t="shared" si="121"/>
        <v>3919.4766719999989</v>
      </c>
      <c r="AI144" s="618">
        <f t="shared" si="121"/>
        <v>4054.6310399999988</v>
      </c>
      <c r="AJ144" s="618">
        <f t="shared" si="121"/>
        <v>4189.7854079999988</v>
      </c>
      <c r="AK144" s="618">
        <f t="shared" si="121"/>
        <v>4324.9397759999993</v>
      </c>
      <c r="AL144" s="618">
        <f t="shared" si="121"/>
        <v>4460.0941439999988</v>
      </c>
      <c r="AM144" s="618">
        <f t="shared" si="121"/>
        <v>4595.2485119999992</v>
      </c>
      <c r="AN144" s="618">
        <f t="shared" ref="AN144:BS144" si="122">((AN$136-$H$4)/1000)*$P$74*(($C$8/70)^$Z$74)*IF($C$13=1,$AE$73,IF($C$13=2,$AF$73,IF($C$13=3,$AG$73,1)))</f>
        <v>4730.4028799999987</v>
      </c>
      <c r="AO144" s="618">
        <f t="shared" si="122"/>
        <v>4865.5572479999992</v>
      </c>
      <c r="AP144" s="618">
        <f t="shared" si="122"/>
        <v>5000.7116159999987</v>
      </c>
      <c r="AQ144" s="618">
        <f t="shared" si="122"/>
        <v>5135.8659839999982</v>
      </c>
      <c r="AR144" s="618">
        <f t="shared" si="122"/>
        <v>5271.0203519999986</v>
      </c>
      <c r="AS144" s="618">
        <f t="shared" si="122"/>
        <v>5406.1747199999982</v>
      </c>
      <c r="AT144" s="618">
        <f t="shared" si="122"/>
        <v>5541.3290879999977</v>
      </c>
      <c r="AU144" s="618">
        <f t="shared" si="122"/>
        <v>5676.483455999999</v>
      </c>
      <c r="AV144" s="618">
        <f t="shared" si="122"/>
        <v>5811.6378239999985</v>
      </c>
      <c r="AW144" s="618">
        <f t="shared" si="122"/>
        <v>5946.792191999999</v>
      </c>
      <c r="AX144" s="618">
        <f t="shared" si="122"/>
        <v>6081.9465599999985</v>
      </c>
      <c r="AY144" s="618">
        <f t="shared" si="122"/>
        <v>6217.100927999998</v>
      </c>
      <c r="AZ144" s="618">
        <f t="shared" si="122"/>
        <v>6352.2552959999985</v>
      </c>
      <c r="BA144" s="618">
        <f t="shared" si="122"/>
        <v>6487.4096639999989</v>
      </c>
      <c r="BB144" s="618">
        <f t="shared" si="122"/>
        <v>6622.5640319999993</v>
      </c>
      <c r="BC144" s="618">
        <f t="shared" si="122"/>
        <v>6757.7183999999988</v>
      </c>
      <c r="BD144" s="618">
        <f t="shared" si="122"/>
        <v>6892.8727679999974</v>
      </c>
      <c r="BE144" s="618">
        <f t="shared" si="122"/>
        <v>7028.0271359999979</v>
      </c>
      <c r="BF144" s="618">
        <f t="shared" si="122"/>
        <v>7163.1815039999974</v>
      </c>
      <c r="BG144" s="804">
        <f t="shared" si="122"/>
        <v>-946.08057599999961</v>
      </c>
      <c r="BH144" s="804">
        <f t="shared" si="122"/>
        <v>-946.08057599999961</v>
      </c>
      <c r="BI144" s="804">
        <f t="shared" si="122"/>
        <v>-946.08057599999961</v>
      </c>
      <c r="BJ144" s="804">
        <f t="shared" si="122"/>
        <v>-946.08057599999961</v>
      </c>
      <c r="BK144" s="804">
        <f t="shared" si="122"/>
        <v>-946.08057599999961</v>
      </c>
      <c r="BL144" s="804">
        <f t="shared" si="122"/>
        <v>-946.08057599999961</v>
      </c>
      <c r="BM144" s="804">
        <f t="shared" si="122"/>
        <v>-946.08057599999961</v>
      </c>
      <c r="BN144" s="804">
        <f t="shared" si="122"/>
        <v>-946.08057599999961</v>
      </c>
      <c r="BO144" s="804">
        <f t="shared" si="122"/>
        <v>-946.08057599999961</v>
      </c>
      <c r="BP144" s="804">
        <f t="shared" si="122"/>
        <v>-946.08057599999961</v>
      </c>
      <c r="BQ144" s="804">
        <f t="shared" si="122"/>
        <v>-946.08057599999961</v>
      </c>
      <c r="BR144" s="804">
        <f t="shared" si="122"/>
        <v>-946.08057599999961</v>
      </c>
      <c r="BS144" s="804">
        <f t="shared" si="122"/>
        <v>-946.08057599999961</v>
      </c>
      <c r="BT144" s="804">
        <f t="shared" ref="BT144:CY144" si="123">((BT$136-$H$4)/1000)*$P$74*(($C$8/70)^$Z$74)*IF($C$13=1,$AE$73,IF($C$13=2,$AF$73,IF($C$13=3,$AG$73,1)))</f>
        <v>-946.08057599999961</v>
      </c>
      <c r="BU144" s="804">
        <f t="shared" si="123"/>
        <v>-946.08057599999961</v>
      </c>
      <c r="BV144" s="804">
        <f t="shared" si="123"/>
        <v>-946.08057599999961</v>
      </c>
      <c r="BW144" s="804">
        <f t="shared" si="123"/>
        <v>-946.08057599999961</v>
      </c>
      <c r="BX144" s="804">
        <f t="shared" si="123"/>
        <v>-946.08057599999961</v>
      </c>
      <c r="BY144" s="804">
        <f t="shared" si="123"/>
        <v>-946.08057599999961</v>
      </c>
      <c r="BZ144" s="804">
        <f t="shared" si="123"/>
        <v>-946.08057599999961</v>
      </c>
      <c r="CA144" s="804">
        <f t="shared" si="123"/>
        <v>-946.08057599999961</v>
      </c>
      <c r="CB144" s="804">
        <f t="shared" si="123"/>
        <v>-946.08057599999961</v>
      </c>
      <c r="CC144" s="804">
        <f t="shared" si="123"/>
        <v>-946.08057599999961</v>
      </c>
      <c r="CD144" s="804">
        <f t="shared" si="123"/>
        <v>-946.08057599999961</v>
      </c>
      <c r="CE144" s="804">
        <f t="shared" si="123"/>
        <v>-946.08057599999961</v>
      </c>
      <c r="CF144" s="804">
        <f t="shared" si="123"/>
        <v>-946.08057599999961</v>
      </c>
      <c r="CG144" s="804">
        <f t="shared" si="123"/>
        <v>-946.08057599999961</v>
      </c>
      <c r="CH144" s="804">
        <f t="shared" si="123"/>
        <v>-946.08057599999961</v>
      </c>
      <c r="CI144" s="804">
        <f t="shared" si="123"/>
        <v>-946.08057599999961</v>
      </c>
      <c r="CJ144" s="804">
        <f t="shared" si="123"/>
        <v>-946.08057599999961</v>
      </c>
      <c r="CK144" s="804">
        <f t="shared" si="123"/>
        <v>-946.08057599999961</v>
      </c>
      <c r="CL144" s="804">
        <f t="shared" si="123"/>
        <v>-946.08057599999961</v>
      </c>
      <c r="CM144" s="804">
        <f t="shared" si="123"/>
        <v>-946.08057599999961</v>
      </c>
      <c r="CN144" s="804">
        <f t="shared" si="123"/>
        <v>-946.08057599999961</v>
      </c>
      <c r="CO144" s="804">
        <f t="shared" si="123"/>
        <v>-946.08057599999961</v>
      </c>
      <c r="CP144" s="804">
        <f t="shared" si="123"/>
        <v>-946.08057599999961</v>
      </c>
      <c r="CQ144" s="804">
        <f t="shared" si="123"/>
        <v>-946.08057599999961</v>
      </c>
      <c r="CR144" s="804">
        <f t="shared" si="123"/>
        <v>-946.08057599999961</v>
      </c>
      <c r="CS144" s="804">
        <f t="shared" si="123"/>
        <v>-946.08057599999961</v>
      </c>
      <c r="CT144" s="804">
        <f t="shared" si="123"/>
        <v>-946.08057599999961</v>
      </c>
      <c r="CU144" s="804">
        <f t="shared" si="123"/>
        <v>-946.08057599999961</v>
      </c>
      <c r="CV144" s="804">
        <f t="shared" si="123"/>
        <v>-946.08057599999961</v>
      </c>
      <c r="CW144" s="804">
        <f t="shared" si="123"/>
        <v>-946.08057599999961</v>
      </c>
      <c r="CX144" s="804">
        <f t="shared" si="123"/>
        <v>-946.08057599999961</v>
      </c>
      <c r="CY144" s="804">
        <f t="shared" si="123"/>
        <v>-946.08057599999961</v>
      </c>
      <c r="CZ144" s="804">
        <f t="shared" ref="CZ144:DF144" si="124">((CZ$136-$H$4)/1000)*$P$74*(($C$8/70)^$Z$74)*IF($C$13=1,$AE$73,IF($C$13=2,$AF$73,IF($C$13=3,$AG$73,1)))</f>
        <v>-946.08057599999961</v>
      </c>
      <c r="DA144" s="804">
        <f t="shared" si="124"/>
        <v>-946.08057599999961</v>
      </c>
      <c r="DB144" s="804">
        <f t="shared" si="124"/>
        <v>-946.08057599999961</v>
      </c>
      <c r="DC144" s="804">
        <f t="shared" si="124"/>
        <v>-946.08057599999961</v>
      </c>
      <c r="DD144" s="804">
        <f t="shared" si="124"/>
        <v>-946.08057599999961</v>
      </c>
      <c r="DE144" s="804">
        <f t="shared" si="124"/>
        <v>-946.08057599999961</v>
      </c>
      <c r="DF144" s="804">
        <f t="shared" si="124"/>
        <v>-946.08057599999961</v>
      </c>
    </row>
    <row r="145" spans="2:110" hidden="1">
      <c r="B145" s="2724" t="s">
        <v>334</v>
      </c>
      <c r="C145" s="2725"/>
      <c r="D145" s="831"/>
      <c r="E145" s="831"/>
      <c r="F145" s="831"/>
      <c r="G145" s="831"/>
      <c r="H145" s="804">
        <f t="shared" ref="H145:AM145" si="125">((H$136-$H$4)/1000)*$L$75*(($C$8/70)^$V$75)*IF($C$13=1,$AE$74,IF($C$13=2,$AF$74,IF($C$13=3,$AG$74,1)))</f>
        <v>278.33070169157037</v>
      </c>
      <c r="I145" s="804">
        <f t="shared" si="125"/>
        <v>371.1076022554272</v>
      </c>
      <c r="J145" s="804">
        <f t="shared" si="125"/>
        <v>463.88450281928397</v>
      </c>
      <c r="K145" s="804">
        <f t="shared" si="125"/>
        <v>556.66140338314074</v>
      </c>
      <c r="L145" s="804">
        <f t="shared" si="125"/>
        <v>649.43830394699751</v>
      </c>
      <c r="M145" s="804">
        <f t="shared" si="125"/>
        <v>742.21520451085439</v>
      </c>
      <c r="N145" s="804">
        <f t="shared" si="125"/>
        <v>834.99210507471116</v>
      </c>
      <c r="O145" s="804">
        <f t="shared" si="125"/>
        <v>927.76900563856793</v>
      </c>
      <c r="P145" s="804">
        <f t="shared" si="125"/>
        <v>1020.5459062024248</v>
      </c>
      <c r="Q145" s="804">
        <f t="shared" si="125"/>
        <v>1113.3228067662815</v>
      </c>
      <c r="R145" s="804">
        <f t="shared" si="125"/>
        <v>1206.0997073301385</v>
      </c>
      <c r="S145" s="804">
        <f t="shared" si="125"/>
        <v>1298.876607893995</v>
      </c>
      <c r="T145" s="804">
        <f t="shared" si="125"/>
        <v>1391.653508457852</v>
      </c>
      <c r="U145" s="804">
        <f t="shared" si="125"/>
        <v>1484.4304090217088</v>
      </c>
      <c r="V145" s="804">
        <f t="shared" si="125"/>
        <v>1577.2073095855653</v>
      </c>
      <c r="W145" s="804">
        <f t="shared" si="125"/>
        <v>1669.9842101494223</v>
      </c>
      <c r="X145" s="804">
        <f t="shared" si="125"/>
        <v>1762.7611107132789</v>
      </c>
      <c r="Y145" s="804">
        <f t="shared" si="125"/>
        <v>1855.5380112771359</v>
      </c>
      <c r="Z145" s="804">
        <f t="shared" si="125"/>
        <v>1948.3149118409929</v>
      </c>
      <c r="AA145" s="804">
        <f t="shared" si="125"/>
        <v>2041.0918124048496</v>
      </c>
      <c r="AB145" s="804">
        <f t="shared" si="125"/>
        <v>2133.8687129687059</v>
      </c>
      <c r="AC145" s="804">
        <f t="shared" si="125"/>
        <v>2226.6456135325629</v>
      </c>
      <c r="AD145" s="804">
        <f t="shared" si="125"/>
        <v>2319.4225140964199</v>
      </c>
      <c r="AE145" s="804">
        <f t="shared" si="125"/>
        <v>2412.1994146602769</v>
      </c>
      <c r="AF145" s="804">
        <f t="shared" si="125"/>
        <v>2504.9763152241335</v>
      </c>
      <c r="AG145" s="804">
        <f t="shared" si="125"/>
        <v>2597.75321578799</v>
      </c>
      <c r="AH145" s="804">
        <f t="shared" si="125"/>
        <v>2690.5301163518466</v>
      </c>
      <c r="AI145" s="804">
        <f t="shared" si="125"/>
        <v>2783.307016915704</v>
      </c>
      <c r="AJ145" s="804">
        <f t="shared" si="125"/>
        <v>2876.0839174795606</v>
      </c>
      <c r="AK145" s="804">
        <f t="shared" si="125"/>
        <v>2968.8608180434176</v>
      </c>
      <c r="AL145" s="804">
        <f t="shared" si="125"/>
        <v>3061.6377186072741</v>
      </c>
      <c r="AM145" s="804">
        <f t="shared" si="125"/>
        <v>3154.4146191711307</v>
      </c>
      <c r="AN145" s="804">
        <f t="shared" ref="AN145:BS145" si="126">((AN$136-$H$4)/1000)*$L$75*(($C$8/70)^$V$75)*IF($C$13=1,$AE$74,IF($C$13=2,$AF$74,IF($C$13=3,$AG$74,1)))</f>
        <v>3247.1915197349877</v>
      </c>
      <c r="AO145" s="804">
        <f t="shared" si="126"/>
        <v>3339.9684202988446</v>
      </c>
      <c r="AP145" s="804">
        <f t="shared" si="126"/>
        <v>3432.7453208627016</v>
      </c>
      <c r="AQ145" s="804">
        <f t="shared" si="126"/>
        <v>3525.5222214265577</v>
      </c>
      <c r="AR145" s="804">
        <f t="shared" si="126"/>
        <v>3618.2991219904152</v>
      </c>
      <c r="AS145" s="804">
        <f t="shared" si="126"/>
        <v>3711.0760225542717</v>
      </c>
      <c r="AT145" s="804">
        <f t="shared" si="126"/>
        <v>3803.8529231181283</v>
      </c>
      <c r="AU145" s="804">
        <f t="shared" si="126"/>
        <v>3896.6298236819857</v>
      </c>
      <c r="AV145" s="804">
        <f t="shared" si="126"/>
        <v>3989.4067242458418</v>
      </c>
      <c r="AW145" s="804">
        <f t="shared" si="126"/>
        <v>4082.1836248096993</v>
      </c>
      <c r="AX145" s="804">
        <f t="shared" si="126"/>
        <v>4174.9605253735563</v>
      </c>
      <c r="AY145" s="804">
        <f t="shared" si="126"/>
        <v>4267.7374259374119</v>
      </c>
      <c r="AZ145" s="804">
        <f t="shared" si="126"/>
        <v>4360.5143265012694</v>
      </c>
      <c r="BA145" s="804">
        <f t="shared" si="126"/>
        <v>4453.2912270651259</v>
      </c>
      <c r="BB145" s="804">
        <f t="shared" si="126"/>
        <v>4546.0681276289833</v>
      </c>
      <c r="BC145" s="804">
        <f t="shared" si="126"/>
        <v>4638.8450281928399</v>
      </c>
      <c r="BD145" s="804">
        <f t="shared" si="126"/>
        <v>4731.6219287566964</v>
      </c>
      <c r="BE145" s="804">
        <f t="shared" si="126"/>
        <v>4824.3988293205539</v>
      </c>
      <c r="BF145" s="804">
        <f t="shared" si="126"/>
        <v>4917.1757298844095</v>
      </c>
      <c r="BG145" s="804">
        <f t="shared" si="126"/>
        <v>-649.43830394699751</v>
      </c>
      <c r="BH145" s="804">
        <f t="shared" si="126"/>
        <v>-649.43830394699751</v>
      </c>
      <c r="BI145" s="804">
        <f t="shared" si="126"/>
        <v>-649.43830394699751</v>
      </c>
      <c r="BJ145" s="804">
        <f t="shared" si="126"/>
        <v>-649.43830394699751</v>
      </c>
      <c r="BK145" s="804">
        <f t="shared" si="126"/>
        <v>-649.43830394699751</v>
      </c>
      <c r="BL145" s="804">
        <f t="shared" si="126"/>
        <v>-649.43830394699751</v>
      </c>
      <c r="BM145" s="804">
        <f t="shared" si="126"/>
        <v>-649.43830394699751</v>
      </c>
      <c r="BN145" s="804">
        <f t="shared" si="126"/>
        <v>-649.43830394699751</v>
      </c>
      <c r="BO145" s="804">
        <f t="shared" si="126"/>
        <v>-649.43830394699751</v>
      </c>
      <c r="BP145" s="804">
        <f t="shared" si="126"/>
        <v>-649.43830394699751</v>
      </c>
      <c r="BQ145" s="804">
        <f t="shared" si="126"/>
        <v>-649.43830394699751</v>
      </c>
      <c r="BR145" s="804">
        <f t="shared" si="126"/>
        <v>-649.43830394699751</v>
      </c>
      <c r="BS145" s="804">
        <f t="shared" si="126"/>
        <v>-649.43830394699751</v>
      </c>
      <c r="BT145" s="804">
        <f t="shared" ref="BT145:CY145" si="127">((BT$136-$H$4)/1000)*$L$75*(($C$8/70)^$V$75)*IF($C$13=1,$AE$74,IF($C$13=2,$AF$74,IF($C$13=3,$AG$74,1)))</f>
        <v>-649.43830394699751</v>
      </c>
      <c r="BU145" s="804">
        <f t="shared" si="127"/>
        <v>-649.43830394699751</v>
      </c>
      <c r="BV145" s="804">
        <f t="shared" si="127"/>
        <v>-649.43830394699751</v>
      </c>
      <c r="BW145" s="804">
        <f t="shared" si="127"/>
        <v>-649.43830394699751</v>
      </c>
      <c r="BX145" s="804">
        <f t="shared" si="127"/>
        <v>-649.43830394699751</v>
      </c>
      <c r="BY145" s="804">
        <f t="shared" si="127"/>
        <v>-649.43830394699751</v>
      </c>
      <c r="BZ145" s="804">
        <f t="shared" si="127"/>
        <v>-649.43830394699751</v>
      </c>
      <c r="CA145" s="804">
        <f t="shared" si="127"/>
        <v>-649.43830394699751</v>
      </c>
      <c r="CB145" s="804">
        <f t="shared" si="127"/>
        <v>-649.43830394699751</v>
      </c>
      <c r="CC145" s="804">
        <f t="shared" si="127"/>
        <v>-649.43830394699751</v>
      </c>
      <c r="CD145" s="804">
        <f t="shared" si="127"/>
        <v>-649.43830394699751</v>
      </c>
      <c r="CE145" s="804">
        <f t="shared" si="127"/>
        <v>-649.43830394699751</v>
      </c>
      <c r="CF145" s="804">
        <f t="shared" si="127"/>
        <v>-649.43830394699751</v>
      </c>
      <c r="CG145" s="804">
        <f t="shared" si="127"/>
        <v>-649.43830394699751</v>
      </c>
      <c r="CH145" s="804">
        <f t="shared" si="127"/>
        <v>-649.43830394699751</v>
      </c>
      <c r="CI145" s="804">
        <f t="shared" si="127"/>
        <v>-649.43830394699751</v>
      </c>
      <c r="CJ145" s="804">
        <f t="shared" si="127"/>
        <v>-649.43830394699751</v>
      </c>
      <c r="CK145" s="804">
        <f t="shared" si="127"/>
        <v>-649.43830394699751</v>
      </c>
      <c r="CL145" s="804">
        <f t="shared" si="127"/>
        <v>-649.43830394699751</v>
      </c>
      <c r="CM145" s="804">
        <f t="shared" si="127"/>
        <v>-649.43830394699751</v>
      </c>
      <c r="CN145" s="804">
        <f t="shared" si="127"/>
        <v>-649.43830394699751</v>
      </c>
      <c r="CO145" s="804">
        <f t="shared" si="127"/>
        <v>-649.43830394699751</v>
      </c>
      <c r="CP145" s="804">
        <f t="shared" si="127"/>
        <v>-649.43830394699751</v>
      </c>
      <c r="CQ145" s="804">
        <f t="shared" si="127"/>
        <v>-649.43830394699751</v>
      </c>
      <c r="CR145" s="804">
        <f t="shared" si="127"/>
        <v>-649.43830394699751</v>
      </c>
      <c r="CS145" s="804">
        <f t="shared" si="127"/>
        <v>-649.43830394699751</v>
      </c>
      <c r="CT145" s="804">
        <f t="shared" si="127"/>
        <v>-649.43830394699751</v>
      </c>
      <c r="CU145" s="804">
        <f t="shared" si="127"/>
        <v>-649.43830394699751</v>
      </c>
      <c r="CV145" s="804">
        <f t="shared" si="127"/>
        <v>-649.43830394699751</v>
      </c>
      <c r="CW145" s="804">
        <f t="shared" si="127"/>
        <v>-649.43830394699751</v>
      </c>
      <c r="CX145" s="804">
        <f t="shared" si="127"/>
        <v>-649.43830394699751</v>
      </c>
      <c r="CY145" s="804">
        <f t="shared" si="127"/>
        <v>-649.43830394699751</v>
      </c>
      <c r="CZ145" s="804">
        <f t="shared" ref="CZ145:DF145" si="128">((CZ$136-$H$4)/1000)*$L$75*(($C$8/70)^$V$75)*IF($C$13=1,$AE$74,IF($C$13=2,$AF$74,IF($C$13=3,$AG$74,1)))</f>
        <v>-649.43830394699751</v>
      </c>
      <c r="DA145" s="804">
        <f t="shared" si="128"/>
        <v>-649.43830394699751</v>
      </c>
      <c r="DB145" s="804">
        <f t="shared" si="128"/>
        <v>-649.43830394699751</v>
      </c>
      <c r="DC145" s="804">
        <f t="shared" si="128"/>
        <v>-649.43830394699751</v>
      </c>
      <c r="DD145" s="804">
        <f t="shared" si="128"/>
        <v>-649.43830394699751</v>
      </c>
      <c r="DE145" s="804">
        <f t="shared" si="128"/>
        <v>-649.43830394699751</v>
      </c>
      <c r="DF145" s="804">
        <f t="shared" si="128"/>
        <v>-649.43830394699751</v>
      </c>
    </row>
    <row r="146" spans="2:110" hidden="1">
      <c r="B146" s="2726" t="s">
        <v>335</v>
      </c>
      <c r="C146" s="2727"/>
      <c r="D146" s="832"/>
      <c r="E146" s="832"/>
      <c r="F146" s="832"/>
      <c r="G146" s="832"/>
      <c r="H146" s="651">
        <f t="shared" ref="H146:AM146" si="129">((H$136-$H$4)/1000)*$M$75*(($C$8/70)^$W$75)*IF($C$13=1,$AE$74,IF($C$13=2,$AF$74,IF($C$13=3,$AG$74,1)))</f>
        <v>292.88637</v>
      </c>
      <c r="I146" s="651">
        <f t="shared" si="129"/>
        <v>390.51515999999998</v>
      </c>
      <c r="J146" s="651">
        <f t="shared" si="129"/>
        <v>488.14394999999996</v>
      </c>
      <c r="K146" s="651">
        <f t="shared" si="129"/>
        <v>585.77274</v>
      </c>
      <c r="L146" s="651">
        <f t="shared" si="129"/>
        <v>683.40152999999987</v>
      </c>
      <c r="M146" s="651">
        <f t="shared" si="129"/>
        <v>781.03031999999996</v>
      </c>
      <c r="N146" s="651">
        <f t="shared" si="129"/>
        <v>878.65910999999994</v>
      </c>
      <c r="O146" s="651">
        <f t="shared" si="129"/>
        <v>976.28789999999992</v>
      </c>
      <c r="P146" s="651">
        <f t="shared" si="129"/>
        <v>1073.91669</v>
      </c>
      <c r="Q146" s="651">
        <f t="shared" si="129"/>
        <v>1171.54548</v>
      </c>
      <c r="R146" s="651">
        <f t="shared" si="129"/>
        <v>1269.17427</v>
      </c>
      <c r="S146" s="651">
        <f t="shared" si="129"/>
        <v>1366.8030599999997</v>
      </c>
      <c r="T146" s="651">
        <f t="shared" si="129"/>
        <v>1464.4318499999999</v>
      </c>
      <c r="U146" s="651">
        <f t="shared" si="129"/>
        <v>1562.0606399999999</v>
      </c>
      <c r="V146" s="651">
        <f t="shared" si="129"/>
        <v>1659.6894299999999</v>
      </c>
      <c r="W146" s="651">
        <f t="shared" si="129"/>
        <v>1757.3182199999999</v>
      </c>
      <c r="X146" s="651">
        <f t="shared" si="129"/>
        <v>1854.9470099999999</v>
      </c>
      <c r="Y146" s="651">
        <f t="shared" si="129"/>
        <v>1952.5757999999998</v>
      </c>
      <c r="Z146" s="651">
        <f t="shared" si="129"/>
        <v>2050.2045899999998</v>
      </c>
      <c r="AA146" s="651">
        <f t="shared" si="129"/>
        <v>2147.83338</v>
      </c>
      <c r="AB146" s="651">
        <f t="shared" si="129"/>
        <v>2245.4621699999998</v>
      </c>
      <c r="AC146" s="651">
        <f t="shared" si="129"/>
        <v>2343.09096</v>
      </c>
      <c r="AD146" s="651">
        <f t="shared" si="129"/>
        <v>2440.7197499999997</v>
      </c>
      <c r="AE146" s="651">
        <f t="shared" si="129"/>
        <v>2538.34854</v>
      </c>
      <c r="AF146" s="651">
        <f t="shared" si="129"/>
        <v>2635.9773300000002</v>
      </c>
      <c r="AG146" s="651">
        <f t="shared" si="129"/>
        <v>2733.6061199999995</v>
      </c>
      <c r="AH146" s="651">
        <f t="shared" si="129"/>
        <v>2831.2349100000001</v>
      </c>
      <c r="AI146" s="651">
        <f t="shared" si="129"/>
        <v>2928.8636999999999</v>
      </c>
      <c r="AJ146" s="651">
        <f t="shared" si="129"/>
        <v>3026.4924900000001</v>
      </c>
      <c r="AK146" s="651">
        <f t="shared" si="129"/>
        <v>3124.1212799999998</v>
      </c>
      <c r="AL146" s="651">
        <f t="shared" si="129"/>
        <v>3221.7500700000001</v>
      </c>
      <c r="AM146" s="651">
        <f t="shared" si="129"/>
        <v>3319.3788599999998</v>
      </c>
      <c r="AN146" s="651">
        <f t="shared" ref="AN146:BS146" si="130">((AN$136-$H$4)/1000)*$M$75*(($C$8/70)^$W$75)*IF($C$13=1,$AE$74,IF($C$13=2,$AF$74,IF($C$13=3,$AG$74,1)))</f>
        <v>3417.00765</v>
      </c>
      <c r="AO146" s="651">
        <f t="shared" si="130"/>
        <v>3514.6364399999998</v>
      </c>
      <c r="AP146" s="651">
        <f t="shared" si="130"/>
        <v>3612.26523</v>
      </c>
      <c r="AQ146" s="651">
        <f t="shared" si="130"/>
        <v>3709.8940199999997</v>
      </c>
      <c r="AR146" s="651">
        <f t="shared" si="130"/>
        <v>3807.5228099999999</v>
      </c>
      <c r="AS146" s="651">
        <f t="shared" si="130"/>
        <v>3905.1515999999997</v>
      </c>
      <c r="AT146" s="651">
        <f t="shared" si="130"/>
        <v>4002.7803899999994</v>
      </c>
      <c r="AU146" s="651">
        <f t="shared" si="130"/>
        <v>4100.4091799999997</v>
      </c>
      <c r="AV146" s="651">
        <f t="shared" si="130"/>
        <v>4198.0379699999994</v>
      </c>
      <c r="AW146" s="651">
        <f t="shared" si="130"/>
        <v>4295.6667600000001</v>
      </c>
      <c r="AX146" s="651">
        <f t="shared" si="130"/>
        <v>4393.2955499999998</v>
      </c>
      <c r="AY146" s="651">
        <f t="shared" si="130"/>
        <v>4490.9243399999996</v>
      </c>
      <c r="AZ146" s="651">
        <f t="shared" si="130"/>
        <v>4588.5531299999993</v>
      </c>
      <c r="BA146" s="651">
        <f t="shared" si="130"/>
        <v>4686.18192</v>
      </c>
      <c r="BB146" s="651">
        <f t="shared" si="130"/>
        <v>4783.8107099999997</v>
      </c>
      <c r="BC146" s="651">
        <f t="shared" si="130"/>
        <v>4881.4394999999995</v>
      </c>
      <c r="BD146" s="651">
        <f t="shared" si="130"/>
        <v>4979.0682899999993</v>
      </c>
      <c r="BE146" s="651">
        <f t="shared" si="130"/>
        <v>5076.6970799999999</v>
      </c>
      <c r="BF146" s="651">
        <f t="shared" si="130"/>
        <v>5174.3258699999997</v>
      </c>
      <c r="BG146" s="804">
        <f t="shared" si="130"/>
        <v>-683.40152999999987</v>
      </c>
      <c r="BH146" s="804">
        <f t="shared" si="130"/>
        <v>-683.40152999999987</v>
      </c>
      <c r="BI146" s="804">
        <f t="shared" si="130"/>
        <v>-683.40152999999987</v>
      </c>
      <c r="BJ146" s="804">
        <f t="shared" si="130"/>
        <v>-683.40152999999987</v>
      </c>
      <c r="BK146" s="804">
        <f t="shared" si="130"/>
        <v>-683.40152999999987</v>
      </c>
      <c r="BL146" s="804">
        <f t="shared" si="130"/>
        <v>-683.40152999999987</v>
      </c>
      <c r="BM146" s="804">
        <f t="shared" si="130"/>
        <v>-683.40152999999987</v>
      </c>
      <c r="BN146" s="804">
        <f t="shared" si="130"/>
        <v>-683.40152999999987</v>
      </c>
      <c r="BO146" s="804">
        <f t="shared" si="130"/>
        <v>-683.40152999999987</v>
      </c>
      <c r="BP146" s="804">
        <f t="shared" si="130"/>
        <v>-683.40152999999987</v>
      </c>
      <c r="BQ146" s="804">
        <f t="shared" si="130"/>
        <v>-683.40152999999987</v>
      </c>
      <c r="BR146" s="804">
        <f t="shared" si="130"/>
        <v>-683.40152999999987</v>
      </c>
      <c r="BS146" s="804">
        <f t="shared" si="130"/>
        <v>-683.40152999999987</v>
      </c>
      <c r="BT146" s="804">
        <f t="shared" ref="BT146:CY146" si="131">((BT$136-$H$4)/1000)*$M$75*(($C$8/70)^$W$75)*IF($C$13=1,$AE$74,IF($C$13=2,$AF$74,IF($C$13=3,$AG$74,1)))</f>
        <v>-683.40152999999987</v>
      </c>
      <c r="BU146" s="804">
        <f t="shared" si="131"/>
        <v>-683.40152999999987</v>
      </c>
      <c r="BV146" s="804">
        <f t="shared" si="131"/>
        <v>-683.40152999999987</v>
      </c>
      <c r="BW146" s="804">
        <f t="shared" si="131"/>
        <v>-683.40152999999987</v>
      </c>
      <c r="BX146" s="804">
        <f t="shared" si="131"/>
        <v>-683.40152999999987</v>
      </c>
      <c r="BY146" s="804">
        <f t="shared" si="131"/>
        <v>-683.40152999999987</v>
      </c>
      <c r="BZ146" s="804">
        <f t="shared" si="131"/>
        <v>-683.40152999999987</v>
      </c>
      <c r="CA146" s="804">
        <f t="shared" si="131"/>
        <v>-683.40152999999987</v>
      </c>
      <c r="CB146" s="804">
        <f t="shared" si="131"/>
        <v>-683.40152999999987</v>
      </c>
      <c r="CC146" s="804">
        <f t="shared" si="131"/>
        <v>-683.40152999999987</v>
      </c>
      <c r="CD146" s="804">
        <f t="shared" si="131"/>
        <v>-683.40152999999987</v>
      </c>
      <c r="CE146" s="804">
        <f t="shared" si="131"/>
        <v>-683.40152999999987</v>
      </c>
      <c r="CF146" s="804">
        <f t="shared" si="131"/>
        <v>-683.40152999999987</v>
      </c>
      <c r="CG146" s="804">
        <f t="shared" si="131"/>
        <v>-683.40152999999987</v>
      </c>
      <c r="CH146" s="804">
        <f t="shared" si="131"/>
        <v>-683.40152999999987</v>
      </c>
      <c r="CI146" s="804">
        <f t="shared" si="131"/>
        <v>-683.40152999999987</v>
      </c>
      <c r="CJ146" s="804">
        <f t="shared" si="131"/>
        <v>-683.40152999999987</v>
      </c>
      <c r="CK146" s="804">
        <f t="shared" si="131"/>
        <v>-683.40152999999987</v>
      </c>
      <c r="CL146" s="804">
        <f t="shared" si="131"/>
        <v>-683.40152999999987</v>
      </c>
      <c r="CM146" s="804">
        <f t="shared" si="131"/>
        <v>-683.40152999999987</v>
      </c>
      <c r="CN146" s="804">
        <f t="shared" si="131"/>
        <v>-683.40152999999987</v>
      </c>
      <c r="CO146" s="804">
        <f t="shared" si="131"/>
        <v>-683.40152999999987</v>
      </c>
      <c r="CP146" s="804">
        <f t="shared" si="131"/>
        <v>-683.40152999999987</v>
      </c>
      <c r="CQ146" s="804">
        <f t="shared" si="131"/>
        <v>-683.40152999999987</v>
      </c>
      <c r="CR146" s="804">
        <f t="shared" si="131"/>
        <v>-683.40152999999987</v>
      </c>
      <c r="CS146" s="804">
        <f t="shared" si="131"/>
        <v>-683.40152999999987</v>
      </c>
      <c r="CT146" s="804">
        <f t="shared" si="131"/>
        <v>-683.40152999999987</v>
      </c>
      <c r="CU146" s="804">
        <f t="shared" si="131"/>
        <v>-683.40152999999987</v>
      </c>
      <c r="CV146" s="804">
        <f t="shared" si="131"/>
        <v>-683.40152999999987</v>
      </c>
      <c r="CW146" s="804">
        <f t="shared" si="131"/>
        <v>-683.40152999999987</v>
      </c>
      <c r="CX146" s="804">
        <f t="shared" si="131"/>
        <v>-683.40152999999987</v>
      </c>
      <c r="CY146" s="804">
        <f t="shared" si="131"/>
        <v>-683.40152999999987</v>
      </c>
      <c r="CZ146" s="804">
        <f t="shared" ref="CZ146:DF146" si="132">((CZ$136-$H$4)/1000)*$M$75*(($C$8/70)^$W$75)*IF($C$13=1,$AE$74,IF($C$13=2,$AF$74,IF($C$13=3,$AG$74,1)))</f>
        <v>-683.40152999999987</v>
      </c>
      <c r="DA146" s="804">
        <f t="shared" si="132"/>
        <v>-683.40152999999987</v>
      </c>
      <c r="DB146" s="804">
        <f t="shared" si="132"/>
        <v>-683.40152999999987</v>
      </c>
      <c r="DC146" s="804">
        <f t="shared" si="132"/>
        <v>-683.40152999999987</v>
      </c>
      <c r="DD146" s="804">
        <f t="shared" si="132"/>
        <v>-683.40152999999987</v>
      </c>
      <c r="DE146" s="804">
        <f t="shared" si="132"/>
        <v>-683.40152999999987</v>
      </c>
      <c r="DF146" s="804">
        <f t="shared" si="132"/>
        <v>-683.40152999999987</v>
      </c>
    </row>
    <row r="147" spans="2:110" hidden="1">
      <c r="B147" s="2726" t="s">
        <v>336</v>
      </c>
      <c r="C147" s="2727"/>
      <c r="D147" s="832"/>
      <c r="E147" s="832"/>
      <c r="F147" s="832"/>
      <c r="G147" s="832"/>
      <c r="H147" s="651">
        <f t="shared" ref="H147:AM147" si="133">((H$136-$H$4)/1000)*$N$75*(($C$8/70)^$X$75)*IF($C$13=1,$AE$74,IF($C$13=2,$AF$74,IF($C$13=3,$AG$74,1)))</f>
        <v>323.81225999999998</v>
      </c>
      <c r="I147" s="651">
        <f t="shared" si="133"/>
        <v>431.74968000000001</v>
      </c>
      <c r="J147" s="651">
        <f t="shared" si="133"/>
        <v>539.68709999999999</v>
      </c>
      <c r="K147" s="651">
        <f t="shared" si="133"/>
        <v>647.62451999999996</v>
      </c>
      <c r="L147" s="651">
        <f t="shared" si="133"/>
        <v>755.56193999999982</v>
      </c>
      <c r="M147" s="651">
        <f t="shared" si="133"/>
        <v>863.49936000000002</v>
      </c>
      <c r="N147" s="651">
        <f t="shared" si="133"/>
        <v>971.43677999999989</v>
      </c>
      <c r="O147" s="651">
        <f t="shared" si="133"/>
        <v>1079.3742</v>
      </c>
      <c r="P147" s="651">
        <f t="shared" si="133"/>
        <v>1187.3116199999999</v>
      </c>
      <c r="Q147" s="651">
        <f t="shared" si="133"/>
        <v>1295.2490399999999</v>
      </c>
      <c r="R147" s="651">
        <f t="shared" si="133"/>
        <v>1403.1864599999999</v>
      </c>
      <c r="S147" s="651">
        <f t="shared" si="133"/>
        <v>1511.1238799999996</v>
      </c>
      <c r="T147" s="651">
        <f t="shared" si="133"/>
        <v>1619.0612999999998</v>
      </c>
      <c r="U147" s="651">
        <f t="shared" si="133"/>
        <v>1726.99872</v>
      </c>
      <c r="V147" s="651">
        <f t="shared" si="133"/>
        <v>1834.9361399999998</v>
      </c>
      <c r="W147" s="651">
        <f t="shared" si="133"/>
        <v>1942.8735599999998</v>
      </c>
      <c r="X147" s="651">
        <f t="shared" si="133"/>
        <v>2050.8109799999997</v>
      </c>
      <c r="Y147" s="651">
        <f t="shared" si="133"/>
        <v>2158.7483999999999</v>
      </c>
      <c r="Z147" s="651">
        <f t="shared" si="133"/>
        <v>2266.6858199999997</v>
      </c>
      <c r="AA147" s="651">
        <f t="shared" si="133"/>
        <v>2374.6232399999999</v>
      </c>
      <c r="AB147" s="651">
        <f t="shared" si="133"/>
        <v>2482.5606599999996</v>
      </c>
      <c r="AC147" s="651">
        <f t="shared" si="133"/>
        <v>2590.4980799999998</v>
      </c>
      <c r="AD147" s="651">
        <f t="shared" si="133"/>
        <v>2698.4355</v>
      </c>
      <c r="AE147" s="651">
        <f t="shared" si="133"/>
        <v>2806.3729199999998</v>
      </c>
      <c r="AF147" s="651">
        <f t="shared" si="133"/>
        <v>2914.31034</v>
      </c>
      <c r="AG147" s="651">
        <f t="shared" si="133"/>
        <v>3022.2477599999993</v>
      </c>
      <c r="AH147" s="651">
        <f t="shared" si="133"/>
        <v>3130.1851799999995</v>
      </c>
      <c r="AI147" s="651">
        <f t="shared" si="133"/>
        <v>3238.1225999999997</v>
      </c>
      <c r="AJ147" s="651">
        <f t="shared" si="133"/>
        <v>3346.0600199999999</v>
      </c>
      <c r="AK147" s="651">
        <f t="shared" si="133"/>
        <v>3453.9974400000001</v>
      </c>
      <c r="AL147" s="651">
        <f t="shared" si="133"/>
        <v>3561.9348599999994</v>
      </c>
      <c r="AM147" s="651">
        <f t="shared" si="133"/>
        <v>3669.8722799999996</v>
      </c>
      <c r="AN147" s="651">
        <f t="shared" ref="AN147:BS147" si="134">((AN$136-$H$4)/1000)*$N$75*(($C$8/70)^$X$75)*IF($C$13=1,$AE$74,IF($C$13=2,$AF$74,IF($C$13=3,$AG$74,1)))</f>
        <v>3777.8096999999998</v>
      </c>
      <c r="AO147" s="651">
        <f t="shared" si="134"/>
        <v>3885.7471199999995</v>
      </c>
      <c r="AP147" s="651">
        <f t="shared" si="134"/>
        <v>3993.6845399999997</v>
      </c>
      <c r="AQ147" s="651">
        <f t="shared" si="134"/>
        <v>4101.6219599999995</v>
      </c>
      <c r="AR147" s="651">
        <f t="shared" si="134"/>
        <v>4209.5593799999997</v>
      </c>
      <c r="AS147" s="651">
        <f t="shared" si="134"/>
        <v>4317.4967999999999</v>
      </c>
      <c r="AT147" s="651">
        <f t="shared" si="134"/>
        <v>4425.4342199999992</v>
      </c>
      <c r="AU147" s="651">
        <f t="shared" si="134"/>
        <v>4533.3716399999994</v>
      </c>
      <c r="AV147" s="651">
        <f t="shared" si="134"/>
        <v>4641.3090599999996</v>
      </c>
      <c r="AW147" s="651">
        <f t="shared" si="134"/>
        <v>4749.2464799999998</v>
      </c>
      <c r="AX147" s="651">
        <f t="shared" si="134"/>
        <v>4857.1839</v>
      </c>
      <c r="AY147" s="651">
        <f t="shared" si="134"/>
        <v>4965.1213199999993</v>
      </c>
      <c r="AZ147" s="651">
        <f t="shared" si="134"/>
        <v>5073.0587399999995</v>
      </c>
      <c r="BA147" s="651">
        <f t="shared" si="134"/>
        <v>5180.9961599999997</v>
      </c>
      <c r="BB147" s="651">
        <f t="shared" si="134"/>
        <v>5288.9335799999999</v>
      </c>
      <c r="BC147" s="651">
        <f t="shared" si="134"/>
        <v>5396.8710000000001</v>
      </c>
      <c r="BD147" s="651">
        <f t="shared" si="134"/>
        <v>5504.8084199999985</v>
      </c>
      <c r="BE147" s="651">
        <f t="shared" si="134"/>
        <v>5612.7458399999996</v>
      </c>
      <c r="BF147" s="651">
        <f t="shared" si="134"/>
        <v>5720.6832599999998</v>
      </c>
      <c r="BG147" s="804">
        <f t="shared" si="134"/>
        <v>-755.56193999999982</v>
      </c>
      <c r="BH147" s="804">
        <f t="shared" si="134"/>
        <v>-755.56193999999982</v>
      </c>
      <c r="BI147" s="804">
        <f t="shared" si="134"/>
        <v>-755.56193999999982</v>
      </c>
      <c r="BJ147" s="804">
        <f t="shared" si="134"/>
        <v>-755.56193999999982</v>
      </c>
      <c r="BK147" s="804">
        <f t="shared" si="134"/>
        <v>-755.56193999999982</v>
      </c>
      <c r="BL147" s="804">
        <f t="shared" si="134"/>
        <v>-755.56193999999982</v>
      </c>
      <c r="BM147" s="804">
        <f t="shared" si="134"/>
        <v>-755.56193999999982</v>
      </c>
      <c r="BN147" s="804">
        <f t="shared" si="134"/>
        <v>-755.56193999999982</v>
      </c>
      <c r="BO147" s="804">
        <f t="shared" si="134"/>
        <v>-755.56193999999982</v>
      </c>
      <c r="BP147" s="804">
        <f t="shared" si="134"/>
        <v>-755.56193999999982</v>
      </c>
      <c r="BQ147" s="804">
        <f t="shared" si="134"/>
        <v>-755.56193999999982</v>
      </c>
      <c r="BR147" s="804">
        <f t="shared" si="134"/>
        <v>-755.56193999999982</v>
      </c>
      <c r="BS147" s="804">
        <f t="shared" si="134"/>
        <v>-755.56193999999982</v>
      </c>
      <c r="BT147" s="804">
        <f t="shared" ref="BT147:CY147" si="135">((BT$136-$H$4)/1000)*$N$75*(($C$8/70)^$X$75)*IF($C$13=1,$AE$74,IF($C$13=2,$AF$74,IF($C$13=3,$AG$74,1)))</f>
        <v>-755.56193999999982</v>
      </c>
      <c r="BU147" s="804">
        <f t="shared" si="135"/>
        <v>-755.56193999999982</v>
      </c>
      <c r="BV147" s="804">
        <f t="shared" si="135"/>
        <v>-755.56193999999982</v>
      </c>
      <c r="BW147" s="804">
        <f t="shared" si="135"/>
        <v>-755.56193999999982</v>
      </c>
      <c r="BX147" s="804">
        <f t="shared" si="135"/>
        <v>-755.56193999999982</v>
      </c>
      <c r="BY147" s="804">
        <f t="shared" si="135"/>
        <v>-755.56193999999982</v>
      </c>
      <c r="BZ147" s="804">
        <f t="shared" si="135"/>
        <v>-755.56193999999982</v>
      </c>
      <c r="CA147" s="804">
        <f t="shared" si="135"/>
        <v>-755.56193999999982</v>
      </c>
      <c r="CB147" s="804">
        <f t="shared" si="135"/>
        <v>-755.56193999999982</v>
      </c>
      <c r="CC147" s="804">
        <f t="shared" si="135"/>
        <v>-755.56193999999982</v>
      </c>
      <c r="CD147" s="804">
        <f t="shared" si="135"/>
        <v>-755.56193999999982</v>
      </c>
      <c r="CE147" s="804">
        <f t="shared" si="135"/>
        <v>-755.56193999999982</v>
      </c>
      <c r="CF147" s="804">
        <f t="shared" si="135"/>
        <v>-755.56193999999982</v>
      </c>
      <c r="CG147" s="804">
        <f t="shared" si="135"/>
        <v>-755.56193999999982</v>
      </c>
      <c r="CH147" s="804">
        <f t="shared" si="135"/>
        <v>-755.56193999999982</v>
      </c>
      <c r="CI147" s="804">
        <f t="shared" si="135"/>
        <v>-755.56193999999982</v>
      </c>
      <c r="CJ147" s="804">
        <f t="shared" si="135"/>
        <v>-755.56193999999982</v>
      </c>
      <c r="CK147" s="804">
        <f t="shared" si="135"/>
        <v>-755.56193999999982</v>
      </c>
      <c r="CL147" s="804">
        <f t="shared" si="135"/>
        <v>-755.56193999999982</v>
      </c>
      <c r="CM147" s="804">
        <f t="shared" si="135"/>
        <v>-755.56193999999982</v>
      </c>
      <c r="CN147" s="804">
        <f t="shared" si="135"/>
        <v>-755.56193999999982</v>
      </c>
      <c r="CO147" s="804">
        <f t="shared" si="135"/>
        <v>-755.56193999999982</v>
      </c>
      <c r="CP147" s="804">
        <f t="shared" si="135"/>
        <v>-755.56193999999982</v>
      </c>
      <c r="CQ147" s="804">
        <f t="shared" si="135"/>
        <v>-755.56193999999982</v>
      </c>
      <c r="CR147" s="804">
        <f t="shared" si="135"/>
        <v>-755.56193999999982</v>
      </c>
      <c r="CS147" s="804">
        <f t="shared" si="135"/>
        <v>-755.56193999999982</v>
      </c>
      <c r="CT147" s="804">
        <f t="shared" si="135"/>
        <v>-755.56193999999982</v>
      </c>
      <c r="CU147" s="804">
        <f t="shared" si="135"/>
        <v>-755.56193999999982</v>
      </c>
      <c r="CV147" s="804">
        <f t="shared" si="135"/>
        <v>-755.56193999999982</v>
      </c>
      <c r="CW147" s="804">
        <f t="shared" si="135"/>
        <v>-755.56193999999982</v>
      </c>
      <c r="CX147" s="804">
        <f t="shared" si="135"/>
        <v>-755.56193999999982</v>
      </c>
      <c r="CY147" s="804">
        <f t="shared" si="135"/>
        <v>-755.56193999999982</v>
      </c>
      <c r="CZ147" s="804">
        <f t="shared" ref="CZ147:DF147" si="136">((CZ$136-$H$4)/1000)*$N$75*(($C$8/70)^$X$75)*IF($C$13=1,$AE$74,IF($C$13=2,$AF$74,IF($C$13=3,$AG$74,1)))</f>
        <v>-755.56193999999982</v>
      </c>
      <c r="DA147" s="804">
        <f t="shared" si="136"/>
        <v>-755.56193999999982</v>
      </c>
      <c r="DB147" s="804">
        <f t="shared" si="136"/>
        <v>-755.56193999999982</v>
      </c>
      <c r="DC147" s="804">
        <f t="shared" si="136"/>
        <v>-755.56193999999982</v>
      </c>
      <c r="DD147" s="804">
        <f t="shared" si="136"/>
        <v>-755.56193999999982</v>
      </c>
      <c r="DE147" s="804">
        <f t="shared" si="136"/>
        <v>-755.56193999999982</v>
      </c>
      <c r="DF147" s="804">
        <f t="shared" si="136"/>
        <v>-755.56193999999982</v>
      </c>
    </row>
    <row r="148" spans="2:110" ht="15.75" hidden="1" thickBot="1">
      <c r="B148" s="2712" t="s">
        <v>337</v>
      </c>
      <c r="C148" s="2713"/>
      <c r="D148" s="833"/>
      <c r="E148" s="833"/>
      <c r="F148" s="833"/>
      <c r="G148" s="833"/>
      <c r="H148" s="618">
        <f t="shared" ref="H148:AM148" si="137">((H$136-$H$4)/1000)*$P$75*(($C$8/70)^$Z$75)*IF($C$13=1,$AE$74,IF($C$13=2,$AF$74,IF($C$13=3,$AG$74,1)))</f>
        <v>520.47841216323661</v>
      </c>
      <c r="I148" s="618">
        <f t="shared" si="137"/>
        <v>693.97121621764893</v>
      </c>
      <c r="J148" s="618">
        <f t="shared" si="137"/>
        <v>867.46402027206102</v>
      </c>
      <c r="K148" s="618">
        <f t="shared" si="137"/>
        <v>1040.9568243264732</v>
      </c>
      <c r="L148" s="618">
        <f t="shared" si="137"/>
        <v>1214.4496283808853</v>
      </c>
      <c r="M148" s="618">
        <f t="shared" si="137"/>
        <v>1387.9424324352979</v>
      </c>
      <c r="N148" s="618">
        <f t="shared" si="137"/>
        <v>1561.4352364897097</v>
      </c>
      <c r="O148" s="618">
        <f t="shared" si="137"/>
        <v>1734.928040544122</v>
      </c>
      <c r="P148" s="618">
        <f t="shared" si="137"/>
        <v>1908.4208445985344</v>
      </c>
      <c r="Q148" s="618">
        <f t="shared" si="137"/>
        <v>2081.9136486529464</v>
      </c>
      <c r="R148" s="618">
        <f t="shared" si="137"/>
        <v>2255.4064527073588</v>
      </c>
      <c r="S148" s="618">
        <f t="shared" si="137"/>
        <v>2428.8992567617706</v>
      </c>
      <c r="T148" s="618">
        <f t="shared" si="137"/>
        <v>2602.3920608161829</v>
      </c>
      <c r="U148" s="618">
        <f t="shared" si="137"/>
        <v>2775.8848648705957</v>
      </c>
      <c r="V148" s="618">
        <f t="shared" si="137"/>
        <v>2949.3776689250076</v>
      </c>
      <c r="W148" s="618">
        <f t="shared" si="137"/>
        <v>3122.8704729794194</v>
      </c>
      <c r="X148" s="618">
        <f t="shared" si="137"/>
        <v>3296.3632770338313</v>
      </c>
      <c r="Y148" s="618">
        <f t="shared" si="137"/>
        <v>3469.8560810882441</v>
      </c>
      <c r="Z148" s="618">
        <f t="shared" si="137"/>
        <v>3643.3488851426564</v>
      </c>
      <c r="AA148" s="618">
        <f t="shared" si="137"/>
        <v>3816.8416891970687</v>
      </c>
      <c r="AB148" s="618">
        <f t="shared" si="137"/>
        <v>3990.3344932514806</v>
      </c>
      <c r="AC148" s="618">
        <f t="shared" si="137"/>
        <v>4163.8272973058929</v>
      </c>
      <c r="AD148" s="618">
        <f t="shared" si="137"/>
        <v>4337.3201013603048</v>
      </c>
      <c r="AE148" s="618">
        <f t="shared" si="137"/>
        <v>4510.8129054147175</v>
      </c>
      <c r="AF148" s="618">
        <f t="shared" si="137"/>
        <v>4684.3057094691294</v>
      </c>
      <c r="AG148" s="618">
        <f t="shared" si="137"/>
        <v>4857.7985135235413</v>
      </c>
      <c r="AH148" s="618">
        <f t="shared" si="137"/>
        <v>5031.2913175779531</v>
      </c>
      <c r="AI148" s="618">
        <f t="shared" si="137"/>
        <v>5204.7841216323659</v>
      </c>
      <c r="AJ148" s="618">
        <f t="shared" si="137"/>
        <v>5378.2769256867787</v>
      </c>
      <c r="AK148" s="618">
        <f t="shared" si="137"/>
        <v>5551.7697297411914</v>
      </c>
      <c r="AL148" s="618">
        <f t="shared" si="137"/>
        <v>5725.2625337956024</v>
      </c>
      <c r="AM148" s="618">
        <f t="shared" si="137"/>
        <v>5898.7553378500152</v>
      </c>
      <c r="AN148" s="618">
        <f t="shared" ref="AN148:BS148" si="138">((AN$136-$H$4)/1000)*$P$75*(($C$8/70)^$Z$75)*IF($C$13=1,$AE$74,IF($C$13=2,$AF$74,IF($C$13=3,$AG$74,1)))</f>
        <v>6072.2481419044261</v>
      </c>
      <c r="AO148" s="618">
        <f t="shared" si="138"/>
        <v>6245.7409459588389</v>
      </c>
      <c r="AP148" s="618">
        <f t="shared" si="138"/>
        <v>6419.2337500132517</v>
      </c>
      <c r="AQ148" s="618">
        <f t="shared" si="138"/>
        <v>6592.7265540676626</v>
      </c>
      <c r="AR148" s="618">
        <f t="shared" si="138"/>
        <v>6766.2193581220754</v>
      </c>
      <c r="AS148" s="618">
        <f t="shared" si="138"/>
        <v>6939.7121621764882</v>
      </c>
      <c r="AT148" s="618">
        <f t="shared" si="138"/>
        <v>7113.2049662308991</v>
      </c>
      <c r="AU148" s="618">
        <f t="shared" si="138"/>
        <v>7286.6977702853128</v>
      </c>
      <c r="AV148" s="618">
        <f t="shared" si="138"/>
        <v>7460.1905743397247</v>
      </c>
      <c r="AW148" s="618">
        <f t="shared" si="138"/>
        <v>7633.6833783941374</v>
      </c>
      <c r="AX148" s="618">
        <f t="shared" si="138"/>
        <v>7807.1761824485493</v>
      </c>
      <c r="AY148" s="618">
        <f t="shared" si="138"/>
        <v>7980.6689865029612</v>
      </c>
      <c r="AZ148" s="618">
        <f t="shared" si="138"/>
        <v>8154.1617905573739</v>
      </c>
      <c r="BA148" s="618">
        <f t="shared" si="138"/>
        <v>8327.6545946117858</v>
      </c>
      <c r="BB148" s="618">
        <f t="shared" si="138"/>
        <v>8501.1473986661986</v>
      </c>
      <c r="BC148" s="618">
        <f t="shared" si="138"/>
        <v>8674.6402027206095</v>
      </c>
      <c r="BD148" s="618">
        <f t="shared" si="138"/>
        <v>8848.1330067750223</v>
      </c>
      <c r="BE148" s="618">
        <f t="shared" si="138"/>
        <v>9021.6258108294351</v>
      </c>
      <c r="BF148" s="618">
        <f t="shared" si="138"/>
        <v>9195.118614883846</v>
      </c>
      <c r="BG148" s="804">
        <f t="shared" si="138"/>
        <v>-1214.4496283808853</v>
      </c>
      <c r="BH148" s="804">
        <f t="shared" si="138"/>
        <v>-1214.4496283808853</v>
      </c>
      <c r="BI148" s="804">
        <f t="shared" si="138"/>
        <v>-1214.4496283808853</v>
      </c>
      <c r="BJ148" s="804">
        <f t="shared" si="138"/>
        <v>-1214.4496283808853</v>
      </c>
      <c r="BK148" s="804">
        <f t="shared" si="138"/>
        <v>-1214.4496283808853</v>
      </c>
      <c r="BL148" s="804">
        <f t="shared" si="138"/>
        <v>-1214.4496283808853</v>
      </c>
      <c r="BM148" s="804">
        <f t="shared" si="138"/>
        <v>-1214.4496283808853</v>
      </c>
      <c r="BN148" s="804">
        <f t="shared" si="138"/>
        <v>-1214.4496283808853</v>
      </c>
      <c r="BO148" s="804">
        <f t="shared" si="138"/>
        <v>-1214.4496283808853</v>
      </c>
      <c r="BP148" s="804">
        <f t="shared" si="138"/>
        <v>-1214.4496283808853</v>
      </c>
      <c r="BQ148" s="804">
        <f t="shared" si="138"/>
        <v>-1214.4496283808853</v>
      </c>
      <c r="BR148" s="804">
        <f t="shared" si="138"/>
        <v>-1214.4496283808853</v>
      </c>
      <c r="BS148" s="804">
        <f t="shared" si="138"/>
        <v>-1214.4496283808853</v>
      </c>
      <c r="BT148" s="804">
        <f t="shared" ref="BT148:CY148" si="139">((BT$136-$H$4)/1000)*$P$75*(($C$8/70)^$Z$75)*IF($C$13=1,$AE$74,IF($C$13=2,$AF$74,IF($C$13=3,$AG$74,1)))</f>
        <v>-1214.4496283808853</v>
      </c>
      <c r="BU148" s="804">
        <f t="shared" si="139"/>
        <v>-1214.4496283808853</v>
      </c>
      <c r="BV148" s="804">
        <f t="shared" si="139"/>
        <v>-1214.4496283808853</v>
      </c>
      <c r="BW148" s="804">
        <f t="shared" si="139"/>
        <v>-1214.4496283808853</v>
      </c>
      <c r="BX148" s="804">
        <f t="shared" si="139"/>
        <v>-1214.4496283808853</v>
      </c>
      <c r="BY148" s="804">
        <f t="shared" si="139"/>
        <v>-1214.4496283808853</v>
      </c>
      <c r="BZ148" s="804">
        <f t="shared" si="139"/>
        <v>-1214.4496283808853</v>
      </c>
      <c r="CA148" s="804">
        <f t="shared" si="139"/>
        <v>-1214.4496283808853</v>
      </c>
      <c r="CB148" s="804">
        <f t="shared" si="139"/>
        <v>-1214.4496283808853</v>
      </c>
      <c r="CC148" s="804">
        <f t="shared" si="139"/>
        <v>-1214.4496283808853</v>
      </c>
      <c r="CD148" s="804">
        <f t="shared" si="139"/>
        <v>-1214.4496283808853</v>
      </c>
      <c r="CE148" s="804">
        <f t="shared" si="139"/>
        <v>-1214.4496283808853</v>
      </c>
      <c r="CF148" s="804">
        <f t="shared" si="139"/>
        <v>-1214.4496283808853</v>
      </c>
      <c r="CG148" s="804">
        <f t="shared" si="139"/>
        <v>-1214.4496283808853</v>
      </c>
      <c r="CH148" s="804">
        <f t="shared" si="139"/>
        <v>-1214.4496283808853</v>
      </c>
      <c r="CI148" s="804">
        <f t="shared" si="139"/>
        <v>-1214.4496283808853</v>
      </c>
      <c r="CJ148" s="804">
        <f t="shared" si="139"/>
        <v>-1214.4496283808853</v>
      </c>
      <c r="CK148" s="804">
        <f t="shared" si="139"/>
        <v>-1214.4496283808853</v>
      </c>
      <c r="CL148" s="804">
        <f t="shared" si="139"/>
        <v>-1214.4496283808853</v>
      </c>
      <c r="CM148" s="804">
        <f t="shared" si="139"/>
        <v>-1214.4496283808853</v>
      </c>
      <c r="CN148" s="804">
        <f t="shared" si="139"/>
        <v>-1214.4496283808853</v>
      </c>
      <c r="CO148" s="804">
        <f t="shared" si="139"/>
        <v>-1214.4496283808853</v>
      </c>
      <c r="CP148" s="804">
        <f t="shared" si="139"/>
        <v>-1214.4496283808853</v>
      </c>
      <c r="CQ148" s="804">
        <f t="shared" si="139"/>
        <v>-1214.4496283808853</v>
      </c>
      <c r="CR148" s="804">
        <f t="shared" si="139"/>
        <v>-1214.4496283808853</v>
      </c>
      <c r="CS148" s="804">
        <f t="shared" si="139"/>
        <v>-1214.4496283808853</v>
      </c>
      <c r="CT148" s="804">
        <f t="shared" si="139"/>
        <v>-1214.4496283808853</v>
      </c>
      <c r="CU148" s="804">
        <f t="shared" si="139"/>
        <v>-1214.4496283808853</v>
      </c>
      <c r="CV148" s="804">
        <f t="shared" si="139"/>
        <v>-1214.4496283808853</v>
      </c>
      <c r="CW148" s="804">
        <f t="shared" si="139"/>
        <v>-1214.4496283808853</v>
      </c>
      <c r="CX148" s="804">
        <f t="shared" si="139"/>
        <v>-1214.4496283808853</v>
      </c>
      <c r="CY148" s="804">
        <f t="shared" si="139"/>
        <v>-1214.4496283808853</v>
      </c>
      <c r="CZ148" s="804">
        <f t="shared" ref="CZ148:DF148" si="140">((CZ$136-$H$4)/1000)*$P$75*(($C$8/70)^$Z$75)*IF($C$13=1,$AE$74,IF($C$13=2,$AF$74,IF($C$13=3,$AG$74,1)))</f>
        <v>-1214.4496283808853</v>
      </c>
      <c r="DA148" s="804">
        <f t="shared" si="140"/>
        <v>-1214.4496283808853</v>
      </c>
      <c r="DB148" s="804">
        <f t="shared" si="140"/>
        <v>-1214.4496283808853</v>
      </c>
      <c r="DC148" s="804">
        <f t="shared" si="140"/>
        <v>-1214.4496283808853</v>
      </c>
      <c r="DD148" s="804">
        <f t="shared" si="140"/>
        <v>-1214.4496283808853</v>
      </c>
      <c r="DE148" s="804">
        <f t="shared" si="140"/>
        <v>-1214.4496283808853</v>
      </c>
      <c r="DF148" s="804">
        <f t="shared" si="140"/>
        <v>-1214.4496283808853</v>
      </c>
    </row>
    <row r="149" spans="2:110" hidden="1">
      <c r="B149" s="2724" t="s">
        <v>338</v>
      </c>
      <c r="C149" s="2725"/>
      <c r="D149" s="831"/>
      <c r="E149" s="831"/>
      <c r="F149" s="831"/>
      <c r="G149" s="831"/>
      <c r="H149" s="804">
        <f t="shared" ref="H149:AM149" si="141">((H$136-$H$4)/1000)*$K$76*(($C$8/70)^$U$76)*IF($C$13=1,$AE$76,IF($C$13=2,$AF$76,IF($C$13=3,$AG$76,1)))</f>
        <v>209.56985999999995</v>
      </c>
      <c r="I149" s="804">
        <f t="shared" si="141"/>
        <v>279.42647999999991</v>
      </c>
      <c r="J149" s="804">
        <f t="shared" si="141"/>
        <v>349.28309999999993</v>
      </c>
      <c r="K149" s="804">
        <f t="shared" si="141"/>
        <v>419.1397199999999</v>
      </c>
      <c r="L149" s="804">
        <f t="shared" si="141"/>
        <v>488.99633999999986</v>
      </c>
      <c r="M149" s="804">
        <f t="shared" si="141"/>
        <v>558.85295999999983</v>
      </c>
      <c r="N149" s="804">
        <f t="shared" si="141"/>
        <v>628.70957999999985</v>
      </c>
      <c r="O149" s="804">
        <f t="shared" si="141"/>
        <v>698.56619999999987</v>
      </c>
      <c r="P149" s="804">
        <f t="shared" si="141"/>
        <v>768.42281999999989</v>
      </c>
      <c r="Q149" s="804">
        <f t="shared" si="141"/>
        <v>838.27943999999979</v>
      </c>
      <c r="R149" s="804">
        <f t="shared" si="141"/>
        <v>908.13605999999982</v>
      </c>
      <c r="S149" s="804">
        <f t="shared" si="141"/>
        <v>977.99267999999972</v>
      </c>
      <c r="T149" s="804">
        <f t="shared" si="141"/>
        <v>1047.8492999999999</v>
      </c>
      <c r="U149" s="804">
        <f t="shared" si="141"/>
        <v>1117.7059199999997</v>
      </c>
      <c r="V149" s="804">
        <f t="shared" si="141"/>
        <v>1187.5625399999999</v>
      </c>
      <c r="W149" s="804">
        <f t="shared" si="141"/>
        <v>1257.4191599999997</v>
      </c>
      <c r="X149" s="804">
        <f t="shared" si="141"/>
        <v>1327.2757799999995</v>
      </c>
      <c r="Y149" s="804">
        <f t="shared" si="141"/>
        <v>1397.1323999999997</v>
      </c>
      <c r="Z149" s="804">
        <f t="shared" si="141"/>
        <v>1466.9890199999998</v>
      </c>
      <c r="AA149" s="804">
        <f t="shared" si="141"/>
        <v>1536.8456399999998</v>
      </c>
      <c r="AB149" s="804">
        <f t="shared" si="141"/>
        <v>1606.7022599999996</v>
      </c>
      <c r="AC149" s="804">
        <f t="shared" si="141"/>
        <v>1676.5588799999996</v>
      </c>
      <c r="AD149" s="804">
        <f t="shared" si="141"/>
        <v>1746.4154999999996</v>
      </c>
      <c r="AE149" s="804">
        <f t="shared" si="141"/>
        <v>1816.2721199999996</v>
      </c>
      <c r="AF149" s="804">
        <f t="shared" si="141"/>
        <v>1886.1287399999999</v>
      </c>
      <c r="AG149" s="804">
        <f t="shared" si="141"/>
        <v>1955.9853599999994</v>
      </c>
      <c r="AH149" s="804">
        <f t="shared" si="141"/>
        <v>2025.8419799999992</v>
      </c>
      <c r="AI149" s="804">
        <f t="shared" si="141"/>
        <v>2095.6985999999997</v>
      </c>
      <c r="AJ149" s="804">
        <f t="shared" si="141"/>
        <v>2165.5552199999997</v>
      </c>
      <c r="AK149" s="804">
        <f t="shared" si="141"/>
        <v>2235.4118399999993</v>
      </c>
      <c r="AL149" s="804">
        <f t="shared" si="141"/>
        <v>2305.2684599999993</v>
      </c>
      <c r="AM149" s="804">
        <f t="shared" si="141"/>
        <v>2375.1250799999998</v>
      </c>
      <c r="AN149" s="804">
        <f t="shared" ref="AN149:BS149" si="142">((AN$136-$H$4)/1000)*$K$76*(($C$8/70)^$U$76)*IF($C$13=1,$AE$76,IF($C$13=2,$AF$76,IF($C$13=3,$AG$76,1)))</f>
        <v>2444.9816999999994</v>
      </c>
      <c r="AO149" s="804">
        <f t="shared" si="142"/>
        <v>2514.8383199999994</v>
      </c>
      <c r="AP149" s="804">
        <f t="shared" si="142"/>
        <v>2584.6949399999999</v>
      </c>
      <c r="AQ149" s="804">
        <f t="shared" si="142"/>
        <v>2654.551559999999</v>
      </c>
      <c r="AR149" s="804">
        <f t="shared" si="142"/>
        <v>2724.4081799999994</v>
      </c>
      <c r="AS149" s="804">
        <f t="shared" si="142"/>
        <v>2794.2647999999995</v>
      </c>
      <c r="AT149" s="804">
        <f t="shared" si="142"/>
        <v>2864.1214199999995</v>
      </c>
      <c r="AU149" s="804">
        <f t="shared" si="142"/>
        <v>2933.9780399999995</v>
      </c>
      <c r="AV149" s="804">
        <f t="shared" si="142"/>
        <v>3003.8346599999991</v>
      </c>
      <c r="AW149" s="804">
        <f t="shared" si="142"/>
        <v>3073.6912799999996</v>
      </c>
      <c r="AX149" s="804">
        <f t="shared" si="142"/>
        <v>3143.5478999999991</v>
      </c>
      <c r="AY149" s="804">
        <f t="shared" si="142"/>
        <v>3213.4045199999991</v>
      </c>
      <c r="AZ149" s="804">
        <f t="shared" si="142"/>
        <v>3283.2611399999996</v>
      </c>
      <c r="BA149" s="804">
        <f t="shared" si="142"/>
        <v>3353.1177599999992</v>
      </c>
      <c r="BB149" s="804">
        <f t="shared" si="142"/>
        <v>3422.9743799999997</v>
      </c>
      <c r="BC149" s="804">
        <f t="shared" si="142"/>
        <v>3492.8309999999992</v>
      </c>
      <c r="BD149" s="804">
        <f t="shared" si="142"/>
        <v>3562.6876199999992</v>
      </c>
      <c r="BE149" s="804">
        <f t="shared" si="142"/>
        <v>3632.5442399999993</v>
      </c>
      <c r="BF149" s="804">
        <f t="shared" si="142"/>
        <v>3702.4008599999993</v>
      </c>
      <c r="BG149" s="804">
        <f t="shared" si="142"/>
        <v>-488.99633999999986</v>
      </c>
      <c r="BH149" s="804">
        <f t="shared" si="142"/>
        <v>-488.99633999999986</v>
      </c>
      <c r="BI149" s="804">
        <f t="shared" si="142"/>
        <v>-488.99633999999986</v>
      </c>
      <c r="BJ149" s="804">
        <f t="shared" si="142"/>
        <v>-488.99633999999986</v>
      </c>
      <c r="BK149" s="804">
        <f t="shared" si="142"/>
        <v>-488.99633999999986</v>
      </c>
      <c r="BL149" s="804">
        <f t="shared" si="142"/>
        <v>-488.99633999999986</v>
      </c>
      <c r="BM149" s="804">
        <f t="shared" si="142"/>
        <v>-488.99633999999986</v>
      </c>
      <c r="BN149" s="804">
        <f t="shared" si="142"/>
        <v>-488.99633999999986</v>
      </c>
      <c r="BO149" s="804">
        <f t="shared" si="142"/>
        <v>-488.99633999999986</v>
      </c>
      <c r="BP149" s="804">
        <f t="shared" si="142"/>
        <v>-488.99633999999986</v>
      </c>
      <c r="BQ149" s="804">
        <f t="shared" si="142"/>
        <v>-488.99633999999986</v>
      </c>
      <c r="BR149" s="804">
        <f t="shared" si="142"/>
        <v>-488.99633999999986</v>
      </c>
      <c r="BS149" s="804">
        <f t="shared" si="142"/>
        <v>-488.99633999999986</v>
      </c>
      <c r="BT149" s="804">
        <f t="shared" ref="BT149:CY149" si="143">((BT$136-$H$4)/1000)*$K$76*(($C$8/70)^$U$76)*IF($C$13=1,$AE$76,IF($C$13=2,$AF$76,IF($C$13=3,$AG$76,1)))</f>
        <v>-488.99633999999986</v>
      </c>
      <c r="BU149" s="804">
        <f t="shared" si="143"/>
        <v>-488.99633999999986</v>
      </c>
      <c r="BV149" s="804">
        <f t="shared" si="143"/>
        <v>-488.99633999999986</v>
      </c>
      <c r="BW149" s="804">
        <f t="shared" si="143"/>
        <v>-488.99633999999986</v>
      </c>
      <c r="BX149" s="804">
        <f t="shared" si="143"/>
        <v>-488.99633999999986</v>
      </c>
      <c r="BY149" s="804">
        <f t="shared" si="143"/>
        <v>-488.99633999999986</v>
      </c>
      <c r="BZ149" s="804">
        <f t="shared" si="143"/>
        <v>-488.99633999999986</v>
      </c>
      <c r="CA149" s="804">
        <f t="shared" si="143"/>
        <v>-488.99633999999986</v>
      </c>
      <c r="CB149" s="804">
        <f t="shared" si="143"/>
        <v>-488.99633999999986</v>
      </c>
      <c r="CC149" s="804">
        <f t="shared" si="143"/>
        <v>-488.99633999999986</v>
      </c>
      <c r="CD149" s="804">
        <f t="shared" si="143"/>
        <v>-488.99633999999986</v>
      </c>
      <c r="CE149" s="804">
        <f t="shared" si="143"/>
        <v>-488.99633999999986</v>
      </c>
      <c r="CF149" s="804">
        <f t="shared" si="143"/>
        <v>-488.99633999999986</v>
      </c>
      <c r="CG149" s="804">
        <f t="shared" si="143"/>
        <v>-488.99633999999986</v>
      </c>
      <c r="CH149" s="804">
        <f t="shared" si="143"/>
        <v>-488.99633999999986</v>
      </c>
      <c r="CI149" s="804">
        <f t="shared" si="143"/>
        <v>-488.99633999999986</v>
      </c>
      <c r="CJ149" s="804">
        <f t="shared" si="143"/>
        <v>-488.99633999999986</v>
      </c>
      <c r="CK149" s="804">
        <f t="shared" si="143"/>
        <v>-488.99633999999986</v>
      </c>
      <c r="CL149" s="804">
        <f t="shared" si="143"/>
        <v>-488.99633999999986</v>
      </c>
      <c r="CM149" s="804">
        <f t="shared" si="143"/>
        <v>-488.99633999999986</v>
      </c>
      <c r="CN149" s="804">
        <f t="shared" si="143"/>
        <v>-488.99633999999986</v>
      </c>
      <c r="CO149" s="804">
        <f t="shared" si="143"/>
        <v>-488.99633999999986</v>
      </c>
      <c r="CP149" s="804">
        <f t="shared" si="143"/>
        <v>-488.99633999999986</v>
      </c>
      <c r="CQ149" s="804">
        <f t="shared" si="143"/>
        <v>-488.99633999999986</v>
      </c>
      <c r="CR149" s="804">
        <f t="shared" si="143"/>
        <v>-488.99633999999986</v>
      </c>
      <c r="CS149" s="804">
        <f t="shared" si="143"/>
        <v>-488.99633999999986</v>
      </c>
      <c r="CT149" s="804">
        <f t="shared" si="143"/>
        <v>-488.99633999999986</v>
      </c>
      <c r="CU149" s="804">
        <f t="shared" si="143"/>
        <v>-488.99633999999986</v>
      </c>
      <c r="CV149" s="804">
        <f t="shared" si="143"/>
        <v>-488.99633999999986</v>
      </c>
      <c r="CW149" s="804">
        <f t="shared" si="143"/>
        <v>-488.99633999999986</v>
      </c>
      <c r="CX149" s="804">
        <f t="shared" si="143"/>
        <v>-488.99633999999986</v>
      </c>
      <c r="CY149" s="804">
        <f t="shared" si="143"/>
        <v>-488.99633999999986</v>
      </c>
      <c r="CZ149" s="804">
        <f t="shared" ref="CZ149:DF149" si="144">((CZ$136-$H$4)/1000)*$K$76*(($C$8/70)^$U$76)*IF($C$13=1,$AE$76,IF($C$13=2,$AF$76,IF($C$13=3,$AG$76,1)))</f>
        <v>-488.99633999999986</v>
      </c>
      <c r="DA149" s="804">
        <f t="shared" si="144"/>
        <v>-488.99633999999986</v>
      </c>
      <c r="DB149" s="804">
        <f t="shared" si="144"/>
        <v>-488.99633999999986</v>
      </c>
      <c r="DC149" s="804">
        <f t="shared" si="144"/>
        <v>-488.99633999999986</v>
      </c>
      <c r="DD149" s="804">
        <f t="shared" si="144"/>
        <v>-488.99633999999986</v>
      </c>
      <c r="DE149" s="804">
        <f t="shared" si="144"/>
        <v>-488.99633999999986</v>
      </c>
      <c r="DF149" s="804">
        <f t="shared" si="144"/>
        <v>-488.99633999999986</v>
      </c>
    </row>
    <row r="150" spans="2:110" hidden="1">
      <c r="B150" s="2726" t="s">
        <v>339</v>
      </c>
      <c r="C150" s="2727"/>
      <c r="D150" s="832"/>
      <c r="E150" s="832"/>
      <c r="F150" s="832"/>
      <c r="G150" s="832"/>
      <c r="H150" s="651">
        <f t="shared" ref="H150:AM150" si="145">((H$136-$H$4)/1000)*$L$76*(($C$8/70)^$V$76)*IF($C$13=1,$AE$77,IF($C$13=2,$AF$77,IF($C$13=3,$AG$77,1)))</f>
        <v>247.95914400000001</v>
      </c>
      <c r="I150" s="651">
        <f t="shared" si="145"/>
        <v>330.61219200000005</v>
      </c>
      <c r="J150" s="651">
        <f t="shared" si="145"/>
        <v>413.26524000000001</v>
      </c>
      <c r="K150" s="651">
        <f t="shared" si="145"/>
        <v>495.91828800000002</v>
      </c>
      <c r="L150" s="651">
        <f t="shared" si="145"/>
        <v>578.57133599999997</v>
      </c>
      <c r="M150" s="651">
        <f t="shared" si="145"/>
        <v>661.2243840000001</v>
      </c>
      <c r="N150" s="651">
        <f t="shared" si="145"/>
        <v>743.87743200000011</v>
      </c>
      <c r="O150" s="651">
        <f t="shared" si="145"/>
        <v>826.53048000000001</v>
      </c>
      <c r="P150" s="651">
        <f t="shared" si="145"/>
        <v>909.18352800000014</v>
      </c>
      <c r="Q150" s="651">
        <f t="shared" si="145"/>
        <v>991.83657600000004</v>
      </c>
      <c r="R150" s="651">
        <f t="shared" si="145"/>
        <v>1074.4896240000003</v>
      </c>
      <c r="S150" s="651">
        <f t="shared" si="145"/>
        <v>1157.1426719999999</v>
      </c>
      <c r="T150" s="651">
        <f t="shared" si="145"/>
        <v>1239.7957200000001</v>
      </c>
      <c r="U150" s="651">
        <f t="shared" si="145"/>
        <v>1322.4487680000002</v>
      </c>
      <c r="V150" s="651">
        <f t="shared" si="145"/>
        <v>1405.1018160000001</v>
      </c>
      <c r="W150" s="651">
        <f t="shared" si="145"/>
        <v>1487.7548640000002</v>
      </c>
      <c r="X150" s="651">
        <f t="shared" si="145"/>
        <v>1570.4079119999999</v>
      </c>
      <c r="Y150" s="651">
        <f t="shared" si="145"/>
        <v>1653.06096</v>
      </c>
      <c r="Z150" s="651">
        <f t="shared" si="145"/>
        <v>1735.7140080000001</v>
      </c>
      <c r="AA150" s="651">
        <f t="shared" si="145"/>
        <v>1818.3670560000003</v>
      </c>
      <c r="AB150" s="651">
        <f t="shared" si="145"/>
        <v>1901.0201040000002</v>
      </c>
      <c r="AC150" s="651">
        <f t="shared" si="145"/>
        <v>1983.6731520000001</v>
      </c>
      <c r="AD150" s="651">
        <f t="shared" si="145"/>
        <v>2066.3262000000004</v>
      </c>
      <c r="AE150" s="651">
        <f t="shared" si="145"/>
        <v>2148.9792480000006</v>
      </c>
      <c r="AF150" s="651">
        <f t="shared" si="145"/>
        <v>2231.6322960000002</v>
      </c>
      <c r="AG150" s="651">
        <f t="shared" si="145"/>
        <v>2314.2853439999999</v>
      </c>
      <c r="AH150" s="651">
        <f t="shared" si="145"/>
        <v>2396.938392</v>
      </c>
      <c r="AI150" s="651">
        <f t="shared" si="145"/>
        <v>2479.5914400000001</v>
      </c>
      <c r="AJ150" s="651">
        <f t="shared" si="145"/>
        <v>2562.2444880000003</v>
      </c>
      <c r="AK150" s="651">
        <f t="shared" si="145"/>
        <v>2644.8975360000004</v>
      </c>
      <c r="AL150" s="651">
        <f t="shared" si="145"/>
        <v>2727.5505840000001</v>
      </c>
      <c r="AM150" s="651">
        <f t="shared" si="145"/>
        <v>2810.2036320000002</v>
      </c>
      <c r="AN150" s="651">
        <f t="shared" ref="AN150:BS150" si="146">((AN$136-$H$4)/1000)*$L$76*(($C$8/70)^$V$76)*IF($C$13=1,$AE$77,IF($C$13=2,$AF$77,IF($C$13=3,$AG$77,1)))</f>
        <v>2892.8566800000003</v>
      </c>
      <c r="AO150" s="651">
        <f t="shared" si="146"/>
        <v>2975.5097280000005</v>
      </c>
      <c r="AP150" s="651">
        <f t="shared" si="146"/>
        <v>3058.1627760000006</v>
      </c>
      <c r="AQ150" s="651">
        <f t="shared" si="146"/>
        <v>3140.8158239999998</v>
      </c>
      <c r="AR150" s="651">
        <f t="shared" si="146"/>
        <v>3223.4688719999999</v>
      </c>
      <c r="AS150" s="651">
        <f t="shared" si="146"/>
        <v>3306.12192</v>
      </c>
      <c r="AT150" s="651">
        <f t="shared" si="146"/>
        <v>3388.7749679999997</v>
      </c>
      <c r="AU150" s="651">
        <f t="shared" si="146"/>
        <v>3471.4280160000003</v>
      </c>
      <c r="AV150" s="651">
        <f t="shared" si="146"/>
        <v>3554.081064</v>
      </c>
      <c r="AW150" s="651">
        <f t="shared" si="146"/>
        <v>3636.7341120000006</v>
      </c>
      <c r="AX150" s="651">
        <f t="shared" si="146"/>
        <v>3719.3871600000002</v>
      </c>
      <c r="AY150" s="651">
        <f t="shared" si="146"/>
        <v>3802.0402080000003</v>
      </c>
      <c r="AZ150" s="651">
        <f t="shared" si="146"/>
        <v>3884.6932560000009</v>
      </c>
      <c r="BA150" s="651">
        <f t="shared" si="146"/>
        <v>3967.3463040000001</v>
      </c>
      <c r="BB150" s="651">
        <f t="shared" si="146"/>
        <v>4049.9993520000007</v>
      </c>
      <c r="BC150" s="651">
        <f t="shared" si="146"/>
        <v>4132.6524000000009</v>
      </c>
      <c r="BD150" s="651">
        <f t="shared" si="146"/>
        <v>4215.3054480000001</v>
      </c>
      <c r="BE150" s="651">
        <f t="shared" si="146"/>
        <v>4297.9584960000011</v>
      </c>
      <c r="BF150" s="651">
        <f t="shared" si="146"/>
        <v>4380.6115440000003</v>
      </c>
      <c r="BG150" s="804">
        <f t="shared" si="146"/>
        <v>-578.57133599999997</v>
      </c>
      <c r="BH150" s="804">
        <f t="shared" si="146"/>
        <v>-578.57133599999997</v>
      </c>
      <c r="BI150" s="804">
        <f t="shared" si="146"/>
        <v>-578.57133599999997</v>
      </c>
      <c r="BJ150" s="804">
        <f t="shared" si="146"/>
        <v>-578.57133599999997</v>
      </c>
      <c r="BK150" s="804">
        <f t="shared" si="146"/>
        <v>-578.57133599999997</v>
      </c>
      <c r="BL150" s="804">
        <f t="shared" si="146"/>
        <v>-578.57133599999997</v>
      </c>
      <c r="BM150" s="804">
        <f t="shared" si="146"/>
        <v>-578.57133599999997</v>
      </c>
      <c r="BN150" s="804">
        <f t="shared" si="146"/>
        <v>-578.57133599999997</v>
      </c>
      <c r="BO150" s="804">
        <f t="shared" si="146"/>
        <v>-578.57133599999997</v>
      </c>
      <c r="BP150" s="804">
        <f t="shared" si="146"/>
        <v>-578.57133599999997</v>
      </c>
      <c r="BQ150" s="804">
        <f t="shared" si="146"/>
        <v>-578.57133599999997</v>
      </c>
      <c r="BR150" s="804">
        <f t="shared" si="146"/>
        <v>-578.57133599999997</v>
      </c>
      <c r="BS150" s="804">
        <f t="shared" si="146"/>
        <v>-578.57133599999997</v>
      </c>
      <c r="BT150" s="804">
        <f t="shared" ref="BT150:CY150" si="147">((BT$136-$H$4)/1000)*$L$76*(($C$8/70)^$V$76)*IF($C$13=1,$AE$77,IF($C$13=2,$AF$77,IF($C$13=3,$AG$77,1)))</f>
        <v>-578.57133599999997</v>
      </c>
      <c r="BU150" s="804">
        <f t="shared" si="147"/>
        <v>-578.57133599999997</v>
      </c>
      <c r="BV150" s="804">
        <f t="shared" si="147"/>
        <v>-578.57133599999997</v>
      </c>
      <c r="BW150" s="804">
        <f t="shared" si="147"/>
        <v>-578.57133599999997</v>
      </c>
      <c r="BX150" s="804">
        <f t="shared" si="147"/>
        <v>-578.57133599999997</v>
      </c>
      <c r="BY150" s="804">
        <f t="shared" si="147"/>
        <v>-578.57133599999997</v>
      </c>
      <c r="BZ150" s="804">
        <f t="shared" si="147"/>
        <v>-578.57133599999997</v>
      </c>
      <c r="CA150" s="804">
        <f t="shared" si="147"/>
        <v>-578.57133599999997</v>
      </c>
      <c r="CB150" s="804">
        <f t="shared" si="147"/>
        <v>-578.57133599999997</v>
      </c>
      <c r="CC150" s="804">
        <f t="shared" si="147"/>
        <v>-578.57133599999997</v>
      </c>
      <c r="CD150" s="804">
        <f t="shared" si="147"/>
        <v>-578.57133599999997</v>
      </c>
      <c r="CE150" s="804">
        <f t="shared" si="147"/>
        <v>-578.57133599999997</v>
      </c>
      <c r="CF150" s="804">
        <f t="shared" si="147"/>
        <v>-578.57133599999997</v>
      </c>
      <c r="CG150" s="804">
        <f t="shared" si="147"/>
        <v>-578.57133599999997</v>
      </c>
      <c r="CH150" s="804">
        <f t="shared" si="147"/>
        <v>-578.57133599999997</v>
      </c>
      <c r="CI150" s="804">
        <f t="shared" si="147"/>
        <v>-578.57133599999997</v>
      </c>
      <c r="CJ150" s="804">
        <f t="shared" si="147"/>
        <v>-578.57133599999997</v>
      </c>
      <c r="CK150" s="804">
        <f t="shared" si="147"/>
        <v>-578.57133599999997</v>
      </c>
      <c r="CL150" s="804">
        <f t="shared" si="147"/>
        <v>-578.57133599999997</v>
      </c>
      <c r="CM150" s="804">
        <f t="shared" si="147"/>
        <v>-578.57133599999997</v>
      </c>
      <c r="CN150" s="804">
        <f t="shared" si="147"/>
        <v>-578.57133599999997</v>
      </c>
      <c r="CO150" s="804">
        <f t="shared" si="147"/>
        <v>-578.57133599999997</v>
      </c>
      <c r="CP150" s="804">
        <f t="shared" si="147"/>
        <v>-578.57133599999997</v>
      </c>
      <c r="CQ150" s="804">
        <f t="shared" si="147"/>
        <v>-578.57133599999997</v>
      </c>
      <c r="CR150" s="804">
        <f t="shared" si="147"/>
        <v>-578.57133599999997</v>
      </c>
      <c r="CS150" s="804">
        <f t="shared" si="147"/>
        <v>-578.57133599999997</v>
      </c>
      <c r="CT150" s="804">
        <f t="shared" si="147"/>
        <v>-578.57133599999997</v>
      </c>
      <c r="CU150" s="804">
        <f t="shared" si="147"/>
        <v>-578.57133599999997</v>
      </c>
      <c r="CV150" s="804">
        <f t="shared" si="147"/>
        <v>-578.57133599999997</v>
      </c>
      <c r="CW150" s="804">
        <f t="shared" si="147"/>
        <v>-578.57133599999997</v>
      </c>
      <c r="CX150" s="804">
        <f t="shared" si="147"/>
        <v>-578.57133599999997</v>
      </c>
      <c r="CY150" s="804">
        <f t="shared" si="147"/>
        <v>-578.57133599999997</v>
      </c>
      <c r="CZ150" s="804">
        <f t="shared" ref="CZ150:DF150" si="148">((CZ$136-$H$4)/1000)*$L$76*(($C$8/70)^$V$76)*IF($C$13=1,$AE$77,IF($C$13=2,$AF$77,IF($C$13=3,$AG$77,1)))</f>
        <v>-578.57133599999997</v>
      </c>
      <c r="DA150" s="804">
        <f t="shared" si="148"/>
        <v>-578.57133599999997</v>
      </c>
      <c r="DB150" s="804">
        <f t="shared" si="148"/>
        <v>-578.57133599999997</v>
      </c>
      <c r="DC150" s="804">
        <f t="shared" si="148"/>
        <v>-578.57133599999997</v>
      </c>
      <c r="DD150" s="804">
        <f t="shared" si="148"/>
        <v>-578.57133599999997</v>
      </c>
      <c r="DE150" s="804">
        <f t="shared" si="148"/>
        <v>-578.57133599999997</v>
      </c>
      <c r="DF150" s="804">
        <f t="shared" si="148"/>
        <v>-578.57133599999997</v>
      </c>
    </row>
    <row r="151" spans="2:110" hidden="1">
      <c r="B151" s="2726" t="s">
        <v>340</v>
      </c>
      <c r="C151" s="2727"/>
      <c r="D151" s="832"/>
      <c r="E151" s="832"/>
      <c r="F151" s="832"/>
      <c r="G151" s="832"/>
      <c r="H151" s="651">
        <f t="shared" ref="H151:AM151" si="149">((H$136-$H$4)/1000)*$M$76*(($C$8/70)^$W$76)*IF($C$13=1,$AE$75,IF($C$13=2,$AF$75,IF($C$13=3,$AG$75,1)))</f>
        <v>555.2106839999999</v>
      </c>
      <c r="I151" s="651">
        <f t="shared" si="149"/>
        <v>740.28091199999994</v>
      </c>
      <c r="J151" s="651">
        <f t="shared" si="149"/>
        <v>925.35113999999987</v>
      </c>
      <c r="K151" s="651">
        <f t="shared" si="149"/>
        <v>1110.4213679999998</v>
      </c>
      <c r="L151" s="651">
        <f t="shared" si="149"/>
        <v>1295.4915959999996</v>
      </c>
      <c r="M151" s="651">
        <f t="shared" si="149"/>
        <v>1480.5618239999999</v>
      </c>
      <c r="N151" s="651">
        <f t="shared" si="149"/>
        <v>1665.6320519999997</v>
      </c>
      <c r="O151" s="651">
        <f t="shared" si="149"/>
        <v>1850.7022799999997</v>
      </c>
      <c r="P151" s="651">
        <f t="shared" si="149"/>
        <v>2035.7725079999998</v>
      </c>
      <c r="Q151" s="651">
        <f t="shared" si="149"/>
        <v>2220.8427359999996</v>
      </c>
      <c r="R151" s="651">
        <f t="shared" si="149"/>
        <v>2405.9129639999996</v>
      </c>
      <c r="S151" s="651">
        <f t="shared" si="149"/>
        <v>2590.9831919999992</v>
      </c>
      <c r="T151" s="651">
        <f t="shared" si="149"/>
        <v>2776.0534199999997</v>
      </c>
      <c r="U151" s="651">
        <f t="shared" si="149"/>
        <v>2961.1236479999998</v>
      </c>
      <c r="V151" s="651">
        <f t="shared" si="149"/>
        <v>3146.1938759999994</v>
      </c>
      <c r="W151" s="651">
        <f t="shared" si="149"/>
        <v>3331.2641039999994</v>
      </c>
      <c r="X151" s="651">
        <f t="shared" si="149"/>
        <v>3516.334331999999</v>
      </c>
      <c r="Y151" s="651">
        <f t="shared" si="149"/>
        <v>3701.4045599999995</v>
      </c>
      <c r="Z151" s="651">
        <f t="shared" si="149"/>
        <v>3886.4747879999995</v>
      </c>
      <c r="AA151" s="651">
        <f t="shared" si="149"/>
        <v>4071.5450159999996</v>
      </c>
      <c r="AB151" s="651">
        <f t="shared" si="149"/>
        <v>4256.6152439999996</v>
      </c>
      <c r="AC151" s="651">
        <f t="shared" si="149"/>
        <v>4441.6854719999992</v>
      </c>
      <c r="AD151" s="651">
        <f t="shared" si="149"/>
        <v>4626.7556999999988</v>
      </c>
      <c r="AE151" s="651">
        <f t="shared" si="149"/>
        <v>4811.8259279999993</v>
      </c>
      <c r="AF151" s="651">
        <f t="shared" si="149"/>
        <v>4996.8961559999989</v>
      </c>
      <c r="AG151" s="651">
        <f t="shared" si="149"/>
        <v>5181.9663839999985</v>
      </c>
      <c r="AH151" s="651">
        <f t="shared" si="149"/>
        <v>5367.036611999999</v>
      </c>
      <c r="AI151" s="651">
        <f t="shared" si="149"/>
        <v>5552.1068399999995</v>
      </c>
      <c r="AJ151" s="651">
        <f t="shared" si="149"/>
        <v>5737.1770679999991</v>
      </c>
      <c r="AK151" s="651">
        <f t="shared" si="149"/>
        <v>5922.2472959999996</v>
      </c>
      <c r="AL151" s="651">
        <f t="shared" si="149"/>
        <v>6107.3175239999991</v>
      </c>
      <c r="AM151" s="651">
        <f t="shared" si="149"/>
        <v>6292.3877519999987</v>
      </c>
      <c r="AN151" s="651">
        <f t="shared" ref="AN151:BS151" si="150">((AN$136-$H$4)/1000)*$M$76*(($C$8/70)^$W$76)*IF($C$13=1,$AE$75,IF($C$13=2,$AF$75,IF($C$13=3,$AG$75,1)))</f>
        <v>6477.4579799999992</v>
      </c>
      <c r="AO151" s="651">
        <f t="shared" si="150"/>
        <v>6662.5282079999988</v>
      </c>
      <c r="AP151" s="651">
        <f t="shared" si="150"/>
        <v>6847.5984359999993</v>
      </c>
      <c r="AQ151" s="651">
        <f t="shared" si="150"/>
        <v>7032.668663999998</v>
      </c>
      <c r="AR151" s="651">
        <f t="shared" si="150"/>
        <v>7217.7388919999985</v>
      </c>
      <c r="AS151" s="651">
        <f t="shared" si="150"/>
        <v>7402.809119999999</v>
      </c>
      <c r="AT151" s="651">
        <f t="shared" si="150"/>
        <v>7587.8793479999977</v>
      </c>
      <c r="AU151" s="651">
        <f t="shared" si="150"/>
        <v>7772.9495759999991</v>
      </c>
      <c r="AV151" s="651">
        <f t="shared" si="150"/>
        <v>7958.0198039999987</v>
      </c>
      <c r="AW151" s="651">
        <f t="shared" si="150"/>
        <v>8143.0900319999992</v>
      </c>
      <c r="AX151" s="651">
        <f t="shared" si="150"/>
        <v>8328.1602599999987</v>
      </c>
      <c r="AY151" s="651">
        <f t="shared" si="150"/>
        <v>8513.2304879999992</v>
      </c>
      <c r="AZ151" s="651">
        <f t="shared" si="150"/>
        <v>8698.3007159999979</v>
      </c>
      <c r="BA151" s="651">
        <f t="shared" si="150"/>
        <v>8883.3709439999984</v>
      </c>
      <c r="BB151" s="651">
        <f t="shared" si="150"/>
        <v>9068.4411719999989</v>
      </c>
      <c r="BC151" s="651">
        <f t="shared" si="150"/>
        <v>9253.5113999999976</v>
      </c>
      <c r="BD151" s="651">
        <f t="shared" si="150"/>
        <v>9438.5816279999981</v>
      </c>
      <c r="BE151" s="651">
        <f t="shared" si="150"/>
        <v>9623.6518559999986</v>
      </c>
      <c r="BF151" s="651">
        <f t="shared" si="150"/>
        <v>9808.7220839999991</v>
      </c>
      <c r="BG151" s="804">
        <f t="shared" si="150"/>
        <v>-1295.4915959999996</v>
      </c>
      <c r="BH151" s="804">
        <f t="shared" si="150"/>
        <v>-1295.4915959999996</v>
      </c>
      <c r="BI151" s="804">
        <f t="shared" si="150"/>
        <v>-1295.4915959999996</v>
      </c>
      <c r="BJ151" s="804">
        <f t="shared" si="150"/>
        <v>-1295.4915959999996</v>
      </c>
      <c r="BK151" s="804">
        <f t="shared" si="150"/>
        <v>-1295.4915959999996</v>
      </c>
      <c r="BL151" s="804">
        <f t="shared" si="150"/>
        <v>-1295.4915959999996</v>
      </c>
      <c r="BM151" s="804">
        <f t="shared" si="150"/>
        <v>-1295.4915959999996</v>
      </c>
      <c r="BN151" s="804">
        <f t="shared" si="150"/>
        <v>-1295.4915959999996</v>
      </c>
      <c r="BO151" s="804">
        <f t="shared" si="150"/>
        <v>-1295.4915959999996</v>
      </c>
      <c r="BP151" s="804">
        <f t="shared" si="150"/>
        <v>-1295.4915959999996</v>
      </c>
      <c r="BQ151" s="804">
        <f t="shared" si="150"/>
        <v>-1295.4915959999996</v>
      </c>
      <c r="BR151" s="804">
        <f t="shared" si="150"/>
        <v>-1295.4915959999996</v>
      </c>
      <c r="BS151" s="804">
        <f t="shared" si="150"/>
        <v>-1295.4915959999996</v>
      </c>
      <c r="BT151" s="804">
        <f t="shared" ref="BT151:CY151" si="151">((BT$136-$H$4)/1000)*$M$76*(($C$8/70)^$W$76)*IF($C$13=1,$AE$75,IF($C$13=2,$AF$75,IF($C$13=3,$AG$75,1)))</f>
        <v>-1295.4915959999996</v>
      </c>
      <c r="BU151" s="804">
        <f t="shared" si="151"/>
        <v>-1295.4915959999996</v>
      </c>
      <c r="BV151" s="804">
        <f t="shared" si="151"/>
        <v>-1295.4915959999996</v>
      </c>
      <c r="BW151" s="804">
        <f t="shared" si="151"/>
        <v>-1295.4915959999996</v>
      </c>
      <c r="BX151" s="804">
        <f t="shared" si="151"/>
        <v>-1295.4915959999996</v>
      </c>
      <c r="BY151" s="804">
        <f t="shared" si="151"/>
        <v>-1295.4915959999996</v>
      </c>
      <c r="BZ151" s="804">
        <f t="shared" si="151"/>
        <v>-1295.4915959999996</v>
      </c>
      <c r="CA151" s="804">
        <f t="shared" si="151"/>
        <v>-1295.4915959999996</v>
      </c>
      <c r="CB151" s="804">
        <f t="shared" si="151"/>
        <v>-1295.4915959999996</v>
      </c>
      <c r="CC151" s="804">
        <f t="shared" si="151"/>
        <v>-1295.4915959999996</v>
      </c>
      <c r="CD151" s="804">
        <f t="shared" si="151"/>
        <v>-1295.4915959999996</v>
      </c>
      <c r="CE151" s="804">
        <f t="shared" si="151"/>
        <v>-1295.4915959999996</v>
      </c>
      <c r="CF151" s="804">
        <f t="shared" si="151"/>
        <v>-1295.4915959999996</v>
      </c>
      <c r="CG151" s="804">
        <f t="shared" si="151"/>
        <v>-1295.4915959999996</v>
      </c>
      <c r="CH151" s="804">
        <f t="shared" si="151"/>
        <v>-1295.4915959999996</v>
      </c>
      <c r="CI151" s="804">
        <f t="shared" si="151"/>
        <v>-1295.4915959999996</v>
      </c>
      <c r="CJ151" s="804">
        <f t="shared" si="151"/>
        <v>-1295.4915959999996</v>
      </c>
      <c r="CK151" s="804">
        <f t="shared" si="151"/>
        <v>-1295.4915959999996</v>
      </c>
      <c r="CL151" s="804">
        <f t="shared" si="151"/>
        <v>-1295.4915959999996</v>
      </c>
      <c r="CM151" s="804">
        <f t="shared" si="151"/>
        <v>-1295.4915959999996</v>
      </c>
      <c r="CN151" s="804">
        <f t="shared" si="151"/>
        <v>-1295.4915959999996</v>
      </c>
      <c r="CO151" s="804">
        <f t="shared" si="151"/>
        <v>-1295.4915959999996</v>
      </c>
      <c r="CP151" s="804">
        <f t="shared" si="151"/>
        <v>-1295.4915959999996</v>
      </c>
      <c r="CQ151" s="804">
        <f t="shared" si="151"/>
        <v>-1295.4915959999996</v>
      </c>
      <c r="CR151" s="804">
        <f t="shared" si="151"/>
        <v>-1295.4915959999996</v>
      </c>
      <c r="CS151" s="804">
        <f t="shared" si="151"/>
        <v>-1295.4915959999996</v>
      </c>
      <c r="CT151" s="804">
        <f t="shared" si="151"/>
        <v>-1295.4915959999996</v>
      </c>
      <c r="CU151" s="804">
        <f t="shared" si="151"/>
        <v>-1295.4915959999996</v>
      </c>
      <c r="CV151" s="804">
        <f t="shared" si="151"/>
        <v>-1295.4915959999996</v>
      </c>
      <c r="CW151" s="804">
        <f t="shared" si="151"/>
        <v>-1295.4915959999996</v>
      </c>
      <c r="CX151" s="804">
        <f t="shared" si="151"/>
        <v>-1295.4915959999996</v>
      </c>
      <c r="CY151" s="804">
        <f t="shared" si="151"/>
        <v>-1295.4915959999996</v>
      </c>
      <c r="CZ151" s="804">
        <f t="shared" ref="CZ151:DF151" si="152">((CZ$136-$H$4)/1000)*$M$76*(($C$8/70)^$W$76)*IF($C$13=1,$AE$75,IF($C$13=2,$AF$75,IF($C$13=3,$AG$75,1)))</f>
        <v>-1295.4915959999996</v>
      </c>
      <c r="DA151" s="804">
        <f t="shared" si="152"/>
        <v>-1295.4915959999996</v>
      </c>
      <c r="DB151" s="804">
        <f t="shared" si="152"/>
        <v>-1295.4915959999996</v>
      </c>
      <c r="DC151" s="804">
        <f t="shared" si="152"/>
        <v>-1295.4915959999996</v>
      </c>
      <c r="DD151" s="804">
        <f t="shared" si="152"/>
        <v>-1295.4915959999996</v>
      </c>
      <c r="DE151" s="804">
        <f t="shared" si="152"/>
        <v>-1295.4915959999996</v>
      </c>
      <c r="DF151" s="804">
        <f t="shared" si="152"/>
        <v>-1295.4915959999996</v>
      </c>
    </row>
    <row r="152" spans="2:110" hidden="1">
      <c r="B152" s="2726" t="s">
        <v>341</v>
      </c>
      <c r="C152" s="2727"/>
      <c r="D152" s="832"/>
      <c r="E152" s="832"/>
      <c r="F152" s="832"/>
      <c r="G152" s="832"/>
      <c r="H152" s="651">
        <f t="shared" ref="H152:AM152" si="153">((H$136-$H$4)/1000)*$O$76*(($C$8/70)^$Y$76)*IF($C$13=1,$AE$78,IF($C$13=2,$AF$78,IF($C$13=3,$AG$78,1)))</f>
        <v>540.55990799999995</v>
      </c>
      <c r="I152" s="651">
        <f t="shared" si="153"/>
        <v>720.74654399999997</v>
      </c>
      <c r="J152" s="651">
        <f t="shared" si="153"/>
        <v>900.93317999999988</v>
      </c>
      <c r="K152" s="651">
        <f t="shared" si="153"/>
        <v>1081.1198159999999</v>
      </c>
      <c r="L152" s="651">
        <f t="shared" si="153"/>
        <v>1261.3064519999998</v>
      </c>
      <c r="M152" s="651">
        <f t="shared" si="153"/>
        <v>1441.4930879999999</v>
      </c>
      <c r="N152" s="651">
        <f t="shared" si="153"/>
        <v>1621.6797239999999</v>
      </c>
      <c r="O152" s="651">
        <f t="shared" si="153"/>
        <v>1801.8663599999998</v>
      </c>
      <c r="P152" s="651">
        <f t="shared" si="153"/>
        <v>1982.0529959999999</v>
      </c>
      <c r="Q152" s="651">
        <f t="shared" si="153"/>
        <v>2162.2396319999998</v>
      </c>
      <c r="R152" s="651">
        <f t="shared" si="153"/>
        <v>2342.4262679999997</v>
      </c>
      <c r="S152" s="651">
        <f t="shared" si="153"/>
        <v>2522.6129039999996</v>
      </c>
      <c r="T152" s="651">
        <f t="shared" si="153"/>
        <v>2702.7995399999995</v>
      </c>
      <c r="U152" s="651">
        <f t="shared" si="153"/>
        <v>2882.9861759999999</v>
      </c>
      <c r="V152" s="651">
        <f t="shared" si="153"/>
        <v>3063.1728119999993</v>
      </c>
      <c r="W152" s="651">
        <f t="shared" si="153"/>
        <v>3243.3594479999997</v>
      </c>
      <c r="X152" s="651">
        <f t="shared" si="153"/>
        <v>3423.5460839999996</v>
      </c>
      <c r="Y152" s="651">
        <f t="shared" si="153"/>
        <v>3603.7327199999995</v>
      </c>
      <c r="Z152" s="651">
        <f t="shared" si="153"/>
        <v>3783.9193559999994</v>
      </c>
      <c r="AA152" s="651">
        <f t="shared" si="153"/>
        <v>3964.1059919999998</v>
      </c>
      <c r="AB152" s="651">
        <f t="shared" si="153"/>
        <v>4144.2926279999992</v>
      </c>
      <c r="AC152" s="651">
        <f t="shared" si="153"/>
        <v>4324.4792639999996</v>
      </c>
      <c r="AD152" s="651">
        <f t="shared" si="153"/>
        <v>4504.6659</v>
      </c>
      <c r="AE152" s="651">
        <f t="shared" si="153"/>
        <v>4684.8525359999994</v>
      </c>
      <c r="AF152" s="651">
        <f t="shared" si="153"/>
        <v>4865.0391719999998</v>
      </c>
      <c r="AG152" s="651">
        <f t="shared" si="153"/>
        <v>5045.2258079999992</v>
      </c>
      <c r="AH152" s="651">
        <f t="shared" si="153"/>
        <v>5225.4124439999996</v>
      </c>
      <c r="AI152" s="651">
        <f t="shared" si="153"/>
        <v>5405.599079999999</v>
      </c>
      <c r="AJ152" s="651">
        <f t="shared" si="153"/>
        <v>5585.7857159999994</v>
      </c>
      <c r="AK152" s="651">
        <f t="shared" si="153"/>
        <v>5765.9723519999998</v>
      </c>
      <c r="AL152" s="651">
        <f t="shared" si="153"/>
        <v>5946.1589879999992</v>
      </c>
      <c r="AM152" s="651">
        <f t="shared" si="153"/>
        <v>6126.3456239999987</v>
      </c>
      <c r="AN152" s="651">
        <f t="shared" ref="AN152:BS152" si="154">((AN$136-$H$4)/1000)*$O$76*(($C$8/70)^$Y$76)*IF($C$13=1,$AE$78,IF($C$13=2,$AF$78,IF($C$13=3,$AG$78,1)))</f>
        <v>6306.532259999999</v>
      </c>
      <c r="AO152" s="651">
        <f t="shared" si="154"/>
        <v>6486.7188959999994</v>
      </c>
      <c r="AP152" s="651">
        <f t="shared" si="154"/>
        <v>6666.9055319999998</v>
      </c>
      <c r="AQ152" s="651">
        <f t="shared" si="154"/>
        <v>6847.0921679999992</v>
      </c>
      <c r="AR152" s="651">
        <f t="shared" si="154"/>
        <v>7027.2788039999987</v>
      </c>
      <c r="AS152" s="651">
        <f t="shared" si="154"/>
        <v>7207.465439999999</v>
      </c>
      <c r="AT152" s="651">
        <f t="shared" si="154"/>
        <v>7387.6520759999985</v>
      </c>
      <c r="AU152" s="651">
        <f t="shared" si="154"/>
        <v>7567.8387119999988</v>
      </c>
      <c r="AV152" s="651">
        <f t="shared" si="154"/>
        <v>7748.0253479999983</v>
      </c>
      <c r="AW152" s="651">
        <f t="shared" si="154"/>
        <v>7928.2119839999996</v>
      </c>
      <c r="AX152" s="651">
        <f t="shared" si="154"/>
        <v>8108.398619999999</v>
      </c>
      <c r="AY152" s="651">
        <f t="shared" si="154"/>
        <v>8288.5852559999985</v>
      </c>
      <c r="AZ152" s="651">
        <f t="shared" si="154"/>
        <v>8468.7718919999988</v>
      </c>
      <c r="BA152" s="651">
        <f t="shared" si="154"/>
        <v>8648.9585279999992</v>
      </c>
      <c r="BB152" s="651">
        <f t="shared" si="154"/>
        <v>8829.1451639999996</v>
      </c>
      <c r="BC152" s="651">
        <f t="shared" si="154"/>
        <v>9009.3317999999999</v>
      </c>
      <c r="BD152" s="651">
        <f t="shared" si="154"/>
        <v>9189.5184359999985</v>
      </c>
      <c r="BE152" s="651">
        <f t="shared" si="154"/>
        <v>9369.7050719999988</v>
      </c>
      <c r="BF152" s="651">
        <f t="shared" si="154"/>
        <v>9549.8917079999992</v>
      </c>
      <c r="BG152" s="804">
        <f t="shared" si="154"/>
        <v>-1261.3064519999998</v>
      </c>
      <c r="BH152" s="804">
        <f t="shared" si="154"/>
        <v>-1261.3064519999998</v>
      </c>
      <c r="BI152" s="804">
        <f t="shared" si="154"/>
        <v>-1261.3064519999998</v>
      </c>
      <c r="BJ152" s="804">
        <f t="shared" si="154"/>
        <v>-1261.3064519999998</v>
      </c>
      <c r="BK152" s="804">
        <f t="shared" si="154"/>
        <v>-1261.3064519999998</v>
      </c>
      <c r="BL152" s="804">
        <f t="shared" si="154"/>
        <v>-1261.3064519999998</v>
      </c>
      <c r="BM152" s="804">
        <f t="shared" si="154"/>
        <v>-1261.3064519999998</v>
      </c>
      <c r="BN152" s="804">
        <f t="shared" si="154"/>
        <v>-1261.3064519999998</v>
      </c>
      <c r="BO152" s="804">
        <f t="shared" si="154"/>
        <v>-1261.3064519999998</v>
      </c>
      <c r="BP152" s="804">
        <f t="shared" si="154"/>
        <v>-1261.3064519999998</v>
      </c>
      <c r="BQ152" s="804">
        <f t="shared" si="154"/>
        <v>-1261.3064519999998</v>
      </c>
      <c r="BR152" s="804">
        <f t="shared" si="154"/>
        <v>-1261.3064519999998</v>
      </c>
      <c r="BS152" s="804">
        <f t="shared" si="154"/>
        <v>-1261.3064519999998</v>
      </c>
      <c r="BT152" s="804">
        <f t="shared" ref="BT152:CY152" si="155">((BT$136-$H$4)/1000)*$O$76*(($C$8/70)^$Y$76)*IF($C$13=1,$AE$78,IF($C$13=2,$AF$78,IF($C$13=3,$AG$78,1)))</f>
        <v>-1261.3064519999998</v>
      </c>
      <c r="BU152" s="804">
        <f t="shared" si="155"/>
        <v>-1261.3064519999998</v>
      </c>
      <c r="BV152" s="804">
        <f t="shared" si="155"/>
        <v>-1261.3064519999998</v>
      </c>
      <c r="BW152" s="804">
        <f t="shared" si="155"/>
        <v>-1261.3064519999998</v>
      </c>
      <c r="BX152" s="804">
        <f t="shared" si="155"/>
        <v>-1261.3064519999998</v>
      </c>
      <c r="BY152" s="804">
        <f t="shared" si="155"/>
        <v>-1261.3064519999998</v>
      </c>
      <c r="BZ152" s="804">
        <f t="shared" si="155"/>
        <v>-1261.3064519999998</v>
      </c>
      <c r="CA152" s="804">
        <f t="shared" si="155"/>
        <v>-1261.3064519999998</v>
      </c>
      <c r="CB152" s="804">
        <f t="shared" si="155"/>
        <v>-1261.3064519999998</v>
      </c>
      <c r="CC152" s="804">
        <f t="shared" si="155"/>
        <v>-1261.3064519999998</v>
      </c>
      <c r="CD152" s="804">
        <f t="shared" si="155"/>
        <v>-1261.3064519999998</v>
      </c>
      <c r="CE152" s="804">
        <f t="shared" si="155"/>
        <v>-1261.3064519999998</v>
      </c>
      <c r="CF152" s="804">
        <f t="shared" si="155"/>
        <v>-1261.3064519999998</v>
      </c>
      <c r="CG152" s="804">
        <f t="shared" si="155"/>
        <v>-1261.3064519999998</v>
      </c>
      <c r="CH152" s="804">
        <f t="shared" si="155"/>
        <v>-1261.3064519999998</v>
      </c>
      <c r="CI152" s="804">
        <f t="shared" si="155"/>
        <v>-1261.3064519999998</v>
      </c>
      <c r="CJ152" s="804">
        <f t="shared" si="155"/>
        <v>-1261.3064519999998</v>
      </c>
      <c r="CK152" s="804">
        <f t="shared" si="155"/>
        <v>-1261.3064519999998</v>
      </c>
      <c r="CL152" s="804">
        <f t="shared" si="155"/>
        <v>-1261.3064519999998</v>
      </c>
      <c r="CM152" s="804">
        <f t="shared" si="155"/>
        <v>-1261.3064519999998</v>
      </c>
      <c r="CN152" s="804">
        <f t="shared" si="155"/>
        <v>-1261.3064519999998</v>
      </c>
      <c r="CO152" s="804">
        <f t="shared" si="155"/>
        <v>-1261.3064519999998</v>
      </c>
      <c r="CP152" s="804">
        <f t="shared" si="155"/>
        <v>-1261.3064519999998</v>
      </c>
      <c r="CQ152" s="804">
        <f t="shared" si="155"/>
        <v>-1261.3064519999998</v>
      </c>
      <c r="CR152" s="804">
        <f t="shared" si="155"/>
        <v>-1261.3064519999998</v>
      </c>
      <c r="CS152" s="804">
        <f t="shared" si="155"/>
        <v>-1261.3064519999998</v>
      </c>
      <c r="CT152" s="804">
        <f t="shared" si="155"/>
        <v>-1261.3064519999998</v>
      </c>
      <c r="CU152" s="804">
        <f t="shared" si="155"/>
        <v>-1261.3064519999998</v>
      </c>
      <c r="CV152" s="804">
        <f t="shared" si="155"/>
        <v>-1261.3064519999998</v>
      </c>
      <c r="CW152" s="804">
        <f t="shared" si="155"/>
        <v>-1261.3064519999998</v>
      </c>
      <c r="CX152" s="804">
        <f t="shared" si="155"/>
        <v>-1261.3064519999998</v>
      </c>
      <c r="CY152" s="804">
        <f t="shared" si="155"/>
        <v>-1261.3064519999998</v>
      </c>
      <c r="CZ152" s="804">
        <f t="shared" ref="CZ152:DF152" si="156">((CZ$136-$H$4)/1000)*$O$76*(($C$8/70)^$Y$76)*IF($C$13=1,$AE$78,IF($C$13=2,$AF$78,IF($C$13=3,$AG$78,1)))</f>
        <v>-1261.3064519999998</v>
      </c>
      <c r="DA152" s="804">
        <f t="shared" si="156"/>
        <v>-1261.3064519999998</v>
      </c>
      <c r="DB152" s="804">
        <f t="shared" si="156"/>
        <v>-1261.3064519999998</v>
      </c>
      <c r="DC152" s="804">
        <f t="shared" si="156"/>
        <v>-1261.3064519999998</v>
      </c>
      <c r="DD152" s="804">
        <f t="shared" si="156"/>
        <v>-1261.3064519999998</v>
      </c>
      <c r="DE152" s="804">
        <f t="shared" si="156"/>
        <v>-1261.3064519999998</v>
      </c>
      <c r="DF152" s="804">
        <f t="shared" si="156"/>
        <v>-1261.3064519999998</v>
      </c>
    </row>
    <row r="153" spans="2:110" ht="15.75" hidden="1" thickBot="1">
      <c r="B153" s="2712" t="s">
        <v>342</v>
      </c>
      <c r="C153" s="2713"/>
      <c r="D153" s="833"/>
      <c r="E153" s="833"/>
      <c r="F153" s="833"/>
      <c r="G153" s="833"/>
      <c r="H153" s="618">
        <f t="shared" ref="H153:AM153" si="157">((H$136-$H$4)/1000)*$P$76*(($C$8/70)^$Z$76)*IF($C$13=1,$AE$75,IF($C$13=2,$AF$75,IF($C$13=3,$AG$75,1)))</f>
        <v>700.01661599999977</v>
      </c>
      <c r="I153" s="618">
        <f t="shared" si="157"/>
        <v>933.35548799999992</v>
      </c>
      <c r="J153" s="618">
        <f t="shared" si="157"/>
        <v>1166.6943599999997</v>
      </c>
      <c r="K153" s="618">
        <f t="shared" si="157"/>
        <v>1400.0332319999995</v>
      </c>
      <c r="L153" s="618">
        <f t="shared" si="157"/>
        <v>1633.3721039999996</v>
      </c>
      <c r="M153" s="618">
        <f t="shared" si="157"/>
        <v>1866.7109759999998</v>
      </c>
      <c r="N153" s="618">
        <f t="shared" si="157"/>
        <v>2100.0498479999997</v>
      </c>
      <c r="O153" s="618">
        <f t="shared" si="157"/>
        <v>2333.3887199999995</v>
      </c>
      <c r="P153" s="618">
        <f t="shared" si="157"/>
        <v>2566.7275919999993</v>
      </c>
      <c r="Q153" s="618">
        <f t="shared" si="157"/>
        <v>2800.0664639999991</v>
      </c>
      <c r="R153" s="618">
        <f t="shared" si="157"/>
        <v>3033.4053359999994</v>
      </c>
      <c r="S153" s="618">
        <f t="shared" si="157"/>
        <v>3266.7442079999992</v>
      </c>
      <c r="T153" s="618">
        <f t="shared" si="157"/>
        <v>3500.0830799999994</v>
      </c>
      <c r="U153" s="618">
        <f t="shared" si="157"/>
        <v>3733.4219519999997</v>
      </c>
      <c r="V153" s="618">
        <f t="shared" si="157"/>
        <v>3966.7608239999986</v>
      </c>
      <c r="W153" s="618">
        <f t="shared" si="157"/>
        <v>4200.0996959999993</v>
      </c>
      <c r="X153" s="618">
        <f t="shared" si="157"/>
        <v>4433.4385679999987</v>
      </c>
      <c r="Y153" s="618">
        <f t="shared" si="157"/>
        <v>4666.7774399999989</v>
      </c>
      <c r="Z153" s="618">
        <f t="shared" si="157"/>
        <v>4900.1163119999992</v>
      </c>
      <c r="AA153" s="618">
        <f t="shared" si="157"/>
        <v>5133.4551839999986</v>
      </c>
      <c r="AB153" s="618">
        <f t="shared" si="157"/>
        <v>5366.7940559999979</v>
      </c>
      <c r="AC153" s="618">
        <f t="shared" si="157"/>
        <v>5600.1329279999982</v>
      </c>
      <c r="AD153" s="618">
        <f t="shared" si="157"/>
        <v>5833.4717999999984</v>
      </c>
      <c r="AE153" s="618">
        <f t="shared" si="157"/>
        <v>6066.8106719999987</v>
      </c>
      <c r="AF153" s="618">
        <f t="shared" si="157"/>
        <v>6300.149543999999</v>
      </c>
      <c r="AG153" s="618">
        <f t="shared" si="157"/>
        <v>6533.4884159999983</v>
      </c>
      <c r="AH153" s="618">
        <f t="shared" si="157"/>
        <v>6766.8272879999986</v>
      </c>
      <c r="AI153" s="618">
        <f t="shared" si="157"/>
        <v>7000.1661599999989</v>
      </c>
      <c r="AJ153" s="618">
        <f t="shared" si="157"/>
        <v>7233.5050319999991</v>
      </c>
      <c r="AK153" s="618">
        <f t="shared" si="157"/>
        <v>7466.8439039999994</v>
      </c>
      <c r="AL153" s="618">
        <f t="shared" si="157"/>
        <v>7700.1827759999987</v>
      </c>
      <c r="AM153" s="618">
        <f t="shared" si="157"/>
        <v>7933.5216479999972</v>
      </c>
      <c r="AN153" s="618">
        <f t="shared" ref="AN153:BS153" si="158">((AN$136-$H$4)/1000)*$P$76*(($C$8/70)^$Z$76)*IF($C$13=1,$AE$75,IF($C$13=2,$AF$75,IF($C$13=3,$AG$75,1)))</f>
        <v>8166.8605199999975</v>
      </c>
      <c r="AO153" s="618">
        <f t="shared" si="158"/>
        <v>8400.1993919999986</v>
      </c>
      <c r="AP153" s="618">
        <f t="shared" si="158"/>
        <v>8633.5382639999989</v>
      </c>
      <c r="AQ153" s="618">
        <f t="shared" si="158"/>
        <v>8866.8771359999973</v>
      </c>
      <c r="AR153" s="618">
        <f t="shared" si="158"/>
        <v>9100.2160079999976</v>
      </c>
      <c r="AS153" s="618">
        <f t="shared" si="158"/>
        <v>9333.5548799999979</v>
      </c>
      <c r="AT153" s="618">
        <f t="shared" si="158"/>
        <v>9566.8937519999963</v>
      </c>
      <c r="AU153" s="618">
        <f t="shared" si="158"/>
        <v>9800.2326239999984</v>
      </c>
      <c r="AV153" s="618">
        <f t="shared" si="158"/>
        <v>10033.571495999997</v>
      </c>
      <c r="AW153" s="618">
        <f t="shared" si="158"/>
        <v>10266.910367999997</v>
      </c>
      <c r="AX153" s="618">
        <f t="shared" si="158"/>
        <v>10500.249239999997</v>
      </c>
      <c r="AY153" s="618">
        <f t="shared" si="158"/>
        <v>10733.588111999996</v>
      </c>
      <c r="AZ153" s="618">
        <f t="shared" si="158"/>
        <v>10966.926983999998</v>
      </c>
      <c r="BA153" s="618">
        <f t="shared" si="158"/>
        <v>11200.265855999996</v>
      </c>
      <c r="BB153" s="618">
        <f t="shared" si="158"/>
        <v>11433.604727999998</v>
      </c>
      <c r="BC153" s="618">
        <f t="shared" si="158"/>
        <v>11666.943599999997</v>
      </c>
      <c r="BD153" s="618">
        <f t="shared" si="158"/>
        <v>11900.282471999995</v>
      </c>
      <c r="BE153" s="618">
        <f t="shared" si="158"/>
        <v>12133.621343999997</v>
      </c>
      <c r="BF153" s="618">
        <f t="shared" si="158"/>
        <v>12366.960215999996</v>
      </c>
      <c r="BG153" s="804">
        <f t="shared" si="158"/>
        <v>-1633.3721039999996</v>
      </c>
      <c r="BH153" s="804">
        <f t="shared" si="158"/>
        <v>-1633.3721039999996</v>
      </c>
      <c r="BI153" s="804">
        <f t="shared" si="158"/>
        <v>-1633.3721039999996</v>
      </c>
      <c r="BJ153" s="804">
        <f t="shared" si="158"/>
        <v>-1633.3721039999996</v>
      </c>
      <c r="BK153" s="804">
        <f t="shared" si="158"/>
        <v>-1633.3721039999996</v>
      </c>
      <c r="BL153" s="804">
        <f t="shared" si="158"/>
        <v>-1633.3721039999996</v>
      </c>
      <c r="BM153" s="804">
        <f t="shared" si="158"/>
        <v>-1633.3721039999996</v>
      </c>
      <c r="BN153" s="804">
        <f t="shared" si="158"/>
        <v>-1633.3721039999996</v>
      </c>
      <c r="BO153" s="804">
        <f t="shared" si="158"/>
        <v>-1633.3721039999996</v>
      </c>
      <c r="BP153" s="804">
        <f t="shared" si="158"/>
        <v>-1633.3721039999996</v>
      </c>
      <c r="BQ153" s="804">
        <f t="shared" si="158"/>
        <v>-1633.3721039999996</v>
      </c>
      <c r="BR153" s="804">
        <f t="shared" si="158"/>
        <v>-1633.3721039999996</v>
      </c>
      <c r="BS153" s="804">
        <f t="shared" si="158"/>
        <v>-1633.3721039999996</v>
      </c>
      <c r="BT153" s="804">
        <f t="shared" ref="BT153:CY153" si="159">((BT$136-$H$4)/1000)*$P$76*(($C$8/70)^$Z$76)*IF($C$13=1,$AE$75,IF($C$13=2,$AF$75,IF($C$13=3,$AG$75,1)))</f>
        <v>-1633.3721039999996</v>
      </c>
      <c r="BU153" s="804">
        <f t="shared" si="159"/>
        <v>-1633.3721039999996</v>
      </c>
      <c r="BV153" s="804">
        <f t="shared" si="159"/>
        <v>-1633.3721039999996</v>
      </c>
      <c r="BW153" s="804">
        <f t="shared" si="159"/>
        <v>-1633.3721039999996</v>
      </c>
      <c r="BX153" s="804">
        <f t="shared" si="159"/>
        <v>-1633.3721039999996</v>
      </c>
      <c r="BY153" s="804">
        <f t="shared" si="159"/>
        <v>-1633.3721039999996</v>
      </c>
      <c r="BZ153" s="804">
        <f t="shared" si="159"/>
        <v>-1633.3721039999996</v>
      </c>
      <c r="CA153" s="804">
        <f t="shared" si="159"/>
        <v>-1633.3721039999996</v>
      </c>
      <c r="CB153" s="804">
        <f t="shared" si="159"/>
        <v>-1633.3721039999996</v>
      </c>
      <c r="CC153" s="804">
        <f t="shared" si="159"/>
        <v>-1633.3721039999996</v>
      </c>
      <c r="CD153" s="804">
        <f t="shared" si="159"/>
        <v>-1633.3721039999996</v>
      </c>
      <c r="CE153" s="804">
        <f t="shared" si="159"/>
        <v>-1633.3721039999996</v>
      </c>
      <c r="CF153" s="804">
        <f t="shared" si="159"/>
        <v>-1633.3721039999996</v>
      </c>
      <c r="CG153" s="804">
        <f t="shared" si="159"/>
        <v>-1633.3721039999996</v>
      </c>
      <c r="CH153" s="804">
        <f t="shared" si="159"/>
        <v>-1633.3721039999996</v>
      </c>
      <c r="CI153" s="804">
        <f t="shared" si="159"/>
        <v>-1633.3721039999996</v>
      </c>
      <c r="CJ153" s="804">
        <f t="shared" si="159"/>
        <v>-1633.3721039999996</v>
      </c>
      <c r="CK153" s="804">
        <f t="shared" si="159"/>
        <v>-1633.3721039999996</v>
      </c>
      <c r="CL153" s="804">
        <f t="shared" si="159"/>
        <v>-1633.3721039999996</v>
      </c>
      <c r="CM153" s="804">
        <f t="shared" si="159"/>
        <v>-1633.3721039999996</v>
      </c>
      <c r="CN153" s="804">
        <f t="shared" si="159"/>
        <v>-1633.3721039999996</v>
      </c>
      <c r="CO153" s="804">
        <f t="shared" si="159"/>
        <v>-1633.3721039999996</v>
      </c>
      <c r="CP153" s="804">
        <f t="shared" si="159"/>
        <v>-1633.3721039999996</v>
      </c>
      <c r="CQ153" s="804">
        <f t="shared" si="159"/>
        <v>-1633.3721039999996</v>
      </c>
      <c r="CR153" s="804">
        <f t="shared" si="159"/>
        <v>-1633.3721039999996</v>
      </c>
      <c r="CS153" s="804">
        <f t="shared" si="159"/>
        <v>-1633.3721039999996</v>
      </c>
      <c r="CT153" s="804">
        <f t="shared" si="159"/>
        <v>-1633.3721039999996</v>
      </c>
      <c r="CU153" s="804">
        <f t="shared" si="159"/>
        <v>-1633.3721039999996</v>
      </c>
      <c r="CV153" s="804">
        <f t="shared" si="159"/>
        <v>-1633.3721039999996</v>
      </c>
      <c r="CW153" s="804">
        <f t="shared" si="159"/>
        <v>-1633.3721039999996</v>
      </c>
      <c r="CX153" s="804">
        <f t="shared" si="159"/>
        <v>-1633.3721039999996</v>
      </c>
      <c r="CY153" s="804">
        <f t="shared" si="159"/>
        <v>-1633.3721039999996</v>
      </c>
      <c r="CZ153" s="804">
        <f t="shared" ref="CZ153:DF153" si="160">((CZ$136-$H$4)/1000)*$P$76*(($C$8/70)^$Z$76)*IF($C$13=1,$AE$75,IF($C$13=2,$AF$75,IF($C$13=3,$AG$75,1)))</f>
        <v>-1633.3721039999996</v>
      </c>
      <c r="DA153" s="804">
        <f t="shared" si="160"/>
        <v>-1633.3721039999996</v>
      </c>
      <c r="DB153" s="804">
        <f t="shared" si="160"/>
        <v>-1633.3721039999996</v>
      </c>
      <c r="DC153" s="804">
        <f t="shared" si="160"/>
        <v>-1633.3721039999996</v>
      </c>
      <c r="DD153" s="804">
        <f t="shared" si="160"/>
        <v>-1633.3721039999996</v>
      </c>
      <c r="DE153" s="804">
        <f t="shared" si="160"/>
        <v>-1633.3721039999996</v>
      </c>
      <c r="DF153" s="804">
        <f t="shared" si="160"/>
        <v>-1633.3721039999996</v>
      </c>
    </row>
    <row r="154" spans="2:110" ht="15.75" thickBot="1">
      <c r="B154" s="2681" t="s">
        <v>343</v>
      </c>
      <c r="C154" s="2682"/>
      <c r="D154" s="2017"/>
      <c r="E154" s="2017"/>
      <c r="F154" s="2017"/>
      <c r="G154" s="2017"/>
      <c r="H154" s="2685" t="s">
        <v>16</v>
      </c>
      <c r="I154" s="2686"/>
      <c r="J154" s="2686"/>
      <c r="K154" s="2686"/>
      <c r="L154" s="2686"/>
      <c r="M154" s="2686"/>
      <c r="N154" s="2686"/>
      <c r="O154" s="2686"/>
      <c r="P154" s="2686"/>
      <c r="Q154" s="2686"/>
      <c r="R154" s="2686"/>
      <c r="S154" s="2686"/>
      <c r="T154" s="2686"/>
      <c r="U154" s="2686"/>
      <c r="V154" s="2686"/>
      <c r="W154" s="2686"/>
      <c r="X154" s="2686"/>
      <c r="Y154" s="2686"/>
      <c r="Z154" s="2686"/>
      <c r="AA154" s="2686"/>
      <c r="AB154" s="2686"/>
      <c r="AC154" s="2686"/>
      <c r="AD154" s="2686"/>
      <c r="AE154" s="2686"/>
      <c r="AF154" s="2686"/>
      <c r="AG154" s="2686"/>
      <c r="AH154" s="2686"/>
      <c r="AI154" s="2686"/>
      <c r="AJ154" s="2686"/>
      <c r="AK154" s="2686"/>
      <c r="AL154" s="2686"/>
      <c r="AM154" s="2686"/>
      <c r="AN154" s="2686"/>
      <c r="AO154" s="2686"/>
      <c r="AP154" s="2686"/>
      <c r="AQ154" s="2686"/>
      <c r="AR154" s="2686"/>
      <c r="AS154" s="2686"/>
      <c r="AT154" s="2686"/>
      <c r="AU154" s="2686"/>
      <c r="AV154" s="2686"/>
      <c r="AW154" s="2686"/>
      <c r="AX154" s="2686"/>
      <c r="AY154" s="2686"/>
      <c r="AZ154" s="2686"/>
      <c r="BA154" s="2686"/>
      <c r="BB154" s="2686"/>
      <c r="BC154" s="2686"/>
      <c r="BD154" s="2686"/>
      <c r="BE154" s="2686"/>
      <c r="BF154" s="2687"/>
    </row>
    <row r="155" spans="2:110" ht="15.75" thickBot="1">
      <c r="B155" s="2683"/>
      <c r="C155" s="2684"/>
      <c r="D155" s="2018"/>
      <c r="E155" s="2018"/>
      <c r="F155" s="2018"/>
      <c r="G155" s="2018"/>
      <c r="H155" s="878">
        <v>500</v>
      </c>
      <c r="I155" s="879">
        <v>550</v>
      </c>
      <c r="J155" s="880">
        <v>600</v>
      </c>
      <c r="K155" s="881">
        <v>650</v>
      </c>
      <c r="L155" s="881">
        <v>700</v>
      </c>
      <c r="M155" s="881">
        <v>750</v>
      </c>
      <c r="N155" s="881">
        <v>800</v>
      </c>
      <c r="O155" s="881">
        <v>850</v>
      </c>
      <c r="P155" s="881">
        <v>900</v>
      </c>
      <c r="Q155" s="881">
        <v>950</v>
      </c>
      <c r="R155" s="881">
        <v>1000</v>
      </c>
      <c r="S155" s="881">
        <v>1050</v>
      </c>
      <c r="T155" s="881">
        <v>1100</v>
      </c>
      <c r="U155" s="881">
        <v>1150</v>
      </c>
      <c r="V155" s="881">
        <v>1200</v>
      </c>
      <c r="W155" s="881">
        <v>1250</v>
      </c>
      <c r="X155" s="881">
        <v>1300</v>
      </c>
      <c r="Y155" s="881">
        <v>1350</v>
      </c>
      <c r="Z155" s="881">
        <v>1400</v>
      </c>
      <c r="AA155" s="881">
        <v>1450</v>
      </c>
      <c r="AB155" s="881">
        <v>1500</v>
      </c>
      <c r="AC155" s="881">
        <v>1550</v>
      </c>
      <c r="AD155" s="881">
        <v>1600</v>
      </c>
      <c r="AE155" s="881">
        <v>1650</v>
      </c>
      <c r="AF155" s="881">
        <v>1700</v>
      </c>
      <c r="AG155" s="881">
        <v>1750</v>
      </c>
      <c r="AH155" s="881">
        <v>1800</v>
      </c>
      <c r="AI155" s="881">
        <v>1850</v>
      </c>
      <c r="AJ155" s="881">
        <v>1900</v>
      </c>
      <c r="AK155" s="881">
        <v>1950</v>
      </c>
      <c r="AL155" s="881">
        <v>2000</v>
      </c>
      <c r="AM155" s="881">
        <v>2050</v>
      </c>
      <c r="AN155" s="881">
        <v>2100</v>
      </c>
      <c r="AO155" s="881">
        <v>2150</v>
      </c>
      <c r="AP155" s="881">
        <v>2200</v>
      </c>
      <c r="AQ155" s="881">
        <v>2250</v>
      </c>
      <c r="AR155" s="881">
        <v>2300</v>
      </c>
      <c r="AS155" s="881">
        <v>2350</v>
      </c>
      <c r="AT155" s="881">
        <v>2400</v>
      </c>
      <c r="AU155" s="881">
        <v>2450</v>
      </c>
      <c r="AV155" s="881">
        <v>2500</v>
      </c>
      <c r="AW155" s="881">
        <v>2550</v>
      </c>
      <c r="AX155" s="881">
        <v>2600</v>
      </c>
      <c r="AY155" s="881">
        <v>2650</v>
      </c>
      <c r="AZ155" s="881">
        <v>2700</v>
      </c>
      <c r="BA155" s="881">
        <v>2750</v>
      </c>
      <c r="BB155" s="881">
        <v>2800</v>
      </c>
      <c r="BC155" s="881">
        <v>2850</v>
      </c>
      <c r="BD155" s="881">
        <v>2900</v>
      </c>
      <c r="BE155" s="882">
        <v>2950</v>
      </c>
      <c r="BF155" s="883">
        <v>3000</v>
      </c>
    </row>
    <row r="156" spans="2:110" ht="15.75" thickBot="1">
      <c r="B156" s="2688" t="s">
        <v>7687</v>
      </c>
      <c r="C156" s="2688"/>
      <c r="D156" s="2019" t="s">
        <v>7688</v>
      </c>
      <c r="E156" s="2019">
        <v>85</v>
      </c>
      <c r="F156" s="2019">
        <v>180</v>
      </c>
      <c r="G156" s="2019">
        <v>2</v>
      </c>
      <c r="H156" s="2020"/>
      <c r="I156" s="2020"/>
      <c r="J156" s="2021"/>
      <c r="K156" s="2021"/>
      <c r="L156" s="2021">
        <f>((L$86-$H$4)/1000)*IF($C$13=0,$L$27,$L$44)*(($C$8/70)^$W$44)*IF($C$13=1,$AG$44,IF($C$13=2,$AH$44,IF($C$13=3,$AI$44,1)))*0.9</f>
        <v>738.89360999999997</v>
      </c>
      <c r="M156" s="2021">
        <f t="shared" ref="M156:BF156" si="161">((M$86-$H$4)/1000)*IF($C$13=0,$L$27,$L$44)*(($C$8/70)^$W$44)*IF($C$13=1,$AG$44,IF($C$13=2,$AH$44,IF($C$13=3,$AI$44,1)))*0.9</f>
        <v>844.44983999999999</v>
      </c>
      <c r="N156" s="2021">
        <f t="shared" si="161"/>
        <v>950.00607000000002</v>
      </c>
      <c r="O156" s="2021">
        <f t="shared" si="161"/>
        <v>1055.5623000000001</v>
      </c>
      <c r="P156" s="2021">
        <f t="shared" si="161"/>
        <v>1161.1185300000002</v>
      </c>
      <c r="Q156" s="2021">
        <f t="shared" si="161"/>
        <v>1266.6747600000001</v>
      </c>
      <c r="R156" s="2021">
        <f t="shared" si="161"/>
        <v>1372.23099</v>
      </c>
      <c r="S156" s="2021">
        <f t="shared" si="161"/>
        <v>1477.7872199999999</v>
      </c>
      <c r="T156" s="2021">
        <f t="shared" si="161"/>
        <v>1583.3434500000001</v>
      </c>
      <c r="U156" s="2021">
        <f t="shared" si="161"/>
        <v>1688.89968</v>
      </c>
      <c r="V156" s="2021">
        <f t="shared" si="161"/>
        <v>1794.4559099999999</v>
      </c>
      <c r="W156" s="2021">
        <f t="shared" si="161"/>
        <v>1900.01214</v>
      </c>
      <c r="X156" s="2021">
        <f t="shared" si="161"/>
        <v>2005.56837</v>
      </c>
      <c r="Y156" s="2021">
        <f t="shared" si="161"/>
        <v>2111.1246000000001</v>
      </c>
      <c r="Z156" s="2021">
        <f t="shared" si="161"/>
        <v>2216.6808300000002</v>
      </c>
      <c r="AA156" s="2021">
        <f t="shared" si="161"/>
        <v>2322.2370600000004</v>
      </c>
      <c r="AB156" s="2021">
        <f t="shared" si="161"/>
        <v>2427.7932899999996</v>
      </c>
      <c r="AC156" s="2021">
        <f t="shared" si="161"/>
        <v>2533.3495200000002</v>
      </c>
      <c r="AD156" s="2021">
        <f t="shared" si="161"/>
        <v>2638.9057499999999</v>
      </c>
      <c r="AE156" s="2021">
        <f t="shared" si="161"/>
        <v>2744.46198</v>
      </c>
      <c r="AF156" s="2021">
        <f t="shared" si="161"/>
        <v>2850.0182100000002</v>
      </c>
      <c r="AG156" s="2021">
        <f t="shared" si="161"/>
        <v>2955.5744399999999</v>
      </c>
      <c r="AH156" s="2021">
        <f t="shared" si="161"/>
        <v>3061.1306699999996</v>
      </c>
      <c r="AI156" s="2021">
        <f t="shared" si="161"/>
        <v>3166.6869000000002</v>
      </c>
      <c r="AJ156" s="2021">
        <f t="shared" si="161"/>
        <v>3272.2431299999998</v>
      </c>
      <c r="AK156" s="2021">
        <f t="shared" si="161"/>
        <v>3377.79936</v>
      </c>
      <c r="AL156" s="2021">
        <f t="shared" si="161"/>
        <v>3483.3555899999992</v>
      </c>
      <c r="AM156" s="2021">
        <f t="shared" si="161"/>
        <v>3588.9118199999998</v>
      </c>
      <c r="AN156" s="2021">
        <f t="shared" si="161"/>
        <v>3694.4680499999999</v>
      </c>
      <c r="AO156" s="2021">
        <f t="shared" si="161"/>
        <v>3800.0242800000001</v>
      </c>
      <c r="AP156" s="2021">
        <f t="shared" si="161"/>
        <v>3905.5805099999998</v>
      </c>
      <c r="AQ156" s="2021">
        <f t="shared" si="161"/>
        <v>4011.1367399999999</v>
      </c>
      <c r="AR156" s="2021">
        <f t="shared" si="161"/>
        <v>4116.6929700000001</v>
      </c>
      <c r="AS156" s="2021">
        <f t="shared" si="161"/>
        <v>4222.2492000000002</v>
      </c>
      <c r="AT156" s="2021">
        <f t="shared" si="161"/>
        <v>4327.8054300000003</v>
      </c>
      <c r="AU156" s="2021">
        <f t="shared" si="161"/>
        <v>4433.3616600000005</v>
      </c>
      <c r="AV156" s="2021">
        <f t="shared" si="161"/>
        <v>4538.9178899999997</v>
      </c>
      <c r="AW156" s="2021">
        <f t="shared" si="161"/>
        <v>4644.4741200000008</v>
      </c>
      <c r="AX156" s="2021">
        <f t="shared" si="161"/>
        <v>4750.03035</v>
      </c>
      <c r="AY156" s="2021">
        <f t="shared" si="161"/>
        <v>4855.5865799999992</v>
      </c>
      <c r="AZ156" s="2021">
        <f t="shared" si="161"/>
        <v>4961.1428100000003</v>
      </c>
      <c r="BA156" s="2021">
        <f t="shared" si="161"/>
        <v>5066.6990400000004</v>
      </c>
      <c r="BB156" s="2021">
        <f t="shared" si="161"/>
        <v>5172.2552699999997</v>
      </c>
      <c r="BC156" s="2021">
        <f t="shared" si="161"/>
        <v>5277.8114999999998</v>
      </c>
      <c r="BD156" s="2021">
        <f t="shared" si="161"/>
        <v>5383.3677299999999</v>
      </c>
      <c r="BE156" s="2021">
        <f t="shared" si="161"/>
        <v>5488.9239600000001</v>
      </c>
      <c r="BF156" s="2021">
        <f t="shared" si="161"/>
        <v>5594.4801899999993</v>
      </c>
      <c r="BG156" s="865">
        <f t="shared" ref="BG156:BX156" si="162">((BG$126-$H$4)/1000)*IF($C$13=0,$L$27,$L$44)*(($C$8/70)^$W$44)*IF($C$13=1,$AG$44,IF($C$13=2,$AH$44,IF($C$13=3,$AI$44,1)))*0.9</f>
        <v>-6205.6346327080564</v>
      </c>
      <c r="BH156" s="865">
        <f t="shared" si="162"/>
        <v>-6205.6346327080564</v>
      </c>
      <c r="BI156" s="865">
        <f t="shared" si="162"/>
        <v>-6205.6346327080564</v>
      </c>
      <c r="BJ156" s="865">
        <f t="shared" si="162"/>
        <v>1603.9953997320245</v>
      </c>
      <c r="BK156" s="865">
        <f t="shared" si="162"/>
        <v>2384.9584029760326</v>
      </c>
      <c r="BL156" s="865">
        <f t="shared" si="162"/>
        <v>3165.9214062200404</v>
      </c>
      <c r="BM156" s="865">
        <f t="shared" si="162"/>
        <v>3946.8844094640485</v>
      </c>
      <c r="BN156" s="865">
        <f t="shared" si="162"/>
        <v>4727.8474127080563</v>
      </c>
      <c r="BO156" s="865">
        <f t="shared" si="162"/>
        <v>5508.8104159520653</v>
      </c>
      <c r="BP156" s="865">
        <f t="shared" si="162"/>
        <v>6289.7734191960735</v>
      </c>
      <c r="BQ156" s="865">
        <f t="shared" si="162"/>
        <v>7070.7364224400817</v>
      </c>
      <c r="BR156" s="865">
        <f t="shared" si="162"/>
        <v>7851.6994256840899</v>
      </c>
      <c r="BS156" s="865">
        <f t="shared" si="162"/>
        <v>8632.6624289280971</v>
      </c>
      <c r="BT156" s="865">
        <f t="shared" si="162"/>
        <v>9413.6254321721062</v>
      </c>
      <c r="BU156" s="865">
        <f t="shared" si="162"/>
        <v>10194.588435416113</v>
      </c>
      <c r="BV156" s="865">
        <f t="shared" si="162"/>
        <v>10975.551438660121</v>
      </c>
      <c r="BW156" s="865">
        <f t="shared" si="162"/>
        <v>11756.514441904132</v>
      </c>
      <c r="BX156" s="865">
        <f t="shared" si="162"/>
        <v>12537.477445148137</v>
      </c>
      <c r="BY156" s="865">
        <f t="shared" ref="BY156:DF156" si="163">((BY$126-$H$4)/1000)*IF($C$13=0,$L$27,$L$44)*(($C$8/70)^$W$44)*IF($C$13=1,$AG$44,IF($C$13=2,$AH$44,IF($C$13=3,$AI$44,1)))*0.9</f>
        <v>13318.440448392148</v>
      </c>
      <c r="BZ156" s="865">
        <f t="shared" si="163"/>
        <v>14099.403451636153</v>
      </c>
      <c r="CA156" s="865">
        <f t="shared" si="163"/>
        <v>14880.366454880164</v>
      </c>
      <c r="CB156" s="865">
        <f t="shared" si="163"/>
        <v>15661.32945812417</v>
      </c>
      <c r="CC156" s="865">
        <f t="shared" si="163"/>
        <v>16442.292461368183</v>
      </c>
      <c r="CD156" s="865">
        <f t="shared" si="163"/>
        <v>17223.255464612186</v>
      </c>
      <c r="CE156" s="865">
        <f t="shared" si="163"/>
        <v>18004.218467856193</v>
      </c>
      <c r="CF156" s="865">
        <f t="shared" si="163"/>
        <v>18785.181471100201</v>
      </c>
      <c r="CG156" s="865">
        <f t="shared" si="163"/>
        <v>19566.144474344212</v>
      </c>
      <c r="CH156" s="865">
        <f t="shared" si="163"/>
        <v>20347.107477588223</v>
      </c>
      <c r="CI156" s="865">
        <f t="shared" si="163"/>
        <v>21128.070480832226</v>
      </c>
      <c r="CJ156" s="865">
        <f t="shared" si="163"/>
        <v>21909.033484076233</v>
      </c>
      <c r="CK156" s="865">
        <f t="shared" si="163"/>
        <v>22689.996487320241</v>
      </c>
      <c r="CL156" s="865">
        <f t="shared" si="163"/>
        <v>23470.959490564252</v>
      </c>
      <c r="CM156" s="865">
        <f t="shared" si="163"/>
        <v>24251.922493808259</v>
      </c>
      <c r="CN156" s="865">
        <f t="shared" si="163"/>
        <v>25032.885497052266</v>
      </c>
      <c r="CO156" s="865">
        <f t="shared" si="163"/>
        <v>25813.84850029627</v>
      </c>
      <c r="CP156" s="865">
        <f t="shared" si="163"/>
        <v>26594.811503540284</v>
      </c>
      <c r="CQ156" s="865">
        <f t="shared" si="163"/>
        <v>27375.774506784295</v>
      </c>
      <c r="CR156" s="865">
        <f t="shared" si="163"/>
        <v>28156.737510028302</v>
      </c>
      <c r="CS156" s="865">
        <f t="shared" si="163"/>
        <v>28937.700513272306</v>
      </c>
      <c r="CT156" s="865">
        <f t="shared" si="163"/>
        <v>29718.663516516313</v>
      </c>
      <c r="CU156" s="865">
        <f t="shared" si="163"/>
        <v>30499.626519760324</v>
      </c>
      <c r="CV156" s="865">
        <f t="shared" si="163"/>
        <v>31280.589523004328</v>
      </c>
      <c r="CW156" s="865">
        <f t="shared" si="163"/>
        <v>32061.552526248339</v>
      </c>
      <c r="CX156" s="865">
        <f t="shared" si="163"/>
        <v>32842.515529492346</v>
      </c>
      <c r="CY156" s="865">
        <f t="shared" si="163"/>
        <v>33623.478532736357</v>
      </c>
      <c r="CZ156" s="865">
        <f t="shared" si="163"/>
        <v>34404.441535980361</v>
      </c>
      <c r="DA156" s="865">
        <f t="shared" si="163"/>
        <v>35185.404539224379</v>
      </c>
      <c r="DB156" s="865">
        <f t="shared" si="163"/>
        <v>35966.367542468382</v>
      </c>
      <c r="DC156" s="865">
        <f t="shared" si="163"/>
        <v>36747.330545712393</v>
      </c>
      <c r="DD156" s="865">
        <f t="shared" si="163"/>
        <v>37528.293548956397</v>
      </c>
      <c r="DE156" s="865">
        <f t="shared" si="163"/>
        <v>38309.256552200408</v>
      </c>
      <c r="DF156" s="865">
        <f t="shared" si="163"/>
        <v>39090.219555444412</v>
      </c>
    </row>
    <row r="157" spans="2:110" ht="15.75" thickBot="1">
      <c r="B157" s="2689" t="s">
        <v>7689</v>
      </c>
      <c r="C157" s="2689"/>
      <c r="D157" s="2022" t="s">
        <v>7688</v>
      </c>
      <c r="E157" s="2022">
        <v>140</v>
      </c>
      <c r="F157" s="2022">
        <v>140</v>
      </c>
      <c r="G157" s="2022">
        <v>2</v>
      </c>
      <c r="H157" s="2023"/>
      <c r="I157" s="2023"/>
      <c r="J157" s="2024"/>
      <c r="K157" s="2024"/>
      <c r="L157" s="2024">
        <f>((L$86-$H$4)/1000)*IF($C$13=0,$K$29,$K$46)*(($C$8/70)^$V$46)*IF($C$13=1,$AG$48,IF($C$13=2,$AH$48,IF($C$13=3,$AI$48,1)))*0.95</f>
        <v>710.69952817499995</v>
      </c>
      <c r="M157" s="2024">
        <f t="shared" ref="M157:BF157" si="164">((M$86-$H$4)/1000)*IF($C$13=0,$K$29,$K$46)*(($C$8/70)^$V$46)*IF($C$13=1,$AG$48,IF($C$13=2,$AH$48,IF($C$13=3,$AI$48,1)))*0.95</f>
        <v>812.22803220000014</v>
      </c>
      <c r="N157" s="2024">
        <f t="shared" si="164"/>
        <v>913.75653622499999</v>
      </c>
      <c r="O157" s="2024">
        <f t="shared" si="164"/>
        <v>1015.2850402500001</v>
      </c>
      <c r="P157" s="2024">
        <f t="shared" si="164"/>
        <v>1116.8135442750001</v>
      </c>
      <c r="Q157" s="2024">
        <f t="shared" si="164"/>
        <v>1218.3420483</v>
      </c>
      <c r="R157" s="2024">
        <f t="shared" si="164"/>
        <v>1319.8705523250001</v>
      </c>
      <c r="S157" s="2024">
        <f t="shared" si="164"/>
        <v>1421.3990563499999</v>
      </c>
      <c r="T157" s="2024">
        <f t="shared" si="164"/>
        <v>1522.927560375</v>
      </c>
      <c r="U157" s="2024">
        <f t="shared" si="164"/>
        <v>1624.4560644000003</v>
      </c>
      <c r="V157" s="2024">
        <f t="shared" si="164"/>
        <v>1725.9845684249999</v>
      </c>
      <c r="W157" s="2024">
        <f t="shared" si="164"/>
        <v>1827.51307245</v>
      </c>
      <c r="X157" s="2024">
        <f t="shared" si="164"/>
        <v>1929.0415764749998</v>
      </c>
      <c r="Y157" s="2024">
        <f t="shared" si="164"/>
        <v>2030.5700805000001</v>
      </c>
      <c r="Z157" s="2024">
        <f t="shared" si="164"/>
        <v>2132.0985845250002</v>
      </c>
      <c r="AA157" s="2024">
        <f t="shared" si="164"/>
        <v>2233.6270885500003</v>
      </c>
      <c r="AB157" s="2024">
        <f t="shared" si="164"/>
        <v>2335.1555925749994</v>
      </c>
      <c r="AC157" s="2024">
        <f t="shared" si="164"/>
        <v>2436.6840966</v>
      </c>
      <c r="AD157" s="2024">
        <f t="shared" si="164"/>
        <v>2538.2126006250001</v>
      </c>
      <c r="AE157" s="2024">
        <f t="shared" si="164"/>
        <v>2639.7411046500001</v>
      </c>
      <c r="AF157" s="2024">
        <f t="shared" si="164"/>
        <v>2741.2696086750002</v>
      </c>
      <c r="AG157" s="2024">
        <f t="shared" si="164"/>
        <v>2842.7981126999998</v>
      </c>
      <c r="AH157" s="2024">
        <f t="shared" si="164"/>
        <v>2944.3266167249999</v>
      </c>
      <c r="AI157" s="2024">
        <f t="shared" si="164"/>
        <v>3045.85512075</v>
      </c>
      <c r="AJ157" s="2024">
        <f t="shared" si="164"/>
        <v>3147.383624775</v>
      </c>
      <c r="AK157" s="2024">
        <f t="shared" si="164"/>
        <v>3248.9121288000006</v>
      </c>
      <c r="AL157" s="2024">
        <f t="shared" si="164"/>
        <v>3350.4406328249997</v>
      </c>
      <c r="AM157" s="2024">
        <f t="shared" si="164"/>
        <v>3451.9691368499998</v>
      </c>
      <c r="AN157" s="2024">
        <f t="shared" si="164"/>
        <v>3553.4976408749999</v>
      </c>
      <c r="AO157" s="2024">
        <f t="shared" si="164"/>
        <v>3655.0261449</v>
      </c>
      <c r="AP157" s="2024">
        <f t="shared" si="164"/>
        <v>3756.5546489250005</v>
      </c>
      <c r="AQ157" s="2024">
        <f t="shared" si="164"/>
        <v>3858.0831529499997</v>
      </c>
      <c r="AR157" s="2024">
        <f t="shared" si="164"/>
        <v>3959.6116569750002</v>
      </c>
      <c r="AS157" s="2024">
        <f t="shared" si="164"/>
        <v>4061.1401610000003</v>
      </c>
      <c r="AT157" s="2024">
        <f t="shared" si="164"/>
        <v>4162.6686650249994</v>
      </c>
      <c r="AU157" s="2024">
        <f t="shared" si="164"/>
        <v>4264.1971690500004</v>
      </c>
      <c r="AV157" s="2024">
        <f t="shared" si="164"/>
        <v>4365.7256730750005</v>
      </c>
      <c r="AW157" s="2024">
        <f t="shared" si="164"/>
        <v>4467.2541771000006</v>
      </c>
      <c r="AX157" s="2024">
        <f t="shared" si="164"/>
        <v>4568.7826811249997</v>
      </c>
      <c r="AY157" s="2024">
        <f t="shared" si="164"/>
        <v>4670.3111851499989</v>
      </c>
      <c r="AZ157" s="2024">
        <f t="shared" si="164"/>
        <v>4771.8396891749999</v>
      </c>
      <c r="BA157" s="2024">
        <f t="shared" si="164"/>
        <v>4873.3681932</v>
      </c>
      <c r="BB157" s="2024">
        <f t="shared" si="164"/>
        <v>4974.896697225</v>
      </c>
      <c r="BC157" s="2024">
        <f t="shared" si="164"/>
        <v>5076.4252012500001</v>
      </c>
      <c r="BD157" s="2024">
        <f t="shared" si="164"/>
        <v>5177.9537052750002</v>
      </c>
      <c r="BE157" s="2024">
        <f t="shared" si="164"/>
        <v>5279.4822093000002</v>
      </c>
      <c r="BF157" s="2024">
        <f t="shared" si="164"/>
        <v>5381.0107133250003</v>
      </c>
      <c r="BG157" s="954">
        <f t="shared" ref="BG157:BX157" si="165">((BG$126-$H$4)/1000)*IF($C$13=0,$K$29,$K$46)*(($C$8/70)^$V$46)*IF($C$13=1,$AG$48,IF($C$13=2,$AH$48,IF($C$13=3,$AI$48,1)))*0.95</f>
        <v>-5968.8452380743347</v>
      </c>
      <c r="BH157" s="954">
        <f t="shared" si="165"/>
        <v>-5968.8452380743347</v>
      </c>
      <c r="BI157" s="954">
        <f t="shared" si="165"/>
        <v>-5968.8452380743347</v>
      </c>
      <c r="BJ157" s="954">
        <f t="shared" si="165"/>
        <v>1542.7914903532867</v>
      </c>
      <c r="BK157" s="954">
        <f t="shared" si="165"/>
        <v>2293.9551631960489</v>
      </c>
      <c r="BL157" s="954">
        <f t="shared" si="165"/>
        <v>3045.118836038811</v>
      </c>
      <c r="BM157" s="954">
        <f t="shared" si="165"/>
        <v>3796.2825088815734</v>
      </c>
      <c r="BN157" s="954">
        <f t="shared" si="165"/>
        <v>4547.4461817243355</v>
      </c>
      <c r="BO157" s="954">
        <f t="shared" si="165"/>
        <v>5298.6098545670984</v>
      </c>
      <c r="BP157" s="954">
        <f t="shared" si="165"/>
        <v>6049.7735274098613</v>
      </c>
      <c r="BQ157" s="954">
        <f t="shared" si="165"/>
        <v>6800.9372002526234</v>
      </c>
      <c r="BR157" s="954">
        <f t="shared" si="165"/>
        <v>7552.1008730953854</v>
      </c>
      <c r="BS157" s="954">
        <f t="shared" si="165"/>
        <v>8303.2645459381456</v>
      </c>
      <c r="BT157" s="954">
        <f t="shared" si="165"/>
        <v>9054.4282187809094</v>
      </c>
      <c r="BU157" s="954">
        <f t="shared" si="165"/>
        <v>9805.5918916236715</v>
      </c>
      <c r="BV157" s="954">
        <f t="shared" si="165"/>
        <v>10556.755564466433</v>
      </c>
      <c r="BW157" s="954">
        <f t="shared" si="165"/>
        <v>11307.919237309196</v>
      </c>
      <c r="BX157" s="954">
        <f t="shared" si="165"/>
        <v>12059.082910151958</v>
      </c>
      <c r="BY157" s="954">
        <f t="shared" ref="BY157:DF157" si="166">((BY$126-$H$4)/1000)*IF($C$13=0,$K$29,$K$46)*(($C$8/70)^$V$46)*IF($C$13=1,$AG$48,IF($C$13=2,$AH$48,IF($C$13=3,$AI$48,1)))*0.95</f>
        <v>12810.246582994721</v>
      </c>
      <c r="BZ157" s="954">
        <f t="shared" si="166"/>
        <v>13561.410255837483</v>
      </c>
      <c r="CA157" s="954">
        <f t="shared" si="166"/>
        <v>14312.573928680245</v>
      </c>
      <c r="CB157" s="954">
        <f t="shared" si="166"/>
        <v>15063.737601523007</v>
      </c>
      <c r="CC157" s="954">
        <f t="shared" si="166"/>
        <v>15814.901274365771</v>
      </c>
      <c r="CD157" s="954">
        <f t="shared" si="166"/>
        <v>16566.064947208532</v>
      </c>
      <c r="CE157" s="954">
        <f t="shared" si="166"/>
        <v>17317.228620051294</v>
      </c>
      <c r="CF157" s="954">
        <f t="shared" si="166"/>
        <v>18068.392292894059</v>
      </c>
      <c r="CG157" s="954">
        <f t="shared" si="166"/>
        <v>18819.555965736818</v>
      </c>
      <c r="CH157" s="954">
        <f t="shared" si="166"/>
        <v>19570.719638579583</v>
      </c>
      <c r="CI157" s="954">
        <f t="shared" si="166"/>
        <v>20321.883311422338</v>
      </c>
      <c r="CJ157" s="954">
        <f t="shared" si="166"/>
        <v>21073.046984265104</v>
      </c>
      <c r="CK157" s="954">
        <f t="shared" si="166"/>
        <v>21824.210657107862</v>
      </c>
      <c r="CL157" s="954">
        <f t="shared" si="166"/>
        <v>22575.374329950628</v>
      </c>
      <c r="CM157" s="954">
        <f t="shared" si="166"/>
        <v>23326.538002793393</v>
      </c>
      <c r="CN157" s="954">
        <f t="shared" si="166"/>
        <v>24077.701675636155</v>
      </c>
      <c r="CO157" s="954">
        <f t="shared" si="166"/>
        <v>24828.865348478914</v>
      </c>
      <c r="CP157" s="954">
        <f t="shared" si="166"/>
        <v>25580.029021321679</v>
      </c>
      <c r="CQ157" s="954">
        <f t="shared" si="166"/>
        <v>26331.192694164441</v>
      </c>
      <c r="CR157" s="954">
        <f t="shared" si="166"/>
        <v>27082.356367007207</v>
      </c>
      <c r="CS157" s="954">
        <f t="shared" si="166"/>
        <v>27833.520039849962</v>
      </c>
      <c r="CT157" s="954">
        <f t="shared" si="166"/>
        <v>28584.683712692728</v>
      </c>
      <c r="CU157" s="954">
        <f t="shared" si="166"/>
        <v>29335.84738553549</v>
      </c>
      <c r="CV157" s="954">
        <f t="shared" si="166"/>
        <v>30087.011058378244</v>
      </c>
      <c r="CW157" s="954">
        <f t="shared" si="166"/>
        <v>30838.174731221017</v>
      </c>
      <c r="CX157" s="954">
        <f t="shared" si="166"/>
        <v>31589.338404063776</v>
      </c>
      <c r="CY157" s="954">
        <f t="shared" si="166"/>
        <v>32340.502076906545</v>
      </c>
      <c r="CZ157" s="954">
        <f t="shared" si="166"/>
        <v>33091.665749749307</v>
      </c>
      <c r="DA157" s="954">
        <f t="shared" si="166"/>
        <v>33842.829422592062</v>
      </c>
      <c r="DB157" s="954">
        <f t="shared" si="166"/>
        <v>34593.993095434831</v>
      </c>
      <c r="DC157" s="954">
        <f t="shared" si="166"/>
        <v>35345.156768277586</v>
      </c>
      <c r="DD157" s="954">
        <f t="shared" si="166"/>
        <v>36096.320441120355</v>
      </c>
      <c r="DE157" s="954">
        <f t="shared" si="166"/>
        <v>36847.484113963117</v>
      </c>
      <c r="DF157" s="954">
        <f t="shared" si="166"/>
        <v>37598.647786805872</v>
      </c>
    </row>
  </sheetData>
  <sheetProtection algorithmName="SHA-512" hashValue="FMhBD5rKlLhUcCMKOz7Llt2Cn71fzNGNedHN0gYteFg4jDqSxwSCgOknYuvelxtcXP583F9Po8nZhYOxLSP3aQ==" saltValue="b+rcb9GRYQf7sVz5l10l8A==" spinCount="100000" sheet="1" objects="1" scenarios="1"/>
  <mergeCells count="145">
    <mergeCell ref="J54:R54"/>
    <mergeCell ref="T54:AB54"/>
    <mergeCell ref="K55:K56"/>
    <mergeCell ref="J36:AD36"/>
    <mergeCell ref="U37:AD37"/>
    <mergeCell ref="J37:S37"/>
    <mergeCell ref="U20:AD20"/>
    <mergeCell ref="J20:S20"/>
    <mergeCell ref="P21:Q21"/>
    <mergeCell ref="AA21:AB21"/>
    <mergeCell ref="AA38:AB38"/>
    <mergeCell ref="P38:Q38"/>
    <mergeCell ref="K38:K39"/>
    <mergeCell ref="L38:L39"/>
    <mergeCell ref="M38:M39"/>
    <mergeCell ref="N38:O38"/>
    <mergeCell ref="R38:S38"/>
    <mergeCell ref="V38:V39"/>
    <mergeCell ref="W38:W39"/>
    <mergeCell ref="A87:A126"/>
    <mergeCell ref="B147:C147"/>
    <mergeCell ref="B148:C148"/>
    <mergeCell ref="B91:C91"/>
    <mergeCell ref="D85:D86"/>
    <mergeCell ref="E85:E86"/>
    <mergeCell ref="F85:F86"/>
    <mergeCell ref="G85:G86"/>
    <mergeCell ref="H85:BF85"/>
    <mergeCell ref="B130:C131"/>
    <mergeCell ref="B132:C132"/>
    <mergeCell ref="B133:C133"/>
    <mergeCell ref="H130:BF130"/>
    <mergeCell ref="D130:D131"/>
    <mergeCell ref="E130:E131"/>
    <mergeCell ref="F130:F131"/>
    <mergeCell ref="G130:G131"/>
    <mergeCell ref="B124:C124"/>
    <mergeCell ref="B111:C111"/>
    <mergeCell ref="B121:C121"/>
    <mergeCell ref="B122:C122"/>
    <mergeCell ref="B123:C123"/>
    <mergeCell ref="B114:C114"/>
    <mergeCell ref="B115:C115"/>
    <mergeCell ref="B107:C107"/>
    <mergeCell ref="B108:C108"/>
    <mergeCell ref="B97:C97"/>
    <mergeCell ref="B98:C98"/>
    <mergeCell ref="B99:C99"/>
    <mergeCell ref="B90:C90"/>
    <mergeCell ref="B100:C100"/>
    <mergeCell ref="B101:C101"/>
    <mergeCell ref="J70:R70"/>
    <mergeCell ref="N71:O71"/>
    <mergeCell ref="B85:C86"/>
    <mergeCell ref="B84:C84"/>
    <mergeCell ref="B82:B83"/>
    <mergeCell ref="B87:C87"/>
    <mergeCell ref="B88:C88"/>
    <mergeCell ref="Q71:R71"/>
    <mergeCell ref="B116:C116"/>
    <mergeCell ref="B118:C118"/>
    <mergeCell ref="B117:C117"/>
    <mergeCell ref="B119:C119"/>
    <mergeCell ref="B120:C120"/>
    <mergeCell ref="B89:C89"/>
    <mergeCell ref="B125:C125"/>
    <mergeCell ref="B127:C127"/>
    <mergeCell ref="B128:C128"/>
    <mergeCell ref="B112:C112"/>
    <mergeCell ref="B102:C102"/>
    <mergeCell ref="B126:C126"/>
    <mergeCell ref="B113:C113"/>
    <mergeCell ref="B92:C92"/>
    <mergeCell ref="B93:C93"/>
    <mergeCell ref="B94:C94"/>
    <mergeCell ref="B95:C95"/>
    <mergeCell ref="B96:C96"/>
    <mergeCell ref="B103:C103"/>
    <mergeCell ref="B104:C104"/>
    <mergeCell ref="B105:C105"/>
    <mergeCell ref="B106:C106"/>
    <mergeCell ref="B109:C109"/>
    <mergeCell ref="B110:C110"/>
    <mergeCell ref="B153:C153"/>
    <mergeCell ref="H135:BF135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35:C136"/>
    <mergeCell ref="B137:C137"/>
    <mergeCell ref="B149:C149"/>
    <mergeCell ref="B150:C150"/>
    <mergeCell ref="B151:C151"/>
    <mergeCell ref="B152:C152"/>
    <mergeCell ref="J1:AE3"/>
    <mergeCell ref="K21:K22"/>
    <mergeCell ref="L21:L22"/>
    <mergeCell ref="M21:M22"/>
    <mergeCell ref="N21:O21"/>
    <mergeCell ref="R21:S21"/>
    <mergeCell ref="V21:V22"/>
    <mergeCell ref="W21:W22"/>
    <mergeCell ref="X21:X22"/>
    <mergeCell ref="Y21:Z21"/>
    <mergeCell ref="AC21:AD21"/>
    <mergeCell ref="AD70:AG70"/>
    <mergeCell ref="AD55:AG55"/>
    <mergeCell ref="K71:K72"/>
    <mergeCell ref="L71:L72"/>
    <mergeCell ref="M71:M72"/>
    <mergeCell ref="P55:P56"/>
    <mergeCell ref="Q55:R55"/>
    <mergeCell ref="L55:L56"/>
    <mergeCell ref="M55:M56"/>
    <mergeCell ref="N55:O55"/>
    <mergeCell ref="B154:C155"/>
    <mergeCell ref="H154:BF154"/>
    <mergeCell ref="B156:C156"/>
    <mergeCell ref="B157:C157"/>
    <mergeCell ref="AF38:AI38"/>
    <mergeCell ref="AF21:AI21"/>
    <mergeCell ref="U71:U72"/>
    <mergeCell ref="V71:V72"/>
    <mergeCell ref="W71:W72"/>
    <mergeCell ref="X71:Y71"/>
    <mergeCell ref="Z71:Z72"/>
    <mergeCell ref="AA71:AB71"/>
    <mergeCell ref="X38:X39"/>
    <mergeCell ref="Y38:Z38"/>
    <mergeCell ref="AC38:AD38"/>
    <mergeCell ref="T70:AB70"/>
    <mergeCell ref="U55:U56"/>
    <mergeCell ref="V55:V56"/>
    <mergeCell ref="W55:W56"/>
    <mergeCell ref="X55:Y55"/>
    <mergeCell ref="Z55:Z56"/>
    <mergeCell ref="AA55:AB55"/>
    <mergeCell ref="J53:AB53"/>
    <mergeCell ref="P71:P72"/>
  </mergeCells>
  <conditionalFormatting sqref="J103:BH107 J121:BH124 J109:BH111 J108:DF108 J125:K128">
    <cfRule type="cellIs" dxfId="71" priority="44" operator="between">
      <formula>$J$11</formula>
      <formula>$J$12</formula>
    </cfRule>
  </conditionalFormatting>
  <conditionalFormatting sqref="H134:BF134">
    <cfRule type="cellIs" dxfId="70" priority="29" operator="between">
      <formula>$J$11</formula>
      <formula>$J$12</formula>
    </cfRule>
  </conditionalFormatting>
  <conditionalFormatting sqref="J95:BH98">
    <cfRule type="cellIs" dxfId="69" priority="26" operator="between">
      <formula>$J$11</formula>
      <formula>$J$12</formula>
    </cfRule>
  </conditionalFormatting>
  <conditionalFormatting sqref="J91:BH94">
    <cfRule type="cellIs" dxfId="68" priority="25" operator="between">
      <formula>$J$11</formula>
      <formula>$J$12</formula>
    </cfRule>
  </conditionalFormatting>
  <conditionalFormatting sqref="J87:BH90">
    <cfRule type="cellIs" dxfId="67" priority="24" operator="between">
      <formula>$J$11</formula>
      <formula>$J$12</formula>
    </cfRule>
  </conditionalFormatting>
  <conditionalFormatting sqref="J99:BH102">
    <cfRule type="cellIs" dxfId="66" priority="23" operator="between">
      <formula>$J$11</formula>
      <formula>$J$12</formula>
    </cfRule>
  </conditionalFormatting>
  <conditionalFormatting sqref="H137:DF153">
    <cfRule type="cellIs" dxfId="65" priority="20" operator="between">
      <formula>$J$11</formula>
      <formula>$J$12</formula>
    </cfRule>
  </conditionalFormatting>
  <conditionalFormatting sqref="H132:DF133">
    <cfRule type="cellIs" dxfId="64" priority="15" operator="between">
      <formula>$J$11</formula>
      <formula>$J$12</formula>
    </cfRule>
  </conditionalFormatting>
  <conditionalFormatting sqref="J113:DF116 J117:K120 BG117:DF120">
    <cfRule type="cellIs" dxfId="63" priority="11" operator="between">
      <formula>$J$11</formula>
      <formula>$J$12</formula>
    </cfRule>
  </conditionalFormatting>
  <conditionalFormatting sqref="L127:DF128">
    <cfRule type="cellIs" dxfId="62" priority="4" operator="between">
      <formula>$J$11</formula>
      <formula>$J$12</formula>
    </cfRule>
  </conditionalFormatting>
  <conditionalFormatting sqref="L117:BF118">
    <cfRule type="cellIs" dxfId="61" priority="7" operator="between">
      <formula>$J$11</formula>
      <formula>$J$12</formula>
    </cfRule>
  </conditionalFormatting>
  <conditionalFormatting sqref="L119:BF120">
    <cfRule type="cellIs" dxfId="60" priority="6" operator="between">
      <formula>$J$11</formula>
      <formula>$J$12</formula>
    </cfRule>
  </conditionalFormatting>
  <conditionalFormatting sqref="L125:DF126">
    <cfRule type="cellIs" dxfId="59" priority="5" operator="between">
      <formula>$J$11</formula>
      <formula>$J$12</formula>
    </cfRule>
  </conditionalFormatting>
  <conditionalFormatting sqref="J112:DF112">
    <cfRule type="cellIs" dxfId="58" priority="3" operator="between">
      <formula>$J$11</formula>
      <formula>$J$12</formula>
    </cfRule>
  </conditionalFormatting>
  <conditionalFormatting sqref="J157:DF157">
    <cfRule type="cellIs" dxfId="57" priority="1" operator="between">
      <formula>$J$11</formula>
      <formula>$J$12</formula>
    </cfRule>
  </conditionalFormatting>
  <conditionalFormatting sqref="J156:DF156">
    <cfRule type="cellIs" dxfId="56" priority="2" operator="between">
      <formula>$J$11</formula>
      <formula>$J$12</formula>
    </cfRule>
  </conditionalFormatting>
  <dataValidations disablePrompts="1" count="1">
    <dataValidation type="list" allowBlank="1" showInputMessage="1" showErrorMessage="1" sqref="D13:G18 C13" xr:uid="{00000000-0002-0000-0600-000000000000}">
      <formula1>$AF$22:$AI$22</formula1>
    </dataValidation>
  </dataValidations>
  <hyperlinks>
    <hyperlink ref="A1:I1" location="Главная!A1" display="Вернуться на главную страницу" xr:uid="{00000000-0004-0000-0600-000000000000}"/>
    <hyperlink ref="B87:C90" location="'65 ВЕНТ 24В'!R1C1" display="ВКВ.065.260.ХХХ.2ТГ" xr:uid="{00000000-0004-0000-0600-000001000000}"/>
    <hyperlink ref="B91:C94" location="'70 ВЕНТ 24В'!R1C1" display="ВКВ.070.260.ХХХ.2ТГ" xr:uid="{00000000-0004-0000-0600-000002000000}"/>
    <hyperlink ref="B95:C98" location="'75 ВЕНТ 24В'!R1C1" display="ВКВ.075.260.ХХХ.2ТГ" xr:uid="{00000000-0004-0000-0600-000003000000}"/>
    <hyperlink ref="B99:C102" location="'80 ВЕНТ 24В'!R1C1" display="ВКВ.080.260.ХХХ.2ТГ" xr:uid="{00000000-0004-0000-0600-000004000000}"/>
    <hyperlink ref="B103:C107" location="'90 ВЕНТ 24В'!R1C1" display="ВКВ.090.200.ХХХ.2ТГ" xr:uid="{00000000-0004-0000-0600-000005000000}"/>
    <hyperlink ref="B108:C111" location="'110 ВЕНТ 24В'!R1C1" display="ВКВ.110.200.ХХХ.2ТГ" xr:uid="{00000000-0004-0000-0600-000006000000}"/>
    <hyperlink ref="B137:C137" location="ВКВ.ЭКО.75!R1C1" display="ВКВ.ЭКОНОМ.075.260.ХХХ.2ТГ" xr:uid="{00000000-0004-0000-0600-000007000000}"/>
    <hyperlink ref="B142:C142" location="ВКВ.ЭКО.90!R1C1" display="ВКВ.ЭКОНОМ.090.260.ХХХ.2ТГ" xr:uid="{00000000-0004-0000-0600-000008000000}"/>
    <hyperlink ref="B132:C133" location="ВКВТХ!R1C1" display="ВКВТХ.130.260.ХХХ.4ТК" xr:uid="{00000000-0004-0000-0600-000009000000}"/>
    <hyperlink ref="B113:C118" location="'140 ВЕНТ 24В'!A1" display="ВКВ.140.160.ХХХ.2ТГ" xr:uid="{00000000-0004-0000-0600-00000A000000}"/>
    <hyperlink ref="B121:C126" location="'150 ВЕНТ 24В'!R1C1" display="ВКВ.150.160.ХХХ.2ТВ" xr:uid="{00000000-0004-0000-0600-00000B000000}"/>
    <hyperlink ref="B128:C128" location="'150 ВЕНТ 24В'!R1C1" display="ВКВ.150.160.ХХХ.2ТВ" xr:uid="{00000000-0004-0000-0600-00000C000000}"/>
    <hyperlink ref="B125:C125" location="'150 ВЕНТ 24В'!R1C1" display="ВКВ.150.160.ХХХ.2ТВ" xr:uid="{00000000-0004-0000-0600-00000D000000}"/>
    <hyperlink ref="B127:C127" location="'150 ВЕНТ 24В'!R1C1" display="ВКВ.150.160.ХХХ.2ТВ" xr:uid="{00000000-0004-0000-0600-00000E000000}"/>
    <hyperlink ref="B112:C112" location="'110 ВЕНТ 24В'!R1C1" display="ВКВ.110.200.ХХХ.2ТГ" xr:uid="{00000000-0004-0000-0600-00000F000000}"/>
    <hyperlink ref="B156:C156" location="'90 ВЕНТ 24В'!R1C1" display="ВКВ.090.200.ХХХ.2ТГ" xr:uid="{DED8F896-6858-476C-B6AA-8472B3B75EE5}"/>
    <hyperlink ref="B156:C157" location="ВКВП!A1" display="ВКВП.085.180.ХХХ.2ТГ.24V" xr:uid="{69D0B063-E3EF-471F-ACBC-7C92C1CB3DF0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71C98-53B6-40E3-B455-6CAE0378F486}">
  <sheetPr>
    <tabColor rgb="FF006666"/>
  </sheetPr>
  <dimension ref="A1:DS249"/>
  <sheetViews>
    <sheetView zoomScale="70" zoomScaleNormal="70" workbookViewId="0">
      <selection activeCell="AN15" sqref="AN15"/>
    </sheetView>
  </sheetViews>
  <sheetFormatPr defaultRowHeight="15"/>
  <cols>
    <col min="1" max="1" width="7.85546875" style="571" customWidth="1"/>
    <col min="2" max="2" width="28.28515625" style="571" customWidth="1"/>
    <col min="3" max="3" width="11.5703125" style="571" customWidth="1"/>
    <col min="4" max="4" width="9" style="571" customWidth="1"/>
    <col min="5" max="8" width="6.140625" style="571" hidden="1" customWidth="1"/>
    <col min="9" max="10" width="6.42578125" style="571" hidden="1" customWidth="1"/>
    <col min="11" max="59" width="6.42578125" style="571" customWidth="1"/>
    <col min="60" max="111" width="0" style="571" hidden="1" customWidth="1"/>
    <col min="112" max="113" width="5" style="571" customWidth="1"/>
    <col min="114" max="118" width="9.5703125" style="571" customWidth="1"/>
    <col min="119" max="16384" width="9.140625" style="571"/>
  </cols>
  <sheetData>
    <row r="1" spans="1:123" s="65" customFormat="1" ht="16.5" customHeight="1">
      <c r="A1" s="1850" t="s">
        <v>9</v>
      </c>
      <c r="B1" s="1850"/>
      <c r="C1" s="1850"/>
      <c r="D1" s="1850"/>
      <c r="E1" s="1850"/>
      <c r="F1" s="1850"/>
      <c r="G1" s="88"/>
      <c r="H1" s="1850"/>
      <c r="I1" s="1850"/>
      <c r="J1" s="1850"/>
      <c r="K1" s="2795" t="s">
        <v>7700</v>
      </c>
      <c r="L1" s="2796"/>
      <c r="M1" s="2796"/>
      <c r="N1" s="2796"/>
      <c r="O1" s="2796"/>
      <c r="P1" s="2796"/>
      <c r="Q1" s="2796"/>
      <c r="R1" s="2796"/>
      <c r="S1" s="2796"/>
      <c r="T1" s="2796"/>
      <c r="U1" s="2796"/>
      <c r="V1" s="2796"/>
      <c r="W1" s="2796"/>
      <c r="X1" s="2796"/>
      <c r="Y1" s="2796"/>
      <c r="Z1" s="2796"/>
      <c r="AA1" s="2796"/>
      <c r="AB1" s="2796"/>
      <c r="AC1" s="2796"/>
      <c r="AD1" s="2796"/>
      <c r="AE1" s="2796"/>
      <c r="AF1" s="2796"/>
      <c r="AH1" s="571"/>
      <c r="AI1" s="571"/>
      <c r="AJ1" s="571"/>
      <c r="AK1" s="571"/>
      <c r="AL1" s="571"/>
      <c r="AM1" s="571"/>
      <c r="AN1" s="571"/>
      <c r="AO1" s="571"/>
      <c r="AP1" s="571"/>
      <c r="AQ1" s="571"/>
      <c r="AR1" s="571"/>
      <c r="AS1" s="571"/>
      <c r="AT1" s="571"/>
      <c r="AU1" s="571"/>
      <c r="AV1" s="571"/>
      <c r="AW1" s="571"/>
      <c r="AX1" s="571"/>
      <c r="AY1" s="571"/>
      <c r="AZ1" s="571"/>
      <c r="BA1" s="571"/>
      <c r="BB1" s="571"/>
      <c r="BC1" s="571"/>
      <c r="BD1" s="571"/>
      <c r="BE1" s="571"/>
      <c r="BF1" s="571"/>
      <c r="BG1" s="571"/>
      <c r="BH1" s="571"/>
      <c r="BI1" s="571"/>
      <c r="BJ1" s="571"/>
      <c r="BK1" s="571"/>
      <c r="BL1" s="571"/>
      <c r="BM1" s="571"/>
      <c r="BN1" s="571"/>
      <c r="BO1" s="571"/>
      <c r="BP1" s="571"/>
      <c r="BQ1" s="571"/>
      <c r="BR1" s="571"/>
      <c r="BS1" s="571"/>
      <c r="BT1" s="571"/>
      <c r="BU1" s="571"/>
      <c r="BV1" s="571"/>
      <c r="BW1" s="571"/>
      <c r="BX1" s="571"/>
      <c r="BY1" s="571"/>
      <c r="BZ1" s="571"/>
      <c r="CA1" s="571"/>
      <c r="CB1" s="571"/>
      <c r="CC1" s="571"/>
      <c r="CD1" s="571"/>
      <c r="CE1" s="571"/>
      <c r="CF1" s="571"/>
      <c r="CG1" s="571"/>
      <c r="CH1" s="571"/>
      <c r="CI1" s="571"/>
      <c r="CJ1" s="571"/>
      <c r="CK1" s="571"/>
      <c r="CL1" s="571"/>
      <c r="CM1" s="571"/>
      <c r="CN1" s="571"/>
      <c r="CO1" s="571"/>
      <c r="CP1" s="571"/>
      <c r="CQ1" s="571"/>
      <c r="CR1" s="571"/>
      <c r="CS1" s="571"/>
      <c r="CT1" s="571"/>
      <c r="CU1" s="571"/>
      <c r="CV1" s="571"/>
      <c r="CW1" s="571"/>
      <c r="CX1" s="571"/>
      <c r="CY1" s="571"/>
      <c r="CZ1" s="571"/>
      <c r="DA1" s="571"/>
      <c r="DB1" s="571"/>
      <c r="DC1" s="571"/>
      <c r="DD1" s="571"/>
      <c r="DE1" s="571"/>
      <c r="DF1" s="571"/>
      <c r="DG1" s="571"/>
      <c r="DH1" s="571"/>
      <c r="DI1" s="571"/>
      <c r="DJ1" s="571"/>
      <c r="DK1" s="571"/>
      <c r="DL1" s="571"/>
      <c r="DM1" s="571"/>
      <c r="DN1" s="571"/>
      <c r="DO1" s="571"/>
      <c r="DP1" s="571"/>
      <c r="DQ1" s="571"/>
      <c r="DR1" s="571"/>
      <c r="DS1" s="571"/>
    </row>
    <row r="2" spans="1:123">
      <c r="K2" s="2795"/>
      <c r="L2" s="2796"/>
      <c r="M2" s="2796"/>
      <c r="N2" s="2796"/>
      <c r="O2" s="2796"/>
      <c r="P2" s="2796"/>
      <c r="Q2" s="2796"/>
      <c r="R2" s="2796"/>
      <c r="S2" s="2796"/>
      <c r="T2" s="2796"/>
      <c r="U2" s="2796"/>
      <c r="V2" s="2796"/>
      <c r="W2" s="2796"/>
      <c r="X2" s="2796"/>
      <c r="Y2" s="2796"/>
      <c r="Z2" s="2796"/>
      <c r="AA2" s="2796"/>
      <c r="AB2" s="2796"/>
      <c r="AC2" s="2796"/>
      <c r="AD2" s="2796"/>
      <c r="AE2" s="2796"/>
      <c r="AF2" s="2796"/>
    </row>
    <row r="3" spans="1:123" ht="15.75" thickBot="1">
      <c r="B3" s="572"/>
      <c r="K3" s="2796"/>
      <c r="L3" s="2796"/>
      <c r="M3" s="2796"/>
      <c r="N3" s="2796"/>
      <c r="O3" s="2796"/>
      <c r="P3" s="2796"/>
      <c r="Q3" s="2796"/>
      <c r="R3" s="2796"/>
      <c r="S3" s="2796"/>
      <c r="T3" s="2796"/>
      <c r="U3" s="2796"/>
      <c r="V3" s="2796"/>
      <c r="W3" s="2796"/>
      <c r="X3" s="2796"/>
      <c r="Y3" s="2796"/>
      <c r="Z3" s="2796"/>
      <c r="AA3" s="2796"/>
      <c r="AB3" s="2796"/>
      <c r="AC3" s="2796"/>
      <c r="AD3" s="2796"/>
      <c r="AE3" s="2796"/>
      <c r="AF3" s="2796"/>
    </row>
    <row r="4" spans="1:123" ht="16.5" hidden="1" customHeight="1">
      <c r="C4" s="573" t="s">
        <v>179</v>
      </c>
      <c r="D4" s="1278"/>
      <c r="E4" s="641"/>
      <c r="F4" s="641"/>
      <c r="G4" s="641"/>
      <c r="H4" s="641"/>
      <c r="I4" s="921">
        <v>350</v>
      </c>
    </row>
    <row r="5" spans="1:123">
      <c r="B5" s="296" t="s">
        <v>180</v>
      </c>
      <c r="C5" s="574">
        <v>95</v>
      </c>
      <c r="D5" s="1278"/>
      <c r="E5" s="1279"/>
      <c r="F5" s="1279"/>
      <c r="G5" s="1279"/>
      <c r="H5" s="1279"/>
      <c r="J5" s="1280"/>
      <c r="K5" s="576"/>
      <c r="L5" s="1280"/>
      <c r="M5" s="576"/>
      <c r="N5" s="1280"/>
      <c r="O5" s="1280"/>
      <c r="P5" s="1280"/>
      <c r="Q5" s="1280"/>
      <c r="R5" s="1280"/>
      <c r="S5" s="1280"/>
      <c r="T5" s="1280"/>
      <c r="U5" s="1280"/>
      <c r="V5" s="1280"/>
      <c r="W5" s="1280"/>
      <c r="X5" s="1280"/>
      <c r="Y5" s="1280"/>
      <c r="Z5" s="1280"/>
      <c r="AA5" s="1280"/>
      <c r="AB5" s="1280"/>
      <c r="AC5" s="1280"/>
      <c r="AD5" s="1280"/>
      <c r="AE5" s="1280"/>
      <c r="AF5" s="1280"/>
      <c r="AG5" s="1280"/>
      <c r="AH5" s="1280"/>
      <c r="AI5" s="1280"/>
      <c r="AJ5" s="1280"/>
      <c r="AK5" s="1280"/>
      <c r="AL5" s="1280"/>
      <c r="AM5" s="1280"/>
      <c r="AN5" s="1280"/>
      <c r="AO5" s="1280"/>
      <c r="AP5" s="1280"/>
      <c r="AQ5" s="1280"/>
      <c r="AR5" s="1280"/>
      <c r="AS5" s="1280"/>
      <c r="AT5" s="1280"/>
      <c r="AU5" s="1280"/>
      <c r="AV5" s="1280"/>
      <c r="AW5" s="1280"/>
      <c r="AX5" s="1280"/>
      <c r="AY5" s="1280"/>
      <c r="AZ5" s="1280"/>
      <c r="BA5" s="1280"/>
      <c r="BB5" s="1280"/>
      <c r="BC5" s="1280"/>
      <c r="BD5" s="1280"/>
      <c r="BE5" s="1280"/>
      <c r="BF5" s="644"/>
      <c r="BG5" s="644"/>
    </row>
    <row r="6" spans="1:123">
      <c r="B6" s="300" t="s">
        <v>181</v>
      </c>
      <c r="C6" s="578">
        <v>85</v>
      </c>
      <c r="D6" s="1278"/>
      <c r="E6" s="1279"/>
      <c r="F6" s="1279"/>
      <c r="G6" s="1279"/>
      <c r="H6" s="1279"/>
      <c r="J6" s="1280"/>
      <c r="K6" s="1280"/>
      <c r="L6" s="1280"/>
      <c r="M6" s="576"/>
      <c r="N6" s="1280"/>
      <c r="O6" s="1280"/>
      <c r="P6" s="1280"/>
      <c r="Q6" s="1280"/>
      <c r="R6" s="1280"/>
      <c r="S6" s="1280"/>
      <c r="T6" s="1280"/>
      <c r="U6" s="1280"/>
      <c r="V6" s="1280"/>
      <c r="W6" s="1280"/>
      <c r="X6" s="1280"/>
      <c r="Y6" s="1280"/>
      <c r="Z6" s="1280"/>
      <c r="AA6" s="1280"/>
      <c r="AB6" s="1280"/>
      <c r="AC6" s="1280"/>
      <c r="AD6" s="1280"/>
      <c r="AE6" s="1280"/>
      <c r="AF6" s="1280"/>
      <c r="AG6" s="1280"/>
      <c r="AH6" s="1280"/>
      <c r="AI6" s="1280"/>
      <c r="AJ6" s="1280"/>
      <c r="AK6" s="1280"/>
      <c r="AL6" s="1280"/>
      <c r="AM6" s="1280"/>
      <c r="AN6" s="1280"/>
      <c r="AO6" s="1280"/>
      <c r="AP6" s="1280"/>
      <c r="AQ6" s="1280"/>
      <c r="AR6" s="1280"/>
      <c r="AS6" s="1280"/>
      <c r="AT6" s="1280"/>
      <c r="AU6" s="1280"/>
      <c r="AV6" s="1280"/>
      <c r="AW6" s="1280"/>
      <c r="AX6" s="1280"/>
      <c r="AY6" s="1280"/>
      <c r="AZ6" s="1280"/>
      <c r="BA6" s="1280"/>
      <c r="BB6" s="1280"/>
      <c r="BC6" s="1280"/>
      <c r="BD6" s="1280"/>
      <c r="BE6" s="1280"/>
      <c r="BF6" s="644"/>
      <c r="BG6" s="644"/>
    </row>
    <row r="7" spans="1:123">
      <c r="B7" s="300" t="s">
        <v>182</v>
      </c>
      <c r="C7" s="578">
        <v>20</v>
      </c>
      <c r="D7" s="1278"/>
      <c r="E7" s="1279"/>
      <c r="F7" s="1279"/>
      <c r="G7" s="1279"/>
      <c r="H7" s="1279"/>
      <c r="J7" s="1280"/>
      <c r="K7" s="1280"/>
      <c r="L7" s="1280"/>
      <c r="M7" s="576"/>
      <c r="N7" s="1280"/>
      <c r="O7" s="1280"/>
      <c r="P7" s="1280"/>
      <c r="Q7" s="1280"/>
      <c r="R7" s="1280"/>
      <c r="S7" s="1280"/>
      <c r="T7" s="1280"/>
      <c r="U7" s="1280"/>
      <c r="V7" s="1280"/>
      <c r="W7" s="1280"/>
      <c r="X7" s="1280"/>
      <c r="Y7" s="1280"/>
      <c r="Z7" s="1280"/>
      <c r="AA7" s="1280"/>
      <c r="AB7" s="1280"/>
      <c r="AC7" s="1280"/>
      <c r="AD7" s="1280"/>
      <c r="AE7" s="1280"/>
      <c r="AF7" s="1280"/>
      <c r="AG7" s="1280"/>
      <c r="AH7" s="1280"/>
      <c r="AI7" s="1280"/>
      <c r="AJ7" s="1280"/>
      <c r="AK7" s="1280"/>
      <c r="AL7" s="1280"/>
      <c r="AM7" s="1280"/>
      <c r="AN7" s="1280"/>
      <c r="AO7" s="1280"/>
      <c r="AP7" s="1280"/>
      <c r="AQ7" s="1280"/>
      <c r="AR7" s="1280"/>
      <c r="AS7" s="1280"/>
      <c r="AT7" s="1280"/>
      <c r="AU7" s="1280"/>
      <c r="AV7" s="1280"/>
      <c r="AW7" s="1280"/>
      <c r="AX7" s="1280"/>
      <c r="AY7" s="1280"/>
      <c r="AZ7" s="1280"/>
      <c r="BA7" s="1280"/>
      <c r="BB7" s="1280"/>
      <c r="BC7" s="1280"/>
      <c r="BD7" s="1280"/>
      <c r="BE7" s="1280"/>
      <c r="BF7" s="644"/>
      <c r="BG7" s="644"/>
    </row>
    <row r="8" spans="1:123" ht="15.75" thickBot="1">
      <c r="B8" s="579" t="s">
        <v>183</v>
      </c>
      <c r="C8" s="580">
        <f>ABS((C5+C6)/2-C7)</f>
        <v>70</v>
      </c>
      <c r="D8" s="1278"/>
      <c r="E8" s="1281"/>
      <c r="F8" s="1281"/>
      <c r="G8" s="1281"/>
      <c r="H8" s="1281"/>
      <c r="J8" s="1280"/>
      <c r="K8" s="1280"/>
      <c r="L8" s="1280"/>
      <c r="M8" s="576"/>
      <c r="N8" s="1280"/>
      <c r="O8" s="1280"/>
      <c r="P8" s="1280"/>
      <c r="Q8" s="1280"/>
      <c r="R8" s="1280"/>
      <c r="S8" s="1280"/>
      <c r="T8" s="1280"/>
      <c r="U8" s="1280"/>
      <c r="V8" s="1280"/>
      <c r="W8" s="1280"/>
      <c r="X8" s="1280"/>
      <c r="Y8" s="1280"/>
      <c r="Z8" s="1280"/>
      <c r="AA8" s="1280"/>
      <c r="AB8" s="1280"/>
      <c r="AC8" s="1280"/>
      <c r="AD8" s="1280"/>
      <c r="AE8" s="1280"/>
      <c r="AF8" s="1280"/>
      <c r="AG8" s="1280"/>
      <c r="AH8" s="1280"/>
      <c r="AI8" s="1280"/>
      <c r="AJ8" s="1280"/>
      <c r="AK8" s="1280"/>
      <c r="AL8" s="1280"/>
      <c r="AM8" s="1280"/>
      <c r="AN8" s="1280"/>
      <c r="AO8" s="1280"/>
      <c r="AP8" s="1280"/>
      <c r="AQ8" s="1280"/>
      <c r="AR8" s="1280"/>
      <c r="AS8" s="1280"/>
      <c r="AT8" s="1280"/>
      <c r="AU8" s="1280"/>
      <c r="AV8" s="1280"/>
      <c r="AW8" s="1280"/>
      <c r="AX8" s="1280"/>
      <c r="AY8" s="1280"/>
      <c r="AZ8" s="1280"/>
      <c r="BA8" s="1280"/>
      <c r="BB8" s="1280"/>
      <c r="BC8" s="1280"/>
      <c r="BD8" s="1280"/>
      <c r="BE8" s="1280"/>
      <c r="BF8" s="644"/>
      <c r="BG8" s="644"/>
    </row>
    <row r="9" spans="1:123" ht="15.75" thickBot="1">
      <c r="B9" s="1278"/>
      <c r="C9" s="1281"/>
      <c r="D9" s="1278"/>
      <c r="E9" s="1281"/>
      <c r="F9" s="1281"/>
      <c r="G9" s="1281"/>
      <c r="H9" s="1281"/>
      <c r="J9" s="1280"/>
      <c r="K9" s="1280"/>
      <c r="L9" s="1280"/>
      <c r="M9" s="576"/>
      <c r="N9" s="1280"/>
      <c r="O9" s="1280"/>
      <c r="P9" s="1280"/>
      <c r="Q9" s="1280"/>
      <c r="R9" s="1280"/>
      <c r="S9" s="1280"/>
      <c r="T9" s="1280"/>
      <c r="U9" s="1280"/>
      <c r="V9" s="1280"/>
      <c r="W9" s="1280"/>
      <c r="X9" s="1280"/>
      <c r="Y9" s="1280"/>
      <c r="Z9" s="1280"/>
      <c r="AA9" s="1280"/>
      <c r="AB9" s="1280"/>
      <c r="AC9" s="1280"/>
      <c r="AD9" s="1280"/>
      <c r="AE9" s="1280"/>
      <c r="AF9" s="1280"/>
      <c r="AG9" s="1280"/>
      <c r="AH9" s="1280"/>
      <c r="AI9" s="1280"/>
      <c r="AJ9" s="1280"/>
      <c r="AK9" s="1280"/>
      <c r="AL9" s="1280"/>
      <c r="AM9" s="1280"/>
      <c r="AN9" s="1280"/>
      <c r="AO9" s="1280"/>
      <c r="AP9" s="1280"/>
      <c r="AQ9" s="1280"/>
      <c r="AR9" s="1280"/>
      <c r="AS9" s="1280"/>
      <c r="AT9" s="1280"/>
      <c r="AU9" s="1280"/>
      <c r="AV9" s="1280"/>
      <c r="AW9" s="1280"/>
      <c r="AX9" s="1280"/>
      <c r="AY9" s="1280"/>
      <c r="AZ9" s="1280"/>
      <c r="BA9" s="1280"/>
      <c r="BB9" s="1280"/>
      <c r="BC9" s="1280"/>
      <c r="BD9" s="1280"/>
      <c r="BE9" s="1280"/>
      <c r="BF9" s="644"/>
      <c r="BG9" s="644"/>
    </row>
    <row r="10" spans="1:123">
      <c r="B10" s="583" t="s">
        <v>282</v>
      </c>
      <c r="C10" s="297">
        <v>4000</v>
      </c>
      <c r="D10" s="1278"/>
      <c r="E10" s="1279"/>
      <c r="F10" s="1279"/>
      <c r="G10" s="1279"/>
      <c r="H10" s="1279"/>
      <c r="J10" s="576"/>
      <c r="K10" s="576"/>
      <c r="L10" s="1280"/>
      <c r="M10" s="576"/>
      <c r="N10" s="1280"/>
      <c r="O10" s="1280"/>
      <c r="P10" s="1280"/>
      <c r="Q10" s="1280"/>
      <c r="R10" s="1280"/>
      <c r="S10" s="1280"/>
      <c r="T10" s="1280"/>
      <c r="U10" s="1280"/>
      <c r="V10" s="1280"/>
      <c r="W10" s="1280"/>
      <c r="X10" s="1280"/>
      <c r="Y10" s="1280"/>
      <c r="Z10" s="1280"/>
      <c r="AA10" s="1280"/>
      <c r="AB10" s="1280"/>
      <c r="AC10" s="1280"/>
      <c r="AD10" s="1280"/>
      <c r="AE10" s="1280"/>
      <c r="AF10" s="1280"/>
      <c r="AG10" s="1280"/>
      <c r="AH10" s="1280"/>
      <c r="AI10" s="1280"/>
      <c r="AJ10" s="1280"/>
      <c r="AK10" s="1280"/>
      <c r="AL10" s="1280"/>
      <c r="AM10" s="1280"/>
      <c r="AN10" s="1280"/>
      <c r="AO10" s="1280"/>
      <c r="AP10" s="1280"/>
      <c r="AQ10" s="1280"/>
      <c r="AR10" s="1280"/>
      <c r="AS10" s="1280"/>
      <c r="AT10" s="1280"/>
      <c r="AU10" s="1280"/>
      <c r="AV10" s="1280"/>
      <c r="AW10" s="1280"/>
      <c r="AX10" s="1280"/>
      <c r="AY10" s="1280"/>
      <c r="AZ10" s="1280"/>
      <c r="BA10" s="1280"/>
      <c r="BB10" s="1280"/>
      <c r="BC10" s="1280"/>
      <c r="BD10" s="1280"/>
      <c r="BE10" s="1280"/>
      <c r="BF10" s="644"/>
      <c r="BG10" s="644"/>
    </row>
    <row r="11" spans="1:123" ht="14.25" customHeight="1">
      <c r="B11" s="584" t="s">
        <v>185</v>
      </c>
      <c r="C11" s="301">
        <v>5</v>
      </c>
      <c r="D11" s="1278"/>
      <c r="E11" s="1279"/>
      <c r="F11" s="1279"/>
      <c r="G11" s="1279"/>
      <c r="H11" s="1279"/>
      <c r="J11" s="576"/>
      <c r="K11" s="585">
        <f>C10*(C11/100+1)</f>
        <v>4200</v>
      </c>
      <c r="L11" s="1280"/>
      <c r="M11" s="576"/>
      <c r="N11" s="1280"/>
      <c r="O11" s="1280"/>
      <c r="P11" s="1280"/>
      <c r="Q11" s="1280"/>
      <c r="R11" s="1280"/>
      <c r="S11" s="1280"/>
      <c r="T11" s="1280"/>
      <c r="U11" s="1280"/>
      <c r="V11" s="1280"/>
      <c r="W11" s="1280"/>
      <c r="X11" s="1280"/>
      <c r="Y11" s="1280"/>
      <c r="Z11" s="1280"/>
      <c r="AA11" s="1280"/>
      <c r="AB11" s="1280"/>
      <c r="AC11" s="1280"/>
      <c r="AD11" s="1280"/>
      <c r="AE11" s="1280"/>
      <c r="AF11" s="1280"/>
      <c r="AG11" s="1280"/>
      <c r="AH11" s="1280"/>
      <c r="AI11" s="1280"/>
      <c r="AJ11" s="1280"/>
      <c r="AK11" s="1280"/>
      <c r="AL11" s="1280"/>
      <c r="AM11" s="1280"/>
      <c r="AN11" s="1280"/>
      <c r="AO11" s="1280"/>
      <c r="AP11" s="1280"/>
      <c r="AQ11" s="1280"/>
      <c r="AR11" s="1280"/>
      <c r="AS11" s="1280"/>
      <c r="AT11" s="1280"/>
      <c r="AU11" s="1280"/>
      <c r="AV11" s="1280"/>
      <c r="AW11" s="1280"/>
      <c r="AX11" s="1280"/>
      <c r="AY11" s="1280"/>
      <c r="AZ11" s="1280"/>
      <c r="BA11" s="1280"/>
      <c r="BB11" s="1280"/>
      <c r="BC11" s="1280"/>
      <c r="BD11" s="1280"/>
      <c r="BE11" s="1280"/>
      <c r="BF11" s="644"/>
      <c r="BG11" s="644"/>
    </row>
    <row r="12" spans="1:123" ht="14.25" customHeight="1" thickBot="1">
      <c r="B12" s="586" t="s">
        <v>186</v>
      </c>
      <c r="C12" s="309">
        <v>2</v>
      </c>
      <c r="D12" s="1278"/>
      <c r="E12" s="1279"/>
      <c r="F12" s="1279"/>
      <c r="G12" s="1279"/>
      <c r="H12" s="1279"/>
      <c r="J12" s="576"/>
      <c r="K12" s="585">
        <f>C10*ABS(C12/100-1)</f>
        <v>3920</v>
      </c>
      <c r="L12" s="1280"/>
      <c r="M12" s="576"/>
      <c r="N12" s="1280"/>
      <c r="O12" s="1280"/>
      <c r="P12" s="1280"/>
      <c r="Q12" s="1280"/>
      <c r="R12" s="1280"/>
      <c r="S12" s="1280"/>
      <c r="T12" s="1280"/>
      <c r="U12" s="1280"/>
      <c r="V12" s="1280"/>
      <c r="W12" s="1280"/>
      <c r="X12" s="1280"/>
      <c r="Y12" s="1280"/>
      <c r="Z12" s="1280"/>
      <c r="AA12" s="1280"/>
      <c r="AB12" s="1280"/>
      <c r="AC12" s="1280"/>
      <c r="AD12" s="1280"/>
      <c r="AE12" s="1280"/>
      <c r="AF12" s="1280"/>
      <c r="AG12" s="1280"/>
      <c r="AH12" s="1280"/>
      <c r="AI12" s="1280"/>
      <c r="AJ12" s="1280"/>
      <c r="AK12" s="1280"/>
      <c r="AL12" s="1280"/>
      <c r="AM12" s="1280"/>
      <c r="AN12" s="1280"/>
      <c r="AO12" s="1280"/>
      <c r="AP12" s="1280"/>
      <c r="AQ12" s="1280"/>
      <c r="AR12" s="1280"/>
      <c r="AS12" s="1280"/>
      <c r="AT12" s="1280"/>
      <c r="AU12" s="1280"/>
      <c r="AV12" s="1280"/>
      <c r="AW12" s="1280"/>
      <c r="AX12" s="1280"/>
      <c r="AY12" s="1280"/>
      <c r="AZ12" s="1280"/>
      <c r="BA12" s="1280"/>
      <c r="BB12" s="1280"/>
      <c r="BC12" s="1280"/>
      <c r="BD12" s="1280"/>
      <c r="BE12" s="1280"/>
      <c r="BF12" s="644"/>
      <c r="BG12" s="644"/>
    </row>
    <row r="13" spans="1:123" ht="15.75" hidden="1" customHeight="1">
      <c r="B13" s="587" t="s">
        <v>283</v>
      </c>
      <c r="C13" s="588">
        <v>3</v>
      </c>
      <c r="D13" s="1278"/>
      <c r="E13" s="1279"/>
      <c r="F13" s="1279"/>
      <c r="G13" s="1279"/>
      <c r="H13" s="1279"/>
      <c r="J13" s="576"/>
      <c r="K13" s="585"/>
      <c r="L13" s="1280"/>
      <c r="M13" s="576"/>
      <c r="N13" s="1280"/>
      <c r="O13" s="1280"/>
      <c r="P13" s="1280"/>
      <c r="Q13" s="1280"/>
      <c r="R13" s="1280"/>
      <c r="S13" s="1280"/>
      <c r="T13" s="1280"/>
      <c r="U13" s="1280"/>
      <c r="V13" s="1280"/>
      <c r="W13" s="1280"/>
      <c r="X13" s="1280"/>
      <c r="Y13" s="1280"/>
      <c r="Z13" s="1280"/>
      <c r="AA13" s="1280"/>
      <c r="AB13" s="1280"/>
      <c r="AC13" s="1280"/>
      <c r="AD13" s="1280"/>
      <c r="AE13" s="1280"/>
      <c r="AF13" s="1280"/>
      <c r="AG13" s="1280"/>
      <c r="AH13" s="1280"/>
      <c r="AI13" s="1280"/>
      <c r="AJ13" s="1280"/>
      <c r="AK13" s="1280"/>
      <c r="AL13" s="1280"/>
      <c r="AM13" s="1280"/>
      <c r="AN13" s="1280"/>
      <c r="AO13" s="1280"/>
      <c r="AP13" s="1280"/>
      <c r="AQ13" s="1280"/>
      <c r="AR13" s="1280"/>
      <c r="AS13" s="1280"/>
      <c r="AT13" s="1280"/>
      <c r="AU13" s="1280"/>
      <c r="AV13" s="1280"/>
      <c r="AW13" s="1280"/>
      <c r="AX13" s="1280"/>
      <c r="AY13" s="1280"/>
      <c r="AZ13" s="1280"/>
      <c r="BA13" s="1280"/>
      <c r="BB13" s="1280"/>
      <c r="BC13" s="1280"/>
      <c r="BD13" s="1280"/>
      <c r="BE13" s="1280"/>
      <c r="BF13" s="644"/>
      <c r="BG13" s="644"/>
    </row>
    <row r="14" spans="1:123" ht="15.75" customHeight="1" thickBot="1">
      <c r="B14" s="587" t="s">
        <v>5696</v>
      </c>
      <c r="C14" s="1836">
        <v>20</v>
      </c>
      <c r="D14" s="1278"/>
      <c r="E14" s="1279"/>
      <c r="F14" s="1279"/>
      <c r="G14" s="1279"/>
      <c r="H14" s="1279"/>
      <c r="J14" s="576"/>
      <c r="K14" s="585"/>
      <c r="L14" s="1280"/>
      <c r="M14" s="576"/>
      <c r="N14" s="1280"/>
      <c r="O14" s="1280"/>
      <c r="P14" s="1280"/>
      <c r="Q14" s="1280"/>
      <c r="R14" s="1280"/>
      <c r="S14" s="1280"/>
      <c r="T14" s="1280"/>
      <c r="U14" s="1280"/>
      <c r="V14" s="1280"/>
      <c r="W14" s="1280"/>
      <c r="X14" s="1280"/>
      <c r="Y14" s="1280"/>
      <c r="Z14" s="1280"/>
      <c r="AA14" s="1280"/>
      <c r="AB14" s="1280"/>
      <c r="AC14" s="1280"/>
      <c r="AD14" s="1280"/>
      <c r="AE14" s="1280"/>
      <c r="AF14" s="1280"/>
      <c r="AG14" s="1280"/>
      <c r="AH14" s="1280"/>
      <c r="AI14" s="1280"/>
      <c r="AJ14" s="1280"/>
      <c r="AK14" s="1280"/>
      <c r="AL14" s="1280"/>
      <c r="AM14" s="1280"/>
      <c r="AN14" s="1280"/>
      <c r="AO14" s="1280"/>
      <c r="AP14" s="1280"/>
      <c r="AQ14" s="1280"/>
      <c r="AR14" s="1280"/>
      <c r="AS14" s="1280"/>
      <c r="AT14" s="1280"/>
      <c r="AU14" s="1280"/>
      <c r="AV14" s="1280"/>
      <c r="AW14" s="1280"/>
      <c r="AX14" s="1280"/>
      <c r="AY14" s="1280"/>
      <c r="AZ14" s="1280"/>
      <c r="BA14" s="1280"/>
      <c r="BB14" s="1280"/>
      <c r="BC14" s="1280"/>
      <c r="BD14" s="1280"/>
      <c r="BE14" s="1280"/>
      <c r="BF14" s="644"/>
      <c r="BG14" s="644"/>
    </row>
    <row r="15" spans="1:123" ht="29.25" customHeight="1" thickBot="1">
      <c r="B15" s="1282" t="s">
        <v>5697</v>
      </c>
      <c r="C15" s="1837">
        <v>2</v>
      </c>
      <c r="D15" s="1278"/>
      <c r="E15" s="1278"/>
      <c r="F15" s="1278"/>
      <c r="G15" s="1278"/>
      <c r="H15" s="1278"/>
      <c r="I15" s="1278"/>
      <c r="J15" s="1278"/>
      <c r="K15" s="1278"/>
      <c r="L15" s="1280"/>
      <c r="M15" s="576"/>
      <c r="N15" s="1280"/>
      <c r="O15" s="1280"/>
      <c r="P15" s="1280"/>
      <c r="Q15" s="1280"/>
      <c r="R15" s="1280"/>
      <c r="S15" s="1280"/>
      <c r="T15" s="1280"/>
      <c r="U15" s="1280"/>
      <c r="V15" s="1280"/>
      <c r="W15" s="1280"/>
      <c r="X15" s="1280"/>
      <c r="Y15" s="1280"/>
      <c r="Z15" s="1280"/>
      <c r="AA15" s="1280"/>
      <c r="AB15" s="1280"/>
      <c r="AC15" s="1280"/>
      <c r="AD15" s="1280"/>
      <c r="AE15" s="1280"/>
      <c r="AF15" s="1280"/>
      <c r="AG15" s="1280"/>
      <c r="AH15" s="1280"/>
      <c r="AI15" s="1280"/>
      <c r="AJ15" s="1280"/>
      <c r="AK15" s="1280"/>
      <c r="AL15" s="1280"/>
      <c r="AM15" s="1280"/>
      <c r="AN15" s="1280"/>
      <c r="AO15" s="1280"/>
      <c r="AP15" s="1280"/>
      <c r="AQ15" s="1280"/>
      <c r="AR15" s="1280"/>
      <c r="AS15" s="1280"/>
      <c r="AT15" s="1280"/>
      <c r="AU15" s="1280"/>
      <c r="AV15" s="1280"/>
      <c r="AW15" s="1280"/>
      <c r="AX15" s="1280"/>
      <c r="AY15" s="1280"/>
      <c r="AZ15" s="1280"/>
      <c r="BA15" s="1280"/>
      <c r="BB15" s="1280"/>
      <c r="BC15" s="1280"/>
      <c r="BD15" s="1280"/>
      <c r="BE15" s="1280"/>
      <c r="BF15" s="644"/>
      <c r="BG15" s="644"/>
    </row>
    <row r="16" spans="1:123" ht="29.25" customHeight="1" thickBot="1">
      <c r="B16" s="1867"/>
      <c r="C16" s="646"/>
      <c r="D16" s="1278"/>
      <c r="E16" s="1278"/>
      <c r="F16" s="1278"/>
      <c r="G16" s="1278"/>
      <c r="H16" s="1278"/>
      <c r="I16" s="1278"/>
      <c r="J16" s="1278"/>
      <c r="K16" s="1278"/>
      <c r="L16" s="1280"/>
      <c r="M16" s="576"/>
      <c r="N16" s="1280"/>
      <c r="O16" s="1280"/>
      <c r="P16" s="1280"/>
      <c r="Q16" s="1280"/>
      <c r="R16" s="1280"/>
      <c r="S16" s="1280"/>
      <c r="T16" s="1280"/>
      <c r="U16" s="1280"/>
      <c r="V16" s="1280"/>
      <c r="W16" s="1280"/>
      <c r="X16" s="1280"/>
      <c r="Y16" s="1280"/>
      <c r="Z16" s="1280"/>
      <c r="AA16" s="1280"/>
      <c r="AB16" s="1280"/>
      <c r="AC16" s="1280"/>
      <c r="AD16" s="1280"/>
      <c r="AE16" s="1280"/>
      <c r="AF16" s="1280"/>
      <c r="AG16" s="1280"/>
      <c r="AH16" s="1280"/>
      <c r="AI16" s="1280"/>
      <c r="AJ16" s="1280"/>
      <c r="AK16" s="1280"/>
      <c r="AL16" s="1280"/>
      <c r="AM16" s="1280"/>
      <c r="AN16" s="1280"/>
      <c r="AO16" s="1280"/>
      <c r="AP16" s="1280"/>
      <c r="AQ16" s="1280"/>
      <c r="AR16" s="1280"/>
      <c r="AS16" s="1280"/>
      <c r="AT16" s="1280"/>
      <c r="AU16" s="1280"/>
      <c r="AV16" s="1280"/>
      <c r="AW16" s="1280"/>
      <c r="AX16" s="1280"/>
      <c r="AY16" s="1280"/>
      <c r="AZ16" s="1280"/>
      <c r="BA16" s="1280"/>
      <c r="BB16" s="1280"/>
      <c r="BC16" s="1280"/>
      <c r="BD16" s="1280"/>
      <c r="BE16" s="1280"/>
      <c r="BF16" s="644"/>
      <c r="BG16" s="644"/>
    </row>
    <row r="17" spans="2:59" ht="15.75" customHeight="1">
      <c r="B17" s="1278"/>
      <c r="C17" s="646"/>
      <c r="D17" s="1278"/>
      <c r="E17" s="1278"/>
      <c r="F17" s="1278"/>
      <c r="G17" s="1278"/>
      <c r="H17" s="1278"/>
      <c r="I17" s="1278"/>
      <c r="J17" s="1278"/>
      <c r="K17" s="1278"/>
      <c r="L17" s="1280"/>
      <c r="M17" s="576"/>
      <c r="N17" s="1280"/>
      <c r="O17" s="1280"/>
      <c r="P17" s="1280"/>
      <c r="Q17" s="1280"/>
      <c r="R17" s="1280"/>
      <c r="S17" s="1280"/>
      <c r="T17" s="2797" t="s">
        <v>0</v>
      </c>
      <c r="U17" s="2800" t="s">
        <v>5747</v>
      </c>
      <c r="V17" s="2801"/>
      <c r="W17" s="2801"/>
      <c r="X17" s="2801"/>
      <c r="Y17" s="2802"/>
      <c r="Z17" s="1280"/>
      <c r="AA17" s="1280"/>
      <c r="AB17" s="1280"/>
      <c r="AC17" s="1280"/>
      <c r="AD17" s="1280"/>
      <c r="AE17" s="1280"/>
      <c r="AF17" s="1280"/>
      <c r="AG17" s="1280"/>
      <c r="AH17" s="1280"/>
      <c r="AI17" s="1280"/>
      <c r="AJ17" s="1280"/>
      <c r="AK17" s="1280"/>
      <c r="AL17" s="1280"/>
      <c r="AM17" s="1280"/>
      <c r="AN17" s="1280"/>
      <c r="AO17" s="1280"/>
      <c r="AP17" s="1280"/>
      <c r="AQ17" s="1280"/>
      <c r="AR17" s="1280"/>
      <c r="AS17" s="1280"/>
      <c r="AT17" s="1280"/>
      <c r="AU17" s="1280"/>
      <c r="AV17" s="1280"/>
      <c r="AW17" s="1280"/>
      <c r="AX17" s="1280"/>
      <c r="AY17" s="1280"/>
      <c r="AZ17" s="1280"/>
      <c r="BA17" s="1280"/>
      <c r="BB17" s="1280"/>
      <c r="BC17" s="1280"/>
      <c r="BD17" s="1280"/>
      <c r="BE17" s="1280"/>
      <c r="BF17" s="644"/>
      <c r="BG17" s="644"/>
    </row>
    <row r="18" spans="2:59" ht="15.75" customHeight="1">
      <c r="B18" s="1278"/>
      <c r="C18" s="646"/>
      <c r="D18" s="1278"/>
      <c r="E18" s="1278"/>
      <c r="F18" s="1278"/>
      <c r="G18" s="1278"/>
      <c r="H18" s="1278"/>
      <c r="I18" s="1278"/>
      <c r="J18" s="1278"/>
      <c r="K18" s="1278"/>
      <c r="L18" s="1280"/>
      <c r="M18" s="576"/>
      <c r="N18" s="1280"/>
      <c r="O18" s="1280"/>
      <c r="P18" s="1280"/>
      <c r="Q18" s="1280"/>
      <c r="R18" s="1280"/>
      <c r="S18" s="1280"/>
      <c r="T18" s="2798"/>
      <c r="U18" s="2803" t="s">
        <v>16</v>
      </c>
      <c r="V18" s="2804"/>
      <c r="W18" s="2804"/>
      <c r="X18" s="2804"/>
      <c r="Y18" s="2805"/>
      <c r="Z18" s="1280"/>
      <c r="AA18" s="1280"/>
      <c r="AB18" s="1280"/>
      <c r="AC18" s="1280"/>
      <c r="AD18" s="1280"/>
      <c r="AE18" s="1280"/>
      <c r="AF18" s="1280"/>
      <c r="AG18" s="1280"/>
      <c r="AH18" s="1280"/>
      <c r="AI18" s="1280"/>
      <c r="AJ18" s="1280"/>
      <c r="AK18" s="1280"/>
      <c r="AL18" s="1280"/>
      <c r="AM18" s="1280"/>
      <c r="AN18" s="1280"/>
      <c r="AO18" s="1280"/>
      <c r="AP18" s="1280"/>
      <c r="AQ18" s="1280"/>
      <c r="AR18" s="1280"/>
      <c r="AS18" s="1280"/>
      <c r="AT18" s="1280"/>
      <c r="AU18" s="1280"/>
      <c r="AV18" s="1280"/>
      <c r="AW18" s="1280"/>
      <c r="AX18" s="1280"/>
      <c r="AY18" s="1280"/>
      <c r="AZ18" s="1280"/>
      <c r="BA18" s="1280"/>
      <c r="BB18" s="1280"/>
      <c r="BC18" s="1280"/>
      <c r="BD18" s="1280"/>
      <c r="BE18" s="1280"/>
      <c r="BF18" s="644"/>
      <c r="BG18" s="644"/>
    </row>
    <row r="19" spans="2:59" ht="33.75" customHeight="1" thickBot="1">
      <c r="B19" s="1278"/>
      <c r="C19" s="646"/>
      <c r="D19" s="1278"/>
      <c r="E19" s="1278"/>
      <c r="F19" s="1278"/>
      <c r="G19" s="1278"/>
      <c r="H19" s="1278"/>
      <c r="I19" s="1278"/>
      <c r="J19" s="1278"/>
      <c r="K19" s="1278"/>
      <c r="L19" s="1280"/>
      <c r="M19" s="576"/>
      <c r="N19" s="1280"/>
      <c r="O19" s="1280"/>
      <c r="P19" s="1280"/>
      <c r="Q19" s="1280"/>
      <c r="R19" s="1280"/>
      <c r="S19" s="1280"/>
      <c r="T19" s="2799"/>
      <c r="U19" s="1868" t="s">
        <v>5742</v>
      </c>
      <c r="V19" s="1869" t="s">
        <v>5743</v>
      </c>
      <c r="W19" s="1869" t="s">
        <v>5744</v>
      </c>
      <c r="X19" s="1869" t="s">
        <v>5745</v>
      </c>
      <c r="Y19" s="1870" t="s">
        <v>5746</v>
      </c>
      <c r="Z19" s="1280"/>
      <c r="AA19" s="1280"/>
      <c r="AB19" s="1280"/>
      <c r="AC19" s="1280"/>
      <c r="AD19" s="1280"/>
      <c r="AE19" s="1280"/>
      <c r="AF19" s="1280"/>
      <c r="AG19" s="1280"/>
      <c r="AH19" s="1280"/>
      <c r="AI19" s="1280"/>
      <c r="AJ19" s="1280"/>
      <c r="AK19" s="1280"/>
      <c r="AL19" s="1280"/>
      <c r="AM19" s="1280"/>
      <c r="AN19" s="1280"/>
      <c r="AO19" s="1280"/>
      <c r="AP19" s="1280"/>
      <c r="AQ19" s="1280"/>
      <c r="AR19" s="1280"/>
      <c r="AS19" s="1280"/>
      <c r="AT19" s="1280"/>
      <c r="AU19" s="1280"/>
      <c r="AV19" s="1280"/>
      <c r="AW19" s="1280"/>
      <c r="AX19" s="1280"/>
      <c r="AY19" s="1280"/>
      <c r="AZ19" s="1280"/>
      <c r="BA19" s="1280"/>
      <c r="BB19" s="1280"/>
      <c r="BC19" s="1280"/>
      <c r="BD19" s="1280"/>
      <c r="BE19" s="1280"/>
      <c r="BF19" s="644"/>
      <c r="BG19" s="644"/>
    </row>
    <row r="20" spans="2:59" ht="15.75" customHeight="1">
      <c r="B20" s="1278"/>
      <c r="C20" s="646"/>
      <c r="D20" s="1278"/>
      <c r="E20" s="1278"/>
      <c r="F20" s="1278"/>
      <c r="G20" s="1278"/>
      <c r="H20" s="1278"/>
      <c r="I20" s="1278"/>
      <c r="J20" s="1278"/>
      <c r="K20" s="1278"/>
      <c r="L20" s="1280"/>
      <c r="M20" s="576"/>
      <c r="N20" s="1280"/>
      <c r="O20" s="1280"/>
      <c r="P20" s="1280"/>
      <c r="Q20" s="1280"/>
      <c r="R20" s="1280"/>
      <c r="S20" s="1280"/>
      <c r="T20" s="1847">
        <v>90</v>
      </c>
      <c r="U20" s="1871">
        <f>($C$14/3600)/(PI()*($D$157/1000)^2/4)/K$136</f>
        <v>2.8294212105225838</v>
      </c>
      <c r="V20" s="1872">
        <f>($C$14/3600)/(PI()*($D$157/1000)^2/4)/W$136</f>
        <v>1.4147106052612919</v>
      </c>
      <c r="W20" s="1872">
        <f>($C$14/3600)/(PI()*($D$157/1000)^2/4)/AG$136</f>
        <v>0.94314040350752792</v>
      </c>
      <c r="X20" s="1872">
        <f>($C$14/3600)/(PI()*($D$157/1000)^2/4)/AQ$136</f>
        <v>0.70735530263064594</v>
      </c>
      <c r="Y20" s="1873">
        <f>($C$14/3600)/(PI()*($D$157/1000)^2/4)/BA$136</f>
        <v>0.56588424210451671</v>
      </c>
      <c r="Z20" s="1280"/>
      <c r="AA20" s="1280"/>
      <c r="AB20" s="1280"/>
      <c r="AC20" s="1280"/>
      <c r="AD20" s="1280"/>
      <c r="AE20" s="1280"/>
      <c r="AF20" s="1280"/>
      <c r="AG20" s="1280"/>
      <c r="AH20" s="1280"/>
      <c r="AI20" s="1280"/>
      <c r="AJ20" s="1280"/>
      <c r="AK20" s="1280"/>
      <c r="AL20" s="1280"/>
      <c r="AM20" s="1280"/>
      <c r="AN20" s="1280"/>
      <c r="AO20" s="1280"/>
      <c r="AP20" s="1280"/>
      <c r="AQ20" s="1280"/>
      <c r="AR20" s="1280"/>
      <c r="AS20" s="1280"/>
      <c r="AT20" s="1280"/>
      <c r="AU20" s="1280"/>
      <c r="AV20" s="1280"/>
      <c r="AW20" s="1280"/>
      <c r="AX20" s="1280"/>
      <c r="AY20" s="1280"/>
      <c r="AZ20" s="1280"/>
      <c r="BA20" s="1280"/>
      <c r="BB20" s="1280"/>
      <c r="BC20" s="1280"/>
      <c r="BD20" s="1280"/>
      <c r="BE20" s="1280"/>
      <c r="BF20" s="644"/>
      <c r="BG20" s="644"/>
    </row>
    <row r="21" spans="2:59" ht="15.75" customHeight="1">
      <c r="B21" s="1278"/>
      <c r="C21" s="1278"/>
      <c r="D21" s="1278"/>
      <c r="E21" s="1278"/>
      <c r="F21" s="1278"/>
      <c r="G21" s="1278"/>
      <c r="H21" s="1278"/>
      <c r="I21" s="1278"/>
      <c r="J21" s="1278"/>
      <c r="K21" s="1278"/>
      <c r="L21" s="1280"/>
      <c r="M21" s="576"/>
      <c r="N21" s="1280"/>
      <c r="O21" s="1280"/>
      <c r="P21" s="1280"/>
      <c r="Q21" s="1280"/>
      <c r="R21" s="1280"/>
      <c r="S21" s="1280"/>
      <c r="T21" s="1848">
        <v>110</v>
      </c>
      <c r="U21" s="1874">
        <f>($C$14/3600)/(PI()*($D$165/1000)^2/4)/K$136</f>
        <v>1.9648758406406834</v>
      </c>
      <c r="V21" s="1843">
        <f>($C$14/3600)/(PI()*($D$165/1000)^2/4)/W$136</f>
        <v>0.98243792032034172</v>
      </c>
      <c r="W21" s="1843">
        <f>($C$14/3600)/(PI()*($D$165/1000)^2/4)/AG$136</f>
        <v>0.65495861354689444</v>
      </c>
      <c r="X21" s="1843">
        <f>($C$14/3600)/(PI()*($D$165/1000)^2/4)/AQ$136</f>
        <v>0.49121896016017086</v>
      </c>
      <c r="Y21" s="1844">
        <f>($C$14/3600)/(PI()*($D$165/1000)^2/4)/BA$136</f>
        <v>0.39297516812813671</v>
      </c>
      <c r="Z21" s="1280"/>
      <c r="AA21" s="1280"/>
      <c r="AB21" s="1280"/>
      <c r="AC21" s="1280"/>
      <c r="AD21" s="1280"/>
      <c r="AE21" s="1280"/>
      <c r="AF21" s="1280"/>
      <c r="AG21" s="1280"/>
      <c r="AH21" s="1280"/>
      <c r="AI21" s="1280"/>
      <c r="AJ21" s="1280"/>
      <c r="AK21" s="1280"/>
      <c r="AL21" s="1280"/>
      <c r="AM21" s="1280"/>
      <c r="AN21" s="1280"/>
      <c r="AO21" s="1280"/>
      <c r="AP21" s="1280"/>
      <c r="AQ21" s="1280"/>
      <c r="AR21" s="1280"/>
      <c r="AS21" s="1280"/>
      <c r="AT21" s="1280"/>
      <c r="AU21" s="1280"/>
      <c r="AV21" s="1280"/>
      <c r="AW21" s="1280"/>
      <c r="AX21" s="1280"/>
      <c r="AY21" s="1280"/>
      <c r="AZ21" s="1280"/>
      <c r="BA21" s="1280"/>
      <c r="BB21" s="1280"/>
      <c r="BC21" s="1280"/>
      <c r="BD21" s="1280"/>
      <c r="BE21" s="1280"/>
      <c r="BF21" s="644"/>
      <c r="BG21" s="644"/>
    </row>
    <row r="22" spans="2:59" ht="15.75" customHeight="1">
      <c r="B22" s="1278"/>
      <c r="C22" s="1278"/>
      <c r="D22" s="1278"/>
      <c r="E22" s="1278"/>
      <c r="F22" s="1278"/>
      <c r="G22" s="1278"/>
      <c r="H22" s="1278"/>
      <c r="I22" s="1278"/>
      <c r="J22" s="1278"/>
      <c r="K22" s="1278"/>
      <c r="L22" s="1280"/>
      <c r="M22" s="576"/>
      <c r="P22" s="1280"/>
      <c r="Q22" s="1280"/>
      <c r="R22" s="1280"/>
      <c r="S22" s="1280"/>
      <c r="T22" s="1848">
        <v>140</v>
      </c>
      <c r="U22" s="1874">
        <f>($C$14/3600)/(PI()*($D$173/1000)^2/4)/K$136</f>
        <v>0.87327815139585929</v>
      </c>
      <c r="V22" s="1843">
        <f>($C$14/3600)/(PI()*($D$173/1000)^2/4)/W$136</f>
        <v>0.43663907569792965</v>
      </c>
      <c r="W22" s="1843">
        <f>($C$14/3600)/(PI()*($D$173/1000)^2/4)/AG$136</f>
        <v>0.29109271713195312</v>
      </c>
      <c r="X22" s="1843">
        <f>($C$14/3600)/(PI()*($D$173/1000)^2/4)/AQ$136</f>
        <v>0.21831953784896482</v>
      </c>
      <c r="Y22" s="1844">
        <f>($C$14/3600)/(PI()*($D$173/1000)^2/4)/BA$136</f>
        <v>0.17465563027917186</v>
      </c>
      <c r="AE22" s="1280"/>
      <c r="AL22" s="1280"/>
      <c r="AM22" s="1280"/>
      <c r="AN22" s="1280"/>
      <c r="AO22" s="1280"/>
      <c r="AP22" s="1280"/>
      <c r="AQ22" s="1280"/>
      <c r="AR22" s="1280"/>
      <c r="AS22" s="1280"/>
      <c r="AT22" s="1280"/>
      <c r="AU22" s="1280"/>
      <c r="AV22" s="1280"/>
      <c r="AW22" s="1280"/>
      <c r="AX22" s="1280"/>
      <c r="AY22" s="1280"/>
      <c r="AZ22" s="1280"/>
      <c r="BA22" s="1280"/>
      <c r="BB22" s="1280"/>
      <c r="BC22" s="1280"/>
      <c r="BD22" s="1280"/>
      <c r="BE22" s="1280"/>
      <c r="BF22" s="644"/>
      <c r="BG22" s="644"/>
    </row>
    <row r="23" spans="2:59" ht="15.75" customHeight="1" thickBot="1">
      <c r="B23" s="1278"/>
      <c r="P23" s="1280"/>
      <c r="Q23" s="1280"/>
      <c r="R23" s="1280"/>
      <c r="S23" s="1280"/>
      <c r="T23" s="1849">
        <v>150</v>
      </c>
      <c r="U23" s="1875">
        <f>($C$14/3600)/(PI()*($D$182/1000)^2/4)/K$136</f>
        <v>0.45270739368361346</v>
      </c>
      <c r="V23" s="1845">
        <f>($C$14/3600)/(PI()*($D$182/1000)^2/4)/W$136</f>
        <v>0.22635369684180673</v>
      </c>
      <c r="W23" s="1845">
        <f>($C$14/3600)/(PI()*($D$182/1000)^2/4)/AG$136</f>
        <v>0.15090246456120449</v>
      </c>
      <c r="X23" s="1845">
        <f>($C$14/3600)/(PI()*($D$182/1000)^2/4)/AQ$136</f>
        <v>0.11317684842090336</v>
      </c>
      <c r="Y23" s="1846">
        <f>($C$14/3600)/(PI()*($D$182/1000)^2/4)/BA$136</f>
        <v>9.0541478736722691E-2</v>
      </c>
      <c r="AE23" s="1280"/>
      <c r="AL23" s="1280"/>
      <c r="AM23" s="1280"/>
      <c r="AN23" s="1280"/>
      <c r="AO23" s="1280"/>
      <c r="AP23" s="1280"/>
      <c r="AQ23" s="1280"/>
      <c r="AR23" s="1280"/>
      <c r="AS23" s="1280"/>
      <c r="AT23" s="1280"/>
      <c r="AU23" s="1280"/>
      <c r="AV23" s="1280"/>
      <c r="AW23" s="1280"/>
      <c r="AX23" s="1280"/>
      <c r="AY23" s="1280"/>
      <c r="AZ23" s="1280"/>
      <c r="BA23" s="1280"/>
      <c r="BB23" s="1280"/>
      <c r="BC23" s="1280"/>
      <c r="BD23" s="1280"/>
      <c r="BE23" s="1280"/>
      <c r="BF23" s="644"/>
      <c r="BG23" s="644"/>
    </row>
    <row r="24" spans="2:59" ht="14.25" customHeight="1" thickBot="1">
      <c r="C24" s="1283"/>
      <c r="D24" s="1283"/>
      <c r="E24" s="1283"/>
      <c r="F24" s="1283"/>
      <c r="G24" s="1283"/>
      <c r="H24" s="1283"/>
      <c r="I24" s="1280"/>
      <c r="J24" s="1280"/>
      <c r="K24" s="1280"/>
      <c r="L24" s="1280"/>
      <c r="M24" s="1280"/>
      <c r="N24" s="1280"/>
      <c r="O24" s="1280"/>
      <c r="P24" s="1280"/>
      <c r="Q24" s="1280"/>
      <c r="R24" s="1280"/>
      <c r="S24" s="1280"/>
      <c r="T24" s="1280"/>
      <c r="U24" s="1280"/>
      <c r="AE24" s="1280"/>
      <c r="AF24" s="1280"/>
      <c r="AG24" s="1280"/>
      <c r="AH24" s="1280"/>
      <c r="AI24" s="1280"/>
      <c r="AJ24" s="1280"/>
      <c r="AK24" s="1280"/>
      <c r="AL24" s="1280"/>
      <c r="AM24" s="1280"/>
      <c r="AN24" s="1280"/>
      <c r="AO24" s="1280"/>
      <c r="AP24" s="1280"/>
      <c r="AQ24" s="1280"/>
      <c r="AR24" s="1280"/>
      <c r="AS24" s="1280"/>
      <c r="AT24" s="1280"/>
      <c r="AU24" s="1280"/>
      <c r="AV24" s="1280"/>
      <c r="AW24" s="1280"/>
      <c r="AX24" s="1280"/>
      <c r="AY24" s="1280"/>
      <c r="AZ24" s="1280"/>
      <c r="BA24" s="1280"/>
      <c r="BB24" s="1280"/>
      <c r="BC24" s="1280"/>
      <c r="BD24" s="1280"/>
      <c r="BE24" s="1280"/>
      <c r="BF24" s="644"/>
      <c r="BG24" s="644"/>
    </row>
    <row r="25" spans="2:59" ht="14.25" hidden="1" customHeight="1">
      <c r="K25" s="2705" t="s">
        <v>188</v>
      </c>
      <c r="L25" s="2706"/>
      <c r="M25" s="2706"/>
      <c r="N25" s="2706"/>
      <c r="O25" s="2706"/>
      <c r="P25" s="2706"/>
      <c r="Q25" s="2706"/>
      <c r="R25" s="2706"/>
      <c r="S25" s="2706"/>
      <c r="T25" s="2707"/>
      <c r="V25" s="2705" t="s">
        <v>189</v>
      </c>
      <c r="W25" s="2706"/>
      <c r="X25" s="2706"/>
      <c r="Y25" s="2706"/>
      <c r="Z25" s="2706"/>
      <c r="AA25" s="2706"/>
      <c r="AB25" s="2706"/>
      <c r="AC25" s="2706"/>
      <c r="AD25" s="2706"/>
      <c r="AE25" s="2707"/>
      <c r="AJ25" s="1280"/>
    </row>
    <row r="26" spans="2:59" ht="14.25" hidden="1" customHeight="1">
      <c r="K26" s="590" t="s">
        <v>1</v>
      </c>
      <c r="L26" s="2700">
        <v>160</v>
      </c>
      <c r="M26" s="2702">
        <v>200</v>
      </c>
      <c r="N26" s="2702">
        <v>260</v>
      </c>
      <c r="O26" s="2702">
        <v>300</v>
      </c>
      <c r="P26" s="2702"/>
      <c r="Q26" s="2793">
        <v>360</v>
      </c>
      <c r="R26" s="2794"/>
      <c r="S26" s="2702">
        <v>400</v>
      </c>
      <c r="T26" s="2704"/>
      <c r="V26" s="702" t="s">
        <v>1</v>
      </c>
      <c r="W26" s="2700">
        <v>160</v>
      </c>
      <c r="X26" s="2702">
        <v>200</v>
      </c>
      <c r="Y26" s="2702">
        <v>260</v>
      </c>
      <c r="Z26" s="2702">
        <v>300</v>
      </c>
      <c r="AA26" s="2702"/>
      <c r="AB26" s="2793">
        <v>360</v>
      </c>
      <c r="AC26" s="2794"/>
      <c r="AD26" s="2702">
        <v>400</v>
      </c>
      <c r="AE26" s="2704"/>
      <c r="AG26" s="2690" t="s">
        <v>284</v>
      </c>
      <c r="AH26" s="2691"/>
      <c r="AI26" s="2691"/>
      <c r="AJ26" s="2692"/>
      <c r="AK26" s="1284" t="s">
        <v>0</v>
      </c>
      <c r="AL26" s="644"/>
      <c r="AM26" s="644"/>
      <c r="AN26" s="644"/>
      <c r="AO26" s="644"/>
      <c r="AP26" s="644"/>
      <c r="AQ26" s="644"/>
      <c r="AR26" s="644"/>
      <c r="AS26" s="644"/>
      <c r="AT26" s="644"/>
      <c r="AU26" s="644"/>
    </row>
    <row r="27" spans="2:59" ht="14.25" hidden="1" customHeight="1">
      <c r="K27" s="591" t="s">
        <v>0</v>
      </c>
      <c r="L27" s="2711"/>
      <c r="M27" s="2703"/>
      <c r="N27" s="2703"/>
      <c r="O27" s="1852">
        <v>2</v>
      </c>
      <c r="P27" s="1852">
        <v>4</v>
      </c>
      <c r="Q27" s="1852" t="s">
        <v>258</v>
      </c>
      <c r="R27" s="704" t="s">
        <v>260</v>
      </c>
      <c r="S27" s="1852" t="s">
        <v>258</v>
      </c>
      <c r="T27" s="704" t="s">
        <v>260</v>
      </c>
      <c r="V27" s="699" t="s">
        <v>0</v>
      </c>
      <c r="W27" s="2711"/>
      <c r="X27" s="2703"/>
      <c r="Y27" s="2703"/>
      <c r="Z27" s="1852">
        <v>1</v>
      </c>
      <c r="AA27" s="1852">
        <v>2</v>
      </c>
      <c r="AB27" s="1852" t="s">
        <v>258</v>
      </c>
      <c r="AC27" s="704" t="s">
        <v>260</v>
      </c>
      <c r="AD27" s="1852" t="s">
        <v>258</v>
      </c>
      <c r="AE27" s="704" t="s">
        <v>260</v>
      </c>
      <c r="AG27" s="723">
        <v>0</v>
      </c>
      <c r="AH27" s="724">
        <v>1</v>
      </c>
      <c r="AI27" s="724">
        <v>2</v>
      </c>
      <c r="AJ27" s="725">
        <v>3</v>
      </c>
      <c r="AK27" s="648" t="s">
        <v>285</v>
      </c>
      <c r="AL27" s="644"/>
      <c r="AM27" s="644"/>
      <c r="AN27" s="644"/>
      <c r="AO27" s="644"/>
      <c r="AP27" s="644"/>
      <c r="AQ27" s="644"/>
      <c r="AR27" s="644"/>
      <c r="AS27" s="644"/>
      <c r="AT27" s="644"/>
      <c r="AU27" s="644"/>
    </row>
    <row r="28" spans="2:59" ht="14.25" hidden="1" customHeight="1">
      <c r="K28" s="649">
        <v>65</v>
      </c>
      <c r="L28" s="691" t="s">
        <v>286</v>
      </c>
      <c r="M28" s="592" t="s">
        <v>286</v>
      </c>
      <c r="N28" s="592">
        <f>N30*0.71</f>
        <v>237.708</v>
      </c>
      <c r="O28" s="592">
        <f>O30*0.71</f>
        <v>263.26799999999997</v>
      </c>
      <c r="P28" s="592" t="s">
        <v>286</v>
      </c>
      <c r="Q28" s="592"/>
      <c r="R28" s="592">
        <f>R30*0.71</f>
        <v>367.21199999999993</v>
      </c>
      <c r="S28" s="592">
        <f>S30*0.71</f>
        <v>394.476</v>
      </c>
      <c r="T28" s="692" t="s">
        <v>286</v>
      </c>
      <c r="U28" s="1280"/>
      <c r="V28" s="649">
        <v>65</v>
      </c>
      <c r="W28" s="652" t="s">
        <v>286</v>
      </c>
      <c r="X28" s="653" t="s">
        <v>286</v>
      </c>
      <c r="Y28" s="1285">
        <v>1.7</v>
      </c>
      <c r="Z28" s="1285">
        <v>1.65</v>
      </c>
      <c r="AA28" s="1285"/>
      <c r="AB28" s="653" t="s">
        <v>286</v>
      </c>
      <c r="AC28" s="1285">
        <v>1.6</v>
      </c>
      <c r="AD28" s="1285">
        <v>1.55</v>
      </c>
      <c r="AE28" s="654" t="s">
        <v>286</v>
      </c>
      <c r="AF28" s="1280"/>
      <c r="AG28" s="726">
        <v>1</v>
      </c>
      <c r="AH28" s="705">
        <v>5.12</v>
      </c>
      <c r="AI28" s="705">
        <v>5.66</v>
      </c>
      <c r="AJ28" s="706">
        <v>6.53</v>
      </c>
      <c r="AK28" s="649">
        <v>65</v>
      </c>
      <c r="AL28" s="1280"/>
      <c r="AM28" s="644"/>
      <c r="AN28" s="644"/>
      <c r="AO28" s="644"/>
      <c r="AP28" s="644"/>
      <c r="AQ28" s="644"/>
      <c r="AR28" s="644"/>
      <c r="AS28" s="644"/>
      <c r="AT28" s="644"/>
      <c r="AU28" s="644"/>
      <c r="AV28" s="644"/>
      <c r="AW28" s="644"/>
    </row>
    <row r="29" spans="2:59" ht="14.25" hidden="1" customHeight="1">
      <c r="K29" s="650">
        <v>70</v>
      </c>
      <c r="L29" s="693" t="s">
        <v>286</v>
      </c>
      <c r="M29" s="593" t="s">
        <v>286</v>
      </c>
      <c r="N29" s="593">
        <f>N31*0.71</f>
        <v>292.17635999999999</v>
      </c>
      <c r="O29" s="593">
        <f>O31*0.71</f>
        <v>323.02727999999996</v>
      </c>
      <c r="P29" s="593" t="s">
        <v>286</v>
      </c>
      <c r="Q29" s="593"/>
      <c r="R29" s="593">
        <f>R31*0.71</f>
        <v>432.68056460609114</v>
      </c>
      <c r="S29" s="593">
        <f>S31*0.71</f>
        <v>471.83759999999995</v>
      </c>
      <c r="T29" s="694" t="s">
        <v>286</v>
      </c>
      <c r="U29" s="1280"/>
      <c r="V29" s="650">
        <v>70</v>
      </c>
      <c r="W29" s="656" t="s">
        <v>286</v>
      </c>
      <c r="X29" s="657" t="s">
        <v>286</v>
      </c>
      <c r="Y29" s="659">
        <v>1.65</v>
      </c>
      <c r="Z29" s="659">
        <v>1.6</v>
      </c>
      <c r="AA29" s="659"/>
      <c r="AB29" s="657" t="s">
        <v>286</v>
      </c>
      <c r="AC29" s="659">
        <v>1.55</v>
      </c>
      <c r="AD29" s="659">
        <v>1.5</v>
      </c>
      <c r="AE29" s="658" t="s">
        <v>286</v>
      </c>
      <c r="AF29" s="1280"/>
      <c r="AG29" s="727">
        <v>1</v>
      </c>
      <c r="AH29" s="707">
        <v>5.12</v>
      </c>
      <c r="AI29" s="707">
        <v>5.66</v>
      </c>
      <c r="AJ29" s="708">
        <v>6.53</v>
      </c>
      <c r="AK29" s="650">
        <v>70</v>
      </c>
      <c r="AL29" s="1280"/>
      <c r="AM29" s="644"/>
      <c r="AN29" s="644"/>
      <c r="AO29" s="644"/>
      <c r="AP29" s="644"/>
      <c r="AQ29" s="644"/>
      <c r="AR29" s="644"/>
      <c r="AS29" s="644"/>
      <c r="AT29" s="644"/>
      <c r="AU29" s="644"/>
      <c r="AV29" s="644"/>
      <c r="AW29" s="644"/>
    </row>
    <row r="30" spans="2:59" ht="14.25" hidden="1" customHeight="1">
      <c r="K30" s="650">
        <v>75</v>
      </c>
      <c r="L30" s="594">
        <f>M30*0.9</f>
        <v>233.87400000000002</v>
      </c>
      <c r="M30" s="595">
        <f>M32*0.71</f>
        <v>259.86</v>
      </c>
      <c r="N30" s="595">
        <f>279*1.2</f>
        <v>334.8</v>
      </c>
      <c r="O30" s="595">
        <f>309*1.2</f>
        <v>370.8</v>
      </c>
      <c r="P30" s="595">
        <v>0</v>
      </c>
      <c r="Q30" s="595"/>
      <c r="R30" s="595">
        <f>431*1.2</f>
        <v>517.19999999999993</v>
      </c>
      <c r="S30" s="595">
        <f>463*1.2</f>
        <v>555.6</v>
      </c>
      <c r="T30" s="596">
        <v>0</v>
      </c>
      <c r="U30" s="1280"/>
      <c r="V30" s="650">
        <v>75</v>
      </c>
      <c r="W30" s="660">
        <v>1.7</v>
      </c>
      <c r="X30" s="661">
        <v>1.65</v>
      </c>
      <c r="Y30" s="661">
        <v>1.6</v>
      </c>
      <c r="Z30" s="661">
        <v>1.55</v>
      </c>
      <c r="AA30" s="661"/>
      <c r="AB30" s="661">
        <v>1.55</v>
      </c>
      <c r="AC30" s="661">
        <v>1.5</v>
      </c>
      <c r="AD30" s="661">
        <v>1.45</v>
      </c>
      <c r="AE30" s="662">
        <v>1.45</v>
      </c>
      <c r="AF30" s="1280"/>
      <c r="AG30" s="728">
        <v>1</v>
      </c>
      <c r="AH30" s="709">
        <v>4.5999999999999996</v>
      </c>
      <c r="AI30" s="709">
        <v>5</v>
      </c>
      <c r="AJ30" s="710">
        <v>6.53</v>
      </c>
      <c r="AK30" s="650">
        <v>75</v>
      </c>
      <c r="AL30" s="1280"/>
      <c r="AM30" s="644"/>
      <c r="AN30" s="644"/>
      <c r="AO30" s="644"/>
      <c r="AP30" s="644"/>
      <c r="AQ30" s="644"/>
      <c r="AR30" s="644"/>
      <c r="AS30" s="644"/>
      <c r="AT30" s="644"/>
      <c r="AU30" s="644"/>
      <c r="AV30" s="644"/>
      <c r="AW30" s="644"/>
    </row>
    <row r="31" spans="2:59" ht="14.25" hidden="1" customHeight="1">
      <c r="K31" s="650">
        <v>80</v>
      </c>
      <c r="L31" s="695" t="s">
        <v>286</v>
      </c>
      <c r="M31" s="696" t="s">
        <v>286</v>
      </c>
      <c r="N31" s="597">
        <f>N33*0.71</f>
        <v>411.51600000000002</v>
      </c>
      <c r="O31" s="597">
        <f>O33*0.71</f>
        <v>454.96799999999996</v>
      </c>
      <c r="P31" s="696" t="s">
        <v>286</v>
      </c>
      <c r="Q31" s="696"/>
      <c r="R31" s="597">
        <f>R33*0.71</f>
        <v>609.40924592407202</v>
      </c>
      <c r="S31" s="597">
        <f>S33*0.71</f>
        <v>664.56</v>
      </c>
      <c r="T31" s="697" t="s">
        <v>286</v>
      </c>
      <c r="U31" s="1280"/>
      <c r="V31" s="650">
        <v>80</v>
      </c>
      <c r="W31" s="663" t="s">
        <v>286</v>
      </c>
      <c r="X31" s="664" t="s">
        <v>286</v>
      </c>
      <c r="Y31" s="666">
        <v>1.55</v>
      </c>
      <c r="Z31" s="666">
        <v>1.5</v>
      </c>
      <c r="AA31" s="666"/>
      <c r="AB31" s="664" t="s">
        <v>286</v>
      </c>
      <c r="AC31" s="666">
        <v>1.45</v>
      </c>
      <c r="AD31" s="666">
        <v>1.4</v>
      </c>
      <c r="AE31" s="665" t="s">
        <v>286</v>
      </c>
      <c r="AF31" s="1280"/>
      <c r="AG31" s="729">
        <v>1</v>
      </c>
      <c r="AH31" s="711">
        <v>3.92</v>
      </c>
      <c r="AI31" s="711">
        <v>4.5</v>
      </c>
      <c r="AJ31" s="712">
        <v>5.6</v>
      </c>
      <c r="AK31" s="650">
        <v>80</v>
      </c>
      <c r="AL31" s="1280"/>
      <c r="AM31" s="644"/>
      <c r="AN31" s="644"/>
      <c r="AO31" s="644"/>
      <c r="AP31" s="644"/>
      <c r="AQ31" s="644"/>
      <c r="AR31" s="644"/>
      <c r="AS31" s="644"/>
      <c r="AT31" s="644"/>
      <c r="AU31" s="644"/>
      <c r="AV31" s="644"/>
      <c r="AW31" s="644"/>
    </row>
    <row r="32" spans="2:59" ht="14.25" hidden="1" customHeight="1">
      <c r="K32" s="650">
        <v>90</v>
      </c>
      <c r="L32" s="598">
        <f>M32*0.89</f>
        <v>325.74</v>
      </c>
      <c r="M32" s="600">
        <f>305*1.2</f>
        <v>366</v>
      </c>
      <c r="N32" s="599">
        <f>404*1.2</f>
        <v>484.79999999999995</v>
      </c>
      <c r="O32" s="599">
        <f>469*1.2</f>
        <v>562.79999999999995</v>
      </c>
      <c r="P32" s="600">
        <f>O32*1.17</f>
        <v>658.47599999999989</v>
      </c>
      <c r="Q32" s="600"/>
      <c r="R32" s="599">
        <f>582*1.2</f>
        <v>698.4</v>
      </c>
      <c r="S32" s="599">
        <f>644*1.2</f>
        <v>772.8</v>
      </c>
      <c r="T32" s="698">
        <f>S32*1.23</f>
        <v>950.54399999999998</v>
      </c>
      <c r="U32" s="1280"/>
      <c r="V32" s="650">
        <v>90</v>
      </c>
      <c r="W32" s="667">
        <v>1.6</v>
      </c>
      <c r="X32" s="668">
        <v>1.55</v>
      </c>
      <c r="Y32" s="668">
        <v>1.5</v>
      </c>
      <c r="Z32" s="668">
        <v>1.45</v>
      </c>
      <c r="AA32" s="668"/>
      <c r="AB32" s="668">
        <v>1.45</v>
      </c>
      <c r="AC32" s="668">
        <v>1.4</v>
      </c>
      <c r="AD32" s="668">
        <v>1.3</v>
      </c>
      <c r="AE32" s="669">
        <v>1.3</v>
      </c>
      <c r="AF32" s="1280"/>
      <c r="AG32" s="730">
        <v>1</v>
      </c>
      <c r="AH32" s="713">
        <v>3.51</v>
      </c>
      <c r="AI32" s="713">
        <v>3.96</v>
      </c>
      <c r="AJ32" s="714">
        <v>4.93</v>
      </c>
      <c r="AK32" s="650">
        <v>90</v>
      </c>
      <c r="AL32" s="1280"/>
      <c r="AM32" s="644"/>
      <c r="AN32" s="644"/>
      <c r="AO32" s="644"/>
      <c r="AP32" s="644"/>
      <c r="AQ32" s="644"/>
      <c r="AR32" s="644"/>
      <c r="AS32" s="644"/>
      <c r="AT32" s="644"/>
      <c r="AU32" s="644"/>
      <c r="AV32" s="644"/>
      <c r="AW32" s="644"/>
    </row>
    <row r="33" spans="11:49" ht="14.25" hidden="1" customHeight="1">
      <c r="K33" s="650">
        <v>110</v>
      </c>
      <c r="L33" s="601">
        <f>M33*0.88</f>
        <v>403.91665015679996</v>
      </c>
      <c r="M33" s="602">
        <f>M32*1.25408796</f>
        <v>458.99619335999995</v>
      </c>
      <c r="N33" s="602">
        <f>483*1.2</f>
        <v>579.6</v>
      </c>
      <c r="O33" s="602">
        <f>534*1.2</f>
        <v>640.79999999999995</v>
      </c>
      <c r="P33" s="602">
        <f>O33*1.27</f>
        <v>813.81599999999992</v>
      </c>
      <c r="Q33" s="602"/>
      <c r="R33" s="602">
        <f>M33*1.87</f>
        <v>858.3228815832</v>
      </c>
      <c r="S33" s="602">
        <f>780*1.2</f>
        <v>936</v>
      </c>
      <c r="T33" s="603">
        <f>S33*1.15</f>
        <v>1076.3999999999999</v>
      </c>
      <c r="U33" s="1280"/>
      <c r="V33" s="650">
        <v>110</v>
      </c>
      <c r="W33" s="670">
        <v>1.5</v>
      </c>
      <c r="X33" s="671">
        <v>1.3</v>
      </c>
      <c r="Y33" s="671">
        <v>1.3</v>
      </c>
      <c r="Z33" s="671">
        <v>1.3</v>
      </c>
      <c r="AA33" s="671"/>
      <c r="AB33" s="671">
        <v>1.3</v>
      </c>
      <c r="AC33" s="671">
        <v>1.3</v>
      </c>
      <c r="AD33" s="671">
        <v>1.3</v>
      </c>
      <c r="AE33" s="672">
        <v>1.3</v>
      </c>
      <c r="AF33" s="1280"/>
      <c r="AG33" s="731">
        <v>1</v>
      </c>
      <c r="AH33" s="715">
        <v>3.41</v>
      </c>
      <c r="AI33" s="715">
        <v>3.96</v>
      </c>
      <c r="AJ33" s="716">
        <v>4.93</v>
      </c>
      <c r="AK33" s="650">
        <v>110</v>
      </c>
      <c r="AL33" s="1280"/>
      <c r="AM33" s="644"/>
      <c r="AN33" s="644"/>
      <c r="AO33" s="644"/>
      <c r="AP33" s="644"/>
      <c r="AQ33" s="644"/>
      <c r="AR33" s="644"/>
      <c r="AS33" s="644"/>
      <c r="AT33" s="644"/>
      <c r="AU33" s="644"/>
      <c r="AV33" s="644"/>
      <c r="AW33" s="644"/>
    </row>
    <row r="34" spans="11:49" ht="14.25" hidden="1" customHeight="1">
      <c r="K34" s="650">
        <v>140</v>
      </c>
      <c r="L34" s="947">
        <f>M34*0.95</f>
        <v>797.40748499999984</v>
      </c>
      <c r="M34" s="947">
        <f>N34*0.95</f>
        <v>839.3762999999999</v>
      </c>
      <c r="N34" s="947">
        <f>N35*0.965</f>
        <v>883.55399999999997</v>
      </c>
      <c r="O34" s="947">
        <f>Q34*0.85</f>
        <v>899.55176999999981</v>
      </c>
      <c r="P34" s="947">
        <f>R34*0.85</f>
        <v>946.89659999999981</v>
      </c>
      <c r="Q34" s="947">
        <f>Q35*0.965</f>
        <v>1058.2961999999998</v>
      </c>
      <c r="R34" s="947">
        <f>R35*0.965</f>
        <v>1113.9959999999999</v>
      </c>
      <c r="S34" s="947">
        <f>S35*0.965</f>
        <v>1095.59538</v>
      </c>
      <c r="T34" s="947">
        <f>T35*0.965</f>
        <v>1197.3719999999998</v>
      </c>
      <c r="U34" s="1280"/>
      <c r="V34" s="650">
        <v>140</v>
      </c>
      <c r="W34" s="948">
        <v>1.4</v>
      </c>
      <c r="X34" s="949">
        <v>1.35</v>
      </c>
      <c r="Y34" s="949">
        <v>1.32</v>
      </c>
      <c r="Z34" s="1149">
        <v>1.3</v>
      </c>
      <c r="AA34" s="1149">
        <v>1.3</v>
      </c>
      <c r="AB34" s="949">
        <v>1.28</v>
      </c>
      <c r="AC34" s="949">
        <v>1.28</v>
      </c>
      <c r="AD34" s="949"/>
      <c r="AE34" s="950">
        <v>1.25</v>
      </c>
      <c r="AF34" s="1280"/>
      <c r="AG34" s="951">
        <v>1</v>
      </c>
      <c r="AH34" s="952">
        <v>3.41</v>
      </c>
      <c r="AI34" s="952">
        <v>3.96</v>
      </c>
      <c r="AJ34" s="953">
        <v>4.93</v>
      </c>
      <c r="AK34" s="650">
        <v>140</v>
      </c>
      <c r="AL34" s="1280"/>
      <c r="AM34" s="644"/>
      <c r="AN34" s="644"/>
      <c r="AO34" s="644"/>
      <c r="AP34" s="644"/>
      <c r="AQ34" s="644"/>
      <c r="AR34" s="644"/>
      <c r="AS34" s="644"/>
      <c r="AT34" s="644"/>
      <c r="AU34" s="644"/>
      <c r="AV34" s="644"/>
      <c r="AW34" s="644"/>
    </row>
    <row r="35" spans="11:49" ht="14.25" hidden="1" customHeight="1">
      <c r="K35" s="650">
        <v>150</v>
      </c>
      <c r="L35" s="604">
        <f>M35*0.95</f>
        <v>826.32899999999995</v>
      </c>
      <c r="M35" s="604">
        <f>N35*0.95</f>
        <v>869.81999999999994</v>
      </c>
      <c r="N35" s="605">
        <f>763*1.2</f>
        <v>915.6</v>
      </c>
      <c r="O35" s="604">
        <f>Q35*0.85</f>
        <v>932.17799999999988</v>
      </c>
      <c r="P35" s="604">
        <f>R35*0.85</f>
        <v>981.2399999999999</v>
      </c>
      <c r="Q35" s="607">
        <f>R35*0.95</f>
        <v>1096.6799999999998</v>
      </c>
      <c r="R35" s="607">
        <f>962*1.2</f>
        <v>1154.3999999999999</v>
      </c>
      <c r="S35" s="607">
        <f>T35*0.915</f>
        <v>1135.3320000000001</v>
      </c>
      <c r="T35" s="607">
        <f>1034*1.2</f>
        <v>1240.8</v>
      </c>
      <c r="U35" s="1280"/>
      <c r="V35" s="650">
        <v>150</v>
      </c>
      <c r="W35" s="673">
        <v>1.4</v>
      </c>
      <c r="X35" s="674">
        <v>1.35</v>
      </c>
      <c r="Y35" s="674">
        <v>1.32</v>
      </c>
      <c r="Z35" s="1150">
        <v>1.3</v>
      </c>
      <c r="AA35" s="1150">
        <v>1.3</v>
      </c>
      <c r="AB35" s="674">
        <v>1.28</v>
      </c>
      <c r="AC35" s="674">
        <v>1.28</v>
      </c>
      <c r="AD35" s="674"/>
      <c r="AE35" s="675">
        <v>1.25</v>
      </c>
      <c r="AF35" s="1280"/>
      <c r="AG35" s="732">
        <v>1</v>
      </c>
      <c r="AH35" s="717">
        <v>3.41</v>
      </c>
      <c r="AI35" s="717">
        <v>3.96</v>
      </c>
      <c r="AJ35" s="718">
        <v>4.93</v>
      </c>
      <c r="AK35" s="650">
        <v>150</v>
      </c>
      <c r="AL35" s="1280"/>
      <c r="AM35" s="644"/>
      <c r="AN35" s="644"/>
      <c r="AO35" s="644">
        <v>325.74</v>
      </c>
      <c r="AP35" s="644">
        <v>366</v>
      </c>
      <c r="AQ35" s="644">
        <v>484.79999999999995</v>
      </c>
      <c r="AR35" s="644">
        <v>562.79999999999995</v>
      </c>
      <c r="AS35" s="644">
        <v>0</v>
      </c>
      <c r="AT35" s="644">
        <v>698.4</v>
      </c>
      <c r="AU35" s="644">
        <v>772.8</v>
      </c>
      <c r="AV35" s="644">
        <v>0</v>
      </c>
      <c r="AW35" s="644"/>
    </row>
    <row r="36" spans="11:49" ht="14.25" hidden="1" customHeight="1">
      <c r="K36" s="650">
        <v>200</v>
      </c>
      <c r="L36" s="609">
        <f>M36*0.88</f>
        <v>959.93109464313579</v>
      </c>
      <c r="M36" s="610">
        <f>M35*1.25408796</f>
        <v>1090.8307893671997</v>
      </c>
      <c r="N36" s="610">
        <f>M36*1.26352614</f>
        <v>1378.2932166822909</v>
      </c>
      <c r="O36" s="610">
        <f>N36*1.07113641</f>
        <v>1476.3400480444213</v>
      </c>
      <c r="P36" s="610">
        <f>P35*1.24695214</f>
        <v>1223.5593178536001</v>
      </c>
      <c r="Q36" s="610"/>
      <c r="R36" s="610">
        <f>M36*1.87</f>
        <v>2039.8535761166636</v>
      </c>
      <c r="S36" s="610"/>
      <c r="T36" s="610">
        <f>M36*1.95542361</f>
        <v>2133.0362800435591</v>
      </c>
      <c r="U36" s="1280"/>
      <c r="V36" s="650">
        <v>200</v>
      </c>
      <c r="W36" s="676"/>
      <c r="X36" s="677"/>
      <c r="Y36" s="677"/>
      <c r="Z36" s="677"/>
      <c r="AA36" s="677"/>
      <c r="AB36" s="677"/>
      <c r="AC36" s="677"/>
      <c r="AD36" s="677"/>
      <c r="AE36" s="678"/>
      <c r="AF36" s="1280"/>
      <c r="AG36" s="732">
        <v>1</v>
      </c>
      <c r="AH36" s="717">
        <v>2.73</v>
      </c>
      <c r="AI36" s="717">
        <v>3.11</v>
      </c>
      <c r="AJ36" s="718">
        <v>3.89</v>
      </c>
      <c r="AK36" s="650">
        <v>150.16</v>
      </c>
      <c r="AL36" s="1280"/>
      <c r="AM36" s="644"/>
      <c r="AN36" s="644"/>
      <c r="AO36" s="644">
        <v>403.91665015679996</v>
      </c>
      <c r="AP36" s="644">
        <v>458.99619335999995</v>
      </c>
      <c r="AQ36" s="644">
        <v>579.6</v>
      </c>
      <c r="AR36" s="644">
        <v>640.79999999999995</v>
      </c>
      <c r="AS36" s="644">
        <v>0</v>
      </c>
      <c r="AT36" s="644">
        <v>858.3228815832</v>
      </c>
      <c r="AU36" s="644">
        <v>936</v>
      </c>
      <c r="AV36" s="644">
        <v>0</v>
      </c>
      <c r="AW36" s="644"/>
    </row>
    <row r="37" spans="11:49" ht="14.25" hidden="1" customHeight="1">
      <c r="K37" s="650">
        <v>300</v>
      </c>
      <c r="L37" s="612">
        <f>M37*0.88</f>
        <v>1203.8380282215769</v>
      </c>
      <c r="M37" s="613">
        <f>M36*1.25408796</f>
        <v>1367.9977593427011</v>
      </c>
      <c r="N37" s="613">
        <f>M37*1.26352614</f>
        <v>1728.5009283909319</v>
      </c>
      <c r="O37" s="613">
        <f>N37*1.07113641</f>
        <v>1851.4602791183299</v>
      </c>
      <c r="P37" s="613">
        <f>P36*1.24695214</f>
        <v>1525.719909814487</v>
      </c>
      <c r="Q37" s="613"/>
      <c r="R37" s="613">
        <f>M37*1.87</f>
        <v>2558.1558099708514</v>
      </c>
      <c r="S37" s="613"/>
      <c r="T37" s="613">
        <f>M37*1.95542361</f>
        <v>2675.0151170458157</v>
      </c>
      <c r="U37" s="1280"/>
      <c r="V37" s="650">
        <v>300</v>
      </c>
      <c r="W37" s="679"/>
      <c r="X37" s="680"/>
      <c r="Y37" s="680"/>
      <c r="Z37" s="680"/>
      <c r="AA37" s="680"/>
      <c r="AB37" s="680"/>
      <c r="AC37" s="680"/>
      <c r="AD37" s="680"/>
      <c r="AE37" s="681"/>
      <c r="AF37" s="1280"/>
      <c r="AG37" s="732">
        <v>1</v>
      </c>
      <c r="AH37" s="674">
        <v>2.73</v>
      </c>
      <c r="AI37" s="674">
        <v>2.83</v>
      </c>
      <c r="AJ37" s="1286">
        <v>3.66</v>
      </c>
      <c r="AK37" s="651" t="s">
        <v>287</v>
      </c>
      <c r="AL37" s="1280"/>
      <c r="AM37" s="644" t="s">
        <v>288</v>
      </c>
      <c r="AN37" s="644"/>
      <c r="AO37" s="644">
        <v>438</v>
      </c>
      <c r="AP37" s="644">
        <v>550.79999999999995</v>
      </c>
      <c r="AQ37" s="644">
        <v>915.6</v>
      </c>
      <c r="AR37" s="644">
        <v>0</v>
      </c>
      <c r="AS37" s="644">
        <v>949.19999999999993</v>
      </c>
      <c r="AT37" s="644">
        <v>1154.3999999999999</v>
      </c>
      <c r="AU37" s="644">
        <v>1240.8</v>
      </c>
      <c r="AV37" s="644">
        <v>0</v>
      </c>
      <c r="AW37" s="644"/>
    </row>
    <row r="38" spans="11:49" ht="14.25" hidden="1" customHeight="1">
      <c r="K38" s="650">
        <v>400</v>
      </c>
      <c r="L38" s="615">
        <f>M38*0.88</f>
        <v>1509.7187769828197</v>
      </c>
      <c r="M38" s="616">
        <f>M37*1.25408796</f>
        <v>1715.5895192986588</v>
      </c>
      <c r="N38" s="616">
        <f>M38*1.26352614</f>
        <v>2167.6922031438899</v>
      </c>
      <c r="O38" s="616">
        <f>N38*1.07113641</f>
        <v>2321.8940444605369</v>
      </c>
      <c r="P38" s="616">
        <f>P37*1.24695214</f>
        <v>1902.4997065837817</v>
      </c>
      <c r="Q38" s="616"/>
      <c r="R38" s="616">
        <f>M38*1.87</f>
        <v>3208.1524010884923</v>
      </c>
      <c r="S38" s="616"/>
      <c r="T38" s="616">
        <f>M38*1.95542361</f>
        <v>3354.7042511051482</v>
      </c>
      <c r="U38" s="1280"/>
      <c r="V38" s="650">
        <v>400</v>
      </c>
      <c r="W38" s="682"/>
      <c r="X38" s="683"/>
      <c r="Y38" s="683"/>
      <c r="Z38" s="683"/>
      <c r="AA38" s="683"/>
      <c r="AB38" s="683"/>
      <c r="AC38" s="683"/>
      <c r="AD38" s="683"/>
      <c r="AE38" s="684"/>
      <c r="AF38" s="1280"/>
      <c r="AG38" s="732">
        <v>1</v>
      </c>
      <c r="AH38" s="1287">
        <v>3.41</v>
      </c>
      <c r="AI38" s="1287">
        <v>3.86</v>
      </c>
      <c r="AJ38" s="1288">
        <v>4.63</v>
      </c>
      <c r="AK38" s="618" t="s">
        <v>289</v>
      </c>
      <c r="AL38" s="1280"/>
      <c r="AM38" s="644"/>
      <c r="AN38" s="644"/>
      <c r="AO38" s="644">
        <v>607.86145056383987</v>
      </c>
      <c r="AP38" s="644">
        <v>690.75164836799991</v>
      </c>
      <c r="AQ38" s="644">
        <v>872.78276396105616</v>
      </c>
      <c r="AR38" s="644">
        <v>934.86939649912313</v>
      </c>
      <c r="AS38" s="644">
        <v>1183.6069712880001</v>
      </c>
      <c r="AT38" s="644">
        <v>1291.7055824481599</v>
      </c>
      <c r="AU38" s="644">
        <v>1350.7120818652049</v>
      </c>
      <c r="AV38" s="644">
        <v>0</v>
      </c>
      <c r="AW38" s="644"/>
    </row>
    <row r="39" spans="11:49" ht="14.25" hidden="1" customHeight="1">
      <c r="K39" s="650">
        <v>500</v>
      </c>
      <c r="L39" s="619">
        <f>M39*0.88</f>
        <v>1893.3201412000792</v>
      </c>
      <c r="M39" s="620">
        <f>M38*1.25408796</f>
        <v>2151.5001604546355</v>
      </c>
      <c r="N39" s="620">
        <f>M39*1.26352614</f>
        <v>2718.4766929486264</v>
      </c>
      <c r="O39" s="620">
        <f>N39*1.07113641</f>
        <v>2911.8593655536642</v>
      </c>
      <c r="P39" s="620">
        <f>P38*1.24695214</f>
        <v>2372.3260804740189</v>
      </c>
      <c r="Q39" s="620"/>
      <c r="R39" s="620">
        <f>M39*1.87</f>
        <v>4023.3053000501686</v>
      </c>
      <c r="S39" s="620"/>
      <c r="T39" s="620">
        <f>M39*1.95542361</f>
        <v>4207.094210671783</v>
      </c>
      <c r="U39" s="1280"/>
      <c r="V39" s="650">
        <v>500</v>
      </c>
      <c r="W39" s="685"/>
      <c r="X39" s="686"/>
      <c r="Y39" s="686"/>
      <c r="Z39" s="686"/>
      <c r="AA39" s="686"/>
      <c r="AB39" s="686"/>
      <c r="AC39" s="686"/>
      <c r="AD39" s="686"/>
      <c r="AE39" s="687"/>
      <c r="AF39" s="1280"/>
      <c r="AG39" s="821"/>
      <c r="AH39" s="821"/>
      <c r="AI39" s="821"/>
      <c r="AJ39" s="821"/>
      <c r="AK39" s="821"/>
      <c r="AL39" s="1280"/>
      <c r="AM39" s="644"/>
      <c r="AN39" s="644"/>
      <c r="AO39" s="644">
        <v>663.99145056383998</v>
      </c>
      <c r="AP39" s="644">
        <v>783.151648368</v>
      </c>
      <c r="AQ39" s="644">
        <v>1088.1827639610599</v>
      </c>
      <c r="AR39" s="644">
        <v>653.46939649912304</v>
      </c>
      <c r="AS39" s="644">
        <v>1658.206971288</v>
      </c>
      <c r="AT39" s="644">
        <v>1519.7055824481599</v>
      </c>
      <c r="AU39" s="644">
        <v>1584.7120818652099</v>
      </c>
      <c r="AV39" s="644">
        <v>0</v>
      </c>
      <c r="AW39" s="644"/>
    </row>
    <row r="40" spans="11:49" ht="14.25" hidden="1" customHeight="1">
      <c r="K40" s="928">
        <v>600</v>
      </c>
      <c r="L40" s="926">
        <f>M40*0.88</f>
        <v>2374.3899935045192</v>
      </c>
      <c r="M40" s="927">
        <f>M39*1.25408796</f>
        <v>2698.1704471642265</v>
      </c>
      <c r="N40" s="927">
        <f>M40*1.26352614</f>
        <v>3409.2088901674888</v>
      </c>
      <c r="O40" s="927">
        <f>N40*1.07113641</f>
        <v>3651.7277715540886</v>
      </c>
      <c r="P40" s="927">
        <f>P39*1.24695214</f>
        <v>2958.1770828248905</v>
      </c>
      <c r="Q40" s="927"/>
      <c r="R40" s="927">
        <f>M40*1.87</f>
        <v>5045.5787361971043</v>
      </c>
      <c r="S40" s="927"/>
      <c r="T40" s="927">
        <f>M40*1.95542361</f>
        <v>5276.0661961891856</v>
      </c>
      <c r="U40" s="1280"/>
      <c r="V40" s="928">
        <v>600</v>
      </c>
      <c r="W40" s="929"/>
      <c r="X40" s="930"/>
      <c r="Y40" s="930"/>
      <c r="Z40" s="930"/>
      <c r="AA40" s="930"/>
      <c r="AB40" s="930"/>
      <c r="AC40" s="930"/>
      <c r="AD40" s="930"/>
      <c r="AE40" s="931"/>
      <c r="AF40" s="1280"/>
      <c r="AG40" s="821"/>
      <c r="AH40" s="821"/>
      <c r="AI40" s="821"/>
      <c r="AJ40" s="821"/>
      <c r="AK40" s="821"/>
      <c r="AL40" s="1280"/>
      <c r="AM40" s="644"/>
      <c r="AN40" s="644"/>
      <c r="AO40" s="644">
        <v>752.03622071731195</v>
      </c>
      <c r="AP40" s="644">
        <v>889.75752354240001</v>
      </c>
      <c r="AQ40" s="644">
        <v>1238.1775931493701</v>
      </c>
      <c r="AR40" s="644">
        <v>701.01021544885998</v>
      </c>
      <c r="AS40" s="644">
        <v>2108.2090626743998</v>
      </c>
      <c r="AT40" s="644">
        <v>1727.3049690242899</v>
      </c>
      <c r="AU40" s="644">
        <v>1788.56570642477</v>
      </c>
      <c r="AV40" s="644">
        <v>0</v>
      </c>
      <c r="AW40" s="644"/>
    </row>
    <row r="41" spans="11:49" ht="34.5" hidden="1" customHeight="1">
      <c r="K41" s="2806" t="s">
        <v>375</v>
      </c>
      <c r="L41" s="2807"/>
      <c r="M41" s="2807"/>
      <c r="N41" s="2807"/>
      <c r="O41" s="2807"/>
      <c r="P41" s="2807"/>
      <c r="Q41" s="2807"/>
      <c r="R41" s="2807"/>
      <c r="S41" s="2807"/>
      <c r="T41" s="2807"/>
      <c r="U41" s="2807"/>
      <c r="V41" s="2807"/>
      <c r="W41" s="2807"/>
      <c r="X41" s="2807"/>
      <c r="Y41" s="2807"/>
      <c r="Z41" s="2807"/>
      <c r="AA41" s="2807"/>
      <c r="AB41" s="2807"/>
      <c r="AC41" s="2807"/>
      <c r="AD41" s="2807"/>
      <c r="AE41" s="2808"/>
      <c r="AJ41" s="1280"/>
      <c r="AK41" s="644"/>
      <c r="AL41" s="644"/>
      <c r="AM41" s="644"/>
      <c r="AN41" s="644"/>
      <c r="AO41" s="644"/>
      <c r="AP41" s="644"/>
      <c r="AQ41" s="644"/>
      <c r="AR41" s="644"/>
      <c r="AS41" s="644"/>
      <c r="AT41" s="644"/>
      <c r="AU41" s="644"/>
    </row>
    <row r="42" spans="11:49" ht="14.25" hidden="1" customHeight="1">
      <c r="K42" s="2809" t="s">
        <v>188</v>
      </c>
      <c r="L42" s="2810"/>
      <c r="M42" s="2810"/>
      <c r="N42" s="2810"/>
      <c r="O42" s="2810"/>
      <c r="P42" s="2810"/>
      <c r="Q42" s="2810"/>
      <c r="R42" s="2810"/>
      <c r="S42" s="2810"/>
      <c r="T42" s="2810"/>
      <c r="V42" s="2809" t="s">
        <v>189</v>
      </c>
      <c r="W42" s="2810"/>
      <c r="X42" s="2810"/>
      <c r="Y42" s="2810"/>
      <c r="Z42" s="2810"/>
      <c r="AA42" s="2810"/>
      <c r="AB42" s="2810"/>
      <c r="AC42" s="2810"/>
      <c r="AD42" s="2810"/>
      <c r="AE42" s="2811"/>
      <c r="AJ42" s="1280"/>
      <c r="AK42" s="644"/>
      <c r="AL42" s="644"/>
      <c r="AM42" s="644"/>
      <c r="AN42" s="644"/>
      <c r="AO42" s="644"/>
      <c r="AP42" s="644"/>
      <c r="AQ42" s="644"/>
      <c r="AR42" s="644"/>
      <c r="AS42" s="644"/>
      <c r="AT42" s="644"/>
      <c r="AU42" s="644"/>
    </row>
    <row r="43" spans="11:49" ht="14.25" hidden="1" customHeight="1">
      <c r="K43" s="702" t="s">
        <v>1</v>
      </c>
      <c r="L43" s="2700">
        <v>160</v>
      </c>
      <c r="M43" s="2702">
        <v>200</v>
      </c>
      <c r="N43" s="2702">
        <v>260</v>
      </c>
      <c r="O43" s="2702">
        <v>300</v>
      </c>
      <c r="P43" s="2702"/>
      <c r="Q43" s="2793">
        <v>360</v>
      </c>
      <c r="R43" s="2794"/>
      <c r="S43" s="2702">
        <v>400</v>
      </c>
      <c r="T43" s="2704"/>
      <c r="V43" s="702" t="s">
        <v>1</v>
      </c>
      <c r="W43" s="2700">
        <v>160</v>
      </c>
      <c r="X43" s="2702">
        <v>200</v>
      </c>
      <c r="Y43" s="2702">
        <v>260</v>
      </c>
      <c r="Z43" s="2702">
        <v>300</v>
      </c>
      <c r="AA43" s="2702"/>
      <c r="AB43" s="2793">
        <v>360</v>
      </c>
      <c r="AC43" s="2794"/>
      <c r="AD43" s="2702">
        <v>400</v>
      </c>
      <c r="AE43" s="2704"/>
      <c r="AG43" s="2690" t="s">
        <v>284</v>
      </c>
      <c r="AH43" s="2691"/>
      <c r="AI43" s="2691"/>
      <c r="AJ43" s="2692"/>
      <c r="AK43" s="1284" t="s">
        <v>0</v>
      </c>
      <c r="AL43" s="644"/>
      <c r="AM43" s="644"/>
      <c r="AN43" s="644"/>
      <c r="AO43" s="644"/>
      <c r="AP43" s="644"/>
      <c r="AQ43" s="644"/>
      <c r="AR43" s="644"/>
      <c r="AS43" s="644"/>
      <c r="AT43" s="644"/>
      <c r="AU43" s="644"/>
    </row>
    <row r="44" spans="11:49" ht="14.25" hidden="1" customHeight="1">
      <c r="K44" s="699" t="s">
        <v>0</v>
      </c>
      <c r="L44" s="2711"/>
      <c r="M44" s="2703"/>
      <c r="N44" s="2703"/>
      <c r="O44" s="1852">
        <v>2</v>
      </c>
      <c r="P44" s="1852">
        <v>4</v>
      </c>
      <c r="Q44" s="1852" t="s">
        <v>258</v>
      </c>
      <c r="R44" s="704" t="s">
        <v>260</v>
      </c>
      <c r="S44" s="1852" t="s">
        <v>258</v>
      </c>
      <c r="T44" s="704" t="s">
        <v>260</v>
      </c>
      <c r="V44" s="699" t="s">
        <v>0</v>
      </c>
      <c r="W44" s="2711"/>
      <c r="X44" s="2703"/>
      <c r="Y44" s="2703"/>
      <c r="Z44" s="1852">
        <v>1</v>
      </c>
      <c r="AA44" s="1852">
        <v>2</v>
      </c>
      <c r="AB44" s="1852" t="s">
        <v>258</v>
      </c>
      <c r="AC44" s="704" t="s">
        <v>260</v>
      </c>
      <c r="AD44" s="1852" t="s">
        <v>258</v>
      </c>
      <c r="AE44" s="704" t="s">
        <v>260</v>
      </c>
      <c r="AG44" s="723">
        <v>0</v>
      </c>
      <c r="AH44" s="724">
        <v>1</v>
      </c>
      <c r="AI44" s="724">
        <v>2</v>
      </c>
      <c r="AJ44" s="725">
        <v>3</v>
      </c>
      <c r="AK44" s="647" t="s">
        <v>285</v>
      </c>
      <c r="AL44" s="644"/>
      <c r="AM44" s="644"/>
      <c r="AN44" s="644"/>
      <c r="AO44" s="644">
        <f>(237.708)*1.3</f>
        <v>309.0204</v>
      </c>
      <c r="AP44" s="644">
        <f>(263.268)*1.3</f>
        <v>342.2484</v>
      </c>
      <c r="AQ44" s="644">
        <f>(263.268)*1.3</f>
        <v>342.2484</v>
      </c>
      <c r="AR44" s="644">
        <f>(367.212)*1.3</f>
        <v>477.37560000000002</v>
      </c>
      <c r="AS44" s="644">
        <f>(394.476)*1.3</f>
        <v>512.81880000000001</v>
      </c>
      <c r="AT44" s="644">
        <f>(394.476)*1.3</f>
        <v>512.81880000000001</v>
      </c>
      <c r="AU44" s="644"/>
    </row>
    <row r="45" spans="11:49" ht="14.25" hidden="1" customHeight="1">
      <c r="K45" s="702">
        <v>65</v>
      </c>
      <c r="L45" s="1289"/>
      <c r="M45" s="1290"/>
      <c r="N45" s="1290">
        <v>309.0204</v>
      </c>
      <c r="O45" s="1290">
        <v>342.2484</v>
      </c>
      <c r="P45" s="1290">
        <v>342.2484</v>
      </c>
      <c r="Q45" s="1290"/>
      <c r="R45" s="1290">
        <v>477.37560000000002</v>
      </c>
      <c r="S45" s="1290">
        <v>512.81880000000001</v>
      </c>
      <c r="T45" s="1291">
        <v>512.81880000000001</v>
      </c>
      <c r="U45" s="1280"/>
      <c r="V45" s="649">
        <v>65</v>
      </c>
      <c r="W45" s="1292" t="s">
        <v>286</v>
      </c>
      <c r="X45" s="1293" t="s">
        <v>286</v>
      </c>
      <c r="Y45" s="1294">
        <v>1.7</v>
      </c>
      <c r="Z45" s="1294">
        <v>1.65</v>
      </c>
      <c r="AA45" s="1293" t="s">
        <v>286</v>
      </c>
      <c r="AB45" s="1294"/>
      <c r="AC45" s="1294">
        <v>1.6</v>
      </c>
      <c r="AD45" s="1294">
        <v>1.55</v>
      </c>
      <c r="AE45" s="1295" t="s">
        <v>286</v>
      </c>
      <c r="AF45" s="1280"/>
      <c r="AG45" s="726">
        <v>1</v>
      </c>
      <c r="AH45" s="705">
        <v>5.12</v>
      </c>
      <c r="AI45" s="705">
        <v>5.66</v>
      </c>
      <c r="AJ45" s="706">
        <v>6.53</v>
      </c>
      <c r="AK45" s="649">
        <v>65</v>
      </c>
      <c r="AL45" s="1280"/>
      <c r="AM45" s="644"/>
      <c r="AN45" s="644"/>
      <c r="AO45" s="644">
        <f>(394.476)*1.3</f>
        <v>512.81880000000001</v>
      </c>
      <c r="AP45" s="644">
        <f>(394.476)*1.3</f>
        <v>512.81880000000001</v>
      </c>
      <c r="AQ45" s="644">
        <f>(292.17636)*1.3</f>
        <v>379.82926800000001</v>
      </c>
      <c r="AR45" s="644">
        <f>(323.02728)*1.3</f>
        <v>419.93546400000002</v>
      </c>
      <c r="AS45" s="644">
        <f>(323.02728)*1.3</f>
        <v>419.93546400000002</v>
      </c>
      <c r="AT45" s="644">
        <f>(432.680564606091)*1.3</f>
        <v>562.48473398791839</v>
      </c>
      <c r="AU45" s="644">
        <f>(471.8376)*1.3</f>
        <v>613.38888000000009</v>
      </c>
      <c r="AV45" s="644">
        <f>(471.8376)*1.3</f>
        <v>613.38888000000009</v>
      </c>
      <c r="AW45" s="644"/>
    </row>
    <row r="46" spans="11:49" ht="14.25" hidden="1" customHeight="1">
      <c r="K46" s="650">
        <v>70</v>
      </c>
      <c r="L46" s="1296">
        <v>512.81880000000001</v>
      </c>
      <c r="M46" s="1297">
        <v>512.81880000000001</v>
      </c>
      <c r="N46" s="1297">
        <v>379.82926800000001</v>
      </c>
      <c r="O46" s="1297">
        <v>419.93546400000002</v>
      </c>
      <c r="P46" s="1297">
        <v>419.93546400000002</v>
      </c>
      <c r="Q46" s="1297"/>
      <c r="R46" s="1297">
        <v>562.48473398791839</v>
      </c>
      <c r="S46" s="1297">
        <v>613.38888000000009</v>
      </c>
      <c r="T46" s="1298">
        <v>613.38888000000009</v>
      </c>
      <c r="U46" s="1280"/>
      <c r="V46" s="650">
        <v>70</v>
      </c>
      <c r="W46" s="1299" t="s">
        <v>286</v>
      </c>
      <c r="X46" s="1300" t="s">
        <v>286</v>
      </c>
      <c r="Y46" s="1301">
        <v>1.65</v>
      </c>
      <c r="Z46" s="1301">
        <v>1.6</v>
      </c>
      <c r="AA46" s="1300" t="s">
        <v>286</v>
      </c>
      <c r="AB46" s="1301"/>
      <c r="AC46" s="1301">
        <v>1.55</v>
      </c>
      <c r="AD46" s="1301">
        <v>1.5</v>
      </c>
      <c r="AE46" s="1302" t="s">
        <v>286</v>
      </c>
      <c r="AF46" s="1280"/>
      <c r="AG46" s="727">
        <v>1</v>
      </c>
      <c r="AH46" s="707">
        <v>5.12</v>
      </c>
      <c r="AI46" s="707">
        <v>5.66</v>
      </c>
      <c r="AJ46" s="708">
        <v>6.53</v>
      </c>
      <c r="AK46" s="650">
        <v>70</v>
      </c>
      <c r="AL46" s="1280"/>
      <c r="AM46" s="644"/>
      <c r="AN46" s="644"/>
      <c r="AO46" s="644">
        <f>(233.874)*1.3</f>
        <v>304.03620000000001</v>
      </c>
      <c r="AP46" s="644">
        <f>(259.86)*1.3</f>
        <v>337.81800000000004</v>
      </c>
      <c r="AQ46" s="644">
        <f>(334.8)*1.3</f>
        <v>435.24</v>
      </c>
      <c r="AR46" s="644">
        <f>(370.8)*1.3</f>
        <v>482.04</v>
      </c>
      <c r="AS46" s="644">
        <f>0*1.3</f>
        <v>0</v>
      </c>
      <c r="AT46" s="644">
        <f>(517.2)*1.3</f>
        <v>672.36000000000013</v>
      </c>
      <c r="AU46" s="644">
        <f>(555.6)*1.3</f>
        <v>722.28000000000009</v>
      </c>
      <c r="AV46" s="644">
        <f>0*1.3</f>
        <v>0</v>
      </c>
      <c r="AW46" s="644"/>
    </row>
    <row r="47" spans="11:49" ht="14.25" hidden="1" customHeight="1">
      <c r="K47" s="650">
        <v>75</v>
      </c>
      <c r="L47" s="1303">
        <v>304.03620000000001</v>
      </c>
      <c r="M47" s="1304">
        <v>337.81800000000004</v>
      </c>
      <c r="N47" s="1304">
        <v>435.24</v>
      </c>
      <c r="O47" s="1304">
        <v>482.04</v>
      </c>
      <c r="P47" s="1304">
        <v>0</v>
      </c>
      <c r="Q47" s="1304"/>
      <c r="R47" s="1304">
        <v>672.36000000000013</v>
      </c>
      <c r="S47" s="1304">
        <v>722.28000000000009</v>
      </c>
      <c r="T47" s="1305">
        <v>0</v>
      </c>
      <c r="U47" s="1280"/>
      <c r="V47" s="650">
        <v>75</v>
      </c>
      <c r="W47" s="1306">
        <v>1.7</v>
      </c>
      <c r="X47" s="1307">
        <v>1.65</v>
      </c>
      <c r="Y47" s="1307">
        <v>1.6</v>
      </c>
      <c r="Z47" s="1307">
        <v>1.55</v>
      </c>
      <c r="AA47" s="1307">
        <v>1.55</v>
      </c>
      <c r="AB47" s="1307"/>
      <c r="AC47" s="1307">
        <v>1.5</v>
      </c>
      <c r="AD47" s="1307">
        <v>1.45</v>
      </c>
      <c r="AE47" s="1308">
        <v>1.45</v>
      </c>
      <c r="AF47" s="1280"/>
      <c r="AG47" s="728">
        <v>1</v>
      </c>
      <c r="AH47" s="709">
        <v>4.5999999999999996</v>
      </c>
      <c r="AI47" s="709">
        <v>5</v>
      </c>
      <c r="AJ47" s="710">
        <v>6.53</v>
      </c>
      <c r="AK47" s="650">
        <v>75</v>
      </c>
      <c r="AL47" s="1280"/>
      <c r="AM47" s="644"/>
      <c r="AN47" s="644"/>
      <c r="AO47" s="644">
        <f>0*1.3</f>
        <v>0</v>
      </c>
      <c r="AP47" s="644">
        <f>0*1.3</f>
        <v>0</v>
      </c>
      <c r="AQ47" s="644">
        <f>(411.516)*1.3</f>
        <v>534.97080000000005</v>
      </c>
      <c r="AR47" s="644">
        <f>(454.968)*1.3</f>
        <v>591.4584000000001</v>
      </c>
      <c r="AS47" s="644">
        <f>(454.968)*1.3</f>
        <v>591.4584000000001</v>
      </c>
      <c r="AT47" s="644">
        <f>(609.409245924072)*1.3</f>
        <v>792.23201970129367</v>
      </c>
      <c r="AU47" s="644">
        <f>(664.56)*1.3</f>
        <v>863.928</v>
      </c>
      <c r="AV47" s="644">
        <f>(664.56)*1.3</f>
        <v>863.928</v>
      </c>
      <c r="AW47" s="644"/>
    </row>
    <row r="48" spans="11:49" ht="14.25" hidden="1" customHeight="1">
      <c r="K48" s="650">
        <v>80</v>
      </c>
      <c r="L48" s="1309">
        <v>0</v>
      </c>
      <c r="M48" s="597">
        <v>0</v>
      </c>
      <c r="N48" s="597">
        <v>534.97080000000005</v>
      </c>
      <c r="O48" s="597">
        <v>591.4584000000001</v>
      </c>
      <c r="P48" s="597">
        <v>591.4584000000001</v>
      </c>
      <c r="Q48" s="597"/>
      <c r="R48" s="597">
        <v>792.23201970129367</v>
      </c>
      <c r="S48" s="597">
        <v>863.928</v>
      </c>
      <c r="T48" s="1310">
        <v>863.928</v>
      </c>
      <c r="U48" s="1280"/>
      <c r="V48" s="650">
        <v>80</v>
      </c>
      <c r="W48" s="1311" t="s">
        <v>286</v>
      </c>
      <c r="X48" s="1312" t="s">
        <v>286</v>
      </c>
      <c r="Y48" s="666">
        <v>1.55</v>
      </c>
      <c r="Z48" s="666">
        <v>1.5</v>
      </c>
      <c r="AA48" s="1312" t="s">
        <v>286</v>
      </c>
      <c r="AB48" s="666"/>
      <c r="AC48" s="666">
        <v>1.45</v>
      </c>
      <c r="AD48" s="666">
        <v>1.4</v>
      </c>
      <c r="AE48" s="1313" t="s">
        <v>286</v>
      </c>
      <c r="AF48" s="1280"/>
      <c r="AG48" s="729">
        <v>1</v>
      </c>
      <c r="AH48" s="711">
        <v>3.92</v>
      </c>
      <c r="AI48" s="711">
        <v>4.5</v>
      </c>
      <c r="AJ48" s="712">
        <v>5.6</v>
      </c>
      <c r="AK48" s="650">
        <v>80</v>
      </c>
      <c r="AL48" s="1280"/>
      <c r="AM48" s="644"/>
      <c r="AN48" s="644"/>
      <c r="AO48" s="644">
        <f>(325.74)*1.3</f>
        <v>423.46200000000005</v>
      </c>
      <c r="AP48" s="644">
        <f>(366)*1.3</f>
        <v>475.8</v>
      </c>
      <c r="AQ48" s="644">
        <f>(484.8)*1.3</f>
        <v>630.24</v>
      </c>
      <c r="AR48" s="644">
        <f>(562.8)*1.3</f>
        <v>731.64</v>
      </c>
      <c r="AS48" s="644">
        <f>0*1.3</f>
        <v>0</v>
      </c>
      <c r="AT48" s="644">
        <f>(698.4)*1.3</f>
        <v>907.92</v>
      </c>
      <c r="AU48" s="644">
        <f>(772.8)*1.3</f>
        <v>1004.64</v>
      </c>
      <c r="AV48" s="644">
        <f t="shared" ref="AV48:AV56" si="0">0*1.3</f>
        <v>0</v>
      </c>
      <c r="AW48" s="644"/>
    </row>
    <row r="49" spans="11:49" ht="14.25" hidden="1" customHeight="1">
      <c r="K49" s="650">
        <v>90</v>
      </c>
      <c r="L49" s="1314">
        <v>423.46200000000005</v>
      </c>
      <c r="M49" s="1315">
        <v>475.8</v>
      </c>
      <c r="N49" s="1316">
        <v>630.24</v>
      </c>
      <c r="O49" s="1316">
        <v>731.64</v>
      </c>
      <c r="P49" s="1315">
        <f>O49*1.17</f>
        <v>856.01879999999994</v>
      </c>
      <c r="Q49" s="1315"/>
      <c r="R49" s="1316">
        <v>907.92</v>
      </c>
      <c r="S49" s="1316">
        <v>1004.64</v>
      </c>
      <c r="T49" s="1317">
        <f>S49*1.23</f>
        <v>1235.7072000000001</v>
      </c>
      <c r="U49" s="1280"/>
      <c r="V49" s="650">
        <v>90</v>
      </c>
      <c r="W49" s="1318">
        <v>1.6</v>
      </c>
      <c r="X49" s="1319">
        <v>1.55</v>
      </c>
      <c r="Y49" s="1319">
        <v>1.5</v>
      </c>
      <c r="Z49" s="1319">
        <v>1.45</v>
      </c>
      <c r="AA49" s="1319">
        <v>1.45</v>
      </c>
      <c r="AB49" s="1319"/>
      <c r="AC49" s="1319">
        <v>1.4</v>
      </c>
      <c r="AD49" s="1319">
        <v>1.3</v>
      </c>
      <c r="AE49" s="1320">
        <v>1.3</v>
      </c>
      <c r="AF49" s="1280"/>
      <c r="AG49" s="730">
        <v>1</v>
      </c>
      <c r="AH49" s="713">
        <v>3.51</v>
      </c>
      <c r="AI49" s="713">
        <v>3.96</v>
      </c>
      <c r="AJ49" s="714">
        <v>4.93</v>
      </c>
      <c r="AK49" s="650">
        <v>90</v>
      </c>
      <c r="AL49" s="1280"/>
      <c r="AM49" s="644"/>
      <c r="AN49" s="644"/>
      <c r="AO49" s="644">
        <f>(403.9166501568)*1.3</f>
        <v>525.09164520384002</v>
      </c>
      <c r="AP49" s="644">
        <f>(458.99619336)*1.3</f>
        <v>596.69505136800001</v>
      </c>
      <c r="AQ49" s="644">
        <f>(579.6)*1.3</f>
        <v>753.48</v>
      </c>
      <c r="AR49" s="644">
        <f>(640.8)*1.3</f>
        <v>833.04</v>
      </c>
      <c r="AS49" s="644">
        <f>0*1.3</f>
        <v>0</v>
      </c>
      <c r="AT49" s="644">
        <f>(858.3228815832)*1.3</f>
        <v>1115.81974605816</v>
      </c>
      <c r="AU49" s="644">
        <f>(936)*1.3</f>
        <v>1216.8</v>
      </c>
      <c r="AV49" s="644">
        <f t="shared" si="0"/>
        <v>0</v>
      </c>
      <c r="AW49" s="644"/>
    </row>
    <row r="50" spans="11:49" ht="14.25" hidden="1" customHeight="1">
      <c r="K50" s="650">
        <v>110</v>
      </c>
      <c r="L50" s="1321">
        <v>525.09164520384002</v>
      </c>
      <c r="M50" s="1322">
        <v>596.69505136800001</v>
      </c>
      <c r="N50" s="1322">
        <v>753.48</v>
      </c>
      <c r="O50" s="1322">
        <v>833.04</v>
      </c>
      <c r="P50" s="1322">
        <f>O50*1.27</f>
        <v>1057.9608000000001</v>
      </c>
      <c r="Q50" s="1322"/>
      <c r="R50" s="1322">
        <v>1115.81974605816</v>
      </c>
      <c r="S50" s="1322">
        <v>1216.8</v>
      </c>
      <c r="T50" s="1323">
        <f>S50*1.15</f>
        <v>1399.32</v>
      </c>
      <c r="U50" s="1280"/>
      <c r="V50" s="650">
        <v>110</v>
      </c>
      <c r="W50" s="1324">
        <v>1.5</v>
      </c>
      <c r="X50" s="1325">
        <v>1.3</v>
      </c>
      <c r="Y50" s="1325">
        <v>1.3</v>
      </c>
      <c r="Z50" s="1325">
        <v>1.3</v>
      </c>
      <c r="AA50" s="1325">
        <v>1.3</v>
      </c>
      <c r="AB50" s="1325"/>
      <c r="AC50" s="1325">
        <v>1.3</v>
      </c>
      <c r="AD50" s="1325">
        <v>1.3</v>
      </c>
      <c r="AE50" s="1326">
        <v>1.3</v>
      </c>
      <c r="AF50" s="1280"/>
      <c r="AG50" s="731">
        <v>1</v>
      </c>
      <c r="AH50" s="715">
        <v>3.41</v>
      </c>
      <c r="AI50" s="715">
        <v>3.96</v>
      </c>
      <c r="AJ50" s="716">
        <v>4.93</v>
      </c>
      <c r="AK50" s="650">
        <v>110</v>
      </c>
      <c r="AL50" s="1280"/>
      <c r="AM50" s="644"/>
      <c r="AN50" s="644"/>
      <c r="AO50" s="644">
        <f>(438)*1.3</f>
        <v>569.4</v>
      </c>
      <c r="AP50" s="644">
        <f>(550.8)*1.3</f>
        <v>716.04</v>
      </c>
      <c r="AQ50" s="644">
        <f>(915.6)*1.3</f>
        <v>1190.28</v>
      </c>
      <c r="AR50" s="644">
        <f>0*1.3</f>
        <v>0</v>
      </c>
      <c r="AS50" s="644">
        <f>(949.2)*1.3</f>
        <v>1233.96</v>
      </c>
      <c r="AT50" s="644">
        <f>(1154.4)*1.3</f>
        <v>1500.7200000000003</v>
      </c>
      <c r="AU50" s="644">
        <f>(1240.8)*1.3</f>
        <v>1613.04</v>
      </c>
      <c r="AV50" s="644">
        <f t="shared" si="0"/>
        <v>0</v>
      </c>
      <c r="AW50" s="644"/>
    </row>
    <row r="51" spans="11:49" ht="14.25" hidden="1" customHeight="1">
      <c r="K51" s="650">
        <v>140</v>
      </c>
      <c r="L51" s="1147">
        <f>M51*0.95</f>
        <v>1036.6297304999998</v>
      </c>
      <c r="M51" s="1147">
        <f>N51*0.95</f>
        <v>1091.1891899999998</v>
      </c>
      <c r="N51" s="1147">
        <f>N52*0.965</f>
        <v>1148.6201999999998</v>
      </c>
      <c r="O51" s="1147">
        <f>Q51*0.85</f>
        <v>1169.4173010000002</v>
      </c>
      <c r="P51" s="1147">
        <f>R51*0.85</f>
        <v>1230.96558</v>
      </c>
      <c r="Q51" s="1147">
        <f>Q52*0.965</f>
        <v>1375.7850600000002</v>
      </c>
      <c r="R51" s="1147">
        <f>R52*0.965</f>
        <v>1448.1948000000002</v>
      </c>
      <c r="S51" s="1147">
        <f>S52*0.965</f>
        <v>1424.2739940000001</v>
      </c>
      <c r="T51" s="1154">
        <f>T52*0.965</f>
        <v>1556.5835999999999</v>
      </c>
      <c r="U51" s="1280"/>
      <c r="V51" s="650">
        <v>140</v>
      </c>
      <c r="W51" s="1327">
        <v>1.4</v>
      </c>
      <c r="X51" s="1149">
        <v>1.35</v>
      </c>
      <c r="Y51" s="1149">
        <v>1.32</v>
      </c>
      <c r="Z51" s="1149">
        <v>1.3</v>
      </c>
      <c r="AA51" s="1149">
        <v>1.3</v>
      </c>
      <c r="AB51" s="1149">
        <v>1.28</v>
      </c>
      <c r="AC51" s="1149">
        <v>1.28</v>
      </c>
      <c r="AD51" s="1328">
        <v>1.25</v>
      </c>
      <c r="AE51" s="1328">
        <v>1.25</v>
      </c>
      <c r="AF51" s="1280"/>
      <c r="AG51" s="951">
        <v>1</v>
      </c>
      <c r="AH51" s="952">
        <v>3.41</v>
      </c>
      <c r="AI51" s="952">
        <v>3.96</v>
      </c>
      <c r="AJ51" s="953">
        <v>4.93</v>
      </c>
      <c r="AK51" s="650">
        <v>140</v>
      </c>
      <c r="AL51" s="1280"/>
      <c r="AM51" s="644"/>
      <c r="AN51" s="644"/>
      <c r="AO51" s="644"/>
      <c r="AP51" s="644"/>
      <c r="AQ51" s="644"/>
      <c r="AR51" s="644"/>
      <c r="AS51" s="644"/>
      <c r="AT51" s="644"/>
      <c r="AU51" s="644"/>
      <c r="AV51" s="644"/>
      <c r="AW51" s="644"/>
    </row>
    <row r="52" spans="11:49" ht="14.25" hidden="1" customHeight="1">
      <c r="K52" s="650">
        <v>150</v>
      </c>
      <c r="L52" s="1329">
        <f>M52*0.95</f>
        <v>1074.2276999999999</v>
      </c>
      <c r="M52" s="1330">
        <f>N52*0.95</f>
        <v>1130.7659999999998</v>
      </c>
      <c r="N52" s="1331">
        <v>1190.28</v>
      </c>
      <c r="O52" s="1148">
        <f>Q52*0.9</f>
        <v>1283.1156000000003</v>
      </c>
      <c r="P52" s="1330">
        <f>R52*0.9</f>
        <v>1350.6480000000004</v>
      </c>
      <c r="Q52" s="1148">
        <f>R52*0.95</f>
        <v>1425.6840000000002</v>
      </c>
      <c r="R52" s="1148">
        <v>1500.7200000000003</v>
      </c>
      <c r="S52" s="1148">
        <f>T52*0.915</f>
        <v>1475.9316000000001</v>
      </c>
      <c r="T52" s="1155">
        <v>1613.04</v>
      </c>
      <c r="U52" s="1280"/>
      <c r="V52" s="650">
        <v>150</v>
      </c>
      <c r="W52" s="1332">
        <v>1.4</v>
      </c>
      <c r="X52" s="1150">
        <v>1.35</v>
      </c>
      <c r="Y52" s="1150">
        <v>1.32</v>
      </c>
      <c r="Z52" s="1150">
        <v>1.3</v>
      </c>
      <c r="AA52" s="1150">
        <v>1.3</v>
      </c>
      <c r="AB52" s="1150">
        <v>1.28</v>
      </c>
      <c r="AC52" s="1150">
        <v>1.28</v>
      </c>
      <c r="AD52" s="1333">
        <v>1.25</v>
      </c>
      <c r="AE52" s="1333">
        <v>1.25</v>
      </c>
      <c r="AF52" s="1280"/>
      <c r="AG52" s="732">
        <v>1</v>
      </c>
      <c r="AH52" s="717">
        <v>3.41</v>
      </c>
      <c r="AI52" s="717">
        <v>3.96</v>
      </c>
      <c r="AJ52" s="718">
        <v>4.93</v>
      </c>
      <c r="AK52" s="650">
        <v>150</v>
      </c>
      <c r="AL52" s="1280"/>
      <c r="AM52" s="644"/>
      <c r="AN52" s="644"/>
      <c r="AO52" s="644">
        <f>(607.86145056384)*1.3</f>
        <v>790.219885732992</v>
      </c>
      <c r="AP52" s="644">
        <f>(690.751648368)*1.3</f>
        <v>897.97714287840006</v>
      </c>
      <c r="AQ52" s="644">
        <f>(872.782763961056)*1.3</f>
        <v>1134.6175931493729</v>
      </c>
      <c r="AR52" s="644">
        <f>(934.869396499123)*1.3</f>
        <v>1215.3302154488599</v>
      </c>
      <c r="AS52" s="644">
        <f>(1183.606971288)*1.3</f>
        <v>1538.6890626744002</v>
      </c>
      <c r="AT52" s="644">
        <f>(1291.70558244816)*1.3</f>
        <v>1679.2172571826079</v>
      </c>
      <c r="AU52" s="644">
        <f>(1350.7120818652)*1.3</f>
        <v>1755.9257064247599</v>
      </c>
      <c r="AV52" s="644">
        <f t="shared" si="0"/>
        <v>0</v>
      </c>
      <c r="AW52" s="644"/>
    </row>
    <row r="53" spans="11:49" ht="14.25" hidden="1" customHeight="1">
      <c r="K53" s="650">
        <v>200</v>
      </c>
      <c r="L53" s="1334">
        <v>790.219885732992</v>
      </c>
      <c r="M53" s="1156">
        <v>897.97714287840006</v>
      </c>
      <c r="N53" s="1156">
        <v>1134.6175931493729</v>
      </c>
      <c r="O53" s="1156">
        <v>1215.3302154488599</v>
      </c>
      <c r="P53" s="1156">
        <v>1538.6890626744002</v>
      </c>
      <c r="Q53" s="1156"/>
      <c r="R53" s="1156">
        <v>1679.2172571826079</v>
      </c>
      <c r="S53" s="1156"/>
      <c r="T53" s="1157">
        <v>1755.9257064247599</v>
      </c>
      <c r="U53" s="1280"/>
      <c r="V53" s="650">
        <v>200</v>
      </c>
      <c r="W53" s="1335"/>
      <c r="X53" s="1336"/>
      <c r="Y53" s="1336"/>
      <c r="Z53" s="1336"/>
      <c r="AA53" s="1336"/>
      <c r="AB53" s="1336"/>
      <c r="AC53" s="1336"/>
      <c r="AD53" s="1336"/>
      <c r="AE53" s="1337"/>
      <c r="AF53" s="1280"/>
      <c r="AG53" s="732">
        <v>1</v>
      </c>
      <c r="AH53" s="717">
        <v>2.73</v>
      </c>
      <c r="AI53" s="717">
        <v>3.11</v>
      </c>
      <c r="AJ53" s="718">
        <v>3.89</v>
      </c>
      <c r="AK53" s="650">
        <v>150.16</v>
      </c>
      <c r="AL53" s="1280"/>
      <c r="AM53" s="644"/>
      <c r="AN53" s="644"/>
      <c r="AO53" s="644">
        <f>(762.311726500247)*1.3</f>
        <v>991.00524445032113</v>
      </c>
      <c r="AP53" s="644">
        <f>(866.263325568462)*1.3</f>
        <v>1126.1423232390007</v>
      </c>
      <c r="AQ53" s="644">
        <f>(1094.54635597908)*1.3</f>
        <v>1422.9102627728041</v>
      </c>
      <c r="AR53" s="644">
        <f>(1172.40845432202)*1.3</f>
        <v>1524.1309906186259</v>
      </c>
      <c r="AS53" s="644">
        <f>(1475.90124576649)*1.3</f>
        <v>1918.6716194964372</v>
      </c>
      <c r="AT53" s="644">
        <f>(1619.91241881302)*1.3</f>
        <v>2105.8861444569261</v>
      </c>
      <c r="AU53" s="644">
        <f>(1693.91175929369)*1.3</f>
        <v>2202.0852870817971</v>
      </c>
      <c r="AV53" s="644">
        <f t="shared" si="0"/>
        <v>0</v>
      </c>
      <c r="AW53" s="644"/>
    </row>
    <row r="54" spans="11:49" ht="14.25" hidden="1" customHeight="1">
      <c r="K54" s="650">
        <v>300</v>
      </c>
      <c r="L54" s="1338">
        <v>991.00524445032113</v>
      </c>
      <c r="M54" s="1158">
        <v>1126.1423232390007</v>
      </c>
      <c r="N54" s="1158">
        <v>1422.9102627728041</v>
      </c>
      <c r="O54" s="1158">
        <v>1524.1309906186259</v>
      </c>
      <c r="P54" s="1158">
        <v>1918.6716194964372</v>
      </c>
      <c r="Q54" s="1158"/>
      <c r="R54" s="1158">
        <v>2105.8861444569261</v>
      </c>
      <c r="S54" s="1158"/>
      <c r="T54" s="1159">
        <v>2202.0852870817971</v>
      </c>
      <c r="U54" s="1280"/>
      <c r="V54" s="650">
        <v>300</v>
      </c>
      <c r="W54" s="1339"/>
      <c r="X54" s="1340"/>
      <c r="Y54" s="1340"/>
      <c r="Z54" s="1340"/>
      <c r="AA54" s="1340"/>
      <c r="AB54" s="1340"/>
      <c r="AC54" s="1340"/>
      <c r="AD54" s="1340"/>
      <c r="AE54" s="1341"/>
      <c r="AF54" s="1280"/>
      <c r="AG54" s="732">
        <v>1</v>
      </c>
      <c r="AH54" s="674">
        <v>2.73</v>
      </c>
      <c r="AI54" s="674">
        <v>2.83</v>
      </c>
      <c r="AJ54" s="1286">
        <v>3.66</v>
      </c>
      <c r="AK54" s="651" t="s">
        <v>287</v>
      </c>
      <c r="AL54" s="1280"/>
      <c r="AM54" s="644"/>
      <c r="AN54" s="644"/>
      <c r="AO54" s="644">
        <f>(956.005957970772)*1.3</f>
        <v>1242.8077453620035</v>
      </c>
      <c r="AP54" s="644">
        <f>(1086.37040678497)*1.3</f>
        <v>1412.2815288204613</v>
      </c>
      <c r="AQ54" s="644">
        <f>(1372.65740669524)*1.3</f>
        <v>1784.4546287038122</v>
      </c>
      <c r="AR54" s="644">
        <f>(1470.30332676745)*1.3</f>
        <v>1911.3943247976852</v>
      </c>
      <c r="AS54" s="644">
        <f>(1840.37821683719)*1.3</f>
        <v>2392.4916818883471</v>
      </c>
      <c r="AT54" s="644">
        <f>(2031.51266068789)*1.3</f>
        <v>2640.9664588942574</v>
      </c>
      <c r="AU54" s="644">
        <f>(2124.31434263263)*1.3</f>
        <v>2761.6086454224192</v>
      </c>
      <c r="AV54" s="644">
        <f t="shared" si="0"/>
        <v>0</v>
      </c>
      <c r="AW54" s="644"/>
    </row>
    <row r="55" spans="11:49" ht="14.25" hidden="1" customHeight="1">
      <c r="K55" s="650">
        <v>400</v>
      </c>
      <c r="L55" s="1342">
        <v>1242.8077453620035</v>
      </c>
      <c r="M55" s="1160">
        <v>1412.2815288204613</v>
      </c>
      <c r="N55" s="1160">
        <v>1784.4546287038122</v>
      </c>
      <c r="O55" s="1160">
        <v>1911.3943247976852</v>
      </c>
      <c r="P55" s="1160">
        <v>2392.4916818883471</v>
      </c>
      <c r="Q55" s="1160"/>
      <c r="R55" s="1160">
        <v>2640.9664588942574</v>
      </c>
      <c r="S55" s="1160"/>
      <c r="T55" s="1161">
        <v>2761.6086454224192</v>
      </c>
      <c r="U55" s="1280"/>
      <c r="V55" s="650">
        <v>400</v>
      </c>
      <c r="W55" s="1343"/>
      <c r="X55" s="1344"/>
      <c r="Y55" s="1344"/>
      <c r="Z55" s="1344"/>
      <c r="AA55" s="1344"/>
      <c r="AB55" s="1344"/>
      <c r="AC55" s="1344"/>
      <c r="AD55" s="1344"/>
      <c r="AE55" s="1345"/>
      <c r="AF55" s="1280"/>
      <c r="AG55" s="732">
        <v>1</v>
      </c>
      <c r="AH55" s="1287">
        <v>3.41</v>
      </c>
      <c r="AI55" s="1287">
        <v>3.86</v>
      </c>
      <c r="AJ55" s="1288">
        <v>4.63</v>
      </c>
      <c r="AK55" s="618" t="s">
        <v>289</v>
      </c>
      <c r="AL55" s="1280"/>
      <c r="AM55" s="644"/>
      <c r="AN55" s="644"/>
      <c r="AO55" s="644">
        <f>(1198.91556157941)*1.3</f>
        <v>1558.590230053233</v>
      </c>
      <c r="AP55" s="644">
        <f>(1362.40404724933)*1.3</f>
        <v>1771.1252614241291</v>
      </c>
      <c r="AQ55" s="644">
        <f>(1721.43312694132)*1.3</f>
        <v>2237.863065023716</v>
      </c>
      <c r="AR55" s="644">
        <f>(1843.88969964701)*1.3</f>
        <v>2397.0566095411132</v>
      </c>
      <c r="AS55" s="644">
        <f>(2294.86355589452)*1.3</f>
        <v>2983.3226226628758</v>
      </c>
      <c r="AT55" s="644">
        <f>(2547.69556835625)*1.3</f>
        <v>3312.004238863125</v>
      </c>
      <c r="AU55" s="644">
        <f>(2664.0770403509)*1.3</f>
        <v>3463.3001524561701</v>
      </c>
      <c r="AV55" s="644">
        <f t="shared" si="0"/>
        <v>0</v>
      </c>
      <c r="AW55" s="644"/>
    </row>
    <row r="56" spans="11:49" ht="14.25" hidden="1" customHeight="1">
      <c r="K56" s="650">
        <v>500</v>
      </c>
      <c r="L56" s="1346">
        <v>1558.590230053233</v>
      </c>
      <c r="M56" s="1162">
        <v>1771.1252614241291</v>
      </c>
      <c r="N56" s="1162">
        <v>2237.863065023716</v>
      </c>
      <c r="O56" s="1162">
        <v>2397.0566095411132</v>
      </c>
      <c r="P56" s="1162">
        <v>2983.3226226628758</v>
      </c>
      <c r="Q56" s="1162"/>
      <c r="R56" s="1162">
        <v>3312.004238863125</v>
      </c>
      <c r="S56" s="1162"/>
      <c r="T56" s="1163">
        <v>3463.3001524561701</v>
      </c>
      <c r="U56" s="1280"/>
      <c r="V56" s="650">
        <v>500</v>
      </c>
      <c r="W56" s="1347"/>
      <c r="X56" s="1348"/>
      <c r="Y56" s="1348"/>
      <c r="Z56" s="1348"/>
      <c r="AA56" s="1348"/>
      <c r="AB56" s="1348"/>
      <c r="AC56" s="1348"/>
      <c r="AD56" s="1348"/>
      <c r="AE56" s="1349"/>
      <c r="AF56" s="1280"/>
      <c r="AG56" s="732">
        <v>1</v>
      </c>
      <c r="AH56" s="674">
        <v>3.05</v>
      </c>
      <c r="AI56" s="674">
        <v>3.25</v>
      </c>
      <c r="AJ56" s="1286">
        <v>4.0999999999999996</v>
      </c>
      <c r="AK56" s="651" t="s">
        <v>492</v>
      </c>
      <c r="AL56" s="1280"/>
      <c r="AM56" s="644"/>
      <c r="AN56" s="644"/>
      <c r="AO56" s="644">
        <f>(1503.54557083338)*1.3</f>
        <v>1954.6092420833941</v>
      </c>
      <c r="AP56" s="644">
        <f>(1708.57451231066)*1.3</f>
        <v>2221.1468660038581</v>
      </c>
      <c r="AQ56" s="644">
        <f>(2158.82855844227)*1.3</f>
        <v>2806.4771259749514</v>
      </c>
      <c r="AR56" s="644">
        <f>(2312.39987189533)*1.3</f>
        <v>3006.1198334639289</v>
      </c>
      <c r="AS56" s="644">
        <f>(2861.58502203068)*1.3</f>
        <v>3720.0605286398845</v>
      </c>
      <c r="AT56" s="644">
        <f>(3195.03433802093)*1.3</f>
        <v>4153.5446394272094</v>
      </c>
      <c r="AU56" s="644">
        <f>(3340.98694081649)*1.3</f>
        <v>4343.2830230614372</v>
      </c>
      <c r="AV56" s="644">
        <f t="shared" si="0"/>
        <v>0</v>
      </c>
      <c r="AW56" s="644"/>
    </row>
    <row r="57" spans="11:49" ht="14.25" hidden="1" customHeight="1">
      <c r="K57" s="699">
        <v>600</v>
      </c>
      <c r="L57" s="1350">
        <v>1954.6092420833941</v>
      </c>
      <c r="M57" s="1164">
        <v>2221.1468660038581</v>
      </c>
      <c r="N57" s="1164">
        <v>2806.4771259749514</v>
      </c>
      <c r="O57" s="1164">
        <v>3006.1198334639289</v>
      </c>
      <c r="P57" s="1164">
        <v>3720.0605286398845</v>
      </c>
      <c r="Q57" s="1164"/>
      <c r="R57" s="1164">
        <v>4153.5446394272094</v>
      </c>
      <c r="S57" s="1164"/>
      <c r="T57" s="1165">
        <v>4343.2830230614372</v>
      </c>
      <c r="U57" s="1351"/>
      <c r="V57" s="699">
        <v>600</v>
      </c>
      <c r="W57" s="1352"/>
      <c r="X57" s="1353"/>
      <c r="Y57" s="1353"/>
      <c r="Z57" s="1353"/>
      <c r="AA57" s="1353"/>
      <c r="AB57" s="1353"/>
      <c r="AC57" s="1353"/>
      <c r="AD57" s="1353"/>
      <c r="AE57" s="1354"/>
      <c r="AF57" s="1280"/>
      <c r="AG57" s="821"/>
      <c r="AH57" s="821"/>
      <c r="AI57" s="821"/>
      <c r="AJ57" s="821"/>
      <c r="AK57" s="821"/>
      <c r="AL57" s="1280"/>
      <c r="AM57" s="644"/>
      <c r="AN57" s="644"/>
      <c r="AO57" s="644"/>
      <c r="AP57" s="644"/>
      <c r="AQ57" s="644"/>
      <c r="AR57" s="644"/>
      <c r="AS57" s="644"/>
      <c r="AT57" s="644"/>
      <c r="AU57" s="644"/>
      <c r="AV57" s="644"/>
      <c r="AW57" s="644"/>
    </row>
    <row r="58" spans="11:49" ht="14.25" hidden="1" customHeight="1">
      <c r="K58" s="1283"/>
      <c r="L58" s="1280"/>
      <c r="M58" s="1355"/>
      <c r="N58" s="1355"/>
      <c r="O58" s="1355"/>
      <c r="P58" s="1355"/>
      <c r="Q58" s="1355"/>
      <c r="R58" s="1355"/>
      <c r="S58" s="1355"/>
      <c r="T58" s="1280"/>
      <c r="U58" s="1283"/>
      <c r="V58" s="576"/>
      <c r="W58" s="576"/>
      <c r="X58" s="576"/>
      <c r="Y58" s="576"/>
      <c r="Z58" s="576"/>
      <c r="AA58" s="576"/>
      <c r="AB58" s="576"/>
      <c r="AC58" s="576"/>
      <c r="AD58" s="1280"/>
      <c r="AE58" s="821"/>
      <c r="AF58" s="821"/>
      <c r="AG58" s="821"/>
      <c r="AH58" s="821"/>
      <c r="AI58" s="821"/>
      <c r="AJ58" s="1280"/>
      <c r="AK58" s="1280"/>
      <c r="AL58" s="1355"/>
      <c r="AM58" s="644"/>
      <c r="AN58" s="644"/>
      <c r="AO58" s="644"/>
      <c r="AP58" s="644"/>
      <c r="AQ58" s="644"/>
      <c r="AR58" s="644"/>
      <c r="AS58" s="644"/>
      <c r="AT58" s="644"/>
      <c r="AU58" s="644"/>
    </row>
    <row r="59" spans="11:49" ht="21.75" hidden="1" customHeight="1">
      <c r="K59" s="2812" t="s">
        <v>5698</v>
      </c>
      <c r="L59" s="2813"/>
      <c r="M59" s="2813"/>
      <c r="N59" s="2813"/>
      <c r="O59" s="2813"/>
      <c r="P59" s="2813"/>
      <c r="Q59" s="2813"/>
      <c r="R59" s="2813"/>
      <c r="S59" s="2813"/>
      <c r="T59" s="2813"/>
      <c r="U59" s="2813"/>
      <c r="V59" s="2813"/>
      <c r="W59" s="2813"/>
      <c r="X59" s="2813"/>
      <c r="Y59" s="2813"/>
      <c r="Z59" s="2813"/>
      <c r="AA59" s="2813"/>
      <c r="AB59" s="2813"/>
      <c r="AC59" s="2814"/>
      <c r="AD59" s="1356"/>
      <c r="AE59" s="1357"/>
      <c r="AF59" s="1357"/>
      <c r="AG59" s="1357"/>
      <c r="AH59" s="1357"/>
      <c r="AI59" s="1357"/>
      <c r="AJ59" s="1280"/>
      <c r="AK59" s="1280"/>
      <c r="AL59" s="1355"/>
      <c r="AM59" s="644"/>
      <c r="AN59" s="644"/>
      <c r="AO59" s="644"/>
      <c r="AP59" s="644"/>
      <c r="AQ59" s="644"/>
      <c r="AR59" s="644"/>
      <c r="AS59" s="644"/>
      <c r="AT59" s="644"/>
      <c r="AU59" s="644"/>
    </row>
    <row r="60" spans="11:49" ht="14.25" hidden="1" customHeight="1">
      <c r="K60" s="2815" t="s">
        <v>188</v>
      </c>
      <c r="L60" s="2816"/>
      <c r="M60" s="2816"/>
      <c r="N60" s="2816"/>
      <c r="O60" s="2816"/>
      <c r="P60" s="2816"/>
      <c r="Q60" s="2816"/>
      <c r="R60" s="2816"/>
      <c r="S60" s="2817"/>
      <c r="T60" s="1356"/>
      <c r="U60" s="2815" t="s">
        <v>189</v>
      </c>
      <c r="V60" s="2816"/>
      <c r="W60" s="2816"/>
      <c r="X60" s="2816"/>
      <c r="Y60" s="2816"/>
      <c r="Z60" s="2816"/>
      <c r="AA60" s="2816"/>
      <c r="AB60" s="2816"/>
      <c r="AC60" s="2817"/>
      <c r="AD60" s="1356"/>
      <c r="AE60" s="1358"/>
      <c r="AF60" s="1358"/>
      <c r="AG60" s="1358"/>
      <c r="AH60" s="1358"/>
      <c r="AI60" s="1358"/>
      <c r="AJ60" s="1280"/>
      <c r="AK60" s="1280"/>
      <c r="AL60" s="1355">
        <v>563</v>
      </c>
      <c r="AM60" s="644"/>
      <c r="AN60" s="644"/>
      <c r="AO60" s="644"/>
      <c r="AP60" s="644"/>
      <c r="AQ60" s="644"/>
      <c r="AR60" s="644"/>
      <c r="AS60" s="644"/>
      <c r="AT60" s="644"/>
      <c r="AU60" s="644"/>
    </row>
    <row r="61" spans="11:49" ht="14.25" hidden="1" customHeight="1">
      <c r="K61" s="1359" t="s">
        <v>1</v>
      </c>
      <c r="L61" s="2818">
        <v>160</v>
      </c>
      <c r="M61" s="2820">
        <v>200</v>
      </c>
      <c r="N61" s="2820">
        <v>260</v>
      </c>
      <c r="O61" s="2820">
        <v>300</v>
      </c>
      <c r="P61" s="2820"/>
      <c r="Q61" s="2820">
        <v>360</v>
      </c>
      <c r="R61" s="2820">
        <v>400</v>
      </c>
      <c r="S61" s="2822"/>
      <c r="T61" s="1356"/>
      <c r="U61" s="1360" t="s">
        <v>1</v>
      </c>
      <c r="V61" s="2818">
        <v>160</v>
      </c>
      <c r="W61" s="2820">
        <v>200</v>
      </c>
      <c r="X61" s="2820">
        <v>260</v>
      </c>
      <c r="Y61" s="2820">
        <v>300</v>
      </c>
      <c r="Z61" s="2820"/>
      <c r="AA61" s="2820">
        <v>360</v>
      </c>
      <c r="AB61" s="2820">
        <v>400</v>
      </c>
      <c r="AC61" s="2822"/>
      <c r="AD61" s="1356"/>
      <c r="AE61" s="2823" t="s">
        <v>284</v>
      </c>
      <c r="AF61" s="2824"/>
      <c r="AG61" s="2824"/>
      <c r="AH61" s="2825"/>
      <c r="AI61" s="1361" t="s">
        <v>0</v>
      </c>
      <c r="AJ61" s="644"/>
      <c r="AK61" s="1280"/>
      <c r="AL61" s="1355">
        <v>641</v>
      </c>
      <c r="AM61" s="644"/>
      <c r="AN61" s="644"/>
      <c r="AO61" s="644"/>
      <c r="AP61" s="644"/>
      <c r="AQ61" s="644"/>
      <c r="AR61" s="644"/>
      <c r="AS61" s="644"/>
      <c r="AT61" s="644"/>
      <c r="AU61" s="644"/>
    </row>
    <row r="62" spans="11:49" ht="14.25" hidden="1" customHeight="1">
      <c r="K62" s="1362" t="s">
        <v>0</v>
      </c>
      <c r="L62" s="2819"/>
      <c r="M62" s="2821"/>
      <c r="N62" s="2821"/>
      <c r="O62" s="1859">
        <v>1</v>
      </c>
      <c r="P62" s="1859">
        <v>2</v>
      </c>
      <c r="Q62" s="2821"/>
      <c r="R62" s="1859">
        <v>1</v>
      </c>
      <c r="S62" s="1363">
        <v>2</v>
      </c>
      <c r="T62" s="1356"/>
      <c r="U62" s="1364" t="s">
        <v>0</v>
      </c>
      <c r="V62" s="2819"/>
      <c r="W62" s="2821"/>
      <c r="X62" s="2821"/>
      <c r="Y62" s="1859">
        <v>1</v>
      </c>
      <c r="Z62" s="1859">
        <v>2</v>
      </c>
      <c r="AA62" s="2821"/>
      <c r="AB62" s="1859">
        <v>1</v>
      </c>
      <c r="AC62" s="1363">
        <v>2</v>
      </c>
      <c r="AD62" s="1356"/>
      <c r="AE62" s="1365">
        <v>0</v>
      </c>
      <c r="AF62" s="1366">
        <v>1</v>
      </c>
      <c r="AG62" s="1366">
        <v>2</v>
      </c>
      <c r="AH62" s="1367">
        <v>3</v>
      </c>
      <c r="AI62" s="1368" t="s">
        <v>285</v>
      </c>
      <c r="AJ62" s="644"/>
      <c r="AK62" s="1280"/>
      <c r="AL62" s="1355">
        <v>719</v>
      </c>
      <c r="AM62" s="644"/>
      <c r="AN62" s="644"/>
      <c r="AO62" s="644"/>
      <c r="AP62" s="644"/>
      <c r="AQ62" s="644"/>
      <c r="AR62" s="644"/>
      <c r="AS62" s="644"/>
      <c r="AT62" s="644"/>
      <c r="AU62" s="644"/>
    </row>
    <row r="63" spans="11:49" ht="14.25" hidden="1" customHeight="1">
      <c r="K63" s="1369">
        <v>65</v>
      </c>
      <c r="L63" s="1370"/>
      <c r="M63" s="1371"/>
      <c r="N63" s="1371"/>
      <c r="O63" s="1371"/>
      <c r="P63" s="1371"/>
      <c r="Q63" s="1371"/>
      <c r="R63" s="1371"/>
      <c r="S63" s="1372"/>
      <c r="T63" s="1356"/>
      <c r="U63" s="1369">
        <v>65</v>
      </c>
      <c r="V63" s="1373"/>
      <c r="W63" s="1374"/>
      <c r="X63" s="1375"/>
      <c r="Y63" s="1375"/>
      <c r="Z63" s="1374"/>
      <c r="AA63" s="1375"/>
      <c r="AB63" s="1375"/>
      <c r="AC63" s="1376"/>
      <c r="AD63" s="1356"/>
      <c r="AE63" s="1377">
        <v>1</v>
      </c>
      <c r="AF63" s="1378">
        <v>5.12</v>
      </c>
      <c r="AG63" s="1378">
        <v>5.66</v>
      </c>
      <c r="AH63" s="1379">
        <v>6.53</v>
      </c>
      <c r="AI63" s="1369">
        <v>65</v>
      </c>
      <c r="AJ63" s="644"/>
      <c r="AK63" s="1280"/>
      <c r="AL63" s="1355"/>
      <c r="AM63" s="644"/>
      <c r="AN63" s="644"/>
      <c r="AO63" s="644"/>
      <c r="AP63" s="644"/>
      <c r="AQ63" s="644"/>
      <c r="AR63" s="644"/>
      <c r="AS63" s="644"/>
      <c r="AT63" s="644"/>
      <c r="AU63" s="644"/>
    </row>
    <row r="64" spans="11:49" ht="14.25" hidden="1" customHeight="1">
      <c r="K64" s="1380">
        <v>70</v>
      </c>
      <c r="L64" s="1381"/>
      <c r="M64" s="1382"/>
      <c r="N64" s="1382"/>
      <c r="O64" s="1382"/>
      <c r="P64" s="1382"/>
      <c r="Q64" s="1382"/>
      <c r="R64" s="1382"/>
      <c r="S64" s="1383"/>
      <c r="T64" s="1356"/>
      <c r="U64" s="1380">
        <v>70</v>
      </c>
      <c r="V64" s="1384"/>
      <c r="W64" s="1385"/>
      <c r="X64" s="1386"/>
      <c r="Y64" s="1386"/>
      <c r="Z64" s="1385"/>
      <c r="AA64" s="1386"/>
      <c r="AB64" s="1386"/>
      <c r="AC64" s="1387"/>
      <c r="AD64" s="1356"/>
      <c r="AE64" s="1388">
        <v>1</v>
      </c>
      <c r="AF64" s="1389">
        <v>5.12</v>
      </c>
      <c r="AG64" s="1389">
        <v>5.66</v>
      </c>
      <c r="AH64" s="1390">
        <v>6.53</v>
      </c>
      <c r="AI64" s="1380">
        <v>70</v>
      </c>
      <c r="AJ64" s="644"/>
      <c r="AK64" s="1280"/>
      <c r="AL64" s="1355"/>
      <c r="AM64" s="644"/>
      <c r="AN64" s="644"/>
      <c r="AO64" s="644"/>
      <c r="AP64" s="644"/>
      <c r="AQ64" s="644"/>
      <c r="AR64" s="644"/>
      <c r="AS64" s="644"/>
      <c r="AT64" s="644"/>
      <c r="AU64" s="644"/>
    </row>
    <row r="65" spans="11:62" ht="14.25" hidden="1" customHeight="1">
      <c r="K65" s="1380">
        <v>75</v>
      </c>
      <c r="L65" s="1391"/>
      <c r="M65" s="1392"/>
      <c r="N65" s="1392"/>
      <c r="O65" s="1392"/>
      <c r="P65" s="1392"/>
      <c r="Q65" s="1392"/>
      <c r="R65" s="1392"/>
      <c r="S65" s="1393"/>
      <c r="T65" s="1356"/>
      <c r="U65" s="1380">
        <v>75</v>
      </c>
      <c r="V65" s="1394"/>
      <c r="W65" s="1395"/>
      <c r="X65" s="1395"/>
      <c r="Y65" s="1395"/>
      <c r="Z65" s="1395"/>
      <c r="AA65" s="1395"/>
      <c r="AB65" s="1395"/>
      <c r="AC65" s="1396"/>
      <c r="AD65" s="1356"/>
      <c r="AE65" s="1397">
        <v>1</v>
      </c>
      <c r="AF65" s="1398">
        <v>4.5999999999999996</v>
      </c>
      <c r="AG65" s="1398">
        <v>5</v>
      </c>
      <c r="AH65" s="1399">
        <v>6.53</v>
      </c>
      <c r="AI65" s="1380">
        <v>75</v>
      </c>
      <c r="AJ65" s="644"/>
      <c r="AK65" s="1280"/>
      <c r="AL65" s="1355"/>
      <c r="AM65" s="644"/>
      <c r="AN65" s="644"/>
      <c r="AO65" s="644"/>
      <c r="AP65" s="644"/>
      <c r="AQ65" s="644"/>
      <c r="AR65" s="644"/>
      <c r="AS65" s="644"/>
      <c r="AT65" s="644"/>
      <c r="AU65" s="644"/>
    </row>
    <row r="66" spans="11:62" ht="14.25" hidden="1" customHeight="1">
      <c r="K66" s="1380">
        <v>80</v>
      </c>
      <c r="L66" s="1381"/>
      <c r="M66" s="1382"/>
      <c r="N66" s="1400"/>
      <c r="O66" s="1400"/>
      <c r="P66" s="1382"/>
      <c r="Q66" s="1400"/>
      <c r="R66" s="1400"/>
      <c r="S66" s="1383"/>
      <c r="T66" s="1356"/>
      <c r="U66" s="1380">
        <v>80</v>
      </c>
      <c r="V66" s="1384"/>
      <c r="W66" s="1385"/>
      <c r="X66" s="1401"/>
      <c r="Y66" s="1401"/>
      <c r="Z66" s="1385"/>
      <c r="AA66" s="1401"/>
      <c r="AB66" s="1401"/>
      <c r="AC66" s="1387"/>
      <c r="AD66" s="1356"/>
      <c r="AE66" s="1402">
        <v>1</v>
      </c>
      <c r="AF66" s="1403">
        <v>3.92</v>
      </c>
      <c r="AG66" s="1403">
        <v>4.5</v>
      </c>
      <c r="AH66" s="1404">
        <v>5.6</v>
      </c>
      <c r="AI66" s="1380">
        <v>80</v>
      </c>
      <c r="AJ66" s="644"/>
      <c r="AK66" s="1280"/>
      <c r="AL66" s="1355"/>
      <c r="AM66" s="644"/>
      <c r="AN66" s="644"/>
      <c r="AO66" s="644"/>
      <c r="AP66" s="644"/>
      <c r="AQ66" s="644"/>
      <c r="AR66" s="644"/>
      <c r="AS66" s="644"/>
      <c r="AT66" s="644"/>
      <c r="AU66" s="644"/>
    </row>
    <row r="67" spans="11:62" ht="14.25" hidden="1" customHeight="1">
      <c r="K67" s="1380">
        <v>90</v>
      </c>
      <c r="L67" s="1405">
        <f t="shared" ref="L67:S68" si="1">L74*1.2</f>
        <v>0</v>
      </c>
      <c r="M67" s="1405">
        <f t="shared" si="1"/>
        <v>0</v>
      </c>
      <c r="N67" s="1405">
        <f t="shared" si="1"/>
        <v>580.79999999999995</v>
      </c>
      <c r="O67" s="1405">
        <f t="shared" si="1"/>
        <v>675.3599999999999</v>
      </c>
      <c r="P67" s="1405">
        <f t="shared" si="1"/>
        <v>0</v>
      </c>
      <c r="Q67" s="1405">
        <f t="shared" si="1"/>
        <v>722.63520000000005</v>
      </c>
      <c r="R67" s="1405">
        <f t="shared" si="1"/>
        <v>776.66399999999987</v>
      </c>
      <c r="S67" s="1405">
        <f t="shared" si="1"/>
        <v>0</v>
      </c>
      <c r="T67" s="1356"/>
      <c r="U67" s="1380">
        <v>90</v>
      </c>
      <c r="V67" s="1406">
        <v>1.6</v>
      </c>
      <c r="W67" s="1407">
        <v>1.55</v>
      </c>
      <c r="X67" s="1407">
        <v>1.5</v>
      </c>
      <c r="Y67" s="1407">
        <v>1.45</v>
      </c>
      <c r="Z67" s="1407">
        <v>1.45</v>
      </c>
      <c r="AA67" s="1407">
        <v>1.4</v>
      </c>
      <c r="AB67" s="1407">
        <v>1.3</v>
      </c>
      <c r="AC67" s="1408">
        <v>1.3</v>
      </c>
      <c r="AD67" s="1356"/>
      <c r="AE67" s="1409">
        <v>1</v>
      </c>
      <c r="AF67" s="1410">
        <v>3.51</v>
      </c>
      <c r="AG67" s="1410">
        <v>3.96</v>
      </c>
      <c r="AH67" s="1411">
        <v>4.93</v>
      </c>
      <c r="AI67" s="1380">
        <v>90</v>
      </c>
      <c r="AJ67" s="644"/>
      <c r="AK67" s="1280"/>
      <c r="AL67" s="1355"/>
      <c r="AM67" s="644"/>
      <c r="AN67" s="644"/>
      <c r="AO67" s="644"/>
      <c r="AP67" s="644"/>
      <c r="AQ67" s="644"/>
      <c r="AR67" s="644"/>
      <c r="AS67" s="644"/>
      <c r="AT67" s="644"/>
      <c r="AU67" s="644"/>
    </row>
    <row r="68" spans="11:62" ht="14.25" hidden="1" customHeight="1">
      <c r="K68" s="1380">
        <v>110</v>
      </c>
      <c r="L68" s="1412">
        <f t="shared" si="1"/>
        <v>0</v>
      </c>
      <c r="M68" s="1412">
        <f t="shared" si="1"/>
        <v>0</v>
      </c>
      <c r="N68" s="1412">
        <f t="shared" si="1"/>
        <v>637.19999999999993</v>
      </c>
      <c r="O68" s="1412">
        <f t="shared" si="1"/>
        <v>768.95999999999992</v>
      </c>
      <c r="P68" s="1412">
        <f t="shared" si="1"/>
        <v>0</v>
      </c>
      <c r="Q68" s="1412">
        <f t="shared" si="1"/>
        <v>822.78719999999987</v>
      </c>
      <c r="R68" s="1412">
        <f t="shared" si="1"/>
        <v>884.30399999999975</v>
      </c>
      <c r="S68" s="1412">
        <f t="shared" si="1"/>
        <v>0</v>
      </c>
      <c r="T68" s="1356"/>
      <c r="U68" s="1380">
        <v>110</v>
      </c>
      <c r="V68" s="1413">
        <v>1.5</v>
      </c>
      <c r="W68" s="1414">
        <v>1.3</v>
      </c>
      <c r="X68" s="1414">
        <v>1.3</v>
      </c>
      <c r="Y68" s="1414">
        <v>1.3</v>
      </c>
      <c r="Z68" s="1414">
        <v>1.3</v>
      </c>
      <c r="AA68" s="1414">
        <v>1.3</v>
      </c>
      <c r="AB68" s="1414">
        <v>1.3</v>
      </c>
      <c r="AC68" s="1415">
        <v>1.3</v>
      </c>
      <c r="AD68" s="1356"/>
      <c r="AE68" s="1416">
        <v>1</v>
      </c>
      <c r="AF68" s="1417">
        <v>3.41</v>
      </c>
      <c r="AG68" s="1417">
        <v>3.96</v>
      </c>
      <c r="AH68" s="1418">
        <v>4.93</v>
      </c>
      <c r="AI68" s="1380">
        <v>110</v>
      </c>
      <c r="AJ68" s="644"/>
      <c r="AK68" s="1280"/>
      <c r="AL68" s="1355"/>
      <c r="AM68" s="644"/>
      <c r="AN68" s="644"/>
      <c r="AO68" s="644"/>
      <c r="AP68" s="644"/>
      <c r="AQ68" s="644"/>
      <c r="AR68" s="644"/>
      <c r="AS68" s="644"/>
      <c r="AT68" s="644"/>
      <c r="AU68" s="644"/>
    </row>
    <row r="69" spans="11:62" ht="14.25" hidden="1" customHeight="1">
      <c r="K69" s="1380">
        <v>150</v>
      </c>
      <c r="L69" s="1419">
        <f t="shared" ref="L69:S69" si="2">L77*1.2</f>
        <v>0</v>
      </c>
      <c r="M69" s="1419">
        <f t="shared" si="2"/>
        <v>660.95999999999992</v>
      </c>
      <c r="N69" s="1419">
        <f t="shared" si="2"/>
        <v>684.09359999999981</v>
      </c>
      <c r="O69" s="1419">
        <f t="shared" si="2"/>
        <v>862.8</v>
      </c>
      <c r="P69" s="1419">
        <f t="shared" si="2"/>
        <v>0</v>
      </c>
      <c r="Q69" s="1419">
        <f t="shared" si="2"/>
        <v>923.19600000000003</v>
      </c>
      <c r="R69" s="1419">
        <f t="shared" si="2"/>
        <v>0</v>
      </c>
      <c r="S69" s="1419">
        <f t="shared" si="2"/>
        <v>0</v>
      </c>
      <c r="T69" s="1356"/>
      <c r="U69" s="1380">
        <v>150</v>
      </c>
      <c r="V69" s="1420">
        <v>1.4</v>
      </c>
      <c r="W69" s="1421">
        <v>1.35</v>
      </c>
      <c r="X69" s="1421">
        <v>1.32</v>
      </c>
      <c r="Y69" s="1421"/>
      <c r="Z69" s="1421">
        <v>1.3</v>
      </c>
      <c r="AA69" s="1421">
        <v>1.28</v>
      </c>
      <c r="AB69" s="1421"/>
      <c r="AC69" s="1422">
        <v>1.25</v>
      </c>
      <c r="AD69" s="1356"/>
      <c r="AE69" s="1423">
        <v>1</v>
      </c>
      <c r="AF69" s="1424">
        <v>3.41</v>
      </c>
      <c r="AG69" s="1424">
        <v>3.96</v>
      </c>
      <c r="AH69" s="1425">
        <v>4.93</v>
      </c>
      <c r="AI69" s="1380">
        <v>150</v>
      </c>
      <c r="AJ69" s="644"/>
      <c r="AK69" s="1280"/>
      <c r="AL69" s="1355"/>
      <c r="AM69" s="644"/>
      <c r="AN69" s="644"/>
      <c r="AO69" s="644"/>
      <c r="AP69" s="644"/>
      <c r="AQ69" s="644"/>
      <c r="AR69" s="644"/>
      <c r="AS69" s="644"/>
      <c r="AT69" s="644"/>
      <c r="AU69" s="644"/>
    </row>
    <row r="70" spans="11:62" ht="14.25" hidden="1" customHeight="1">
      <c r="K70" s="1380">
        <v>200</v>
      </c>
      <c r="L70" s="1426">
        <f t="shared" ref="L70:S70" si="3">L98*1.2</f>
        <v>0</v>
      </c>
      <c r="M70" s="1426">
        <f t="shared" si="3"/>
        <v>0</v>
      </c>
      <c r="N70" s="1426">
        <f t="shared" si="3"/>
        <v>0</v>
      </c>
      <c r="O70" s="1426">
        <f t="shared" si="3"/>
        <v>0</v>
      </c>
      <c r="P70" s="1426">
        <f t="shared" si="3"/>
        <v>0</v>
      </c>
      <c r="Q70" s="1426">
        <f t="shared" si="3"/>
        <v>0</v>
      </c>
      <c r="R70" s="1426">
        <f t="shared" si="3"/>
        <v>0</v>
      </c>
      <c r="S70" s="1426">
        <f t="shared" si="3"/>
        <v>0</v>
      </c>
      <c r="T70" s="1356"/>
      <c r="U70" s="1380">
        <v>200</v>
      </c>
      <c r="V70" s="1427">
        <v>1.35</v>
      </c>
      <c r="W70" s="1428">
        <v>1.3</v>
      </c>
      <c r="X70" s="1428">
        <v>1.27</v>
      </c>
      <c r="Y70" s="1428"/>
      <c r="Z70" s="1428">
        <v>1.28</v>
      </c>
      <c r="AA70" s="1428">
        <v>1.26</v>
      </c>
      <c r="AB70" s="1428"/>
      <c r="AC70" s="1429">
        <v>1.2</v>
      </c>
      <c r="AD70" s="1356"/>
      <c r="AE70" s="1423">
        <v>1</v>
      </c>
      <c r="AF70" s="1424">
        <v>2.73</v>
      </c>
      <c r="AG70" s="1424">
        <v>3.11</v>
      </c>
      <c r="AH70" s="1425">
        <v>3.89</v>
      </c>
      <c r="AI70" s="1380">
        <v>150.16</v>
      </c>
      <c r="AJ70" s="644"/>
      <c r="AK70" s="1280"/>
      <c r="AL70" s="1355"/>
      <c r="AM70" s="644"/>
      <c r="AN70" s="644"/>
      <c r="AO70" s="644"/>
      <c r="AP70" s="644"/>
      <c r="AQ70" s="644"/>
      <c r="AR70" s="644"/>
      <c r="AS70" s="644"/>
      <c r="AT70" s="644"/>
      <c r="AU70" s="644"/>
    </row>
    <row r="71" spans="11:62" ht="14.25" hidden="1" customHeight="1">
      <c r="K71" s="1380">
        <v>300</v>
      </c>
      <c r="L71" s="1391"/>
      <c r="M71" s="1392"/>
      <c r="N71" s="1392"/>
      <c r="O71" s="1392"/>
      <c r="P71" s="1392"/>
      <c r="Q71" s="1392"/>
      <c r="R71" s="1392"/>
      <c r="S71" s="1393"/>
      <c r="T71" s="1356"/>
      <c r="U71" s="1380">
        <v>300</v>
      </c>
      <c r="V71" s="1394"/>
      <c r="W71" s="1395"/>
      <c r="X71" s="1395"/>
      <c r="Y71" s="1395"/>
      <c r="Z71" s="1395"/>
      <c r="AA71" s="1395"/>
      <c r="AB71" s="1395"/>
      <c r="AC71" s="1396"/>
      <c r="AD71" s="1356"/>
      <c r="AE71" s="1423">
        <v>1</v>
      </c>
      <c r="AF71" s="1421">
        <v>2.73</v>
      </c>
      <c r="AG71" s="1421">
        <v>2.83</v>
      </c>
      <c r="AH71" s="1430">
        <v>3.66</v>
      </c>
      <c r="AI71" s="1431" t="s">
        <v>287</v>
      </c>
      <c r="AJ71" s="644"/>
      <c r="AK71" s="1280"/>
      <c r="AL71" s="1355"/>
      <c r="AM71" s="644"/>
      <c r="AN71" s="644"/>
      <c r="AO71" s="644"/>
      <c r="AP71" s="644"/>
      <c r="AQ71" s="644"/>
      <c r="AR71" s="644"/>
      <c r="AS71" s="644"/>
      <c r="AT71" s="644"/>
      <c r="AU71" s="644"/>
    </row>
    <row r="72" spans="11:62" ht="14.25" hidden="1" customHeight="1">
      <c r="K72" s="1380">
        <v>400</v>
      </c>
      <c r="L72" s="1391"/>
      <c r="M72" s="1392"/>
      <c r="N72" s="1392"/>
      <c r="O72" s="1392"/>
      <c r="P72" s="1392"/>
      <c r="Q72" s="1392"/>
      <c r="R72" s="1392"/>
      <c r="S72" s="1393"/>
      <c r="T72" s="1356"/>
      <c r="U72" s="1380">
        <v>400</v>
      </c>
      <c r="V72" s="1394"/>
      <c r="W72" s="1395"/>
      <c r="X72" s="1395"/>
      <c r="Y72" s="1395"/>
      <c r="Z72" s="1395"/>
      <c r="AA72" s="1395"/>
      <c r="AB72" s="1395"/>
      <c r="AC72" s="1396"/>
      <c r="AD72" s="1356"/>
      <c r="AE72" s="1423">
        <v>1</v>
      </c>
      <c r="AF72" s="1432">
        <v>3.41</v>
      </c>
      <c r="AG72" s="1432">
        <v>3.86</v>
      </c>
      <c r="AH72" s="1433">
        <v>4.63</v>
      </c>
      <c r="AI72" s="1434" t="s">
        <v>289</v>
      </c>
      <c r="AJ72" s="644"/>
      <c r="AK72" s="1280"/>
      <c r="AL72" s="1355"/>
      <c r="AM72" s="1280"/>
      <c r="AN72" s="1355"/>
      <c r="AO72" s="1355"/>
      <c r="AP72" s="1355"/>
      <c r="AQ72" s="1355"/>
      <c r="AR72" s="1355"/>
      <c r="AS72" s="1355"/>
      <c r="AT72" s="1355"/>
      <c r="AU72" s="1280"/>
      <c r="AV72" s="1283"/>
      <c r="AW72" s="576"/>
      <c r="AX72" s="576"/>
      <c r="AY72" s="576"/>
      <c r="AZ72" s="576"/>
      <c r="BA72" s="576"/>
      <c r="BB72" s="576"/>
      <c r="BC72" s="576"/>
      <c r="BD72" s="576"/>
      <c r="BE72" s="1280"/>
      <c r="BF72" s="1280"/>
      <c r="BG72" s="1280"/>
      <c r="BH72" s="1280"/>
      <c r="BI72" s="1280"/>
      <c r="BJ72" s="1280"/>
    </row>
    <row r="73" spans="11:62" ht="14.25" hidden="1" customHeight="1">
      <c r="K73" s="1380">
        <v>500</v>
      </c>
      <c r="L73" s="1391"/>
      <c r="M73" s="1392"/>
      <c r="N73" s="1392"/>
      <c r="O73" s="1392"/>
      <c r="P73" s="1392"/>
      <c r="Q73" s="1392"/>
      <c r="R73" s="1392"/>
      <c r="S73" s="1393"/>
      <c r="T73" s="1356"/>
      <c r="U73" s="1380">
        <v>500</v>
      </c>
      <c r="V73" s="1394"/>
      <c r="W73" s="1395"/>
      <c r="X73" s="1395"/>
      <c r="Y73" s="1395"/>
      <c r="Z73" s="1395"/>
      <c r="AA73" s="1395"/>
      <c r="AB73" s="1395"/>
      <c r="AC73" s="1396"/>
      <c r="AD73" s="1356"/>
      <c r="AE73" s="1356"/>
      <c r="AF73" s="1356"/>
      <c r="AG73" s="1356"/>
      <c r="AH73" s="1356"/>
      <c r="AI73" s="1356"/>
      <c r="AK73" s="1280"/>
      <c r="AL73" s="1283"/>
      <c r="AM73" s="1280"/>
      <c r="AN73" s="1355"/>
      <c r="AO73" s="1355"/>
      <c r="AP73" s="1355"/>
      <c r="AQ73" s="1355"/>
      <c r="AR73" s="1355"/>
      <c r="AS73" s="1355"/>
      <c r="AT73" s="1355"/>
      <c r="AU73" s="1280"/>
      <c r="AV73" s="1283"/>
      <c r="AW73" s="576"/>
      <c r="AX73" s="576"/>
      <c r="AY73" s="576"/>
      <c r="AZ73" s="576"/>
      <c r="BA73" s="576"/>
      <c r="BB73" s="576"/>
      <c r="BC73" s="576"/>
      <c r="BD73" s="576"/>
      <c r="BE73" s="1280"/>
      <c r="BF73" s="1280"/>
      <c r="BG73" s="1280"/>
      <c r="BH73" s="1280"/>
      <c r="BI73" s="1280"/>
      <c r="BJ73" s="1280"/>
    </row>
    <row r="74" spans="11:62" ht="14.25" hidden="1" customHeight="1">
      <c r="K74" s="1435">
        <v>90</v>
      </c>
      <c r="L74" s="1436"/>
      <c r="M74" s="1436"/>
      <c r="N74" s="1436">
        <v>484</v>
      </c>
      <c r="O74" s="1436">
        <v>562.79999999999995</v>
      </c>
      <c r="P74" s="1436"/>
      <c r="Q74" s="1436">
        <v>602.19600000000003</v>
      </c>
      <c r="R74" s="1436">
        <v>647.21999999999991</v>
      </c>
      <c r="S74" s="1436"/>
      <c r="T74" s="1437"/>
      <c r="U74" s="1437"/>
      <c r="V74" s="1437"/>
      <c r="W74" s="1437"/>
      <c r="X74" s="1437"/>
      <c r="Y74" s="1437"/>
      <c r="Z74" s="1437"/>
      <c r="AA74" s="1437"/>
      <c r="AB74" s="1437"/>
      <c r="AC74" s="1437"/>
      <c r="AD74" s="1437"/>
      <c r="AE74" s="1437"/>
      <c r="AF74" s="1437"/>
      <c r="AG74" s="1437"/>
      <c r="AH74" s="1437"/>
      <c r="AI74" s="1437"/>
      <c r="AK74" s="1280"/>
      <c r="AL74" s="1283"/>
      <c r="AM74" s="1280"/>
      <c r="AN74" s="1355"/>
      <c r="AO74" s="1355"/>
      <c r="AP74" s="1355"/>
      <c r="AQ74" s="1355"/>
      <c r="AR74" s="1355"/>
      <c r="AS74" s="1355"/>
      <c r="AT74" s="1355"/>
      <c r="AU74" s="1280"/>
      <c r="AV74" s="1283"/>
      <c r="AW74" s="576"/>
      <c r="AX74" s="576"/>
      <c r="AY74" s="576"/>
      <c r="AZ74" s="576"/>
      <c r="BA74" s="576"/>
      <c r="BB74" s="576"/>
      <c r="BC74" s="576"/>
      <c r="BD74" s="576"/>
      <c r="BE74" s="1280"/>
      <c r="BF74" s="1280"/>
      <c r="BG74" s="1280"/>
      <c r="BH74" s="1280"/>
      <c r="BI74" s="1280"/>
      <c r="BJ74" s="1280"/>
    </row>
    <row r="75" spans="11:62" ht="14.25" hidden="1" customHeight="1">
      <c r="K75" s="1438">
        <v>110</v>
      </c>
      <c r="L75" s="1436"/>
      <c r="M75" s="1439"/>
      <c r="N75" s="1439">
        <v>531</v>
      </c>
      <c r="O75" s="1439">
        <v>640.79999999999995</v>
      </c>
      <c r="P75" s="1439"/>
      <c r="Q75" s="1439">
        <v>685.65599999999995</v>
      </c>
      <c r="R75" s="1439">
        <v>736.91999999999985</v>
      </c>
      <c r="S75" s="1439"/>
      <c r="T75" s="1356"/>
      <c r="U75" s="1440"/>
      <c r="V75" s="1441"/>
      <c r="W75" s="1441"/>
      <c r="X75" s="1441"/>
      <c r="Y75" s="1441"/>
      <c r="Z75" s="1441"/>
      <c r="AA75" s="1441"/>
      <c r="AB75" s="1441"/>
      <c r="AC75" s="1441"/>
      <c r="AD75" s="1356"/>
      <c r="AE75" s="1356"/>
      <c r="AF75" s="1356"/>
      <c r="AG75" s="1356"/>
      <c r="AH75" s="1356"/>
      <c r="AI75" s="1356"/>
      <c r="AJ75" s="1280"/>
      <c r="AK75" s="1280"/>
      <c r="AL75" s="1280"/>
      <c r="AM75" s="1280"/>
      <c r="AN75" s="1280"/>
      <c r="AO75" s="1280"/>
      <c r="AP75" s="1280"/>
      <c r="AQ75" s="1280"/>
      <c r="AR75" s="1280"/>
      <c r="AS75" s="1280"/>
      <c r="AT75" s="1280"/>
      <c r="AU75" s="1280"/>
      <c r="AV75" s="1280"/>
      <c r="AW75" s="1280"/>
      <c r="AX75" s="1280"/>
      <c r="AY75" s="1280"/>
      <c r="AZ75" s="1280"/>
      <c r="BA75" s="1280"/>
      <c r="BB75" s="1280"/>
      <c r="BC75" s="1280"/>
      <c r="BD75" s="1280"/>
      <c r="BE75" s="1280"/>
      <c r="BF75" s="1280"/>
      <c r="BG75" s="1280"/>
      <c r="BH75" s="1280"/>
      <c r="BI75" s="644"/>
      <c r="BJ75" s="644"/>
    </row>
    <row r="76" spans="11:62" ht="14.25" hidden="1" customHeight="1">
      <c r="K76" s="1438"/>
      <c r="L76" s="1436"/>
      <c r="M76" s="1439"/>
      <c r="N76" s="1439"/>
      <c r="O76" s="1439"/>
      <c r="P76" s="1439"/>
      <c r="Q76" s="1439"/>
      <c r="R76" s="1439"/>
      <c r="S76" s="1439"/>
      <c r="T76" s="1356"/>
      <c r="U76" s="1440"/>
      <c r="V76" s="1441"/>
      <c r="W76" s="1441"/>
      <c r="X76" s="1441"/>
      <c r="Y76" s="1441"/>
      <c r="Z76" s="1441"/>
      <c r="AA76" s="1441"/>
      <c r="AB76" s="1441"/>
      <c r="AC76" s="1441"/>
      <c r="AD76" s="1356"/>
      <c r="AE76" s="1356"/>
      <c r="AF76" s="1356"/>
      <c r="AG76" s="1356"/>
      <c r="AH76" s="1356"/>
      <c r="AI76" s="1356"/>
      <c r="AJ76" s="1280"/>
      <c r="AK76" s="1280"/>
      <c r="AL76" s="1280"/>
      <c r="AM76" s="1280"/>
      <c r="AN76" s="1280"/>
      <c r="AO76" s="1280"/>
      <c r="AP76" s="1280"/>
      <c r="AQ76" s="1280"/>
      <c r="AR76" s="1280"/>
      <c r="AS76" s="1280"/>
      <c r="AT76" s="1280"/>
      <c r="AU76" s="1280"/>
      <c r="AV76" s="1280"/>
      <c r="AW76" s="1280"/>
      <c r="AX76" s="1280"/>
      <c r="AY76" s="1280"/>
      <c r="AZ76" s="1280"/>
      <c r="BA76" s="1280"/>
      <c r="BB76" s="1280"/>
      <c r="BC76" s="1280"/>
      <c r="BD76" s="1280"/>
      <c r="BE76" s="1280"/>
      <c r="BF76" s="1280"/>
      <c r="BG76" s="1280"/>
      <c r="BH76" s="1280"/>
      <c r="BI76" s="644"/>
      <c r="BJ76" s="644"/>
    </row>
    <row r="77" spans="11:62" ht="14.25" hidden="1" customHeight="1">
      <c r="K77" s="1436">
        <v>150</v>
      </c>
      <c r="L77" s="1436"/>
      <c r="M77" s="1439">
        <v>550.79999999999995</v>
      </c>
      <c r="N77" s="1439">
        <v>570.07799999999986</v>
      </c>
      <c r="O77" s="1439">
        <v>719</v>
      </c>
      <c r="P77" s="1439"/>
      <c r="Q77" s="1439">
        <v>769.33</v>
      </c>
      <c r="R77" s="1439"/>
      <c r="S77" s="1439"/>
      <c r="T77" s="1356"/>
      <c r="U77" s="1440"/>
      <c r="V77" s="1441"/>
      <c r="W77" s="1441"/>
      <c r="X77" s="1441"/>
      <c r="Y77" s="1441"/>
      <c r="Z77" s="1441"/>
      <c r="AA77" s="1441"/>
      <c r="AB77" s="1441"/>
      <c r="AC77" s="1441"/>
      <c r="AD77" s="1356"/>
      <c r="AE77" s="1356"/>
      <c r="AF77" s="1356"/>
      <c r="AG77" s="1356"/>
      <c r="AH77" s="1356"/>
      <c r="AI77" s="1356"/>
      <c r="AJ77" s="1280"/>
      <c r="AK77" s="1280"/>
      <c r="AL77" s="1280"/>
      <c r="AM77" s="1280"/>
      <c r="AN77" s="1280"/>
      <c r="AO77" s="1280"/>
      <c r="AP77" s="1280"/>
      <c r="AQ77" s="1280"/>
      <c r="AR77" s="1280"/>
      <c r="AS77" s="1280"/>
      <c r="AT77" s="1280"/>
      <c r="AU77" s="1280"/>
      <c r="AV77" s="1280"/>
      <c r="AW77" s="1280"/>
      <c r="AX77" s="1280"/>
      <c r="AY77" s="1280"/>
      <c r="AZ77" s="1280"/>
      <c r="BA77" s="1280"/>
      <c r="BB77" s="1280"/>
      <c r="BC77" s="1280"/>
      <c r="BD77" s="1280"/>
      <c r="BE77" s="1280"/>
      <c r="BF77" s="1280"/>
      <c r="BG77" s="1280"/>
      <c r="BH77" s="1280"/>
      <c r="BI77" s="644"/>
      <c r="BJ77" s="644"/>
    </row>
    <row r="78" spans="11:62" ht="24.75" hidden="1" customHeight="1">
      <c r="K78" s="2812" t="s">
        <v>5699</v>
      </c>
      <c r="L78" s="2813"/>
      <c r="M78" s="2813"/>
      <c r="N78" s="2813"/>
      <c r="O78" s="2813"/>
      <c r="P78" s="2813"/>
      <c r="Q78" s="2813"/>
      <c r="R78" s="2813"/>
      <c r="S78" s="2813"/>
      <c r="T78" s="2813"/>
      <c r="U78" s="2813"/>
      <c r="V78" s="2813"/>
      <c r="W78" s="2813"/>
      <c r="X78" s="2813"/>
      <c r="Y78" s="2813"/>
      <c r="Z78" s="2813"/>
      <c r="AA78" s="2813"/>
      <c r="AB78" s="2813"/>
      <c r="AC78" s="2814"/>
      <c r="AD78" s="1356"/>
      <c r="AE78" s="1357"/>
      <c r="AF78" s="1357"/>
      <c r="AG78" s="1357"/>
      <c r="AH78" s="1357"/>
      <c r="AI78" s="1357"/>
      <c r="AJ78" s="1280"/>
      <c r="AK78" s="1280"/>
      <c r="AL78" s="1280"/>
      <c r="AM78" s="1280"/>
      <c r="AN78" s="1280"/>
      <c r="AO78" s="1280"/>
      <c r="AP78" s="1280"/>
      <c r="AQ78" s="1280"/>
      <c r="AR78" s="1280"/>
      <c r="AS78" s="1280"/>
      <c r="AT78" s="1280"/>
      <c r="AU78" s="1280"/>
      <c r="AV78" s="1280"/>
      <c r="AW78" s="1280"/>
      <c r="AX78" s="1280"/>
      <c r="AY78" s="1280"/>
      <c r="AZ78" s="1280"/>
      <c r="BA78" s="1280"/>
      <c r="BB78" s="1280"/>
      <c r="BC78" s="1280"/>
      <c r="BD78" s="1280"/>
      <c r="BE78" s="1280"/>
      <c r="BF78" s="1280"/>
      <c r="BG78" s="1280"/>
      <c r="BH78" s="1280"/>
      <c r="BI78" s="644"/>
      <c r="BJ78" s="644"/>
    </row>
    <row r="79" spans="11:62" ht="14.25" hidden="1" customHeight="1">
      <c r="K79" s="2815" t="s">
        <v>188</v>
      </c>
      <c r="L79" s="2816"/>
      <c r="M79" s="2816"/>
      <c r="N79" s="2816"/>
      <c r="O79" s="2816"/>
      <c r="P79" s="2816"/>
      <c r="Q79" s="2816"/>
      <c r="R79" s="2816"/>
      <c r="S79" s="2817"/>
      <c r="T79" s="1356"/>
      <c r="U79" s="2815" t="s">
        <v>189</v>
      </c>
      <c r="V79" s="2816"/>
      <c r="W79" s="2816"/>
      <c r="X79" s="2816"/>
      <c r="Y79" s="2816"/>
      <c r="Z79" s="2816"/>
      <c r="AA79" s="2816"/>
      <c r="AB79" s="2816"/>
      <c r="AC79" s="2817"/>
      <c r="AD79" s="1356"/>
      <c r="AE79" s="1358"/>
      <c r="AF79" s="1358"/>
      <c r="AG79" s="1358"/>
      <c r="AH79" s="1358"/>
      <c r="AI79" s="1358"/>
      <c r="AJ79" s="1280"/>
      <c r="AK79" s="1280"/>
      <c r="AL79" s="1280"/>
      <c r="AM79" s="1280"/>
      <c r="AN79" s="1280"/>
      <c r="AO79" s="1280"/>
      <c r="AP79" s="1280"/>
      <c r="AQ79" s="1280"/>
      <c r="AR79" s="1280"/>
      <c r="AS79" s="1280"/>
      <c r="AT79" s="1280"/>
      <c r="AU79" s="1280"/>
      <c r="AV79" s="1280"/>
      <c r="AW79" s="1280"/>
      <c r="AX79" s="1280"/>
      <c r="AY79" s="1280"/>
      <c r="AZ79" s="1280"/>
      <c r="BA79" s="1280"/>
      <c r="BB79" s="1280"/>
      <c r="BC79" s="1280"/>
      <c r="BD79" s="1280"/>
      <c r="BE79" s="1280"/>
      <c r="BF79" s="1280"/>
      <c r="BG79" s="1280"/>
      <c r="BH79" s="1280"/>
      <c r="BI79" s="644"/>
      <c r="BJ79" s="644"/>
    </row>
    <row r="80" spans="11:62" ht="14.25" hidden="1" customHeight="1">
      <c r="K80" s="1359" t="s">
        <v>1</v>
      </c>
      <c r="L80" s="2818">
        <v>160</v>
      </c>
      <c r="M80" s="2820">
        <v>200</v>
      </c>
      <c r="N80" s="2820">
        <v>260</v>
      </c>
      <c r="O80" s="2820">
        <v>300</v>
      </c>
      <c r="P80" s="2820"/>
      <c r="Q80" s="2820">
        <v>360</v>
      </c>
      <c r="R80" s="2820">
        <v>400</v>
      </c>
      <c r="S80" s="2822"/>
      <c r="T80" s="1356"/>
      <c r="U80" s="1360" t="s">
        <v>1</v>
      </c>
      <c r="V80" s="2818">
        <v>160</v>
      </c>
      <c r="W80" s="2820">
        <v>200</v>
      </c>
      <c r="X80" s="2820">
        <v>260</v>
      </c>
      <c r="Y80" s="2820">
        <v>300</v>
      </c>
      <c r="Z80" s="2820"/>
      <c r="AA80" s="2820">
        <v>360</v>
      </c>
      <c r="AB80" s="2820">
        <v>400</v>
      </c>
      <c r="AC80" s="2822"/>
      <c r="AD80" s="1356"/>
      <c r="AE80" s="2823" t="s">
        <v>284</v>
      </c>
      <c r="AF80" s="2824"/>
      <c r="AG80" s="2824"/>
      <c r="AH80" s="2825"/>
      <c r="AI80" s="1361" t="s">
        <v>0</v>
      </c>
      <c r="AJ80" s="644"/>
      <c r="AK80" s="1280"/>
      <c r="AL80" s="1280"/>
      <c r="AM80" s="1280"/>
      <c r="AN80" s="1280"/>
      <c r="AO80" s="1280"/>
      <c r="AP80" s="1280"/>
      <c r="AQ80" s="1280"/>
      <c r="AR80" s="1280"/>
      <c r="AS80" s="1280"/>
      <c r="AT80" s="1280"/>
      <c r="AU80" s="1280"/>
      <c r="AV80" s="1280"/>
      <c r="AW80" s="1280"/>
      <c r="AX80" s="1280"/>
      <c r="AY80" s="1280"/>
      <c r="AZ80" s="1280"/>
      <c r="BA80" s="1280"/>
      <c r="BB80" s="1280"/>
      <c r="BC80" s="1280"/>
      <c r="BD80" s="1280"/>
      <c r="BE80" s="1280"/>
      <c r="BF80" s="1280"/>
      <c r="BG80" s="1280"/>
      <c r="BH80" s="1280"/>
      <c r="BI80" s="644"/>
      <c r="BJ80" s="644"/>
    </row>
    <row r="81" spans="11:62" ht="14.25" hidden="1" customHeight="1">
      <c r="K81" s="1362" t="s">
        <v>0</v>
      </c>
      <c r="L81" s="2819"/>
      <c r="M81" s="2821"/>
      <c r="N81" s="2821"/>
      <c r="O81" s="1859">
        <v>1</v>
      </c>
      <c r="P81" s="1859">
        <v>2</v>
      </c>
      <c r="Q81" s="2821"/>
      <c r="R81" s="1859">
        <v>1</v>
      </c>
      <c r="S81" s="1363">
        <v>2</v>
      </c>
      <c r="T81" s="1356"/>
      <c r="U81" s="1364" t="s">
        <v>0</v>
      </c>
      <c r="V81" s="2819"/>
      <c r="W81" s="2821"/>
      <c r="X81" s="2821"/>
      <c r="Y81" s="1859">
        <v>1</v>
      </c>
      <c r="Z81" s="1859">
        <v>2</v>
      </c>
      <c r="AA81" s="2821"/>
      <c r="AB81" s="1859">
        <v>1</v>
      </c>
      <c r="AC81" s="1363">
        <v>2</v>
      </c>
      <c r="AD81" s="1356"/>
      <c r="AE81" s="1365">
        <v>0</v>
      </c>
      <c r="AF81" s="1366">
        <v>1</v>
      </c>
      <c r="AG81" s="1366">
        <v>2</v>
      </c>
      <c r="AH81" s="1367">
        <v>3</v>
      </c>
      <c r="AI81" s="1368" t="s">
        <v>285</v>
      </c>
      <c r="AJ81" s="644"/>
      <c r="AK81" s="1280"/>
      <c r="AL81" s="1280"/>
      <c r="AM81" s="1280"/>
      <c r="AN81" s="1280"/>
      <c r="AO81" s="1280"/>
      <c r="AP81" s="1280"/>
      <c r="AQ81" s="1280"/>
      <c r="AR81" s="1280"/>
      <c r="AS81" s="1280"/>
      <c r="AT81" s="1280"/>
      <c r="AU81" s="1280"/>
      <c r="AV81" s="1280"/>
      <c r="AW81" s="1280"/>
      <c r="AX81" s="1280"/>
      <c r="AY81" s="1280"/>
      <c r="AZ81" s="1280"/>
      <c r="BA81" s="1280"/>
      <c r="BB81" s="1280"/>
      <c r="BC81" s="1280"/>
      <c r="BD81" s="1280"/>
      <c r="BE81" s="1280"/>
      <c r="BF81" s="1280"/>
      <c r="BG81" s="1280"/>
      <c r="BH81" s="1280"/>
      <c r="BI81" s="644"/>
      <c r="BJ81" s="644"/>
    </row>
    <row r="82" spans="11:62" ht="14.25" hidden="1" customHeight="1">
      <c r="K82" s="1369">
        <v>65</v>
      </c>
      <c r="L82" s="1370"/>
      <c r="M82" s="1371"/>
      <c r="N82" s="1371"/>
      <c r="O82" s="1371"/>
      <c r="P82" s="1371"/>
      <c r="Q82" s="1371"/>
      <c r="R82" s="1371"/>
      <c r="S82" s="1372"/>
      <c r="T82" s="1356"/>
      <c r="U82" s="1369">
        <v>65</v>
      </c>
      <c r="V82" s="1373"/>
      <c r="W82" s="1374"/>
      <c r="X82" s="1375"/>
      <c r="Y82" s="1375"/>
      <c r="Z82" s="1374"/>
      <c r="AA82" s="1375"/>
      <c r="AB82" s="1375"/>
      <c r="AC82" s="1376"/>
      <c r="AD82" s="1356"/>
      <c r="AE82" s="1377">
        <v>1</v>
      </c>
      <c r="AF82" s="1378">
        <v>5.12</v>
      </c>
      <c r="AG82" s="1378">
        <v>5.66</v>
      </c>
      <c r="AH82" s="1379">
        <v>6.53</v>
      </c>
      <c r="AI82" s="1369">
        <v>65</v>
      </c>
      <c r="AJ82" s="644"/>
      <c r="AK82" s="1280"/>
      <c r="AL82" s="1280"/>
      <c r="AM82" s="1280"/>
      <c r="AN82" s="1280"/>
      <c r="AO82" s="1280"/>
      <c r="AP82" s="1280"/>
      <c r="AQ82" s="1280"/>
      <c r="AR82" s="1280"/>
      <c r="AS82" s="1280"/>
      <c r="AT82" s="1280"/>
      <c r="AU82" s="1280"/>
      <c r="AV82" s="1280"/>
      <c r="AW82" s="1280"/>
      <c r="AX82" s="1280"/>
      <c r="AY82" s="1280"/>
      <c r="AZ82" s="1280"/>
      <c r="BA82" s="1280"/>
      <c r="BB82" s="1280"/>
      <c r="BC82" s="1280"/>
      <c r="BD82" s="1280"/>
      <c r="BE82" s="1280"/>
      <c r="BF82" s="1280"/>
      <c r="BG82" s="1280"/>
      <c r="BH82" s="1280"/>
      <c r="BI82" s="644"/>
      <c r="BJ82" s="644"/>
    </row>
    <row r="83" spans="11:62" ht="14.25" hidden="1" customHeight="1">
      <c r="K83" s="1380">
        <v>70</v>
      </c>
      <c r="L83" s="1381"/>
      <c r="M83" s="1382"/>
      <c r="N83" s="1382"/>
      <c r="O83" s="1382"/>
      <c r="P83" s="1382"/>
      <c r="Q83" s="1382"/>
      <c r="R83" s="1382"/>
      <c r="S83" s="1383"/>
      <c r="T83" s="1356"/>
      <c r="U83" s="1380">
        <v>70</v>
      </c>
      <c r="V83" s="1384"/>
      <c r="W83" s="1385"/>
      <c r="X83" s="1386"/>
      <c r="Y83" s="1386"/>
      <c r="Z83" s="1385"/>
      <c r="AA83" s="1386"/>
      <c r="AB83" s="1386"/>
      <c r="AC83" s="1387"/>
      <c r="AD83" s="1356"/>
      <c r="AE83" s="1388">
        <v>1</v>
      </c>
      <c r="AF83" s="1389">
        <v>5.12</v>
      </c>
      <c r="AG83" s="1389">
        <v>5.66</v>
      </c>
      <c r="AH83" s="1390">
        <v>6.53</v>
      </c>
      <c r="AI83" s="1380">
        <v>70</v>
      </c>
      <c r="AJ83" s="644"/>
      <c r="AK83" s="1280"/>
      <c r="AL83" s="1280"/>
      <c r="AM83" s="1280"/>
      <c r="AN83" s="1280"/>
      <c r="AO83" s="1280"/>
      <c r="AP83" s="1280"/>
      <c r="AQ83" s="1280"/>
      <c r="AR83" s="1280"/>
      <c r="AS83" s="1280"/>
      <c r="AT83" s="1280"/>
      <c r="AU83" s="1280"/>
      <c r="AV83" s="1280"/>
      <c r="AW83" s="1280"/>
      <c r="AX83" s="1280"/>
      <c r="AY83" s="1280"/>
      <c r="AZ83" s="1280"/>
      <c r="BA83" s="1280"/>
      <c r="BB83" s="1280"/>
      <c r="BC83" s="1280"/>
      <c r="BD83" s="1280"/>
      <c r="BE83" s="1280"/>
      <c r="BF83" s="1280"/>
      <c r="BG83" s="1280"/>
      <c r="BH83" s="1280"/>
      <c r="BI83" s="644"/>
      <c r="BJ83" s="644"/>
    </row>
    <row r="84" spans="11:62" ht="14.25" hidden="1" customHeight="1">
      <c r="K84" s="1380">
        <v>75</v>
      </c>
      <c r="L84" s="1391"/>
      <c r="M84" s="1392"/>
      <c r="N84" s="1392"/>
      <c r="O84" s="1392"/>
      <c r="P84" s="1392"/>
      <c r="Q84" s="1392"/>
      <c r="R84" s="1392"/>
      <c r="S84" s="1393"/>
      <c r="T84" s="1356"/>
      <c r="U84" s="1380">
        <v>75</v>
      </c>
      <c r="V84" s="1394"/>
      <c r="W84" s="1395"/>
      <c r="X84" s="1395"/>
      <c r="Y84" s="1395"/>
      <c r="Z84" s="1395"/>
      <c r="AA84" s="1395"/>
      <c r="AB84" s="1395"/>
      <c r="AC84" s="1396"/>
      <c r="AD84" s="1356"/>
      <c r="AE84" s="1397">
        <v>1</v>
      </c>
      <c r="AF84" s="1398">
        <v>4.5999999999999996</v>
      </c>
      <c r="AG84" s="1398">
        <v>5</v>
      </c>
      <c r="AH84" s="1399">
        <v>6.53</v>
      </c>
      <c r="AI84" s="1380">
        <v>75</v>
      </c>
      <c r="AJ84" s="644"/>
      <c r="AK84" s="1280"/>
      <c r="AL84" s="1280"/>
      <c r="AM84" s="1280"/>
      <c r="AN84" s="1280"/>
      <c r="AO84" s="1280"/>
      <c r="AP84" s="1280"/>
      <c r="AQ84" s="1280"/>
      <c r="AR84" s="1280"/>
      <c r="AS84" s="1280"/>
      <c r="AT84" s="1280"/>
      <c r="AU84" s="1280"/>
      <c r="AV84" s="1280"/>
      <c r="AW84" s="1280"/>
      <c r="AX84" s="1280"/>
      <c r="AY84" s="1280"/>
      <c r="AZ84" s="1280"/>
      <c r="BA84" s="1280"/>
      <c r="BB84" s="1280"/>
      <c r="BC84" s="1280"/>
      <c r="BD84" s="1280"/>
      <c r="BE84" s="1280"/>
      <c r="BF84" s="1280"/>
      <c r="BG84" s="1280"/>
      <c r="BH84" s="1280"/>
      <c r="BI84" s="644"/>
      <c r="BJ84" s="644"/>
    </row>
    <row r="85" spans="11:62" ht="14.25" hidden="1" customHeight="1">
      <c r="K85" s="1380">
        <v>80</v>
      </c>
      <c r="L85" s="1381"/>
      <c r="M85" s="1382"/>
      <c r="N85" s="1400"/>
      <c r="O85" s="1400"/>
      <c r="P85" s="1382"/>
      <c r="Q85" s="1400"/>
      <c r="R85" s="1400"/>
      <c r="S85" s="1383"/>
      <c r="T85" s="1356"/>
      <c r="U85" s="1380">
        <v>80</v>
      </c>
      <c r="V85" s="1384"/>
      <c r="W85" s="1385"/>
      <c r="X85" s="1401"/>
      <c r="Y85" s="1401"/>
      <c r="Z85" s="1385"/>
      <c r="AA85" s="1401"/>
      <c r="AB85" s="1401"/>
      <c r="AC85" s="1387"/>
      <c r="AD85" s="1356"/>
      <c r="AE85" s="1402">
        <v>1</v>
      </c>
      <c r="AF85" s="1403">
        <v>3.92</v>
      </c>
      <c r="AG85" s="1403">
        <v>4.5</v>
      </c>
      <c r="AH85" s="1404">
        <v>5.6</v>
      </c>
      <c r="AI85" s="1380">
        <v>80</v>
      </c>
      <c r="AJ85" s="644"/>
      <c r="AK85" s="1280"/>
      <c r="AL85" s="1280"/>
      <c r="AM85" s="1280"/>
      <c r="AN85" s="1280"/>
      <c r="AO85" s="1280"/>
      <c r="AP85" s="1280"/>
      <c r="AQ85" s="1280"/>
      <c r="AR85" s="1280"/>
      <c r="AS85" s="1280"/>
      <c r="AT85" s="1280"/>
      <c r="AU85" s="1280"/>
      <c r="AV85" s="1280"/>
      <c r="AW85" s="1280"/>
      <c r="AX85" s="1280"/>
      <c r="AY85" s="1280"/>
      <c r="AZ85" s="1280"/>
      <c r="BA85" s="1280"/>
      <c r="BB85" s="1280"/>
      <c r="BC85" s="1280"/>
      <c r="BD85" s="1280"/>
      <c r="BE85" s="1280"/>
      <c r="BF85" s="1280"/>
      <c r="BG85" s="1280"/>
      <c r="BH85" s="1280"/>
      <c r="BI85" s="644"/>
      <c r="BJ85" s="644"/>
    </row>
    <row r="86" spans="11:62" ht="14.25" hidden="1" customHeight="1">
      <c r="K86" s="1380">
        <v>90</v>
      </c>
      <c r="L86" s="1405">
        <f t="shared" ref="L86:S87" si="4">L93*1.2</f>
        <v>0</v>
      </c>
      <c r="M86" s="1405">
        <f t="shared" si="4"/>
        <v>0</v>
      </c>
      <c r="N86" s="1405">
        <f>N93*1.2*1.3</f>
        <v>755.04</v>
      </c>
      <c r="O86" s="1405">
        <f>O93*1.2*1.3</f>
        <v>877.96799999999985</v>
      </c>
      <c r="P86" s="1405">
        <f t="shared" si="4"/>
        <v>0</v>
      </c>
      <c r="Q86" s="1405">
        <f>Q93*1.2*1.3</f>
        <v>939.42576000000008</v>
      </c>
      <c r="R86" s="1405">
        <f>R93*1.2*1.3</f>
        <v>1009.6631999999998</v>
      </c>
      <c r="S86" s="1405">
        <f t="shared" si="4"/>
        <v>0</v>
      </c>
      <c r="T86" s="1356"/>
      <c r="U86" s="1380">
        <v>90</v>
      </c>
      <c r="V86" s="1406">
        <v>1.6</v>
      </c>
      <c r="W86" s="1407">
        <v>1.55</v>
      </c>
      <c r="X86" s="1407">
        <v>1.5</v>
      </c>
      <c r="Y86" s="1407">
        <v>1.45</v>
      </c>
      <c r="Z86" s="1407">
        <v>1.45</v>
      </c>
      <c r="AA86" s="1407">
        <v>1.4</v>
      </c>
      <c r="AB86" s="1407">
        <v>1.3</v>
      </c>
      <c r="AC86" s="1408">
        <v>1.3</v>
      </c>
      <c r="AD86" s="1356"/>
      <c r="AE86" s="1409">
        <v>1</v>
      </c>
      <c r="AF86" s="1410">
        <v>3.51</v>
      </c>
      <c r="AG86" s="1410">
        <v>3.96</v>
      </c>
      <c r="AH86" s="1411">
        <v>4.93</v>
      </c>
      <c r="AI86" s="1380">
        <v>90</v>
      </c>
      <c r="AJ86" s="644"/>
      <c r="AK86" s="1280"/>
      <c r="AL86" s="1280"/>
      <c r="AM86" s="1280"/>
      <c r="AN86" s="1280"/>
      <c r="AO86" s="1280"/>
      <c r="AP86" s="1280"/>
      <c r="AQ86" s="1280"/>
      <c r="AR86" s="1280"/>
      <c r="AS86" s="1280"/>
      <c r="AT86" s="1280"/>
      <c r="AU86" s="1280"/>
      <c r="AV86" s="1280"/>
      <c r="AW86" s="1280"/>
      <c r="AX86" s="1280"/>
      <c r="AY86" s="1280"/>
      <c r="AZ86" s="1280"/>
      <c r="BA86" s="1280"/>
      <c r="BB86" s="1280"/>
      <c r="BC86" s="1280"/>
      <c r="BD86" s="1280"/>
      <c r="BE86" s="1280"/>
      <c r="BF86" s="1280"/>
      <c r="BG86" s="1280"/>
      <c r="BH86" s="1280"/>
      <c r="BI86" s="644"/>
      <c r="BJ86" s="644"/>
    </row>
    <row r="87" spans="11:62" ht="14.25" hidden="1" customHeight="1">
      <c r="K87" s="1380">
        <v>110</v>
      </c>
      <c r="L87" s="1412">
        <f t="shared" si="4"/>
        <v>0</v>
      </c>
      <c r="M87" s="1412">
        <f t="shared" si="4"/>
        <v>0</v>
      </c>
      <c r="N87" s="1412">
        <f>N94*1.2*1.3</f>
        <v>828.3599999999999</v>
      </c>
      <c r="O87" s="1412">
        <f>O94*1.2*1.3</f>
        <v>999.64799999999991</v>
      </c>
      <c r="P87" s="1412">
        <f t="shared" si="4"/>
        <v>0</v>
      </c>
      <c r="Q87" s="1412">
        <f>Q94*1.2*1.3</f>
        <v>1069.6233599999998</v>
      </c>
      <c r="R87" s="1412">
        <f>R94*1.2*1.3</f>
        <v>1149.5951999999997</v>
      </c>
      <c r="S87" s="1412">
        <f t="shared" si="4"/>
        <v>0</v>
      </c>
      <c r="T87" s="1356"/>
      <c r="U87" s="1380">
        <v>110</v>
      </c>
      <c r="V87" s="1413">
        <v>1.5</v>
      </c>
      <c r="W87" s="1414">
        <v>1.3</v>
      </c>
      <c r="X87" s="1414">
        <v>1.3</v>
      </c>
      <c r="Y87" s="1414">
        <v>1.3</v>
      </c>
      <c r="Z87" s="1414">
        <v>1.3</v>
      </c>
      <c r="AA87" s="1414">
        <v>1.3</v>
      </c>
      <c r="AB87" s="1414">
        <v>1.3</v>
      </c>
      <c r="AC87" s="1415">
        <v>1.3</v>
      </c>
      <c r="AD87" s="1356"/>
      <c r="AE87" s="1416">
        <v>1</v>
      </c>
      <c r="AF87" s="1417">
        <v>3.41</v>
      </c>
      <c r="AG87" s="1417">
        <v>3.96</v>
      </c>
      <c r="AH87" s="1418">
        <v>4.93</v>
      </c>
      <c r="AI87" s="1380">
        <v>110</v>
      </c>
      <c r="AJ87" s="644"/>
      <c r="AK87" s="1280"/>
      <c r="AL87" s="1280"/>
      <c r="AM87" s="1280"/>
      <c r="AN87" s="1280"/>
      <c r="AO87" s="1280"/>
      <c r="AP87" s="1280"/>
      <c r="AQ87" s="1280"/>
      <c r="AR87" s="1280"/>
      <c r="AS87" s="1280"/>
      <c r="AT87" s="1280"/>
      <c r="AU87" s="1280"/>
      <c r="AV87" s="1280"/>
      <c r="AW87" s="1280"/>
      <c r="AX87" s="1280"/>
      <c r="AY87" s="1280"/>
      <c r="AZ87" s="1280"/>
      <c r="BA87" s="1280"/>
      <c r="BB87" s="1280"/>
      <c r="BC87" s="1280"/>
      <c r="BD87" s="1280"/>
      <c r="BE87" s="1280"/>
      <c r="BF87" s="1280"/>
      <c r="BG87" s="1280"/>
      <c r="BH87" s="1280"/>
      <c r="BI87" s="644"/>
      <c r="BJ87" s="644"/>
    </row>
    <row r="88" spans="11:62" ht="14.25" hidden="1" customHeight="1">
      <c r="K88" s="1380">
        <v>150</v>
      </c>
      <c r="L88" s="1419">
        <f t="shared" ref="L88:S88" si="5">L96*1.2</f>
        <v>0</v>
      </c>
      <c r="M88" s="1419">
        <f>M96*1.2*1.3</f>
        <v>859.24799999999993</v>
      </c>
      <c r="N88" s="1419">
        <f>N96*1.2*1.3</f>
        <v>889.32167999999979</v>
      </c>
      <c r="O88" s="1419">
        <f>O96*1.2*1.3</f>
        <v>1121.6399999999999</v>
      </c>
      <c r="P88" s="1419">
        <f t="shared" si="5"/>
        <v>0</v>
      </c>
      <c r="Q88" s="1419">
        <f>Q96*1.2*1.3</f>
        <v>1200.1548</v>
      </c>
      <c r="R88" s="1419">
        <f t="shared" si="5"/>
        <v>0</v>
      </c>
      <c r="S88" s="1419">
        <f t="shared" si="5"/>
        <v>0</v>
      </c>
      <c r="T88" s="1356"/>
      <c r="U88" s="1380">
        <v>150</v>
      </c>
      <c r="V88" s="1420">
        <v>1.4</v>
      </c>
      <c r="W88" s="1421">
        <v>1.35</v>
      </c>
      <c r="X88" s="1421">
        <v>1.32</v>
      </c>
      <c r="Y88" s="1421"/>
      <c r="Z88" s="1421">
        <v>1.3</v>
      </c>
      <c r="AA88" s="1421">
        <v>1.28</v>
      </c>
      <c r="AB88" s="1421"/>
      <c r="AC88" s="1422">
        <v>1.25</v>
      </c>
      <c r="AD88" s="1356"/>
      <c r="AE88" s="1423">
        <v>1</v>
      </c>
      <c r="AF88" s="1424">
        <v>3.41</v>
      </c>
      <c r="AG88" s="1424">
        <v>3.96</v>
      </c>
      <c r="AH88" s="1425">
        <v>4.93</v>
      </c>
      <c r="AI88" s="1380">
        <v>150</v>
      </c>
      <c r="AJ88" s="644"/>
      <c r="AK88" s="1280"/>
      <c r="AL88" s="1280"/>
      <c r="AM88" s="1280"/>
      <c r="AN88" s="1280"/>
      <c r="AO88" s="1280"/>
      <c r="AP88" s="1280"/>
      <c r="AQ88" s="1280"/>
      <c r="AR88" s="1280"/>
      <c r="AS88" s="1280"/>
      <c r="AT88" s="1280"/>
      <c r="AU88" s="1280"/>
      <c r="AV88" s="1280"/>
      <c r="AW88" s="1280"/>
      <c r="AX88" s="1280"/>
      <c r="AY88" s="1280"/>
      <c r="AZ88" s="1280"/>
      <c r="BA88" s="1280"/>
      <c r="BB88" s="1280"/>
      <c r="BC88" s="1280"/>
      <c r="BD88" s="1280"/>
      <c r="BE88" s="1280"/>
      <c r="BF88" s="1280"/>
      <c r="BG88" s="1280"/>
      <c r="BH88" s="1280"/>
      <c r="BI88" s="644"/>
      <c r="BJ88" s="644"/>
    </row>
    <row r="89" spans="11:62" ht="14.25" hidden="1" customHeight="1">
      <c r="K89" s="1380">
        <v>200</v>
      </c>
      <c r="L89" s="1426">
        <f>L117*1.2</f>
        <v>0</v>
      </c>
      <c r="M89" s="1426">
        <f>M117*1.2</f>
        <v>0</v>
      </c>
      <c r="N89" s="1426">
        <f>N117*1.2</f>
        <v>0</v>
      </c>
      <c r="O89" s="1426">
        <v>0</v>
      </c>
      <c r="P89" s="1426">
        <v>0</v>
      </c>
      <c r="Q89" s="1426">
        <f>Q117*1.2</f>
        <v>0</v>
      </c>
      <c r="R89" s="1426">
        <v>0</v>
      </c>
      <c r="S89" s="1426">
        <v>0</v>
      </c>
      <c r="T89" s="1356"/>
      <c r="U89" s="1380">
        <v>200</v>
      </c>
      <c r="V89" s="1427">
        <v>1.35</v>
      </c>
      <c r="W89" s="1428">
        <v>1.3</v>
      </c>
      <c r="X89" s="1428">
        <v>1.27</v>
      </c>
      <c r="Y89" s="1428"/>
      <c r="Z89" s="1428">
        <v>1.28</v>
      </c>
      <c r="AA89" s="1428">
        <v>1.26</v>
      </c>
      <c r="AB89" s="1428"/>
      <c r="AC89" s="1429">
        <v>1.2</v>
      </c>
      <c r="AD89" s="1356"/>
      <c r="AE89" s="1423">
        <v>1</v>
      </c>
      <c r="AF89" s="1424">
        <v>2.73</v>
      </c>
      <c r="AG89" s="1424">
        <v>3.11</v>
      </c>
      <c r="AH89" s="1425">
        <v>3.89</v>
      </c>
      <c r="AI89" s="1380">
        <v>150.16</v>
      </c>
      <c r="AJ89" s="644"/>
      <c r="AK89" s="1280"/>
      <c r="AL89" s="1280"/>
      <c r="AM89" s="1280"/>
      <c r="AN89" s="1280"/>
      <c r="AO89" s="1280"/>
      <c r="AP89" s="1280"/>
      <c r="AQ89" s="1280"/>
      <c r="AR89" s="1280"/>
      <c r="AS89" s="1280"/>
      <c r="AT89" s="1280"/>
      <c r="AU89" s="1280"/>
      <c r="AV89" s="1280"/>
      <c r="AW89" s="1280"/>
      <c r="AX89" s="1280"/>
      <c r="AY89" s="1280"/>
      <c r="AZ89" s="1280"/>
      <c r="BA89" s="1280"/>
      <c r="BB89" s="1280"/>
      <c r="BC89" s="1280"/>
      <c r="BD89" s="1280"/>
      <c r="BE89" s="1280"/>
      <c r="BF89" s="1280"/>
      <c r="BG89" s="1280"/>
      <c r="BH89" s="1280"/>
      <c r="BI89" s="644"/>
      <c r="BJ89" s="644"/>
    </row>
    <row r="90" spans="11:62" ht="14.25" hidden="1" customHeight="1">
      <c r="K90" s="1380">
        <v>300</v>
      </c>
      <c r="L90" s="1391"/>
      <c r="M90" s="1392"/>
      <c r="N90" s="1392"/>
      <c r="O90" s="1392"/>
      <c r="P90" s="1392"/>
      <c r="Q90" s="1392"/>
      <c r="R90" s="1392"/>
      <c r="S90" s="1393"/>
      <c r="T90" s="1356"/>
      <c r="U90" s="1380">
        <v>300</v>
      </c>
      <c r="V90" s="1394"/>
      <c r="W90" s="1395"/>
      <c r="X90" s="1395"/>
      <c r="Y90" s="1395"/>
      <c r="Z90" s="1395"/>
      <c r="AA90" s="1395"/>
      <c r="AB90" s="1395"/>
      <c r="AC90" s="1396"/>
      <c r="AD90" s="1356"/>
      <c r="AE90" s="1423">
        <v>1</v>
      </c>
      <c r="AF90" s="1421">
        <v>2.73</v>
      </c>
      <c r="AG90" s="1421">
        <v>2.83</v>
      </c>
      <c r="AH90" s="1430">
        <v>3.66</v>
      </c>
      <c r="AI90" s="1431" t="s">
        <v>287</v>
      </c>
      <c r="AJ90" s="644"/>
      <c r="AK90" s="1280"/>
      <c r="AL90" s="1280"/>
      <c r="AM90" s="1280"/>
      <c r="AN90" s="1280"/>
      <c r="AO90" s="1280"/>
      <c r="AP90" s="1280"/>
      <c r="AQ90" s="1280"/>
      <c r="AR90" s="1280"/>
      <c r="AS90" s="1280"/>
      <c r="AT90" s="1280"/>
      <c r="AU90" s="1280"/>
      <c r="AV90" s="1280"/>
      <c r="AW90" s="1280"/>
      <c r="AX90" s="1280"/>
      <c r="AY90" s="1280"/>
      <c r="AZ90" s="1280"/>
      <c r="BA90" s="1280"/>
      <c r="BB90" s="1280"/>
      <c r="BC90" s="1280"/>
      <c r="BD90" s="1280"/>
      <c r="BE90" s="1280"/>
      <c r="BF90" s="1280"/>
      <c r="BG90" s="1280"/>
      <c r="BH90" s="1280"/>
      <c r="BI90" s="644"/>
      <c r="BJ90" s="644"/>
    </row>
    <row r="91" spans="11:62" ht="14.25" hidden="1" customHeight="1">
      <c r="K91" s="1380">
        <v>400</v>
      </c>
      <c r="L91" s="1391"/>
      <c r="M91" s="1392"/>
      <c r="N91" s="1392"/>
      <c r="O91" s="1392"/>
      <c r="P91" s="1392"/>
      <c r="Q91" s="1392"/>
      <c r="R91" s="1392"/>
      <c r="S91" s="1393"/>
      <c r="T91" s="1356"/>
      <c r="U91" s="1380">
        <v>400</v>
      </c>
      <c r="V91" s="1394"/>
      <c r="W91" s="1395"/>
      <c r="X91" s="1395"/>
      <c r="Y91" s="1395"/>
      <c r="Z91" s="1395"/>
      <c r="AA91" s="1395"/>
      <c r="AB91" s="1395"/>
      <c r="AC91" s="1396"/>
      <c r="AD91" s="1356"/>
      <c r="AE91" s="1423">
        <v>1</v>
      </c>
      <c r="AF91" s="1432">
        <v>3.41</v>
      </c>
      <c r="AG91" s="1432">
        <v>3.86</v>
      </c>
      <c r="AH91" s="1433">
        <v>4.63</v>
      </c>
      <c r="AI91" s="1434" t="s">
        <v>289</v>
      </c>
      <c r="AJ91" s="644"/>
      <c r="AK91" s="1280"/>
      <c r="AL91" s="1280"/>
      <c r="AM91" s="1280"/>
      <c r="AN91" s="1280"/>
      <c r="AO91" s="1280"/>
      <c r="AP91" s="1280"/>
      <c r="AQ91" s="1280"/>
      <c r="AR91" s="1280"/>
      <c r="AS91" s="1280"/>
      <c r="AT91" s="1280"/>
      <c r="AU91" s="1280"/>
      <c r="AV91" s="1280"/>
      <c r="AW91" s="1280"/>
      <c r="AX91" s="1280"/>
      <c r="AY91" s="1280"/>
      <c r="AZ91" s="1280"/>
      <c r="BA91" s="1280"/>
      <c r="BB91" s="1280"/>
      <c r="BC91" s="1280"/>
      <c r="BD91" s="1280"/>
      <c r="BE91" s="1280"/>
      <c r="BF91" s="1280"/>
      <c r="BG91" s="1280"/>
      <c r="BH91" s="1280"/>
      <c r="BI91" s="644"/>
      <c r="BJ91" s="644"/>
    </row>
    <row r="92" spans="11:62" ht="14.25" hidden="1" customHeight="1">
      <c r="K92" s="1380">
        <v>500</v>
      </c>
      <c r="L92" s="1391"/>
      <c r="M92" s="1392"/>
      <c r="N92" s="1392"/>
      <c r="O92" s="1392"/>
      <c r="P92" s="1392"/>
      <c r="Q92" s="1392"/>
      <c r="R92" s="1392"/>
      <c r="S92" s="1393"/>
      <c r="T92" s="1356"/>
      <c r="U92" s="1380">
        <v>500</v>
      </c>
      <c r="V92" s="1394"/>
      <c r="W92" s="1395"/>
      <c r="X92" s="1395"/>
      <c r="Y92" s="1395"/>
      <c r="Z92" s="1395"/>
      <c r="AA92" s="1395"/>
      <c r="AB92" s="1395"/>
      <c r="AC92" s="1396"/>
      <c r="AD92" s="1356"/>
      <c r="AE92" s="1356"/>
      <c r="AF92" s="1356"/>
      <c r="AG92" s="1356"/>
      <c r="AH92" s="1356"/>
      <c r="AI92" s="1356"/>
      <c r="AK92" s="1280"/>
      <c r="AL92" s="1280"/>
      <c r="AM92" s="1280"/>
      <c r="AN92" s="1280"/>
      <c r="AO92" s="1280"/>
      <c r="AP92" s="1280"/>
      <c r="AQ92" s="1280"/>
      <c r="AR92" s="1280"/>
      <c r="AS92" s="1280"/>
      <c r="AT92" s="1280"/>
      <c r="AU92" s="1280"/>
      <c r="AV92" s="1280"/>
      <c r="AW92" s="1280"/>
      <c r="AX92" s="1280"/>
      <c r="AY92" s="1280"/>
      <c r="AZ92" s="1280"/>
      <c r="BA92" s="1280"/>
      <c r="BB92" s="1280"/>
      <c r="BC92" s="1280"/>
      <c r="BD92" s="1280"/>
      <c r="BE92" s="1280"/>
      <c r="BF92" s="1280"/>
      <c r="BG92" s="1280"/>
      <c r="BH92" s="1280"/>
      <c r="BI92" s="644"/>
      <c r="BJ92" s="644"/>
    </row>
    <row r="93" spans="11:62" ht="14.25" hidden="1" customHeight="1">
      <c r="K93" s="1435">
        <v>90</v>
      </c>
      <c r="L93" s="1436"/>
      <c r="M93" s="1436"/>
      <c r="N93" s="1436">
        <v>484</v>
      </c>
      <c r="O93" s="1436">
        <v>562.79999999999995</v>
      </c>
      <c r="P93" s="1436"/>
      <c r="Q93" s="1436">
        <v>602.19600000000003</v>
      </c>
      <c r="R93" s="1436">
        <v>647.21999999999991</v>
      </c>
      <c r="S93" s="1436"/>
      <c r="T93" s="1437"/>
      <c r="U93" s="1437"/>
      <c r="V93" s="1437"/>
      <c r="W93" s="1437"/>
      <c r="X93" s="1437"/>
      <c r="Y93" s="1437"/>
      <c r="Z93" s="1437"/>
      <c r="AA93" s="1437"/>
      <c r="AB93" s="1437"/>
      <c r="AC93" s="1437"/>
      <c r="AD93" s="1437"/>
      <c r="AE93" s="1437"/>
      <c r="AF93" s="1437"/>
      <c r="AG93" s="1437"/>
      <c r="AH93" s="1437"/>
      <c r="AI93" s="1437"/>
      <c r="AK93" s="1280"/>
      <c r="AL93" s="1280"/>
      <c r="AM93" s="1280"/>
      <c r="AN93" s="1280"/>
      <c r="AO93" s="1280"/>
      <c r="AP93" s="1280"/>
      <c r="AQ93" s="1280"/>
      <c r="AR93" s="1280"/>
      <c r="AS93" s="1280"/>
      <c r="AT93" s="1280"/>
      <c r="AU93" s="1280"/>
      <c r="AV93" s="1280"/>
      <c r="AW93" s="1280"/>
      <c r="AX93" s="1280"/>
      <c r="AY93" s="1280"/>
      <c r="AZ93" s="1280"/>
      <c r="BA93" s="1280"/>
      <c r="BB93" s="1280"/>
      <c r="BC93" s="1280"/>
      <c r="BD93" s="1280"/>
      <c r="BE93" s="1280"/>
      <c r="BF93" s="1280"/>
      <c r="BG93" s="1280"/>
      <c r="BH93" s="1280"/>
      <c r="BI93" s="644"/>
      <c r="BJ93" s="644"/>
    </row>
    <row r="94" spans="11:62" ht="14.25" hidden="1" customHeight="1">
      <c r="K94" s="1438">
        <v>110</v>
      </c>
      <c r="L94" s="1436"/>
      <c r="M94" s="1439"/>
      <c r="N94" s="1439">
        <v>531</v>
      </c>
      <c r="O94" s="1439">
        <v>640.79999999999995</v>
      </c>
      <c r="P94" s="1439"/>
      <c r="Q94" s="1439">
        <v>685.65599999999995</v>
      </c>
      <c r="R94" s="1439">
        <v>736.91999999999985</v>
      </c>
      <c r="S94" s="1439"/>
      <c r="T94" s="1356"/>
      <c r="U94" s="1440"/>
      <c r="V94" s="1441"/>
      <c r="W94" s="1441"/>
      <c r="X94" s="1441"/>
      <c r="Y94" s="1441"/>
      <c r="Z94" s="1441"/>
      <c r="AA94" s="1441"/>
      <c r="AB94" s="1441"/>
      <c r="AC94" s="1441"/>
      <c r="AD94" s="1356"/>
      <c r="AE94" s="1356"/>
      <c r="AF94" s="1356"/>
      <c r="AG94" s="1356"/>
      <c r="AH94" s="1356"/>
      <c r="AI94" s="1356"/>
      <c r="AJ94" s="1280"/>
      <c r="AK94" s="1280"/>
      <c r="AL94" s="1280"/>
      <c r="AM94" s="1280"/>
      <c r="AN94" s="1280"/>
      <c r="AO94" s="1280"/>
      <c r="AP94" s="1280"/>
      <c r="AQ94" s="1280"/>
      <c r="AR94" s="1280"/>
      <c r="AS94" s="1280"/>
      <c r="AT94" s="1280"/>
      <c r="AU94" s="1280"/>
      <c r="AV94" s="1280"/>
      <c r="AW94" s="1280"/>
      <c r="AX94" s="1280"/>
      <c r="AY94" s="1280"/>
      <c r="AZ94" s="1280"/>
      <c r="BA94" s="1280"/>
      <c r="BB94" s="1280"/>
      <c r="BC94" s="1280"/>
      <c r="BD94" s="1280"/>
      <c r="BE94" s="1280"/>
      <c r="BF94" s="1280"/>
      <c r="BG94" s="1280"/>
      <c r="BH94" s="1280"/>
      <c r="BI94" s="644"/>
      <c r="BJ94" s="644"/>
    </row>
    <row r="95" spans="11:62" ht="14.25" hidden="1" customHeight="1">
      <c r="K95" s="1438"/>
      <c r="L95" s="1436"/>
      <c r="M95" s="1439"/>
      <c r="N95" s="1439"/>
      <c r="O95" s="1439"/>
      <c r="P95" s="1439"/>
      <c r="Q95" s="1439"/>
      <c r="R95" s="1439"/>
      <c r="S95" s="1439"/>
      <c r="T95" s="1356"/>
      <c r="U95" s="1440"/>
      <c r="V95" s="1441"/>
      <c r="W95" s="1441"/>
      <c r="X95" s="1441"/>
      <c r="Y95" s="1441"/>
      <c r="Z95" s="1441"/>
      <c r="AA95" s="1441"/>
      <c r="AB95" s="1441"/>
      <c r="AC95" s="1441"/>
      <c r="AD95" s="1356"/>
      <c r="AE95" s="1356"/>
      <c r="AF95" s="1356"/>
      <c r="AG95" s="1356"/>
      <c r="AH95" s="1356"/>
      <c r="AI95" s="1356"/>
      <c r="AJ95" s="1280"/>
      <c r="AK95" s="1280"/>
      <c r="AL95" s="1280"/>
      <c r="AM95" s="1280"/>
      <c r="AN95" s="1280"/>
      <c r="AO95" s="1280"/>
      <c r="AP95" s="1280"/>
      <c r="AQ95" s="1280"/>
      <c r="AR95" s="1280"/>
      <c r="AS95" s="1280"/>
      <c r="AT95" s="1280"/>
      <c r="AU95" s="1280"/>
      <c r="AV95" s="1280"/>
      <c r="AW95" s="1280"/>
      <c r="AX95" s="1280"/>
      <c r="AY95" s="1280"/>
      <c r="AZ95" s="1280"/>
      <c r="BA95" s="1280"/>
      <c r="BB95" s="1280"/>
      <c r="BC95" s="1280"/>
      <c r="BD95" s="1280"/>
      <c r="BE95" s="1280"/>
      <c r="BF95" s="1280"/>
      <c r="BG95" s="1280"/>
      <c r="BH95" s="1280"/>
      <c r="BI95" s="644"/>
      <c r="BJ95" s="644"/>
    </row>
    <row r="96" spans="11:62" ht="14.25" hidden="1" customHeight="1">
      <c r="K96" s="1436">
        <v>150</v>
      </c>
      <c r="L96" s="1436"/>
      <c r="M96" s="1439">
        <v>550.79999999999995</v>
      </c>
      <c r="N96" s="1439">
        <v>570.07799999999986</v>
      </c>
      <c r="O96" s="1439">
        <v>719</v>
      </c>
      <c r="P96" s="1439"/>
      <c r="Q96" s="1439">
        <v>769.33</v>
      </c>
      <c r="R96" s="1439"/>
      <c r="S96" s="1439"/>
      <c r="T96" s="1356"/>
      <c r="U96" s="1440"/>
      <c r="V96" s="1441"/>
      <c r="W96" s="1441"/>
      <c r="X96" s="1441"/>
      <c r="Y96" s="1441"/>
      <c r="Z96" s="1441"/>
      <c r="AA96" s="1441"/>
      <c r="AB96" s="1441"/>
      <c r="AC96" s="1441"/>
      <c r="AD96" s="1356"/>
      <c r="AE96" s="1356"/>
      <c r="AF96" s="1356"/>
      <c r="AG96" s="1356"/>
      <c r="AH96" s="1356"/>
      <c r="AI96" s="1356"/>
      <c r="AJ96" s="1280"/>
      <c r="AK96" s="1280"/>
      <c r="AL96" s="1280"/>
      <c r="AM96" s="1280"/>
      <c r="AN96" s="1280"/>
      <c r="AO96" s="1280"/>
      <c r="AP96" s="1280"/>
      <c r="AQ96" s="1280"/>
      <c r="AR96" s="1280"/>
      <c r="AS96" s="1280"/>
      <c r="AT96" s="1280"/>
      <c r="AU96" s="1280"/>
      <c r="AV96" s="1280"/>
      <c r="AW96" s="1280"/>
      <c r="AX96" s="1280"/>
      <c r="AY96" s="1280"/>
      <c r="AZ96" s="1280"/>
      <c r="BA96" s="1280"/>
      <c r="BB96" s="1280"/>
      <c r="BC96" s="1280"/>
      <c r="BD96" s="1280"/>
      <c r="BE96" s="1280"/>
      <c r="BF96" s="1280"/>
      <c r="BG96" s="1280"/>
      <c r="BH96" s="1280"/>
      <c r="BI96" s="644"/>
      <c r="BJ96" s="644"/>
    </row>
    <row r="97" spans="11:62" ht="14.25" hidden="1" customHeight="1">
      <c r="K97" s="1436"/>
      <c r="L97" s="1436"/>
      <c r="M97" s="1439"/>
      <c r="N97" s="1439"/>
      <c r="O97" s="1439"/>
      <c r="P97" s="1439"/>
      <c r="Q97" s="1439"/>
      <c r="R97" s="1439"/>
      <c r="S97" s="1439"/>
      <c r="T97" s="1356"/>
      <c r="U97" s="1440"/>
      <c r="V97" s="1441"/>
      <c r="W97" s="1441"/>
      <c r="X97" s="1441"/>
      <c r="Y97" s="1441"/>
      <c r="Z97" s="1441"/>
      <c r="AA97" s="1441"/>
      <c r="AB97" s="1441"/>
      <c r="AC97" s="1441"/>
      <c r="AD97" s="1356"/>
      <c r="AE97" s="1356"/>
      <c r="AF97" s="1356"/>
      <c r="AG97" s="1356"/>
      <c r="AH97" s="1356"/>
      <c r="AI97" s="1356"/>
      <c r="AJ97" s="1280"/>
      <c r="AK97" s="1280"/>
      <c r="AL97" s="1280"/>
      <c r="AM97" s="1280"/>
      <c r="AN97" s="1280"/>
      <c r="AO97" s="1280"/>
      <c r="AP97" s="1280"/>
      <c r="AQ97" s="1280"/>
      <c r="AR97" s="1280"/>
      <c r="AS97" s="1280"/>
      <c r="AT97" s="1280"/>
      <c r="AU97" s="1280"/>
      <c r="AV97" s="1280"/>
      <c r="AW97" s="1280"/>
      <c r="AX97" s="1280"/>
      <c r="AY97" s="1280"/>
      <c r="AZ97" s="1280"/>
      <c r="BA97" s="1280"/>
      <c r="BB97" s="1280"/>
      <c r="BC97" s="1280"/>
      <c r="BD97" s="1280"/>
      <c r="BE97" s="1280"/>
      <c r="BF97" s="1280"/>
      <c r="BG97" s="1280"/>
      <c r="BH97" s="1280"/>
      <c r="BI97" s="644"/>
      <c r="BJ97" s="644"/>
    </row>
    <row r="98" spans="11:62" ht="23.25" hidden="1" customHeight="1">
      <c r="K98" s="2826" t="s">
        <v>5700</v>
      </c>
      <c r="L98" s="2827"/>
      <c r="M98" s="2827"/>
      <c r="N98" s="2827"/>
      <c r="O98" s="2827"/>
      <c r="P98" s="2827"/>
      <c r="Q98" s="2827"/>
      <c r="R98" s="2827"/>
      <c r="S98" s="2827"/>
      <c r="T98" s="2827"/>
      <c r="U98" s="2827"/>
      <c r="V98" s="2827"/>
      <c r="W98" s="2827"/>
      <c r="X98" s="2827"/>
      <c r="Y98" s="2827"/>
      <c r="Z98" s="2827"/>
      <c r="AA98" s="2827"/>
      <c r="AB98" s="2827"/>
      <c r="AC98" s="2828"/>
      <c r="AD98" s="1356"/>
      <c r="AE98" s="1356"/>
      <c r="AF98" s="1356"/>
      <c r="AG98" s="1356"/>
      <c r="AH98" s="1356"/>
      <c r="AI98" s="1356"/>
      <c r="AJ98" s="1280"/>
      <c r="AK98" s="1280"/>
      <c r="AL98" s="1280"/>
      <c r="AM98" s="1280"/>
      <c r="AN98" s="1280"/>
      <c r="AO98" s="1280"/>
      <c r="AP98" s="1280"/>
      <c r="AQ98" s="1280"/>
      <c r="AR98" s="1280"/>
      <c r="AS98" s="1280"/>
      <c r="AT98" s="1280"/>
      <c r="AU98" s="1280"/>
      <c r="AV98" s="1280"/>
      <c r="AW98" s="1280"/>
      <c r="AX98" s="1280"/>
      <c r="AY98" s="1280"/>
      <c r="AZ98" s="1280"/>
      <c r="BA98" s="1280"/>
      <c r="BB98" s="1280"/>
      <c r="BC98" s="1280"/>
      <c r="BD98" s="1280"/>
      <c r="BE98" s="1280"/>
      <c r="BF98" s="1280"/>
      <c r="BG98" s="1280"/>
      <c r="BH98" s="1280"/>
      <c r="BI98" s="644"/>
      <c r="BJ98" s="644"/>
    </row>
    <row r="99" spans="11:62" ht="14.25" hidden="1" customHeight="1">
      <c r="K99" s="2815" t="s">
        <v>188</v>
      </c>
      <c r="L99" s="2816"/>
      <c r="M99" s="2816"/>
      <c r="N99" s="2816"/>
      <c r="O99" s="2816"/>
      <c r="P99" s="2816"/>
      <c r="Q99" s="2816"/>
      <c r="R99" s="2816"/>
      <c r="S99" s="2817"/>
      <c r="T99" s="1356"/>
      <c r="U99" s="2815" t="s">
        <v>189</v>
      </c>
      <c r="V99" s="2816"/>
      <c r="W99" s="2816"/>
      <c r="X99" s="2816"/>
      <c r="Y99" s="2816"/>
      <c r="Z99" s="2816"/>
      <c r="AA99" s="2816"/>
      <c r="AB99" s="2816"/>
      <c r="AC99" s="2817"/>
      <c r="AD99" s="1356"/>
      <c r="AE99" s="1437"/>
      <c r="AF99" s="1437"/>
      <c r="AG99" s="1437"/>
      <c r="AH99" s="1437"/>
      <c r="AI99" s="1437"/>
      <c r="AJ99" s="1280"/>
      <c r="AK99" s="1280"/>
      <c r="AL99" s="1280"/>
      <c r="AM99" s="1280"/>
      <c r="AN99" s="1280"/>
      <c r="AO99" s="1280"/>
      <c r="AP99" s="1280"/>
      <c r="AQ99" s="1280"/>
      <c r="AR99" s="1280"/>
      <c r="AS99" s="1280"/>
      <c r="AT99" s="1280"/>
      <c r="AU99" s="1280"/>
      <c r="AV99" s="1280"/>
      <c r="AW99" s="1280"/>
      <c r="AX99" s="1280"/>
      <c r="AY99" s="1280"/>
      <c r="AZ99" s="1280"/>
      <c r="BA99" s="1280"/>
      <c r="BB99" s="1280"/>
      <c r="BC99" s="1280"/>
      <c r="BD99" s="1280"/>
      <c r="BE99" s="1280"/>
      <c r="BF99" s="1280"/>
      <c r="BG99" s="1280"/>
      <c r="BH99" s="1280"/>
      <c r="BI99" s="644"/>
      <c r="BJ99" s="644"/>
    </row>
    <row r="100" spans="11:62" ht="14.25" hidden="1" customHeight="1">
      <c r="K100" s="1359" t="s">
        <v>1</v>
      </c>
      <c r="L100" s="2818">
        <v>160</v>
      </c>
      <c r="M100" s="2820">
        <v>200</v>
      </c>
      <c r="N100" s="2820">
        <v>260</v>
      </c>
      <c r="O100" s="2820">
        <v>300</v>
      </c>
      <c r="P100" s="2820"/>
      <c r="Q100" s="2820">
        <v>360</v>
      </c>
      <c r="R100" s="2820">
        <v>400</v>
      </c>
      <c r="S100" s="2822"/>
      <c r="T100" s="1356"/>
      <c r="U100" s="1359" t="s">
        <v>1</v>
      </c>
      <c r="V100" s="2818">
        <v>160</v>
      </c>
      <c r="W100" s="2820">
        <v>200</v>
      </c>
      <c r="X100" s="2820">
        <v>260</v>
      </c>
      <c r="Y100" s="2820">
        <v>300</v>
      </c>
      <c r="Z100" s="2820"/>
      <c r="AA100" s="2820">
        <v>360</v>
      </c>
      <c r="AB100" s="2820">
        <v>400</v>
      </c>
      <c r="AC100" s="2822"/>
      <c r="AD100" s="1356"/>
      <c r="AE100" s="2831" t="s">
        <v>284</v>
      </c>
      <c r="AF100" s="2832"/>
      <c r="AG100" s="2832"/>
      <c r="AH100" s="2833"/>
      <c r="AI100" s="1442" t="s">
        <v>0</v>
      </c>
      <c r="AJ100" s="1280"/>
      <c r="AK100" s="1280"/>
      <c r="AL100" s="1280"/>
      <c r="AM100" s="1280"/>
      <c r="AN100" s="1280"/>
      <c r="AO100" s="1280"/>
      <c r="AP100" s="1280"/>
      <c r="AQ100" s="1280"/>
      <c r="AR100" s="1280"/>
      <c r="AS100" s="1280"/>
      <c r="AT100" s="1280"/>
      <c r="AU100" s="1280"/>
      <c r="AV100" s="1280"/>
      <c r="AW100" s="1280"/>
      <c r="AX100" s="1280"/>
      <c r="AY100" s="1280"/>
      <c r="AZ100" s="1280"/>
      <c r="BA100" s="1280"/>
      <c r="BB100" s="1280"/>
      <c r="BC100" s="1280"/>
      <c r="BD100" s="1280"/>
      <c r="BE100" s="1280"/>
      <c r="BF100" s="1280"/>
      <c r="BG100" s="1280"/>
      <c r="BH100" s="1280"/>
      <c r="BI100" s="644"/>
      <c r="BJ100" s="644"/>
    </row>
    <row r="101" spans="11:62" ht="14.25" hidden="1" customHeight="1">
      <c r="K101" s="1362" t="s">
        <v>0</v>
      </c>
      <c r="L101" s="2819"/>
      <c r="M101" s="2821"/>
      <c r="N101" s="2821"/>
      <c r="O101" s="1859">
        <v>2</v>
      </c>
      <c r="P101" s="1859">
        <v>4</v>
      </c>
      <c r="Q101" s="2821"/>
      <c r="R101" s="1859">
        <v>1</v>
      </c>
      <c r="S101" s="1363">
        <v>2</v>
      </c>
      <c r="T101" s="1356"/>
      <c r="U101" s="1362" t="s">
        <v>0</v>
      </c>
      <c r="V101" s="2819"/>
      <c r="W101" s="2821"/>
      <c r="X101" s="2821"/>
      <c r="Y101" s="1859">
        <v>1</v>
      </c>
      <c r="Z101" s="1859">
        <v>2</v>
      </c>
      <c r="AA101" s="2821"/>
      <c r="AB101" s="1859">
        <v>1</v>
      </c>
      <c r="AC101" s="1363">
        <v>2</v>
      </c>
      <c r="AD101" s="1356"/>
      <c r="AE101" s="1365">
        <v>0</v>
      </c>
      <c r="AF101" s="1366">
        <v>1</v>
      </c>
      <c r="AG101" s="1366">
        <v>2</v>
      </c>
      <c r="AH101" s="1367">
        <v>3</v>
      </c>
      <c r="AI101" s="1368" t="s">
        <v>285</v>
      </c>
      <c r="AJ101" s="1280"/>
      <c r="AK101" s="1280"/>
      <c r="AL101" s="1280"/>
      <c r="AM101" s="1280"/>
      <c r="AN101" s="1280"/>
      <c r="AO101" s="1280"/>
      <c r="AP101" s="1280"/>
      <c r="AQ101" s="1280"/>
      <c r="AR101" s="1280"/>
      <c r="AS101" s="1280"/>
      <c r="AT101" s="1280"/>
      <c r="AU101" s="1280"/>
      <c r="AV101" s="1280"/>
      <c r="AW101" s="1280"/>
      <c r="AX101" s="1280"/>
      <c r="AY101" s="1280"/>
      <c r="AZ101" s="1280"/>
      <c r="BA101" s="1280"/>
      <c r="BB101" s="1280"/>
      <c r="BC101" s="1280"/>
      <c r="BD101" s="1280"/>
      <c r="BE101" s="1280"/>
      <c r="BF101" s="1280"/>
      <c r="BG101" s="1280"/>
      <c r="BH101" s="1280"/>
      <c r="BI101" s="644"/>
      <c r="BJ101" s="644"/>
    </row>
    <row r="102" spans="11:62" ht="14.25" hidden="1" customHeight="1">
      <c r="K102" s="1369">
        <v>65</v>
      </c>
      <c r="L102" s="1443" t="s">
        <v>286</v>
      </c>
      <c r="M102" s="1444" t="s">
        <v>286</v>
      </c>
      <c r="N102" s="1444">
        <f>N104*0.71</f>
        <v>237.708</v>
      </c>
      <c r="O102" s="1444">
        <f>O104*0.71</f>
        <v>263.26799999999997</v>
      </c>
      <c r="P102" s="1444" t="s">
        <v>286</v>
      </c>
      <c r="Q102" s="1444">
        <f>Q104*0.71</f>
        <v>367.21199999999993</v>
      </c>
      <c r="R102" s="1444">
        <f>R104*0.71</f>
        <v>394.476</v>
      </c>
      <c r="S102" s="1445" t="s">
        <v>286</v>
      </c>
      <c r="T102" s="1356"/>
      <c r="U102" s="1369">
        <v>65</v>
      </c>
      <c r="V102" s="1446" t="s">
        <v>286</v>
      </c>
      <c r="W102" s="1447" t="s">
        <v>286</v>
      </c>
      <c r="X102" s="1448">
        <v>1.7</v>
      </c>
      <c r="Y102" s="1448">
        <v>1.65</v>
      </c>
      <c r="Z102" s="1447" t="s">
        <v>286</v>
      </c>
      <c r="AA102" s="1448">
        <v>1.6</v>
      </c>
      <c r="AB102" s="1448">
        <v>1.55</v>
      </c>
      <c r="AC102" s="1449" t="s">
        <v>286</v>
      </c>
      <c r="AD102" s="1356"/>
      <c r="AE102" s="1450">
        <v>1</v>
      </c>
      <c r="AF102" s="1378">
        <v>5.12</v>
      </c>
      <c r="AG102" s="1378">
        <v>5.66</v>
      </c>
      <c r="AH102" s="1379">
        <v>6.53</v>
      </c>
      <c r="AI102" s="1369">
        <v>65</v>
      </c>
      <c r="AJ102" s="1280"/>
      <c r="AK102" s="1280"/>
      <c r="AL102" s="1280"/>
      <c r="AM102" s="1280"/>
      <c r="AN102" s="1280"/>
      <c r="AO102" s="1280"/>
      <c r="AP102" s="1280"/>
      <c r="AQ102" s="1280"/>
      <c r="AR102" s="1280"/>
      <c r="AS102" s="1280"/>
      <c r="AT102" s="1280"/>
      <c r="AU102" s="1280"/>
      <c r="AV102" s="1280"/>
      <c r="AW102" s="1280"/>
      <c r="AX102" s="1280"/>
      <c r="AY102" s="1280"/>
      <c r="AZ102" s="1280"/>
      <c r="BA102" s="1280"/>
      <c r="BB102" s="1280"/>
      <c r="BC102" s="1280"/>
      <c r="BD102" s="1280"/>
      <c r="BE102" s="1280"/>
      <c r="BF102" s="1280"/>
      <c r="BG102" s="1280"/>
      <c r="BH102" s="1280"/>
      <c r="BI102" s="644"/>
      <c r="BJ102" s="644"/>
    </row>
    <row r="103" spans="11:62" ht="14.25" hidden="1" customHeight="1">
      <c r="K103" s="1380">
        <v>70</v>
      </c>
      <c r="L103" s="1451" t="s">
        <v>286</v>
      </c>
      <c r="M103" s="1452" t="s">
        <v>286</v>
      </c>
      <c r="N103" s="1452">
        <f>N105*0.71</f>
        <v>292.17635999999999</v>
      </c>
      <c r="O103" s="1452">
        <f>O105*0.71</f>
        <v>323.02727999999996</v>
      </c>
      <c r="P103" s="1452" t="s">
        <v>286</v>
      </c>
      <c r="Q103" s="1452">
        <f>Q105*0.71</f>
        <v>432.68056460609114</v>
      </c>
      <c r="R103" s="1452">
        <f>R105*0.71</f>
        <v>471.83759999999995</v>
      </c>
      <c r="S103" s="1453" t="s">
        <v>286</v>
      </c>
      <c r="T103" s="1356"/>
      <c r="U103" s="1380">
        <v>70</v>
      </c>
      <c r="V103" s="1454" t="s">
        <v>286</v>
      </c>
      <c r="W103" s="1455" t="s">
        <v>286</v>
      </c>
      <c r="X103" s="1456">
        <v>1.65</v>
      </c>
      <c r="Y103" s="1456">
        <v>1.6</v>
      </c>
      <c r="Z103" s="1455" t="s">
        <v>286</v>
      </c>
      <c r="AA103" s="1456">
        <v>1.55</v>
      </c>
      <c r="AB103" s="1456">
        <v>1.5</v>
      </c>
      <c r="AC103" s="1457" t="s">
        <v>286</v>
      </c>
      <c r="AD103" s="1356"/>
      <c r="AE103" s="1458">
        <v>1</v>
      </c>
      <c r="AF103" s="1389">
        <v>5.12</v>
      </c>
      <c r="AG103" s="1389">
        <v>5.66</v>
      </c>
      <c r="AH103" s="1390">
        <v>6.53</v>
      </c>
      <c r="AI103" s="1380">
        <v>70</v>
      </c>
      <c r="AJ103" s="1280"/>
      <c r="AK103" s="1280"/>
      <c r="AL103" s="1280"/>
      <c r="AM103" s="1280"/>
      <c r="AN103" s="1280"/>
      <c r="AO103" s="1280"/>
      <c r="AP103" s="1280"/>
      <c r="AQ103" s="1280"/>
      <c r="AR103" s="1280"/>
      <c r="AS103" s="1280"/>
      <c r="AT103" s="1280"/>
      <c r="AU103" s="1280"/>
      <c r="AV103" s="1280"/>
      <c r="AW103" s="1280"/>
      <c r="AX103" s="1280"/>
      <c r="AY103" s="1280"/>
      <c r="AZ103" s="1280"/>
      <c r="BA103" s="1280"/>
      <c r="BB103" s="1280"/>
      <c r="BC103" s="1280"/>
      <c r="BD103" s="1280"/>
      <c r="BE103" s="1280"/>
      <c r="BF103" s="1280"/>
      <c r="BG103" s="1280"/>
      <c r="BH103" s="1280"/>
      <c r="BI103" s="644"/>
      <c r="BJ103" s="644"/>
    </row>
    <row r="104" spans="11:62" ht="14.25" hidden="1" customHeight="1">
      <c r="K104" s="1380">
        <v>75</v>
      </c>
      <c r="L104" s="1459">
        <f>M104*0.9</f>
        <v>233.87400000000002</v>
      </c>
      <c r="M104" s="1460">
        <f>M106*0.71</f>
        <v>259.86</v>
      </c>
      <c r="N104" s="1460">
        <f>279*1.2</f>
        <v>334.8</v>
      </c>
      <c r="O104" s="1460">
        <f>309*1.2</f>
        <v>370.8</v>
      </c>
      <c r="P104" s="1460">
        <v>0</v>
      </c>
      <c r="Q104" s="1460">
        <f>431*1.2</f>
        <v>517.19999999999993</v>
      </c>
      <c r="R104" s="1460">
        <f>463*1.2</f>
        <v>555.6</v>
      </c>
      <c r="S104" s="1461">
        <v>0</v>
      </c>
      <c r="T104" s="1356"/>
      <c r="U104" s="1380">
        <v>75</v>
      </c>
      <c r="V104" s="1462">
        <v>1.7</v>
      </c>
      <c r="W104" s="1463">
        <v>1.65</v>
      </c>
      <c r="X104" s="1463">
        <v>1.6</v>
      </c>
      <c r="Y104" s="1463">
        <v>1.55</v>
      </c>
      <c r="Z104" s="1463">
        <v>1.55</v>
      </c>
      <c r="AA104" s="1463">
        <v>1.5</v>
      </c>
      <c r="AB104" s="1463">
        <v>1.45</v>
      </c>
      <c r="AC104" s="1464">
        <v>1.45</v>
      </c>
      <c r="AD104" s="1356"/>
      <c r="AE104" s="1465">
        <v>1</v>
      </c>
      <c r="AF104" s="1398">
        <v>4.5999999999999996</v>
      </c>
      <c r="AG104" s="1398">
        <v>5</v>
      </c>
      <c r="AH104" s="1399">
        <v>6.53</v>
      </c>
      <c r="AI104" s="1380">
        <v>75</v>
      </c>
      <c r="AJ104" s="1280"/>
      <c r="AK104" s="1280"/>
      <c r="AL104" s="1280"/>
      <c r="AM104" s="1280"/>
      <c r="AN104" s="1280"/>
      <c r="AO104" s="1280"/>
      <c r="AP104" s="1280"/>
      <c r="AQ104" s="1280"/>
      <c r="AR104" s="1280"/>
      <c r="AS104" s="1280"/>
      <c r="AT104" s="1280"/>
      <c r="AU104" s="1280"/>
      <c r="AV104" s="1280"/>
      <c r="AW104" s="1280"/>
      <c r="AX104" s="1280"/>
      <c r="AY104" s="1280"/>
      <c r="AZ104" s="1280"/>
      <c r="BA104" s="1280"/>
      <c r="BB104" s="1280"/>
      <c r="BC104" s="1280"/>
      <c r="BD104" s="1280"/>
      <c r="BE104" s="1280"/>
      <c r="BF104" s="1280"/>
      <c r="BG104" s="1280"/>
      <c r="BH104" s="1280"/>
      <c r="BI104" s="644"/>
      <c r="BJ104" s="644"/>
    </row>
    <row r="105" spans="11:62" ht="14.25" hidden="1" customHeight="1">
      <c r="K105" s="1380">
        <v>80</v>
      </c>
      <c r="L105" s="1466" t="s">
        <v>286</v>
      </c>
      <c r="M105" s="1467" t="s">
        <v>286</v>
      </c>
      <c r="N105" s="1468">
        <f>N107*0.71</f>
        <v>411.51600000000002</v>
      </c>
      <c r="O105" s="1468">
        <f>O107*0.71</f>
        <v>454.96799999999996</v>
      </c>
      <c r="P105" s="1467" t="s">
        <v>286</v>
      </c>
      <c r="Q105" s="1468">
        <f>Q107*0.71</f>
        <v>609.40924592407202</v>
      </c>
      <c r="R105" s="1468">
        <f>R107*0.71</f>
        <v>664.56</v>
      </c>
      <c r="S105" s="1469" t="s">
        <v>286</v>
      </c>
      <c r="T105" s="1356"/>
      <c r="U105" s="1380">
        <v>80</v>
      </c>
      <c r="V105" s="1470" t="s">
        <v>286</v>
      </c>
      <c r="W105" s="1471" t="s">
        <v>286</v>
      </c>
      <c r="X105" s="1472">
        <v>1.55</v>
      </c>
      <c r="Y105" s="1472">
        <v>1.5</v>
      </c>
      <c r="Z105" s="1471" t="s">
        <v>286</v>
      </c>
      <c r="AA105" s="1472">
        <v>1.45</v>
      </c>
      <c r="AB105" s="1472">
        <v>1.4</v>
      </c>
      <c r="AC105" s="1473" t="s">
        <v>286</v>
      </c>
      <c r="AD105" s="1356"/>
      <c r="AE105" s="1474">
        <v>1</v>
      </c>
      <c r="AF105" s="1403">
        <v>3.92</v>
      </c>
      <c r="AG105" s="1403">
        <v>4.5</v>
      </c>
      <c r="AH105" s="1404">
        <v>5.6</v>
      </c>
      <c r="AI105" s="1380">
        <v>80</v>
      </c>
      <c r="AJ105" s="1280"/>
      <c r="AK105" s="1280"/>
      <c r="AL105" s="1280"/>
      <c r="AM105" s="1280"/>
      <c r="AN105" s="1280"/>
      <c r="AO105" s="1280"/>
      <c r="AP105" s="1280"/>
      <c r="AQ105" s="1280"/>
      <c r="AR105" s="1280"/>
      <c r="AS105" s="1280"/>
      <c r="AT105" s="1280"/>
      <c r="AU105" s="1280"/>
      <c r="AV105" s="1280"/>
      <c r="AW105" s="1280"/>
      <c r="AX105" s="1280"/>
      <c r="AY105" s="1280"/>
      <c r="AZ105" s="1280"/>
      <c r="BA105" s="1280"/>
      <c r="BB105" s="1280"/>
      <c r="BC105" s="1280"/>
      <c r="BD105" s="1280"/>
      <c r="BE105" s="1280"/>
      <c r="BF105" s="1280"/>
      <c r="BG105" s="1280"/>
      <c r="BH105" s="1280"/>
      <c r="BI105" s="644"/>
      <c r="BJ105" s="644"/>
    </row>
    <row r="106" spans="11:62" ht="14.25" hidden="1" customHeight="1">
      <c r="K106" s="1380">
        <v>90</v>
      </c>
      <c r="L106" s="1405">
        <f>M106*0.89</f>
        <v>325.74</v>
      </c>
      <c r="M106" s="1475">
        <f>305*1.2</f>
        <v>366</v>
      </c>
      <c r="N106" s="1475">
        <f>404*1.2</f>
        <v>484.79999999999995</v>
      </c>
      <c r="O106" s="1475">
        <f>469*1.2</f>
        <v>562.79999999999995</v>
      </c>
      <c r="P106" s="1475">
        <v>0</v>
      </c>
      <c r="Q106" s="1476">
        <f>582*1.2</f>
        <v>698.4</v>
      </c>
      <c r="R106" s="1476">
        <f>644*1.2</f>
        <v>772.8</v>
      </c>
      <c r="S106" s="1477">
        <v>0</v>
      </c>
      <c r="T106" s="1356"/>
      <c r="U106" s="1380">
        <v>90</v>
      </c>
      <c r="V106" s="1406">
        <v>1.6</v>
      </c>
      <c r="W106" s="1407">
        <v>1.55</v>
      </c>
      <c r="X106" s="1407">
        <v>1.5</v>
      </c>
      <c r="Y106" s="1407">
        <v>1.45</v>
      </c>
      <c r="Z106" s="1407">
        <v>1.45</v>
      </c>
      <c r="AA106" s="1407">
        <v>1.4</v>
      </c>
      <c r="AB106" s="1407">
        <v>1.3</v>
      </c>
      <c r="AC106" s="1408">
        <v>1.3</v>
      </c>
      <c r="AD106" s="1356"/>
      <c r="AE106" s="1478">
        <v>1</v>
      </c>
      <c r="AF106" s="1410">
        <v>3.51</v>
      </c>
      <c r="AG106" s="1410">
        <v>3.96</v>
      </c>
      <c r="AH106" s="1411">
        <v>4.93</v>
      </c>
      <c r="AI106" s="1380">
        <v>90</v>
      </c>
      <c r="AJ106" s="1280"/>
      <c r="AK106" s="1280"/>
      <c r="AL106" s="1280"/>
      <c r="AM106" s="1280"/>
      <c r="AN106" s="1280"/>
      <c r="AO106" s="1280"/>
      <c r="AP106" s="1280"/>
      <c r="AQ106" s="1280"/>
      <c r="AR106" s="1280"/>
      <c r="AS106" s="1280"/>
      <c r="AT106" s="1280"/>
      <c r="AU106" s="1280"/>
      <c r="AV106" s="1280"/>
      <c r="AW106" s="1280"/>
      <c r="AX106" s="1280"/>
      <c r="AY106" s="1280"/>
      <c r="AZ106" s="1280"/>
      <c r="BA106" s="1280"/>
      <c r="BB106" s="1280"/>
      <c r="BC106" s="1280"/>
      <c r="BD106" s="1280"/>
      <c r="BE106" s="1280"/>
      <c r="BF106" s="1280"/>
      <c r="BG106" s="1280"/>
      <c r="BH106" s="1280"/>
      <c r="BI106" s="644"/>
      <c r="BJ106" s="644"/>
    </row>
    <row r="107" spans="11:62" ht="14.25" hidden="1" customHeight="1">
      <c r="K107" s="1380">
        <v>110</v>
      </c>
      <c r="L107" s="1412">
        <f>M107*0.88</f>
        <v>403.91665015679996</v>
      </c>
      <c r="M107" s="1479">
        <f>M106*1.25408796</f>
        <v>458.99619335999995</v>
      </c>
      <c r="N107" s="1479">
        <f>483*1.2</f>
        <v>579.6</v>
      </c>
      <c r="O107" s="1479">
        <f>534*1.2</f>
        <v>640.79999999999995</v>
      </c>
      <c r="P107" s="1479">
        <v>0</v>
      </c>
      <c r="Q107" s="1480">
        <f>M107*1.87</f>
        <v>858.3228815832</v>
      </c>
      <c r="R107" s="1480">
        <f>780*1.2</f>
        <v>936</v>
      </c>
      <c r="S107" s="1481">
        <v>0</v>
      </c>
      <c r="T107" s="1356"/>
      <c r="U107" s="1380">
        <v>110</v>
      </c>
      <c r="V107" s="1413">
        <v>1.5</v>
      </c>
      <c r="W107" s="1414">
        <v>1.3</v>
      </c>
      <c r="X107" s="1414">
        <v>1.3</v>
      </c>
      <c r="Y107" s="1414">
        <v>1.3</v>
      </c>
      <c r="Z107" s="1414">
        <v>1.3</v>
      </c>
      <c r="AA107" s="1414">
        <v>1.3</v>
      </c>
      <c r="AB107" s="1414">
        <v>1.3</v>
      </c>
      <c r="AC107" s="1415">
        <v>1.3</v>
      </c>
      <c r="AD107" s="1356"/>
      <c r="AE107" s="1482">
        <v>1</v>
      </c>
      <c r="AF107" s="1417">
        <v>3.41</v>
      </c>
      <c r="AG107" s="1417">
        <v>3.96</v>
      </c>
      <c r="AH107" s="1418">
        <v>4.93</v>
      </c>
      <c r="AI107" s="1380">
        <v>110</v>
      </c>
      <c r="AJ107" s="1280"/>
      <c r="AK107" s="1280"/>
      <c r="AL107" s="1280"/>
      <c r="AM107" s="1280"/>
      <c r="AN107" s="1280"/>
      <c r="AO107" s="1280"/>
      <c r="AP107" s="1280"/>
      <c r="AQ107" s="1280"/>
      <c r="AR107" s="1280"/>
      <c r="AS107" s="1280"/>
      <c r="AT107" s="1280"/>
      <c r="AU107" s="1280"/>
      <c r="AV107" s="1280"/>
      <c r="AW107" s="1280"/>
      <c r="AX107" s="1280"/>
      <c r="AY107" s="1280"/>
      <c r="AZ107" s="1280"/>
      <c r="BA107" s="1280"/>
      <c r="BB107" s="1280"/>
      <c r="BC107" s="1280"/>
      <c r="BD107" s="1280"/>
      <c r="BE107" s="1280"/>
      <c r="BF107" s="1280"/>
      <c r="BG107" s="1280"/>
      <c r="BH107" s="1280"/>
      <c r="BI107" s="644"/>
      <c r="BJ107" s="644"/>
    </row>
    <row r="108" spans="11:62" ht="14.25" hidden="1" customHeight="1">
      <c r="K108" s="1380">
        <v>150</v>
      </c>
      <c r="L108" s="1419">
        <f>365*1.2</f>
        <v>438</v>
      </c>
      <c r="M108" s="1483">
        <f>1.2*459</f>
        <v>550.79999999999995</v>
      </c>
      <c r="N108" s="1484">
        <f>763*1*IF((C5-C6)&gt;=0,1,1.9)*1.3</f>
        <v>991.9</v>
      </c>
      <c r="O108" s="1483">
        <v>0</v>
      </c>
      <c r="P108" s="1484">
        <f>791*1.1*IF((C5-C6)&gt;=0,1,2.175)*1.3</f>
        <v>1131.1300000000001</v>
      </c>
      <c r="Q108" s="1485">
        <f>962*1.2</f>
        <v>1154.3999999999999</v>
      </c>
      <c r="R108" s="1485">
        <f>1034*1.2</f>
        <v>1240.8</v>
      </c>
      <c r="S108" s="1486">
        <v>0</v>
      </c>
      <c r="T108" s="1356"/>
      <c r="U108" s="1380">
        <v>150</v>
      </c>
      <c r="V108" s="1420">
        <v>1.4</v>
      </c>
      <c r="W108" s="1421">
        <v>1.35</v>
      </c>
      <c r="X108" s="1421">
        <v>1.32</v>
      </c>
      <c r="Y108" s="1421"/>
      <c r="Z108" s="1421">
        <v>1.3</v>
      </c>
      <c r="AA108" s="1421">
        <v>1.28</v>
      </c>
      <c r="AB108" s="1421"/>
      <c r="AC108" s="1422">
        <v>1.25</v>
      </c>
      <c r="AD108" s="1356"/>
      <c r="AE108" s="1487">
        <v>1</v>
      </c>
      <c r="AF108" s="1424">
        <v>3.41</v>
      </c>
      <c r="AG108" s="1424">
        <v>3.96</v>
      </c>
      <c r="AH108" s="1425">
        <v>4.93</v>
      </c>
      <c r="AI108" s="1380">
        <v>150</v>
      </c>
      <c r="AJ108" s="1280"/>
      <c r="AK108" s="1280"/>
      <c r="AL108" s="1280"/>
      <c r="AM108" s="1280"/>
      <c r="AN108" s="1280"/>
      <c r="AO108" s="1280"/>
      <c r="AP108" s="1280"/>
      <c r="AQ108" s="1280"/>
      <c r="AR108" s="1280"/>
      <c r="AS108" s="1280"/>
      <c r="AT108" s="1280"/>
      <c r="AU108" s="1280"/>
      <c r="AV108" s="1280"/>
      <c r="AW108" s="1280"/>
      <c r="AX108" s="1280"/>
      <c r="AY108" s="1280"/>
      <c r="AZ108" s="1280"/>
      <c r="BA108" s="1280"/>
      <c r="BB108" s="1280"/>
      <c r="BC108" s="1280"/>
      <c r="BD108" s="1280"/>
      <c r="BE108" s="1280"/>
      <c r="BF108" s="1280"/>
      <c r="BG108" s="1280"/>
      <c r="BH108" s="1280"/>
      <c r="BI108" s="644"/>
      <c r="BJ108" s="644"/>
    </row>
    <row r="109" spans="11:62" ht="14.25" hidden="1" customHeight="1">
      <c r="K109" s="1380">
        <v>200</v>
      </c>
      <c r="L109" s="1426">
        <f>M109*0.88</f>
        <v>607.86145056383987</v>
      </c>
      <c r="M109" s="1488">
        <f>M108*1.25408796</f>
        <v>690.75164836799991</v>
      </c>
      <c r="N109" s="1488">
        <f>M109*1.26352614</f>
        <v>872.78276396105616</v>
      </c>
      <c r="O109" s="1488">
        <f>N109*1.07113641</f>
        <v>934.86939649912313</v>
      </c>
      <c r="P109" s="1488">
        <f>P108*1.24695214</f>
        <v>1410.4649741182002</v>
      </c>
      <c r="Q109" s="1488">
        <f>M109*1.87</f>
        <v>1291.7055824481599</v>
      </c>
      <c r="R109" s="1488">
        <f>M109*1.95542361</f>
        <v>1350.7120818652049</v>
      </c>
      <c r="S109" s="1489">
        <f>S108*1.12435712</f>
        <v>0</v>
      </c>
      <c r="T109" s="1356"/>
      <c r="U109" s="1380">
        <v>200</v>
      </c>
      <c r="V109" s="1427"/>
      <c r="W109" s="1428"/>
      <c r="X109" s="1428"/>
      <c r="Y109" s="1428"/>
      <c r="Z109" s="1428"/>
      <c r="AA109" s="1428"/>
      <c r="AB109" s="1428"/>
      <c r="AC109" s="1429"/>
      <c r="AD109" s="1356"/>
      <c r="AE109" s="1487">
        <v>1</v>
      </c>
      <c r="AF109" s="1424">
        <v>2.73</v>
      </c>
      <c r="AG109" s="1424">
        <v>3.11</v>
      </c>
      <c r="AH109" s="1425">
        <v>3.89</v>
      </c>
      <c r="AI109" s="1380">
        <v>150.16</v>
      </c>
      <c r="AJ109" s="1280"/>
      <c r="AK109" s="1280"/>
      <c r="AL109" s="1280"/>
      <c r="AM109" s="1280"/>
      <c r="AN109" s="1280"/>
      <c r="AO109" s="1280"/>
      <c r="AP109" s="1280"/>
      <c r="AQ109" s="1280"/>
      <c r="AR109" s="1280"/>
      <c r="AS109" s="1280"/>
      <c r="AT109" s="1280"/>
      <c r="AU109" s="1280"/>
      <c r="AV109" s="1280"/>
      <c r="AW109" s="1280"/>
      <c r="AX109" s="1280"/>
      <c r="AY109" s="1280"/>
      <c r="AZ109" s="1280"/>
      <c r="BA109" s="1280"/>
      <c r="BB109" s="1280"/>
      <c r="BC109" s="1280"/>
      <c r="BD109" s="1280"/>
      <c r="BE109" s="1280"/>
      <c r="BF109" s="1280"/>
      <c r="BG109" s="1280"/>
      <c r="BH109" s="1280"/>
      <c r="BI109" s="644"/>
      <c r="BJ109" s="644"/>
    </row>
    <row r="110" spans="11:62" ht="14.25" hidden="1" customHeight="1">
      <c r="K110" s="1380">
        <v>300</v>
      </c>
      <c r="L110" s="1490">
        <f>M110*0.88</f>
        <v>762.31172650024678</v>
      </c>
      <c r="M110" s="1491">
        <f>M109*1.25408796</f>
        <v>866.26332556846228</v>
      </c>
      <c r="N110" s="1491">
        <f>M110*1.26352614</f>
        <v>1094.5463559790824</v>
      </c>
      <c r="O110" s="1491">
        <f>N110*1.07113641</f>
        <v>1172.4084543220163</v>
      </c>
      <c r="P110" s="1491">
        <f>P109*1.24695214</f>
        <v>1758.7823178717344</v>
      </c>
      <c r="Q110" s="1491">
        <f>M110*1.87</f>
        <v>1619.9124188130245</v>
      </c>
      <c r="R110" s="1491">
        <f>M110*1.95542361</f>
        <v>1693.9117592936877</v>
      </c>
      <c r="S110" s="1492">
        <f>S109*1.12435712</f>
        <v>0</v>
      </c>
      <c r="T110" s="1356"/>
      <c r="U110" s="1380">
        <v>300</v>
      </c>
      <c r="V110" s="1493"/>
      <c r="W110" s="1494"/>
      <c r="X110" s="1494"/>
      <c r="Y110" s="1494"/>
      <c r="Z110" s="1494"/>
      <c r="AA110" s="1494"/>
      <c r="AB110" s="1494"/>
      <c r="AC110" s="1495"/>
      <c r="AD110" s="1356"/>
      <c r="AE110" s="1487">
        <v>1</v>
      </c>
      <c r="AF110" s="1421">
        <v>2.73</v>
      </c>
      <c r="AG110" s="1421">
        <v>2.83</v>
      </c>
      <c r="AH110" s="1430">
        <v>3.66</v>
      </c>
      <c r="AI110" s="1431" t="s">
        <v>287</v>
      </c>
      <c r="AJ110" s="1280"/>
      <c r="AK110" s="1280"/>
      <c r="AL110" s="1280"/>
      <c r="AM110" s="1280"/>
      <c r="AN110" s="1280"/>
      <c r="AO110" s="1280"/>
      <c r="AP110" s="1280"/>
      <c r="AQ110" s="1280"/>
      <c r="AR110" s="1280"/>
      <c r="AS110" s="1280"/>
      <c r="AT110" s="1280"/>
      <c r="AU110" s="1280"/>
      <c r="AV110" s="1280"/>
      <c r="AW110" s="1280"/>
      <c r="AX110" s="1280"/>
      <c r="AY110" s="1280"/>
      <c r="AZ110" s="1280"/>
      <c r="BA110" s="1280"/>
      <c r="BB110" s="1280"/>
      <c r="BC110" s="1280"/>
      <c r="BD110" s="1280"/>
      <c r="BE110" s="1280"/>
      <c r="BF110" s="1280"/>
      <c r="BG110" s="1280"/>
      <c r="BH110" s="1280"/>
      <c r="BI110" s="644"/>
      <c r="BJ110" s="644"/>
    </row>
    <row r="111" spans="11:62" ht="14.25" hidden="1" customHeight="1">
      <c r="K111" s="1380">
        <v>400</v>
      </c>
      <c r="L111" s="1496">
        <f>M111*0.88</f>
        <v>956.00595797077233</v>
      </c>
      <c r="M111" s="1497">
        <f>M110*1.25408796</f>
        <v>1086.3704067849685</v>
      </c>
      <c r="N111" s="1497">
        <f>M111*1.26352614</f>
        <v>1372.657406695241</v>
      </c>
      <c r="O111" s="1497">
        <f>N111*1.07113641</f>
        <v>1470.3033267674505</v>
      </c>
      <c r="P111" s="1497">
        <f>P110*1.24695214</f>
        <v>2193.1173750643197</v>
      </c>
      <c r="Q111" s="1497">
        <f>M111*1.87</f>
        <v>2031.5126606878912</v>
      </c>
      <c r="R111" s="1497">
        <f>M111*1.95542361</f>
        <v>2124.3143426326315</v>
      </c>
      <c r="S111" s="1498">
        <f>S110*1.12435712</f>
        <v>0</v>
      </c>
      <c r="T111" s="1356"/>
      <c r="U111" s="1380">
        <v>400</v>
      </c>
      <c r="V111" s="1499"/>
      <c r="W111" s="1500"/>
      <c r="X111" s="1500"/>
      <c r="Y111" s="1500"/>
      <c r="Z111" s="1500"/>
      <c r="AA111" s="1500"/>
      <c r="AB111" s="1500"/>
      <c r="AC111" s="1501"/>
      <c r="AD111" s="1356"/>
      <c r="AE111" s="1487">
        <v>1</v>
      </c>
      <c r="AF111" s="1432">
        <v>3.41</v>
      </c>
      <c r="AG111" s="1432">
        <v>3.86</v>
      </c>
      <c r="AH111" s="1433">
        <v>4.63</v>
      </c>
      <c r="AI111" s="1434" t="s">
        <v>289</v>
      </c>
      <c r="AJ111" s="1280"/>
      <c r="AK111" s="1280"/>
      <c r="AL111" s="1280"/>
      <c r="AM111" s="1280"/>
      <c r="AN111" s="1280"/>
      <c r="AO111" s="1280"/>
      <c r="AP111" s="1280"/>
      <c r="AQ111" s="1280"/>
      <c r="AR111" s="1280"/>
      <c r="AS111" s="1280"/>
      <c r="AT111" s="1280"/>
      <c r="AU111" s="1280"/>
      <c r="AV111" s="1280"/>
      <c r="AW111" s="1280"/>
      <c r="AX111" s="1280"/>
      <c r="AY111" s="1280"/>
      <c r="AZ111" s="1280"/>
      <c r="BA111" s="1280"/>
      <c r="BB111" s="1280"/>
      <c r="BC111" s="1280"/>
      <c r="BD111" s="1280"/>
      <c r="BE111" s="1280"/>
      <c r="BF111" s="1280"/>
      <c r="BG111" s="1280"/>
      <c r="BH111" s="1280"/>
      <c r="BI111" s="644"/>
      <c r="BJ111" s="644"/>
    </row>
    <row r="112" spans="11:62" ht="14.25" hidden="1" customHeight="1">
      <c r="K112" s="1380">
        <v>500</v>
      </c>
      <c r="L112" s="1502">
        <f>M112*0.88</f>
        <v>1198.9155615794114</v>
      </c>
      <c r="M112" s="1503">
        <f>M111*1.25408796</f>
        <v>1362.4040472493311</v>
      </c>
      <c r="N112" s="1503">
        <f>M112*1.26352614</f>
        <v>1721.4331269413249</v>
      </c>
      <c r="O112" s="1503">
        <f>N112*1.07113641</f>
        <v>1843.889699647005</v>
      </c>
      <c r="P112" s="1503">
        <f>P111*1.24695214</f>
        <v>2734.7124041076363</v>
      </c>
      <c r="Q112" s="1503">
        <f>M112*1.87</f>
        <v>2547.6955683562492</v>
      </c>
      <c r="R112" s="1503">
        <f>M112*1.95542361</f>
        <v>2664.0770403508977</v>
      </c>
      <c r="S112" s="1504">
        <f>S111*1.12435712</f>
        <v>0</v>
      </c>
      <c r="T112" s="1356"/>
      <c r="U112" s="1380">
        <v>500</v>
      </c>
      <c r="V112" s="1505"/>
      <c r="W112" s="1506"/>
      <c r="X112" s="1506"/>
      <c r="Y112" s="1506"/>
      <c r="Z112" s="1506"/>
      <c r="AA112" s="1506"/>
      <c r="AB112" s="1506"/>
      <c r="AC112" s="1507"/>
      <c r="AD112" s="1356"/>
      <c r="AE112" s="1356"/>
      <c r="AF112" s="1356"/>
      <c r="AG112" s="1356"/>
      <c r="AH112" s="1356"/>
      <c r="AI112" s="1356"/>
      <c r="AJ112" s="1280"/>
      <c r="AK112" s="1280"/>
      <c r="AL112" s="1280"/>
      <c r="AM112" s="1280"/>
      <c r="AN112" s="1280"/>
      <c r="AO112" s="1280"/>
      <c r="AP112" s="1280"/>
      <c r="AQ112" s="1280"/>
      <c r="AR112" s="1280"/>
      <c r="AS112" s="1280"/>
      <c r="AT112" s="1280"/>
      <c r="AU112" s="1280"/>
      <c r="AV112" s="1280"/>
      <c r="AW112" s="1280"/>
      <c r="AX112" s="1280"/>
      <c r="AY112" s="1280"/>
      <c r="AZ112" s="1280"/>
      <c r="BA112" s="1280"/>
      <c r="BB112" s="1280"/>
      <c r="BC112" s="1280"/>
      <c r="BD112" s="1280"/>
      <c r="BE112" s="1280"/>
      <c r="BF112" s="1280"/>
      <c r="BG112" s="1280"/>
      <c r="BH112" s="1280"/>
      <c r="BI112" s="644"/>
      <c r="BJ112" s="644"/>
    </row>
    <row r="113" spans="11:62" ht="14.25" hidden="1" customHeight="1">
      <c r="K113" s="1364">
        <v>600</v>
      </c>
      <c r="L113" s="1508">
        <f>M113*0.88</f>
        <v>1503.5455708333784</v>
      </c>
      <c r="M113" s="1509">
        <f>M112*1.25408796</f>
        <v>1708.5745123106572</v>
      </c>
      <c r="N113" s="1509">
        <f>M113*1.26352614</f>
        <v>2158.828558442267</v>
      </c>
      <c r="O113" s="1509">
        <f>N113*1.07113641</f>
        <v>2312.3998718953253</v>
      </c>
      <c r="P113" s="1509">
        <f>P112*1.24695214</f>
        <v>3410.0554845865622</v>
      </c>
      <c r="Q113" s="1509">
        <f>M113*1.87</f>
        <v>3195.0343380209292</v>
      </c>
      <c r="R113" s="1509">
        <f>M113*1.95542361</f>
        <v>3340.9869408164946</v>
      </c>
      <c r="S113" s="1510">
        <f>S112*1.12435712</f>
        <v>0</v>
      </c>
      <c r="T113" s="1356"/>
      <c r="U113" s="1364">
        <v>600</v>
      </c>
      <c r="V113" s="1511"/>
      <c r="W113" s="1512"/>
      <c r="X113" s="1512"/>
      <c r="Y113" s="1512"/>
      <c r="Z113" s="1512"/>
      <c r="AA113" s="1512"/>
      <c r="AB113" s="1512"/>
      <c r="AC113" s="1513"/>
      <c r="AD113" s="1356"/>
      <c r="AE113" s="1356"/>
      <c r="AF113" s="1356"/>
      <c r="AG113" s="1356"/>
      <c r="AH113" s="1356"/>
      <c r="AI113" s="1356"/>
      <c r="AJ113" s="1280"/>
      <c r="AK113" s="1280"/>
      <c r="AL113" s="1280"/>
      <c r="AM113" s="1280"/>
      <c r="AN113" s="1280"/>
      <c r="AO113" s="1280"/>
      <c r="AP113" s="1280"/>
      <c r="AQ113" s="1280"/>
      <c r="AR113" s="1280"/>
      <c r="AS113" s="1280"/>
      <c r="AT113" s="1280"/>
      <c r="AU113" s="1280"/>
      <c r="AV113" s="1280"/>
      <c r="AW113" s="1280"/>
      <c r="AX113" s="1280"/>
      <c r="AY113" s="1280"/>
      <c r="AZ113" s="1280"/>
      <c r="BA113" s="1280"/>
      <c r="BB113" s="1280"/>
      <c r="BC113" s="1280"/>
      <c r="BD113" s="1280"/>
      <c r="BE113" s="1280"/>
      <c r="BF113" s="1280"/>
      <c r="BG113" s="1280"/>
      <c r="BH113" s="1280"/>
      <c r="BI113" s="644"/>
      <c r="BJ113" s="644"/>
    </row>
    <row r="114" spans="11:62" ht="14.25" hidden="1" customHeight="1">
      <c r="K114" s="1436"/>
      <c r="L114" s="1436"/>
      <c r="M114" s="1439"/>
      <c r="N114" s="1439"/>
      <c r="O114" s="1439"/>
      <c r="P114" s="1439"/>
      <c r="Q114" s="1439"/>
      <c r="R114" s="1439"/>
      <c r="S114" s="1439"/>
      <c r="T114" s="1356"/>
      <c r="U114" s="1440"/>
      <c r="V114" s="1441"/>
      <c r="W114" s="1441"/>
      <c r="X114" s="1441"/>
      <c r="Y114" s="1441"/>
      <c r="Z114" s="1441"/>
      <c r="AA114" s="1441"/>
      <c r="AB114" s="1441"/>
      <c r="AC114" s="1441"/>
      <c r="AD114" s="1356"/>
      <c r="AE114" s="1356"/>
      <c r="AF114" s="1356"/>
      <c r="AG114" s="1356"/>
      <c r="AH114" s="1356"/>
      <c r="AI114" s="1356"/>
      <c r="AJ114" s="1280"/>
      <c r="AK114" s="1280"/>
      <c r="AL114" s="1280"/>
      <c r="AM114" s="1280"/>
      <c r="AN114" s="1280"/>
      <c r="AO114" s="1280"/>
      <c r="AP114" s="1280"/>
      <c r="AQ114" s="1280"/>
      <c r="AR114" s="1280"/>
      <c r="AS114" s="1280"/>
      <c r="AT114" s="1280"/>
      <c r="AU114" s="1280"/>
      <c r="AV114" s="1280"/>
      <c r="AW114" s="1280"/>
      <c r="AX114" s="1280"/>
      <c r="AY114" s="1280"/>
      <c r="AZ114" s="1280"/>
      <c r="BA114" s="1280"/>
      <c r="BB114" s="1280"/>
      <c r="BC114" s="1280"/>
      <c r="BD114" s="1280"/>
      <c r="BE114" s="1280"/>
      <c r="BF114" s="1280"/>
      <c r="BG114" s="1280"/>
      <c r="BH114" s="1280"/>
      <c r="BI114" s="644"/>
      <c r="BJ114" s="644"/>
    </row>
    <row r="115" spans="11:62" ht="14.25" hidden="1" customHeight="1">
      <c r="K115" s="2834" t="s">
        <v>188</v>
      </c>
      <c r="L115" s="2835"/>
      <c r="M115" s="2835"/>
      <c r="N115" s="2835"/>
      <c r="O115" s="2835"/>
      <c r="P115" s="2835"/>
      <c r="Q115" s="2835"/>
      <c r="R115" s="2835"/>
      <c r="S115" s="2836"/>
      <c r="T115" s="1356"/>
      <c r="U115" s="2834" t="s">
        <v>189</v>
      </c>
      <c r="V115" s="2835"/>
      <c r="W115" s="2835"/>
      <c r="X115" s="2835"/>
      <c r="Y115" s="2835"/>
      <c r="Z115" s="2835"/>
      <c r="AA115" s="2835"/>
      <c r="AB115" s="2835"/>
      <c r="AC115" s="2836"/>
      <c r="AD115" s="1356"/>
      <c r="AE115" s="2834" t="s">
        <v>284</v>
      </c>
      <c r="AF115" s="2835"/>
      <c r="AG115" s="2835"/>
      <c r="AH115" s="2836"/>
      <c r="AI115" s="1514" t="s">
        <v>0</v>
      </c>
      <c r="AJ115" s="1280"/>
      <c r="AK115" s="1280"/>
      <c r="AL115" s="1280"/>
      <c r="AM115" s="1280"/>
      <c r="AN115" s="1280"/>
      <c r="AO115" s="1280"/>
      <c r="AP115" s="1280"/>
      <c r="AQ115" s="1280"/>
      <c r="AR115" s="1280"/>
      <c r="AS115" s="1280"/>
      <c r="AT115" s="1280"/>
      <c r="AU115" s="1280"/>
      <c r="AV115" s="1280"/>
      <c r="AW115" s="1280"/>
      <c r="AX115" s="1280"/>
      <c r="AY115" s="1280"/>
      <c r="AZ115" s="1280"/>
      <c r="BA115" s="1280"/>
      <c r="BB115" s="1280"/>
      <c r="BC115" s="1280"/>
      <c r="BD115" s="1280"/>
      <c r="BE115" s="1280"/>
      <c r="BF115" s="1280"/>
      <c r="BG115" s="1280"/>
      <c r="BH115" s="1280"/>
      <c r="BI115" s="644"/>
      <c r="BJ115" s="644"/>
    </row>
    <row r="116" spans="11:62" ht="14.25" hidden="1" customHeight="1">
      <c r="K116" s="1866" t="s">
        <v>1</v>
      </c>
      <c r="L116" s="2829">
        <v>160</v>
      </c>
      <c r="M116" s="2820">
        <v>200</v>
      </c>
      <c r="N116" s="2820">
        <v>260</v>
      </c>
      <c r="O116" s="2820">
        <v>300</v>
      </c>
      <c r="P116" s="2820"/>
      <c r="Q116" s="2820">
        <v>360</v>
      </c>
      <c r="R116" s="2820">
        <v>400</v>
      </c>
      <c r="S116" s="2822"/>
      <c r="T116" s="1356"/>
      <c r="U116" s="1866" t="s">
        <v>1</v>
      </c>
      <c r="V116" s="2829">
        <v>160</v>
      </c>
      <c r="W116" s="2820">
        <v>200</v>
      </c>
      <c r="X116" s="2820">
        <v>260</v>
      </c>
      <c r="Y116" s="2820">
        <v>300</v>
      </c>
      <c r="Z116" s="2820"/>
      <c r="AA116" s="2820">
        <v>360</v>
      </c>
      <c r="AB116" s="2820">
        <v>400</v>
      </c>
      <c r="AC116" s="2822"/>
      <c r="AD116" s="1356"/>
      <c r="AE116" s="1515">
        <v>0</v>
      </c>
      <c r="AF116" s="1516">
        <v>1</v>
      </c>
      <c r="AG116" s="1361">
        <v>2</v>
      </c>
      <c r="AH116" s="1517">
        <v>3</v>
      </c>
      <c r="AI116" s="1518" t="s">
        <v>285</v>
      </c>
      <c r="AJ116" s="1280"/>
      <c r="AK116" s="1280"/>
      <c r="AL116" s="1280"/>
      <c r="AM116" s="1280"/>
      <c r="AN116" s="1280"/>
      <c r="AO116" s="1280"/>
      <c r="AP116" s="1280"/>
      <c r="AQ116" s="1280"/>
      <c r="AR116" s="1280"/>
      <c r="AS116" s="1280"/>
      <c r="AT116" s="1280"/>
      <c r="AU116" s="1280"/>
      <c r="AV116" s="1280"/>
      <c r="AW116" s="1280"/>
      <c r="AX116" s="1280"/>
      <c r="AY116" s="1280"/>
      <c r="AZ116" s="1280"/>
      <c r="BA116" s="1280"/>
      <c r="BB116" s="1280"/>
      <c r="BC116" s="1280"/>
      <c r="BD116" s="1280"/>
      <c r="BE116" s="1280"/>
      <c r="BF116" s="1280"/>
      <c r="BG116" s="1280"/>
      <c r="BH116" s="1280"/>
      <c r="BI116" s="644"/>
      <c r="BJ116" s="644"/>
    </row>
    <row r="117" spans="11:62" ht="14.25" hidden="1" customHeight="1">
      <c r="K117" s="1519" t="s">
        <v>0</v>
      </c>
      <c r="L117" s="2837"/>
      <c r="M117" s="2838"/>
      <c r="N117" s="2839"/>
      <c r="O117" s="1861">
        <v>2</v>
      </c>
      <c r="P117" s="1861">
        <v>4</v>
      </c>
      <c r="Q117" s="2839"/>
      <c r="R117" s="1861">
        <v>1</v>
      </c>
      <c r="S117" s="1520">
        <v>2</v>
      </c>
      <c r="T117" s="1356"/>
      <c r="U117" s="1519" t="s">
        <v>0</v>
      </c>
      <c r="V117" s="2830"/>
      <c r="W117" s="2819"/>
      <c r="X117" s="2821"/>
      <c r="Y117" s="1859">
        <v>1</v>
      </c>
      <c r="Z117" s="1859">
        <v>2</v>
      </c>
      <c r="AA117" s="2821"/>
      <c r="AB117" s="1859">
        <v>1</v>
      </c>
      <c r="AC117" s="1363">
        <v>2</v>
      </c>
      <c r="AD117" s="1356"/>
      <c r="AE117" s="1521">
        <v>1</v>
      </c>
      <c r="AF117" s="1521">
        <v>4.75</v>
      </c>
      <c r="AG117" s="1521">
        <v>5.66</v>
      </c>
      <c r="AH117" s="1521">
        <v>6.53</v>
      </c>
      <c r="AI117" s="1521">
        <v>75</v>
      </c>
      <c r="AJ117" s="1280"/>
      <c r="AK117" s="1280"/>
      <c r="AL117" s="1280"/>
      <c r="AM117" s="1280"/>
      <c r="AN117" s="1280"/>
      <c r="AO117" s="1280"/>
      <c r="AP117" s="1280"/>
      <c r="AQ117" s="1280"/>
      <c r="AR117" s="1280"/>
      <c r="AS117" s="1280"/>
      <c r="AT117" s="1280"/>
      <c r="AU117" s="1280"/>
      <c r="AV117" s="1280"/>
      <c r="AW117" s="1280"/>
      <c r="AX117" s="1280"/>
      <c r="AY117" s="1280"/>
      <c r="AZ117" s="1280"/>
      <c r="BA117" s="1280"/>
      <c r="BB117" s="1280"/>
      <c r="BC117" s="1280"/>
      <c r="BD117" s="1280"/>
      <c r="BE117" s="1280"/>
      <c r="BF117" s="1280"/>
      <c r="BG117" s="1280"/>
      <c r="BH117" s="1280"/>
      <c r="BI117" s="644"/>
      <c r="BJ117" s="644"/>
    </row>
    <row r="118" spans="11:62" ht="14.25" hidden="1" customHeight="1">
      <c r="K118" s="1522">
        <v>75</v>
      </c>
      <c r="L118" s="1523">
        <f>M118*0.9</f>
        <v>191.77668</v>
      </c>
      <c r="M118" s="1524">
        <f>M119*0.71</f>
        <v>213.08519999999999</v>
      </c>
      <c r="N118" s="1525">
        <f>279*0.82*1.2</f>
        <v>274.53599999999994</v>
      </c>
      <c r="O118" s="1525">
        <f>309*0.82*1.2</f>
        <v>304.05599999999998</v>
      </c>
      <c r="P118" s="1858">
        <v>0</v>
      </c>
      <c r="Q118" s="1525">
        <f>431*0.82*1.2</f>
        <v>424.10399999999993</v>
      </c>
      <c r="R118" s="1525">
        <f>463*0.82*1.2</f>
        <v>455.59199999999993</v>
      </c>
      <c r="S118" s="1860">
        <v>0</v>
      </c>
      <c r="T118" s="1356"/>
      <c r="U118" s="1522">
        <v>75</v>
      </c>
      <c r="V118" s="1526">
        <v>1.7</v>
      </c>
      <c r="W118" s="1527">
        <v>1.65</v>
      </c>
      <c r="X118" s="1527">
        <v>1.6</v>
      </c>
      <c r="Y118" s="1527">
        <v>1.55</v>
      </c>
      <c r="Z118" s="1527">
        <v>1.55</v>
      </c>
      <c r="AA118" s="1527">
        <v>1.5</v>
      </c>
      <c r="AB118" s="1527">
        <v>1.45</v>
      </c>
      <c r="AC118" s="1528">
        <v>1.45</v>
      </c>
      <c r="AD118" s="1356"/>
      <c r="AE118" s="1529">
        <v>1</v>
      </c>
      <c r="AF118" s="1529">
        <v>3.41</v>
      </c>
      <c r="AG118" s="1529">
        <v>3.96</v>
      </c>
      <c r="AH118" s="1529">
        <v>4.72</v>
      </c>
      <c r="AI118" s="1529">
        <v>90</v>
      </c>
      <c r="AJ118" s="1280"/>
      <c r="AK118" s="1280"/>
      <c r="AL118" s="1280"/>
      <c r="AM118" s="1280"/>
      <c r="AN118" s="1280"/>
      <c r="AO118" s="1280"/>
      <c r="AP118" s="1280"/>
      <c r="AQ118" s="1280"/>
      <c r="AR118" s="1280"/>
      <c r="AS118" s="1280"/>
      <c r="AT118" s="1280"/>
      <c r="AU118" s="1280"/>
      <c r="AV118" s="1280"/>
      <c r="AW118" s="1280"/>
      <c r="AX118" s="1280"/>
      <c r="AY118" s="1280"/>
      <c r="AZ118" s="1280"/>
      <c r="BA118" s="1280"/>
      <c r="BB118" s="1280"/>
      <c r="BC118" s="1280"/>
      <c r="BD118" s="1280"/>
      <c r="BE118" s="1280"/>
      <c r="BF118" s="1280"/>
      <c r="BG118" s="1280"/>
      <c r="BH118" s="1280"/>
      <c r="BI118" s="644"/>
      <c r="BJ118" s="644"/>
    </row>
    <row r="119" spans="11:62" ht="14.25" hidden="1" customHeight="1">
      <c r="K119" s="1530">
        <v>90</v>
      </c>
      <c r="L119" s="1431">
        <f>M119*0.89</f>
        <v>267.10680000000002</v>
      </c>
      <c r="M119" s="1531">
        <f>305*0.82*1.2</f>
        <v>300.12</v>
      </c>
      <c r="N119" s="1532">
        <f>404*0.82*1.2</f>
        <v>397.53599999999994</v>
      </c>
      <c r="O119" s="1532">
        <f>469*0.82*1.2</f>
        <v>461.49599999999998</v>
      </c>
      <c r="P119" s="1532">
        <v>0</v>
      </c>
      <c r="Q119" s="1532">
        <f>582*0.82*1.2</f>
        <v>572.68799999999987</v>
      </c>
      <c r="R119" s="1532">
        <f>644*0.82*1.2</f>
        <v>633.69599999999991</v>
      </c>
      <c r="S119" s="1533">
        <v>0</v>
      </c>
      <c r="T119" s="1356"/>
      <c r="U119" s="1530">
        <v>90</v>
      </c>
      <c r="V119" s="1534">
        <v>1.6</v>
      </c>
      <c r="W119" s="1535">
        <v>1.55</v>
      </c>
      <c r="X119" s="1535">
        <v>1.5</v>
      </c>
      <c r="Y119" s="1535">
        <v>1.45</v>
      </c>
      <c r="Z119" s="1535">
        <v>1.45</v>
      </c>
      <c r="AA119" s="1535">
        <v>1.4</v>
      </c>
      <c r="AB119" s="1535">
        <v>1.3</v>
      </c>
      <c r="AC119" s="1536">
        <v>1.3</v>
      </c>
      <c r="AD119" s="1356"/>
      <c r="AE119" s="1529">
        <v>1</v>
      </c>
      <c r="AF119" s="1529">
        <v>3.41</v>
      </c>
      <c r="AG119" s="1529">
        <v>3.96</v>
      </c>
      <c r="AH119" s="1529">
        <v>4.93</v>
      </c>
      <c r="AI119" s="1529">
        <v>110</v>
      </c>
      <c r="AJ119" s="1280"/>
      <c r="AK119" s="1280"/>
      <c r="AL119" s="1280"/>
      <c r="AM119" s="1280"/>
      <c r="AN119" s="1280"/>
      <c r="AO119" s="1280"/>
      <c r="AP119" s="1280"/>
      <c r="AQ119" s="1280"/>
      <c r="AR119" s="1280"/>
      <c r="AS119" s="1280"/>
      <c r="AT119" s="1280"/>
      <c r="AU119" s="1280"/>
      <c r="AV119" s="1280"/>
      <c r="AW119" s="1280"/>
      <c r="AX119" s="1280"/>
      <c r="AY119" s="1280"/>
      <c r="AZ119" s="1280"/>
      <c r="BA119" s="1280"/>
      <c r="BB119" s="1280"/>
      <c r="BC119" s="1280"/>
      <c r="BD119" s="1280"/>
      <c r="BE119" s="1280"/>
      <c r="BF119" s="1280"/>
      <c r="BG119" s="1280"/>
      <c r="BH119" s="1280"/>
      <c r="BI119" s="644"/>
      <c r="BJ119" s="644"/>
    </row>
    <row r="120" spans="11:62" ht="14.25" hidden="1" customHeight="1">
      <c r="K120" s="1530">
        <v>110</v>
      </c>
      <c r="L120" s="1431">
        <f>M120*0.88</f>
        <v>331.21165312857602</v>
      </c>
      <c r="M120" s="1537">
        <f>M119*1.25408796</f>
        <v>376.37687855519999</v>
      </c>
      <c r="N120" s="1532">
        <f>483*0.82</f>
        <v>396.06</v>
      </c>
      <c r="O120" s="1532">
        <f>534*0.82</f>
        <v>437.88</v>
      </c>
      <c r="P120" s="1392">
        <v>0</v>
      </c>
      <c r="Q120" s="1392">
        <f>M120*1.87</f>
        <v>703.82476289822398</v>
      </c>
      <c r="R120" s="1532">
        <f>780*0.82*1.2</f>
        <v>767.51999999999987</v>
      </c>
      <c r="S120" s="1393">
        <v>0</v>
      </c>
      <c r="T120" s="1356"/>
      <c r="U120" s="1530">
        <v>110</v>
      </c>
      <c r="V120" s="1534">
        <v>1.5</v>
      </c>
      <c r="W120" s="1535">
        <v>1.3</v>
      </c>
      <c r="X120" s="1535">
        <v>1.3</v>
      </c>
      <c r="Y120" s="1535">
        <v>1.3</v>
      </c>
      <c r="Z120" s="1535">
        <v>1.3</v>
      </c>
      <c r="AA120" s="1535">
        <v>1.3</v>
      </c>
      <c r="AB120" s="1535">
        <v>1.3</v>
      </c>
      <c r="AC120" s="1536">
        <v>1.3</v>
      </c>
      <c r="AD120" s="1356"/>
      <c r="AE120" s="1529">
        <v>1</v>
      </c>
      <c r="AF120" s="1529">
        <v>3.41</v>
      </c>
      <c r="AG120" s="1529">
        <v>3.96</v>
      </c>
      <c r="AH120" s="1529">
        <v>4.93</v>
      </c>
      <c r="AI120" s="1529">
        <v>150</v>
      </c>
      <c r="AJ120" s="1280"/>
      <c r="AK120" s="1280"/>
      <c r="AL120" s="1280"/>
      <c r="AM120" s="1280"/>
      <c r="AN120" s="1280"/>
      <c r="AO120" s="1280"/>
      <c r="AP120" s="1280"/>
      <c r="AQ120" s="1280"/>
      <c r="AR120" s="1280"/>
      <c r="AS120" s="1280"/>
      <c r="AT120" s="1280"/>
      <c r="AU120" s="1280"/>
      <c r="AV120" s="1280"/>
      <c r="AW120" s="1280"/>
      <c r="AX120" s="1280"/>
      <c r="AY120" s="1280"/>
      <c r="AZ120" s="1280"/>
      <c r="BA120" s="1280"/>
      <c r="BB120" s="1280"/>
      <c r="BC120" s="1280"/>
      <c r="BD120" s="1280"/>
      <c r="BE120" s="1280"/>
      <c r="BF120" s="1280"/>
      <c r="BG120" s="1280"/>
      <c r="BH120" s="1280"/>
      <c r="BI120" s="644"/>
      <c r="BJ120" s="644"/>
    </row>
    <row r="121" spans="11:62" ht="14.25" hidden="1" customHeight="1">
      <c r="K121" s="1538">
        <v>150</v>
      </c>
      <c r="L121" s="1539">
        <f>365*0.82*1.2</f>
        <v>359.15999999999991</v>
      </c>
      <c r="M121" s="1540">
        <f>459*0.82*1.2</f>
        <v>451.65600000000001</v>
      </c>
      <c r="N121" s="1541">
        <f>763*0.82*1.2</f>
        <v>750.79199999999992</v>
      </c>
      <c r="O121" s="1861">
        <v>0</v>
      </c>
      <c r="P121" s="1541">
        <f>791*0.82*1.2</f>
        <v>778.34399999999994</v>
      </c>
      <c r="Q121" s="1541">
        <f>962*0.82*1.2</f>
        <v>946.60799999999983</v>
      </c>
      <c r="R121" s="1541">
        <f>1034*0.82*1.2</f>
        <v>1017.4559999999999</v>
      </c>
      <c r="S121" s="1542">
        <v>0</v>
      </c>
      <c r="T121" s="1356"/>
      <c r="U121" s="1538">
        <v>150</v>
      </c>
      <c r="V121" s="1534">
        <v>1.4</v>
      </c>
      <c r="W121" s="1535">
        <v>1.35</v>
      </c>
      <c r="X121" s="1535">
        <v>1.32</v>
      </c>
      <c r="Y121" s="1535"/>
      <c r="Z121" s="1535">
        <v>1.3</v>
      </c>
      <c r="AA121" s="1535">
        <v>1.28</v>
      </c>
      <c r="AB121" s="1535"/>
      <c r="AC121" s="1536">
        <v>1.25</v>
      </c>
      <c r="AD121" s="1356"/>
      <c r="AE121" s="1529">
        <v>1</v>
      </c>
      <c r="AF121" s="1529">
        <v>2.73</v>
      </c>
      <c r="AG121" s="1529">
        <v>3.11</v>
      </c>
      <c r="AH121" s="1529">
        <v>3.89</v>
      </c>
      <c r="AI121" s="1529">
        <v>150.16</v>
      </c>
      <c r="AJ121" s="1280"/>
      <c r="AK121" s="1280"/>
      <c r="AL121" s="1280"/>
      <c r="AM121" s="1280"/>
      <c r="AN121" s="1280"/>
      <c r="AO121" s="1280"/>
      <c r="AP121" s="1280"/>
      <c r="AQ121" s="1280"/>
      <c r="AR121" s="1280"/>
      <c r="AS121" s="1280"/>
      <c r="AT121" s="1280"/>
      <c r="AU121" s="1280"/>
      <c r="AV121" s="1280"/>
      <c r="AW121" s="1280"/>
      <c r="AX121" s="1280"/>
      <c r="AY121" s="1280"/>
      <c r="AZ121" s="1280"/>
      <c r="BA121" s="1280"/>
      <c r="BB121" s="1280"/>
      <c r="BC121" s="1280"/>
      <c r="BD121" s="1280"/>
      <c r="BE121" s="1280"/>
      <c r="BF121" s="1280"/>
      <c r="BG121" s="1280"/>
      <c r="BH121" s="1280"/>
      <c r="BI121" s="644"/>
      <c r="BJ121" s="644"/>
    </row>
    <row r="122" spans="11:62" ht="14.25" hidden="1" customHeight="1">
      <c r="K122" s="1537">
        <v>200</v>
      </c>
      <c r="L122" s="1431">
        <f>M122*0.88</f>
        <v>498.44638946234869</v>
      </c>
      <c r="M122" s="1537">
        <f>M121*1.25408796</f>
        <v>566.4163516617599</v>
      </c>
      <c r="N122" s="1392">
        <f>M122*1.26352614</f>
        <v>715.6818664480661</v>
      </c>
      <c r="O122" s="1392">
        <f>N122*1.07113641</f>
        <v>766.59290512928101</v>
      </c>
      <c r="P122" s="1392">
        <f>P121*1.24695214</f>
        <v>970.55771645616005</v>
      </c>
      <c r="Q122" s="1392">
        <f>M122*1.87</f>
        <v>1059.1985776074912</v>
      </c>
      <c r="R122" s="1392">
        <f>M122*1.95542361</f>
        <v>1107.5839071294681</v>
      </c>
      <c r="S122" s="1393">
        <f>S121*1.12435712</f>
        <v>0</v>
      </c>
      <c r="T122" s="1356"/>
      <c r="U122" s="1530">
        <v>200</v>
      </c>
      <c r="V122" s="1534"/>
      <c r="W122" s="1535"/>
      <c r="X122" s="1535"/>
      <c r="Y122" s="1535"/>
      <c r="Z122" s="1535"/>
      <c r="AA122" s="1535"/>
      <c r="AB122" s="1535"/>
      <c r="AC122" s="1536"/>
      <c r="AD122" s="1356"/>
      <c r="AE122" s="1356"/>
      <c r="AF122" s="1357">
        <v>2.73</v>
      </c>
      <c r="AG122" s="1357">
        <v>2.83</v>
      </c>
      <c r="AH122" s="1357">
        <v>3.66</v>
      </c>
      <c r="AI122" s="1357" t="s">
        <v>287</v>
      </c>
      <c r="AJ122" s="1280"/>
      <c r="AK122" s="1280"/>
      <c r="AL122" s="1280"/>
      <c r="AM122" s="1280"/>
      <c r="AN122" s="1280"/>
      <c r="AO122" s="1280"/>
      <c r="AP122" s="1280"/>
      <c r="AQ122" s="1280"/>
      <c r="AR122" s="1280"/>
      <c r="AS122" s="1280"/>
      <c r="AT122" s="1280"/>
      <c r="AU122" s="1280"/>
      <c r="AV122" s="1280"/>
      <c r="AW122" s="1280"/>
      <c r="AX122" s="1280"/>
      <c r="AY122" s="1280"/>
      <c r="AZ122" s="1280"/>
      <c r="BA122" s="1280"/>
      <c r="BB122" s="1280"/>
      <c r="BC122" s="1280"/>
      <c r="BD122" s="1280"/>
      <c r="BE122" s="1280"/>
      <c r="BF122" s="1280"/>
      <c r="BG122" s="1280"/>
      <c r="BH122" s="1280"/>
      <c r="BI122" s="644"/>
      <c r="BJ122" s="644"/>
    </row>
    <row r="123" spans="11:62" ht="14.25" hidden="1" customHeight="1">
      <c r="K123" s="1537">
        <v>300</v>
      </c>
      <c r="L123" s="1431">
        <f>M123*0.88</f>
        <v>625.09561573020233</v>
      </c>
      <c r="M123" s="1537">
        <f>M122*1.25408796</f>
        <v>710.33592696613903</v>
      </c>
      <c r="N123" s="1392">
        <f>M123*1.26352614</f>
        <v>897.52801190284754</v>
      </c>
      <c r="O123" s="1392">
        <f>N123*1.07113641</f>
        <v>961.37493254405342</v>
      </c>
      <c r="P123" s="1392">
        <f>P122*1.24695214</f>
        <v>1210.239021528522</v>
      </c>
      <c r="Q123" s="1392">
        <f>M123*1.87</f>
        <v>1328.32818342668</v>
      </c>
      <c r="R123" s="1392">
        <f>M123*1.95542361</f>
        <v>1389.0076426208238</v>
      </c>
      <c r="S123" s="1393">
        <f>S122*1.12435712</f>
        <v>0</v>
      </c>
      <c r="T123" s="1356"/>
      <c r="U123" s="1530">
        <v>300</v>
      </c>
      <c r="V123" s="1534"/>
      <c r="W123" s="1535"/>
      <c r="X123" s="1535"/>
      <c r="Y123" s="1535"/>
      <c r="Z123" s="1535"/>
      <c r="AA123" s="1535"/>
      <c r="AB123" s="1535"/>
      <c r="AC123" s="1536"/>
      <c r="AD123" s="1356"/>
      <c r="AE123" s="1356"/>
      <c r="AF123" s="1357">
        <v>3.41</v>
      </c>
      <c r="AG123" s="1357">
        <v>3.86</v>
      </c>
      <c r="AH123" s="1357">
        <v>4.63</v>
      </c>
      <c r="AI123" s="1357" t="s">
        <v>289</v>
      </c>
      <c r="AJ123" s="1280"/>
      <c r="AK123" s="1280"/>
      <c r="AL123" s="1280"/>
      <c r="AM123" s="1280"/>
      <c r="AN123" s="1280"/>
      <c r="AO123" s="1280"/>
      <c r="AP123" s="1280"/>
      <c r="AQ123" s="1280"/>
      <c r="AR123" s="1280"/>
      <c r="AS123" s="1280"/>
      <c r="AT123" s="1280"/>
      <c r="AU123" s="1280"/>
      <c r="AV123" s="1280"/>
      <c r="AW123" s="1280"/>
      <c r="AX123" s="1280"/>
      <c r="AY123" s="1280"/>
      <c r="AZ123" s="1280"/>
      <c r="BA123" s="1280"/>
      <c r="BB123" s="1280"/>
      <c r="BC123" s="1280"/>
      <c r="BD123" s="1280"/>
      <c r="BE123" s="1280"/>
      <c r="BF123" s="1280"/>
      <c r="BG123" s="1280"/>
      <c r="BH123" s="1280"/>
      <c r="BI123" s="644"/>
      <c r="BJ123" s="644"/>
    </row>
    <row r="124" spans="11:62" ht="14.25" hidden="1" customHeight="1">
      <c r="K124" s="1537">
        <v>400</v>
      </c>
      <c r="L124" s="1431">
        <f>M124*0.88</f>
        <v>783.92488553603323</v>
      </c>
      <c r="M124" s="1537">
        <f>M123*1.25408796</f>
        <v>890.82373356367418</v>
      </c>
      <c r="N124" s="1392">
        <f>M124*1.26352614</f>
        <v>1125.5790734900977</v>
      </c>
      <c r="O124" s="1392">
        <f>N124*1.07113641</f>
        <v>1205.6487279493094</v>
      </c>
      <c r="P124" s="1392">
        <f>P123*1.24695214</f>
        <v>1509.1101378064968</v>
      </c>
      <c r="Q124" s="1392">
        <f>M124*1.87</f>
        <v>1665.8403817640708</v>
      </c>
      <c r="R124" s="1392">
        <f>M124*1.95542361</f>
        <v>1741.937760958758</v>
      </c>
      <c r="S124" s="1393">
        <f>S123*1.12435712</f>
        <v>0</v>
      </c>
      <c r="T124" s="1356"/>
      <c r="U124" s="1530">
        <v>400</v>
      </c>
      <c r="V124" s="1534"/>
      <c r="W124" s="1535"/>
      <c r="X124" s="1535"/>
      <c r="Y124" s="1535"/>
      <c r="Z124" s="1535"/>
      <c r="AA124" s="1535"/>
      <c r="AB124" s="1535"/>
      <c r="AC124" s="1536"/>
      <c r="AD124" s="1356"/>
      <c r="AE124" s="1356"/>
      <c r="AF124" s="1356"/>
      <c r="AG124" s="1356"/>
      <c r="AH124" s="1356"/>
      <c r="AI124" s="1356"/>
      <c r="AJ124" s="1280"/>
      <c r="AK124" s="1280"/>
      <c r="AL124" s="1280"/>
      <c r="AM124" s="1280"/>
      <c r="AN124" s="1280"/>
      <c r="AO124" s="1280"/>
      <c r="AP124" s="1280"/>
      <c r="AQ124" s="1280"/>
      <c r="AR124" s="1280"/>
      <c r="AS124" s="1280"/>
      <c r="AT124" s="1280"/>
      <c r="AU124" s="1280"/>
      <c r="AV124" s="1280"/>
      <c r="AW124" s="1280"/>
      <c r="AX124" s="1280"/>
      <c r="AY124" s="1280"/>
      <c r="AZ124" s="1280"/>
      <c r="BA124" s="1280"/>
      <c r="BB124" s="1280"/>
      <c r="BC124" s="1280"/>
      <c r="BD124" s="1280"/>
      <c r="BE124" s="1280"/>
      <c r="BF124" s="1280"/>
      <c r="BG124" s="1280"/>
      <c r="BH124" s="1280"/>
      <c r="BI124" s="644"/>
      <c r="BJ124" s="644"/>
    </row>
    <row r="125" spans="11:62" ht="14.25" hidden="1" customHeight="1">
      <c r="K125" s="1537">
        <v>500</v>
      </c>
      <c r="L125" s="1431">
        <f>M125*0.88</f>
        <v>983.11076049511735</v>
      </c>
      <c r="M125" s="1537">
        <f>M124*1.25408796</f>
        <v>1117.1713187444516</v>
      </c>
      <c r="N125" s="1392">
        <f>M125*1.26352614</f>
        <v>1411.5751640918866</v>
      </c>
      <c r="O125" s="1392">
        <f>N125*1.07113641</f>
        <v>1511.9895537105444</v>
      </c>
      <c r="P125" s="1392">
        <f>P124*1.24695214</f>
        <v>1881.7881158335063</v>
      </c>
      <c r="Q125" s="1392">
        <f>M125*1.87</f>
        <v>2089.1103660521244</v>
      </c>
      <c r="R125" s="1392">
        <f>M125*1.95542361</f>
        <v>2184.5431730877362</v>
      </c>
      <c r="S125" s="1393">
        <f>S124*1.12435712</f>
        <v>0</v>
      </c>
      <c r="T125" s="1356"/>
      <c r="U125" s="1530">
        <v>500</v>
      </c>
      <c r="V125" s="1534"/>
      <c r="W125" s="1535"/>
      <c r="X125" s="1535"/>
      <c r="Y125" s="1535"/>
      <c r="Z125" s="1535"/>
      <c r="AA125" s="1535"/>
      <c r="AB125" s="1535"/>
      <c r="AC125" s="1536"/>
      <c r="AD125" s="1356"/>
      <c r="AE125" s="1356"/>
      <c r="AF125" s="1356"/>
      <c r="AG125" s="1356"/>
      <c r="AH125" s="1356"/>
      <c r="AI125" s="1356"/>
      <c r="AJ125" s="1280"/>
      <c r="AK125" s="1280"/>
      <c r="AL125" s="1280"/>
      <c r="AM125" s="1280"/>
      <c r="AN125" s="1280"/>
      <c r="AO125" s="1280"/>
      <c r="AP125" s="1280"/>
      <c r="AQ125" s="1280"/>
      <c r="AR125" s="1280"/>
      <c r="AS125" s="1280"/>
      <c r="AT125" s="1280"/>
      <c r="AU125" s="1280"/>
      <c r="AV125" s="1280"/>
      <c r="AW125" s="1280"/>
      <c r="AX125" s="1280"/>
      <c r="AY125" s="1280"/>
      <c r="AZ125" s="1280"/>
      <c r="BA125" s="1280"/>
      <c r="BB125" s="1280"/>
      <c r="BC125" s="1280"/>
      <c r="BD125" s="1280"/>
      <c r="BE125" s="1280"/>
      <c r="BF125" s="1280"/>
      <c r="BG125" s="1280"/>
      <c r="BH125" s="1280"/>
      <c r="BI125" s="644"/>
      <c r="BJ125" s="644"/>
    </row>
    <row r="126" spans="11:62" ht="14.25" hidden="1" customHeight="1">
      <c r="K126" s="1543">
        <v>600</v>
      </c>
      <c r="L126" s="1434">
        <f>M126*0.88</f>
        <v>1232.9073680833703</v>
      </c>
      <c r="M126" s="1543">
        <f>M125*1.25408796</f>
        <v>1401.031100094739</v>
      </c>
      <c r="N126" s="1859">
        <f>M126*1.26352614</f>
        <v>1770.2394179226592</v>
      </c>
      <c r="O126" s="1859">
        <f>N126*1.07113641</f>
        <v>1896.167894954167</v>
      </c>
      <c r="P126" s="1859">
        <f>P125*1.24695214</f>
        <v>2346.4997180651585</v>
      </c>
      <c r="Q126" s="1859">
        <f>M126*1.87</f>
        <v>2619.9281571771621</v>
      </c>
      <c r="R126" s="1859">
        <f>M126*1.95542361</f>
        <v>2739.6092914695259</v>
      </c>
      <c r="S126" s="1363">
        <f>S125*1.12435712</f>
        <v>0</v>
      </c>
      <c r="T126" s="1356"/>
      <c r="U126" s="1544">
        <v>600</v>
      </c>
      <c r="V126" s="1545"/>
      <c r="W126" s="1546"/>
      <c r="X126" s="1546"/>
      <c r="Y126" s="1546"/>
      <c r="Z126" s="1546"/>
      <c r="AA126" s="1546"/>
      <c r="AB126" s="1546"/>
      <c r="AC126" s="1547"/>
      <c r="AD126" s="1356"/>
      <c r="AE126" s="1356"/>
      <c r="AF126" s="1356"/>
      <c r="AG126" s="1356"/>
      <c r="AH126" s="1356"/>
      <c r="AI126" s="1356"/>
      <c r="AJ126" s="1280"/>
      <c r="AK126" s="1280"/>
      <c r="AL126" s="1280"/>
      <c r="AM126" s="1280"/>
      <c r="AN126" s="1280"/>
      <c r="AO126" s="1280"/>
      <c r="AP126" s="1280"/>
      <c r="AQ126" s="1280"/>
      <c r="AR126" s="1280"/>
      <c r="AS126" s="1280"/>
      <c r="AT126" s="1280"/>
      <c r="AU126" s="1280"/>
      <c r="AV126" s="1280"/>
      <c r="AW126" s="1280"/>
      <c r="AX126" s="1280"/>
      <c r="AY126" s="1280"/>
      <c r="AZ126" s="1280"/>
      <c r="BA126" s="1280"/>
      <c r="BB126" s="1280"/>
      <c r="BC126" s="1280"/>
      <c r="BD126" s="1280"/>
      <c r="BE126" s="1280"/>
      <c r="BF126" s="1280"/>
      <c r="BG126" s="1280"/>
      <c r="BH126" s="1280"/>
      <c r="BI126" s="644"/>
      <c r="BJ126" s="644"/>
    </row>
    <row r="127" spans="11:62" ht="14.25" hidden="1" customHeight="1">
      <c r="K127" s="1355"/>
      <c r="L127" s="1280"/>
      <c r="M127" s="1355"/>
      <c r="N127" s="1355"/>
      <c r="O127" s="1355"/>
      <c r="P127" s="1355"/>
      <c r="Q127" s="1355"/>
      <c r="R127" s="1355"/>
      <c r="S127" s="1355"/>
      <c r="T127" s="1280"/>
      <c r="AA127" s="821"/>
      <c r="AB127" s="821"/>
      <c r="AC127" s="821"/>
      <c r="AD127" s="1280"/>
      <c r="AE127" s="1280"/>
      <c r="AF127" s="1280"/>
      <c r="AG127" s="1280"/>
      <c r="AH127" s="1280"/>
      <c r="AI127" s="1280"/>
      <c r="AJ127" s="1280"/>
      <c r="AK127" s="1280"/>
      <c r="AL127" s="1280"/>
      <c r="AM127" s="1280"/>
      <c r="AN127" s="1280"/>
      <c r="AO127" s="1280"/>
      <c r="AP127" s="1280"/>
      <c r="AQ127" s="1280"/>
      <c r="AR127" s="1280"/>
      <c r="AS127" s="1280"/>
      <c r="AT127" s="1280"/>
      <c r="AU127" s="1280"/>
      <c r="AV127" s="1280"/>
      <c r="AW127" s="1280"/>
      <c r="AX127" s="1280"/>
      <c r="AY127" s="1280"/>
      <c r="AZ127" s="1280"/>
      <c r="BA127" s="1280"/>
      <c r="BB127" s="1280"/>
      <c r="BC127" s="1280"/>
      <c r="BD127" s="1280"/>
      <c r="BE127" s="1280"/>
      <c r="BF127" s="1280"/>
      <c r="BG127" s="1280"/>
      <c r="BH127" s="1280"/>
      <c r="BI127" s="644"/>
      <c r="BJ127" s="644"/>
    </row>
    <row r="128" spans="11:62" ht="14.25" hidden="1" customHeight="1">
      <c r="K128" s="1355"/>
      <c r="L128" s="1280"/>
      <c r="M128" s="1355"/>
      <c r="N128" s="1355"/>
      <c r="O128" s="1355"/>
      <c r="P128" s="1355"/>
      <c r="Q128" s="1355"/>
      <c r="R128" s="1355"/>
      <c r="S128" s="1355"/>
      <c r="T128" s="1280"/>
      <c r="AA128" s="821"/>
      <c r="AB128" s="821"/>
      <c r="AC128" s="821"/>
      <c r="AJ128" s="1280"/>
      <c r="AK128" s="1280"/>
      <c r="AL128" s="1280"/>
      <c r="AM128" s="1280"/>
      <c r="AN128" s="1280"/>
      <c r="AO128" s="1280"/>
      <c r="AP128" s="1280"/>
      <c r="AQ128" s="1280"/>
      <c r="AR128" s="1280"/>
      <c r="AS128" s="1280"/>
      <c r="AT128" s="1280"/>
      <c r="AU128" s="1280"/>
      <c r="AV128" s="1280"/>
      <c r="AW128" s="1280"/>
      <c r="AX128" s="1280"/>
      <c r="AY128" s="1280"/>
      <c r="AZ128" s="1280"/>
      <c r="BA128" s="1280"/>
      <c r="BB128" s="1280"/>
      <c r="BC128" s="1280"/>
      <c r="BD128" s="1280"/>
      <c r="BE128" s="1280"/>
      <c r="BF128" s="1280"/>
      <c r="BG128" s="1280"/>
      <c r="BH128" s="1280"/>
      <c r="BI128" s="644"/>
      <c r="BJ128" s="644"/>
    </row>
    <row r="129" spans="1:111" ht="14.25" hidden="1" customHeight="1">
      <c r="K129" s="1355"/>
      <c r="L129" s="1280"/>
      <c r="M129" s="1355"/>
      <c r="N129" s="1355"/>
      <c r="O129" s="1355"/>
      <c r="P129" s="1355"/>
      <c r="Q129" s="1355"/>
      <c r="R129" s="1355"/>
      <c r="S129" s="1355"/>
      <c r="T129" s="1280"/>
      <c r="AA129" s="821"/>
      <c r="AB129" s="821"/>
      <c r="AC129" s="821"/>
      <c r="AJ129" s="1280"/>
      <c r="AK129" s="1280"/>
      <c r="AL129" s="1280"/>
      <c r="AM129" s="1280"/>
      <c r="AN129" s="1280"/>
      <c r="AO129" s="1280"/>
      <c r="AP129" s="1280"/>
      <c r="AQ129" s="1280"/>
      <c r="AR129" s="1280"/>
      <c r="AS129" s="1280"/>
      <c r="AT129" s="1280"/>
      <c r="AU129" s="1280"/>
      <c r="AV129" s="1280"/>
      <c r="AW129" s="1280"/>
      <c r="AX129" s="1280"/>
      <c r="AY129" s="1280"/>
      <c r="AZ129" s="1280"/>
      <c r="BA129" s="1280"/>
      <c r="BB129" s="1280"/>
      <c r="BC129" s="1280"/>
      <c r="BD129" s="1280"/>
      <c r="BE129" s="1280"/>
      <c r="BF129" s="1280"/>
      <c r="BG129" s="1280"/>
      <c r="BH129" s="1280"/>
      <c r="BI129" s="644"/>
      <c r="BJ129" s="644"/>
    </row>
    <row r="130" spans="1:111" ht="14.25" hidden="1" customHeight="1">
      <c r="K130" s="1355"/>
      <c r="L130" s="1280"/>
      <c r="M130" s="1355"/>
      <c r="N130" s="1355"/>
      <c r="O130" s="1355"/>
      <c r="P130" s="1355"/>
      <c r="Q130" s="1355"/>
      <c r="R130" s="1355"/>
      <c r="S130" s="1355"/>
      <c r="T130" s="1280"/>
      <c r="AA130" s="821"/>
      <c r="AB130" s="821"/>
      <c r="AC130" s="821"/>
      <c r="AJ130" s="1280"/>
      <c r="AK130" s="1280"/>
      <c r="AL130" s="1280"/>
      <c r="AM130" s="1280"/>
      <c r="AN130" s="1280"/>
      <c r="AO130" s="1280"/>
      <c r="AP130" s="1280"/>
      <c r="AQ130" s="1280"/>
      <c r="AR130" s="1280"/>
      <c r="AS130" s="1280"/>
      <c r="AT130" s="1280"/>
      <c r="AU130" s="1280"/>
      <c r="AV130" s="1280"/>
      <c r="AW130" s="1280"/>
      <c r="AX130" s="1280"/>
      <c r="AY130" s="1280"/>
      <c r="AZ130" s="1280"/>
      <c r="BA130" s="1280"/>
      <c r="BB130" s="1280"/>
      <c r="BC130" s="1280"/>
      <c r="BD130" s="1280"/>
      <c r="BE130" s="1280"/>
      <c r="BF130" s="1280"/>
      <c r="BG130" s="1280"/>
      <c r="BH130" s="1280"/>
      <c r="BI130" s="644"/>
      <c r="BJ130" s="644"/>
    </row>
    <row r="131" spans="1:111" ht="14.25" hidden="1" customHeight="1">
      <c r="K131" s="1355"/>
      <c r="L131" s="1280"/>
      <c r="M131" s="1355"/>
      <c r="N131" s="1355"/>
      <c r="O131" s="1355"/>
      <c r="P131" s="1355"/>
      <c r="Q131" s="1355"/>
      <c r="R131" s="1355"/>
      <c r="S131" s="1355"/>
      <c r="T131" s="1280"/>
      <c r="AA131" s="821"/>
      <c r="AB131" s="821"/>
      <c r="AC131" s="821"/>
      <c r="AJ131" s="1280"/>
      <c r="AK131" s="1280"/>
      <c r="AL131" s="1280"/>
      <c r="AM131" s="1280"/>
      <c r="AN131" s="1280"/>
      <c r="AO131" s="1280"/>
      <c r="AP131" s="1280"/>
      <c r="AQ131" s="1280"/>
      <c r="AR131" s="1280"/>
      <c r="AS131" s="1280"/>
      <c r="AT131" s="1280"/>
      <c r="AU131" s="1280"/>
      <c r="AV131" s="1280"/>
      <c r="AW131" s="1280"/>
      <c r="AX131" s="1280"/>
      <c r="AY131" s="1280"/>
      <c r="AZ131" s="1280"/>
      <c r="BA131" s="1280"/>
      <c r="BB131" s="1280"/>
      <c r="BC131" s="1280"/>
      <c r="BD131" s="1280"/>
      <c r="BE131" s="1280"/>
      <c r="BF131" s="1280"/>
      <c r="BG131" s="1280"/>
      <c r="BH131" s="1280"/>
      <c r="BI131" s="644"/>
      <c r="BJ131" s="644"/>
    </row>
    <row r="132" spans="1:111" ht="14.25" hidden="1" customHeight="1">
      <c r="K132" s="1355"/>
      <c r="L132" s="1280"/>
      <c r="M132" s="1355"/>
      <c r="N132" s="1355"/>
      <c r="O132" s="1355"/>
      <c r="P132" s="1355"/>
      <c r="Q132" s="1355"/>
      <c r="R132" s="1355"/>
      <c r="S132" s="1355"/>
      <c r="T132" s="1280"/>
      <c r="AA132" s="821"/>
      <c r="AB132" s="821"/>
      <c r="AC132" s="821"/>
      <c r="AD132" s="1280"/>
      <c r="AE132" s="1280"/>
      <c r="AF132" s="1280"/>
      <c r="AG132" s="1280"/>
      <c r="AH132" s="1280"/>
      <c r="AI132" s="1280"/>
      <c r="AJ132" s="1280"/>
      <c r="AK132" s="1280"/>
      <c r="AL132" s="1280"/>
      <c r="AM132" s="1280"/>
      <c r="AN132" s="1280"/>
      <c r="AO132" s="1280"/>
      <c r="AP132" s="1280"/>
      <c r="AQ132" s="1280"/>
      <c r="AR132" s="1280"/>
      <c r="AS132" s="1280"/>
      <c r="AT132" s="1280"/>
      <c r="AU132" s="1280"/>
      <c r="AV132" s="1280"/>
      <c r="AW132" s="1280"/>
      <c r="AX132" s="1280"/>
      <c r="AY132" s="1280"/>
      <c r="AZ132" s="1280"/>
      <c r="BA132" s="1280"/>
      <c r="BB132" s="1280"/>
      <c r="BC132" s="1280"/>
      <c r="BD132" s="1280"/>
      <c r="BE132" s="1280"/>
      <c r="BF132" s="1280"/>
      <c r="BG132" s="1280"/>
      <c r="BH132" s="1280"/>
      <c r="BI132" s="644"/>
      <c r="BJ132" s="644"/>
    </row>
    <row r="133" spans="1:111" ht="14.25" hidden="1" customHeight="1">
      <c r="B133" s="2853" t="s">
        <v>191</v>
      </c>
      <c r="K133" s="644"/>
      <c r="L133" s="644"/>
      <c r="M133" s="1548"/>
      <c r="N133" s="1548"/>
      <c r="O133" s="1548"/>
      <c r="P133" s="1548"/>
      <c r="Q133" s="1548"/>
      <c r="R133" s="1548"/>
      <c r="S133" s="1548"/>
      <c r="T133" s="1280"/>
      <c r="AA133" s="576"/>
      <c r="AB133" s="576"/>
      <c r="AC133" s="576"/>
      <c r="AD133" s="1280"/>
      <c r="AE133" s="1280"/>
      <c r="AF133" s="1280"/>
      <c r="AG133" s="1280"/>
      <c r="AH133" s="1280"/>
      <c r="AI133" s="1280"/>
      <c r="AJ133" s="1280"/>
      <c r="AK133" s="1280"/>
      <c r="AL133" s="1280"/>
      <c r="AM133" s="1280"/>
      <c r="AN133" s="1280"/>
      <c r="AO133" s="1280"/>
      <c r="AP133" s="1280"/>
      <c r="AQ133" s="1280"/>
      <c r="AR133" s="1280"/>
      <c r="AS133" s="1280"/>
      <c r="AT133" s="1280"/>
      <c r="AU133" s="1280"/>
      <c r="AV133" s="1280"/>
      <c r="AW133" s="1280"/>
      <c r="AX133" s="1280"/>
      <c r="AY133" s="1280"/>
      <c r="AZ133" s="1280"/>
      <c r="BA133" s="1280"/>
      <c r="BB133" s="1280"/>
      <c r="BC133" s="1280"/>
      <c r="BD133" s="1280"/>
      <c r="BE133" s="1280"/>
      <c r="BF133" s="1280"/>
      <c r="BG133" s="1280"/>
      <c r="BH133" s="1280"/>
      <c r="BI133" s="644"/>
      <c r="BJ133" s="644"/>
    </row>
    <row r="134" spans="1:111" ht="20.25" customHeight="1" thickBot="1">
      <c r="B134" s="2853"/>
      <c r="I134" s="821"/>
      <c r="J134" s="1355"/>
      <c r="K134" s="2854" t="s">
        <v>5701</v>
      </c>
      <c r="L134" s="2855"/>
      <c r="M134" s="2855"/>
      <c r="N134" s="2855"/>
      <c r="O134" s="2855"/>
      <c r="P134" s="2855"/>
      <c r="Q134" s="2855"/>
      <c r="R134" s="2855"/>
      <c r="S134" s="2855"/>
      <c r="T134" s="2855"/>
      <c r="U134" s="2855"/>
      <c r="V134" s="2855"/>
      <c r="W134" s="2855"/>
      <c r="X134" s="2855"/>
      <c r="Y134" s="2855"/>
      <c r="Z134" s="2855"/>
      <c r="AA134" s="2855"/>
      <c r="AB134" s="2855"/>
      <c r="AC134" s="2855"/>
      <c r="AD134" s="2855"/>
      <c r="AE134" s="2855"/>
      <c r="AF134" s="2855"/>
      <c r="AG134" s="2855"/>
      <c r="AH134" s="2855"/>
      <c r="AI134" s="2855"/>
      <c r="AJ134" s="2855"/>
      <c r="AK134" s="2855"/>
      <c r="AL134" s="2855"/>
      <c r="AM134" s="2855"/>
      <c r="AN134" s="2855"/>
      <c r="AO134" s="2855"/>
      <c r="AP134" s="2855"/>
      <c r="AQ134" s="2855"/>
      <c r="AR134" s="2855"/>
      <c r="AS134" s="2855"/>
      <c r="AT134" s="2855"/>
      <c r="AU134" s="2855"/>
      <c r="AV134" s="2855"/>
      <c r="AW134" s="2855"/>
      <c r="AX134" s="2855"/>
      <c r="AY134" s="2855"/>
      <c r="AZ134" s="2855"/>
      <c r="BA134" s="2855"/>
      <c r="BB134" s="2855"/>
      <c r="BC134" s="2855"/>
      <c r="BD134" s="2855"/>
      <c r="BE134" s="2855"/>
      <c r="BF134" s="2855"/>
      <c r="BG134" s="2855"/>
      <c r="BH134" s="2855"/>
      <c r="BI134" s="2856"/>
    </row>
    <row r="135" spans="1:111" ht="31.5" hidden="1" customHeight="1">
      <c r="B135" s="2121"/>
      <c r="C135" s="2121"/>
      <c r="D135" s="1855"/>
      <c r="E135" s="637"/>
      <c r="F135" s="642"/>
      <c r="G135" s="642"/>
      <c r="H135" s="638"/>
      <c r="I135" s="1855"/>
      <c r="J135" s="1855"/>
      <c r="K135" s="1549">
        <f t="shared" ref="K135:AP135" si="6">IF(AND($C$14&gt;=K139,$C$14&lt;=K140),((($AI$49-$AH$49)/(K140-K139))*$C$14+($AH$49-(($AI$49-$AH$49)/(K140-K139))*K139)),2)</f>
        <v>3.6385714285714283</v>
      </c>
      <c r="L135" s="1549">
        <f t="shared" si="6"/>
        <v>3.6385714285714283</v>
      </c>
      <c r="M135" s="1549">
        <f t="shared" si="6"/>
        <v>3.6385714285714283</v>
      </c>
      <c r="N135" s="1549">
        <f t="shared" si="6"/>
        <v>3.6385714285714283</v>
      </c>
      <c r="O135" s="1549">
        <f t="shared" si="6"/>
        <v>3.6385714285714283</v>
      </c>
      <c r="P135" s="1549">
        <f t="shared" si="6"/>
        <v>3.6385714285714283</v>
      </c>
      <c r="Q135" s="1549">
        <f t="shared" si="6"/>
        <v>3.6385714285714283</v>
      </c>
      <c r="R135" s="1549">
        <f t="shared" si="6"/>
        <v>3.5599999999999996</v>
      </c>
      <c r="S135" s="1549">
        <f t="shared" si="6"/>
        <v>3.5599999999999996</v>
      </c>
      <c r="T135" s="1549">
        <f t="shared" si="6"/>
        <v>3.5599999999999996</v>
      </c>
      <c r="U135" s="1549">
        <f t="shared" si="6"/>
        <v>3.5314285714285711</v>
      </c>
      <c r="V135" s="1549">
        <f t="shared" si="6"/>
        <v>3.5314285714285711</v>
      </c>
      <c r="W135" s="1549">
        <f t="shared" si="6"/>
        <v>3.5314285714285711</v>
      </c>
      <c r="X135" s="1549">
        <f t="shared" si="6"/>
        <v>2</v>
      </c>
      <c r="Y135" s="1549">
        <f t="shared" si="6"/>
        <v>2</v>
      </c>
      <c r="Z135" s="1549">
        <f t="shared" si="6"/>
        <v>2</v>
      </c>
      <c r="AA135" s="1549">
        <f t="shared" si="6"/>
        <v>2</v>
      </c>
      <c r="AB135" s="1549">
        <f t="shared" si="6"/>
        <v>2</v>
      </c>
      <c r="AC135" s="1549">
        <f t="shared" si="6"/>
        <v>2</v>
      </c>
      <c r="AD135" s="1549">
        <f t="shared" si="6"/>
        <v>2</v>
      </c>
      <c r="AE135" s="1549">
        <f t="shared" si="6"/>
        <v>2</v>
      </c>
      <c r="AF135" s="1549">
        <f t="shared" si="6"/>
        <v>2</v>
      </c>
      <c r="AG135" s="1549">
        <f t="shared" si="6"/>
        <v>2</v>
      </c>
      <c r="AH135" s="1549">
        <f t="shared" si="6"/>
        <v>2</v>
      </c>
      <c r="AI135" s="1549">
        <f t="shared" si="6"/>
        <v>2</v>
      </c>
      <c r="AJ135" s="1549">
        <f t="shared" si="6"/>
        <v>2</v>
      </c>
      <c r="AK135" s="1549">
        <f t="shared" si="6"/>
        <v>2</v>
      </c>
      <c r="AL135" s="1549">
        <f t="shared" si="6"/>
        <v>2</v>
      </c>
      <c r="AM135" s="1549">
        <f t="shared" si="6"/>
        <v>2</v>
      </c>
      <c r="AN135" s="1549">
        <f t="shared" si="6"/>
        <v>2</v>
      </c>
      <c r="AO135" s="1549">
        <f t="shared" si="6"/>
        <v>2</v>
      </c>
      <c r="AP135" s="1549">
        <f t="shared" si="6"/>
        <v>2</v>
      </c>
      <c r="AQ135" s="1549">
        <f t="shared" ref="AQ135:BV135" si="7">IF(AND($C$14&gt;=AQ139,$C$14&lt;=AQ140),((($AI$49-$AH$49)/(AQ140-AQ139))*$C$14+($AH$49-(($AI$49-$AH$49)/(AQ140-AQ139))*AQ139)),2)</f>
        <v>2</v>
      </c>
      <c r="AR135" s="1549">
        <f t="shared" si="7"/>
        <v>2</v>
      </c>
      <c r="AS135" s="1549">
        <f t="shared" si="7"/>
        <v>2</v>
      </c>
      <c r="AT135" s="1549">
        <f t="shared" si="7"/>
        <v>2</v>
      </c>
      <c r="AU135" s="1549">
        <f t="shared" si="7"/>
        <v>2</v>
      </c>
      <c r="AV135" s="1549">
        <f t="shared" si="7"/>
        <v>2</v>
      </c>
      <c r="AW135" s="1549">
        <f t="shared" si="7"/>
        <v>2</v>
      </c>
      <c r="AX135" s="1549">
        <f t="shared" si="7"/>
        <v>2</v>
      </c>
      <c r="AY135" s="1549">
        <f t="shared" si="7"/>
        <v>2</v>
      </c>
      <c r="AZ135" s="1549">
        <f t="shared" si="7"/>
        <v>2</v>
      </c>
      <c r="BA135" s="1549">
        <f t="shared" si="7"/>
        <v>2</v>
      </c>
      <c r="BB135" s="1549">
        <f t="shared" si="7"/>
        <v>2</v>
      </c>
      <c r="BC135" s="1549">
        <f t="shared" si="7"/>
        <v>2</v>
      </c>
      <c r="BD135" s="1549">
        <f t="shared" si="7"/>
        <v>2</v>
      </c>
      <c r="BE135" s="1549">
        <f t="shared" si="7"/>
        <v>2</v>
      </c>
      <c r="BF135" s="1549">
        <f t="shared" si="7"/>
        <v>2</v>
      </c>
      <c r="BG135" s="1549">
        <f t="shared" si="7"/>
        <v>2</v>
      </c>
      <c r="BH135" s="1549">
        <f t="shared" si="7"/>
        <v>2</v>
      </c>
      <c r="BI135" s="1549">
        <f t="shared" si="7"/>
        <v>2</v>
      </c>
      <c r="BJ135" s="1549">
        <f t="shared" si="7"/>
        <v>2</v>
      </c>
      <c r="BK135" s="1549">
        <f t="shared" si="7"/>
        <v>2</v>
      </c>
      <c r="BL135" s="1549">
        <f t="shared" si="7"/>
        <v>2</v>
      </c>
      <c r="BM135" s="1549">
        <f t="shared" si="7"/>
        <v>2</v>
      </c>
      <c r="BN135" s="1549">
        <f t="shared" si="7"/>
        <v>2</v>
      </c>
      <c r="BO135" s="1549">
        <f t="shared" si="7"/>
        <v>2</v>
      </c>
      <c r="BP135" s="1549">
        <f t="shared" si="7"/>
        <v>2</v>
      </c>
      <c r="BQ135" s="1549">
        <f t="shared" si="7"/>
        <v>2</v>
      </c>
      <c r="BR135" s="1549">
        <f t="shared" si="7"/>
        <v>2</v>
      </c>
      <c r="BS135" s="1549">
        <f t="shared" si="7"/>
        <v>2</v>
      </c>
      <c r="BT135" s="1549">
        <f t="shared" si="7"/>
        <v>2</v>
      </c>
      <c r="BU135" s="1549">
        <f t="shared" si="7"/>
        <v>2</v>
      </c>
      <c r="BV135" s="1549">
        <f t="shared" si="7"/>
        <v>2</v>
      </c>
      <c r="BW135" s="1549">
        <f t="shared" ref="BW135:DG135" si="8">IF(AND($C$14&gt;=BW139,$C$14&lt;=BW140),((($AI$49-$AH$49)/(BW140-BW139))*$C$14+($AH$49-(($AI$49-$AH$49)/(BW140-BW139))*BW139)),2)</f>
        <v>2</v>
      </c>
      <c r="BX135" s="1549">
        <f t="shared" si="8"/>
        <v>2</v>
      </c>
      <c r="BY135" s="1549">
        <f t="shared" si="8"/>
        <v>2</v>
      </c>
      <c r="BZ135" s="1549">
        <f t="shared" si="8"/>
        <v>2</v>
      </c>
      <c r="CA135" s="1549">
        <f t="shared" si="8"/>
        <v>2</v>
      </c>
      <c r="CB135" s="1549">
        <f t="shared" si="8"/>
        <v>2</v>
      </c>
      <c r="CC135" s="1549">
        <f t="shared" si="8"/>
        <v>2</v>
      </c>
      <c r="CD135" s="1549">
        <f t="shared" si="8"/>
        <v>2</v>
      </c>
      <c r="CE135" s="1549">
        <f t="shared" si="8"/>
        <v>2</v>
      </c>
      <c r="CF135" s="1549">
        <f t="shared" si="8"/>
        <v>2</v>
      </c>
      <c r="CG135" s="1549">
        <f t="shared" si="8"/>
        <v>2</v>
      </c>
      <c r="CH135" s="1549">
        <f t="shared" si="8"/>
        <v>2</v>
      </c>
      <c r="CI135" s="1549">
        <f t="shared" si="8"/>
        <v>2</v>
      </c>
      <c r="CJ135" s="1549">
        <f t="shared" si="8"/>
        <v>2</v>
      </c>
      <c r="CK135" s="1549">
        <f t="shared" si="8"/>
        <v>2</v>
      </c>
      <c r="CL135" s="1549">
        <f t="shared" si="8"/>
        <v>2</v>
      </c>
      <c r="CM135" s="1549">
        <f t="shared" si="8"/>
        <v>2</v>
      </c>
      <c r="CN135" s="1549">
        <f t="shared" si="8"/>
        <v>2</v>
      </c>
      <c r="CO135" s="1549">
        <f t="shared" si="8"/>
        <v>2</v>
      </c>
      <c r="CP135" s="1549">
        <f t="shared" si="8"/>
        <v>2</v>
      </c>
      <c r="CQ135" s="1549">
        <f t="shared" si="8"/>
        <v>2</v>
      </c>
      <c r="CR135" s="1549">
        <f t="shared" si="8"/>
        <v>2</v>
      </c>
      <c r="CS135" s="1549">
        <f t="shared" si="8"/>
        <v>2</v>
      </c>
      <c r="CT135" s="1549">
        <f t="shared" si="8"/>
        <v>2</v>
      </c>
      <c r="CU135" s="1549">
        <f t="shared" si="8"/>
        <v>2</v>
      </c>
      <c r="CV135" s="1549">
        <f t="shared" si="8"/>
        <v>2</v>
      </c>
      <c r="CW135" s="1549">
        <f t="shared" si="8"/>
        <v>2</v>
      </c>
      <c r="CX135" s="1549">
        <f t="shared" si="8"/>
        <v>2</v>
      </c>
      <c r="CY135" s="1549">
        <f t="shared" si="8"/>
        <v>2</v>
      </c>
      <c r="CZ135" s="1549">
        <f t="shared" si="8"/>
        <v>2</v>
      </c>
      <c r="DA135" s="1549">
        <f t="shared" si="8"/>
        <v>2</v>
      </c>
      <c r="DB135" s="1549">
        <f t="shared" si="8"/>
        <v>2</v>
      </c>
      <c r="DC135" s="1549">
        <f t="shared" si="8"/>
        <v>2</v>
      </c>
      <c r="DD135" s="1549">
        <f t="shared" si="8"/>
        <v>2</v>
      </c>
      <c r="DE135" s="1549">
        <f t="shared" si="8"/>
        <v>2</v>
      </c>
      <c r="DF135" s="1549">
        <f t="shared" si="8"/>
        <v>2</v>
      </c>
      <c r="DG135" s="1549">
        <f t="shared" si="8"/>
        <v>2</v>
      </c>
    </row>
    <row r="136" spans="1:111" ht="20.25" customHeight="1" thickBot="1">
      <c r="A136" s="1855"/>
      <c r="B136" s="2767" t="s">
        <v>343</v>
      </c>
      <c r="C136" s="2768"/>
      <c r="D136" s="2859" t="s">
        <v>5702</v>
      </c>
      <c r="E136" s="2487" t="s">
        <v>192</v>
      </c>
      <c r="F136" s="2489" t="s">
        <v>0</v>
      </c>
      <c r="G136" s="2489" t="s">
        <v>1</v>
      </c>
      <c r="H136" s="2491" t="s">
        <v>153</v>
      </c>
      <c r="K136" s="2840">
        <v>1</v>
      </c>
      <c r="L136" s="2841"/>
      <c r="M136" s="2841"/>
      <c r="N136" s="2841"/>
      <c r="O136" s="2841"/>
      <c r="P136" s="2841"/>
      <c r="Q136" s="2841"/>
      <c r="R136" s="2841"/>
      <c r="S136" s="2841"/>
      <c r="T136" s="2841"/>
      <c r="U136" s="2841"/>
      <c r="V136" s="2842"/>
      <c r="W136" s="2840">
        <v>2</v>
      </c>
      <c r="X136" s="2841"/>
      <c r="Y136" s="2841"/>
      <c r="Z136" s="2841"/>
      <c r="AA136" s="2841"/>
      <c r="AB136" s="2841"/>
      <c r="AC136" s="2841"/>
      <c r="AD136" s="2841"/>
      <c r="AE136" s="2841"/>
      <c r="AF136" s="2842"/>
      <c r="AG136" s="2841">
        <v>3</v>
      </c>
      <c r="AH136" s="2841"/>
      <c r="AI136" s="2841"/>
      <c r="AJ136" s="2841"/>
      <c r="AK136" s="2841"/>
      <c r="AL136" s="2841"/>
      <c r="AM136" s="2841"/>
      <c r="AN136" s="2841"/>
      <c r="AO136" s="2841"/>
      <c r="AP136" s="2841"/>
      <c r="AQ136" s="2840">
        <v>4</v>
      </c>
      <c r="AR136" s="2841"/>
      <c r="AS136" s="2841"/>
      <c r="AT136" s="2841"/>
      <c r="AU136" s="2841"/>
      <c r="AV136" s="2841"/>
      <c r="AW136" s="2841"/>
      <c r="AX136" s="2841"/>
      <c r="AY136" s="2841"/>
      <c r="AZ136" s="2842"/>
      <c r="BA136" s="2840">
        <v>5</v>
      </c>
      <c r="BB136" s="2841"/>
      <c r="BC136" s="2841"/>
      <c r="BD136" s="2841"/>
      <c r="BE136" s="2841"/>
      <c r="BF136" s="2841"/>
      <c r="BG136" s="2842"/>
    </row>
    <row r="137" spans="1:111" ht="20.25" customHeight="1" thickBot="1">
      <c r="A137" s="1855"/>
      <c r="B137" s="2857"/>
      <c r="C137" s="2858"/>
      <c r="D137" s="2860"/>
      <c r="E137" s="2862"/>
      <c r="F137" s="2863"/>
      <c r="G137" s="2863"/>
      <c r="H137" s="2864"/>
      <c r="I137" s="2843" t="s">
        <v>16</v>
      </c>
      <c r="J137" s="2844"/>
      <c r="K137" s="2844"/>
      <c r="L137" s="2844"/>
      <c r="M137" s="2844"/>
      <c r="N137" s="2844"/>
      <c r="O137" s="2844"/>
      <c r="P137" s="2844"/>
      <c r="Q137" s="2844"/>
      <c r="R137" s="2844"/>
      <c r="S137" s="2844"/>
      <c r="T137" s="2844"/>
      <c r="U137" s="2844"/>
      <c r="V137" s="2844"/>
      <c r="W137" s="2844"/>
      <c r="X137" s="2844"/>
      <c r="Y137" s="2844"/>
      <c r="Z137" s="2844"/>
      <c r="AA137" s="2844"/>
      <c r="AB137" s="2844"/>
      <c r="AC137" s="2844"/>
      <c r="AD137" s="2844"/>
      <c r="AE137" s="2844"/>
      <c r="AF137" s="2844"/>
      <c r="AG137" s="2844"/>
      <c r="AH137" s="2844"/>
      <c r="AI137" s="2844"/>
      <c r="AJ137" s="2844"/>
      <c r="AK137" s="2844"/>
      <c r="AL137" s="2844"/>
      <c r="AM137" s="2844"/>
      <c r="AN137" s="2844"/>
      <c r="AO137" s="2844"/>
      <c r="AP137" s="2844"/>
      <c r="AQ137" s="2844"/>
      <c r="AR137" s="2844"/>
      <c r="AS137" s="2844"/>
      <c r="AT137" s="2844"/>
      <c r="AU137" s="2844"/>
      <c r="AV137" s="2844"/>
      <c r="AW137" s="2844"/>
      <c r="AX137" s="2844"/>
      <c r="AY137" s="2844"/>
      <c r="AZ137" s="2844"/>
      <c r="BA137" s="2844"/>
      <c r="BB137" s="2844"/>
      <c r="BC137" s="2844"/>
      <c r="BD137" s="2844"/>
      <c r="BE137" s="2844"/>
      <c r="BF137" s="2844"/>
      <c r="BG137" s="2845"/>
    </row>
    <row r="138" spans="1:111" ht="24" customHeight="1" thickBot="1">
      <c r="A138" s="1855"/>
      <c r="B138" s="2769"/>
      <c r="C138" s="2770"/>
      <c r="D138" s="2861"/>
      <c r="E138" s="2488"/>
      <c r="F138" s="2490"/>
      <c r="G138" s="2490"/>
      <c r="H138" s="2492"/>
      <c r="I138" s="734">
        <v>500</v>
      </c>
      <c r="J138" s="1550">
        <v>550</v>
      </c>
      <c r="K138" s="1551">
        <v>600</v>
      </c>
      <c r="L138" s="734">
        <v>650</v>
      </c>
      <c r="M138" s="734">
        <v>700</v>
      </c>
      <c r="N138" s="734">
        <v>750</v>
      </c>
      <c r="O138" s="734">
        <v>800</v>
      </c>
      <c r="P138" s="734">
        <v>850</v>
      </c>
      <c r="Q138" s="734">
        <v>900</v>
      </c>
      <c r="R138" s="734">
        <v>950</v>
      </c>
      <c r="S138" s="734">
        <v>1000</v>
      </c>
      <c r="T138" s="734">
        <v>1050</v>
      </c>
      <c r="U138" s="734">
        <v>1100</v>
      </c>
      <c r="V138" s="1552">
        <v>1150</v>
      </c>
      <c r="W138" s="1551">
        <v>1200</v>
      </c>
      <c r="X138" s="734">
        <v>1250</v>
      </c>
      <c r="Y138" s="734">
        <v>1300</v>
      </c>
      <c r="Z138" s="734">
        <v>1350</v>
      </c>
      <c r="AA138" s="734">
        <v>1400</v>
      </c>
      <c r="AB138" s="734">
        <v>1450</v>
      </c>
      <c r="AC138" s="734">
        <v>1500</v>
      </c>
      <c r="AD138" s="734">
        <v>1550</v>
      </c>
      <c r="AE138" s="734">
        <v>1600</v>
      </c>
      <c r="AF138" s="1552">
        <v>1650</v>
      </c>
      <c r="AG138" s="1553">
        <v>1700</v>
      </c>
      <c r="AH138" s="734">
        <v>1750</v>
      </c>
      <c r="AI138" s="734">
        <v>1800</v>
      </c>
      <c r="AJ138" s="734">
        <v>1850</v>
      </c>
      <c r="AK138" s="734">
        <v>1900</v>
      </c>
      <c r="AL138" s="734">
        <v>1950</v>
      </c>
      <c r="AM138" s="734">
        <v>2000</v>
      </c>
      <c r="AN138" s="734">
        <v>2050</v>
      </c>
      <c r="AO138" s="734">
        <v>2100</v>
      </c>
      <c r="AP138" s="1550">
        <v>2150</v>
      </c>
      <c r="AQ138" s="1551">
        <v>2200</v>
      </c>
      <c r="AR138" s="734">
        <v>2250</v>
      </c>
      <c r="AS138" s="734">
        <v>2300</v>
      </c>
      <c r="AT138" s="734">
        <v>2350</v>
      </c>
      <c r="AU138" s="734">
        <v>2400</v>
      </c>
      <c r="AV138" s="734">
        <v>2450</v>
      </c>
      <c r="AW138" s="734">
        <v>2500</v>
      </c>
      <c r="AX138" s="734">
        <v>2550</v>
      </c>
      <c r="AY138" s="734">
        <v>2600</v>
      </c>
      <c r="AZ138" s="1552">
        <v>2650</v>
      </c>
      <c r="BA138" s="1551">
        <v>2700</v>
      </c>
      <c r="BB138" s="734">
        <v>2750</v>
      </c>
      <c r="BC138" s="734">
        <v>2800</v>
      </c>
      <c r="BD138" s="734">
        <v>2850</v>
      </c>
      <c r="BE138" s="734">
        <v>2900</v>
      </c>
      <c r="BF138" s="735">
        <v>2950</v>
      </c>
      <c r="BG138" s="1554">
        <v>3000</v>
      </c>
      <c r="BH138" s="1855"/>
      <c r="BI138" s="1855"/>
      <c r="BK138" s="1851">
        <v>500</v>
      </c>
      <c r="BL138" s="632">
        <v>550</v>
      </c>
      <c r="BM138" s="633">
        <v>600</v>
      </c>
      <c r="BN138" s="634">
        <v>650</v>
      </c>
      <c r="BO138" s="634">
        <v>700</v>
      </c>
      <c r="BP138" s="634">
        <v>750</v>
      </c>
      <c r="BQ138" s="634">
        <v>800</v>
      </c>
      <c r="BR138" s="634">
        <v>850</v>
      </c>
      <c r="BS138" s="634">
        <v>900</v>
      </c>
      <c r="BT138" s="634">
        <v>950</v>
      </c>
      <c r="BU138" s="634">
        <v>1000</v>
      </c>
      <c r="BV138" s="634">
        <v>1050</v>
      </c>
      <c r="BW138" s="634">
        <v>1100</v>
      </c>
      <c r="BX138" s="634">
        <v>1150</v>
      </c>
      <c r="BY138" s="634">
        <v>1200</v>
      </c>
      <c r="BZ138" s="634">
        <v>1250</v>
      </c>
      <c r="CA138" s="634">
        <v>1300</v>
      </c>
      <c r="CB138" s="634">
        <v>1350</v>
      </c>
      <c r="CC138" s="634">
        <v>1400</v>
      </c>
      <c r="CD138" s="634">
        <v>1450</v>
      </c>
      <c r="CE138" s="634">
        <v>1500</v>
      </c>
      <c r="CF138" s="634">
        <v>1550</v>
      </c>
      <c r="CG138" s="634">
        <v>1600</v>
      </c>
      <c r="CH138" s="634">
        <v>1650</v>
      </c>
      <c r="CI138" s="634">
        <v>1700</v>
      </c>
      <c r="CJ138" s="634">
        <v>1750</v>
      </c>
      <c r="CK138" s="634">
        <v>1800</v>
      </c>
      <c r="CL138" s="634">
        <v>1850</v>
      </c>
      <c r="CM138" s="634">
        <v>1900</v>
      </c>
      <c r="CN138" s="634">
        <v>1950</v>
      </c>
      <c r="CO138" s="634">
        <v>2000</v>
      </c>
      <c r="CP138" s="634">
        <v>2050</v>
      </c>
      <c r="CQ138" s="634">
        <v>2100</v>
      </c>
      <c r="CR138" s="634">
        <v>2150</v>
      </c>
      <c r="CS138" s="634">
        <v>2200</v>
      </c>
      <c r="CT138" s="634">
        <v>2250</v>
      </c>
      <c r="CU138" s="634">
        <v>2300</v>
      </c>
      <c r="CV138" s="634">
        <v>2350</v>
      </c>
      <c r="CW138" s="634">
        <v>2400</v>
      </c>
      <c r="CX138" s="634">
        <v>2450</v>
      </c>
      <c r="CY138" s="634">
        <v>2500</v>
      </c>
      <c r="CZ138" s="634">
        <v>2550</v>
      </c>
      <c r="DA138" s="634">
        <v>2600</v>
      </c>
      <c r="DB138" s="634">
        <v>2650</v>
      </c>
      <c r="DC138" s="634">
        <v>2700</v>
      </c>
      <c r="DD138" s="634">
        <v>2750</v>
      </c>
      <c r="DE138" s="634">
        <v>2800</v>
      </c>
      <c r="DF138" s="634">
        <v>2850</v>
      </c>
      <c r="DG138" s="634">
        <v>2900</v>
      </c>
    </row>
    <row r="139" spans="1:111" ht="15.75" hidden="1" customHeight="1">
      <c r="A139" s="1855"/>
      <c r="B139" s="1862"/>
      <c r="C139" s="1863"/>
      <c r="D139" s="1555"/>
      <c r="E139" s="1556"/>
      <c r="F139" s="1557"/>
      <c r="G139" s="1557"/>
      <c r="H139" s="1558"/>
      <c r="I139" s="1559"/>
      <c r="J139" s="1559"/>
      <c r="K139" s="1560">
        <v>8</v>
      </c>
      <c r="L139" s="1559">
        <v>8</v>
      </c>
      <c r="M139" s="1559">
        <v>8</v>
      </c>
      <c r="N139" s="1559">
        <v>8</v>
      </c>
      <c r="O139" s="1559">
        <v>8</v>
      </c>
      <c r="P139" s="1559">
        <v>8</v>
      </c>
      <c r="Q139" s="1559">
        <v>8</v>
      </c>
      <c r="R139" s="1559">
        <v>12.5</v>
      </c>
      <c r="S139" s="1559">
        <v>12.5</v>
      </c>
      <c r="T139" s="1559">
        <v>12.5</v>
      </c>
      <c r="U139" s="1559">
        <v>16</v>
      </c>
      <c r="V139" s="1561">
        <v>16</v>
      </c>
      <c r="W139" s="1560">
        <v>16</v>
      </c>
      <c r="X139" s="1559">
        <v>20.5</v>
      </c>
      <c r="Y139" s="1559">
        <v>20.5</v>
      </c>
      <c r="Z139" s="1559">
        <v>30</v>
      </c>
      <c r="AA139" s="1559">
        <v>30</v>
      </c>
      <c r="AB139" s="1559">
        <v>30</v>
      </c>
      <c r="AC139" s="1559">
        <v>30</v>
      </c>
      <c r="AD139" s="1559">
        <v>30</v>
      </c>
      <c r="AE139" s="1559">
        <v>30</v>
      </c>
      <c r="AF139" s="1561">
        <v>38</v>
      </c>
      <c r="AG139" s="1559">
        <v>38</v>
      </c>
      <c r="AH139" s="1559">
        <v>45</v>
      </c>
      <c r="AI139" s="1559">
        <v>45</v>
      </c>
      <c r="AJ139" s="1559">
        <v>45</v>
      </c>
      <c r="AK139" s="1559">
        <v>45</v>
      </c>
      <c r="AL139" s="1559">
        <v>45</v>
      </c>
      <c r="AM139" s="1559">
        <v>53</v>
      </c>
      <c r="AN139" s="1559">
        <v>53</v>
      </c>
      <c r="AO139" s="1559">
        <v>53</v>
      </c>
      <c r="AP139" s="1559">
        <v>53</v>
      </c>
      <c r="AQ139" s="1560">
        <v>60</v>
      </c>
      <c r="AR139" s="1559">
        <v>60</v>
      </c>
      <c r="AS139" s="1559">
        <v>60</v>
      </c>
      <c r="AT139" s="1559">
        <v>60</v>
      </c>
      <c r="AU139" s="1559">
        <v>60</v>
      </c>
      <c r="AV139" s="1559">
        <v>60</v>
      </c>
      <c r="AW139" s="1559">
        <v>60</v>
      </c>
      <c r="AX139" s="1559">
        <v>75</v>
      </c>
      <c r="AY139" s="1559">
        <v>75</v>
      </c>
      <c r="AZ139" s="1561">
        <v>75</v>
      </c>
      <c r="BA139" s="1560">
        <v>75</v>
      </c>
      <c r="BB139" s="1559">
        <v>75</v>
      </c>
      <c r="BC139" s="1559">
        <v>75</v>
      </c>
      <c r="BD139" s="1559">
        <v>75</v>
      </c>
      <c r="BE139" s="1559">
        <v>75</v>
      </c>
      <c r="BF139" s="1562">
        <v>90</v>
      </c>
      <c r="BG139" s="1563">
        <v>90</v>
      </c>
      <c r="BH139" s="1855">
        <v>90</v>
      </c>
      <c r="BI139" s="1855">
        <v>90</v>
      </c>
      <c r="BJ139" s="571">
        <v>90</v>
      </c>
      <c r="BK139" s="1283">
        <v>90</v>
      </c>
      <c r="BL139" s="1283">
        <v>90</v>
      </c>
      <c r="BM139" s="1564">
        <v>90</v>
      </c>
      <c r="BN139" s="1564"/>
      <c r="BO139" s="1564"/>
      <c r="BP139" s="1564"/>
      <c r="BQ139" s="1564"/>
      <c r="BR139" s="1564"/>
      <c r="BS139" s="1564"/>
      <c r="BT139" s="1564"/>
      <c r="BU139" s="1564"/>
      <c r="BV139" s="1564"/>
      <c r="BW139" s="1564"/>
      <c r="BX139" s="1564"/>
      <c r="BY139" s="1564"/>
      <c r="BZ139" s="1564"/>
      <c r="CA139" s="1564"/>
      <c r="CB139" s="1564"/>
      <c r="CC139" s="1564"/>
      <c r="CD139" s="1564"/>
      <c r="CE139" s="1564"/>
      <c r="CF139" s="1564"/>
      <c r="CG139" s="1564"/>
      <c r="CH139" s="1564"/>
      <c r="CI139" s="1564"/>
      <c r="CJ139" s="1564"/>
      <c r="CK139" s="1564"/>
      <c r="CL139" s="1564"/>
      <c r="CM139" s="1564"/>
      <c r="CN139" s="1564"/>
      <c r="CO139" s="1564"/>
      <c r="CP139" s="1564"/>
      <c r="CQ139" s="1564"/>
      <c r="CR139" s="1564"/>
      <c r="CS139" s="1564"/>
      <c r="CT139" s="1564"/>
      <c r="CU139" s="1564"/>
      <c r="CV139" s="1564"/>
      <c r="CW139" s="1564"/>
      <c r="CX139" s="1564"/>
      <c r="CY139" s="1564"/>
      <c r="CZ139" s="1564"/>
      <c r="DA139" s="1564"/>
      <c r="DB139" s="1564"/>
      <c r="DC139" s="1564"/>
      <c r="DD139" s="1564"/>
      <c r="DE139" s="1564"/>
      <c r="DF139" s="1564"/>
      <c r="DG139" s="1564"/>
    </row>
    <row r="140" spans="1:111" ht="15.75" hidden="1" customHeight="1">
      <c r="A140" s="1855"/>
      <c r="B140" s="1862"/>
      <c r="C140" s="1863"/>
      <c r="D140" s="1555"/>
      <c r="E140" s="1556"/>
      <c r="F140" s="1557"/>
      <c r="G140" s="1557"/>
      <c r="H140" s="1558"/>
      <c r="I140" s="1559"/>
      <c r="J140" s="1559"/>
      <c r="K140" s="1560">
        <v>50</v>
      </c>
      <c r="L140" s="1559">
        <v>50</v>
      </c>
      <c r="M140" s="1559">
        <v>50</v>
      </c>
      <c r="N140" s="1559">
        <v>50</v>
      </c>
      <c r="O140" s="1559">
        <v>50</v>
      </c>
      <c r="P140" s="1559">
        <v>50</v>
      </c>
      <c r="Q140" s="1559">
        <v>50</v>
      </c>
      <c r="R140" s="1559">
        <v>80</v>
      </c>
      <c r="S140" s="1559">
        <v>80</v>
      </c>
      <c r="T140" s="1559">
        <v>80</v>
      </c>
      <c r="U140" s="1559">
        <v>100</v>
      </c>
      <c r="V140" s="1561">
        <v>100</v>
      </c>
      <c r="W140" s="1560">
        <v>100</v>
      </c>
      <c r="X140" s="1559">
        <v>130</v>
      </c>
      <c r="Y140" s="1559">
        <v>130</v>
      </c>
      <c r="Z140" s="1559">
        <v>160</v>
      </c>
      <c r="AA140" s="1559">
        <v>160</v>
      </c>
      <c r="AB140" s="1559">
        <v>160</v>
      </c>
      <c r="AC140" s="1559">
        <v>160</v>
      </c>
      <c r="AD140" s="1559">
        <v>160</v>
      </c>
      <c r="AE140" s="1559">
        <v>160</v>
      </c>
      <c r="AF140" s="1561">
        <v>210</v>
      </c>
      <c r="AG140" s="1559">
        <v>210</v>
      </c>
      <c r="AH140" s="1559">
        <v>235</v>
      </c>
      <c r="AI140" s="1559">
        <v>235</v>
      </c>
      <c r="AJ140" s="1559">
        <v>235</v>
      </c>
      <c r="AK140" s="1559">
        <v>235</v>
      </c>
      <c r="AL140" s="1559">
        <v>235</v>
      </c>
      <c r="AM140" s="1559">
        <v>285</v>
      </c>
      <c r="AN140" s="1559">
        <v>285</v>
      </c>
      <c r="AO140" s="1559">
        <v>285</v>
      </c>
      <c r="AP140" s="1559">
        <v>285</v>
      </c>
      <c r="AQ140" s="1560">
        <v>320</v>
      </c>
      <c r="AR140" s="1559">
        <v>320</v>
      </c>
      <c r="AS140" s="1559">
        <v>320</v>
      </c>
      <c r="AT140" s="1559">
        <v>320</v>
      </c>
      <c r="AU140" s="1559">
        <v>320</v>
      </c>
      <c r="AV140" s="1559">
        <v>320</v>
      </c>
      <c r="AW140" s="1559">
        <v>320</v>
      </c>
      <c r="AX140" s="1559">
        <v>395</v>
      </c>
      <c r="AY140" s="1559">
        <v>395</v>
      </c>
      <c r="AZ140" s="1561">
        <v>395</v>
      </c>
      <c r="BA140" s="1560">
        <v>395</v>
      </c>
      <c r="BB140" s="1559">
        <v>395</v>
      </c>
      <c r="BC140" s="1559">
        <v>395</v>
      </c>
      <c r="BD140" s="1559">
        <v>395</v>
      </c>
      <c r="BE140" s="1559">
        <v>395</v>
      </c>
      <c r="BF140" s="1562">
        <v>470</v>
      </c>
      <c r="BG140" s="1563">
        <v>470</v>
      </c>
      <c r="BH140" s="1855">
        <v>470</v>
      </c>
      <c r="BI140" s="1855">
        <v>470</v>
      </c>
      <c r="BJ140" s="571">
        <v>470</v>
      </c>
      <c r="BK140" s="1283">
        <v>470</v>
      </c>
      <c r="BL140" s="1283">
        <v>470</v>
      </c>
      <c r="BM140" s="1564">
        <v>470</v>
      </c>
      <c r="BN140" s="1564"/>
      <c r="BO140" s="1564"/>
      <c r="BP140" s="1564"/>
      <c r="BQ140" s="1564"/>
      <c r="BR140" s="1564"/>
      <c r="BS140" s="1564"/>
      <c r="BT140" s="1564"/>
      <c r="BU140" s="1564"/>
      <c r="BV140" s="1564"/>
      <c r="BW140" s="1564"/>
      <c r="BX140" s="1564"/>
      <c r="BY140" s="1564"/>
      <c r="BZ140" s="1564"/>
      <c r="CA140" s="1564"/>
      <c r="CB140" s="1564"/>
      <c r="CC140" s="1564"/>
      <c r="CD140" s="1564"/>
      <c r="CE140" s="1564"/>
      <c r="CF140" s="1564"/>
      <c r="CG140" s="1564"/>
      <c r="CH140" s="1564"/>
      <c r="CI140" s="1564"/>
      <c r="CJ140" s="1564"/>
      <c r="CK140" s="1564"/>
      <c r="CL140" s="1564"/>
      <c r="CM140" s="1564"/>
      <c r="CN140" s="1564"/>
      <c r="CO140" s="1564"/>
      <c r="CP140" s="1564"/>
      <c r="CQ140" s="1564"/>
      <c r="CR140" s="1564"/>
      <c r="CS140" s="1564"/>
      <c r="CT140" s="1564"/>
      <c r="CU140" s="1564"/>
      <c r="CV140" s="1564"/>
      <c r="CW140" s="1564"/>
      <c r="CX140" s="1564"/>
      <c r="CY140" s="1564"/>
      <c r="CZ140" s="1564"/>
      <c r="DA140" s="1564"/>
      <c r="DB140" s="1564"/>
      <c r="DC140" s="1564"/>
      <c r="DD140" s="1564"/>
      <c r="DE140" s="1564"/>
      <c r="DF140" s="1564"/>
      <c r="DG140" s="1564"/>
    </row>
    <row r="141" spans="1:111" ht="15.75" hidden="1" customHeight="1">
      <c r="A141" s="2773" t="s">
        <v>194</v>
      </c>
      <c r="B141" s="2847" t="s">
        <v>5703</v>
      </c>
      <c r="C141" s="2848"/>
      <c r="D141" s="2849"/>
      <c r="E141" s="1565" t="s">
        <v>194</v>
      </c>
      <c r="F141" s="1566">
        <v>65</v>
      </c>
      <c r="G141" s="1566">
        <v>260</v>
      </c>
      <c r="H141" s="1566">
        <v>2</v>
      </c>
      <c r="I141" s="1567"/>
      <c r="J141" s="1568"/>
      <c r="K141" s="1569">
        <f t="shared" ref="K141:AP141" si="9">((K$138-$I$4)/1000)*IF($C$13=0,$N$28,$N$45)*(($C$8/70)^$Y$45)*IF($C$13=1,$AH$45,IF($C$13=2,$AI$45,IF($C$13=3,$AJ$45,1)))</f>
        <v>504.47580299999998</v>
      </c>
      <c r="L141" s="1570">
        <f t="shared" si="9"/>
        <v>605.37096359999998</v>
      </c>
      <c r="M141" s="1570">
        <f t="shared" si="9"/>
        <v>706.26612420000004</v>
      </c>
      <c r="N141" s="1570">
        <f t="shared" si="9"/>
        <v>807.16128479999998</v>
      </c>
      <c r="O141" s="1570">
        <f t="shared" si="9"/>
        <v>908.05644540000003</v>
      </c>
      <c r="P141" s="1570">
        <f t="shared" si="9"/>
        <v>1008.951606</v>
      </c>
      <c r="Q141" s="1570">
        <f t="shared" si="9"/>
        <v>1109.8467666000001</v>
      </c>
      <c r="R141" s="1570">
        <f t="shared" si="9"/>
        <v>1210.7419272</v>
      </c>
      <c r="S141" s="1570">
        <f t="shared" si="9"/>
        <v>1311.6370878</v>
      </c>
      <c r="T141" s="1570">
        <f t="shared" si="9"/>
        <v>1412.5322484000001</v>
      </c>
      <c r="U141" s="1570">
        <f t="shared" si="9"/>
        <v>1513.4274090000001</v>
      </c>
      <c r="V141" s="1571">
        <f t="shared" si="9"/>
        <v>1614.3225696</v>
      </c>
      <c r="W141" s="1569">
        <f t="shared" si="9"/>
        <v>1715.2177301999998</v>
      </c>
      <c r="X141" s="1570">
        <f t="shared" si="9"/>
        <v>1816.1128908000001</v>
      </c>
      <c r="Y141" s="1570">
        <f t="shared" si="9"/>
        <v>1917.0080513999999</v>
      </c>
      <c r="Z141" s="1570">
        <f t="shared" si="9"/>
        <v>2017.9032119999999</v>
      </c>
      <c r="AA141" s="1570">
        <f t="shared" si="9"/>
        <v>2118.7983726000002</v>
      </c>
      <c r="AB141" s="1570">
        <f t="shared" si="9"/>
        <v>2219.6935332000003</v>
      </c>
      <c r="AC141" s="1570">
        <f t="shared" si="9"/>
        <v>2320.5886937999999</v>
      </c>
      <c r="AD141" s="1570">
        <f t="shared" si="9"/>
        <v>2421.4838543999999</v>
      </c>
      <c r="AE141" s="1570">
        <f t="shared" si="9"/>
        <v>2522.379015</v>
      </c>
      <c r="AF141" s="1571">
        <f t="shared" si="9"/>
        <v>2623.2741756</v>
      </c>
      <c r="AG141" s="1572">
        <f t="shared" si="9"/>
        <v>2724.1693362000001</v>
      </c>
      <c r="AH141" s="1570">
        <f t="shared" si="9"/>
        <v>2825.0644968000001</v>
      </c>
      <c r="AI141" s="1570">
        <f t="shared" si="9"/>
        <v>2925.9596573999997</v>
      </c>
      <c r="AJ141" s="1570">
        <f t="shared" si="9"/>
        <v>3026.8548180000003</v>
      </c>
      <c r="AK141" s="1570">
        <f t="shared" si="9"/>
        <v>3127.7499786000003</v>
      </c>
      <c r="AL141" s="1570">
        <f t="shared" si="9"/>
        <v>3228.6451391999999</v>
      </c>
      <c r="AM141" s="1570">
        <f t="shared" si="9"/>
        <v>3329.5402998</v>
      </c>
      <c r="AN141" s="1570">
        <f t="shared" si="9"/>
        <v>3430.4354603999996</v>
      </c>
      <c r="AO141" s="1570">
        <f t="shared" si="9"/>
        <v>3531.3306210000001</v>
      </c>
      <c r="AP141" s="1573">
        <f t="shared" si="9"/>
        <v>3632.2257816000001</v>
      </c>
      <c r="AQ141" s="1569">
        <f t="shared" ref="AQ141:BG141" si="10">((AQ$138-$I$4)/1000)*IF($C$13=0,$N$28,$N$45)*(($C$8/70)^$Y$45)*IF($C$13=1,$AH$45,IF($C$13=2,$AI$45,IF($C$13=3,$AJ$45,1)))</f>
        <v>3733.1209421999997</v>
      </c>
      <c r="AR141" s="1570">
        <f t="shared" si="10"/>
        <v>3834.0161027999998</v>
      </c>
      <c r="AS141" s="1570">
        <f t="shared" si="10"/>
        <v>3934.9112634000003</v>
      </c>
      <c r="AT141" s="1570">
        <f t="shared" si="10"/>
        <v>4035.8064239999999</v>
      </c>
      <c r="AU141" s="1570">
        <f t="shared" si="10"/>
        <v>4136.7015845999995</v>
      </c>
      <c r="AV141" s="1570">
        <f t="shared" si="10"/>
        <v>4237.5967452000004</v>
      </c>
      <c r="AW141" s="1570">
        <f t="shared" si="10"/>
        <v>4338.4919058000005</v>
      </c>
      <c r="AX141" s="1570">
        <f t="shared" si="10"/>
        <v>4439.3870664000005</v>
      </c>
      <c r="AY141" s="1570">
        <f t="shared" si="10"/>
        <v>4540.2822269999997</v>
      </c>
      <c r="AZ141" s="1571">
        <f t="shared" si="10"/>
        <v>4641.1773875999997</v>
      </c>
      <c r="BA141" s="1569">
        <f t="shared" si="10"/>
        <v>4742.0725482000007</v>
      </c>
      <c r="BB141" s="1570">
        <f t="shared" si="10"/>
        <v>4842.9677087999999</v>
      </c>
      <c r="BC141" s="1570">
        <f t="shared" si="10"/>
        <v>4943.8628694000008</v>
      </c>
      <c r="BD141" s="1570">
        <f t="shared" si="10"/>
        <v>5044.75803</v>
      </c>
      <c r="BE141" s="1570">
        <f t="shared" si="10"/>
        <v>5145.6531905999991</v>
      </c>
      <c r="BF141" s="1570">
        <f t="shared" si="10"/>
        <v>5246.5483512000001</v>
      </c>
      <c r="BG141" s="1571">
        <f t="shared" si="10"/>
        <v>5347.4435118000001</v>
      </c>
      <c r="BH141" s="1855"/>
      <c r="BI141" s="1855"/>
      <c r="BK141" s="571">
        <f t="shared" ref="BK141:BZ152" si="11">K145/K141</f>
        <v>1.2291397849462367</v>
      </c>
      <c r="BL141" s="571">
        <f t="shared" si="11"/>
        <v>1.2291397849462367</v>
      </c>
      <c r="BM141" s="571">
        <f t="shared" si="11"/>
        <v>1.2291397849462364</v>
      </c>
      <c r="BN141" s="571">
        <f t="shared" si="11"/>
        <v>1.2291397849462367</v>
      </c>
      <c r="BO141" s="571">
        <f t="shared" si="11"/>
        <v>1.2291397849462367</v>
      </c>
      <c r="BP141" s="571">
        <f t="shared" si="11"/>
        <v>1.2291397849462367</v>
      </c>
      <c r="BQ141" s="571">
        <f t="shared" si="11"/>
        <v>1.2291397849462367</v>
      </c>
      <c r="BR141" s="571">
        <f t="shared" si="11"/>
        <v>1.2291397849462367</v>
      </c>
      <c r="BS141" s="571">
        <f t="shared" si="11"/>
        <v>1.2291397849462367</v>
      </c>
      <c r="BT141" s="571">
        <f t="shared" si="11"/>
        <v>1.2291397849462364</v>
      </c>
      <c r="BU141" s="571">
        <f t="shared" si="11"/>
        <v>1.2291397849462367</v>
      </c>
      <c r="BV141" s="571">
        <f t="shared" si="11"/>
        <v>1.2291397849462367</v>
      </c>
      <c r="BW141" s="571">
        <f t="shared" si="11"/>
        <v>1.2291397849462367</v>
      </c>
      <c r="BX141" s="571">
        <f t="shared" si="11"/>
        <v>1.2291397849462367</v>
      </c>
      <c r="BY141" s="571">
        <f t="shared" si="11"/>
        <v>1.2291397849462364</v>
      </c>
      <c r="BZ141" s="571">
        <f t="shared" si="11"/>
        <v>1.2291397849462367</v>
      </c>
      <c r="CA141" s="571">
        <f t="shared" ref="CA141:CP152" si="12">AA145/AA141</f>
        <v>1.2291397849462367</v>
      </c>
      <c r="CB141" s="571">
        <f t="shared" si="12"/>
        <v>1.2291397849462367</v>
      </c>
      <c r="CC141" s="571">
        <f t="shared" si="12"/>
        <v>1.2291397849462364</v>
      </c>
      <c r="CD141" s="571">
        <f t="shared" si="12"/>
        <v>1.2291397849462367</v>
      </c>
      <c r="CE141" s="571">
        <f t="shared" si="12"/>
        <v>1.2291397849462367</v>
      </c>
      <c r="CF141" s="571">
        <f t="shared" si="12"/>
        <v>1.2291397849462367</v>
      </c>
      <c r="CG141" s="571">
        <f t="shared" si="12"/>
        <v>1.2291397849462367</v>
      </c>
      <c r="CH141" s="571">
        <f t="shared" si="12"/>
        <v>1.2291397849462364</v>
      </c>
      <c r="CI141" s="571">
        <f t="shared" si="12"/>
        <v>1.2291397849462367</v>
      </c>
      <c r="CJ141" s="571">
        <f t="shared" si="12"/>
        <v>1.2291397849462367</v>
      </c>
      <c r="CK141" s="571">
        <f t="shared" si="12"/>
        <v>1.2291397849462367</v>
      </c>
      <c r="CL141" s="571">
        <f t="shared" si="12"/>
        <v>1.2291397849462367</v>
      </c>
      <c r="CM141" s="571">
        <f t="shared" si="12"/>
        <v>1.2291397849462364</v>
      </c>
      <c r="CN141" s="571">
        <f t="shared" si="12"/>
        <v>1.2291397849462367</v>
      </c>
      <c r="CO141" s="571">
        <f t="shared" si="12"/>
        <v>1.2291397849462367</v>
      </c>
      <c r="CP141" s="571">
        <f t="shared" si="12"/>
        <v>1.2291397849462367</v>
      </c>
      <c r="CQ141" s="571">
        <f t="shared" ref="CQ141:DF152" si="13">AQ145/AQ141</f>
        <v>1.2291397849462367</v>
      </c>
      <c r="CR141" s="571">
        <f t="shared" si="13"/>
        <v>1.2291397849462364</v>
      </c>
      <c r="CS141" s="571">
        <f t="shared" si="13"/>
        <v>1.2291397849462364</v>
      </c>
      <c r="CT141" s="571">
        <f t="shared" si="13"/>
        <v>1.2291397849462367</v>
      </c>
      <c r="CU141" s="571">
        <f t="shared" si="13"/>
        <v>1.2291397849462367</v>
      </c>
      <c r="CV141" s="571">
        <f t="shared" si="13"/>
        <v>1.2291397849462367</v>
      </c>
      <c r="CW141" s="571">
        <f t="shared" si="13"/>
        <v>1.2291397849462364</v>
      </c>
      <c r="CX141" s="571">
        <f t="shared" si="13"/>
        <v>1.2291397849462367</v>
      </c>
      <c r="CY141" s="571">
        <f t="shared" si="13"/>
        <v>1.2291397849462367</v>
      </c>
      <c r="CZ141" s="571">
        <f t="shared" si="13"/>
        <v>1.2291397849462364</v>
      </c>
      <c r="DA141" s="571">
        <f t="shared" si="13"/>
        <v>1.2291397849462367</v>
      </c>
      <c r="DB141" s="571">
        <f t="shared" si="13"/>
        <v>1.2291397849462367</v>
      </c>
      <c r="DC141" s="571">
        <f t="shared" si="13"/>
        <v>1.2291397849462364</v>
      </c>
      <c r="DD141" s="571">
        <f t="shared" si="13"/>
        <v>1.2291397849462367</v>
      </c>
      <c r="DE141" s="571">
        <f t="shared" si="13"/>
        <v>1.2291397849462367</v>
      </c>
      <c r="DF141" s="571">
        <f t="shared" si="13"/>
        <v>1.2291397849462367</v>
      </c>
      <c r="DG141" s="571">
        <f t="shared" ref="DG141:DG152" si="14">BG145/BG141</f>
        <v>1.2291397849462367</v>
      </c>
    </row>
    <row r="142" spans="1:111" ht="15.75" hidden="1" customHeight="1">
      <c r="A142" s="2773"/>
      <c r="B142" s="2851" t="s">
        <v>494</v>
      </c>
      <c r="C142" s="2852"/>
      <c r="D142" s="2850"/>
      <c r="E142" s="1565" t="s">
        <v>194</v>
      </c>
      <c r="F142" s="1574">
        <v>65</v>
      </c>
      <c r="G142" s="1574">
        <v>300</v>
      </c>
      <c r="H142" s="1574">
        <v>2</v>
      </c>
      <c r="I142" s="1575"/>
      <c r="J142" s="1576"/>
      <c r="K142" s="1577">
        <f t="shared" ref="K142:AP142" si="15">((K$138-$I$4)/1000)*IF($C$13=0,$O$28,$O$45)*(($C$8/70)^$Z$45)*IF($C$13=1,$AH$45,IF($C$13=2,$AI$45,IF($C$13=3,$AJ$45,1)))</f>
        <v>558.72051299999998</v>
      </c>
      <c r="L142" s="1578">
        <f t="shared" si="15"/>
        <v>670.4646156</v>
      </c>
      <c r="M142" s="1578">
        <f t="shared" si="15"/>
        <v>782.20871819999991</v>
      </c>
      <c r="N142" s="1578">
        <f t="shared" si="15"/>
        <v>893.95282080000004</v>
      </c>
      <c r="O142" s="1578">
        <f t="shared" si="15"/>
        <v>1005.6969234000002</v>
      </c>
      <c r="P142" s="1578">
        <f t="shared" si="15"/>
        <v>1117.441026</v>
      </c>
      <c r="Q142" s="1578">
        <f t="shared" si="15"/>
        <v>1229.1851286000001</v>
      </c>
      <c r="R142" s="1578">
        <f t="shared" si="15"/>
        <v>1340.9292312</v>
      </c>
      <c r="S142" s="1578">
        <f t="shared" si="15"/>
        <v>1452.6733338000001</v>
      </c>
      <c r="T142" s="1578">
        <f t="shared" si="15"/>
        <v>1564.4174363999998</v>
      </c>
      <c r="U142" s="1578">
        <f t="shared" si="15"/>
        <v>1676.1615390000002</v>
      </c>
      <c r="V142" s="1579">
        <f t="shared" si="15"/>
        <v>1787.9056416000001</v>
      </c>
      <c r="W142" s="1577">
        <f t="shared" si="15"/>
        <v>1899.6497442</v>
      </c>
      <c r="X142" s="1578">
        <f t="shared" si="15"/>
        <v>2011.3938468000003</v>
      </c>
      <c r="Y142" s="1578">
        <f t="shared" si="15"/>
        <v>2123.1379493999998</v>
      </c>
      <c r="Z142" s="1578">
        <f t="shared" si="15"/>
        <v>2234.8820519999999</v>
      </c>
      <c r="AA142" s="1578">
        <f t="shared" si="15"/>
        <v>2346.6261546000005</v>
      </c>
      <c r="AB142" s="1578">
        <f t="shared" si="15"/>
        <v>2458.3702572000002</v>
      </c>
      <c r="AC142" s="1578">
        <f t="shared" si="15"/>
        <v>2570.1143597999999</v>
      </c>
      <c r="AD142" s="1578">
        <f t="shared" si="15"/>
        <v>2681.8584624</v>
      </c>
      <c r="AE142" s="1578">
        <f t="shared" si="15"/>
        <v>2793.6025650000001</v>
      </c>
      <c r="AF142" s="1579">
        <f t="shared" si="15"/>
        <v>2905.3466676000003</v>
      </c>
      <c r="AG142" s="1580">
        <f t="shared" si="15"/>
        <v>3017.0907702000004</v>
      </c>
      <c r="AH142" s="1578">
        <f t="shared" si="15"/>
        <v>3128.8348727999996</v>
      </c>
      <c r="AI142" s="1578">
        <f t="shared" si="15"/>
        <v>3240.5789754000002</v>
      </c>
      <c r="AJ142" s="1578">
        <f t="shared" si="15"/>
        <v>3352.3230780000004</v>
      </c>
      <c r="AK142" s="1578">
        <f t="shared" si="15"/>
        <v>3464.0671806000005</v>
      </c>
      <c r="AL142" s="1578">
        <f t="shared" si="15"/>
        <v>3575.8112832000002</v>
      </c>
      <c r="AM142" s="1578">
        <f t="shared" si="15"/>
        <v>3687.5553857999998</v>
      </c>
      <c r="AN142" s="1578">
        <f t="shared" si="15"/>
        <v>3799.2994884</v>
      </c>
      <c r="AO142" s="1578">
        <f t="shared" si="15"/>
        <v>3911.0435910000001</v>
      </c>
      <c r="AP142" s="1581">
        <f t="shared" si="15"/>
        <v>4022.7876936000007</v>
      </c>
      <c r="AQ142" s="1577">
        <f t="shared" ref="AQ142:BG142" si="16">((AQ$138-$I$4)/1000)*IF($C$13=0,$O$28,$O$45)*(($C$8/70)^$Z$45)*IF($C$13=1,$AH$45,IF($C$13=2,$AI$45,IF($C$13=3,$AJ$45,1)))</f>
        <v>4134.5317961999999</v>
      </c>
      <c r="AR142" s="1578">
        <f t="shared" si="16"/>
        <v>4246.2758987999996</v>
      </c>
      <c r="AS142" s="1578">
        <f t="shared" si="16"/>
        <v>4358.0200014000002</v>
      </c>
      <c r="AT142" s="1578">
        <f t="shared" si="16"/>
        <v>4469.7641039999999</v>
      </c>
      <c r="AU142" s="1578">
        <f t="shared" si="16"/>
        <v>4581.5082065999995</v>
      </c>
      <c r="AV142" s="1578">
        <f t="shared" si="16"/>
        <v>4693.252309200001</v>
      </c>
      <c r="AW142" s="1578">
        <f t="shared" si="16"/>
        <v>4804.9964118000007</v>
      </c>
      <c r="AX142" s="1578">
        <f t="shared" si="16"/>
        <v>4916.7405144000004</v>
      </c>
      <c r="AY142" s="1578">
        <f t="shared" si="16"/>
        <v>5028.4846170000001</v>
      </c>
      <c r="AZ142" s="1579">
        <f t="shared" si="16"/>
        <v>5140.2287195999997</v>
      </c>
      <c r="BA142" s="1577">
        <f t="shared" si="16"/>
        <v>5251.9728222000003</v>
      </c>
      <c r="BB142" s="1578">
        <f t="shared" si="16"/>
        <v>5363.7169248</v>
      </c>
      <c r="BC142" s="1578">
        <f t="shared" si="16"/>
        <v>5475.4610274000006</v>
      </c>
      <c r="BD142" s="1578">
        <f t="shared" si="16"/>
        <v>5587.2051300000003</v>
      </c>
      <c r="BE142" s="1578">
        <f t="shared" si="16"/>
        <v>5698.9492326</v>
      </c>
      <c r="BF142" s="1578">
        <f t="shared" si="16"/>
        <v>5810.6933352000005</v>
      </c>
      <c r="BG142" s="1579">
        <f t="shared" si="16"/>
        <v>5922.4374378000002</v>
      </c>
      <c r="BH142" s="1855"/>
      <c r="BI142" s="1855"/>
      <c r="BK142" s="571">
        <f t="shared" si="11"/>
        <v>1.226990291262136</v>
      </c>
      <c r="BL142" s="571">
        <f t="shared" si="11"/>
        <v>1.226990291262136</v>
      </c>
      <c r="BM142" s="571">
        <f t="shared" si="11"/>
        <v>1.226990291262136</v>
      </c>
      <c r="BN142" s="571">
        <f t="shared" si="11"/>
        <v>1.2269902912621362</v>
      </c>
      <c r="BO142" s="571">
        <f t="shared" si="11"/>
        <v>1.2269902912621358</v>
      </c>
      <c r="BP142" s="571">
        <f t="shared" si="11"/>
        <v>1.226990291262136</v>
      </c>
      <c r="BQ142" s="571">
        <f t="shared" si="11"/>
        <v>1.226990291262136</v>
      </c>
      <c r="BR142" s="571">
        <f t="shared" si="11"/>
        <v>1.226990291262136</v>
      </c>
      <c r="BS142" s="571">
        <f t="shared" si="11"/>
        <v>1.226990291262136</v>
      </c>
      <c r="BT142" s="571">
        <f t="shared" si="11"/>
        <v>1.226990291262136</v>
      </c>
      <c r="BU142" s="571">
        <f t="shared" si="11"/>
        <v>1.2269902912621358</v>
      </c>
      <c r="BV142" s="571">
        <f t="shared" si="11"/>
        <v>1.2269902912621362</v>
      </c>
      <c r="BW142" s="571">
        <f t="shared" si="11"/>
        <v>1.226990291262136</v>
      </c>
      <c r="BX142" s="571">
        <f t="shared" si="11"/>
        <v>1.2269902912621358</v>
      </c>
      <c r="BY142" s="571">
        <f t="shared" si="11"/>
        <v>1.2269902912621362</v>
      </c>
      <c r="BZ142" s="571">
        <f t="shared" si="11"/>
        <v>1.226990291262136</v>
      </c>
      <c r="CA142" s="571">
        <f t="shared" si="12"/>
        <v>1.2269902912621358</v>
      </c>
      <c r="CB142" s="571">
        <f t="shared" si="12"/>
        <v>1.226990291262136</v>
      </c>
      <c r="CC142" s="571">
        <f t="shared" si="12"/>
        <v>1.226990291262136</v>
      </c>
      <c r="CD142" s="571">
        <f t="shared" si="12"/>
        <v>1.226990291262136</v>
      </c>
      <c r="CE142" s="571">
        <f t="shared" si="12"/>
        <v>1.226990291262136</v>
      </c>
      <c r="CF142" s="571">
        <f t="shared" si="12"/>
        <v>1.226990291262136</v>
      </c>
      <c r="CG142" s="571">
        <f t="shared" si="12"/>
        <v>1.226990291262136</v>
      </c>
      <c r="CH142" s="571">
        <f t="shared" si="12"/>
        <v>1.226990291262136</v>
      </c>
      <c r="CI142" s="571">
        <f t="shared" si="12"/>
        <v>1.2269902912621358</v>
      </c>
      <c r="CJ142" s="571">
        <f t="shared" si="12"/>
        <v>1.2269902912621358</v>
      </c>
      <c r="CK142" s="571">
        <f t="shared" si="12"/>
        <v>1.226990291262136</v>
      </c>
      <c r="CL142" s="571">
        <f t="shared" si="12"/>
        <v>1.2269902912621362</v>
      </c>
      <c r="CM142" s="571">
        <f t="shared" si="12"/>
        <v>1.226990291262136</v>
      </c>
      <c r="CN142" s="571">
        <f t="shared" si="12"/>
        <v>1.226990291262136</v>
      </c>
      <c r="CO142" s="571">
        <f t="shared" si="12"/>
        <v>1.226990291262136</v>
      </c>
      <c r="CP142" s="571">
        <f t="shared" si="12"/>
        <v>1.2269902912621358</v>
      </c>
      <c r="CQ142" s="571">
        <f t="shared" si="13"/>
        <v>1.226990291262136</v>
      </c>
      <c r="CR142" s="571">
        <f t="shared" si="13"/>
        <v>1.2269902912621362</v>
      </c>
      <c r="CS142" s="571">
        <f t="shared" si="13"/>
        <v>1.226990291262136</v>
      </c>
      <c r="CT142" s="571">
        <f t="shared" si="13"/>
        <v>1.226990291262136</v>
      </c>
      <c r="CU142" s="571">
        <f t="shared" si="13"/>
        <v>1.226990291262136</v>
      </c>
      <c r="CV142" s="571">
        <f t="shared" si="13"/>
        <v>1.2269902912621358</v>
      </c>
      <c r="CW142" s="571">
        <f t="shared" si="13"/>
        <v>1.2269902912621358</v>
      </c>
      <c r="CX142" s="571">
        <f t="shared" si="13"/>
        <v>1.226990291262136</v>
      </c>
      <c r="CY142" s="571">
        <f t="shared" si="13"/>
        <v>1.226990291262136</v>
      </c>
      <c r="CZ142" s="571">
        <f t="shared" si="13"/>
        <v>1.226990291262136</v>
      </c>
      <c r="DA142" s="571">
        <f t="shared" si="13"/>
        <v>1.226990291262136</v>
      </c>
      <c r="DB142" s="571">
        <f t="shared" si="13"/>
        <v>1.226990291262136</v>
      </c>
      <c r="DC142" s="571">
        <f t="shared" si="13"/>
        <v>1.226990291262136</v>
      </c>
      <c r="DD142" s="571">
        <f t="shared" si="13"/>
        <v>1.226990291262136</v>
      </c>
      <c r="DE142" s="571">
        <f t="shared" si="13"/>
        <v>1.226990291262136</v>
      </c>
      <c r="DF142" s="571">
        <f t="shared" si="13"/>
        <v>1.226990291262136</v>
      </c>
      <c r="DG142" s="571">
        <f t="shared" si="14"/>
        <v>1.226990291262136</v>
      </c>
    </row>
    <row r="143" spans="1:111" ht="15.75" hidden="1" customHeight="1">
      <c r="A143" s="2773"/>
      <c r="B143" s="2851" t="s">
        <v>290</v>
      </c>
      <c r="C143" s="2852"/>
      <c r="D143" s="1582"/>
      <c r="E143" s="1583"/>
      <c r="F143" s="1574"/>
      <c r="G143" s="1574"/>
      <c r="H143" s="1574"/>
      <c r="I143" s="1575"/>
      <c r="J143" s="1576"/>
      <c r="K143" s="1577">
        <f t="shared" ref="K143:AP143" si="17">((K$138-$I$4)/1000)*IF($C$13=0,$R$28,$R$45)*(($C$8/70)^$AC$45)*IF($C$13=1,$AH$45,IF($C$13=2,$AI$45,IF($C$13=3,$AJ$45,1)))</f>
        <v>779.31566700000008</v>
      </c>
      <c r="L143" s="1578">
        <f t="shared" si="17"/>
        <v>935.17880040000011</v>
      </c>
      <c r="M143" s="1578">
        <f t="shared" si="17"/>
        <v>1091.0419337999999</v>
      </c>
      <c r="N143" s="1578">
        <f t="shared" si="17"/>
        <v>1246.9050672000001</v>
      </c>
      <c r="O143" s="1578">
        <f t="shared" si="17"/>
        <v>1402.7682006000002</v>
      </c>
      <c r="P143" s="1578">
        <f t="shared" si="17"/>
        <v>1558.6313340000002</v>
      </c>
      <c r="Q143" s="1578">
        <f t="shared" si="17"/>
        <v>1714.4944674000003</v>
      </c>
      <c r="R143" s="1578">
        <f t="shared" si="17"/>
        <v>1870.3576008000002</v>
      </c>
      <c r="S143" s="1578">
        <f t="shared" si="17"/>
        <v>2026.2207342000002</v>
      </c>
      <c r="T143" s="1578">
        <f t="shared" si="17"/>
        <v>2182.0838675999998</v>
      </c>
      <c r="U143" s="1578">
        <f t="shared" si="17"/>
        <v>2337.947001</v>
      </c>
      <c r="V143" s="1579">
        <f t="shared" si="17"/>
        <v>2493.8101344000002</v>
      </c>
      <c r="W143" s="1577">
        <f t="shared" si="17"/>
        <v>2649.6732678000003</v>
      </c>
      <c r="X143" s="1578">
        <f t="shared" si="17"/>
        <v>2805.5364012000005</v>
      </c>
      <c r="Y143" s="1578">
        <f t="shared" si="17"/>
        <v>2961.3995346000002</v>
      </c>
      <c r="Z143" s="1578">
        <f t="shared" si="17"/>
        <v>3117.2626680000003</v>
      </c>
      <c r="AA143" s="1578">
        <f t="shared" si="17"/>
        <v>3273.1258014000005</v>
      </c>
      <c r="AB143" s="1578">
        <f t="shared" si="17"/>
        <v>3428.9889348000006</v>
      </c>
      <c r="AC143" s="1578">
        <f t="shared" si="17"/>
        <v>3584.8520682000003</v>
      </c>
      <c r="AD143" s="1578">
        <f t="shared" si="17"/>
        <v>3740.7152016000005</v>
      </c>
      <c r="AE143" s="1578">
        <f t="shared" si="17"/>
        <v>3896.5783350000006</v>
      </c>
      <c r="AF143" s="1579">
        <f t="shared" si="17"/>
        <v>4052.4414684000003</v>
      </c>
      <c r="AG143" s="1580">
        <f t="shared" si="17"/>
        <v>4208.3046018000005</v>
      </c>
      <c r="AH143" s="1578">
        <f t="shared" si="17"/>
        <v>4364.1677351999997</v>
      </c>
      <c r="AI143" s="1578">
        <f t="shared" si="17"/>
        <v>4520.0308685999998</v>
      </c>
      <c r="AJ143" s="1578">
        <f t="shared" si="17"/>
        <v>4675.894002</v>
      </c>
      <c r="AK143" s="1578">
        <f t="shared" si="17"/>
        <v>4831.7571354000002</v>
      </c>
      <c r="AL143" s="1578">
        <f t="shared" si="17"/>
        <v>4987.6202688000003</v>
      </c>
      <c r="AM143" s="1578">
        <f t="shared" si="17"/>
        <v>5143.4834022000005</v>
      </c>
      <c r="AN143" s="1578">
        <f t="shared" si="17"/>
        <v>5299.3465356000006</v>
      </c>
      <c r="AO143" s="1578">
        <f t="shared" si="17"/>
        <v>5455.2096690000008</v>
      </c>
      <c r="AP143" s="1581">
        <f t="shared" si="17"/>
        <v>5611.0728024000009</v>
      </c>
      <c r="AQ143" s="1577">
        <f t="shared" ref="AQ143:BG143" si="18">((AQ$138-$I$4)/1000)*IF($C$13=0,$R$28,$R$45)*(($C$8/70)^$AC$45)*IF($C$13=1,$AH$45,IF($C$13=2,$AI$45,IF($C$13=3,$AJ$45,1)))</f>
        <v>5766.9359358000011</v>
      </c>
      <c r="AR143" s="1578">
        <f t="shared" si="18"/>
        <v>5922.7990692000003</v>
      </c>
      <c r="AS143" s="1578">
        <f t="shared" si="18"/>
        <v>6078.6622026000005</v>
      </c>
      <c r="AT143" s="1578">
        <f t="shared" si="18"/>
        <v>6234.5253360000006</v>
      </c>
      <c r="AU143" s="1578">
        <f t="shared" si="18"/>
        <v>6390.3884693999998</v>
      </c>
      <c r="AV143" s="1578">
        <f t="shared" si="18"/>
        <v>6546.2516028000009</v>
      </c>
      <c r="AW143" s="1578">
        <f t="shared" si="18"/>
        <v>6702.1147362000002</v>
      </c>
      <c r="AX143" s="1578">
        <f t="shared" si="18"/>
        <v>6857.9778696000012</v>
      </c>
      <c r="AY143" s="1578">
        <f t="shared" si="18"/>
        <v>7013.8410030000005</v>
      </c>
      <c r="AZ143" s="1579">
        <f t="shared" si="18"/>
        <v>7169.7041364000006</v>
      </c>
      <c r="BA143" s="1577">
        <f t="shared" si="18"/>
        <v>7325.5672698000008</v>
      </c>
      <c r="BB143" s="1578">
        <f t="shared" si="18"/>
        <v>7481.4304032000009</v>
      </c>
      <c r="BC143" s="1578">
        <f t="shared" si="18"/>
        <v>7637.2935366000011</v>
      </c>
      <c r="BD143" s="1578">
        <f t="shared" si="18"/>
        <v>7793.1566700000012</v>
      </c>
      <c r="BE143" s="1578">
        <f t="shared" si="18"/>
        <v>7949.0198033999995</v>
      </c>
      <c r="BF143" s="1578">
        <f t="shared" si="18"/>
        <v>8104.8829368000006</v>
      </c>
      <c r="BG143" s="1579">
        <f t="shared" si="18"/>
        <v>8260.7460702000008</v>
      </c>
      <c r="BH143" s="1855"/>
      <c r="BI143" s="1855"/>
      <c r="BK143" s="571">
        <f t="shared" si="11"/>
        <v>1.178285471624269</v>
      </c>
      <c r="BL143" s="571">
        <f t="shared" si="11"/>
        <v>1.1782854716242688</v>
      </c>
      <c r="BM143" s="571">
        <f t="shared" si="11"/>
        <v>1.178285471624269</v>
      </c>
      <c r="BN143" s="571">
        <f t="shared" si="11"/>
        <v>1.178285471624269</v>
      </c>
      <c r="BO143" s="571">
        <f t="shared" si="11"/>
        <v>1.178285471624269</v>
      </c>
      <c r="BP143" s="571">
        <f t="shared" si="11"/>
        <v>1.178285471624269</v>
      </c>
      <c r="BQ143" s="571">
        <f t="shared" si="11"/>
        <v>1.178285471624269</v>
      </c>
      <c r="BR143" s="571">
        <f t="shared" si="11"/>
        <v>1.1782854716242688</v>
      </c>
      <c r="BS143" s="571">
        <f t="shared" si="11"/>
        <v>1.1782854716242692</v>
      </c>
      <c r="BT143" s="571">
        <f t="shared" si="11"/>
        <v>1.178285471624269</v>
      </c>
      <c r="BU143" s="571">
        <f t="shared" si="11"/>
        <v>1.178285471624269</v>
      </c>
      <c r="BV143" s="571">
        <f t="shared" si="11"/>
        <v>1.178285471624269</v>
      </c>
      <c r="BW143" s="571">
        <f t="shared" si="11"/>
        <v>1.1782854716242688</v>
      </c>
      <c r="BX143" s="571">
        <f t="shared" si="11"/>
        <v>1.178285471624269</v>
      </c>
      <c r="BY143" s="571">
        <f t="shared" si="11"/>
        <v>1.178285471624269</v>
      </c>
      <c r="BZ143" s="571">
        <f t="shared" si="11"/>
        <v>1.178285471624269</v>
      </c>
      <c r="CA143" s="571">
        <f t="shared" si="12"/>
        <v>1.178285471624269</v>
      </c>
      <c r="CB143" s="571">
        <f t="shared" si="12"/>
        <v>1.178285471624269</v>
      </c>
      <c r="CC143" s="571">
        <f t="shared" si="12"/>
        <v>1.1782854716242688</v>
      </c>
      <c r="CD143" s="571">
        <f t="shared" si="12"/>
        <v>1.1782854716242688</v>
      </c>
      <c r="CE143" s="571">
        <f t="shared" si="12"/>
        <v>1.178285471624269</v>
      </c>
      <c r="CF143" s="571">
        <f t="shared" si="12"/>
        <v>1.1782854716242692</v>
      </c>
      <c r="CG143" s="571">
        <f t="shared" si="12"/>
        <v>1.178285471624269</v>
      </c>
      <c r="CH143" s="571">
        <f t="shared" si="12"/>
        <v>1.178285471624269</v>
      </c>
      <c r="CI143" s="571">
        <f t="shared" si="12"/>
        <v>1.178285471624269</v>
      </c>
      <c r="CJ143" s="571">
        <f t="shared" si="12"/>
        <v>1.178285471624269</v>
      </c>
      <c r="CK143" s="571">
        <f t="shared" si="12"/>
        <v>1.1782854716242692</v>
      </c>
      <c r="CL143" s="571">
        <f t="shared" si="12"/>
        <v>1.178285471624269</v>
      </c>
      <c r="CM143" s="571">
        <f t="shared" si="12"/>
        <v>1.178285471624269</v>
      </c>
      <c r="CN143" s="571">
        <f t="shared" si="12"/>
        <v>1.1782854716242688</v>
      </c>
      <c r="CO143" s="571">
        <f t="shared" si="12"/>
        <v>1.1782854716242688</v>
      </c>
      <c r="CP143" s="571">
        <f t="shared" si="12"/>
        <v>1.178285471624269</v>
      </c>
      <c r="CQ143" s="571">
        <f t="shared" si="13"/>
        <v>1.1782854716242688</v>
      </c>
      <c r="CR143" s="571">
        <f t="shared" si="13"/>
        <v>1.178285471624269</v>
      </c>
      <c r="CS143" s="571">
        <f t="shared" si="13"/>
        <v>1.178285471624269</v>
      </c>
      <c r="CT143" s="571">
        <f t="shared" si="13"/>
        <v>1.178285471624269</v>
      </c>
      <c r="CU143" s="571">
        <f t="shared" si="13"/>
        <v>1.178285471624269</v>
      </c>
      <c r="CV143" s="571">
        <f t="shared" si="13"/>
        <v>1.178285471624269</v>
      </c>
      <c r="CW143" s="571">
        <f t="shared" si="13"/>
        <v>1.178285471624269</v>
      </c>
      <c r="CX143" s="571">
        <f t="shared" si="13"/>
        <v>1.178285471624269</v>
      </c>
      <c r="CY143" s="571">
        <f t="shared" si="13"/>
        <v>1.1782854716242688</v>
      </c>
      <c r="CZ143" s="571">
        <f t="shared" si="13"/>
        <v>1.1782854716242688</v>
      </c>
      <c r="DA143" s="571">
        <f t="shared" si="13"/>
        <v>1.178285471624269</v>
      </c>
      <c r="DB143" s="571">
        <f t="shared" si="13"/>
        <v>1.1782854716242688</v>
      </c>
      <c r="DC143" s="571">
        <f t="shared" si="13"/>
        <v>1.178285471624269</v>
      </c>
      <c r="DD143" s="571">
        <f t="shared" si="13"/>
        <v>1.178285471624269</v>
      </c>
      <c r="DE143" s="571">
        <f t="shared" si="13"/>
        <v>1.1782854716242692</v>
      </c>
      <c r="DF143" s="571">
        <f t="shared" si="13"/>
        <v>1.1782854716242692</v>
      </c>
      <c r="DG143" s="571">
        <f t="shared" si="14"/>
        <v>1.1782854716242688</v>
      </c>
    </row>
    <row r="144" spans="1:111" ht="15.75" hidden="1" customHeight="1">
      <c r="A144" s="2773"/>
      <c r="B144" s="2865" t="s">
        <v>291</v>
      </c>
      <c r="C144" s="2866"/>
      <c r="D144" s="1584"/>
      <c r="E144" s="1585"/>
      <c r="F144" s="1586"/>
      <c r="G144" s="1586"/>
      <c r="H144" s="1586"/>
      <c r="I144" s="1587"/>
      <c r="J144" s="1588"/>
      <c r="K144" s="1589">
        <f t="shared" ref="K144:AP144" si="19">((K$138-$I$4)/1000)*IF($C$13=0,$S$28,$S$45)*(($C$8/70)^$AD$45)*IF($C$13=1,$AH$45,IF($C$13=2,$AI$45,IF($C$13=3,$AJ$45,1)))</f>
        <v>837.17669100000001</v>
      </c>
      <c r="L144" s="1590">
        <f t="shared" si="19"/>
        <v>1004.6120292000001</v>
      </c>
      <c r="M144" s="1590">
        <f t="shared" si="19"/>
        <v>1172.0473674</v>
      </c>
      <c r="N144" s="1590">
        <f t="shared" si="19"/>
        <v>1339.4827056000001</v>
      </c>
      <c r="O144" s="1590">
        <f t="shared" si="19"/>
        <v>1506.9180438000001</v>
      </c>
      <c r="P144" s="1590">
        <f t="shared" si="19"/>
        <v>1674.353382</v>
      </c>
      <c r="Q144" s="1590">
        <f t="shared" si="19"/>
        <v>1841.7887202000002</v>
      </c>
      <c r="R144" s="1590">
        <f t="shared" si="19"/>
        <v>2009.2240584000001</v>
      </c>
      <c r="S144" s="1590">
        <f t="shared" si="19"/>
        <v>2176.6593966</v>
      </c>
      <c r="T144" s="1590">
        <f t="shared" si="19"/>
        <v>2344.0947348</v>
      </c>
      <c r="U144" s="1590">
        <f t="shared" si="19"/>
        <v>2511.5300730000004</v>
      </c>
      <c r="V144" s="1591">
        <f t="shared" si="19"/>
        <v>2678.9654112000003</v>
      </c>
      <c r="W144" s="1589">
        <f t="shared" si="19"/>
        <v>2846.4007494000002</v>
      </c>
      <c r="X144" s="1590">
        <f t="shared" si="19"/>
        <v>3013.8360876000002</v>
      </c>
      <c r="Y144" s="1590">
        <f t="shared" si="19"/>
        <v>3181.2714258000001</v>
      </c>
      <c r="Z144" s="1590">
        <f t="shared" si="19"/>
        <v>3348.706764</v>
      </c>
      <c r="AA144" s="1590">
        <f t="shared" si="19"/>
        <v>3516.1421022000004</v>
      </c>
      <c r="AB144" s="1590">
        <f t="shared" si="19"/>
        <v>3683.5774404000003</v>
      </c>
      <c r="AC144" s="1590">
        <f t="shared" si="19"/>
        <v>3851.0127786000003</v>
      </c>
      <c r="AD144" s="1590">
        <f t="shared" si="19"/>
        <v>4018.4481168000002</v>
      </c>
      <c r="AE144" s="1590">
        <f t="shared" si="19"/>
        <v>4185.8834550000001</v>
      </c>
      <c r="AF144" s="1591">
        <f t="shared" si="19"/>
        <v>4353.3187932000001</v>
      </c>
      <c r="AG144" s="1592">
        <f t="shared" si="19"/>
        <v>4520.7541314</v>
      </c>
      <c r="AH144" s="1590">
        <f t="shared" si="19"/>
        <v>4688.1894695999999</v>
      </c>
      <c r="AI144" s="1590">
        <f t="shared" si="19"/>
        <v>4855.6248077999999</v>
      </c>
      <c r="AJ144" s="1590">
        <f t="shared" si="19"/>
        <v>5023.0601460000007</v>
      </c>
      <c r="AK144" s="1590">
        <f t="shared" si="19"/>
        <v>5190.4954842000006</v>
      </c>
      <c r="AL144" s="1590">
        <f t="shared" si="19"/>
        <v>5357.9308224000006</v>
      </c>
      <c r="AM144" s="1590">
        <f t="shared" si="19"/>
        <v>5525.3661606000005</v>
      </c>
      <c r="AN144" s="1590">
        <f t="shared" si="19"/>
        <v>5692.8014988000004</v>
      </c>
      <c r="AO144" s="1590">
        <f t="shared" si="19"/>
        <v>5860.2368370000004</v>
      </c>
      <c r="AP144" s="1593">
        <f t="shared" si="19"/>
        <v>6027.6721752000003</v>
      </c>
      <c r="AQ144" s="1589">
        <f t="shared" ref="AQ144:BG144" si="20">((AQ$138-$I$4)/1000)*IF($C$13=0,$S$28,$S$45)*(($C$8/70)^$AD$45)*IF($C$13=1,$AH$45,IF($C$13=2,$AI$45,IF($C$13=3,$AJ$45,1)))</f>
        <v>6195.1075134000002</v>
      </c>
      <c r="AR144" s="1590">
        <f t="shared" si="20"/>
        <v>6362.5428516000002</v>
      </c>
      <c r="AS144" s="1590">
        <f t="shared" si="20"/>
        <v>6529.9781898000001</v>
      </c>
      <c r="AT144" s="1590">
        <f t="shared" si="20"/>
        <v>6697.413528</v>
      </c>
      <c r="AU144" s="1590">
        <f t="shared" si="20"/>
        <v>6864.8488662</v>
      </c>
      <c r="AV144" s="1590">
        <f t="shared" si="20"/>
        <v>7032.2842044000008</v>
      </c>
      <c r="AW144" s="1590">
        <f t="shared" si="20"/>
        <v>7199.7195426000008</v>
      </c>
      <c r="AX144" s="1590">
        <f t="shared" si="20"/>
        <v>7367.1548808000007</v>
      </c>
      <c r="AY144" s="1590">
        <f t="shared" si="20"/>
        <v>7534.5902190000006</v>
      </c>
      <c r="AZ144" s="1591">
        <f t="shared" si="20"/>
        <v>7702.0255572000005</v>
      </c>
      <c r="BA144" s="1589">
        <f t="shared" si="20"/>
        <v>7869.4608954000005</v>
      </c>
      <c r="BB144" s="1590">
        <f t="shared" si="20"/>
        <v>8036.8962336000004</v>
      </c>
      <c r="BC144" s="1590">
        <f t="shared" si="20"/>
        <v>8204.3315718000013</v>
      </c>
      <c r="BD144" s="1590">
        <f t="shared" si="20"/>
        <v>8371.7669100000003</v>
      </c>
      <c r="BE144" s="1590">
        <f t="shared" si="20"/>
        <v>8539.2022482000011</v>
      </c>
      <c r="BF144" s="1590">
        <f t="shared" si="20"/>
        <v>8706.6375864000001</v>
      </c>
      <c r="BG144" s="1591">
        <f t="shared" si="20"/>
        <v>8874.072924600001</v>
      </c>
      <c r="BH144" s="1855"/>
      <c r="BI144" s="1855"/>
      <c r="BK144" s="571">
        <f t="shared" si="11"/>
        <v>1.1961123110151191</v>
      </c>
      <c r="BL144" s="571">
        <f t="shared" si="11"/>
        <v>1.1961123110151188</v>
      </c>
      <c r="BM144" s="571">
        <f t="shared" si="11"/>
        <v>1.1961123110151188</v>
      </c>
      <c r="BN144" s="571">
        <f t="shared" si="11"/>
        <v>1.1961123110151191</v>
      </c>
      <c r="BO144" s="571">
        <f t="shared" si="11"/>
        <v>1.1961123110151191</v>
      </c>
      <c r="BP144" s="571">
        <f t="shared" si="11"/>
        <v>1.1961123110151191</v>
      </c>
      <c r="BQ144" s="571">
        <f t="shared" si="11"/>
        <v>1.1961123110151191</v>
      </c>
      <c r="BR144" s="571">
        <f t="shared" si="11"/>
        <v>1.1961123110151188</v>
      </c>
      <c r="BS144" s="571">
        <f t="shared" si="11"/>
        <v>1.1961123110151191</v>
      </c>
      <c r="BT144" s="571">
        <f t="shared" si="11"/>
        <v>1.1961123110151188</v>
      </c>
      <c r="BU144" s="571">
        <f t="shared" si="11"/>
        <v>1.1961123110151188</v>
      </c>
      <c r="BV144" s="571">
        <f t="shared" si="11"/>
        <v>1.1961123110151191</v>
      </c>
      <c r="BW144" s="571">
        <f t="shared" si="11"/>
        <v>1.1961123110151191</v>
      </c>
      <c r="BX144" s="571">
        <f t="shared" si="11"/>
        <v>1.1961123110151191</v>
      </c>
      <c r="BY144" s="571">
        <f t="shared" si="11"/>
        <v>1.1961123110151188</v>
      </c>
      <c r="BZ144" s="571">
        <f t="shared" si="11"/>
        <v>1.1961123110151191</v>
      </c>
      <c r="CA144" s="571">
        <f t="shared" si="12"/>
        <v>1.1961123110151188</v>
      </c>
      <c r="CB144" s="571">
        <f t="shared" si="12"/>
        <v>1.1961123110151191</v>
      </c>
      <c r="CC144" s="571">
        <f t="shared" si="12"/>
        <v>1.1961123110151188</v>
      </c>
      <c r="CD144" s="571">
        <f t="shared" si="12"/>
        <v>1.1961123110151188</v>
      </c>
      <c r="CE144" s="571">
        <f t="shared" si="12"/>
        <v>1.1961123110151191</v>
      </c>
      <c r="CF144" s="571">
        <f t="shared" si="12"/>
        <v>1.1961123110151191</v>
      </c>
      <c r="CG144" s="571">
        <f t="shared" si="12"/>
        <v>1.1961123110151193</v>
      </c>
      <c r="CH144" s="571">
        <f t="shared" si="12"/>
        <v>1.1961123110151188</v>
      </c>
      <c r="CI144" s="571">
        <f t="shared" si="12"/>
        <v>1.1961123110151191</v>
      </c>
      <c r="CJ144" s="571">
        <f t="shared" si="12"/>
        <v>1.1961123110151188</v>
      </c>
      <c r="CK144" s="571">
        <f t="shared" si="12"/>
        <v>1.1961123110151188</v>
      </c>
      <c r="CL144" s="571">
        <f t="shared" si="12"/>
        <v>1.1961123110151191</v>
      </c>
      <c r="CM144" s="571">
        <f t="shared" si="12"/>
        <v>1.1961123110151188</v>
      </c>
      <c r="CN144" s="571">
        <f t="shared" si="12"/>
        <v>1.1961123110151191</v>
      </c>
      <c r="CO144" s="571">
        <f t="shared" si="12"/>
        <v>1.1961123110151188</v>
      </c>
      <c r="CP144" s="571">
        <f t="shared" si="12"/>
        <v>1.1961123110151191</v>
      </c>
      <c r="CQ144" s="571">
        <f t="shared" si="13"/>
        <v>1.1961123110151191</v>
      </c>
      <c r="CR144" s="571">
        <f t="shared" si="13"/>
        <v>1.1961123110151188</v>
      </c>
      <c r="CS144" s="571">
        <f t="shared" si="13"/>
        <v>1.1961123110151188</v>
      </c>
      <c r="CT144" s="571">
        <f t="shared" si="13"/>
        <v>1.1961123110151191</v>
      </c>
      <c r="CU144" s="571">
        <f t="shared" si="13"/>
        <v>1.1961123110151188</v>
      </c>
      <c r="CV144" s="571">
        <f t="shared" si="13"/>
        <v>1.1961123110151188</v>
      </c>
      <c r="CW144" s="571">
        <f t="shared" si="13"/>
        <v>1.1961123110151188</v>
      </c>
      <c r="CX144" s="571">
        <f t="shared" si="13"/>
        <v>1.1961123110151191</v>
      </c>
      <c r="CY144" s="571">
        <f t="shared" si="13"/>
        <v>1.1961123110151188</v>
      </c>
      <c r="CZ144" s="571">
        <f t="shared" si="13"/>
        <v>1.1961123110151188</v>
      </c>
      <c r="DA144" s="571">
        <f t="shared" si="13"/>
        <v>1.1961123110151191</v>
      </c>
      <c r="DB144" s="571">
        <f t="shared" si="13"/>
        <v>1.1961123110151188</v>
      </c>
      <c r="DC144" s="571">
        <f t="shared" si="13"/>
        <v>1.1961123110151188</v>
      </c>
      <c r="DD144" s="571">
        <f t="shared" si="13"/>
        <v>1.1961123110151191</v>
      </c>
      <c r="DE144" s="571">
        <f t="shared" si="13"/>
        <v>1.1961123110151188</v>
      </c>
      <c r="DF144" s="571">
        <f t="shared" si="13"/>
        <v>1.1961123110151191</v>
      </c>
      <c r="DG144" s="571">
        <f t="shared" si="14"/>
        <v>1.1961123110151188</v>
      </c>
    </row>
    <row r="145" spans="1:111" ht="15" hidden="1" customHeight="1">
      <c r="A145" s="2773"/>
      <c r="B145" s="2867" t="s">
        <v>495</v>
      </c>
      <c r="C145" s="2868"/>
      <c r="D145" s="2869"/>
      <c r="E145" s="1594" t="s">
        <v>194</v>
      </c>
      <c r="F145" s="1595">
        <v>70</v>
      </c>
      <c r="G145" s="1595">
        <v>260</v>
      </c>
      <c r="H145" s="1595">
        <v>2</v>
      </c>
      <c r="I145" s="1596"/>
      <c r="J145" s="1597"/>
      <c r="K145" s="1598">
        <f t="shared" ref="K145:AP145" si="21">((K$138-$I$4)/1000)*IF($C$13=0,$N$29,$N$46)*(($C$8/70)^$Y$46)*IF($C$13=1,$AH$46,IF($C$13=2,$AI$46,IF($C$13=3,$AJ$46,1)))</f>
        <v>620.07128001000001</v>
      </c>
      <c r="L145" s="1599">
        <f t="shared" si="21"/>
        <v>744.08553601200003</v>
      </c>
      <c r="M145" s="1599">
        <f t="shared" si="21"/>
        <v>868.09979201399995</v>
      </c>
      <c r="N145" s="1599">
        <f t="shared" si="21"/>
        <v>992.11404801600008</v>
      </c>
      <c r="O145" s="1599">
        <f t="shared" si="21"/>
        <v>1116.1283040180001</v>
      </c>
      <c r="P145" s="1599">
        <f t="shared" si="21"/>
        <v>1240.14256002</v>
      </c>
      <c r="Q145" s="1599">
        <f t="shared" si="21"/>
        <v>1364.1568160220002</v>
      </c>
      <c r="R145" s="1599">
        <f t="shared" si="21"/>
        <v>1488.1710720240001</v>
      </c>
      <c r="S145" s="1599">
        <f t="shared" si="21"/>
        <v>1612.1853280260002</v>
      </c>
      <c r="T145" s="1599">
        <f t="shared" si="21"/>
        <v>1736.1995840279999</v>
      </c>
      <c r="U145" s="1599">
        <f t="shared" si="21"/>
        <v>1860.2138400300003</v>
      </c>
      <c r="V145" s="1600">
        <f t="shared" si="21"/>
        <v>1984.2280960320002</v>
      </c>
      <c r="W145" s="1598">
        <f t="shared" si="21"/>
        <v>2108.2423520339999</v>
      </c>
      <c r="X145" s="1599">
        <f t="shared" si="21"/>
        <v>2232.2566080360002</v>
      </c>
      <c r="Y145" s="1599">
        <f t="shared" si="21"/>
        <v>2356.2708640379997</v>
      </c>
      <c r="Z145" s="1599">
        <f t="shared" si="21"/>
        <v>2480.28512004</v>
      </c>
      <c r="AA145" s="1599">
        <f t="shared" si="21"/>
        <v>2604.2993760420004</v>
      </c>
      <c r="AB145" s="1599">
        <f t="shared" si="21"/>
        <v>2728.3136320440003</v>
      </c>
      <c r="AC145" s="1599">
        <f t="shared" si="21"/>
        <v>2852.3278880459998</v>
      </c>
      <c r="AD145" s="1599">
        <f t="shared" si="21"/>
        <v>2976.3421440480001</v>
      </c>
      <c r="AE145" s="1599">
        <f t="shared" si="21"/>
        <v>3100.35640005</v>
      </c>
      <c r="AF145" s="1600">
        <f t="shared" si="21"/>
        <v>3224.3706560520004</v>
      </c>
      <c r="AG145" s="1601">
        <f t="shared" si="21"/>
        <v>3348.3849120540003</v>
      </c>
      <c r="AH145" s="1599">
        <f t="shared" si="21"/>
        <v>3472.3991680559998</v>
      </c>
      <c r="AI145" s="1599">
        <f t="shared" si="21"/>
        <v>3596.4134240580001</v>
      </c>
      <c r="AJ145" s="1599">
        <f t="shared" si="21"/>
        <v>3720.4276800600005</v>
      </c>
      <c r="AK145" s="1599">
        <f t="shared" si="21"/>
        <v>3844.4419360620009</v>
      </c>
      <c r="AL145" s="1599">
        <f t="shared" si="21"/>
        <v>3968.4561920640003</v>
      </c>
      <c r="AM145" s="1599">
        <f t="shared" si="21"/>
        <v>4092.4704480659998</v>
      </c>
      <c r="AN145" s="1599">
        <f t="shared" si="21"/>
        <v>4216.4847040679997</v>
      </c>
      <c r="AO145" s="1599">
        <f t="shared" si="21"/>
        <v>4340.4989600700001</v>
      </c>
      <c r="AP145" s="1602">
        <f t="shared" si="21"/>
        <v>4464.5132160720004</v>
      </c>
      <c r="AQ145" s="1598">
        <f t="shared" ref="AQ145:BG145" si="22">((AQ$138-$I$4)/1000)*IF($C$13=0,$N$29,$N$46)*(($C$8/70)^$Y$46)*IF($C$13=1,$AH$46,IF($C$13=2,$AI$46,IF($C$13=3,$AJ$46,1)))</f>
        <v>4588.5274720739999</v>
      </c>
      <c r="AR145" s="1599">
        <f t="shared" si="22"/>
        <v>4712.5417280759993</v>
      </c>
      <c r="AS145" s="1599">
        <f t="shared" si="22"/>
        <v>4836.5559840779997</v>
      </c>
      <c r="AT145" s="1599">
        <f t="shared" si="22"/>
        <v>4960.5702400800001</v>
      </c>
      <c r="AU145" s="1599">
        <f t="shared" si="22"/>
        <v>5084.5844960819995</v>
      </c>
      <c r="AV145" s="1599">
        <f t="shared" si="22"/>
        <v>5208.5987520840008</v>
      </c>
      <c r="AW145" s="1599">
        <f t="shared" si="22"/>
        <v>5332.6130080860003</v>
      </c>
      <c r="AX145" s="1599">
        <f t="shared" si="22"/>
        <v>5456.6272640880006</v>
      </c>
      <c r="AY145" s="1599">
        <f t="shared" si="22"/>
        <v>5580.6415200900001</v>
      </c>
      <c r="AZ145" s="1600">
        <f t="shared" si="22"/>
        <v>5704.6557760919995</v>
      </c>
      <c r="BA145" s="1598">
        <f t="shared" si="22"/>
        <v>5828.6700320940008</v>
      </c>
      <c r="BB145" s="1599">
        <f t="shared" si="22"/>
        <v>5952.6842880960003</v>
      </c>
      <c r="BC145" s="1599">
        <f t="shared" si="22"/>
        <v>6076.6985440980006</v>
      </c>
      <c r="BD145" s="1599">
        <f t="shared" si="22"/>
        <v>6200.7128001000001</v>
      </c>
      <c r="BE145" s="1599">
        <f t="shared" si="22"/>
        <v>6324.7270561019996</v>
      </c>
      <c r="BF145" s="1599">
        <f t="shared" si="22"/>
        <v>6448.7413121040008</v>
      </c>
      <c r="BG145" s="1600">
        <f t="shared" si="22"/>
        <v>6572.7555681060003</v>
      </c>
      <c r="BH145" s="1855"/>
      <c r="BI145" s="1855"/>
      <c r="BK145" s="571">
        <f t="shared" si="11"/>
        <v>1.1458832603705515</v>
      </c>
      <c r="BL145" s="571">
        <f t="shared" si="11"/>
        <v>1.1458832603705515</v>
      </c>
      <c r="BM145" s="571">
        <f t="shared" si="11"/>
        <v>1.1458832603705518</v>
      </c>
      <c r="BN145" s="571">
        <f t="shared" si="11"/>
        <v>1.1458832603705515</v>
      </c>
      <c r="BO145" s="571">
        <f t="shared" si="11"/>
        <v>1.1458832603705515</v>
      </c>
      <c r="BP145" s="571">
        <f t="shared" si="11"/>
        <v>1.1458832603705515</v>
      </c>
      <c r="BQ145" s="571">
        <f t="shared" si="11"/>
        <v>1.1458832603705515</v>
      </c>
      <c r="BR145" s="571">
        <f t="shared" si="11"/>
        <v>1.1458832603705515</v>
      </c>
      <c r="BS145" s="571">
        <f t="shared" si="11"/>
        <v>1.1458832603705515</v>
      </c>
      <c r="BT145" s="571">
        <f t="shared" si="11"/>
        <v>1.1458832603705518</v>
      </c>
      <c r="BU145" s="571">
        <f t="shared" si="11"/>
        <v>1.1458832603705513</v>
      </c>
      <c r="BV145" s="571">
        <f t="shared" si="11"/>
        <v>1.1458832603705515</v>
      </c>
      <c r="BW145" s="571">
        <f t="shared" si="11"/>
        <v>1.1458832603705518</v>
      </c>
      <c r="BX145" s="571">
        <f t="shared" si="11"/>
        <v>1.1458832603705515</v>
      </c>
      <c r="BY145" s="571">
        <f t="shared" si="11"/>
        <v>1.1458832603705518</v>
      </c>
      <c r="BZ145" s="571">
        <f t="shared" si="11"/>
        <v>1.1458832603705515</v>
      </c>
      <c r="CA145" s="571">
        <f t="shared" si="12"/>
        <v>1.1458832603705515</v>
      </c>
      <c r="CB145" s="571">
        <f t="shared" si="12"/>
        <v>1.1458832603705515</v>
      </c>
      <c r="CC145" s="571">
        <f t="shared" si="12"/>
        <v>1.1458832603705515</v>
      </c>
      <c r="CD145" s="571">
        <f t="shared" si="12"/>
        <v>1.1458832603705515</v>
      </c>
      <c r="CE145" s="571">
        <f t="shared" si="12"/>
        <v>1.1458832603705515</v>
      </c>
      <c r="CF145" s="571">
        <f t="shared" si="12"/>
        <v>1.1458832603705515</v>
      </c>
      <c r="CG145" s="571">
        <f t="shared" si="12"/>
        <v>1.1458832603705515</v>
      </c>
      <c r="CH145" s="571">
        <f t="shared" si="12"/>
        <v>1.1458832603705518</v>
      </c>
      <c r="CI145" s="571">
        <f t="shared" si="12"/>
        <v>1.1458832603705515</v>
      </c>
      <c r="CJ145" s="571">
        <f t="shared" si="12"/>
        <v>1.1458832603705513</v>
      </c>
      <c r="CK145" s="571">
        <f t="shared" si="12"/>
        <v>1.1458832603705513</v>
      </c>
      <c r="CL145" s="571">
        <f t="shared" si="12"/>
        <v>1.1458832603705515</v>
      </c>
      <c r="CM145" s="571">
        <f t="shared" si="12"/>
        <v>1.1458832603705515</v>
      </c>
      <c r="CN145" s="571">
        <f t="shared" si="12"/>
        <v>1.1458832603705518</v>
      </c>
      <c r="CO145" s="571">
        <f t="shared" si="12"/>
        <v>1.1458832603705518</v>
      </c>
      <c r="CP145" s="571">
        <f t="shared" si="12"/>
        <v>1.1458832603705515</v>
      </c>
      <c r="CQ145" s="571">
        <f t="shared" si="13"/>
        <v>1.1458832603705515</v>
      </c>
      <c r="CR145" s="571">
        <f t="shared" si="13"/>
        <v>1.1458832603705518</v>
      </c>
      <c r="CS145" s="571">
        <f t="shared" si="13"/>
        <v>1.1458832603705515</v>
      </c>
      <c r="CT145" s="571">
        <f t="shared" si="13"/>
        <v>1.1458832603705515</v>
      </c>
      <c r="CU145" s="571">
        <f t="shared" si="13"/>
        <v>1.1458832603705515</v>
      </c>
      <c r="CV145" s="571">
        <f t="shared" si="13"/>
        <v>1.1458832603705515</v>
      </c>
      <c r="CW145" s="571">
        <f t="shared" si="13"/>
        <v>1.1458832603705515</v>
      </c>
      <c r="CX145" s="571">
        <f t="shared" si="13"/>
        <v>1.1458832603705515</v>
      </c>
      <c r="CY145" s="571">
        <f t="shared" si="13"/>
        <v>1.1458832603705515</v>
      </c>
      <c r="CZ145" s="571">
        <f t="shared" si="13"/>
        <v>1.1458832603705515</v>
      </c>
      <c r="DA145" s="571">
        <f t="shared" si="13"/>
        <v>1.1458832603705515</v>
      </c>
      <c r="DB145" s="571">
        <f t="shared" si="13"/>
        <v>1.1458832603705515</v>
      </c>
      <c r="DC145" s="571">
        <f t="shared" si="13"/>
        <v>1.1458832603705518</v>
      </c>
      <c r="DD145" s="571">
        <f t="shared" si="13"/>
        <v>1.1458832603705515</v>
      </c>
      <c r="DE145" s="571">
        <f t="shared" si="13"/>
        <v>1.1458832603705515</v>
      </c>
      <c r="DF145" s="571">
        <f t="shared" si="13"/>
        <v>1.1458832603705515</v>
      </c>
      <c r="DG145" s="571">
        <f t="shared" si="14"/>
        <v>1.1458832603705515</v>
      </c>
    </row>
    <row r="146" spans="1:111" ht="15.75" hidden="1" customHeight="1">
      <c r="A146" s="2773"/>
      <c r="B146" s="2871" t="s">
        <v>496</v>
      </c>
      <c r="C146" s="2872"/>
      <c r="D146" s="2870"/>
      <c r="E146" s="1603" t="s">
        <v>194</v>
      </c>
      <c r="F146" s="1604">
        <v>70</v>
      </c>
      <c r="G146" s="1604">
        <v>300</v>
      </c>
      <c r="H146" s="1604">
        <v>2</v>
      </c>
      <c r="I146" s="1605"/>
      <c r="J146" s="1606"/>
      <c r="K146" s="1607">
        <f t="shared" ref="K146:AP146" si="23">((K$138-$I$4)/1000)*IF($C$13=0,$O$29,$O$46)*(($C$8/70)^$Z$46)*IF($C$13=1,$AH$46,IF($C$13=2,$AI$46,IF($C$13=3,$AJ$46,1)))</f>
        <v>685.54464498000004</v>
      </c>
      <c r="L146" s="1608">
        <f t="shared" si="23"/>
        <v>822.65357397600008</v>
      </c>
      <c r="M146" s="1608">
        <f t="shared" si="23"/>
        <v>959.76250297199999</v>
      </c>
      <c r="N146" s="1608">
        <f t="shared" si="23"/>
        <v>1096.8714319680003</v>
      </c>
      <c r="O146" s="1608">
        <f t="shared" si="23"/>
        <v>1233.9803609640001</v>
      </c>
      <c r="P146" s="1608">
        <f t="shared" si="23"/>
        <v>1371.0892899600001</v>
      </c>
      <c r="Q146" s="1608">
        <f t="shared" si="23"/>
        <v>1508.1982189560001</v>
      </c>
      <c r="R146" s="1608">
        <f t="shared" si="23"/>
        <v>1645.3071479520002</v>
      </c>
      <c r="S146" s="1608">
        <f t="shared" si="23"/>
        <v>1782.4160769480002</v>
      </c>
      <c r="T146" s="1608">
        <f t="shared" si="23"/>
        <v>1919.525005944</v>
      </c>
      <c r="U146" s="1608">
        <f t="shared" si="23"/>
        <v>2056.63393494</v>
      </c>
      <c r="V146" s="1609">
        <f t="shared" si="23"/>
        <v>2193.7428639360005</v>
      </c>
      <c r="W146" s="1607">
        <f t="shared" si="23"/>
        <v>2330.8517929320001</v>
      </c>
      <c r="X146" s="1608">
        <f t="shared" si="23"/>
        <v>2467.9607219280001</v>
      </c>
      <c r="Y146" s="1608">
        <f t="shared" si="23"/>
        <v>2605.0696509240001</v>
      </c>
      <c r="Z146" s="1608">
        <f t="shared" si="23"/>
        <v>2742.1785799200002</v>
      </c>
      <c r="AA146" s="1608">
        <f t="shared" si="23"/>
        <v>2879.2875089160002</v>
      </c>
      <c r="AB146" s="1608">
        <f t="shared" si="23"/>
        <v>3016.3964379120002</v>
      </c>
      <c r="AC146" s="1608">
        <f t="shared" si="23"/>
        <v>3153.5053669080003</v>
      </c>
      <c r="AD146" s="1608">
        <f t="shared" si="23"/>
        <v>3290.6142959040003</v>
      </c>
      <c r="AE146" s="1608">
        <f t="shared" si="23"/>
        <v>3427.7232249000003</v>
      </c>
      <c r="AF146" s="1609">
        <f t="shared" si="23"/>
        <v>3564.8321538960004</v>
      </c>
      <c r="AG146" s="1610">
        <f t="shared" si="23"/>
        <v>3701.9410828920004</v>
      </c>
      <c r="AH146" s="1608">
        <f t="shared" si="23"/>
        <v>3839.050011888</v>
      </c>
      <c r="AI146" s="1608">
        <f t="shared" si="23"/>
        <v>3976.158940884</v>
      </c>
      <c r="AJ146" s="1608">
        <f t="shared" si="23"/>
        <v>4113.26786988</v>
      </c>
      <c r="AK146" s="1608">
        <f t="shared" si="23"/>
        <v>4250.376798876001</v>
      </c>
      <c r="AL146" s="1608">
        <f t="shared" si="23"/>
        <v>4387.485727872001</v>
      </c>
      <c r="AM146" s="1608">
        <f t="shared" si="23"/>
        <v>4524.5946568680001</v>
      </c>
      <c r="AN146" s="1608">
        <f t="shared" si="23"/>
        <v>4661.7035858640002</v>
      </c>
      <c r="AO146" s="1608">
        <f t="shared" si="23"/>
        <v>4798.8125148600002</v>
      </c>
      <c r="AP146" s="1611">
        <f t="shared" si="23"/>
        <v>4935.9214438560002</v>
      </c>
      <c r="AQ146" s="1607">
        <f t="shared" ref="AQ146:BG146" si="24">((AQ$138-$I$4)/1000)*IF($C$13=0,$O$29,$O$46)*(($C$8/70)^$Z$46)*IF($C$13=1,$AH$46,IF($C$13=2,$AI$46,IF($C$13=3,$AJ$46,1)))</f>
        <v>5073.0303728520003</v>
      </c>
      <c r="AR146" s="1608">
        <f t="shared" si="24"/>
        <v>5210.1393018480003</v>
      </c>
      <c r="AS146" s="1608">
        <f t="shared" si="24"/>
        <v>5347.2482308440003</v>
      </c>
      <c r="AT146" s="1608">
        <f t="shared" si="24"/>
        <v>5484.3571598400003</v>
      </c>
      <c r="AU146" s="1608">
        <f t="shared" si="24"/>
        <v>5621.4660888359995</v>
      </c>
      <c r="AV146" s="1608">
        <f t="shared" si="24"/>
        <v>5758.5750178320004</v>
      </c>
      <c r="AW146" s="1608">
        <f t="shared" si="24"/>
        <v>5895.6839468280004</v>
      </c>
      <c r="AX146" s="1608">
        <f t="shared" si="24"/>
        <v>6032.7928758240005</v>
      </c>
      <c r="AY146" s="1608">
        <f t="shared" si="24"/>
        <v>6169.9018048200005</v>
      </c>
      <c r="AZ146" s="1609">
        <f t="shared" si="24"/>
        <v>6307.0107338160005</v>
      </c>
      <c r="BA146" s="1607">
        <f t="shared" si="24"/>
        <v>6444.1196628120006</v>
      </c>
      <c r="BB146" s="1608">
        <f t="shared" si="24"/>
        <v>6581.2285918080006</v>
      </c>
      <c r="BC146" s="1608">
        <f t="shared" si="24"/>
        <v>6718.3375208040006</v>
      </c>
      <c r="BD146" s="1608">
        <f t="shared" si="24"/>
        <v>6855.4464498000007</v>
      </c>
      <c r="BE146" s="1608">
        <f t="shared" si="24"/>
        <v>6992.5553787959998</v>
      </c>
      <c r="BF146" s="1608">
        <f t="shared" si="24"/>
        <v>7129.6643077920007</v>
      </c>
      <c r="BG146" s="1609">
        <f t="shared" si="24"/>
        <v>7266.7732367880008</v>
      </c>
      <c r="BH146" s="1855"/>
      <c r="BI146" s="1855"/>
      <c r="BK146" s="571">
        <f t="shared" si="11"/>
        <v>1.1478906673145377</v>
      </c>
      <c r="BL146" s="571">
        <f t="shared" si="11"/>
        <v>1.1478906673145375</v>
      </c>
      <c r="BM146" s="571">
        <f t="shared" si="11"/>
        <v>1.1478906673145377</v>
      </c>
      <c r="BN146" s="571">
        <f t="shared" si="11"/>
        <v>1.1478906673145377</v>
      </c>
      <c r="BO146" s="571">
        <f t="shared" si="11"/>
        <v>1.1478906673145377</v>
      </c>
      <c r="BP146" s="571">
        <f t="shared" si="11"/>
        <v>1.1478906673145377</v>
      </c>
      <c r="BQ146" s="571">
        <f t="shared" si="11"/>
        <v>1.1478906673145377</v>
      </c>
      <c r="BR146" s="571">
        <f t="shared" si="11"/>
        <v>1.1478906673145375</v>
      </c>
      <c r="BS146" s="571">
        <f t="shared" si="11"/>
        <v>1.1478906673145377</v>
      </c>
      <c r="BT146" s="571">
        <f t="shared" si="11"/>
        <v>1.1478906673145377</v>
      </c>
      <c r="BU146" s="571">
        <f t="shared" si="11"/>
        <v>1.1478906673145379</v>
      </c>
      <c r="BV146" s="571">
        <f t="shared" si="11"/>
        <v>1.1478906673145377</v>
      </c>
      <c r="BW146" s="571">
        <f t="shared" si="11"/>
        <v>1.1478906673145377</v>
      </c>
      <c r="BX146" s="571">
        <f t="shared" si="11"/>
        <v>1.1478906673145377</v>
      </c>
      <c r="BY146" s="571">
        <f t="shared" si="11"/>
        <v>1.1478906673145377</v>
      </c>
      <c r="BZ146" s="571">
        <f t="shared" si="11"/>
        <v>1.1478906673145377</v>
      </c>
      <c r="CA146" s="571">
        <f t="shared" si="12"/>
        <v>1.1478906673145377</v>
      </c>
      <c r="CB146" s="571">
        <f t="shared" si="12"/>
        <v>1.1478906673145377</v>
      </c>
      <c r="CC146" s="571">
        <f t="shared" si="12"/>
        <v>1.1478906673145377</v>
      </c>
      <c r="CD146" s="571">
        <f t="shared" si="12"/>
        <v>1.1478906673145375</v>
      </c>
      <c r="CE146" s="571">
        <f t="shared" si="12"/>
        <v>1.1478906673145377</v>
      </c>
      <c r="CF146" s="571">
        <f t="shared" si="12"/>
        <v>1.1478906673145377</v>
      </c>
      <c r="CG146" s="571">
        <f t="shared" si="12"/>
        <v>1.1478906673145377</v>
      </c>
      <c r="CH146" s="571">
        <f t="shared" si="12"/>
        <v>1.1478906673145377</v>
      </c>
      <c r="CI146" s="571">
        <f t="shared" si="12"/>
        <v>1.1478906673145377</v>
      </c>
      <c r="CJ146" s="571">
        <f t="shared" si="12"/>
        <v>1.1478906673145379</v>
      </c>
      <c r="CK146" s="571">
        <f t="shared" si="12"/>
        <v>1.1478906673145375</v>
      </c>
      <c r="CL146" s="571">
        <f t="shared" si="12"/>
        <v>1.1478906673145377</v>
      </c>
      <c r="CM146" s="571">
        <f t="shared" si="12"/>
        <v>1.1478906673145377</v>
      </c>
      <c r="CN146" s="571">
        <f t="shared" si="12"/>
        <v>1.1478906673145377</v>
      </c>
      <c r="CO146" s="571">
        <f t="shared" si="12"/>
        <v>1.1478906673145377</v>
      </c>
      <c r="CP146" s="571">
        <f t="shared" si="12"/>
        <v>1.1478906673145377</v>
      </c>
      <c r="CQ146" s="571">
        <f t="shared" si="13"/>
        <v>1.1478906673145379</v>
      </c>
      <c r="CR146" s="571">
        <f t="shared" si="13"/>
        <v>1.1478906673145377</v>
      </c>
      <c r="CS146" s="571">
        <f t="shared" si="13"/>
        <v>1.1478906673145377</v>
      </c>
      <c r="CT146" s="571">
        <f t="shared" si="13"/>
        <v>1.1478906673145377</v>
      </c>
      <c r="CU146" s="571">
        <f t="shared" si="13"/>
        <v>1.1478906673145377</v>
      </c>
      <c r="CV146" s="571">
        <f t="shared" si="13"/>
        <v>1.1478906673145377</v>
      </c>
      <c r="CW146" s="571">
        <f t="shared" si="13"/>
        <v>1.1478906673145377</v>
      </c>
      <c r="CX146" s="571">
        <f t="shared" si="13"/>
        <v>1.1478906673145377</v>
      </c>
      <c r="CY146" s="571">
        <f t="shared" si="13"/>
        <v>1.1478906673145377</v>
      </c>
      <c r="CZ146" s="571">
        <f t="shared" si="13"/>
        <v>1.1478906673145377</v>
      </c>
      <c r="DA146" s="571">
        <f t="shared" si="13"/>
        <v>1.1478906673145377</v>
      </c>
      <c r="DB146" s="571">
        <f t="shared" si="13"/>
        <v>1.1478906673145375</v>
      </c>
      <c r="DC146" s="571">
        <f t="shared" si="13"/>
        <v>1.1478906673145377</v>
      </c>
      <c r="DD146" s="571">
        <f t="shared" si="13"/>
        <v>1.1478906673145377</v>
      </c>
      <c r="DE146" s="571">
        <f t="shared" si="13"/>
        <v>1.1478906673145377</v>
      </c>
      <c r="DF146" s="571">
        <f t="shared" si="13"/>
        <v>1.1478906673145377</v>
      </c>
      <c r="DG146" s="571">
        <f t="shared" si="14"/>
        <v>1.1478906673145375</v>
      </c>
    </row>
    <row r="147" spans="1:111" ht="15.75" hidden="1" customHeight="1">
      <c r="A147" s="2773"/>
      <c r="B147" s="2871" t="s">
        <v>292</v>
      </c>
      <c r="C147" s="2872"/>
      <c r="D147" s="1612"/>
      <c r="E147" s="1603"/>
      <c r="F147" s="1604"/>
      <c r="G147" s="1604"/>
      <c r="H147" s="1604"/>
      <c r="I147" s="1605"/>
      <c r="J147" s="1606"/>
      <c r="K147" s="1607">
        <f t="shared" ref="K147:AP147" si="25">((K$138-$I$4)/1000)*IF($C$13=0,$R$29,$R$46)*(($C$8/70)^$AC$46)*IF($C$13=1,$AH$46,IF($C$13=2,$AI$46,IF($C$13=3,$AJ$46,1)))</f>
        <v>918.25632823527678</v>
      </c>
      <c r="L147" s="1608">
        <f t="shared" si="25"/>
        <v>1101.9075938823321</v>
      </c>
      <c r="M147" s="1608">
        <f t="shared" si="25"/>
        <v>1285.5588595293873</v>
      </c>
      <c r="N147" s="1608">
        <f t="shared" si="25"/>
        <v>1469.2101251764429</v>
      </c>
      <c r="O147" s="1608">
        <f t="shared" si="25"/>
        <v>1652.8613908234984</v>
      </c>
      <c r="P147" s="1608">
        <f t="shared" si="25"/>
        <v>1836.5126564705536</v>
      </c>
      <c r="Q147" s="1608">
        <f t="shared" si="25"/>
        <v>2020.1639221176092</v>
      </c>
      <c r="R147" s="1608">
        <f t="shared" si="25"/>
        <v>2203.8151877646642</v>
      </c>
      <c r="S147" s="1608">
        <f t="shared" si="25"/>
        <v>2387.4664534117201</v>
      </c>
      <c r="T147" s="1608">
        <f t="shared" si="25"/>
        <v>2571.1177190587746</v>
      </c>
      <c r="U147" s="1608">
        <f t="shared" si="25"/>
        <v>2754.7689847058305</v>
      </c>
      <c r="V147" s="1609">
        <f t="shared" si="25"/>
        <v>2938.4202503528859</v>
      </c>
      <c r="W147" s="1607">
        <f t="shared" si="25"/>
        <v>3122.0715159999409</v>
      </c>
      <c r="X147" s="1608">
        <f t="shared" si="25"/>
        <v>3305.7227816469967</v>
      </c>
      <c r="Y147" s="1608">
        <f t="shared" si="25"/>
        <v>3489.3740472940517</v>
      </c>
      <c r="Z147" s="1608">
        <f t="shared" si="25"/>
        <v>3673.0253129411071</v>
      </c>
      <c r="AA147" s="1608">
        <f t="shared" si="25"/>
        <v>3856.676578588163</v>
      </c>
      <c r="AB147" s="1608">
        <f t="shared" si="25"/>
        <v>4040.3278442352184</v>
      </c>
      <c r="AC147" s="1608">
        <f t="shared" si="25"/>
        <v>4223.9791098822725</v>
      </c>
      <c r="AD147" s="1608">
        <f t="shared" si="25"/>
        <v>4407.6303755293284</v>
      </c>
      <c r="AE147" s="1608">
        <f t="shared" si="25"/>
        <v>4591.2816411763843</v>
      </c>
      <c r="AF147" s="1609">
        <f t="shared" si="25"/>
        <v>4774.9329068234401</v>
      </c>
      <c r="AG147" s="1610">
        <f t="shared" si="25"/>
        <v>4958.5841724704951</v>
      </c>
      <c r="AH147" s="1608">
        <f t="shared" si="25"/>
        <v>5142.2354381175492</v>
      </c>
      <c r="AI147" s="1608">
        <f t="shared" si="25"/>
        <v>5325.886703764605</v>
      </c>
      <c r="AJ147" s="1608">
        <f t="shared" si="25"/>
        <v>5509.5379694116609</v>
      </c>
      <c r="AK147" s="1608">
        <f t="shared" si="25"/>
        <v>5693.1892350587168</v>
      </c>
      <c r="AL147" s="1608">
        <f t="shared" si="25"/>
        <v>5876.8405007057718</v>
      </c>
      <c r="AM147" s="1608">
        <f t="shared" si="25"/>
        <v>6060.4917663528267</v>
      </c>
      <c r="AN147" s="1608">
        <f t="shared" si="25"/>
        <v>6244.1430319998817</v>
      </c>
      <c r="AO147" s="1608">
        <f t="shared" si="25"/>
        <v>6427.7942976469376</v>
      </c>
      <c r="AP147" s="1611">
        <f t="shared" si="25"/>
        <v>6611.4455632939935</v>
      </c>
      <c r="AQ147" s="1607">
        <f t="shared" ref="AQ147:BG147" si="26">((AQ$138-$I$4)/1000)*IF($C$13=0,$R$29,$R$46)*(($C$8/70)^$AC$46)*IF($C$13=1,$AH$46,IF($C$13=2,$AI$46,IF($C$13=3,$AJ$46,1)))</f>
        <v>6795.0968289410484</v>
      </c>
      <c r="AR147" s="1608">
        <f t="shared" si="26"/>
        <v>6978.7480945881034</v>
      </c>
      <c r="AS147" s="1608">
        <f t="shared" si="26"/>
        <v>7162.3993602351593</v>
      </c>
      <c r="AT147" s="1608">
        <f t="shared" si="26"/>
        <v>7346.0506258822143</v>
      </c>
      <c r="AU147" s="1608">
        <f t="shared" si="26"/>
        <v>7529.7018915292692</v>
      </c>
      <c r="AV147" s="1608">
        <f t="shared" si="26"/>
        <v>7713.353157176326</v>
      </c>
      <c r="AW147" s="1608">
        <f t="shared" si="26"/>
        <v>7897.004422823381</v>
      </c>
      <c r="AX147" s="1608">
        <f t="shared" si="26"/>
        <v>8080.6556884704369</v>
      </c>
      <c r="AY147" s="1608">
        <f t="shared" si="26"/>
        <v>8264.30695411749</v>
      </c>
      <c r="AZ147" s="1609">
        <f t="shared" si="26"/>
        <v>8447.958219764545</v>
      </c>
      <c r="BA147" s="1607">
        <f t="shared" si="26"/>
        <v>8631.6094854116018</v>
      </c>
      <c r="BB147" s="1608">
        <f t="shared" si="26"/>
        <v>8815.2607510586568</v>
      </c>
      <c r="BC147" s="1608">
        <f t="shared" si="26"/>
        <v>8998.9120167057135</v>
      </c>
      <c r="BD147" s="1608">
        <f t="shared" si="26"/>
        <v>9182.5632823527685</v>
      </c>
      <c r="BE147" s="1608">
        <f t="shared" si="26"/>
        <v>9366.2145479998235</v>
      </c>
      <c r="BF147" s="1608">
        <f t="shared" si="26"/>
        <v>9549.8658136468803</v>
      </c>
      <c r="BG147" s="1609">
        <f t="shared" si="26"/>
        <v>9733.5170792939334</v>
      </c>
      <c r="BH147" s="1855"/>
      <c r="BI147" s="1855"/>
      <c r="BK147" s="571">
        <f t="shared" si="11"/>
        <v>1.1953391076644611</v>
      </c>
      <c r="BL147" s="571">
        <f t="shared" si="11"/>
        <v>1.1953391076644613</v>
      </c>
      <c r="BM147" s="571">
        <f t="shared" si="11"/>
        <v>1.1953391076644613</v>
      </c>
      <c r="BN147" s="571">
        <f t="shared" si="11"/>
        <v>1.1953391076644611</v>
      </c>
      <c r="BO147" s="571">
        <f t="shared" si="11"/>
        <v>1.1953391076644611</v>
      </c>
      <c r="BP147" s="571">
        <f t="shared" si="11"/>
        <v>1.1953391076644611</v>
      </c>
      <c r="BQ147" s="571">
        <f t="shared" si="11"/>
        <v>1.1953391076644611</v>
      </c>
      <c r="BR147" s="571">
        <f t="shared" si="11"/>
        <v>1.1953391076644613</v>
      </c>
      <c r="BS147" s="571">
        <f t="shared" si="11"/>
        <v>1.1953391076644608</v>
      </c>
      <c r="BT147" s="571">
        <f t="shared" si="11"/>
        <v>1.1953391076644613</v>
      </c>
      <c r="BU147" s="571">
        <f t="shared" si="11"/>
        <v>1.1953391076644611</v>
      </c>
      <c r="BV147" s="571">
        <f t="shared" si="11"/>
        <v>1.1953391076644611</v>
      </c>
      <c r="BW147" s="571">
        <f t="shared" si="11"/>
        <v>1.1953391076644611</v>
      </c>
      <c r="BX147" s="571">
        <f t="shared" si="11"/>
        <v>1.1953391076644611</v>
      </c>
      <c r="BY147" s="571">
        <f t="shared" si="11"/>
        <v>1.1953391076644611</v>
      </c>
      <c r="BZ147" s="571">
        <f t="shared" si="11"/>
        <v>1.1953391076644611</v>
      </c>
      <c r="CA147" s="571">
        <f t="shared" si="12"/>
        <v>1.1953391076644611</v>
      </c>
      <c r="CB147" s="571">
        <f t="shared" si="12"/>
        <v>1.1953391076644611</v>
      </c>
      <c r="CC147" s="571">
        <f t="shared" si="12"/>
        <v>1.1953391076644613</v>
      </c>
      <c r="CD147" s="571">
        <f t="shared" si="12"/>
        <v>1.1953391076644613</v>
      </c>
      <c r="CE147" s="571">
        <f t="shared" si="12"/>
        <v>1.1953391076644611</v>
      </c>
      <c r="CF147" s="571">
        <f t="shared" si="12"/>
        <v>1.1953391076644608</v>
      </c>
      <c r="CG147" s="571">
        <f t="shared" si="12"/>
        <v>1.1953391076644611</v>
      </c>
      <c r="CH147" s="571">
        <f t="shared" si="12"/>
        <v>1.1953391076644613</v>
      </c>
      <c r="CI147" s="571">
        <f t="shared" si="12"/>
        <v>1.1953391076644611</v>
      </c>
      <c r="CJ147" s="571">
        <f t="shared" si="12"/>
        <v>1.1953391076644611</v>
      </c>
      <c r="CK147" s="571">
        <f t="shared" si="12"/>
        <v>1.1953391076644608</v>
      </c>
      <c r="CL147" s="571">
        <f t="shared" si="12"/>
        <v>1.1953391076644611</v>
      </c>
      <c r="CM147" s="571">
        <f t="shared" si="12"/>
        <v>1.1953391076644611</v>
      </c>
      <c r="CN147" s="571">
        <f t="shared" si="12"/>
        <v>1.1953391076644611</v>
      </c>
      <c r="CO147" s="571">
        <f t="shared" si="12"/>
        <v>1.1953391076644611</v>
      </c>
      <c r="CP147" s="571">
        <f t="shared" si="12"/>
        <v>1.1953391076644611</v>
      </c>
      <c r="CQ147" s="571">
        <f t="shared" si="13"/>
        <v>1.1953391076644611</v>
      </c>
      <c r="CR147" s="571">
        <f t="shared" si="13"/>
        <v>1.1953391076644611</v>
      </c>
      <c r="CS147" s="571">
        <f t="shared" si="13"/>
        <v>1.1953391076644613</v>
      </c>
      <c r="CT147" s="571">
        <f t="shared" si="13"/>
        <v>1.1953391076644611</v>
      </c>
      <c r="CU147" s="571">
        <f t="shared" si="13"/>
        <v>1.1953391076644613</v>
      </c>
      <c r="CV147" s="571">
        <f t="shared" si="13"/>
        <v>1.1953391076644611</v>
      </c>
      <c r="CW147" s="571">
        <f t="shared" si="13"/>
        <v>1.1953391076644611</v>
      </c>
      <c r="CX147" s="571">
        <f t="shared" si="13"/>
        <v>1.1953391076644611</v>
      </c>
      <c r="CY147" s="571">
        <f t="shared" si="13"/>
        <v>1.1953391076644613</v>
      </c>
      <c r="CZ147" s="571">
        <f t="shared" si="13"/>
        <v>1.1953391076644613</v>
      </c>
      <c r="DA147" s="571">
        <f t="shared" si="13"/>
        <v>1.1953391076644611</v>
      </c>
      <c r="DB147" s="571">
        <f t="shared" si="13"/>
        <v>1.1953391076644613</v>
      </c>
      <c r="DC147" s="571">
        <f t="shared" si="13"/>
        <v>1.1953391076644611</v>
      </c>
      <c r="DD147" s="571">
        <f t="shared" si="13"/>
        <v>1.1953391076644611</v>
      </c>
      <c r="DE147" s="571">
        <f t="shared" si="13"/>
        <v>1.1953391076644611</v>
      </c>
      <c r="DF147" s="571">
        <f t="shared" si="13"/>
        <v>1.1953391076644608</v>
      </c>
      <c r="DG147" s="571">
        <f t="shared" si="14"/>
        <v>1.1953391076644613</v>
      </c>
    </row>
    <row r="148" spans="1:111" ht="15.75" hidden="1" customHeight="1">
      <c r="A148" s="2773"/>
      <c r="B148" s="2873" t="s">
        <v>293</v>
      </c>
      <c r="C148" s="2874"/>
      <c r="D148" s="1613"/>
      <c r="E148" s="1614"/>
      <c r="F148" s="1615"/>
      <c r="G148" s="1615"/>
      <c r="H148" s="1615"/>
      <c r="I148" s="1616"/>
      <c r="J148" s="1617"/>
      <c r="K148" s="1618">
        <f t="shared" ref="K148:AP148" si="27">((K$138-$I$4)/1000)*IF($C$13=0,$S$29,$S$46)*(($C$8/70)^$AD$46)*IF($C$13=1,$AH$46,IF($C$13=2,$AI$46,IF($C$13=3,$AJ$46,1)))</f>
        <v>1001.3573466000001</v>
      </c>
      <c r="L148" s="1619">
        <f t="shared" si="27"/>
        <v>1201.6288159200001</v>
      </c>
      <c r="M148" s="1619">
        <f t="shared" si="27"/>
        <v>1401.9002852400001</v>
      </c>
      <c r="N148" s="1619">
        <f t="shared" si="27"/>
        <v>1602.1717545600004</v>
      </c>
      <c r="O148" s="1619">
        <f t="shared" si="27"/>
        <v>1802.4432238800005</v>
      </c>
      <c r="P148" s="1619">
        <f t="shared" si="27"/>
        <v>2002.7146932000003</v>
      </c>
      <c r="Q148" s="1619">
        <f t="shared" si="27"/>
        <v>2202.9861625200006</v>
      </c>
      <c r="R148" s="1619">
        <f t="shared" si="27"/>
        <v>2403.2576318400002</v>
      </c>
      <c r="S148" s="1619">
        <f t="shared" si="27"/>
        <v>2603.5291011600007</v>
      </c>
      <c r="T148" s="1619">
        <f t="shared" si="27"/>
        <v>2803.8005704800003</v>
      </c>
      <c r="U148" s="1619">
        <f t="shared" si="27"/>
        <v>3004.0720398000008</v>
      </c>
      <c r="V148" s="1620">
        <f t="shared" si="27"/>
        <v>3204.3435091200008</v>
      </c>
      <c r="W148" s="1618">
        <f t="shared" si="27"/>
        <v>3404.6149784400009</v>
      </c>
      <c r="X148" s="1619">
        <f t="shared" si="27"/>
        <v>3604.8864477600009</v>
      </c>
      <c r="Y148" s="1619">
        <f t="shared" si="27"/>
        <v>3805.1579170800005</v>
      </c>
      <c r="Z148" s="1619">
        <f t="shared" si="27"/>
        <v>4005.4293864000006</v>
      </c>
      <c r="AA148" s="1619">
        <f t="shared" si="27"/>
        <v>4205.7008557200006</v>
      </c>
      <c r="AB148" s="1619">
        <f t="shared" si="27"/>
        <v>4405.9723250400011</v>
      </c>
      <c r="AC148" s="1619">
        <f t="shared" si="27"/>
        <v>4606.2437943600007</v>
      </c>
      <c r="AD148" s="1619">
        <f t="shared" si="27"/>
        <v>4806.5152636800003</v>
      </c>
      <c r="AE148" s="1619">
        <f t="shared" si="27"/>
        <v>5006.7867330000008</v>
      </c>
      <c r="AF148" s="1620">
        <f t="shared" si="27"/>
        <v>5207.0582023200013</v>
      </c>
      <c r="AG148" s="1621">
        <f t="shared" si="27"/>
        <v>5407.3296716400018</v>
      </c>
      <c r="AH148" s="1619">
        <f t="shared" si="27"/>
        <v>5607.6011409600005</v>
      </c>
      <c r="AI148" s="1619">
        <f t="shared" si="27"/>
        <v>5807.872610280001</v>
      </c>
      <c r="AJ148" s="1619">
        <f t="shared" si="27"/>
        <v>6008.1440796000015</v>
      </c>
      <c r="AK148" s="1619">
        <f t="shared" si="27"/>
        <v>6208.4155489200011</v>
      </c>
      <c r="AL148" s="1619">
        <f t="shared" si="27"/>
        <v>6408.6870182400016</v>
      </c>
      <c r="AM148" s="1619">
        <f t="shared" si="27"/>
        <v>6608.9584875600003</v>
      </c>
      <c r="AN148" s="1619">
        <f t="shared" si="27"/>
        <v>6809.2299568800017</v>
      </c>
      <c r="AO148" s="1619">
        <f t="shared" si="27"/>
        <v>7009.5014262000004</v>
      </c>
      <c r="AP148" s="1622">
        <f t="shared" si="27"/>
        <v>7209.7728955200018</v>
      </c>
      <c r="AQ148" s="1618">
        <f t="shared" ref="AQ148:BG148" si="28">((AQ$138-$I$4)/1000)*IF($C$13=0,$S$29,$S$46)*(($C$8/70)^$AD$46)*IF($C$13=1,$AH$46,IF($C$13=2,$AI$46,IF($C$13=3,$AJ$46,1)))</f>
        <v>7410.0443648400023</v>
      </c>
      <c r="AR148" s="1619">
        <f t="shared" si="28"/>
        <v>7610.315834160001</v>
      </c>
      <c r="AS148" s="1619">
        <f t="shared" si="28"/>
        <v>7810.5873034800006</v>
      </c>
      <c r="AT148" s="1619">
        <f t="shared" si="28"/>
        <v>8010.8587728000011</v>
      </c>
      <c r="AU148" s="1619">
        <f t="shared" si="28"/>
        <v>8211.1302421199998</v>
      </c>
      <c r="AV148" s="1619">
        <f t="shared" si="28"/>
        <v>8411.4017114400012</v>
      </c>
      <c r="AW148" s="1619">
        <f t="shared" si="28"/>
        <v>8611.6731807600008</v>
      </c>
      <c r="AX148" s="1619">
        <f t="shared" si="28"/>
        <v>8811.9446500800022</v>
      </c>
      <c r="AY148" s="1619">
        <f t="shared" si="28"/>
        <v>9012.2161194000018</v>
      </c>
      <c r="AZ148" s="1620">
        <f t="shared" si="28"/>
        <v>9212.4875887200014</v>
      </c>
      <c r="BA148" s="1618">
        <f t="shared" si="28"/>
        <v>9412.7590580400029</v>
      </c>
      <c r="BB148" s="1619">
        <f t="shared" si="28"/>
        <v>9613.0305273600006</v>
      </c>
      <c r="BC148" s="1619">
        <f t="shared" si="28"/>
        <v>9813.301996680002</v>
      </c>
      <c r="BD148" s="1619">
        <f t="shared" si="28"/>
        <v>10013.573466000002</v>
      </c>
      <c r="BE148" s="1619">
        <f t="shared" si="28"/>
        <v>10213.844935320001</v>
      </c>
      <c r="BF148" s="1619">
        <f t="shared" si="28"/>
        <v>10414.116404640003</v>
      </c>
      <c r="BG148" s="1620">
        <f t="shared" si="28"/>
        <v>10614.387873960002</v>
      </c>
      <c r="BH148" s="1855"/>
      <c r="BI148" s="1855"/>
      <c r="BK148" s="571">
        <f t="shared" si="11"/>
        <v>1.1775237920843953</v>
      </c>
      <c r="BL148" s="571">
        <f t="shared" si="11"/>
        <v>1.1775237920843953</v>
      </c>
      <c r="BM148" s="571">
        <f t="shared" si="11"/>
        <v>1.1775237920843951</v>
      </c>
      <c r="BN148" s="571">
        <f t="shared" si="11"/>
        <v>1.1775237920843951</v>
      </c>
      <c r="BO148" s="571">
        <f t="shared" si="11"/>
        <v>1.1775237920843953</v>
      </c>
      <c r="BP148" s="571">
        <f t="shared" si="11"/>
        <v>1.1775237920843953</v>
      </c>
      <c r="BQ148" s="571">
        <f t="shared" si="11"/>
        <v>1.1775237920843951</v>
      </c>
      <c r="BR148" s="571">
        <f t="shared" si="11"/>
        <v>1.1775237920843953</v>
      </c>
      <c r="BS148" s="571">
        <f t="shared" si="11"/>
        <v>1.1775237920843951</v>
      </c>
      <c r="BT148" s="571">
        <f t="shared" si="11"/>
        <v>1.1775237920843951</v>
      </c>
      <c r="BU148" s="571">
        <f t="shared" si="11"/>
        <v>1.1775237920843951</v>
      </c>
      <c r="BV148" s="571">
        <f t="shared" si="11"/>
        <v>1.1775237920843951</v>
      </c>
      <c r="BW148" s="571">
        <f t="shared" si="11"/>
        <v>1.1775237920843951</v>
      </c>
      <c r="BX148" s="571">
        <f t="shared" si="11"/>
        <v>1.1775237920843953</v>
      </c>
      <c r="BY148" s="571">
        <f t="shared" si="11"/>
        <v>1.1775237920843951</v>
      </c>
      <c r="BZ148" s="571">
        <f t="shared" si="11"/>
        <v>1.1775237920843953</v>
      </c>
      <c r="CA148" s="571">
        <f t="shared" si="12"/>
        <v>1.1775237920843953</v>
      </c>
      <c r="CB148" s="571">
        <f t="shared" si="12"/>
        <v>1.1775237920843951</v>
      </c>
      <c r="CC148" s="571">
        <f t="shared" si="12"/>
        <v>1.1775237920843951</v>
      </c>
      <c r="CD148" s="571">
        <f t="shared" si="12"/>
        <v>1.1775237920843953</v>
      </c>
      <c r="CE148" s="571">
        <f t="shared" si="12"/>
        <v>1.1775237920843951</v>
      </c>
      <c r="CF148" s="571">
        <f t="shared" si="12"/>
        <v>1.1775237920843951</v>
      </c>
      <c r="CG148" s="571">
        <f t="shared" si="12"/>
        <v>1.1775237920843951</v>
      </c>
      <c r="CH148" s="571">
        <f t="shared" si="12"/>
        <v>1.1775237920843951</v>
      </c>
      <c r="CI148" s="571">
        <f t="shared" si="12"/>
        <v>1.1775237920843951</v>
      </c>
      <c r="CJ148" s="571">
        <f t="shared" si="12"/>
        <v>1.1775237920843951</v>
      </c>
      <c r="CK148" s="571">
        <f t="shared" si="12"/>
        <v>1.1775237920843951</v>
      </c>
      <c r="CL148" s="571">
        <f t="shared" si="12"/>
        <v>1.1775237920843951</v>
      </c>
      <c r="CM148" s="571">
        <f t="shared" si="12"/>
        <v>1.1775237920843953</v>
      </c>
      <c r="CN148" s="571">
        <f t="shared" si="12"/>
        <v>1.1775237920843951</v>
      </c>
      <c r="CO148" s="571">
        <f t="shared" si="12"/>
        <v>1.1775237920843953</v>
      </c>
      <c r="CP148" s="571">
        <f t="shared" si="12"/>
        <v>1.1775237920843953</v>
      </c>
      <c r="CQ148" s="571">
        <f t="shared" si="13"/>
        <v>1.1775237920843951</v>
      </c>
      <c r="CR148" s="571">
        <f t="shared" si="13"/>
        <v>1.1775237920843951</v>
      </c>
      <c r="CS148" s="571">
        <f t="shared" si="13"/>
        <v>1.1775237920843953</v>
      </c>
      <c r="CT148" s="571">
        <f t="shared" si="13"/>
        <v>1.1775237920843953</v>
      </c>
      <c r="CU148" s="571">
        <f t="shared" si="13"/>
        <v>1.1775237920843951</v>
      </c>
      <c r="CV148" s="571">
        <f t="shared" si="13"/>
        <v>1.1775237920843953</v>
      </c>
      <c r="CW148" s="571">
        <f t="shared" si="13"/>
        <v>1.1775237920843951</v>
      </c>
      <c r="CX148" s="571">
        <f t="shared" si="13"/>
        <v>1.1775237920843951</v>
      </c>
      <c r="CY148" s="571">
        <f t="shared" si="13"/>
        <v>1.1775237920843951</v>
      </c>
      <c r="CZ148" s="571">
        <f t="shared" si="13"/>
        <v>1.1775237920843951</v>
      </c>
      <c r="DA148" s="571">
        <f t="shared" si="13"/>
        <v>1.1775237920843948</v>
      </c>
      <c r="DB148" s="571">
        <f t="shared" si="13"/>
        <v>1.1775237920843953</v>
      </c>
      <c r="DC148" s="571">
        <f t="shared" si="13"/>
        <v>1.1775237920843951</v>
      </c>
      <c r="DD148" s="571">
        <f t="shared" si="13"/>
        <v>1.1775237920843951</v>
      </c>
      <c r="DE148" s="571">
        <f t="shared" si="13"/>
        <v>1.1775237920843951</v>
      </c>
      <c r="DF148" s="571">
        <f t="shared" si="13"/>
        <v>1.1775237920843951</v>
      </c>
      <c r="DG148" s="571">
        <f t="shared" si="14"/>
        <v>1.1775237920843951</v>
      </c>
    </row>
    <row r="149" spans="1:111" ht="15" hidden="1" customHeight="1">
      <c r="A149" s="2773"/>
      <c r="B149" s="2875" t="s">
        <v>497</v>
      </c>
      <c r="C149" s="2876"/>
      <c r="D149" s="2877"/>
      <c r="E149" s="1623" t="s">
        <v>194</v>
      </c>
      <c r="F149" s="1624">
        <v>75</v>
      </c>
      <c r="G149" s="1624">
        <v>260</v>
      </c>
      <c r="H149" s="1624">
        <v>2</v>
      </c>
      <c r="I149" s="1625"/>
      <c r="J149" s="1626"/>
      <c r="K149" s="1627">
        <f t="shared" ref="K149:AP149" si="29">((K$138-$I$4)/1000)*IF($C$13=0,$N$30,$N$47)*(($C$8/70)^$Y$47)*IF($C$13=1,$AH$47,IF($C$13=2,$AI$47,IF($C$13=3,$AJ$47,1)))</f>
        <v>710.52930000000003</v>
      </c>
      <c r="L149" s="1628">
        <f t="shared" si="29"/>
        <v>852.63516000000004</v>
      </c>
      <c r="M149" s="1628">
        <f t="shared" si="29"/>
        <v>994.74102000000005</v>
      </c>
      <c r="N149" s="1628">
        <f t="shared" si="29"/>
        <v>1136.8468800000001</v>
      </c>
      <c r="O149" s="1628">
        <f t="shared" si="29"/>
        <v>1278.9527400000002</v>
      </c>
      <c r="P149" s="1628">
        <f t="shared" si="29"/>
        <v>1421.0586000000001</v>
      </c>
      <c r="Q149" s="1628">
        <f t="shared" si="29"/>
        <v>1563.1644600000002</v>
      </c>
      <c r="R149" s="1628">
        <f t="shared" si="29"/>
        <v>1705.2703200000001</v>
      </c>
      <c r="S149" s="1628">
        <f t="shared" si="29"/>
        <v>1847.3761800000002</v>
      </c>
      <c r="T149" s="1628">
        <f t="shared" si="29"/>
        <v>1989.4820400000001</v>
      </c>
      <c r="U149" s="1628">
        <f t="shared" si="29"/>
        <v>2131.5879</v>
      </c>
      <c r="V149" s="1629">
        <f t="shared" si="29"/>
        <v>2273.6937600000001</v>
      </c>
      <c r="W149" s="1627">
        <f t="shared" si="29"/>
        <v>2415.7996200000002</v>
      </c>
      <c r="X149" s="1628">
        <f t="shared" si="29"/>
        <v>2557.9054800000004</v>
      </c>
      <c r="Y149" s="1628">
        <f t="shared" si="29"/>
        <v>2700.01134</v>
      </c>
      <c r="Z149" s="1628">
        <f t="shared" si="29"/>
        <v>2842.1172000000001</v>
      </c>
      <c r="AA149" s="1628">
        <f t="shared" si="29"/>
        <v>2984.2230600000003</v>
      </c>
      <c r="AB149" s="1628">
        <f t="shared" si="29"/>
        <v>3126.3289200000004</v>
      </c>
      <c r="AC149" s="1628">
        <f t="shared" si="29"/>
        <v>3268.43478</v>
      </c>
      <c r="AD149" s="1628">
        <f t="shared" si="29"/>
        <v>3410.5406400000002</v>
      </c>
      <c r="AE149" s="1628">
        <f t="shared" si="29"/>
        <v>3552.6464999999998</v>
      </c>
      <c r="AF149" s="1629">
        <f t="shared" si="29"/>
        <v>3694.7523600000004</v>
      </c>
      <c r="AG149" s="1630">
        <f t="shared" si="29"/>
        <v>3836.8582200000005</v>
      </c>
      <c r="AH149" s="1628">
        <f t="shared" si="29"/>
        <v>3978.9640800000002</v>
      </c>
      <c r="AI149" s="1628">
        <f t="shared" si="29"/>
        <v>4121.0699400000003</v>
      </c>
      <c r="AJ149" s="1628">
        <f t="shared" si="29"/>
        <v>4263.1758</v>
      </c>
      <c r="AK149" s="1628">
        <f t="shared" si="29"/>
        <v>4405.2816600000006</v>
      </c>
      <c r="AL149" s="1628">
        <f t="shared" si="29"/>
        <v>4547.3875200000002</v>
      </c>
      <c r="AM149" s="1628">
        <f t="shared" si="29"/>
        <v>4689.4933799999999</v>
      </c>
      <c r="AN149" s="1628">
        <f t="shared" si="29"/>
        <v>4831.5992400000005</v>
      </c>
      <c r="AO149" s="1628">
        <f t="shared" si="29"/>
        <v>4973.705100000001</v>
      </c>
      <c r="AP149" s="1631">
        <f t="shared" si="29"/>
        <v>5115.8109600000007</v>
      </c>
      <c r="AQ149" s="1627">
        <f t="shared" ref="AQ149:BG149" si="30">((AQ$138-$I$4)/1000)*IF($C$13=0,$N$30,$N$47)*(($C$8/70)^$Y$47)*IF($C$13=1,$AH$47,IF($C$13=2,$AI$47,IF($C$13=3,$AJ$47,1)))</f>
        <v>5257.9168200000004</v>
      </c>
      <c r="AR149" s="1628">
        <f t="shared" si="30"/>
        <v>5400.02268</v>
      </c>
      <c r="AS149" s="1628">
        <f t="shared" si="30"/>
        <v>5542.1285399999997</v>
      </c>
      <c r="AT149" s="1628">
        <f t="shared" si="30"/>
        <v>5684.2344000000003</v>
      </c>
      <c r="AU149" s="1628">
        <f t="shared" si="30"/>
        <v>5826.3402599999999</v>
      </c>
      <c r="AV149" s="1628">
        <f t="shared" si="30"/>
        <v>5968.4461200000005</v>
      </c>
      <c r="AW149" s="1628">
        <f t="shared" si="30"/>
        <v>6110.5519800000002</v>
      </c>
      <c r="AX149" s="1628">
        <f t="shared" si="30"/>
        <v>6252.6578400000008</v>
      </c>
      <c r="AY149" s="1628">
        <f t="shared" si="30"/>
        <v>6394.7637000000004</v>
      </c>
      <c r="AZ149" s="1629">
        <f t="shared" si="30"/>
        <v>6536.8695600000001</v>
      </c>
      <c r="BA149" s="1627">
        <f t="shared" si="30"/>
        <v>6678.9754200000007</v>
      </c>
      <c r="BB149" s="1628">
        <f t="shared" si="30"/>
        <v>6821.0812800000003</v>
      </c>
      <c r="BC149" s="1628">
        <f t="shared" si="30"/>
        <v>6963.1871400000018</v>
      </c>
      <c r="BD149" s="1628">
        <f t="shared" si="30"/>
        <v>7105.2929999999997</v>
      </c>
      <c r="BE149" s="1628">
        <f t="shared" si="30"/>
        <v>7247.3988599999993</v>
      </c>
      <c r="BF149" s="1628">
        <f t="shared" si="30"/>
        <v>7389.5047200000008</v>
      </c>
      <c r="BG149" s="1629">
        <f t="shared" si="30"/>
        <v>7531.6105800000005</v>
      </c>
      <c r="BH149" s="1855"/>
      <c r="BI149" s="1855"/>
      <c r="BK149" s="571">
        <f t="shared" si="11"/>
        <v>1.0540861861713513</v>
      </c>
      <c r="BL149" s="571">
        <f t="shared" si="11"/>
        <v>1.0540861861713513</v>
      </c>
      <c r="BM149" s="571">
        <f t="shared" si="11"/>
        <v>1.0540861861713513</v>
      </c>
      <c r="BN149" s="571">
        <f t="shared" si="11"/>
        <v>1.0540861861713515</v>
      </c>
      <c r="BO149" s="571">
        <f t="shared" si="11"/>
        <v>1.0540861861713513</v>
      </c>
      <c r="BP149" s="571">
        <f t="shared" si="11"/>
        <v>1.0540861861713513</v>
      </c>
      <c r="BQ149" s="571">
        <f t="shared" si="11"/>
        <v>1.0540861861713515</v>
      </c>
      <c r="BR149" s="571">
        <f t="shared" si="11"/>
        <v>1.0540861861713513</v>
      </c>
      <c r="BS149" s="571">
        <f t="shared" si="11"/>
        <v>1.0540861861713513</v>
      </c>
      <c r="BT149" s="571">
        <f t="shared" si="11"/>
        <v>1.0540861861713513</v>
      </c>
      <c r="BU149" s="571">
        <f t="shared" si="11"/>
        <v>1.0540861861713513</v>
      </c>
      <c r="BV149" s="571">
        <f t="shared" si="11"/>
        <v>1.0540861861713515</v>
      </c>
      <c r="BW149" s="571">
        <f t="shared" si="11"/>
        <v>1.0540861861713513</v>
      </c>
      <c r="BX149" s="571">
        <f t="shared" si="11"/>
        <v>1.0540861861713513</v>
      </c>
      <c r="BY149" s="571">
        <f t="shared" si="11"/>
        <v>1.0540861861713515</v>
      </c>
      <c r="BZ149" s="571">
        <f t="shared" si="11"/>
        <v>1.0540861861713513</v>
      </c>
      <c r="CA149" s="571">
        <f t="shared" si="12"/>
        <v>1.0540861861713515</v>
      </c>
      <c r="CB149" s="571">
        <f t="shared" si="12"/>
        <v>1.0540861861713515</v>
      </c>
      <c r="CC149" s="571">
        <f t="shared" si="12"/>
        <v>1.0540861861713513</v>
      </c>
      <c r="CD149" s="571">
        <f t="shared" si="12"/>
        <v>1.0540861861713513</v>
      </c>
      <c r="CE149" s="571">
        <f t="shared" si="12"/>
        <v>1.0540861861713515</v>
      </c>
      <c r="CF149" s="571">
        <f t="shared" si="12"/>
        <v>1.0540861861713513</v>
      </c>
      <c r="CG149" s="571">
        <f t="shared" si="12"/>
        <v>1.0540861861713515</v>
      </c>
      <c r="CH149" s="571">
        <f t="shared" si="12"/>
        <v>1.0540861861713513</v>
      </c>
      <c r="CI149" s="571">
        <f t="shared" si="12"/>
        <v>1.0540861861713513</v>
      </c>
      <c r="CJ149" s="571">
        <f t="shared" si="12"/>
        <v>1.0540861861713513</v>
      </c>
      <c r="CK149" s="571">
        <f t="shared" si="12"/>
        <v>1.0540861861713515</v>
      </c>
      <c r="CL149" s="571">
        <f t="shared" si="12"/>
        <v>1.0540861861713515</v>
      </c>
      <c r="CM149" s="571">
        <f t="shared" si="12"/>
        <v>1.0540861861713513</v>
      </c>
      <c r="CN149" s="571">
        <f t="shared" si="12"/>
        <v>1.0540861861713513</v>
      </c>
      <c r="CO149" s="571">
        <f t="shared" si="12"/>
        <v>1.0540861861713513</v>
      </c>
      <c r="CP149" s="571">
        <f t="shared" si="12"/>
        <v>1.0540861861713513</v>
      </c>
      <c r="CQ149" s="571">
        <f t="shared" si="13"/>
        <v>1.0540861861713515</v>
      </c>
      <c r="CR149" s="571">
        <f t="shared" si="13"/>
        <v>1.0540861861713515</v>
      </c>
      <c r="CS149" s="571">
        <f t="shared" si="13"/>
        <v>1.0540861861713515</v>
      </c>
      <c r="CT149" s="571">
        <f t="shared" si="13"/>
        <v>1.0540861861713513</v>
      </c>
      <c r="CU149" s="571">
        <f t="shared" si="13"/>
        <v>1.0540861861713513</v>
      </c>
      <c r="CV149" s="571">
        <f t="shared" si="13"/>
        <v>1.0540861861713515</v>
      </c>
      <c r="CW149" s="571">
        <f t="shared" si="13"/>
        <v>1.0540861861713513</v>
      </c>
      <c r="CX149" s="571">
        <f t="shared" si="13"/>
        <v>1.0540861861713515</v>
      </c>
      <c r="CY149" s="571">
        <f t="shared" si="13"/>
        <v>1.0540861861713513</v>
      </c>
      <c r="CZ149" s="571">
        <f t="shared" si="13"/>
        <v>1.0540861861713513</v>
      </c>
      <c r="DA149" s="571">
        <f t="shared" si="13"/>
        <v>1.0540861861713515</v>
      </c>
      <c r="DB149" s="571">
        <f t="shared" si="13"/>
        <v>1.0540861861713513</v>
      </c>
      <c r="DC149" s="571">
        <f t="shared" si="13"/>
        <v>1.0540861861713513</v>
      </c>
      <c r="DD149" s="571">
        <f t="shared" si="13"/>
        <v>1.0540861861713515</v>
      </c>
      <c r="DE149" s="571">
        <f t="shared" si="13"/>
        <v>1.0540861861713513</v>
      </c>
      <c r="DF149" s="571">
        <f t="shared" si="13"/>
        <v>1.0540861861713513</v>
      </c>
      <c r="DG149" s="571">
        <f t="shared" si="14"/>
        <v>1.0540861861713513</v>
      </c>
    </row>
    <row r="150" spans="1:111" ht="15" hidden="1" customHeight="1">
      <c r="A150" s="2773"/>
      <c r="B150" s="2880" t="s">
        <v>498</v>
      </c>
      <c r="C150" s="2881"/>
      <c r="D150" s="2878"/>
      <c r="E150" s="1632" t="s">
        <v>194</v>
      </c>
      <c r="F150" s="1633">
        <v>75</v>
      </c>
      <c r="G150" s="1633">
        <v>300</v>
      </c>
      <c r="H150" s="1633">
        <v>2</v>
      </c>
      <c r="I150" s="1634"/>
      <c r="J150" s="1635"/>
      <c r="K150" s="1636">
        <f t="shared" ref="K150:AP150" si="31">((K$138-$I$4)/1000)*IF($C$13=0,$O$30,$O$47)*(($C$8/70)^$Z$47)*IF($C$13=1,$AH$47,IF($C$13=2,$AI$47,IF($C$13=3,$AJ$47,1)))</f>
        <v>786.9303000000001</v>
      </c>
      <c r="L150" s="1637">
        <f t="shared" si="31"/>
        <v>944.31636000000003</v>
      </c>
      <c r="M150" s="1637">
        <f t="shared" si="31"/>
        <v>1101.7024200000001</v>
      </c>
      <c r="N150" s="1637">
        <f t="shared" si="31"/>
        <v>1259.0884800000003</v>
      </c>
      <c r="O150" s="1637">
        <f t="shared" si="31"/>
        <v>1416.4745400000002</v>
      </c>
      <c r="P150" s="1637">
        <f t="shared" si="31"/>
        <v>1573.8606000000002</v>
      </c>
      <c r="Q150" s="1637">
        <f t="shared" si="31"/>
        <v>1731.2466600000002</v>
      </c>
      <c r="R150" s="1637">
        <f t="shared" si="31"/>
        <v>1888.6327200000001</v>
      </c>
      <c r="S150" s="1637">
        <f t="shared" si="31"/>
        <v>2046.0187800000003</v>
      </c>
      <c r="T150" s="1637">
        <f t="shared" si="31"/>
        <v>2203.4048400000001</v>
      </c>
      <c r="U150" s="1637">
        <f t="shared" si="31"/>
        <v>2360.7909000000004</v>
      </c>
      <c r="V150" s="1638">
        <f t="shared" si="31"/>
        <v>2518.1769600000007</v>
      </c>
      <c r="W150" s="1636">
        <f t="shared" si="31"/>
        <v>2675.5630200000001</v>
      </c>
      <c r="X150" s="1637">
        <f t="shared" si="31"/>
        <v>2832.9490800000003</v>
      </c>
      <c r="Y150" s="1637">
        <f t="shared" si="31"/>
        <v>2990.3351400000001</v>
      </c>
      <c r="Z150" s="1637">
        <f t="shared" si="31"/>
        <v>3147.7212000000004</v>
      </c>
      <c r="AA150" s="1637">
        <f t="shared" si="31"/>
        <v>3305.1072600000007</v>
      </c>
      <c r="AB150" s="1637">
        <f t="shared" si="31"/>
        <v>3462.4933200000005</v>
      </c>
      <c r="AC150" s="1637">
        <f t="shared" si="31"/>
        <v>3619.8793800000003</v>
      </c>
      <c r="AD150" s="1637">
        <f t="shared" si="31"/>
        <v>3777.2654400000001</v>
      </c>
      <c r="AE150" s="1637">
        <f t="shared" si="31"/>
        <v>3934.6515000000004</v>
      </c>
      <c r="AF150" s="1638">
        <f t="shared" si="31"/>
        <v>4092.0375600000007</v>
      </c>
      <c r="AG150" s="1639">
        <f t="shared" si="31"/>
        <v>4249.4236200000005</v>
      </c>
      <c r="AH150" s="1637">
        <f t="shared" si="31"/>
        <v>4406.8096800000003</v>
      </c>
      <c r="AI150" s="1637">
        <f t="shared" si="31"/>
        <v>4564.1957400000001</v>
      </c>
      <c r="AJ150" s="1637">
        <f t="shared" si="31"/>
        <v>4721.5818000000008</v>
      </c>
      <c r="AK150" s="1637">
        <f t="shared" si="31"/>
        <v>4878.9678600000007</v>
      </c>
      <c r="AL150" s="1637">
        <f t="shared" si="31"/>
        <v>5036.3539200000014</v>
      </c>
      <c r="AM150" s="1637">
        <f t="shared" si="31"/>
        <v>5193.7399800000003</v>
      </c>
      <c r="AN150" s="1637">
        <f t="shared" si="31"/>
        <v>5351.1260400000001</v>
      </c>
      <c r="AO150" s="1637">
        <f t="shared" si="31"/>
        <v>5508.5121000000008</v>
      </c>
      <c r="AP150" s="1640">
        <f t="shared" si="31"/>
        <v>5665.8981600000006</v>
      </c>
      <c r="AQ150" s="1636">
        <f t="shared" ref="AQ150:BG150" si="32">((AQ$138-$I$4)/1000)*IF($C$13=0,$O$30,$O$47)*(($C$8/70)^$Z$47)*IF($C$13=1,$AH$47,IF($C$13=2,$AI$47,IF($C$13=3,$AJ$47,1)))</f>
        <v>5823.2842200000014</v>
      </c>
      <c r="AR150" s="1637">
        <f t="shared" si="32"/>
        <v>5980.6702800000003</v>
      </c>
      <c r="AS150" s="1637">
        <f t="shared" si="32"/>
        <v>6138.056340000001</v>
      </c>
      <c r="AT150" s="1637">
        <f t="shared" si="32"/>
        <v>6295.4424000000008</v>
      </c>
      <c r="AU150" s="1637">
        <f t="shared" si="32"/>
        <v>6452.8284599999997</v>
      </c>
      <c r="AV150" s="1637">
        <f t="shared" si="32"/>
        <v>6610.2145200000014</v>
      </c>
      <c r="AW150" s="1637">
        <f t="shared" si="32"/>
        <v>6767.6005800000003</v>
      </c>
      <c r="AX150" s="1637">
        <f t="shared" si="32"/>
        <v>6924.986640000001</v>
      </c>
      <c r="AY150" s="1637">
        <f t="shared" si="32"/>
        <v>7082.3727000000008</v>
      </c>
      <c r="AZ150" s="1638">
        <f t="shared" si="32"/>
        <v>7239.7587600000006</v>
      </c>
      <c r="BA150" s="1636">
        <f t="shared" si="32"/>
        <v>7397.1448200000013</v>
      </c>
      <c r="BB150" s="1637">
        <f t="shared" si="32"/>
        <v>7554.5308800000003</v>
      </c>
      <c r="BC150" s="1637">
        <f t="shared" si="32"/>
        <v>7711.916940000001</v>
      </c>
      <c r="BD150" s="1637">
        <f t="shared" si="32"/>
        <v>7869.3030000000008</v>
      </c>
      <c r="BE150" s="1637">
        <f t="shared" si="32"/>
        <v>8026.6890600000006</v>
      </c>
      <c r="BF150" s="1637">
        <f t="shared" si="32"/>
        <v>8184.0751200000013</v>
      </c>
      <c r="BG150" s="1638">
        <f t="shared" si="32"/>
        <v>8341.4611800000002</v>
      </c>
      <c r="BH150" s="1855"/>
      <c r="BI150" s="1855"/>
      <c r="BK150" s="571">
        <f t="shared" si="11"/>
        <v>1.0522428225218929</v>
      </c>
      <c r="BL150" s="571">
        <f t="shared" si="11"/>
        <v>1.0522428225218932</v>
      </c>
      <c r="BM150" s="571">
        <f t="shared" si="11"/>
        <v>1.0522428225218929</v>
      </c>
      <c r="BN150" s="571">
        <f t="shared" si="11"/>
        <v>1.0522428225218929</v>
      </c>
      <c r="BO150" s="571">
        <f t="shared" si="11"/>
        <v>1.0522428225218929</v>
      </c>
      <c r="BP150" s="571">
        <f t="shared" si="11"/>
        <v>1.0522428225218929</v>
      </c>
      <c r="BQ150" s="571">
        <f t="shared" si="11"/>
        <v>1.0522428225218929</v>
      </c>
      <c r="BR150" s="571">
        <f t="shared" si="11"/>
        <v>1.0522428225218932</v>
      </c>
      <c r="BS150" s="571">
        <f t="shared" si="11"/>
        <v>1.0522428225218929</v>
      </c>
      <c r="BT150" s="571">
        <f t="shared" si="11"/>
        <v>1.0522428225218929</v>
      </c>
      <c r="BU150" s="571">
        <f t="shared" si="11"/>
        <v>1.0522428225218929</v>
      </c>
      <c r="BV150" s="571">
        <f t="shared" si="11"/>
        <v>1.0522428225218929</v>
      </c>
      <c r="BW150" s="571">
        <f t="shared" si="11"/>
        <v>1.0522428225218929</v>
      </c>
      <c r="BX150" s="571">
        <f t="shared" si="11"/>
        <v>1.0522428225218929</v>
      </c>
      <c r="BY150" s="571">
        <f t="shared" si="11"/>
        <v>1.0522428225218929</v>
      </c>
      <c r="BZ150" s="571">
        <f t="shared" si="11"/>
        <v>1.0522428225218929</v>
      </c>
      <c r="CA150" s="571">
        <f t="shared" si="12"/>
        <v>1.0522428225218929</v>
      </c>
      <c r="CB150" s="571">
        <f t="shared" si="12"/>
        <v>1.0522428225218929</v>
      </c>
      <c r="CC150" s="571">
        <f t="shared" si="12"/>
        <v>1.0522428225218929</v>
      </c>
      <c r="CD150" s="571">
        <f t="shared" si="12"/>
        <v>1.0522428225218932</v>
      </c>
      <c r="CE150" s="571">
        <f t="shared" si="12"/>
        <v>1.0522428225218929</v>
      </c>
      <c r="CF150" s="571">
        <f t="shared" si="12"/>
        <v>1.0522428225218929</v>
      </c>
      <c r="CG150" s="571">
        <f t="shared" si="12"/>
        <v>1.0522428225218929</v>
      </c>
      <c r="CH150" s="571">
        <f t="shared" si="12"/>
        <v>1.0522428225218929</v>
      </c>
      <c r="CI150" s="571">
        <f t="shared" si="12"/>
        <v>1.0522428225218929</v>
      </c>
      <c r="CJ150" s="571">
        <f t="shared" si="12"/>
        <v>1.0522428225218929</v>
      </c>
      <c r="CK150" s="571">
        <f t="shared" si="12"/>
        <v>1.0522428225218929</v>
      </c>
      <c r="CL150" s="571">
        <f t="shared" si="12"/>
        <v>1.0522428225218929</v>
      </c>
      <c r="CM150" s="571">
        <f t="shared" si="12"/>
        <v>1.0522428225218929</v>
      </c>
      <c r="CN150" s="571">
        <f t="shared" si="12"/>
        <v>1.0522428225218929</v>
      </c>
      <c r="CO150" s="571">
        <f t="shared" si="12"/>
        <v>1.0522428225218929</v>
      </c>
      <c r="CP150" s="571">
        <f t="shared" si="12"/>
        <v>1.0522428225218929</v>
      </c>
      <c r="CQ150" s="571">
        <f t="shared" si="13"/>
        <v>1.0522428225218929</v>
      </c>
      <c r="CR150" s="571">
        <f t="shared" si="13"/>
        <v>1.0522428225218929</v>
      </c>
      <c r="CS150" s="571">
        <f t="shared" si="13"/>
        <v>1.0522428225218929</v>
      </c>
      <c r="CT150" s="571">
        <f t="shared" si="13"/>
        <v>1.0522428225218929</v>
      </c>
      <c r="CU150" s="571">
        <f t="shared" si="13"/>
        <v>1.0522428225218929</v>
      </c>
      <c r="CV150" s="571">
        <f t="shared" si="13"/>
        <v>1.0522428225218929</v>
      </c>
      <c r="CW150" s="571">
        <f t="shared" si="13"/>
        <v>1.0522428225218929</v>
      </c>
      <c r="CX150" s="571">
        <f t="shared" si="13"/>
        <v>1.0522428225218929</v>
      </c>
      <c r="CY150" s="571">
        <f t="shared" si="13"/>
        <v>1.0522428225218932</v>
      </c>
      <c r="CZ150" s="571">
        <f t="shared" si="13"/>
        <v>1.0522428225218929</v>
      </c>
      <c r="DA150" s="571">
        <f t="shared" si="13"/>
        <v>1.0522428225218929</v>
      </c>
      <c r="DB150" s="571">
        <f t="shared" si="13"/>
        <v>1.0522428225218932</v>
      </c>
      <c r="DC150" s="571">
        <f t="shared" si="13"/>
        <v>1.0522428225218929</v>
      </c>
      <c r="DD150" s="571">
        <f t="shared" si="13"/>
        <v>1.0522428225218929</v>
      </c>
      <c r="DE150" s="571">
        <f t="shared" si="13"/>
        <v>1.0522428225218932</v>
      </c>
      <c r="DF150" s="571">
        <f t="shared" si="13"/>
        <v>1.0522428225218929</v>
      </c>
      <c r="DG150" s="571">
        <f t="shared" si="14"/>
        <v>1.0522428225218929</v>
      </c>
    </row>
    <row r="151" spans="1:111" ht="15" hidden="1" customHeight="1">
      <c r="A151" s="2773"/>
      <c r="B151" s="2880" t="s">
        <v>499</v>
      </c>
      <c r="C151" s="2881"/>
      <c r="D151" s="2878"/>
      <c r="E151" s="1632" t="s">
        <v>194</v>
      </c>
      <c r="F151" s="1633">
        <v>75</v>
      </c>
      <c r="G151" s="1633">
        <v>360</v>
      </c>
      <c r="H151" s="1633">
        <v>4</v>
      </c>
      <c r="I151" s="1634"/>
      <c r="J151" s="1635"/>
      <c r="K151" s="1636">
        <f t="shared" ref="K151:AP151" si="33">((K$138-$I$4)/1000)*IF($C$13=0,$R$30,$R$47)*(($C$8/70)^$AC$47)*IF($C$13=1,$AH$47,IF($C$13=2,$AI$47,IF($C$13=3,$AJ$47,1)))</f>
        <v>1097.6277000000002</v>
      </c>
      <c r="L151" s="1637">
        <f t="shared" si="33"/>
        <v>1317.1532400000003</v>
      </c>
      <c r="M151" s="1637">
        <f t="shared" si="33"/>
        <v>1536.6787800000002</v>
      </c>
      <c r="N151" s="1637">
        <f t="shared" si="33"/>
        <v>1756.2043200000005</v>
      </c>
      <c r="O151" s="1637">
        <f t="shared" si="33"/>
        <v>1975.7298600000006</v>
      </c>
      <c r="P151" s="1637">
        <f t="shared" si="33"/>
        <v>2195.2554000000005</v>
      </c>
      <c r="Q151" s="1637">
        <f t="shared" si="33"/>
        <v>2414.780940000001</v>
      </c>
      <c r="R151" s="1637">
        <f t="shared" si="33"/>
        <v>2634.3064800000006</v>
      </c>
      <c r="S151" s="1637">
        <f t="shared" si="33"/>
        <v>2853.8320200000007</v>
      </c>
      <c r="T151" s="1637">
        <f t="shared" si="33"/>
        <v>3073.3575600000004</v>
      </c>
      <c r="U151" s="1637">
        <f t="shared" si="33"/>
        <v>3292.8831000000009</v>
      </c>
      <c r="V151" s="1638">
        <f t="shared" si="33"/>
        <v>3512.408640000001</v>
      </c>
      <c r="W151" s="1636">
        <f t="shared" si="33"/>
        <v>3731.9341800000007</v>
      </c>
      <c r="X151" s="1637">
        <f t="shared" si="33"/>
        <v>3951.4597200000012</v>
      </c>
      <c r="Y151" s="1637">
        <f t="shared" si="33"/>
        <v>4170.9852600000004</v>
      </c>
      <c r="Z151" s="1637">
        <f t="shared" si="33"/>
        <v>4390.5108000000009</v>
      </c>
      <c r="AA151" s="1637">
        <f t="shared" si="33"/>
        <v>4610.0363400000015</v>
      </c>
      <c r="AB151" s="1637">
        <f t="shared" si="33"/>
        <v>4829.561880000002</v>
      </c>
      <c r="AC151" s="1637">
        <f t="shared" si="33"/>
        <v>5049.0874200000007</v>
      </c>
      <c r="AD151" s="1637">
        <f t="shared" si="33"/>
        <v>5268.6129600000013</v>
      </c>
      <c r="AE151" s="1637">
        <f t="shared" si="33"/>
        <v>5488.1385000000009</v>
      </c>
      <c r="AF151" s="1638">
        <f t="shared" si="33"/>
        <v>5707.6640400000015</v>
      </c>
      <c r="AG151" s="1639">
        <f t="shared" si="33"/>
        <v>5927.189580000002</v>
      </c>
      <c r="AH151" s="1637">
        <f t="shared" si="33"/>
        <v>6146.7151200000008</v>
      </c>
      <c r="AI151" s="1637">
        <f t="shared" si="33"/>
        <v>6366.2406600000013</v>
      </c>
      <c r="AJ151" s="1637">
        <f t="shared" si="33"/>
        <v>6585.7662000000018</v>
      </c>
      <c r="AK151" s="1637">
        <f t="shared" si="33"/>
        <v>6805.2917400000015</v>
      </c>
      <c r="AL151" s="1637">
        <f t="shared" si="33"/>
        <v>7024.817280000002</v>
      </c>
      <c r="AM151" s="1637">
        <f t="shared" si="33"/>
        <v>7244.3428200000017</v>
      </c>
      <c r="AN151" s="1637">
        <f t="shared" si="33"/>
        <v>7463.8683600000013</v>
      </c>
      <c r="AO151" s="1637">
        <f t="shared" si="33"/>
        <v>7683.3939000000009</v>
      </c>
      <c r="AP151" s="1640">
        <f t="shared" si="33"/>
        <v>7902.9194400000024</v>
      </c>
      <c r="AQ151" s="1636">
        <f t="shared" ref="AQ151:BG151" si="34">((AQ$138-$I$4)/1000)*IF($C$13=0,$R$30,$R$47)*(($C$8/70)^$AC$47)*IF($C$13=1,$AH$47,IF($C$13=2,$AI$47,IF($C$13=3,$AJ$47,1)))</f>
        <v>8122.444980000002</v>
      </c>
      <c r="AR151" s="1637">
        <f t="shared" si="34"/>
        <v>8341.9705200000008</v>
      </c>
      <c r="AS151" s="1637">
        <f t="shared" si="34"/>
        <v>8561.4960600000031</v>
      </c>
      <c r="AT151" s="1637">
        <f t="shared" si="34"/>
        <v>8781.0216000000019</v>
      </c>
      <c r="AU151" s="1637">
        <f t="shared" si="34"/>
        <v>9000.5471400000024</v>
      </c>
      <c r="AV151" s="1637">
        <f t="shared" si="34"/>
        <v>9220.0726800000029</v>
      </c>
      <c r="AW151" s="1637">
        <f t="shared" si="34"/>
        <v>9439.5982200000017</v>
      </c>
      <c r="AX151" s="1637">
        <f t="shared" si="34"/>
        <v>9659.123760000004</v>
      </c>
      <c r="AY151" s="1637">
        <f t="shared" si="34"/>
        <v>9878.6493000000028</v>
      </c>
      <c r="AZ151" s="1638">
        <f t="shared" si="34"/>
        <v>10098.174840000001</v>
      </c>
      <c r="BA151" s="1636">
        <f t="shared" si="34"/>
        <v>10317.700380000002</v>
      </c>
      <c r="BB151" s="1637">
        <f t="shared" si="34"/>
        <v>10537.225920000003</v>
      </c>
      <c r="BC151" s="1637">
        <f t="shared" si="34"/>
        <v>10756.751460000003</v>
      </c>
      <c r="BD151" s="1637">
        <f t="shared" si="34"/>
        <v>10976.277000000002</v>
      </c>
      <c r="BE151" s="1637">
        <f t="shared" si="34"/>
        <v>11195.802540000002</v>
      </c>
      <c r="BF151" s="1637">
        <f t="shared" si="34"/>
        <v>11415.328080000003</v>
      </c>
      <c r="BG151" s="1638">
        <f t="shared" si="34"/>
        <v>11634.853620000004</v>
      </c>
      <c r="BH151" s="1855"/>
      <c r="BI151" s="1855"/>
      <c r="BK151" s="571">
        <f t="shared" si="11"/>
        <v>1.0104745239044266</v>
      </c>
      <c r="BL151" s="571">
        <f t="shared" si="11"/>
        <v>1.0104745239044266</v>
      </c>
      <c r="BM151" s="571">
        <f t="shared" si="11"/>
        <v>1.0104745239044268</v>
      </c>
      <c r="BN151" s="571">
        <f t="shared" si="11"/>
        <v>1.0104745239044266</v>
      </c>
      <c r="BO151" s="571">
        <f t="shared" si="11"/>
        <v>1.0104745239044266</v>
      </c>
      <c r="BP151" s="571">
        <f t="shared" si="11"/>
        <v>1.0104745239044266</v>
      </c>
      <c r="BQ151" s="571">
        <f t="shared" si="11"/>
        <v>1.0104745239044264</v>
      </c>
      <c r="BR151" s="571">
        <f t="shared" si="11"/>
        <v>1.0104745239044266</v>
      </c>
      <c r="BS151" s="571">
        <f t="shared" si="11"/>
        <v>1.0104745239044266</v>
      </c>
      <c r="BT151" s="571">
        <f t="shared" si="11"/>
        <v>1.0104745239044268</v>
      </c>
      <c r="BU151" s="571">
        <f t="shared" si="11"/>
        <v>1.0104745239044266</v>
      </c>
      <c r="BV151" s="571">
        <f t="shared" si="11"/>
        <v>1.0104745239044266</v>
      </c>
      <c r="BW151" s="571">
        <f t="shared" si="11"/>
        <v>1.0104745239044266</v>
      </c>
      <c r="BX151" s="571">
        <f t="shared" si="11"/>
        <v>1.0104745239044266</v>
      </c>
      <c r="BY151" s="571">
        <f t="shared" si="11"/>
        <v>1.0104745239044266</v>
      </c>
      <c r="BZ151" s="571">
        <f t="shared" si="11"/>
        <v>1.0104745239044266</v>
      </c>
      <c r="CA151" s="571">
        <f t="shared" si="12"/>
        <v>1.0104745239044264</v>
      </c>
      <c r="CB151" s="571">
        <f t="shared" si="12"/>
        <v>1.0104745239044264</v>
      </c>
      <c r="CC151" s="571">
        <f t="shared" si="12"/>
        <v>1.0104745239044266</v>
      </c>
      <c r="CD151" s="571">
        <f t="shared" si="12"/>
        <v>1.0104745239044266</v>
      </c>
      <c r="CE151" s="571">
        <f t="shared" si="12"/>
        <v>1.0104745239044266</v>
      </c>
      <c r="CF151" s="571">
        <f t="shared" si="12"/>
        <v>1.0104745239044266</v>
      </c>
      <c r="CG151" s="571">
        <f t="shared" si="12"/>
        <v>1.0104745239044266</v>
      </c>
      <c r="CH151" s="571">
        <f t="shared" si="12"/>
        <v>1.0104745239044268</v>
      </c>
      <c r="CI151" s="571">
        <f t="shared" si="12"/>
        <v>1.0104745239044266</v>
      </c>
      <c r="CJ151" s="571">
        <f t="shared" si="12"/>
        <v>1.0104745239044266</v>
      </c>
      <c r="CK151" s="571">
        <f t="shared" si="12"/>
        <v>1.0104745239044268</v>
      </c>
      <c r="CL151" s="571">
        <f t="shared" si="12"/>
        <v>1.0104745239044266</v>
      </c>
      <c r="CM151" s="571">
        <f t="shared" si="12"/>
        <v>1.0104745239044266</v>
      </c>
      <c r="CN151" s="571">
        <f t="shared" si="12"/>
        <v>1.0104745239044266</v>
      </c>
      <c r="CO151" s="571">
        <f t="shared" si="12"/>
        <v>1.0104745239044266</v>
      </c>
      <c r="CP151" s="571">
        <f t="shared" si="12"/>
        <v>1.0104745239044266</v>
      </c>
      <c r="CQ151" s="571">
        <f t="shared" si="13"/>
        <v>1.0104745239044266</v>
      </c>
      <c r="CR151" s="571">
        <f t="shared" si="13"/>
        <v>1.0104745239044266</v>
      </c>
      <c r="CS151" s="571">
        <f t="shared" si="13"/>
        <v>1.0104745239044264</v>
      </c>
      <c r="CT151" s="571">
        <f t="shared" si="13"/>
        <v>1.0104745239044266</v>
      </c>
      <c r="CU151" s="571">
        <f t="shared" si="13"/>
        <v>1.0104745239044266</v>
      </c>
      <c r="CV151" s="571">
        <f t="shared" si="13"/>
        <v>1.0104745239044264</v>
      </c>
      <c r="CW151" s="571">
        <f t="shared" si="13"/>
        <v>1.0104745239044266</v>
      </c>
      <c r="CX151" s="571">
        <f t="shared" si="13"/>
        <v>1.0104745239044264</v>
      </c>
      <c r="CY151" s="571">
        <f t="shared" si="13"/>
        <v>1.0104745239044266</v>
      </c>
      <c r="CZ151" s="571">
        <f t="shared" si="13"/>
        <v>1.0104745239044266</v>
      </c>
      <c r="DA151" s="571">
        <f t="shared" si="13"/>
        <v>1.0104745239044268</v>
      </c>
      <c r="DB151" s="571">
        <f t="shared" si="13"/>
        <v>1.0104745239044266</v>
      </c>
      <c r="DC151" s="571">
        <f t="shared" si="13"/>
        <v>1.0104745239044266</v>
      </c>
      <c r="DD151" s="571">
        <f t="shared" si="13"/>
        <v>1.0104745239044266</v>
      </c>
      <c r="DE151" s="571">
        <f t="shared" si="13"/>
        <v>1.0104745239044266</v>
      </c>
      <c r="DF151" s="571">
        <f t="shared" si="13"/>
        <v>1.0104745239044266</v>
      </c>
      <c r="DG151" s="571">
        <f t="shared" si="14"/>
        <v>1.0104745239044266</v>
      </c>
    </row>
    <row r="152" spans="1:111" ht="15.75" hidden="1" customHeight="1">
      <c r="A152" s="2773"/>
      <c r="B152" s="2882" t="s">
        <v>500</v>
      </c>
      <c r="C152" s="2883"/>
      <c r="D152" s="2879"/>
      <c r="E152" s="1641" t="s">
        <v>194</v>
      </c>
      <c r="F152" s="1642">
        <v>75</v>
      </c>
      <c r="G152" s="1642">
        <v>400</v>
      </c>
      <c r="H152" s="1642">
        <v>4</v>
      </c>
      <c r="I152" s="1643"/>
      <c r="J152" s="1644"/>
      <c r="K152" s="1645">
        <f t="shared" ref="K152:AP152" si="35">((K$138-$I$4)/1000)*IF($C$13=0,$S$30,$S$47)*(($C$8/70)^$AD$47)*IF($C$13=1,$AH$47,IF($C$13=2,$AI$47,IF($C$13=3,$AJ$47,1)))</f>
        <v>1179.1221000000003</v>
      </c>
      <c r="L152" s="1646">
        <f t="shared" si="35"/>
        <v>1414.9465200000002</v>
      </c>
      <c r="M152" s="1646">
        <f t="shared" si="35"/>
        <v>1650.7709400000001</v>
      </c>
      <c r="N152" s="1646">
        <f t="shared" si="35"/>
        <v>1886.5953600000003</v>
      </c>
      <c r="O152" s="1646">
        <f t="shared" si="35"/>
        <v>2122.4197800000006</v>
      </c>
      <c r="P152" s="1646">
        <f t="shared" si="35"/>
        <v>2358.2442000000005</v>
      </c>
      <c r="Q152" s="1646">
        <f t="shared" si="35"/>
        <v>2594.0686200000005</v>
      </c>
      <c r="R152" s="1646">
        <f t="shared" si="35"/>
        <v>2829.8930400000004</v>
      </c>
      <c r="S152" s="1646">
        <f t="shared" si="35"/>
        <v>3065.7174600000008</v>
      </c>
      <c r="T152" s="1646">
        <f t="shared" si="35"/>
        <v>3301.5418800000002</v>
      </c>
      <c r="U152" s="1646">
        <f t="shared" si="35"/>
        <v>3537.3663000000006</v>
      </c>
      <c r="V152" s="1647">
        <f t="shared" si="35"/>
        <v>3773.1907200000005</v>
      </c>
      <c r="W152" s="1645">
        <f t="shared" si="35"/>
        <v>4009.0151400000009</v>
      </c>
      <c r="X152" s="1646">
        <f t="shared" si="35"/>
        <v>4244.8395600000013</v>
      </c>
      <c r="Y152" s="1646">
        <f t="shared" si="35"/>
        <v>4480.6639800000003</v>
      </c>
      <c r="Z152" s="1646">
        <f t="shared" si="35"/>
        <v>4716.4884000000011</v>
      </c>
      <c r="AA152" s="1646">
        <f t="shared" si="35"/>
        <v>4952.312820000001</v>
      </c>
      <c r="AB152" s="1646">
        <f t="shared" si="35"/>
        <v>5188.1372400000009</v>
      </c>
      <c r="AC152" s="1646">
        <f t="shared" si="35"/>
        <v>5423.9616600000008</v>
      </c>
      <c r="AD152" s="1646">
        <f t="shared" si="35"/>
        <v>5659.7860800000008</v>
      </c>
      <c r="AE152" s="1646">
        <f t="shared" si="35"/>
        <v>5895.6105000000007</v>
      </c>
      <c r="AF152" s="1647">
        <f t="shared" si="35"/>
        <v>6131.4349200000015</v>
      </c>
      <c r="AG152" s="1648">
        <f t="shared" si="35"/>
        <v>6367.2593400000014</v>
      </c>
      <c r="AH152" s="1646">
        <f t="shared" si="35"/>
        <v>6603.0837600000004</v>
      </c>
      <c r="AI152" s="1646">
        <f t="shared" si="35"/>
        <v>6838.9081800000004</v>
      </c>
      <c r="AJ152" s="1646">
        <f t="shared" si="35"/>
        <v>7074.7326000000012</v>
      </c>
      <c r="AK152" s="1646">
        <f t="shared" si="35"/>
        <v>7310.5570200000011</v>
      </c>
      <c r="AL152" s="1646">
        <f t="shared" si="35"/>
        <v>7546.381440000001</v>
      </c>
      <c r="AM152" s="1646">
        <f t="shared" si="35"/>
        <v>7782.2058600000018</v>
      </c>
      <c r="AN152" s="1646">
        <f t="shared" si="35"/>
        <v>8018.0302800000018</v>
      </c>
      <c r="AO152" s="1646">
        <f t="shared" si="35"/>
        <v>8253.8547000000017</v>
      </c>
      <c r="AP152" s="1649">
        <f t="shared" si="35"/>
        <v>8489.6791200000025</v>
      </c>
      <c r="AQ152" s="1645">
        <f t="shared" ref="AQ152:BG152" si="36">((AQ$138-$I$4)/1000)*IF($C$13=0,$S$30,$S$47)*(($C$8/70)^$AD$47)*IF($C$13=1,$AH$47,IF($C$13=2,$AI$47,IF($C$13=3,$AJ$47,1)))</f>
        <v>8725.5035400000015</v>
      </c>
      <c r="AR152" s="1646">
        <f t="shared" si="36"/>
        <v>8961.3279600000005</v>
      </c>
      <c r="AS152" s="1646">
        <f t="shared" si="36"/>
        <v>9197.1523800000014</v>
      </c>
      <c r="AT152" s="1646">
        <f t="shared" si="36"/>
        <v>9432.9768000000022</v>
      </c>
      <c r="AU152" s="1646">
        <f t="shared" si="36"/>
        <v>9668.8012199999994</v>
      </c>
      <c r="AV152" s="1646">
        <f t="shared" si="36"/>
        <v>9904.625640000002</v>
      </c>
      <c r="AW152" s="1646">
        <f t="shared" si="36"/>
        <v>10140.450060000001</v>
      </c>
      <c r="AX152" s="1646">
        <f t="shared" si="36"/>
        <v>10376.274480000002</v>
      </c>
      <c r="AY152" s="1646">
        <f t="shared" si="36"/>
        <v>10612.098900000001</v>
      </c>
      <c r="AZ152" s="1647">
        <f t="shared" si="36"/>
        <v>10847.923320000002</v>
      </c>
      <c r="BA152" s="1645">
        <f t="shared" si="36"/>
        <v>11083.747740000001</v>
      </c>
      <c r="BB152" s="1646">
        <f t="shared" si="36"/>
        <v>11319.572160000002</v>
      </c>
      <c r="BC152" s="1646">
        <f t="shared" si="36"/>
        <v>11555.396580000002</v>
      </c>
      <c r="BD152" s="1646">
        <f t="shared" si="36"/>
        <v>11791.221000000001</v>
      </c>
      <c r="BE152" s="1646">
        <f t="shared" si="36"/>
        <v>12027.04542</v>
      </c>
      <c r="BF152" s="1646">
        <f t="shared" si="36"/>
        <v>12262.869840000003</v>
      </c>
      <c r="BG152" s="1647">
        <f t="shared" si="36"/>
        <v>12498.694260000002</v>
      </c>
      <c r="BH152" s="1855"/>
      <c r="BI152" s="1855"/>
      <c r="BK152" s="571">
        <f t="shared" si="11"/>
        <v>1.0257624719272074</v>
      </c>
      <c r="BL152" s="571">
        <f t="shared" si="11"/>
        <v>1.0257624719272074</v>
      </c>
      <c r="BM152" s="571">
        <f t="shared" si="11"/>
        <v>1.0257624719272074</v>
      </c>
      <c r="BN152" s="571">
        <f t="shared" si="11"/>
        <v>1.0257624719272074</v>
      </c>
      <c r="BO152" s="571">
        <f t="shared" si="11"/>
        <v>1.0257624719272072</v>
      </c>
      <c r="BP152" s="571">
        <f t="shared" si="11"/>
        <v>1.0257624719272074</v>
      </c>
      <c r="BQ152" s="571">
        <f t="shared" si="11"/>
        <v>1.0257624719272074</v>
      </c>
      <c r="BR152" s="571">
        <f t="shared" si="11"/>
        <v>1.0257624719272074</v>
      </c>
      <c r="BS152" s="571">
        <f t="shared" si="11"/>
        <v>1.0257624719272074</v>
      </c>
      <c r="BT152" s="571">
        <f t="shared" si="11"/>
        <v>1.0257624719272074</v>
      </c>
      <c r="BU152" s="571">
        <f t="shared" si="11"/>
        <v>1.0257624719272074</v>
      </c>
      <c r="BV152" s="571">
        <f t="shared" si="11"/>
        <v>1.0257624719272074</v>
      </c>
      <c r="BW152" s="571">
        <f t="shared" si="11"/>
        <v>1.0257624719272072</v>
      </c>
      <c r="BX152" s="571">
        <f t="shared" si="11"/>
        <v>1.0257624719272072</v>
      </c>
      <c r="BY152" s="571">
        <f t="shared" si="11"/>
        <v>1.0257624719272074</v>
      </c>
      <c r="BZ152" s="571">
        <f t="shared" si="11"/>
        <v>1.0257624719272074</v>
      </c>
      <c r="CA152" s="571">
        <f t="shared" si="12"/>
        <v>1.0257624719272074</v>
      </c>
      <c r="CB152" s="571">
        <f t="shared" si="12"/>
        <v>1.0257624719272074</v>
      </c>
      <c r="CC152" s="571">
        <f t="shared" si="12"/>
        <v>1.0257624719272072</v>
      </c>
      <c r="CD152" s="571">
        <f t="shared" si="12"/>
        <v>1.0257624719272074</v>
      </c>
      <c r="CE152" s="571">
        <f t="shared" si="12"/>
        <v>1.0257624719272074</v>
      </c>
      <c r="CF152" s="571">
        <f t="shared" si="12"/>
        <v>1.0257624719272074</v>
      </c>
      <c r="CG152" s="571">
        <f t="shared" si="12"/>
        <v>1.0257624719272074</v>
      </c>
      <c r="CH152" s="571">
        <f t="shared" si="12"/>
        <v>1.0257624719272074</v>
      </c>
      <c r="CI152" s="571">
        <f t="shared" si="12"/>
        <v>1.0257624719272074</v>
      </c>
      <c r="CJ152" s="571">
        <f t="shared" si="12"/>
        <v>1.0257624719272074</v>
      </c>
      <c r="CK152" s="571">
        <f t="shared" si="12"/>
        <v>1.0257624719272074</v>
      </c>
      <c r="CL152" s="571">
        <f t="shared" si="12"/>
        <v>1.0257624719272074</v>
      </c>
      <c r="CM152" s="571">
        <f t="shared" si="12"/>
        <v>1.0257624719272072</v>
      </c>
      <c r="CN152" s="571">
        <f t="shared" si="12"/>
        <v>1.0257624719272072</v>
      </c>
      <c r="CO152" s="571">
        <f t="shared" si="12"/>
        <v>1.0257624719272074</v>
      </c>
      <c r="CP152" s="571">
        <f t="shared" si="12"/>
        <v>1.0257624719272072</v>
      </c>
      <c r="CQ152" s="571">
        <f t="shared" si="13"/>
        <v>1.0257624719272074</v>
      </c>
      <c r="CR152" s="571">
        <f t="shared" si="13"/>
        <v>1.0257624719272074</v>
      </c>
      <c r="CS152" s="571">
        <f t="shared" si="13"/>
        <v>1.0257624719272074</v>
      </c>
      <c r="CT152" s="571">
        <f t="shared" si="13"/>
        <v>1.0257624719272074</v>
      </c>
      <c r="CU152" s="571">
        <f t="shared" si="13"/>
        <v>1.0257624719272074</v>
      </c>
      <c r="CV152" s="571">
        <f t="shared" si="13"/>
        <v>1.0257624719272074</v>
      </c>
      <c r="CW152" s="571">
        <f t="shared" si="13"/>
        <v>1.0257624719272072</v>
      </c>
      <c r="CX152" s="571">
        <f t="shared" si="13"/>
        <v>1.0257624719272074</v>
      </c>
      <c r="CY152" s="571">
        <f t="shared" si="13"/>
        <v>1.0257624719272074</v>
      </c>
      <c r="CZ152" s="571">
        <f t="shared" si="13"/>
        <v>1.0257624719272072</v>
      </c>
      <c r="DA152" s="571">
        <f t="shared" si="13"/>
        <v>1.0257624719272074</v>
      </c>
      <c r="DB152" s="571">
        <f t="shared" si="13"/>
        <v>1.0257624719272074</v>
      </c>
      <c r="DC152" s="571">
        <f t="shared" si="13"/>
        <v>1.0257624719272076</v>
      </c>
      <c r="DD152" s="571">
        <f t="shared" si="13"/>
        <v>1.0257624719272074</v>
      </c>
      <c r="DE152" s="571">
        <f t="shared" si="13"/>
        <v>1.0257624719272074</v>
      </c>
      <c r="DF152" s="571">
        <f t="shared" si="13"/>
        <v>1.0257624719272074</v>
      </c>
      <c r="DG152" s="571">
        <f t="shared" si="14"/>
        <v>1.0257624719272074</v>
      </c>
    </row>
    <row r="153" spans="1:111" ht="15" hidden="1" customHeight="1">
      <c r="A153" s="2773"/>
      <c r="B153" s="2884" t="s">
        <v>501</v>
      </c>
      <c r="C153" s="2885"/>
      <c r="D153" s="2886"/>
      <c r="E153" s="1650" t="s">
        <v>194</v>
      </c>
      <c r="F153" s="1651">
        <v>80</v>
      </c>
      <c r="G153" s="1651">
        <v>260</v>
      </c>
      <c r="H153" s="1651">
        <v>2</v>
      </c>
      <c r="I153" s="1652"/>
      <c r="J153" s="1653"/>
      <c r="K153" s="1654">
        <f t="shared" ref="K153:AP153" si="37">((K$138-$I$4)/1000)*IF($C$13=0,$N$31,$N$48)*(($C$8/70)^$Y$48)*IF($C$13=1,$AH$48,IF($C$13=2,$AI$48,IF($C$13=3,$AJ$48,1)))</f>
        <v>748.95911999999998</v>
      </c>
      <c r="L153" s="1655">
        <f t="shared" si="37"/>
        <v>898.750944</v>
      </c>
      <c r="M153" s="1655">
        <f t="shared" si="37"/>
        <v>1048.542768</v>
      </c>
      <c r="N153" s="1655">
        <f t="shared" si="37"/>
        <v>1198.3345920000002</v>
      </c>
      <c r="O153" s="1655">
        <f t="shared" si="37"/>
        <v>1348.1264160000001</v>
      </c>
      <c r="P153" s="1655">
        <f t="shared" si="37"/>
        <v>1497.91824</v>
      </c>
      <c r="Q153" s="1655">
        <f t="shared" si="37"/>
        <v>1647.7100640000003</v>
      </c>
      <c r="R153" s="1655">
        <f t="shared" si="37"/>
        <v>1797.501888</v>
      </c>
      <c r="S153" s="1655">
        <f t="shared" si="37"/>
        <v>1947.2937120000001</v>
      </c>
      <c r="T153" s="1655">
        <f t="shared" si="37"/>
        <v>2097.085536</v>
      </c>
      <c r="U153" s="1655">
        <f t="shared" si="37"/>
        <v>2246.87736</v>
      </c>
      <c r="V153" s="1656">
        <f t="shared" si="37"/>
        <v>2396.6691840000003</v>
      </c>
      <c r="W153" s="1654">
        <f t="shared" si="37"/>
        <v>2546.4610079999998</v>
      </c>
      <c r="X153" s="1655">
        <f t="shared" si="37"/>
        <v>2696.2528320000001</v>
      </c>
      <c r="Y153" s="1655">
        <f t="shared" si="37"/>
        <v>2846.044656</v>
      </c>
      <c r="Z153" s="1655">
        <f t="shared" si="37"/>
        <v>2995.8364799999999</v>
      </c>
      <c r="AA153" s="1655">
        <f t="shared" si="37"/>
        <v>3145.6283040000003</v>
      </c>
      <c r="AB153" s="1655">
        <f t="shared" si="37"/>
        <v>3295.4201280000007</v>
      </c>
      <c r="AC153" s="1655">
        <f t="shared" si="37"/>
        <v>3445.2119519999997</v>
      </c>
      <c r="AD153" s="1655">
        <f t="shared" si="37"/>
        <v>3595.003776</v>
      </c>
      <c r="AE153" s="1655">
        <f t="shared" si="37"/>
        <v>3744.7955999999999</v>
      </c>
      <c r="AF153" s="1656">
        <f t="shared" si="37"/>
        <v>3894.5874240000003</v>
      </c>
      <c r="AG153" s="1657">
        <f t="shared" si="37"/>
        <v>4044.3792480000006</v>
      </c>
      <c r="AH153" s="1655">
        <f t="shared" si="37"/>
        <v>4194.1710720000001</v>
      </c>
      <c r="AI153" s="1655">
        <f t="shared" si="37"/>
        <v>4343.962896</v>
      </c>
      <c r="AJ153" s="1655">
        <f t="shared" si="37"/>
        <v>4493.7547199999999</v>
      </c>
      <c r="AK153" s="1655">
        <f t="shared" si="37"/>
        <v>4643.5465440000007</v>
      </c>
      <c r="AL153" s="1655">
        <f t="shared" si="37"/>
        <v>4793.3383680000006</v>
      </c>
      <c r="AM153" s="1655">
        <f t="shared" si="37"/>
        <v>4943.1301919999996</v>
      </c>
      <c r="AN153" s="1655">
        <f t="shared" si="37"/>
        <v>5092.9220159999995</v>
      </c>
      <c r="AO153" s="1655">
        <f t="shared" si="37"/>
        <v>5242.7138400000003</v>
      </c>
      <c r="AP153" s="1658">
        <f t="shared" si="37"/>
        <v>5392.5056640000003</v>
      </c>
      <c r="AQ153" s="1654">
        <f t="shared" ref="AQ153:BG153" si="38">((AQ$138-$I$4)/1000)*IF($C$13=0,$N$31,$N$48)*(($C$8/70)^$Y$48)*IF($C$13=1,$AH$48,IF($C$13=2,$AI$48,IF($C$13=3,$AJ$48,1)))</f>
        <v>5542.2974880000011</v>
      </c>
      <c r="AR153" s="1655">
        <f t="shared" si="38"/>
        <v>5692.0893120000001</v>
      </c>
      <c r="AS153" s="1655">
        <f t="shared" si="38"/>
        <v>5841.881136</v>
      </c>
      <c r="AT153" s="1655">
        <f t="shared" si="38"/>
        <v>5991.6729599999999</v>
      </c>
      <c r="AU153" s="1655">
        <f t="shared" si="38"/>
        <v>6141.4647839999989</v>
      </c>
      <c r="AV153" s="1655">
        <f t="shared" si="38"/>
        <v>6291.2566080000006</v>
      </c>
      <c r="AW153" s="1655">
        <f t="shared" si="38"/>
        <v>6441.0484319999996</v>
      </c>
      <c r="AX153" s="1655">
        <f t="shared" si="38"/>
        <v>6590.8402560000013</v>
      </c>
      <c r="AY153" s="1655">
        <f t="shared" si="38"/>
        <v>6740.6320800000003</v>
      </c>
      <c r="AZ153" s="1656">
        <f t="shared" si="38"/>
        <v>6890.4239039999993</v>
      </c>
      <c r="BA153" s="1654">
        <f t="shared" si="38"/>
        <v>7040.215728000001</v>
      </c>
      <c r="BB153" s="1655">
        <f t="shared" si="38"/>
        <v>7190.007552</v>
      </c>
      <c r="BC153" s="1655">
        <f t="shared" si="38"/>
        <v>7339.7993760000008</v>
      </c>
      <c r="BD153" s="1655">
        <f t="shared" si="38"/>
        <v>7489.5911999999998</v>
      </c>
      <c r="BE153" s="1655">
        <f t="shared" si="38"/>
        <v>7639.3830239999988</v>
      </c>
      <c r="BF153" s="1655">
        <f t="shared" si="38"/>
        <v>7789.1748480000006</v>
      </c>
      <c r="BG153" s="1656">
        <f t="shared" si="38"/>
        <v>7938.9666719999996</v>
      </c>
      <c r="BH153" s="1855"/>
      <c r="BI153" s="1855"/>
      <c r="BK153" s="571">
        <f t="shared" ref="BK153:BZ154" si="39">K159/K153</f>
        <v>0.7654534125783985</v>
      </c>
      <c r="BL153" s="571">
        <f t="shared" si="39"/>
        <v>0.7654534125783985</v>
      </c>
      <c r="BM153" s="571">
        <f t="shared" si="39"/>
        <v>0.7654534125783985</v>
      </c>
      <c r="BN153" s="571">
        <f t="shared" si="39"/>
        <v>0.76545341257839838</v>
      </c>
      <c r="BO153" s="571">
        <f t="shared" si="39"/>
        <v>0.76545341257839838</v>
      </c>
      <c r="BP153" s="571">
        <f t="shared" si="39"/>
        <v>0.7654534125783985</v>
      </c>
      <c r="BQ153" s="571">
        <f t="shared" si="39"/>
        <v>0.76545341257839827</v>
      </c>
      <c r="BR153" s="571">
        <f t="shared" si="39"/>
        <v>0.74892418694360785</v>
      </c>
      <c r="BS153" s="571">
        <f t="shared" si="39"/>
        <v>0.74892418694360763</v>
      </c>
      <c r="BT153" s="571">
        <f t="shared" si="39"/>
        <v>0.74892418694360774</v>
      </c>
      <c r="BU153" s="571">
        <f t="shared" si="39"/>
        <v>0.74291355944004756</v>
      </c>
      <c r="BV153" s="571">
        <f t="shared" si="39"/>
        <v>0.74291355944004733</v>
      </c>
      <c r="BW153" s="571">
        <f t="shared" si="39"/>
        <v>0.74291355944004756</v>
      </c>
      <c r="BX153" s="571">
        <f t="shared" si="39"/>
        <v>0.73840558881237728</v>
      </c>
      <c r="BY153" s="571">
        <f t="shared" si="39"/>
        <v>0.73840558881237717</v>
      </c>
      <c r="BZ153" s="571">
        <f t="shared" si="39"/>
        <v>0.73840558881237728</v>
      </c>
      <c r="CA153" s="571">
        <f t="shared" ref="CA153:CP154" si="40">AA159/AA153</f>
        <v>0.73840558881237739</v>
      </c>
      <c r="CB153" s="571">
        <f t="shared" si="40"/>
        <v>0.73840558881237717</v>
      </c>
      <c r="CC153" s="571">
        <f t="shared" si="40"/>
        <v>0.73840558881237739</v>
      </c>
      <c r="CD153" s="571">
        <f t="shared" si="40"/>
        <v>0.73840558881237728</v>
      </c>
      <c r="CE153" s="571">
        <f t="shared" si="40"/>
        <v>0.73840558881237739</v>
      </c>
      <c r="CF153" s="571">
        <f t="shared" si="40"/>
        <v>0.73840558881237728</v>
      </c>
      <c r="CG153" s="571">
        <f t="shared" si="40"/>
        <v>0.73840558881237728</v>
      </c>
      <c r="CH153" s="571">
        <f t="shared" si="40"/>
        <v>0.73840558881237728</v>
      </c>
      <c r="CI153" s="571">
        <f t="shared" si="40"/>
        <v>0.73840558881237728</v>
      </c>
      <c r="CJ153" s="571">
        <f t="shared" si="40"/>
        <v>0.73840558881237739</v>
      </c>
      <c r="CK153" s="571">
        <f t="shared" si="40"/>
        <v>0.73840558881237728</v>
      </c>
      <c r="CL153" s="571">
        <f t="shared" si="40"/>
        <v>0.73840558881237728</v>
      </c>
      <c r="CM153" s="571">
        <f t="shared" si="40"/>
        <v>0.73840558881237728</v>
      </c>
      <c r="CN153" s="571">
        <f t="shared" si="40"/>
        <v>0.73840558881237739</v>
      </c>
      <c r="CO153" s="571">
        <f t="shared" si="40"/>
        <v>0.73840558881237739</v>
      </c>
      <c r="CP153" s="571">
        <f t="shared" si="40"/>
        <v>0.73840558881237728</v>
      </c>
      <c r="CQ153" s="571">
        <f t="shared" ref="CQ153:DF154" si="41">AQ159/AQ153</f>
        <v>0.73840558881237717</v>
      </c>
      <c r="CR153" s="571">
        <f t="shared" si="41"/>
        <v>0.73840558881237717</v>
      </c>
      <c r="CS153" s="571">
        <f t="shared" si="41"/>
        <v>0.73840558881237739</v>
      </c>
      <c r="CT153" s="571">
        <f t="shared" si="41"/>
        <v>0.73840558881237728</v>
      </c>
      <c r="CU153" s="571">
        <f t="shared" si="41"/>
        <v>0.7384055888123775</v>
      </c>
      <c r="CV153" s="571">
        <f t="shared" si="41"/>
        <v>0.73840558881237739</v>
      </c>
      <c r="CW153" s="571">
        <f t="shared" si="41"/>
        <v>0.7384055888123775</v>
      </c>
      <c r="CX153" s="571">
        <f t="shared" si="41"/>
        <v>0.73840558881237717</v>
      </c>
      <c r="CY153" s="571">
        <f t="shared" si="41"/>
        <v>0.73840558881237728</v>
      </c>
      <c r="CZ153" s="571">
        <f t="shared" si="41"/>
        <v>0.73840558881237739</v>
      </c>
      <c r="DA153" s="571">
        <f t="shared" si="41"/>
        <v>0.73840558881237728</v>
      </c>
      <c r="DB153" s="571">
        <f t="shared" si="41"/>
        <v>0.73840558881237728</v>
      </c>
      <c r="DC153" s="571">
        <f t="shared" si="41"/>
        <v>0.73840558881237728</v>
      </c>
      <c r="DD153" s="571">
        <f t="shared" si="41"/>
        <v>0.73840558881237739</v>
      </c>
      <c r="DE153" s="571">
        <f t="shared" si="41"/>
        <v>0.73840558881237739</v>
      </c>
      <c r="DF153" s="571">
        <f t="shared" si="41"/>
        <v>0.73840558881237728</v>
      </c>
      <c r="DG153" s="571">
        <f t="shared" ref="CY153:DG154" si="42">BG159/BG153</f>
        <v>0.73840558881237739</v>
      </c>
    </row>
    <row r="154" spans="1:111" ht="15" hidden="1" customHeight="1">
      <c r="A154" s="2773"/>
      <c r="B154" s="2889" t="s">
        <v>502</v>
      </c>
      <c r="C154" s="2890"/>
      <c r="D154" s="2887"/>
      <c r="E154" s="1659" t="s">
        <v>194</v>
      </c>
      <c r="F154" s="1660">
        <v>80</v>
      </c>
      <c r="G154" s="1660">
        <v>300</v>
      </c>
      <c r="H154" s="1660">
        <v>2</v>
      </c>
      <c r="I154" s="1661"/>
      <c r="J154" s="1662"/>
      <c r="K154" s="1663">
        <f t="shared" ref="K154:AP154" si="43">((K$138-$I$4)/1000)*IF($C$13=0,$O$31,$O$48)*(($C$8/70)^$Z$48)*IF($C$13=1,$AH$48,IF($C$13=2,$AI$48,IF($C$13=3,$AJ$48,1)))</f>
        <v>828.04176000000007</v>
      </c>
      <c r="L154" s="1664">
        <f t="shared" si="43"/>
        <v>993.65011200000015</v>
      </c>
      <c r="M154" s="1664">
        <f t="shared" si="43"/>
        <v>1159.258464</v>
      </c>
      <c r="N154" s="1664">
        <f t="shared" si="43"/>
        <v>1324.8668160000002</v>
      </c>
      <c r="O154" s="1664">
        <f t="shared" si="43"/>
        <v>1490.4751680000002</v>
      </c>
      <c r="P154" s="1664">
        <f t="shared" si="43"/>
        <v>1656.0835200000001</v>
      </c>
      <c r="Q154" s="1664">
        <f t="shared" si="43"/>
        <v>1821.6918720000001</v>
      </c>
      <c r="R154" s="1664">
        <f t="shared" si="43"/>
        <v>1987.3002240000003</v>
      </c>
      <c r="S154" s="1664">
        <f t="shared" si="43"/>
        <v>2152.9085760000003</v>
      </c>
      <c r="T154" s="1664">
        <f t="shared" si="43"/>
        <v>2318.516928</v>
      </c>
      <c r="U154" s="1664">
        <f t="shared" si="43"/>
        <v>2484.1252800000002</v>
      </c>
      <c r="V154" s="1665">
        <f t="shared" si="43"/>
        <v>2649.7336320000004</v>
      </c>
      <c r="W154" s="1663">
        <f t="shared" si="43"/>
        <v>2815.3419840000001</v>
      </c>
      <c r="X154" s="1664">
        <f t="shared" si="43"/>
        <v>2980.9503360000003</v>
      </c>
      <c r="Y154" s="1664">
        <f t="shared" si="43"/>
        <v>3146.5586880000001</v>
      </c>
      <c r="Z154" s="1664">
        <f t="shared" si="43"/>
        <v>3312.1670400000003</v>
      </c>
      <c r="AA154" s="1664">
        <f t="shared" si="43"/>
        <v>3477.7753920000009</v>
      </c>
      <c r="AB154" s="1664">
        <f t="shared" si="43"/>
        <v>3643.3837440000002</v>
      </c>
      <c r="AC154" s="1664">
        <f t="shared" si="43"/>
        <v>3808.9920959999999</v>
      </c>
      <c r="AD154" s="1664">
        <f t="shared" si="43"/>
        <v>3974.6004480000006</v>
      </c>
      <c r="AE154" s="1664">
        <f t="shared" si="43"/>
        <v>4140.2088000000003</v>
      </c>
      <c r="AF154" s="1665">
        <f t="shared" si="43"/>
        <v>4305.8171520000005</v>
      </c>
      <c r="AG154" s="1666">
        <f t="shared" si="43"/>
        <v>4471.4255040000007</v>
      </c>
      <c r="AH154" s="1664">
        <f t="shared" si="43"/>
        <v>4637.033856</v>
      </c>
      <c r="AI154" s="1664">
        <f t="shared" si="43"/>
        <v>4802.6422080000002</v>
      </c>
      <c r="AJ154" s="1664">
        <f t="shared" si="43"/>
        <v>4968.2505600000004</v>
      </c>
      <c r="AK154" s="1664">
        <f t="shared" si="43"/>
        <v>5133.8589120000006</v>
      </c>
      <c r="AL154" s="1664">
        <f t="shared" si="43"/>
        <v>5299.4672640000008</v>
      </c>
      <c r="AM154" s="1664">
        <f t="shared" si="43"/>
        <v>5465.0756160000001</v>
      </c>
      <c r="AN154" s="1664">
        <f t="shared" si="43"/>
        <v>5630.6839680000003</v>
      </c>
      <c r="AO154" s="1664">
        <f t="shared" si="43"/>
        <v>5796.2923200000005</v>
      </c>
      <c r="AP154" s="1667">
        <f t="shared" si="43"/>
        <v>5961.9006720000007</v>
      </c>
      <c r="AQ154" s="1663">
        <f t="shared" ref="AQ154:BG154" si="44">((AQ$138-$I$4)/1000)*IF($C$13=0,$O$31,$O$48)*(($C$8/70)^$Z$48)*IF($C$13=1,$AH$48,IF($C$13=2,$AI$48,IF($C$13=3,$AJ$48,1)))</f>
        <v>6127.5090240000009</v>
      </c>
      <c r="AR154" s="1664">
        <f t="shared" si="44"/>
        <v>6293.1173760000001</v>
      </c>
      <c r="AS154" s="1664">
        <f t="shared" si="44"/>
        <v>6458.7257280000003</v>
      </c>
      <c r="AT154" s="1664">
        <f t="shared" si="44"/>
        <v>6624.3340800000005</v>
      </c>
      <c r="AU154" s="1664">
        <f t="shared" si="44"/>
        <v>6789.9424319999998</v>
      </c>
      <c r="AV154" s="1664">
        <f t="shared" si="44"/>
        <v>6955.5507840000018</v>
      </c>
      <c r="AW154" s="1664">
        <f t="shared" si="44"/>
        <v>7121.1591360000002</v>
      </c>
      <c r="AX154" s="1664">
        <f t="shared" si="44"/>
        <v>7286.7674880000004</v>
      </c>
      <c r="AY154" s="1664">
        <f t="shared" si="44"/>
        <v>7452.3758400000015</v>
      </c>
      <c r="AZ154" s="1665">
        <f t="shared" si="44"/>
        <v>7617.9841919999999</v>
      </c>
      <c r="BA154" s="1663">
        <f t="shared" si="44"/>
        <v>7783.592544000001</v>
      </c>
      <c r="BB154" s="1664">
        <f t="shared" si="44"/>
        <v>7949.2008960000012</v>
      </c>
      <c r="BC154" s="1664">
        <f t="shared" si="44"/>
        <v>8114.8092480000014</v>
      </c>
      <c r="BD154" s="1664">
        <f t="shared" si="44"/>
        <v>8280.4176000000007</v>
      </c>
      <c r="BE154" s="1664">
        <f t="shared" si="44"/>
        <v>8446.0259520000018</v>
      </c>
      <c r="BF154" s="1664">
        <f t="shared" si="44"/>
        <v>8611.6343040000011</v>
      </c>
      <c r="BG154" s="1665">
        <f t="shared" si="44"/>
        <v>8777.2426560000004</v>
      </c>
      <c r="BH154" s="1855"/>
      <c r="BI154" s="1855"/>
      <c r="BK154" s="571">
        <f t="shared" si="39"/>
        <v>0.80374098523726611</v>
      </c>
      <c r="BL154" s="571">
        <f t="shared" si="39"/>
        <v>0.80374098523726611</v>
      </c>
      <c r="BM154" s="571">
        <f t="shared" si="39"/>
        <v>0.80374098523726611</v>
      </c>
      <c r="BN154" s="571">
        <f t="shared" si="39"/>
        <v>0.80374098523726623</v>
      </c>
      <c r="BO154" s="571">
        <f t="shared" si="39"/>
        <v>0.80374098523726623</v>
      </c>
      <c r="BP154" s="571">
        <f t="shared" si="39"/>
        <v>0.80374098523726611</v>
      </c>
      <c r="BQ154" s="571">
        <f t="shared" si="39"/>
        <v>0.80374098523726623</v>
      </c>
      <c r="BR154" s="571">
        <f t="shared" si="39"/>
        <v>0.7863849765258214</v>
      </c>
      <c r="BS154" s="571">
        <f t="shared" si="39"/>
        <v>0.78638497652582151</v>
      </c>
      <c r="BT154" s="571">
        <f t="shared" si="39"/>
        <v>0.7863849765258214</v>
      </c>
      <c r="BU154" s="571">
        <f t="shared" si="39"/>
        <v>0.78007370063075077</v>
      </c>
      <c r="BV154" s="571">
        <f t="shared" si="39"/>
        <v>0.78007370063075054</v>
      </c>
      <c r="BW154" s="571">
        <f t="shared" si="39"/>
        <v>0.78007370063075065</v>
      </c>
      <c r="BX154" s="571">
        <f t="shared" si="39"/>
        <v>0.77534024370944754</v>
      </c>
      <c r="BY154" s="571">
        <f t="shared" si="39"/>
        <v>0.77534024370944754</v>
      </c>
      <c r="BZ154" s="571">
        <f t="shared" si="39"/>
        <v>0.77534024370944765</v>
      </c>
      <c r="CA154" s="571">
        <f t="shared" si="40"/>
        <v>0.77534024370944743</v>
      </c>
      <c r="CB154" s="571">
        <f t="shared" si="40"/>
        <v>0.77534024370944765</v>
      </c>
      <c r="CC154" s="571">
        <f t="shared" si="40"/>
        <v>0.77534024370944765</v>
      </c>
      <c r="CD154" s="571">
        <f t="shared" si="40"/>
        <v>0.77534024370944743</v>
      </c>
      <c r="CE154" s="571">
        <f t="shared" si="40"/>
        <v>0.77534024370944754</v>
      </c>
      <c r="CF154" s="571">
        <f t="shared" si="40"/>
        <v>0.77534024370944765</v>
      </c>
      <c r="CG154" s="571">
        <f t="shared" si="40"/>
        <v>0.77534024370944754</v>
      </c>
      <c r="CH154" s="571">
        <f t="shared" si="40"/>
        <v>0.77534024370944754</v>
      </c>
      <c r="CI154" s="571">
        <f t="shared" si="40"/>
        <v>0.77534024370944754</v>
      </c>
      <c r="CJ154" s="571">
        <f t="shared" si="40"/>
        <v>0.77534024370944754</v>
      </c>
      <c r="CK154" s="571">
        <f t="shared" si="40"/>
        <v>0.77534024370944754</v>
      </c>
      <c r="CL154" s="571">
        <f t="shared" si="40"/>
        <v>0.77534024370944754</v>
      </c>
      <c r="CM154" s="571">
        <f t="shared" si="40"/>
        <v>0.77534024370944754</v>
      </c>
      <c r="CN154" s="571">
        <f t="shared" si="40"/>
        <v>0.77534024370944765</v>
      </c>
      <c r="CO154" s="571">
        <f t="shared" si="40"/>
        <v>0.77534024370944754</v>
      </c>
      <c r="CP154" s="571">
        <f t="shared" si="40"/>
        <v>0.77534024370944754</v>
      </c>
      <c r="CQ154" s="571">
        <f t="shared" si="41"/>
        <v>0.77534024370944754</v>
      </c>
      <c r="CR154" s="571">
        <f t="shared" si="41"/>
        <v>0.77534024370944754</v>
      </c>
      <c r="CS154" s="571">
        <f t="shared" si="41"/>
        <v>0.77534024370944765</v>
      </c>
      <c r="CT154" s="571">
        <f t="shared" si="41"/>
        <v>0.77534024370944765</v>
      </c>
      <c r="CU154" s="571">
        <f t="shared" si="41"/>
        <v>0.77534024370944765</v>
      </c>
      <c r="CV154" s="571">
        <f t="shared" si="41"/>
        <v>0.77534024370944743</v>
      </c>
      <c r="CW154" s="571">
        <f t="shared" si="41"/>
        <v>0.77534024370944754</v>
      </c>
      <c r="CX154" s="571">
        <f t="shared" si="41"/>
        <v>0.77534024370944765</v>
      </c>
      <c r="CY154" s="571">
        <f t="shared" si="42"/>
        <v>0.77534024370944754</v>
      </c>
      <c r="CZ154" s="571">
        <f t="shared" si="42"/>
        <v>0.77534024370944765</v>
      </c>
      <c r="DA154" s="571">
        <f t="shared" si="42"/>
        <v>0.77534024370944754</v>
      </c>
      <c r="DB154" s="571">
        <f t="shared" si="42"/>
        <v>0.77534024370944743</v>
      </c>
      <c r="DC154" s="571">
        <f t="shared" si="42"/>
        <v>0.77534024370944754</v>
      </c>
      <c r="DD154" s="571">
        <f t="shared" si="42"/>
        <v>0.77534024370944754</v>
      </c>
      <c r="DE154" s="571">
        <f t="shared" si="42"/>
        <v>0.77534024370944743</v>
      </c>
      <c r="DF154" s="571">
        <f t="shared" si="42"/>
        <v>0.77534024370944765</v>
      </c>
      <c r="DG154" s="571">
        <f t="shared" si="42"/>
        <v>0.77534024370944765</v>
      </c>
    </row>
    <row r="155" spans="1:111" ht="15" hidden="1" customHeight="1">
      <c r="A155" s="2773"/>
      <c r="B155" s="2889" t="s">
        <v>503</v>
      </c>
      <c r="C155" s="2890"/>
      <c r="D155" s="2887"/>
      <c r="E155" s="1659" t="s">
        <v>194</v>
      </c>
      <c r="F155" s="1660">
        <v>80</v>
      </c>
      <c r="G155" s="1660">
        <v>360</v>
      </c>
      <c r="H155" s="1660">
        <v>4</v>
      </c>
      <c r="I155" s="1661"/>
      <c r="J155" s="1662"/>
      <c r="K155" s="1663">
        <f t="shared" ref="K155:AP155" si="45">((K$138-$I$4)/1000)*IF($C$13=0,$R$31,$R$48)*(($C$8/70)^$AC$48)*IF($C$13=1,$AH$48,IF($C$13=2,$AI$48,IF($C$13=3,$AJ$48,1)))</f>
        <v>1109.1248275818111</v>
      </c>
      <c r="L155" s="1664">
        <f t="shared" si="45"/>
        <v>1330.9497930981734</v>
      </c>
      <c r="M155" s="1664">
        <f t="shared" si="45"/>
        <v>1552.7747586145356</v>
      </c>
      <c r="N155" s="1664">
        <f t="shared" si="45"/>
        <v>1774.5997241308978</v>
      </c>
      <c r="O155" s="1664">
        <f t="shared" si="45"/>
        <v>1996.4246896472598</v>
      </c>
      <c r="P155" s="1664">
        <f t="shared" si="45"/>
        <v>2218.2496551636223</v>
      </c>
      <c r="Q155" s="1664">
        <f t="shared" si="45"/>
        <v>2440.0746206799845</v>
      </c>
      <c r="R155" s="1664">
        <f t="shared" si="45"/>
        <v>2661.8995861963467</v>
      </c>
      <c r="S155" s="1664">
        <f t="shared" si="45"/>
        <v>2883.7245517127089</v>
      </c>
      <c r="T155" s="1664">
        <f t="shared" si="45"/>
        <v>3105.5495172290712</v>
      </c>
      <c r="U155" s="1664">
        <f t="shared" si="45"/>
        <v>3327.3744827454334</v>
      </c>
      <c r="V155" s="1665">
        <f t="shared" si="45"/>
        <v>3549.1994482617956</v>
      </c>
      <c r="W155" s="1663">
        <f t="shared" si="45"/>
        <v>3771.0244137781574</v>
      </c>
      <c r="X155" s="1664">
        <f t="shared" si="45"/>
        <v>3992.8493792945196</v>
      </c>
      <c r="Y155" s="1664">
        <f t="shared" si="45"/>
        <v>4214.6743448108818</v>
      </c>
      <c r="Z155" s="1664">
        <f t="shared" si="45"/>
        <v>4436.4993103272445</v>
      </c>
      <c r="AA155" s="1664">
        <f t="shared" si="45"/>
        <v>4658.3242758436063</v>
      </c>
      <c r="AB155" s="1664">
        <f t="shared" si="45"/>
        <v>4880.149241359969</v>
      </c>
      <c r="AC155" s="1664">
        <f t="shared" si="45"/>
        <v>5101.9742068763298</v>
      </c>
      <c r="AD155" s="1664">
        <f t="shared" si="45"/>
        <v>5323.7991723926934</v>
      </c>
      <c r="AE155" s="1664">
        <f t="shared" si="45"/>
        <v>5545.6241379090552</v>
      </c>
      <c r="AF155" s="1665">
        <f t="shared" si="45"/>
        <v>5767.4491034254179</v>
      </c>
      <c r="AG155" s="1666">
        <f t="shared" si="45"/>
        <v>5989.2740689417806</v>
      </c>
      <c r="AH155" s="1664">
        <f t="shared" si="45"/>
        <v>6211.0990344581423</v>
      </c>
      <c r="AI155" s="1664">
        <f t="shared" si="45"/>
        <v>6432.9239999745032</v>
      </c>
      <c r="AJ155" s="1664">
        <f t="shared" si="45"/>
        <v>6654.7489654908668</v>
      </c>
      <c r="AK155" s="1664">
        <f t="shared" si="45"/>
        <v>6876.5739310072295</v>
      </c>
      <c r="AL155" s="1664">
        <f t="shared" si="45"/>
        <v>7098.3988965235912</v>
      </c>
      <c r="AM155" s="1664">
        <f t="shared" si="45"/>
        <v>7320.2238620399521</v>
      </c>
      <c r="AN155" s="1664">
        <f t="shared" si="45"/>
        <v>7542.0488275563148</v>
      </c>
      <c r="AO155" s="1664">
        <f t="shared" si="45"/>
        <v>7763.8737930726766</v>
      </c>
      <c r="AP155" s="1667">
        <f t="shared" si="45"/>
        <v>7985.6987585890392</v>
      </c>
      <c r="AQ155" s="1663">
        <f t="shared" ref="AQ155:BG155" si="46">((AQ$138-$I$4)/1000)*IF($C$13=0,$R$31,$R$48)*(($C$8/70)^$AC$48)*IF($C$13=1,$AH$48,IF($C$13=2,$AI$48,IF($C$13=3,$AJ$48,1)))</f>
        <v>8207.5237241054019</v>
      </c>
      <c r="AR155" s="1664">
        <f t="shared" si="46"/>
        <v>8429.3486896217637</v>
      </c>
      <c r="AS155" s="1664">
        <f t="shared" si="46"/>
        <v>8651.1736551381255</v>
      </c>
      <c r="AT155" s="1664">
        <f t="shared" si="46"/>
        <v>8872.9986206544891</v>
      </c>
      <c r="AU155" s="1664">
        <f t="shared" si="46"/>
        <v>9094.8235861708508</v>
      </c>
      <c r="AV155" s="1664">
        <f t="shared" si="46"/>
        <v>9316.6485516872126</v>
      </c>
      <c r="AW155" s="1664">
        <f t="shared" si="46"/>
        <v>9538.4735172035744</v>
      </c>
      <c r="AX155" s="1664">
        <f t="shared" si="46"/>
        <v>9760.298482719938</v>
      </c>
      <c r="AY155" s="1664">
        <f t="shared" si="46"/>
        <v>9982.1234482362997</v>
      </c>
      <c r="AZ155" s="1665">
        <f t="shared" si="46"/>
        <v>10203.94841375266</v>
      </c>
      <c r="BA155" s="1663">
        <f t="shared" si="46"/>
        <v>10425.773379269025</v>
      </c>
      <c r="BB155" s="1664">
        <f t="shared" si="46"/>
        <v>10647.598344785387</v>
      </c>
      <c r="BC155" s="1664">
        <f t="shared" si="46"/>
        <v>10869.423310301749</v>
      </c>
      <c r="BD155" s="1664">
        <f t="shared" si="46"/>
        <v>11091.24827581811</v>
      </c>
      <c r="BE155" s="1664">
        <f t="shared" si="46"/>
        <v>11313.073241334472</v>
      </c>
      <c r="BF155" s="1664">
        <f t="shared" si="46"/>
        <v>11534.898206850836</v>
      </c>
      <c r="BG155" s="1665">
        <f t="shared" si="46"/>
        <v>11756.723172367198</v>
      </c>
      <c r="BH155" s="1855"/>
      <c r="BI155" s="1855"/>
      <c r="BK155" s="571">
        <f t="shared" ref="BK155:BZ156" si="47">K162/K155</f>
        <v>0.74462578270634205</v>
      </c>
      <c r="BL155" s="571">
        <f t="shared" si="47"/>
        <v>0.74462578270634205</v>
      </c>
      <c r="BM155" s="571">
        <f t="shared" si="47"/>
        <v>0.74462578270634194</v>
      </c>
      <c r="BN155" s="571">
        <f t="shared" si="47"/>
        <v>0.74462578270634205</v>
      </c>
      <c r="BO155" s="571">
        <f t="shared" si="47"/>
        <v>0.74462578270634205</v>
      </c>
      <c r="BP155" s="571">
        <f t="shared" si="47"/>
        <v>0.74462578270634205</v>
      </c>
      <c r="BQ155" s="571">
        <f t="shared" si="47"/>
        <v>0.74462578270634205</v>
      </c>
      <c r="BR155" s="571">
        <f t="shared" si="47"/>
        <v>0.72854630958154865</v>
      </c>
      <c r="BS155" s="571">
        <f t="shared" si="47"/>
        <v>0.72854630958154865</v>
      </c>
      <c r="BT155" s="571">
        <f t="shared" si="47"/>
        <v>0.72854630958154865</v>
      </c>
      <c r="BU155" s="571">
        <f t="shared" si="47"/>
        <v>0.72269922844526013</v>
      </c>
      <c r="BV155" s="571">
        <f t="shared" si="47"/>
        <v>0.72269922844526013</v>
      </c>
      <c r="BW155" s="571">
        <f t="shared" si="47"/>
        <v>0.72269922844526024</v>
      </c>
      <c r="BX155" s="571">
        <f t="shared" si="47"/>
        <v>0.71831391759304375</v>
      </c>
      <c r="BY155" s="571">
        <f t="shared" si="47"/>
        <v>0.71831391759304375</v>
      </c>
      <c r="BZ155" s="571">
        <f t="shared" si="47"/>
        <v>0.71831391759304364</v>
      </c>
      <c r="CA155" s="571">
        <f t="shared" ref="CA155:CP156" si="48">AA162/AA155</f>
        <v>0.71831391759304386</v>
      </c>
      <c r="CB155" s="571">
        <f t="shared" si="48"/>
        <v>0.71831391759304375</v>
      </c>
      <c r="CC155" s="571">
        <f t="shared" si="48"/>
        <v>0.71831391759304397</v>
      </c>
      <c r="CD155" s="571">
        <f t="shared" si="48"/>
        <v>0.71831391759304375</v>
      </c>
      <c r="CE155" s="571">
        <f t="shared" si="48"/>
        <v>0.71831391759304375</v>
      </c>
      <c r="CF155" s="571">
        <f t="shared" si="48"/>
        <v>0.71831391759304386</v>
      </c>
      <c r="CG155" s="571">
        <f t="shared" si="48"/>
        <v>0.71831391759304364</v>
      </c>
      <c r="CH155" s="571">
        <f t="shared" si="48"/>
        <v>0.71831391759304375</v>
      </c>
      <c r="CI155" s="571">
        <f t="shared" si="48"/>
        <v>0.71831391759304397</v>
      </c>
      <c r="CJ155" s="571">
        <f t="shared" si="48"/>
        <v>0.71831391759304364</v>
      </c>
      <c r="CK155" s="571">
        <f t="shared" si="48"/>
        <v>0.71831391759304386</v>
      </c>
      <c r="CL155" s="571">
        <f t="shared" si="48"/>
        <v>0.71831391759304375</v>
      </c>
      <c r="CM155" s="571">
        <f t="shared" si="48"/>
        <v>0.71831391759304386</v>
      </c>
      <c r="CN155" s="571">
        <f t="shared" si="48"/>
        <v>0.71831391759304375</v>
      </c>
      <c r="CO155" s="571">
        <f t="shared" si="48"/>
        <v>0.71831391759304386</v>
      </c>
      <c r="CP155" s="571">
        <f t="shared" si="48"/>
        <v>0.71831391759304375</v>
      </c>
      <c r="CQ155" s="571">
        <f t="shared" ref="CQ155:DF156" si="49">AQ162/AQ155</f>
        <v>0.71831391759304386</v>
      </c>
      <c r="CR155" s="571">
        <f t="shared" si="49"/>
        <v>0.71831391759304375</v>
      </c>
      <c r="CS155" s="571">
        <f t="shared" si="49"/>
        <v>0.71831391759304386</v>
      </c>
      <c r="CT155" s="571">
        <f t="shared" si="49"/>
        <v>0.71831391759304364</v>
      </c>
      <c r="CU155" s="571">
        <f t="shared" si="49"/>
        <v>0.71831391759304364</v>
      </c>
      <c r="CV155" s="571">
        <f t="shared" si="49"/>
        <v>0.71831391759304386</v>
      </c>
      <c r="CW155" s="571">
        <f t="shared" si="49"/>
        <v>0.71831391759304375</v>
      </c>
      <c r="CX155" s="571">
        <f t="shared" si="49"/>
        <v>0.71831391759304375</v>
      </c>
      <c r="CY155" s="571">
        <f t="shared" si="49"/>
        <v>0.71831391759304375</v>
      </c>
      <c r="CZ155" s="571">
        <f t="shared" si="49"/>
        <v>0.71831391759304397</v>
      </c>
      <c r="DA155" s="571">
        <f t="shared" si="49"/>
        <v>0.71831391759304375</v>
      </c>
      <c r="DB155" s="571">
        <f t="shared" si="49"/>
        <v>0.71831391759304375</v>
      </c>
      <c r="DC155" s="571">
        <f t="shared" si="49"/>
        <v>0.71831391759304375</v>
      </c>
      <c r="DD155" s="571">
        <f t="shared" si="49"/>
        <v>0.71831391759304375</v>
      </c>
      <c r="DE155" s="571">
        <f t="shared" si="49"/>
        <v>0.71831391759304375</v>
      </c>
      <c r="DF155" s="571">
        <f t="shared" si="49"/>
        <v>0.71831391759304386</v>
      </c>
      <c r="DG155" s="571">
        <f t="shared" ref="CY155:DG156" si="50">BG162/BG155</f>
        <v>0.71831391759304375</v>
      </c>
    </row>
    <row r="156" spans="1:111" ht="15.75" hidden="1" customHeight="1">
      <c r="A156" s="2773"/>
      <c r="B156" s="2891" t="s">
        <v>504</v>
      </c>
      <c r="C156" s="2892"/>
      <c r="D156" s="2888"/>
      <c r="E156" s="1668" t="s">
        <v>194</v>
      </c>
      <c r="F156" s="1669">
        <v>80</v>
      </c>
      <c r="G156" s="1669">
        <v>400</v>
      </c>
      <c r="H156" s="1669">
        <v>4</v>
      </c>
      <c r="I156" s="1670"/>
      <c r="J156" s="1671"/>
      <c r="K156" s="1672">
        <f t="shared" ref="K156:AP156" si="51">((K$138-$I$4)/1000)*IF($C$13=0,$S$31,$S$48)*(($C$8/70)^$AD$48)*IF($C$13=1,$AH$48,IF($C$13=2,$AI$48,IF($C$13=3,$AJ$48,1)))</f>
        <v>1209.4992</v>
      </c>
      <c r="L156" s="1673">
        <f t="shared" si="51"/>
        <v>1451.39904</v>
      </c>
      <c r="M156" s="1673">
        <f t="shared" si="51"/>
        <v>1693.2988799999998</v>
      </c>
      <c r="N156" s="1673">
        <f t="shared" si="51"/>
        <v>1935.1987200000001</v>
      </c>
      <c r="O156" s="1673">
        <f t="shared" si="51"/>
        <v>2177.0985599999999</v>
      </c>
      <c r="P156" s="1673">
        <f t="shared" si="51"/>
        <v>2418.9983999999999</v>
      </c>
      <c r="Q156" s="1673">
        <f t="shared" si="51"/>
        <v>2660.89824</v>
      </c>
      <c r="R156" s="1673">
        <f t="shared" si="51"/>
        <v>2902.79808</v>
      </c>
      <c r="S156" s="1673">
        <f t="shared" si="51"/>
        <v>3144.6979200000001</v>
      </c>
      <c r="T156" s="1673">
        <f t="shared" si="51"/>
        <v>3386.5977599999997</v>
      </c>
      <c r="U156" s="1673">
        <f t="shared" si="51"/>
        <v>3628.4975999999997</v>
      </c>
      <c r="V156" s="1674">
        <f t="shared" si="51"/>
        <v>3870.3974400000002</v>
      </c>
      <c r="W156" s="1672">
        <f t="shared" si="51"/>
        <v>4112.2972799999998</v>
      </c>
      <c r="X156" s="1673">
        <f t="shared" si="51"/>
        <v>4354.1971199999998</v>
      </c>
      <c r="Y156" s="1673">
        <f t="shared" si="51"/>
        <v>4596.0969599999999</v>
      </c>
      <c r="Z156" s="1673">
        <f t="shared" si="51"/>
        <v>4837.9967999999999</v>
      </c>
      <c r="AA156" s="1673">
        <f t="shared" si="51"/>
        <v>5079.8966399999999</v>
      </c>
      <c r="AB156" s="1673">
        <f t="shared" si="51"/>
        <v>5321.79648</v>
      </c>
      <c r="AC156" s="1673">
        <f t="shared" si="51"/>
        <v>5563.6963199999991</v>
      </c>
      <c r="AD156" s="1673">
        <f t="shared" si="51"/>
        <v>5805.5961600000001</v>
      </c>
      <c r="AE156" s="1673">
        <f t="shared" si="51"/>
        <v>6047.4960000000001</v>
      </c>
      <c r="AF156" s="1674">
        <f t="shared" si="51"/>
        <v>6289.3958400000001</v>
      </c>
      <c r="AG156" s="1675">
        <f t="shared" si="51"/>
        <v>6531.2956800000002</v>
      </c>
      <c r="AH156" s="1673">
        <f t="shared" si="51"/>
        <v>6773.1955199999993</v>
      </c>
      <c r="AI156" s="1673">
        <f t="shared" si="51"/>
        <v>7015.0953599999993</v>
      </c>
      <c r="AJ156" s="1673">
        <f t="shared" si="51"/>
        <v>7256.9951999999994</v>
      </c>
      <c r="AK156" s="1673">
        <f t="shared" si="51"/>
        <v>7498.8950400000003</v>
      </c>
      <c r="AL156" s="1673">
        <f t="shared" si="51"/>
        <v>7740.7948800000004</v>
      </c>
      <c r="AM156" s="1673">
        <f t="shared" si="51"/>
        <v>7982.6947199999995</v>
      </c>
      <c r="AN156" s="1673">
        <f t="shared" si="51"/>
        <v>8224.5945599999995</v>
      </c>
      <c r="AO156" s="1673">
        <f t="shared" si="51"/>
        <v>8466.4943999999996</v>
      </c>
      <c r="AP156" s="1676">
        <f t="shared" si="51"/>
        <v>8708.3942399999996</v>
      </c>
      <c r="AQ156" s="1672">
        <f t="shared" ref="AQ156:BG156" si="52">((AQ$138-$I$4)/1000)*IF($C$13=0,$S$31,$S$48)*(($C$8/70)^$AD$48)*IF($C$13=1,$AH$48,IF($C$13=2,$AI$48,IF($C$13=3,$AJ$48,1)))</f>
        <v>8950.2940799999997</v>
      </c>
      <c r="AR156" s="1673">
        <f t="shared" si="52"/>
        <v>9192.1939199999997</v>
      </c>
      <c r="AS156" s="1673">
        <f t="shared" si="52"/>
        <v>9434.0937599999997</v>
      </c>
      <c r="AT156" s="1673">
        <f t="shared" si="52"/>
        <v>9675.9935999999998</v>
      </c>
      <c r="AU156" s="1673">
        <f t="shared" si="52"/>
        <v>9917.893439999998</v>
      </c>
      <c r="AV156" s="1673">
        <f t="shared" si="52"/>
        <v>10159.79328</v>
      </c>
      <c r="AW156" s="1673">
        <f t="shared" si="52"/>
        <v>10401.693119999998</v>
      </c>
      <c r="AX156" s="1673">
        <f t="shared" si="52"/>
        <v>10643.59296</v>
      </c>
      <c r="AY156" s="1673">
        <f t="shared" si="52"/>
        <v>10885.4928</v>
      </c>
      <c r="AZ156" s="1674">
        <f t="shared" si="52"/>
        <v>11127.392639999998</v>
      </c>
      <c r="BA156" s="1672">
        <f t="shared" si="52"/>
        <v>11369.29248</v>
      </c>
      <c r="BB156" s="1673">
        <f t="shared" si="52"/>
        <v>11611.19232</v>
      </c>
      <c r="BC156" s="1673">
        <f t="shared" si="52"/>
        <v>11853.092160000002</v>
      </c>
      <c r="BD156" s="1673">
        <f t="shared" si="52"/>
        <v>12094.992</v>
      </c>
      <c r="BE156" s="1673">
        <f t="shared" si="52"/>
        <v>12336.891839999998</v>
      </c>
      <c r="BF156" s="1673">
        <f t="shared" si="52"/>
        <v>12578.79168</v>
      </c>
      <c r="BG156" s="1674">
        <f t="shared" si="52"/>
        <v>12820.69152</v>
      </c>
      <c r="BH156" s="1855"/>
      <c r="BI156" s="1855"/>
      <c r="BK156" s="571">
        <f t="shared" si="47"/>
        <v>0.75557189289583648</v>
      </c>
      <c r="BL156" s="571">
        <f t="shared" si="47"/>
        <v>0.75557189289583648</v>
      </c>
      <c r="BM156" s="571">
        <f t="shared" si="47"/>
        <v>0.75557189289583648</v>
      </c>
      <c r="BN156" s="571">
        <f t="shared" si="47"/>
        <v>0.75557189289583648</v>
      </c>
      <c r="BO156" s="571">
        <f t="shared" si="47"/>
        <v>0.75557189289583648</v>
      </c>
      <c r="BP156" s="571">
        <f t="shared" si="47"/>
        <v>0.75557189289583648</v>
      </c>
      <c r="BQ156" s="571">
        <f t="shared" si="47"/>
        <v>0.75557189289583659</v>
      </c>
      <c r="BR156" s="571">
        <f t="shared" si="47"/>
        <v>0.73925604911520404</v>
      </c>
      <c r="BS156" s="571">
        <f t="shared" si="47"/>
        <v>0.73925604911520393</v>
      </c>
      <c r="BT156" s="571">
        <f t="shared" si="47"/>
        <v>0.73925604911520393</v>
      </c>
      <c r="BU156" s="571">
        <f t="shared" si="47"/>
        <v>0.73332301501315589</v>
      </c>
      <c r="BV156" s="571">
        <f t="shared" si="47"/>
        <v>0.73332301501315578</v>
      </c>
      <c r="BW156" s="571">
        <f t="shared" si="47"/>
        <v>0.73332301501315578</v>
      </c>
      <c r="BX156" s="571">
        <f t="shared" si="47"/>
        <v>0.72887323943661975</v>
      </c>
      <c r="BY156" s="571">
        <f t="shared" si="47"/>
        <v>0.72887323943661964</v>
      </c>
      <c r="BZ156" s="571">
        <f t="shared" si="47"/>
        <v>0.72887323943661975</v>
      </c>
      <c r="CA156" s="571">
        <f t="shared" si="48"/>
        <v>0.72887323943661975</v>
      </c>
      <c r="CB156" s="571">
        <f t="shared" si="48"/>
        <v>0.72887323943661975</v>
      </c>
      <c r="CC156" s="571">
        <f t="shared" si="48"/>
        <v>0.72887323943661964</v>
      </c>
      <c r="CD156" s="571">
        <f t="shared" si="48"/>
        <v>0.72887323943661964</v>
      </c>
      <c r="CE156" s="571">
        <f t="shared" si="48"/>
        <v>0.72887323943661964</v>
      </c>
      <c r="CF156" s="571">
        <f t="shared" si="48"/>
        <v>0.72887323943661964</v>
      </c>
      <c r="CG156" s="571">
        <f t="shared" si="48"/>
        <v>0.72887323943661975</v>
      </c>
      <c r="CH156" s="571">
        <f t="shared" si="48"/>
        <v>0.72887323943661975</v>
      </c>
      <c r="CI156" s="571">
        <f t="shared" si="48"/>
        <v>0.72887323943661964</v>
      </c>
      <c r="CJ156" s="571">
        <f t="shared" si="48"/>
        <v>0.72887323943661975</v>
      </c>
      <c r="CK156" s="571">
        <f t="shared" si="48"/>
        <v>0.72887323943661964</v>
      </c>
      <c r="CL156" s="571">
        <f t="shared" si="48"/>
        <v>0.72887323943661964</v>
      </c>
      <c r="CM156" s="571">
        <f t="shared" si="48"/>
        <v>0.72887323943661975</v>
      </c>
      <c r="CN156" s="571">
        <f t="shared" si="48"/>
        <v>0.72887323943661964</v>
      </c>
      <c r="CO156" s="571">
        <f t="shared" si="48"/>
        <v>0.72887323943661964</v>
      </c>
      <c r="CP156" s="571">
        <f t="shared" si="48"/>
        <v>0.72887323943661975</v>
      </c>
      <c r="CQ156" s="571">
        <f t="shared" si="49"/>
        <v>0.72887323943661975</v>
      </c>
      <c r="CR156" s="571">
        <f t="shared" si="49"/>
        <v>0.72887323943661964</v>
      </c>
      <c r="CS156" s="571">
        <f t="shared" si="49"/>
        <v>0.72887323943661964</v>
      </c>
      <c r="CT156" s="571">
        <f t="shared" si="49"/>
        <v>0.72887323943661975</v>
      </c>
      <c r="CU156" s="571">
        <f t="shared" si="49"/>
        <v>0.72887323943661975</v>
      </c>
      <c r="CV156" s="571">
        <f t="shared" si="49"/>
        <v>0.72887323943661975</v>
      </c>
      <c r="CW156" s="571">
        <f t="shared" si="49"/>
        <v>0.72887323943661975</v>
      </c>
      <c r="CX156" s="571">
        <f t="shared" si="49"/>
        <v>0.72887323943661975</v>
      </c>
      <c r="CY156" s="571">
        <f t="shared" si="50"/>
        <v>0.72887323943661975</v>
      </c>
      <c r="CZ156" s="571">
        <f t="shared" si="50"/>
        <v>0.72887323943661964</v>
      </c>
      <c r="DA156" s="571">
        <f t="shared" si="50"/>
        <v>0.72887323943661975</v>
      </c>
      <c r="DB156" s="571">
        <f t="shared" si="50"/>
        <v>0.72887323943661964</v>
      </c>
      <c r="DC156" s="571">
        <f t="shared" si="50"/>
        <v>0.72887323943661952</v>
      </c>
      <c r="DD156" s="571">
        <f t="shared" si="50"/>
        <v>0.72887323943661964</v>
      </c>
      <c r="DE156" s="571">
        <f t="shared" si="50"/>
        <v>0.72887323943661975</v>
      </c>
      <c r="DF156" s="571">
        <f t="shared" si="50"/>
        <v>0.72887323943661964</v>
      </c>
      <c r="DG156" s="571">
        <f t="shared" si="50"/>
        <v>0.72887323943661964</v>
      </c>
    </row>
    <row r="157" spans="1:111">
      <c r="A157" s="2773"/>
      <c r="B157" s="2608" t="s">
        <v>237</v>
      </c>
      <c r="C157" s="2609"/>
      <c r="D157" s="2893">
        <v>50</v>
      </c>
      <c r="E157" s="1677" t="s">
        <v>194</v>
      </c>
      <c r="F157" s="1677">
        <v>90</v>
      </c>
      <c r="G157" s="1677">
        <v>160</v>
      </c>
      <c r="H157" s="1677">
        <v>2</v>
      </c>
      <c r="I157" s="864"/>
      <c r="J157" s="1678"/>
      <c r="K157" s="1679">
        <f t="shared" ref="K157:AP157" si="53">((K$138-$I$4)/1000)*IF($C$14=0,$L$32,$L$49)*(($C$8/70)^$W$49)*IF($C$14=0,1,IF($C$14&lt;=K$139,$AH$49,IF(AND($C$14&gt;=K$139,$C$14&lt;=K$140),((($AI$49-$AH$49)/(K$140-K$139))*$C$14+($AH$49-(($AI$49-$AH$49)/(K$140-K$139))*K139)),IF($C$14&gt;=K$140,$AI$49,1))))</f>
        <v>385.19918357142859</v>
      </c>
      <c r="L157" s="865">
        <f t="shared" si="53"/>
        <v>462.23902028571428</v>
      </c>
      <c r="M157" s="865">
        <f t="shared" si="53"/>
        <v>539.27885700000002</v>
      </c>
      <c r="N157" s="865">
        <f t="shared" si="53"/>
        <v>616.31869371428581</v>
      </c>
      <c r="O157" s="865">
        <f t="shared" si="53"/>
        <v>693.3585304285715</v>
      </c>
      <c r="P157" s="865">
        <f t="shared" si="53"/>
        <v>770.39836714285718</v>
      </c>
      <c r="Q157" s="865">
        <f t="shared" si="53"/>
        <v>847.43820385714298</v>
      </c>
      <c r="R157" s="865">
        <f t="shared" si="53"/>
        <v>904.51483199999996</v>
      </c>
      <c r="S157" s="865">
        <f t="shared" si="53"/>
        <v>979.89106800000002</v>
      </c>
      <c r="T157" s="865">
        <f t="shared" si="53"/>
        <v>1055.267304</v>
      </c>
      <c r="U157" s="865">
        <f t="shared" si="53"/>
        <v>1121.5693542857143</v>
      </c>
      <c r="V157" s="1680">
        <f t="shared" si="53"/>
        <v>1196.3406445714288</v>
      </c>
      <c r="W157" s="1679">
        <f t="shared" si="53"/>
        <v>1271.1119348571428</v>
      </c>
      <c r="X157" s="865">
        <f t="shared" si="53"/>
        <v>1337.7164580000001</v>
      </c>
      <c r="Y157" s="865">
        <f t="shared" si="53"/>
        <v>1412.0340389999999</v>
      </c>
      <c r="Z157" s="865">
        <f t="shared" si="53"/>
        <v>1486.3516200000001</v>
      </c>
      <c r="AA157" s="865">
        <f t="shared" si="53"/>
        <v>1560.6692010000002</v>
      </c>
      <c r="AB157" s="865">
        <f t="shared" si="53"/>
        <v>1634.9867820000004</v>
      </c>
      <c r="AC157" s="865">
        <f t="shared" si="53"/>
        <v>1709.304363</v>
      </c>
      <c r="AD157" s="865">
        <f t="shared" si="53"/>
        <v>1783.621944</v>
      </c>
      <c r="AE157" s="865">
        <f t="shared" si="53"/>
        <v>1857.9395250000002</v>
      </c>
      <c r="AF157" s="1680">
        <f t="shared" si="53"/>
        <v>1932.2571060000002</v>
      </c>
      <c r="AG157" s="1681">
        <f t="shared" si="53"/>
        <v>2006.574687</v>
      </c>
      <c r="AH157" s="865">
        <f t="shared" si="53"/>
        <v>2080.8922680000001</v>
      </c>
      <c r="AI157" s="865">
        <f t="shared" si="53"/>
        <v>2155.2098489999998</v>
      </c>
      <c r="AJ157" s="865">
        <f t="shared" si="53"/>
        <v>2229.5274300000001</v>
      </c>
      <c r="AK157" s="865">
        <f t="shared" si="53"/>
        <v>2303.8450110000003</v>
      </c>
      <c r="AL157" s="865">
        <f t="shared" si="53"/>
        <v>2378.1625920000006</v>
      </c>
      <c r="AM157" s="865">
        <f t="shared" si="53"/>
        <v>2452.4801729999999</v>
      </c>
      <c r="AN157" s="865">
        <f t="shared" si="53"/>
        <v>2526.7977539999997</v>
      </c>
      <c r="AO157" s="865">
        <f t="shared" si="53"/>
        <v>2601.115335</v>
      </c>
      <c r="AP157" s="1680">
        <f t="shared" si="53"/>
        <v>2675.4329160000002</v>
      </c>
      <c r="AQ157" s="1679">
        <f t="shared" ref="AQ157:BG157" si="54">((AQ$138-$I$4)/1000)*IF($C$14=0,$L$32,$L$49)*(($C$8/70)^$W$49)*IF($C$14=0,1,IF($C$14&lt;=AQ$139,$AH$49,IF(AND($C$14&gt;=AQ$139,$C$14&lt;=AQ$140),((($AI$49-$AH$49)/(AQ$140-AQ$139))*$C$14+($AH$49-(($AI$49-$AH$49)/(AQ$140-AQ$139))*AQ139)),IF($C$14&gt;=AQ$140,$AI$49,1))))</f>
        <v>2749.7504970000005</v>
      </c>
      <c r="AR157" s="865">
        <f t="shared" si="54"/>
        <v>2824.0680779999998</v>
      </c>
      <c r="AS157" s="865">
        <f t="shared" si="54"/>
        <v>2898.385659</v>
      </c>
      <c r="AT157" s="865">
        <f t="shared" si="54"/>
        <v>2972.7032400000003</v>
      </c>
      <c r="AU157" s="865">
        <f t="shared" si="54"/>
        <v>3047.0208210000001</v>
      </c>
      <c r="AV157" s="865">
        <f t="shared" si="54"/>
        <v>3121.3384020000003</v>
      </c>
      <c r="AW157" s="865">
        <f t="shared" si="54"/>
        <v>3195.6559830000001</v>
      </c>
      <c r="AX157" s="865">
        <f t="shared" si="54"/>
        <v>3269.9735640000008</v>
      </c>
      <c r="AY157" s="865">
        <f t="shared" si="54"/>
        <v>3344.2911450000001</v>
      </c>
      <c r="AZ157" s="1680">
        <f t="shared" si="54"/>
        <v>3418.6087259999999</v>
      </c>
      <c r="BA157" s="1682">
        <f t="shared" si="54"/>
        <v>3492.9263070000002</v>
      </c>
      <c r="BB157" s="1683">
        <f t="shared" si="54"/>
        <v>3567.243888</v>
      </c>
      <c r="BC157" s="1683">
        <f t="shared" si="54"/>
        <v>3641.5614690000007</v>
      </c>
      <c r="BD157" s="1683">
        <f t="shared" si="54"/>
        <v>3715.8790500000005</v>
      </c>
      <c r="BE157" s="1683">
        <f t="shared" si="54"/>
        <v>3790.1966309999998</v>
      </c>
      <c r="BF157" s="1683">
        <f t="shared" si="54"/>
        <v>3864.5142120000005</v>
      </c>
      <c r="BG157" s="1680">
        <f t="shared" si="54"/>
        <v>3938.8317930000003</v>
      </c>
      <c r="BH157" s="1681">
        <f t="shared" ref="BH157:CM157" si="55">((BH$138-$I$4)/1000)*IF($C$14=0,$L$32,$L$49)*(($C$8/70)^$W$49)*IF($C$14&lt;=BH$139,$AH$49,IF(AND($C$14&gt;=BH$139,$C$14&lt;=BH$140),((($AI$49-$AH$49)/(BH$140-BH$139))*$C$14+($AH$49-(($AI$49-$AH$49)/(BH$140-BH$139))*BH139)),IF($C$14&gt;=BH$140,$AI$49,1)))</f>
        <v>-520.22306700000001</v>
      </c>
      <c r="BI157" s="865">
        <f t="shared" si="55"/>
        <v>-520.22306700000001</v>
      </c>
      <c r="BJ157" s="865">
        <f t="shared" si="55"/>
        <v>-520.22306700000001</v>
      </c>
      <c r="BK157" s="865">
        <f t="shared" si="55"/>
        <v>222.952743</v>
      </c>
      <c r="BL157" s="865">
        <f t="shared" si="55"/>
        <v>297.27032400000007</v>
      </c>
      <c r="BM157" s="865">
        <f t="shared" si="55"/>
        <v>371.58790500000003</v>
      </c>
      <c r="BN157" s="865">
        <f t="shared" si="55"/>
        <v>503.072856</v>
      </c>
      <c r="BO157" s="865">
        <f t="shared" si="55"/>
        <v>586.91833200000008</v>
      </c>
      <c r="BP157" s="865">
        <f t="shared" si="55"/>
        <v>670.76380800000015</v>
      </c>
      <c r="BQ157" s="865">
        <f t="shared" si="55"/>
        <v>754.60928400000012</v>
      </c>
      <c r="BR157" s="865">
        <f t="shared" si="55"/>
        <v>838.45476000000008</v>
      </c>
      <c r="BS157" s="865">
        <f t="shared" si="55"/>
        <v>922.30023600000027</v>
      </c>
      <c r="BT157" s="865">
        <f t="shared" si="55"/>
        <v>1006.145712</v>
      </c>
      <c r="BU157" s="865">
        <f t="shared" si="55"/>
        <v>1089.9911880000002</v>
      </c>
      <c r="BV157" s="865">
        <f t="shared" si="55"/>
        <v>1173.8366640000002</v>
      </c>
      <c r="BW157" s="865">
        <f t="shared" si="55"/>
        <v>1257.6821400000001</v>
      </c>
      <c r="BX157" s="865">
        <f t="shared" si="55"/>
        <v>1341.5276160000003</v>
      </c>
      <c r="BY157" s="865">
        <f t="shared" si="55"/>
        <v>1425.373092</v>
      </c>
      <c r="BZ157" s="865">
        <f t="shared" si="55"/>
        <v>1509.2185680000002</v>
      </c>
      <c r="CA157" s="865">
        <f t="shared" si="55"/>
        <v>1593.064044</v>
      </c>
      <c r="CB157" s="865">
        <f t="shared" si="55"/>
        <v>1676.9095200000002</v>
      </c>
      <c r="CC157" s="865">
        <f t="shared" si="55"/>
        <v>1760.7549960000003</v>
      </c>
      <c r="CD157" s="865">
        <f t="shared" si="55"/>
        <v>1844.6004720000005</v>
      </c>
      <c r="CE157" s="865">
        <f t="shared" si="55"/>
        <v>1928.445948</v>
      </c>
      <c r="CF157" s="865">
        <f t="shared" si="55"/>
        <v>2012.291424</v>
      </c>
      <c r="CG157" s="865">
        <f t="shared" si="55"/>
        <v>2096.1369000000004</v>
      </c>
      <c r="CH157" s="865">
        <f t="shared" si="55"/>
        <v>2179.9823760000004</v>
      </c>
      <c r="CI157" s="865">
        <f t="shared" si="55"/>
        <v>2263.8278520000003</v>
      </c>
      <c r="CJ157" s="865">
        <f t="shared" si="55"/>
        <v>2347.6733280000003</v>
      </c>
      <c r="CK157" s="865">
        <f t="shared" si="55"/>
        <v>2431.5188039999998</v>
      </c>
      <c r="CL157" s="865">
        <f t="shared" si="55"/>
        <v>2515.3642800000002</v>
      </c>
      <c r="CM157" s="865">
        <f t="shared" si="55"/>
        <v>2599.2097560000002</v>
      </c>
      <c r="CN157" s="865">
        <f t="shared" ref="CN157:DG157" si="56">((CN$138-$I$4)/1000)*IF($C$14=0,$L$32,$L$49)*(($C$8/70)^$W$49)*IF($C$14&lt;=CN$139,$AH$49,IF(AND($C$14&gt;=CN$139,$C$14&lt;=CN$140),((($AI$49-$AH$49)/(CN$140-CN$139))*$C$14+($AH$49-(($AI$49-$AH$49)/(CN$140-CN$139))*CN139)),IF($C$14&gt;=CN$140,$AI$49,1)))</f>
        <v>2683.0552320000006</v>
      </c>
      <c r="CO157" s="865">
        <f t="shared" si="56"/>
        <v>2766.9007080000001</v>
      </c>
      <c r="CP157" s="865">
        <f t="shared" si="56"/>
        <v>2850.7461840000001</v>
      </c>
      <c r="CQ157" s="865">
        <f t="shared" si="56"/>
        <v>2934.5916600000005</v>
      </c>
      <c r="CR157" s="865">
        <f t="shared" si="56"/>
        <v>3018.4371360000005</v>
      </c>
      <c r="CS157" s="865">
        <f t="shared" si="56"/>
        <v>3102.2826120000004</v>
      </c>
      <c r="CT157" s="865">
        <f t="shared" si="56"/>
        <v>3186.1280879999999</v>
      </c>
      <c r="CU157" s="865">
        <f t="shared" si="56"/>
        <v>3269.9735640000004</v>
      </c>
      <c r="CV157" s="865">
        <f t="shared" si="56"/>
        <v>3353.8190400000003</v>
      </c>
      <c r="CW157" s="865">
        <f t="shared" si="56"/>
        <v>3437.6645160000003</v>
      </c>
      <c r="CX157" s="865">
        <f t="shared" si="56"/>
        <v>3521.5099920000007</v>
      </c>
      <c r="CY157" s="865">
        <f t="shared" si="56"/>
        <v>3605.3554680000002</v>
      </c>
      <c r="CZ157" s="865">
        <f t="shared" si="56"/>
        <v>3689.2009440000011</v>
      </c>
      <c r="DA157" s="865">
        <f t="shared" si="56"/>
        <v>3773.0464200000001</v>
      </c>
      <c r="DB157" s="865">
        <f t="shared" si="56"/>
        <v>3856.8918960000001</v>
      </c>
      <c r="DC157" s="865">
        <f t="shared" si="56"/>
        <v>3940.7373720000005</v>
      </c>
      <c r="DD157" s="865">
        <f t="shared" si="56"/>
        <v>4024.582848</v>
      </c>
      <c r="DE157" s="865">
        <f t="shared" si="56"/>
        <v>4108.4283240000004</v>
      </c>
      <c r="DF157" s="865">
        <f t="shared" si="56"/>
        <v>4192.2738000000008</v>
      </c>
      <c r="DG157" s="865">
        <f t="shared" si="56"/>
        <v>4276.1192759999994</v>
      </c>
    </row>
    <row r="158" spans="1:111">
      <c r="A158" s="2773"/>
      <c r="B158" s="2600" t="s">
        <v>238</v>
      </c>
      <c r="C158" s="2601"/>
      <c r="D158" s="2894"/>
      <c r="E158" s="1684" t="s">
        <v>194</v>
      </c>
      <c r="F158" s="1684">
        <v>90</v>
      </c>
      <c r="G158" s="1684">
        <v>200</v>
      </c>
      <c r="H158" s="1684">
        <v>2</v>
      </c>
      <c r="I158" s="866"/>
      <c r="J158" s="1685"/>
      <c r="K158" s="1686">
        <f t="shared" ref="K158:AP158" si="57">((K$138-$I$4)/1000)*IF($C$14=0,$M$32,$M$49)*(($C$8/70)^$X$49)*IF($C$14=0,1,IF($C$14&lt;=K$139,$AH$49,IF(AND($C$14&gt;=K$139,$C$14&lt;=K$140),((($AI$49-$AH$49)/(K$140-K$139))*$C$14+($AH$49-(($AI$49-$AH$49)/(K$140-K$139))*K139)),IF($C$14&gt;=K$140,$AI$49,1))))</f>
        <v>432.8080714285714</v>
      </c>
      <c r="L158" s="867">
        <f t="shared" si="57"/>
        <v>519.36968571428577</v>
      </c>
      <c r="M158" s="867">
        <f t="shared" si="57"/>
        <v>605.93129999999996</v>
      </c>
      <c r="N158" s="867">
        <f t="shared" si="57"/>
        <v>692.49291428571428</v>
      </c>
      <c r="O158" s="867">
        <f t="shared" si="57"/>
        <v>779.05452857142859</v>
      </c>
      <c r="P158" s="867">
        <f t="shared" si="57"/>
        <v>865.61614285714279</v>
      </c>
      <c r="Q158" s="867">
        <f t="shared" si="57"/>
        <v>952.17775714285733</v>
      </c>
      <c r="R158" s="867">
        <f t="shared" si="57"/>
        <v>1016.3087999999999</v>
      </c>
      <c r="S158" s="867">
        <f t="shared" si="57"/>
        <v>1101.0011999999999</v>
      </c>
      <c r="T158" s="867">
        <f t="shared" si="57"/>
        <v>1185.6935999999998</v>
      </c>
      <c r="U158" s="867">
        <f t="shared" si="57"/>
        <v>1260.1902857142857</v>
      </c>
      <c r="V158" s="1687">
        <f t="shared" si="57"/>
        <v>1344.2029714285716</v>
      </c>
      <c r="W158" s="1686">
        <f t="shared" si="57"/>
        <v>1428.215657142857</v>
      </c>
      <c r="X158" s="867">
        <f t="shared" si="57"/>
        <v>1503.0522000000001</v>
      </c>
      <c r="Y158" s="867">
        <f t="shared" si="57"/>
        <v>1586.5550999999998</v>
      </c>
      <c r="Z158" s="867">
        <f t="shared" si="57"/>
        <v>1670.058</v>
      </c>
      <c r="AA158" s="867">
        <f t="shared" si="57"/>
        <v>1753.5608999999999</v>
      </c>
      <c r="AB158" s="867">
        <f t="shared" si="57"/>
        <v>1837.0638000000004</v>
      </c>
      <c r="AC158" s="867">
        <f t="shared" si="57"/>
        <v>1920.5666999999996</v>
      </c>
      <c r="AD158" s="867">
        <f t="shared" si="57"/>
        <v>2004.0696</v>
      </c>
      <c r="AE158" s="867">
        <f t="shared" si="57"/>
        <v>2087.5724999999998</v>
      </c>
      <c r="AF158" s="1687">
        <f t="shared" si="57"/>
        <v>2171.0754000000002</v>
      </c>
      <c r="AG158" s="1688">
        <f t="shared" si="57"/>
        <v>2254.5783000000001</v>
      </c>
      <c r="AH158" s="867">
        <f t="shared" si="57"/>
        <v>2338.0812000000001</v>
      </c>
      <c r="AI158" s="867">
        <f t="shared" si="57"/>
        <v>2421.5840999999996</v>
      </c>
      <c r="AJ158" s="867">
        <f t="shared" si="57"/>
        <v>2505.087</v>
      </c>
      <c r="AK158" s="867">
        <f t="shared" si="57"/>
        <v>2588.5898999999999</v>
      </c>
      <c r="AL158" s="867">
        <f t="shared" si="57"/>
        <v>2672.0928000000004</v>
      </c>
      <c r="AM158" s="867">
        <f t="shared" si="57"/>
        <v>2755.5956999999994</v>
      </c>
      <c r="AN158" s="867">
        <f t="shared" si="57"/>
        <v>2839.0985999999998</v>
      </c>
      <c r="AO158" s="867">
        <f t="shared" si="57"/>
        <v>2922.6014999999998</v>
      </c>
      <c r="AP158" s="1687">
        <f t="shared" si="57"/>
        <v>3006.1044000000002</v>
      </c>
      <c r="AQ158" s="1686">
        <f t="shared" ref="AQ158:BG158" si="58">((AQ$138-$I$4)/1000)*IF($C$14=0,$M$32,$M$49)*(($C$8/70)^$X$49)*IF($C$14=0,1,IF($C$14&lt;=AQ$139,$AH$49,IF(AND($C$14&gt;=AQ$139,$C$14&lt;=AQ$140),((($AI$49-$AH$49)/(AQ$140-AQ$139))*$C$14+($AH$49-(($AI$49-$AH$49)/(AQ$140-AQ$139))*AQ139)),IF($C$14&gt;=AQ$140,$AI$49,1))))</f>
        <v>3089.6072999999997</v>
      </c>
      <c r="AR158" s="867">
        <f t="shared" si="58"/>
        <v>3173.1101999999996</v>
      </c>
      <c r="AS158" s="867">
        <f t="shared" si="58"/>
        <v>3256.6130999999996</v>
      </c>
      <c r="AT158" s="867">
        <f t="shared" si="58"/>
        <v>3340.116</v>
      </c>
      <c r="AU158" s="867">
        <f t="shared" si="58"/>
        <v>3423.6188999999999</v>
      </c>
      <c r="AV158" s="867">
        <f t="shared" si="58"/>
        <v>3507.1217999999999</v>
      </c>
      <c r="AW158" s="867">
        <f t="shared" si="58"/>
        <v>3590.6246999999998</v>
      </c>
      <c r="AX158" s="867">
        <f t="shared" si="58"/>
        <v>3674.1276000000007</v>
      </c>
      <c r="AY158" s="867">
        <f t="shared" si="58"/>
        <v>3757.6304999999998</v>
      </c>
      <c r="AZ158" s="1687">
        <f t="shared" si="58"/>
        <v>3841.1333999999993</v>
      </c>
      <c r="BA158" s="1689">
        <f t="shared" si="58"/>
        <v>3924.6363000000001</v>
      </c>
      <c r="BB158" s="1690">
        <f t="shared" si="58"/>
        <v>4008.1392000000001</v>
      </c>
      <c r="BC158" s="1690">
        <f t="shared" si="58"/>
        <v>4091.6421</v>
      </c>
      <c r="BD158" s="1690">
        <f t="shared" si="58"/>
        <v>4175.1449999999995</v>
      </c>
      <c r="BE158" s="1690">
        <f t="shared" si="58"/>
        <v>4258.6478999999999</v>
      </c>
      <c r="BF158" s="1690">
        <f t="shared" si="58"/>
        <v>4342.1508000000003</v>
      </c>
      <c r="BG158" s="1687">
        <f t="shared" si="58"/>
        <v>4425.6536999999989</v>
      </c>
      <c r="BH158" s="1855"/>
      <c r="BI158" s="1855"/>
      <c r="BK158" s="571">
        <f t="shared" ref="BK158:BZ160" si="59">K166/K158</f>
        <v>1.2294690365606598</v>
      </c>
      <c r="BL158" s="571">
        <f t="shared" si="59"/>
        <v>1.2294690365606595</v>
      </c>
      <c r="BM158" s="571">
        <f t="shared" si="59"/>
        <v>1.2294690365606598</v>
      </c>
      <c r="BN158" s="571">
        <f t="shared" si="59"/>
        <v>1.2294690365606598</v>
      </c>
      <c r="BO158" s="571">
        <f t="shared" si="59"/>
        <v>1.2294690365606595</v>
      </c>
      <c r="BP158" s="571">
        <f t="shared" si="59"/>
        <v>1.2294690365606598</v>
      </c>
      <c r="BQ158" s="571">
        <f t="shared" si="59"/>
        <v>1.2294690365606593</v>
      </c>
      <c r="BR158" s="571">
        <f t="shared" si="59"/>
        <v>1.2227749023220977</v>
      </c>
      <c r="BS158" s="571">
        <f t="shared" si="59"/>
        <v>1.2227749023220977</v>
      </c>
      <c r="BT158" s="571">
        <f t="shared" si="59"/>
        <v>1.2227749023220975</v>
      </c>
      <c r="BU158" s="571">
        <f t="shared" si="59"/>
        <v>1.2202668176051781</v>
      </c>
      <c r="BV158" s="571">
        <f t="shared" si="59"/>
        <v>1.2202668176051781</v>
      </c>
      <c r="BW158" s="571">
        <f t="shared" si="59"/>
        <v>1.2202668176051781</v>
      </c>
      <c r="BX158" s="571">
        <f t="shared" si="59"/>
        <v>1.2183589582905983</v>
      </c>
      <c r="BY158" s="571">
        <f t="shared" si="59"/>
        <v>1.2183589582905985</v>
      </c>
      <c r="BZ158" s="571">
        <f t="shared" si="59"/>
        <v>1.2183589582905983</v>
      </c>
      <c r="CA158" s="571">
        <f t="shared" ref="CA158:CP160" si="60">AA166/AA158</f>
        <v>1.2183589582905985</v>
      </c>
      <c r="CB158" s="571">
        <f t="shared" si="60"/>
        <v>1.2183589582905983</v>
      </c>
      <c r="CC158" s="571">
        <f t="shared" si="60"/>
        <v>1.2183589582905985</v>
      </c>
      <c r="CD158" s="571">
        <f t="shared" si="60"/>
        <v>1.2183589582905985</v>
      </c>
      <c r="CE158" s="571">
        <f t="shared" si="60"/>
        <v>1.2183589582905985</v>
      </c>
      <c r="CF158" s="571">
        <f t="shared" si="60"/>
        <v>1.2183589582905983</v>
      </c>
      <c r="CG158" s="571">
        <f t="shared" si="60"/>
        <v>1.2183589582905985</v>
      </c>
      <c r="CH158" s="571">
        <f t="shared" si="60"/>
        <v>1.2183589582905983</v>
      </c>
      <c r="CI158" s="571">
        <f t="shared" si="60"/>
        <v>1.2183589582905985</v>
      </c>
      <c r="CJ158" s="571">
        <f t="shared" si="60"/>
        <v>1.2183589582905985</v>
      </c>
      <c r="CK158" s="571">
        <f t="shared" si="60"/>
        <v>1.2183589582905985</v>
      </c>
      <c r="CL158" s="571">
        <f t="shared" si="60"/>
        <v>1.2183589582905983</v>
      </c>
      <c r="CM158" s="571">
        <f t="shared" si="60"/>
        <v>1.2183589582905985</v>
      </c>
      <c r="CN158" s="571">
        <f t="shared" si="60"/>
        <v>1.2183589582905985</v>
      </c>
      <c r="CO158" s="571">
        <f t="shared" si="60"/>
        <v>1.2183589582905985</v>
      </c>
      <c r="CP158" s="571">
        <f t="shared" si="60"/>
        <v>1.2183589582905983</v>
      </c>
      <c r="CQ158" s="571">
        <f t="shared" ref="CQ158:DF160" si="61">AQ166/AQ158</f>
        <v>1.2183589582905985</v>
      </c>
      <c r="CR158" s="571">
        <f t="shared" si="61"/>
        <v>1.2183589582905985</v>
      </c>
      <c r="CS158" s="571">
        <f t="shared" si="61"/>
        <v>1.2183589582905985</v>
      </c>
      <c r="CT158" s="571">
        <f t="shared" si="61"/>
        <v>1.2183589582905983</v>
      </c>
      <c r="CU158" s="571">
        <f t="shared" si="61"/>
        <v>1.2183589582905983</v>
      </c>
      <c r="CV158" s="571">
        <f t="shared" si="61"/>
        <v>1.2183589582905985</v>
      </c>
      <c r="CW158" s="571">
        <f t="shared" si="61"/>
        <v>1.2183589582905983</v>
      </c>
      <c r="CX158" s="571">
        <f t="shared" si="61"/>
        <v>1.2183589582905983</v>
      </c>
      <c r="CY158" s="571">
        <f t="shared" si="61"/>
        <v>1.2183589582905985</v>
      </c>
      <c r="CZ158" s="571">
        <f t="shared" si="61"/>
        <v>1.2183589582905985</v>
      </c>
      <c r="DA158" s="571">
        <f t="shared" si="61"/>
        <v>1.2183589582905985</v>
      </c>
      <c r="DB158" s="571">
        <f t="shared" si="61"/>
        <v>1.2183589582905985</v>
      </c>
      <c r="DC158" s="571">
        <f t="shared" si="61"/>
        <v>1.2183589582905985</v>
      </c>
      <c r="DD158" s="571">
        <f t="shared" si="61"/>
        <v>1.2183589582905985</v>
      </c>
      <c r="DE158" s="571">
        <f t="shared" si="61"/>
        <v>1.2183589582905985</v>
      </c>
      <c r="DF158" s="571">
        <f t="shared" si="61"/>
        <v>1.2183589582905983</v>
      </c>
      <c r="DG158" s="571">
        <f t="shared" ref="CY158:DG160" si="62">BG166/BG158</f>
        <v>1.2183589582905987</v>
      </c>
    </row>
    <row r="159" spans="1:111">
      <c r="A159" s="2773"/>
      <c r="B159" s="2600" t="s">
        <v>239</v>
      </c>
      <c r="C159" s="2601"/>
      <c r="D159" s="2894"/>
      <c r="E159" s="1684" t="s">
        <v>194</v>
      </c>
      <c r="F159" s="1684">
        <v>90</v>
      </c>
      <c r="G159" s="1684">
        <v>260</v>
      </c>
      <c r="H159" s="1684">
        <v>2</v>
      </c>
      <c r="I159" s="866"/>
      <c r="J159" s="1685"/>
      <c r="K159" s="1686">
        <f t="shared" ref="K159:AP159" si="63">((K$138-$I$4)/1000)*IF($C$14=0,$N$32,$N$49)*(($C$8/70)^$Y$49)*IF($C$14=0,1,IF($C$14&lt;=K$139,$AH$49,IF(AND($C$14&gt;=K$139,$C$14&lt;=K$140),((($AI$49-$AH$49)/(K$140-K$139))*$C$14+($AH$49-(($AI$49-$AH$49)/(K$140-K$139))*K139)),IF($C$14&gt;=K$140,$AI$49,1))))</f>
        <v>573.29331428571425</v>
      </c>
      <c r="L159" s="867">
        <f t="shared" si="63"/>
        <v>687.95197714285712</v>
      </c>
      <c r="M159" s="867">
        <f t="shared" si="63"/>
        <v>802.61063999999999</v>
      </c>
      <c r="N159" s="867">
        <f t="shared" si="63"/>
        <v>917.26930285714286</v>
      </c>
      <c r="O159" s="867">
        <f t="shared" si="63"/>
        <v>1031.9279657142856</v>
      </c>
      <c r="P159" s="867">
        <f t="shared" si="63"/>
        <v>1146.5866285714285</v>
      </c>
      <c r="Q159" s="867">
        <f t="shared" si="63"/>
        <v>1261.2452914285714</v>
      </c>
      <c r="R159" s="867">
        <f t="shared" si="63"/>
        <v>1346.19264</v>
      </c>
      <c r="S159" s="867">
        <f t="shared" si="63"/>
        <v>1458.3753599999998</v>
      </c>
      <c r="T159" s="867">
        <f t="shared" si="63"/>
        <v>1570.5580799999998</v>
      </c>
      <c r="U159" s="867">
        <f t="shared" si="63"/>
        <v>1669.235657142857</v>
      </c>
      <c r="V159" s="1687">
        <f t="shared" si="63"/>
        <v>1780.5180342857141</v>
      </c>
      <c r="W159" s="1686">
        <f t="shared" si="63"/>
        <v>1891.8004114285711</v>
      </c>
      <c r="X159" s="867">
        <f t="shared" si="63"/>
        <v>1990.9281599999999</v>
      </c>
      <c r="Y159" s="867">
        <f t="shared" si="63"/>
        <v>2101.5352799999996</v>
      </c>
      <c r="Z159" s="867">
        <f t="shared" si="63"/>
        <v>2212.1423999999997</v>
      </c>
      <c r="AA159" s="867">
        <f t="shared" si="63"/>
        <v>2322.7495200000003</v>
      </c>
      <c r="AB159" s="867">
        <f t="shared" si="63"/>
        <v>2433.35664</v>
      </c>
      <c r="AC159" s="867">
        <f t="shared" si="63"/>
        <v>2543.9637599999996</v>
      </c>
      <c r="AD159" s="867">
        <f t="shared" si="63"/>
        <v>2654.5708799999998</v>
      </c>
      <c r="AE159" s="867">
        <f t="shared" si="63"/>
        <v>2765.1779999999999</v>
      </c>
      <c r="AF159" s="1687">
        <f t="shared" si="63"/>
        <v>2875.78512</v>
      </c>
      <c r="AG159" s="1688">
        <f t="shared" si="63"/>
        <v>2986.3922400000001</v>
      </c>
      <c r="AH159" s="867">
        <f t="shared" si="63"/>
        <v>3096.9993599999998</v>
      </c>
      <c r="AI159" s="867">
        <f t="shared" si="63"/>
        <v>3207.6064799999995</v>
      </c>
      <c r="AJ159" s="867">
        <f t="shared" si="63"/>
        <v>3318.2136</v>
      </c>
      <c r="AK159" s="867">
        <f t="shared" si="63"/>
        <v>3428.8207200000002</v>
      </c>
      <c r="AL159" s="867">
        <f t="shared" si="63"/>
        <v>3539.4278399999998</v>
      </c>
      <c r="AM159" s="867">
        <f t="shared" si="63"/>
        <v>3650.0349599999995</v>
      </c>
      <c r="AN159" s="867">
        <f t="shared" si="63"/>
        <v>3760.6420799999996</v>
      </c>
      <c r="AO159" s="867">
        <f t="shared" si="63"/>
        <v>3871.2492000000002</v>
      </c>
      <c r="AP159" s="1687">
        <f t="shared" si="63"/>
        <v>3981.8563199999999</v>
      </c>
      <c r="AQ159" s="1686">
        <f t="shared" ref="AQ159:BG159" si="64">((AQ$138-$I$4)/1000)*IF($C$14=0,$N$32,$N$49)*(($C$8/70)^$Y$49)*IF($C$14=0,1,IF($C$14&lt;=AQ$139,$AH$49,IF(AND($C$14&gt;=AQ$139,$C$14&lt;=AQ$140),((($AI$49-$AH$49)/(AQ$140-AQ$139))*$C$14+($AH$49-(($AI$49-$AH$49)/(AQ$140-AQ$139))*AQ139)),IF($C$14&gt;=AQ$140,$AI$49,1))))</f>
        <v>4092.4634399999995</v>
      </c>
      <c r="AR159" s="867">
        <f t="shared" si="64"/>
        <v>4203.0705599999992</v>
      </c>
      <c r="AS159" s="867">
        <f t="shared" si="64"/>
        <v>4313.6776799999998</v>
      </c>
      <c r="AT159" s="867">
        <f t="shared" si="64"/>
        <v>4424.2847999999994</v>
      </c>
      <c r="AU159" s="867">
        <f t="shared" si="64"/>
        <v>4534.89192</v>
      </c>
      <c r="AV159" s="867">
        <f t="shared" si="64"/>
        <v>4645.4990400000006</v>
      </c>
      <c r="AW159" s="867">
        <f t="shared" si="64"/>
        <v>4756.1061600000003</v>
      </c>
      <c r="AX159" s="867">
        <f t="shared" si="64"/>
        <v>4866.7132799999999</v>
      </c>
      <c r="AY159" s="867">
        <f t="shared" si="64"/>
        <v>4977.3203999999996</v>
      </c>
      <c r="AZ159" s="1687">
        <f t="shared" si="64"/>
        <v>5087.9275199999993</v>
      </c>
      <c r="BA159" s="1689">
        <f t="shared" si="64"/>
        <v>5198.5346399999999</v>
      </c>
      <c r="BB159" s="1690">
        <f t="shared" si="64"/>
        <v>5309.1417599999995</v>
      </c>
      <c r="BC159" s="1690">
        <f t="shared" si="64"/>
        <v>5419.7488800000001</v>
      </c>
      <c r="BD159" s="1690">
        <f t="shared" si="64"/>
        <v>5530.3559999999998</v>
      </c>
      <c r="BE159" s="1690">
        <f t="shared" si="64"/>
        <v>5640.9631199999994</v>
      </c>
      <c r="BF159" s="1690">
        <f t="shared" si="64"/>
        <v>5751.57024</v>
      </c>
      <c r="BG159" s="1687">
        <f t="shared" si="64"/>
        <v>5862.1773599999997</v>
      </c>
      <c r="BH159" s="1855"/>
      <c r="BI159" s="1855"/>
      <c r="BK159" s="571">
        <f t="shared" si="59"/>
        <v>1.1720748930016678</v>
      </c>
      <c r="BL159" s="571">
        <f t="shared" si="59"/>
        <v>1.1720748930016678</v>
      </c>
      <c r="BM159" s="571">
        <f t="shared" si="59"/>
        <v>1.1720748930016678</v>
      </c>
      <c r="BN159" s="571">
        <f t="shared" si="59"/>
        <v>1.1720748930016678</v>
      </c>
      <c r="BO159" s="571">
        <f t="shared" si="59"/>
        <v>1.172074893001668</v>
      </c>
      <c r="BP159" s="571">
        <f t="shared" si="59"/>
        <v>1.1720748930016678</v>
      </c>
      <c r="BQ159" s="571">
        <f t="shared" si="59"/>
        <v>1.172074893001668</v>
      </c>
      <c r="BR159" s="571">
        <f t="shared" si="59"/>
        <v>1.1656932547187304</v>
      </c>
      <c r="BS159" s="571">
        <f t="shared" si="59"/>
        <v>1.1656932547187306</v>
      </c>
      <c r="BT159" s="571">
        <f t="shared" si="59"/>
        <v>1.1656932547187306</v>
      </c>
      <c r="BU159" s="571">
        <f t="shared" si="59"/>
        <v>1.1633022525553527</v>
      </c>
      <c r="BV159" s="571">
        <f t="shared" si="59"/>
        <v>1.1633022525553527</v>
      </c>
      <c r="BW159" s="571">
        <f t="shared" si="59"/>
        <v>1.1633022525553527</v>
      </c>
      <c r="BX159" s="571">
        <f t="shared" si="59"/>
        <v>1.1614834560379117</v>
      </c>
      <c r="BY159" s="571">
        <f t="shared" si="59"/>
        <v>1.1614834560379119</v>
      </c>
      <c r="BZ159" s="571">
        <f t="shared" si="59"/>
        <v>1.1614834560379117</v>
      </c>
      <c r="CA159" s="571">
        <f t="shared" si="60"/>
        <v>1.1614834560379115</v>
      </c>
      <c r="CB159" s="571">
        <f t="shared" si="60"/>
        <v>1.1614834560379117</v>
      </c>
      <c r="CC159" s="571">
        <f t="shared" si="60"/>
        <v>1.1614834560379117</v>
      </c>
      <c r="CD159" s="571">
        <f t="shared" si="60"/>
        <v>1.1614834560379117</v>
      </c>
      <c r="CE159" s="571">
        <f t="shared" si="60"/>
        <v>1.1614834560379117</v>
      </c>
      <c r="CF159" s="571">
        <f t="shared" si="60"/>
        <v>1.1614834560379115</v>
      </c>
      <c r="CG159" s="571">
        <f t="shared" si="60"/>
        <v>1.1614834560379115</v>
      </c>
      <c r="CH159" s="571">
        <f t="shared" si="60"/>
        <v>1.1614834560379117</v>
      </c>
      <c r="CI159" s="571">
        <f t="shared" si="60"/>
        <v>1.1614834560379117</v>
      </c>
      <c r="CJ159" s="571">
        <f t="shared" si="60"/>
        <v>1.1614834560379115</v>
      </c>
      <c r="CK159" s="571">
        <f t="shared" si="60"/>
        <v>1.1614834560379115</v>
      </c>
      <c r="CL159" s="571">
        <f t="shared" si="60"/>
        <v>1.1614834560379117</v>
      </c>
      <c r="CM159" s="571">
        <f t="shared" si="60"/>
        <v>1.1614834560379117</v>
      </c>
      <c r="CN159" s="571">
        <f t="shared" si="60"/>
        <v>1.1614834560379117</v>
      </c>
      <c r="CO159" s="571">
        <f t="shared" si="60"/>
        <v>1.1614834560379115</v>
      </c>
      <c r="CP159" s="571">
        <f t="shared" si="60"/>
        <v>1.1614834560379117</v>
      </c>
      <c r="CQ159" s="571">
        <f t="shared" si="61"/>
        <v>1.1614834560379117</v>
      </c>
      <c r="CR159" s="571">
        <f t="shared" si="61"/>
        <v>1.1614834560379119</v>
      </c>
      <c r="CS159" s="571">
        <f t="shared" si="61"/>
        <v>1.1614834560379115</v>
      </c>
      <c r="CT159" s="571">
        <f t="shared" si="61"/>
        <v>1.1614834560379117</v>
      </c>
      <c r="CU159" s="571">
        <f t="shared" si="61"/>
        <v>1.1614834560379115</v>
      </c>
      <c r="CV159" s="571">
        <f t="shared" si="61"/>
        <v>1.1614834560379115</v>
      </c>
      <c r="CW159" s="571">
        <f t="shared" si="61"/>
        <v>1.1614834560379113</v>
      </c>
      <c r="CX159" s="571">
        <f t="shared" si="61"/>
        <v>1.1614834560379117</v>
      </c>
      <c r="CY159" s="571">
        <f t="shared" si="62"/>
        <v>1.1614834560379117</v>
      </c>
      <c r="CZ159" s="571">
        <f t="shared" si="62"/>
        <v>1.1614834560379117</v>
      </c>
      <c r="DA159" s="571">
        <f t="shared" si="62"/>
        <v>1.1614834560379115</v>
      </c>
      <c r="DB159" s="571">
        <f t="shared" si="62"/>
        <v>1.1614834560379117</v>
      </c>
      <c r="DC159" s="571">
        <f t="shared" si="62"/>
        <v>1.1614834560379117</v>
      </c>
      <c r="DD159" s="571">
        <f t="shared" si="62"/>
        <v>1.1614834560379117</v>
      </c>
      <c r="DE159" s="571">
        <f t="shared" si="62"/>
        <v>1.1614834560379117</v>
      </c>
      <c r="DF159" s="571">
        <f t="shared" si="62"/>
        <v>1.1614834560379115</v>
      </c>
      <c r="DG159" s="571">
        <f t="shared" si="62"/>
        <v>1.1614834560379117</v>
      </c>
    </row>
    <row r="160" spans="1:111">
      <c r="A160" s="2773"/>
      <c r="B160" s="2600" t="s">
        <v>240</v>
      </c>
      <c r="C160" s="2601"/>
      <c r="D160" s="2894"/>
      <c r="E160" s="1684" t="s">
        <v>194</v>
      </c>
      <c r="F160" s="1684">
        <v>90</v>
      </c>
      <c r="G160" s="1684">
        <v>300</v>
      </c>
      <c r="H160" s="1684">
        <v>2</v>
      </c>
      <c r="I160" s="866"/>
      <c r="J160" s="1685"/>
      <c r="K160" s="1686">
        <f t="shared" ref="K160:AP160" si="65">((K$138-$I$4)/1000)*IF($C$14=0,$O$32,$O$49)*(($C$8/70)^$Z$49)*IF($C$14=0,1,IF($C$14&lt;=K$139,$AH$49,IF(AND($C$14&gt;=K$139,$C$14&lt;=K$140),((($AI$49-$AH$49)/(K$140-K$139))*$C$14+($AH$49-(($AI$49-$AH$49)/(K$140-K$139))*K139)),IF($C$14&gt;=K$140,$AI$49,1))))</f>
        <v>665.53109999999992</v>
      </c>
      <c r="L160" s="867">
        <f t="shared" si="65"/>
        <v>798.63731999999993</v>
      </c>
      <c r="M160" s="867">
        <f t="shared" si="65"/>
        <v>931.74353999999983</v>
      </c>
      <c r="N160" s="867">
        <f t="shared" si="65"/>
        <v>1064.8497600000001</v>
      </c>
      <c r="O160" s="867">
        <f t="shared" si="65"/>
        <v>1197.95598</v>
      </c>
      <c r="P160" s="867">
        <f t="shared" si="65"/>
        <v>1331.0621999999998</v>
      </c>
      <c r="Q160" s="867">
        <f t="shared" si="65"/>
        <v>1464.16842</v>
      </c>
      <c r="R160" s="867">
        <f t="shared" si="65"/>
        <v>1562.7830399999998</v>
      </c>
      <c r="S160" s="867">
        <f t="shared" si="65"/>
        <v>1693.01496</v>
      </c>
      <c r="T160" s="867">
        <f t="shared" si="65"/>
        <v>1823.2468799999995</v>
      </c>
      <c r="U160" s="867">
        <f t="shared" si="65"/>
        <v>1937.8008</v>
      </c>
      <c r="V160" s="1687">
        <f t="shared" si="65"/>
        <v>2066.9875199999997</v>
      </c>
      <c r="W160" s="1686">
        <f t="shared" si="65"/>
        <v>2196.1742399999998</v>
      </c>
      <c r="X160" s="867">
        <f t="shared" si="65"/>
        <v>2311.2507599999999</v>
      </c>
      <c r="Y160" s="867">
        <f t="shared" si="65"/>
        <v>2439.6535799999997</v>
      </c>
      <c r="Z160" s="867">
        <f t="shared" si="65"/>
        <v>2568.0563999999999</v>
      </c>
      <c r="AA160" s="867">
        <f t="shared" si="65"/>
        <v>2696.4592199999997</v>
      </c>
      <c r="AB160" s="867">
        <f t="shared" si="65"/>
        <v>2824.86204</v>
      </c>
      <c r="AC160" s="867">
        <f t="shared" si="65"/>
        <v>2953.2648599999998</v>
      </c>
      <c r="AD160" s="867">
        <f t="shared" si="65"/>
        <v>3081.6676799999996</v>
      </c>
      <c r="AE160" s="867">
        <f t="shared" si="65"/>
        <v>3210.0704999999998</v>
      </c>
      <c r="AF160" s="1687">
        <f t="shared" si="65"/>
        <v>3338.4733200000001</v>
      </c>
      <c r="AG160" s="1688">
        <f t="shared" si="65"/>
        <v>3466.8761399999999</v>
      </c>
      <c r="AH160" s="867">
        <f t="shared" si="65"/>
        <v>3595.2789599999992</v>
      </c>
      <c r="AI160" s="867">
        <f t="shared" si="65"/>
        <v>3723.6817799999994</v>
      </c>
      <c r="AJ160" s="867">
        <f t="shared" si="65"/>
        <v>3852.0845999999997</v>
      </c>
      <c r="AK160" s="867">
        <f t="shared" si="65"/>
        <v>3980.4874199999995</v>
      </c>
      <c r="AL160" s="867">
        <f t="shared" si="65"/>
        <v>4108.8902399999997</v>
      </c>
      <c r="AM160" s="867">
        <f t="shared" si="65"/>
        <v>4237.2930599999991</v>
      </c>
      <c r="AN160" s="867">
        <f t="shared" si="65"/>
        <v>4365.6958800000002</v>
      </c>
      <c r="AO160" s="867">
        <f t="shared" si="65"/>
        <v>4494.0986999999996</v>
      </c>
      <c r="AP160" s="1687">
        <f t="shared" si="65"/>
        <v>4622.5015199999998</v>
      </c>
      <c r="AQ160" s="1686">
        <f t="shared" ref="AQ160:BG160" si="66">((AQ$138-$I$4)/1000)*IF($C$14=0,$O$32,$O$49)*(($C$8/70)^$Z$49)*IF($C$14=0,1,IF($C$14&lt;=AQ$139,$AH$49,IF(AND($C$14&gt;=AQ$139,$C$14&lt;=AQ$140),((($AI$49-$AH$49)/(AQ$140-AQ$139))*$C$14+($AH$49-(($AI$49-$AH$49)/(AQ$140-AQ$139))*AQ139)),IF($C$14&gt;=AQ$140,$AI$49,1))))</f>
        <v>4750.90434</v>
      </c>
      <c r="AR160" s="867">
        <f t="shared" si="66"/>
        <v>4879.3071599999994</v>
      </c>
      <c r="AS160" s="867">
        <f t="shared" si="66"/>
        <v>5007.7099799999996</v>
      </c>
      <c r="AT160" s="867">
        <f t="shared" si="66"/>
        <v>5136.1127999999999</v>
      </c>
      <c r="AU160" s="867">
        <f t="shared" si="66"/>
        <v>5264.5156199999992</v>
      </c>
      <c r="AV160" s="867">
        <f t="shared" si="66"/>
        <v>5392.9184399999995</v>
      </c>
      <c r="AW160" s="867">
        <f t="shared" si="66"/>
        <v>5521.3212599999988</v>
      </c>
      <c r="AX160" s="867">
        <f t="shared" si="66"/>
        <v>5649.72408</v>
      </c>
      <c r="AY160" s="867">
        <f t="shared" si="66"/>
        <v>5778.1269000000002</v>
      </c>
      <c r="AZ160" s="1687">
        <f t="shared" si="66"/>
        <v>5906.5297199999995</v>
      </c>
      <c r="BA160" s="1689">
        <f t="shared" si="66"/>
        <v>6034.9325399999998</v>
      </c>
      <c r="BB160" s="1690">
        <f t="shared" si="66"/>
        <v>6163.3353599999991</v>
      </c>
      <c r="BC160" s="1690">
        <f t="shared" si="66"/>
        <v>6291.7381799999994</v>
      </c>
      <c r="BD160" s="1690">
        <f t="shared" si="66"/>
        <v>6420.1409999999996</v>
      </c>
      <c r="BE160" s="1690">
        <f t="shared" si="66"/>
        <v>6548.543819999999</v>
      </c>
      <c r="BF160" s="1690">
        <f t="shared" si="66"/>
        <v>6676.9466400000001</v>
      </c>
      <c r="BG160" s="1687">
        <f t="shared" si="66"/>
        <v>6805.3494599999995</v>
      </c>
      <c r="BH160" s="1855"/>
      <c r="BI160" s="1855"/>
      <c r="BK160" s="571">
        <f t="shared" si="59"/>
        <v>1.1162411064314972</v>
      </c>
      <c r="BL160" s="571">
        <f t="shared" si="59"/>
        <v>1.1162411064314972</v>
      </c>
      <c r="BM160" s="571">
        <f t="shared" si="59"/>
        <v>1.1162411064314974</v>
      </c>
      <c r="BN160" s="571">
        <f t="shared" si="59"/>
        <v>1.1162411064314972</v>
      </c>
      <c r="BO160" s="571">
        <f t="shared" si="59"/>
        <v>1.1162411064314972</v>
      </c>
      <c r="BP160" s="571">
        <f t="shared" si="59"/>
        <v>1.1162411064314972</v>
      </c>
      <c r="BQ160" s="571">
        <f t="shared" si="59"/>
        <v>1.1162411064314974</v>
      </c>
      <c r="BR160" s="571">
        <f t="shared" si="59"/>
        <v>1.1101634683724237</v>
      </c>
      <c r="BS160" s="571">
        <f t="shared" si="59"/>
        <v>1.1101634683724237</v>
      </c>
      <c r="BT160" s="571">
        <f t="shared" si="59"/>
        <v>1.110163468372424</v>
      </c>
      <c r="BU160" s="571">
        <f t="shared" si="59"/>
        <v>1.1078863656750919</v>
      </c>
      <c r="BV160" s="571">
        <f t="shared" si="59"/>
        <v>1.1078863656750921</v>
      </c>
      <c r="BW160" s="571">
        <f t="shared" si="59"/>
        <v>1.1078863656750919</v>
      </c>
      <c r="BX160" s="571">
        <f t="shared" si="59"/>
        <v>1.1061542106318227</v>
      </c>
      <c r="BY160" s="571">
        <f t="shared" si="59"/>
        <v>1.1061542106318227</v>
      </c>
      <c r="BZ160" s="571">
        <f t="shared" si="59"/>
        <v>1.1061542106318227</v>
      </c>
      <c r="CA160" s="571">
        <f t="shared" si="60"/>
        <v>1.1061542106318227</v>
      </c>
      <c r="CB160" s="571">
        <f t="shared" si="60"/>
        <v>1.1061542106318227</v>
      </c>
      <c r="CC160" s="571">
        <f t="shared" si="60"/>
        <v>1.1061542106318225</v>
      </c>
      <c r="CD160" s="571">
        <f t="shared" si="60"/>
        <v>1.1061542106318225</v>
      </c>
      <c r="CE160" s="571">
        <f t="shared" si="60"/>
        <v>1.1061542106318227</v>
      </c>
      <c r="CF160" s="571">
        <f t="shared" si="60"/>
        <v>1.1061542106318225</v>
      </c>
      <c r="CG160" s="571">
        <f t="shared" si="60"/>
        <v>1.1061542106318227</v>
      </c>
      <c r="CH160" s="571">
        <f t="shared" si="60"/>
        <v>1.1061542106318227</v>
      </c>
      <c r="CI160" s="571">
        <f t="shared" si="60"/>
        <v>1.1061542106318227</v>
      </c>
      <c r="CJ160" s="571">
        <f t="shared" si="60"/>
        <v>1.1061542106318227</v>
      </c>
      <c r="CK160" s="571">
        <f t="shared" si="60"/>
        <v>1.106154210631823</v>
      </c>
      <c r="CL160" s="571">
        <f t="shared" si="60"/>
        <v>1.1061542106318227</v>
      </c>
      <c r="CM160" s="571">
        <f t="shared" si="60"/>
        <v>1.1061542106318227</v>
      </c>
      <c r="CN160" s="571">
        <f t="shared" si="60"/>
        <v>1.1061542106318225</v>
      </c>
      <c r="CO160" s="571">
        <f t="shared" si="60"/>
        <v>1.1061542106318225</v>
      </c>
      <c r="CP160" s="571">
        <f t="shared" si="60"/>
        <v>1.1061542106318227</v>
      </c>
      <c r="CQ160" s="571">
        <f t="shared" si="61"/>
        <v>1.1061542106318227</v>
      </c>
      <c r="CR160" s="571">
        <f t="shared" si="61"/>
        <v>1.1061542106318227</v>
      </c>
      <c r="CS160" s="571">
        <f t="shared" si="61"/>
        <v>1.1061542106318225</v>
      </c>
      <c r="CT160" s="571">
        <f t="shared" si="61"/>
        <v>1.1061542106318227</v>
      </c>
      <c r="CU160" s="571">
        <f t="shared" si="61"/>
        <v>1.1061542106318227</v>
      </c>
      <c r="CV160" s="571">
        <f t="shared" si="61"/>
        <v>1.1061542106318227</v>
      </c>
      <c r="CW160" s="571">
        <f t="shared" si="61"/>
        <v>1.1061542106318227</v>
      </c>
      <c r="CX160" s="571">
        <f t="shared" si="61"/>
        <v>1.1061542106318227</v>
      </c>
      <c r="CY160" s="571">
        <f t="shared" si="62"/>
        <v>1.1061542106318225</v>
      </c>
      <c r="CZ160" s="571">
        <f t="shared" si="62"/>
        <v>1.1061542106318225</v>
      </c>
      <c r="DA160" s="571">
        <f t="shared" si="62"/>
        <v>1.1061542106318227</v>
      </c>
      <c r="DB160" s="571">
        <f t="shared" si="62"/>
        <v>1.1061542106318225</v>
      </c>
      <c r="DC160" s="571">
        <f t="shared" si="62"/>
        <v>1.1061542106318227</v>
      </c>
      <c r="DD160" s="571">
        <f t="shared" si="62"/>
        <v>1.1061542106318227</v>
      </c>
      <c r="DE160" s="571">
        <f t="shared" si="62"/>
        <v>1.1061542106318227</v>
      </c>
      <c r="DF160" s="571">
        <f t="shared" si="62"/>
        <v>1.1061542106318225</v>
      </c>
      <c r="DG160" s="571">
        <f t="shared" si="62"/>
        <v>1.1061542106318227</v>
      </c>
    </row>
    <row r="161" spans="1:118">
      <c r="A161" s="2773"/>
      <c r="B161" s="2600" t="s">
        <v>241</v>
      </c>
      <c r="C161" s="2601"/>
      <c r="D161" s="2894"/>
      <c r="E161" s="1684" t="s">
        <v>194</v>
      </c>
      <c r="F161" s="1684">
        <v>90</v>
      </c>
      <c r="G161" s="1684">
        <v>300</v>
      </c>
      <c r="H161" s="1684">
        <v>4</v>
      </c>
      <c r="I161" s="866"/>
      <c r="J161" s="1685"/>
      <c r="K161" s="1686">
        <f t="shared" ref="K161:AP161" si="67">((K$138-$I$4)/1000)*IF($C$14=0,$P$32,$P$49)*(($C$8/70)^$AA$49)*IF($C$14=0,1,IF($C$14&lt;=K$139,$AH$49,IF(AND($C$14&gt;=K$139,$C$14&lt;=K$140),((($AI$49-$AH$49)/(K$140-K$139))*$C$14+($AH$49-(($AI$49-$AH$49)/(K$140-K$139))*K139)),IF($C$14&gt;=K$140,$AI$49,1))))</f>
        <v>778.67138699999987</v>
      </c>
      <c r="L161" s="867">
        <f t="shared" si="67"/>
        <v>934.40566439999986</v>
      </c>
      <c r="M161" s="867">
        <f t="shared" si="67"/>
        <v>1090.1399417999999</v>
      </c>
      <c r="N161" s="867">
        <f t="shared" si="67"/>
        <v>1245.8742191999997</v>
      </c>
      <c r="O161" s="867">
        <f t="shared" si="67"/>
        <v>1401.6084965999999</v>
      </c>
      <c r="P161" s="867">
        <f t="shared" si="67"/>
        <v>1557.3427739999997</v>
      </c>
      <c r="Q161" s="867">
        <f t="shared" si="67"/>
        <v>1713.0770513999998</v>
      </c>
      <c r="R161" s="867">
        <f t="shared" si="67"/>
        <v>1828.4561567999997</v>
      </c>
      <c r="S161" s="867">
        <f t="shared" si="67"/>
        <v>1980.8275031999995</v>
      </c>
      <c r="T161" s="867">
        <f t="shared" si="67"/>
        <v>2133.1988495999994</v>
      </c>
      <c r="U161" s="867">
        <f t="shared" si="67"/>
        <v>2267.2269359999996</v>
      </c>
      <c r="V161" s="1687">
        <f t="shared" si="67"/>
        <v>2418.3753983999995</v>
      </c>
      <c r="W161" s="1686">
        <f t="shared" si="67"/>
        <v>2569.5238607999995</v>
      </c>
      <c r="X161" s="867">
        <f t="shared" si="67"/>
        <v>2704.1633892</v>
      </c>
      <c r="Y161" s="867">
        <f t="shared" si="67"/>
        <v>2854.3946885999994</v>
      </c>
      <c r="Z161" s="867">
        <f t="shared" si="67"/>
        <v>3004.6259879999998</v>
      </c>
      <c r="AA161" s="867">
        <f t="shared" si="67"/>
        <v>3154.8572873999997</v>
      </c>
      <c r="AB161" s="867">
        <f t="shared" si="67"/>
        <v>3305.0885867999996</v>
      </c>
      <c r="AC161" s="867">
        <f t="shared" si="67"/>
        <v>3455.3198861999995</v>
      </c>
      <c r="AD161" s="867">
        <f t="shared" si="67"/>
        <v>3605.5511855999994</v>
      </c>
      <c r="AE161" s="867">
        <f t="shared" si="67"/>
        <v>3755.7824849999997</v>
      </c>
      <c r="AF161" s="1687">
        <f t="shared" si="67"/>
        <v>3906.0137843999992</v>
      </c>
      <c r="AG161" s="1688">
        <f t="shared" si="67"/>
        <v>4056.2450837999995</v>
      </c>
      <c r="AH161" s="867">
        <f t="shared" si="67"/>
        <v>4206.476383199999</v>
      </c>
      <c r="AI161" s="867">
        <f t="shared" si="67"/>
        <v>4356.7076825999993</v>
      </c>
      <c r="AJ161" s="867">
        <f t="shared" si="67"/>
        <v>4506.9389819999997</v>
      </c>
      <c r="AK161" s="867">
        <f t="shared" si="67"/>
        <v>4657.1702814</v>
      </c>
      <c r="AL161" s="867">
        <f t="shared" si="67"/>
        <v>4807.4015807999995</v>
      </c>
      <c r="AM161" s="867">
        <f t="shared" si="67"/>
        <v>4957.6328801999989</v>
      </c>
      <c r="AN161" s="867">
        <f t="shared" si="67"/>
        <v>5107.8641795999993</v>
      </c>
      <c r="AO161" s="867">
        <f t="shared" si="67"/>
        <v>5258.0954789999996</v>
      </c>
      <c r="AP161" s="1687">
        <f t="shared" si="67"/>
        <v>5408.3267784</v>
      </c>
      <c r="AQ161" s="1686">
        <f t="shared" ref="AQ161:BG161" si="68">((AQ$138-$I$4)/1000)*IF($C$14=0,$P$32,$P$49)*(($C$8/70)^$AA$49)*IF($C$14=0,1,IF($C$14&lt;=AQ$139,$AH$49,IF(AND($C$14&gt;=AQ$139,$C$14&lt;=AQ$140),((($AI$49-$AH$49)/(AQ$140-AQ$139))*$C$14+($AH$49-(($AI$49-$AH$49)/(AQ$140-AQ$139))*AQ139)),IF($C$14&gt;=AQ$140,$AI$49,1))))</f>
        <v>5558.5580777999994</v>
      </c>
      <c r="AR161" s="867">
        <f t="shared" si="68"/>
        <v>5708.7893771999989</v>
      </c>
      <c r="AS161" s="867">
        <f t="shared" si="68"/>
        <v>5859.0206765999992</v>
      </c>
      <c r="AT161" s="867">
        <f t="shared" si="68"/>
        <v>6009.2519759999996</v>
      </c>
      <c r="AU161" s="867">
        <f t="shared" si="68"/>
        <v>6159.483275399999</v>
      </c>
      <c r="AV161" s="867">
        <f t="shared" si="68"/>
        <v>6309.7145747999994</v>
      </c>
      <c r="AW161" s="867">
        <f t="shared" si="68"/>
        <v>6459.9458741999997</v>
      </c>
      <c r="AX161" s="867">
        <f t="shared" si="68"/>
        <v>6610.1771735999992</v>
      </c>
      <c r="AY161" s="867">
        <f t="shared" si="68"/>
        <v>6760.4084729999986</v>
      </c>
      <c r="AZ161" s="1687">
        <f t="shared" si="68"/>
        <v>6910.6397723999989</v>
      </c>
      <c r="BA161" s="1689">
        <f t="shared" si="68"/>
        <v>7060.8710717999993</v>
      </c>
      <c r="BB161" s="1690">
        <f t="shared" si="68"/>
        <v>7211.1023711999987</v>
      </c>
      <c r="BC161" s="1690">
        <f t="shared" si="68"/>
        <v>7361.3336705999991</v>
      </c>
      <c r="BD161" s="1690">
        <f t="shared" si="68"/>
        <v>7511.5649699999994</v>
      </c>
      <c r="BE161" s="1690">
        <f t="shared" si="68"/>
        <v>7661.796269399998</v>
      </c>
      <c r="BF161" s="1690">
        <f t="shared" si="68"/>
        <v>7812.0275687999983</v>
      </c>
      <c r="BG161" s="1687">
        <f t="shared" si="68"/>
        <v>7962.2588681999987</v>
      </c>
      <c r="BH161" s="1855"/>
      <c r="BI161" s="1855"/>
    </row>
    <row r="162" spans="1:118">
      <c r="A162" s="2773"/>
      <c r="B162" s="2600" t="s">
        <v>242</v>
      </c>
      <c r="C162" s="2601"/>
      <c r="D162" s="2894"/>
      <c r="E162" s="1684" t="s">
        <v>194</v>
      </c>
      <c r="F162" s="1684">
        <v>90</v>
      </c>
      <c r="G162" s="1684">
        <v>360</v>
      </c>
      <c r="H162" s="1684">
        <v>4</v>
      </c>
      <c r="I162" s="866"/>
      <c r="J162" s="1685"/>
      <c r="K162" s="1686">
        <f t="shared" ref="K162:AP162" si="69">((K$138-$I$4)/1000)*IF($C$14=0,$R$32,$R$49)*(($C$8/70)^$AC$49)*IF($C$14=0,1,IF($C$14&lt;=K$139,$AH$49,IF(AND($C$14&gt;=K$139,$C$14&lt;=K$140),((($AI$49-$AH$49)/(K$140-K$139))*$C$14+($AH$49-(($AI$49-$AH$49)/(K$140-K$139))*K139)),IF($C$14&gt;=K$140,$AI$49,1))))</f>
        <v>825.88294285714278</v>
      </c>
      <c r="L162" s="867">
        <f t="shared" si="69"/>
        <v>991.05953142857129</v>
      </c>
      <c r="M162" s="867">
        <f t="shared" si="69"/>
        <v>1156.2361199999998</v>
      </c>
      <c r="N162" s="867">
        <f t="shared" si="69"/>
        <v>1321.4127085714285</v>
      </c>
      <c r="O162" s="867">
        <f t="shared" si="69"/>
        <v>1486.5892971428568</v>
      </c>
      <c r="P162" s="867">
        <f t="shared" si="69"/>
        <v>1651.7658857142856</v>
      </c>
      <c r="Q162" s="867">
        <f t="shared" si="69"/>
        <v>1816.9424742857141</v>
      </c>
      <c r="R162" s="867">
        <f t="shared" si="69"/>
        <v>1939.3171199999997</v>
      </c>
      <c r="S162" s="867">
        <f t="shared" si="69"/>
        <v>2100.92688</v>
      </c>
      <c r="T162" s="867">
        <f t="shared" si="69"/>
        <v>2262.5366399999998</v>
      </c>
      <c r="U162" s="867">
        <f t="shared" si="69"/>
        <v>2404.6909714285712</v>
      </c>
      <c r="V162" s="1687">
        <f t="shared" si="69"/>
        <v>2565.0037028571428</v>
      </c>
      <c r="W162" s="1686">
        <f t="shared" si="69"/>
        <v>2725.316434285714</v>
      </c>
      <c r="X162" s="867">
        <f t="shared" si="69"/>
        <v>2868.1192799999994</v>
      </c>
      <c r="Y162" s="867">
        <f t="shared" si="69"/>
        <v>3027.4592399999992</v>
      </c>
      <c r="Z162" s="867">
        <f t="shared" si="69"/>
        <v>3186.7991999999995</v>
      </c>
      <c r="AA162" s="867">
        <f t="shared" si="69"/>
        <v>3346.1391599999997</v>
      </c>
      <c r="AB162" s="867">
        <f t="shared" si="69"/>
        <v>3505.47912</v>
      </c>
      <c r="AC162" s="867">
        <f t="shared" si="69"/>
        <v>3664.8190799999998</v>
      </c>
      <c r="AD162" s="867">
        <f t="shared" si="69"/>
        <v>3824.1590399999995</v>
      </c>
      <c r="AE162" s="867">
        <f t="shared" si="69"/>
        <v>3983.4989999999993</v>
      </c>
      <c r="AF162" s="1687">
        <f t="shared" si="69"/>
        <v>4142.83896</v>
      </c>
      <c r="AG162" s="1688">
        <f t="shared" si="69"/>
        <v>4302.1789199999994</v>
      </c>
      <c r="AH162" s="867">
        <f t="shared" si="69"/>
        <v>4461.5188799999996</v>
      </c>
      <c r="AI162" s="867">
        <f t="shared" si="69"/>
        <v>4620.8588399999999</v>
      </c>
      <c r="AJ162" s="867">
        <f t="shared" si="69"/>
        <v>4780.1987999999992</v>
      </c>
      <c r="AK162" s="867">
        <f t="shared" si="69"/>
        <v>4939.5387600000004</v>
      </c>
      <c r="AL162" s="867">
        <f t="shared" si="69"/>
        <v>5098.8787199999997</v>
      </c>
      <c r="AM162" s="867">
        <f t="shared" si="69"/>
        <v>5258.218679999999</v>
      </c>
      <c r="AN162" s="867">
        <f t="shared" si="69"/>
        <v>5417.5586399999993</v>
      </c>
      <c r="AO162" s="867">
        <f t="shared" si="69"/>
        <v>5576.8985999999995</v>
      </c>
      <c r="AP162" s="1687">
        <f t="shared" si="69"/>
        <v>5736.2385599999989</v>
      </c>
      <c r="AQ162" s="1686">
        <f t="shared" ref="AQ162:BG162" si="70">((AQ$138-$I$4)/1000)*IF($C$14=0,$R$32,$R$49)*(($C$8/70)^$AC$49)*IF($C$14=0,1,IF($C$14&lt;=AQ$139,$AH$49,IF(AND($C$14&gt;=AQ$139,$C$14&lt;=AQ$140),((($AI$49-$AH$49)/(AQ$140-AQ$139))*$C$14+($AH$49-(($AI$49-$AH$49)/(AQ$140-AQ$139))*AQ139)),IF($C$14&gt;=AQ$140,$AI$49,1))))</f>
        <v>5895.57852</v>
      </c>
      <c r="AR162" s="867">
        <f t="shared" si="70"/>
        <v>6054.9184799999985</v>
      </c>
      <c r="AS162" s="867">
        <f t="shared" si="70"/>
        <v>6214.2584399999996</v>
      </c>
      <c r="AT162" s="867">
        <f t="shared" si="70"/>
        <v>6373.5983999999989</v>
      </c>
      <c r="AU162" s="867">
        <f t="shared" si="70"/>
        <v>6532.9383599999983</v>
      </c>
      <c r="AV162" s="867">
        <f t="shared" si="70"/>
        <v>6692.2783199999994</v>
      </c>
      <c r="AW162" s="867">
        <f t="shared" si="70"/>
        <v>6851.6182799999988</v>
      </c>
      <c r="AX162" s="867">
        <f t="shared" si="70"/>
        <v>7010.9582399999999</v>
      </c>
      <c r="AY162" s="867">
        <f t="shared" si="70"/>
        <v>7170.2981999999993</v>
      </c>
      <c r="AZ162" s="1687">
        <f t="shared" si="70"/>
        <v>7329.6381599999995</v>
      </c>
      <c r="BA162" s="1689">
        <f t="shared" si="70"/>
        <v>7488.9781199999998</v>
      </c>
      <c r="BB162" s="1690">
        <f t="shared" si="70"/>
        <v>7648.3180799999991</v>
      </c>
      <c r="BC162" s="1690">
        <f t="shared" si="70"/>
        <v>7807.6580399999993</v>
      </c>
      <c r="BD162" s="1690">
        <f t="shared" si="70"/>
        <v>7966.9979999999987</v>
      </c>
      <c r="BE162" s="1690">
        <f t="shared" si="70"/>
        <v>8126.3379599999989</v>
      </c>
      <c r="BF162" s="1690">
        <f t="shared" si="70"/>
        <v>8285.6779200000001</v>
      </c>
      <c r="BG162" s="1687">
        <f t="shared" si="70"/>
        <v>8445.0178799999994</v>
      </c>
      <c r="BH162" s="1855"/>
      <c r="BI162" s="1855"/>
      <c r="BK162" s="571">
        <f t="shared" ref="BK162:DG162" si="71">K170/K162</f>
        <v>1.2048585309319113</v>
      </c>
      <c r="BL162" s="571">
        <f t="shared" si="71"/>
        <v>1.2048585309319111</v>
      </c>
      <c r="BM162" s="571">
        <f t="shared" si="71"/>
        <v>1.2048585309319111</v>
      </c>
      <c r="BN162" s="571">
        <f t="shared" si="71"/>
        <v>1.2048585309319111</v>
      </c>
      <c r="BO162" s="571">
        <f t="shared" si="71"/>
        <v>1.2048585309319113</v>
      </c>
      <c r="BP162" s="571">
        <f t="shared" si="71"/>
        <v>1.2048585309319113</v>
      </c>
      <c r="BQ162" s="571">
        <f t="shared" si="71"/>
        <v>1.2048585309319113</v>
      </c>
      <c r="BR162" s="571">
        <f t="shared" si="71"/>
        <v>1.1982983943976089</v>
      </c>
      <c r="BS162" s="571">
        <f t="shared" si="71"/>
        <v>1.1982983943976089</v>
      </c>
      <c r="BT162" s="571">
        <f t="shared" si="71"/>
        <v>1.1982983943976089</v>
      </c>
      <c r="BU162" s="571">
        <f t="shared" si="71"/>
        <v>1.195840514469267</v>
      </c>
      <c r="BV162" s="571">
        <f t="shared" si="71"/>
        <v>1.195840514469267</v>
      </c>
      <c r="BW162" s="571">
        <f t="shared" si="71"/>
        <v>1.195840514469267</v>
      </c>
      <c r="BX162" s="571">
        <f t="shared" si="71"/>
        <v>1.193970845122067</v>
      </c>
      <c r="BY162" s="571">
        <f t="shared" si="71"/>
        <v>1.193970845122067</v>
      </c>
      <c r="BZ162" s="571">
        <f t="shared" si="71"/>
        <v>1.1939708451220667</v>
      </c>
      <c r="CA162" s="571">
        <f t="shared" si="71"/>
        <v>1.1939708451220667</v>
      </c>
      <c r="CB162" s="571">
        <f t="shared" si="71"/>
        <v>1.1939708451220667</v>
      </c>
      <c r="CC162" s="571">
        <f t="shared" si="71"/>
        <v>1.1939708451220667</v>
      </c>
      <c r="CD162" s="571">
        <f t="shared" si="71"/>
        <v>1.1939708451220667</v>
      </c>
      <c r="CE162" s="571">
        <f t="shared" si="71"/>
        <v>1.1939708451220667</v>
      </c>
      <c r="CF162" s="571">
        <f t="shared" si="71"/>
        <v>1.1939708451220667</v>
      </c>
      <c r="CG162" s="571">
        <f t="shared" si="71"/>
        <v>1.1939708451220667</v>
      </c>
      <c r="CH162" s="571">
        <f t="shared" si="71"/>
        <v>1.1939708451220667</v>
      </c>
      <c r="CI162" s="571">
        <f t="shared" si="71"/>
        <v>1.1939708451220667</v>
      </c>
      <c r="CJ162" s="571">
        <f t="shared" si="71"/>
        <v>1.1939708451220667</v>
      </c>
      <c r="CK162" s="571">
        <f t="shared" si="71"/>
        <v>1.1939708451220665</v>
      </c>
      <c r="CL162" s="571">
        <f t="shared" si="71"/>
        <v>1.1939708451220667</v>
      </c>
      <c r="CM162" s="571">
        <f t="shared" si="71"/>
        <v>1.193970845122067</v>
      </c>
      <c r="CN162" s="571">
        <f t="shared" si="71"/>
        <v>1.1939708451220667</v>
      </c>
      <c r="CO162" s="571">
        <f t="shared" si="71"/>
        <v>1.1939708451220667</v>
      </c>
      <c r="CP162" s="571">
        <f t="shared" si="71"/>
        <v>1.193970845122067</v>
      </c>
      <c r="CQ162" s="571">
        <f t="shared" si="71"/>
        <v>1.1939708451220665</v>
      </c>
      <c r="CR162" s="571">
        <f t="shared" si="71"/>
        <v>1.193970845122067</v>
      </c>
      <c r="CS162" s="571">
        <f t="shared" si="71"/>
        <v>1.1939708451220667</v>
      </c>
      <c r="CT162" s="571">
        <f t="shared" si="71"/>
        <v>1.1939708451220667</v>
      </c>
      <c r="CU162" s="571">
        <f t="shared" si="71"/>
        <v>1.193970845122067</v>
      </c>
      <c r="CV162" s="571">
        <f t="shared" si="71"/>
        <v>1.1939708451220667</v>
      </c>
      <c r="CW162" s="571">
        <f t="shared" si="71"/>
        <v>1.193970845122067</v>
      </c>
      <c r="CX162" s="571">
        <f t="shared" si="71"/>
        <v>1.1939708451220667</v>
      </c>
      <c r="CY162" s="571">
        <f t="shared" si="71"/>
        <v>1.1939708451220667</v>
      </c>
      <c r="CZ162" s="571">
        <f t="shared" si="71"/>
        <v>1.1939708451220667</v>
      </c>
      <c r="DA162" s="571">
        <f t="shared" si="71"/>
        <v>1.193970845122067</v>
      </c>
      <c r="DB162" s="571">
        <f t="shared" si="71"/>
        <v>1.1939708451220667</v>
      </c>
      <c r="DC162" s="571">
        <f t="shared" si="71"/>
        <v>1.193970845122067</v>
      </c>
      <c r="DD162" s="571">
        <f t="shared" si="71"/>
        <v>1.1939708451220667</v>
      </c>
      <c r="DE162" s="571">
        <f t="shared" si="71"/>
        <v>1.1939708451220667</v>
      </c>
      <c r="DF162" s="571">
        <f t="shared" si="71"/>
        <v>1.1939708451220667</v>
      </c>
      <c r="DG162" s="571">
        <f t="shared" si="71"/>
        <v>1.1939708451220665</v>
      </c>
      <c r="DJ162" s="646"/>
      <c r="DK162" s="646"/>
      <c r="DL162" s="646"/>
      <c r="DM162" s="646"/>
      <c r="DN162" s="646"/>
    </row>
    <row r="163" spans="1:118">
      <c r="A163" s="2773"/>
      <c r="B163" s="2600" t="s">
        <v>243</v>
      </c>
      <c r="C163" s="2601"/>
      <c r="D163" s="2894"/>
      <c r="E163" s="1684" t="s">
        <v>194</v>
      </c>
      <c r="F163" s="1684">
        <v>90</v>
      </c>
      <c r="G163" s="1684">
        <v>400</v>
      </c>
      <c r="H163" s="1684">
        <v>4</v>
      </c>
      <c r="I163" s="866"/>
      <c r="J163" s="1685"/>
      <c r="K163" s="1686">
        <f t="shared" ref="K163:AP163" si="72">((K$138-$I$4)/1000)*IF($C$14=0,$S$32,$S$49)*(($C$8/70)^$AD$49)*IF($C$14=0,1,IF($C$14&lt;=K$139,$AH$49,IF(AND($C$14&gt;=K$139,$C$14&lt;=K$140),((($AI$49-$AH$49)/(K$140-K$139))*$C$14+($AH$49-(($AI$49-$AH$49)/(K$140-K$139))*K139)),IF($C$14&gt;=K$140,$AI$49,1))))</f>
        <v>913.86359999999991</v>
      </c>
      <c r="L163" s="867">
        <f t="shared" si="72"/>
        <v>1096.6363199999998</v>
      </c>
      <c r="M163" s="867">
        <f t="shared" si="72"/>
        <v>1279.4090399999998</v>
      </c>
      <c r="N163" s="867">
        <f t="shared" si="72"/>
        <v>1462.1817599999999</v>
      </c>
      <c r="O163" s="867">
        <f t="shared" si="72"/>
        <v>1644.9544799999999</v>
      </c>
      <c r="P163" s="867">
        <f t="shared" si="72"/>
        <v>1827.7271999999998</v>
      </c>
      <c r="Q163" s="867">
        <f t="shared" si="72"/>
        <v>2010.49992</v>
      </c>
      <c r="R163" s="867">
        <f t="shared" si="72"/>
        <v>2145.91104</v>
      </c>
      <c r="S163" s="867">
        <f t="shared" si="72"/>
        <v>2324.7369599999997</v>
      </c>
      <c r="T163" s="867">
        <f t="shared" si="72"/>
        <v>2503.5628799999995</v>
      </c>
      <c r="U163" s="867">
        <f t="shared" si="72"/>
        <v>2660.8607999999999</v>
      </c>
      <c r="V163" s="1687">
        <f t="shared" si="72"/>
        <v>2838.2515199999998</v>
      </c>
      <c r="W163" s="1686">
        <f t="shared" si="72"/>
        <v>3015.6422399999997</v>
      </c>
      <c r="X163" s="867">
        <f t="shared" si="72"/>
        <v>3173.6577600000001</v>
      </c>
      <c r="Y163" s="867">
        <f t="shared" si="72"/>
        <v>3349.9720799999996</v>
      </c>
      <c r="Z163" s="867">
        <f t="shared" si="72"/>
        <v>3526.2864</v>
      </c>
      <c r="AA163" s="867">
        <f t="shared" si="72"/>
        <v>3702.6007199999999</v>
      </c>
      <c r="AB163" s="867">
        <f t="shared" si="72"/>
        <v>3878.9150399999999</v>
      </c>
      <c r="AC163" s="867">
        <f t="shared" si="72"/>
        <v>4055.2293599999989</v>
      </c>
      <c r="AD163" s="867">
        <f t="shared" si="72"/>
        <v>4231.5436799999998</v>
      </c>
      <c r="AE163" s="867">
        <f t="shared" si="72"/>
        <v>4407.8579999999993</v>
      </c>
      <c r="AF163" s="1687">
        <f t="shared" si="72"/>
        <v>4584.1723199999997</v>
      </c>
      <c r="AG163" s="1688">
        <f t="shared" si="72"/>
        <v>4760.4866400000001</v>
      </c>
      <c r="AH163" s="867">
        <f t="shared" si="72"/>
        <v>4936.8009599999996</v>
      </c>
      <c r="AI163" s="867">
        <f t="shared" si="72"/>
        <v>5113.1152799999991</v>
      </c>
      <c r="AJ163" s="867">
        <f t="shared" si="72"/>
        <v>5289.4295999999995</v>
      </c>
      <c r="AK163" s="867">
        <f t="shared" si="72"/>
        <v>5465.7439199999999</v>
      </c>
      <c r="AL163" s="867">
        <f t="shared" si="72"/>
        <v>5642.0582399999994</v>
      </c>
      <c r="AM163" s="867">
        <f t="shared" si="72"/>
        <v>5818.3725599999998</v>
      </c>
      <c r="AN163" s="867">
        <f t="shared" si="72"/>
        <v>5994.6868799999993</v>
      </c>
      <c r="AO163" s="867">
        <f t="shared" si="72"/>
        <v>6171.0011999999988</v>
      </c>
      <c r="AP163" s="1687">
        <f t="shared" si="72"/>
        <v>6347.3155200000001</v>
      </c>
      <c r="AQ163" s="1686">
        <f t="shared" ref="AQ163:BG163" si="73">((AQ$138-$I$4)/1000)*IF($C$14=0,$S$32,$S$49)*(($C$8/70)^$AD$49)*IF($C$14=0,1,IF($C$14&lt;=AQ$139,$AH$49,IF(AND($C$14&gt;=AQ$139,$C$14&lt;=AQ$140),((($AI$49-$AH$49)/(AQ$140-AQ$139))*$C$14+($AH$49-(($AI$49-$AH$49)/(AQ$140-AQ$139))*AQ139)),IF($C$14&gt;=AQ$140,$AI$49,1))))</f>
        <v>6523.6298399999996</v>
      </c>
      <c r="AR163" s="867">
        <f t="shared" si="73"/>
        <v>6699.9441599999991</v>
      </c>
      <c r="AS163" s="867">
        <f t="shared" si="73"/>
        <v>6876.2584799999995</v>
      </c>
      <c r="AT163" s="867">
        <f t="shared" si="73"/>
        <v>7052.5727999999999</v>
      </c>
      <c r="AU163" s="867">
        <f t="shared" si="73"/>
        <v>7228.8871199999985</v>
      </c>
      <c r="AV163" s="867">
        <f t="shared" si="73"/>
        <v>7405.2014399999998</v>
      </c>
      <c r="AW163" s="867">
        <f t="shared" si="73"/>
        <v>7581.5157599999984</v>
      </c>
      <c r="AX163" s="867">
        <f t="shared" si="73"/>
        <v>7757.8300799999997</v>
      </c>
      <c r="AY163" s="867">
        <f t="shared" si="73"/>
        <v>7934.1444000000001</v>
      </c>
      <c r="AZ163" s="1687">
        <f t="shared" si="73"/>
        <v>8110.4587199999978</v>
      </c>
      <c r="BA163" s="1689">
        <f t="shared" si="73"/>
        <v>8286.77304</v>
      </c>
      <c r="BB163" s="1690">
        <f t="shared" si="73"/>
        <v>8463.0873599999995</v>
      </c>
      <c r="BC163" s="1690">
        <f t="shared" si="73"/>
        <v>8639.401679999999</v>
      </c>
      <c r="BD163" s="1690">
        <f t="shared" si="73"/>
        <v>8815.7159999999985</v>
      </c>
      <c r="BE163" s="1690">
        <f t="shared" si="73"/>
        <v>8992.0303199999998</v>
      </c>
      <c r="BF163" s="1690">
        <f t="shared" si="73"/>
        <v>9168.3446399999993</v>
      </c>
      <c r="BG163" s="1687">
        <f t="shared" si="73"/>
        <v>9344.6589599999988</v>
      </c>
      <c r="BH163" s="1855"/>
      <c r="BI163" s="1855"/>
      <c r="BK163" s="571">
        <f>0</f>
        <v>0</v>
      </c>
      <c r="BL163" s="571">
        <f>0</f>
        <v>0</v>
      </c>
      <c r="BM163" s="571">
        <f>0</f>
        <v>0</v>
      </c>
      <c r="BN163" s="571">
        <f>0</f>
        <v>0</v>
      </c>
      <c r="BO163" s="571">
        <f>0</f>
        <v>0</v>
      </c>
      <c r="BP163" s="571">
        <f>0</f>
        <v>0</v>
      </c>
      <c r="BQ163" s="571">
        <f>0</f>
        <v>0</v>
      </c>
      <c r="BR163" s="571">
        <f>0</f>
        <v>0</v>
      </c>
      <c r="BS163" s="571">
        <f>0</f>
        <v>0</v>
      </c>
      <c r="BT163" s="571">
        <f>0</f>
        <v>0</v>
      </c>
      <c r="BU163" s="571">
        <f>0</f>
        <v>0</v>
      </c>
      <c r="BV163" s="571">
        <f>0</f>
        <v>0</v>
      </c>
      <c r="BW163" s="571">
        <f>0</f>
        <v>0</v>
      </c>
      <c r="BX163" s="571">
        <f>0</f>
        <v>0</v>
      </c>
      <c r="BY163" s="571">
        <f>0</f>
        <v>0</v>
      </c>
      <c r="BZ163" s="571">
        <f>0</f>
        <v>0</v>
      </c>
      <c r="CA163" s="571">
        <f>0</f>
        <v>0</v>
      </c>
      <c r="CB163" s="571">
        <f>0</f>
        <v>0</v>
      </c>
      <c r="CC163" s="571">
        <f>0</f>
        <v>0</v>
      </c>
      <c r="CD163" s="571">
        <f>0</f>
        <v>0</v>
      </c>
      <c r="CE163" s="571">
        <f>0</f>
        <v>0</v>
      </c>
      <c r="CF163" s="571">
        <f>0</f>
        <v>0</v>
      </c>
      <c r="CG163" s="571">
        <f>0</f>
        <v>0</v>
      </c>
      <c r="CH163" s="571">
        <f>0</f>
        <v>0</v>
      </c>
      <c r="CI163" s="571">
        <f>0</f>
        <v>0</v>
      </c>
      <c r="CJ163" s="571">
        <f>0</f>
        <v>0</v>
      </c>
      <c r="CK163" s="571">
        <f>0</f>
        <v>0</v>
      </c>
      <c r="CL163" s="571">
        <f>0</f>
        <v>0</v>
      </c>
      <c r="CM163" s="571">
        <f>0</f>
        <v>0</v>
      </c>
      <c r="CN163" s="571">
        <f>0</f>
        <v>0</v>
      </c>
      <c r="CO163" s="571">
        <f>0</f>
        <v>0</v>
      </c>
      <c r="CP163" s="571">
        <f>0</f>
        <v>0</v>
      </c>
      <c r="CQ163" s="571">
        <f>0</f>
        <v>0</v>
      </c>
      <c r="CR163" s="571">
        <f>0</f>
        <v>0</v>
      </c>
      <c r="CS163" s="571">
        <f>0</f>
        <v>0</v>
      </c>
      <c r="CT163" s="571">
        <f>0</f>
        <v>0</v>
      </c>
      <c r="CU163" s="571">
        <f>0</f>
        <v>0</v>
      </c>
      <c r="CV163" s="571">
        <f>0</f>
        <v>0</v>
      </c>
      <c r="CW163" s="571">
        <f>0</f>
        <v>0</v>
      </c>
      <c r="CX163" s="571">
        <f>0</f>
        <v>0</v>
      </c>
      <c r="CY163" s="571">
        <f>0</f>
        <v>0</v>
      </c>
      <c r="CZ163" s="571">
        <f>0</f>
        <v>0</v>
      </c>
      <c r="DA163" s="571">
        <f>0</f>
        <v>0</v>
      </c>
      <c r="DB163" s="571">
        <f>0</f>
        <v>0</v>
      </c>
      <c r="DC163" s="571">
        <f>0</f>
        <v>0</v>
      </c>
      <c r="DD163" s="571">
        <f>0</f>
        <v>0</v>
      </c>
      <c r="DE163" s="571">
        <f>0</f>
        <v>0</v>
      </c>
      <c r="DF163" s="571">
        <f>0</f>
        <v>0</v>
      </c>
      <c r="DG163" s="571">
        <f>0</f>
        <v>0</v>
      </c>
      <c r="DJ163" s="646"/>
      <c r="DK163" s="646"/>
      <c r="DL163" s="646"/>
      <c r="DM163" s="646"/>
      <c r="DN163" s="646"/>
    </row>
    <row r="164" spans="1:118" ht="15.75" thickBot="1">
      <c r="A164" s="2773"/>
      <c r="B164" s="2602" t="s">
        <v>244</v>
      </c>
      <c r="C164" s="2603"/>
      <c r="D164" s="2895"/>
      <c r="E164" s="1691" t="s">
        <v>194</v>
      </c>
      <c r="F164" s="1691">
        <v>90</v>
      </c>
      <c r="G164" s="1691">
        <v>400</v>
      </c>
      <c r="H164" s="1691">
        <v>6</v>
      </c>
      <c r="I164" s="868"/>
      <c r="J164" s="1692"/>
      <c r="K164" s="1693">
        <f t="shared" ref="K164:AP164" si="74">((K$138-$I$4)/1000)*IF($C$14=0,$T$32,$T$49)*(($C$8/70)^$AD$49)*IF($C$14=0,1,IF($C$14&lt;=K$139,$AH$49,IF(AND($C$14&gt;=K$139,$C$14&lt;=K$140),((($AI$49-$AH$49)/(K$140-K$139))*$C$14+($AH$49-(($AI$49-$AH$49)/(K$140-K$139))*K139)),IF($C$14&gt;=K$140,$AI$49,1))))</f>
        <v>1124.052228</v>
      </c>
      <c r="L164" s="869">
        <f t="shared" si="74"/>
        <v>1348.8626735999999</v>
      </c>
      <c r="M164" s="869">
        <f t="shared" si="74"/>
        <v>1573.6731192</v>
      </c>
      <c r="N164" s="869">
        <f t="shared" si="74"/>
        <v>1798.4835648000001</v>
      </c>
      <c r="O164" s="869">
        <f t="shared" si="74"/>
        <v>2023.2940104000002</v>
      </c>
      <c r="P164" s="869">
        <f t="shared" si="74"/>
        <v>2248.104456</v>
      </c>
      <c r="Q164" s="869">
        <f t="shared" si="74"/>
        <v>2472.9149016000001</v>
      </c>
      <c r="R164" s="869">
        <f t="shared" si="74"/>
        <v>2639.4705791999995</v>
      </c>
      <c r="S164" s="869">
        <f t="shared" si="74"/>
        <v>2859.4264607999999</v>
      </c>
      <c r="T164" s="869">
        <f t="shared" si="74"/>
        <v>3079.3823423999997</v>
      </c>
      <c r="U164" s="869">
        <f t="shared" si="74"/>
        <v>3272.858784</v>
      </c>
      <c r="V164" s="1694">
        <f t="shared" si="74"/>
        <v>3491.0493695999999</v>
      </c>
      <c r="W164" s="1693">
        <f t="shared" si="74"/>
        <v>3709.2399551999997</v>
      </c>
      <c r="X164" s="869">
        <f t="shared" si="74"/>
        <v>3903.5990448000002</v>
      </c>
      <c r="Y164" s="869">
        <f t="shared" si="74"/>
        <v>4120.4656583999995</v>
      </c>
      <c r="Z164" s="869">
        <f t="shared" si="74"/>
        <v>4337.3322719999996</v>
      </c>
      <c r="AA164" s="869">
        <f t="shared" si="74"/>
        <v>4554.1988855999998</v>
      </c>
      <c r="AB164" s="869">
        <f t="shared" si="74"/>
        <v>4771.0654992000009</v>
      </c>
      <c r="AC164" s="869">
        <f t="shared" si="74"/>
        <v>4987.9321127999992</v>
      </c>
      <c r="AD164" s="869">
        <f t="shared" si="74"/>
        <v>5204.7987263999994</v>
      </c>
      <c r="AE164" s="869">
        <f t="shared" si="74"/>
        <v>5421.6653399999996</v>
      </c>
      <c r="AF164" s="1694">
        <f t="shared" si="74"/>
        <v>5638.5319535999997</v>
      </c>
      <c r="AG164" s="1695">
        <f t="shared" si="74"/>
        <v>5855.3985671999999</v>
      </c>
      <c r="AH164" s="869">
        <f t="shared" si="74"/>
        <v>6072.2651808000001</v>
      </c>
      <c r="AI164" s="869">
        <f t="shared" si="74"/>
        <v>6289.1317944000002</v>
      </c>
      <c r="AJ164" s="869">
        <f t="shared" si="74"/>
        <v>6505.9984080000004</v>
      </c>
      <c r="AK164" s="869">
        <f t="shared" si="74"/>
        <v>6722.8650215999996</v>
      </c>
      <c r="AL164" s="869">
        <f t="shared" si="74"/>
        <v>6939.7316351999998</v>
      </c>
      <c r="AM164" s="869">
        <f t="shared" si="74"/>
        <v>7156.5982488</v>
      </c>
      <c r="AN164" s="869">
        <f t="shared" si="74"/>
        <v>7373.4648624000001</v>
      </c>
      <c r="AO164" s="869">
        <f t="shared" si="74"/>
        <v>7590.3314759999994</v>
      </c>
      <c r="AP164" s="1694">
        <f t="shared" si="74"/>
        <v>7807.1980896000005</v>
      </c>
      <c r="AQ164" s="1693">
        <f t="shared" ref="AQ164:BG164" si="75">((AQ$138-$I$4)/1000)*IF($C$14=0,$T$32,$T$49)*(($C$8/70)^$AD$49)*IF($C$14=0,1,IF($C$14&lt;=AQ$139,$AH$49,IF(AND($C$14&gt;=AQ$139,$C$14&lt;=AQ$140),((($AI$49-$AH$49)/(AQ$140-AQ$139))*$C$14+($AH$49-(($AI$49-$AH$49)/(AQ$140-AQ$139))*AQ139)),IF($C$14&gt;=AQ$140,$AI$49,1))))</f>
        <v>8024.0647031999997</v>
      </c>
      <c r="AR164" s="869">
        <f t="shared" si="75"/>
        <v>8240.931316799999</v>
      </c>
      <c r="AS164" s="869">
        <f t="shared" si="75"/>
        <v>8457.7979304</v>
      </c>
      <c r="AT164" s="869">
        <f t="shared" si="75"/>
        <v>8674.6645439999993</v>
      </c>
      <c r="AU164" s="869">
        <f t="shared" si="75"/>
        <v>8891.5311575999986</v>
      </c>
      <c r="AV164" s="869">
        <f t="shared" si="75"/>
        <v>9108.3977711999996</v>
      </c>
      <c r="AW164" s="869">
        <f t="shared" si="75"/>
        <v>9325.2643848000007</v>
      </c>
      <c r="AX164" s="869">
        <f t="shared" si="75"/>
        <v>9542.1309984000018</v>
      </c>
      <c r="AY164" s="869">
        <f t="shared" si="75"/>
        <v>9758.997612000001</v>
      </c>
      <c r="AZ164" s="1694">
        <f t="shared" si="75"/>
        <v>9975.8642255999985</v>
      </c>
      <c r="BA164" s="1696">
        <f t="shared" si="75"/>
        <v>10192.730839200001</v>
      </c>
      <c r="BB164" s="1697">
        <f t="shared" si="75"/>
        <v>10409.597452799999</v>
      </c>
      <c r="BC164" s="1697">
        <f t="shared" si="75"/>
        <v>10626.4640664</v>
      </c>
      <c r="BD164" s="1697">
        <f t="shared" si="75"/>
        <v>10843.330679999999</v>
      </c>
      <c r="BE164" s="1697">
        <f t="shared" si="75"/>
        <v>11060.197293599998</v>
      </c>
      <c r="BF164" s="1697">
        <f t="shared" si="75"/>
        <v>11277.063907199999</v>
      </c>
      <c r="BG164" s="1694">
        <f t="shared" si="75"/>
        <v>11493.930520799999</v>
      </c>
      <c r="BH164" s="1855"/>
      <c r="BI164" s="1855"/>
      <c r="DJ164" s="646"/>
      <c r="DK164" s="646"/>
      <c r="DL164" s="646"/>
      <c r="DM164" s="646"/>
      <c r="DN164" s="646"/>
    </row>
    <row r="165" spans="1:118">
      <c r="A165" s="2773"/>
      <c r="B165" s="2757" t="s">
        <v>245</v>
      </c>
      <c r="C165" s="2758"/>
      <c r="D165" s="2896">
        <v>60</v>
      </c>
      <c r="E165" s="1698" t="s">
        <v>194</v>
      </c>
      <c r="F165" s="1698">
        <v>110</v>
      </c>
      <c r="G165" s="1698">
        <v>160</v>
      </c>
      <c r="H165" s="1698">
        <v>2</v>
      </c>
      <c r="I165" s="1175"/>
      <c r="J165" s="1699"/>
      <c r="K165" s="1700">
        <f t="shared" ref="K165:AP165" si="76">((K$138-$I$4)/1000)*IF($C$14=0,$L33,$L50)*(($C$8/70)^$W$50)*IF($C$14=0,1,IF($C$14&lt;=K$139,$AH$50,IF(AND($C$14&gt;=K$139,$C$14&lt;=K$140),((($AI$50-$AH$50)/(K$140-K$139))*$C$14+($AH$50-(($AI$50-$AH$50)/(K$140-K$139))*K$139)),IF($C$14&gt;=K$140,$AI$50,1))))</f>
        <v>468.26922788356734</v>
      </c>
      <c r="L165" s="1176">
        <f t="shared" si="76"/>
        <v>561.92307346028076</v>
      </c>
      <c r="M165" s="1176">
        <f t="shared" si="76"/>
        <v>655.57691903699424</v>
      </c>
      <c r="N165" s="1176">
        <f t="shared" si="76"/>
        <v>749.23076461370772</v>
      </c>
      <c r="O165" s="1176">
        <f t="shared" si="76"/>
        <v>842.8846101904212</v>
      </c>
      <c r="P165" s="1176">
        <f t="shared" si="76"/>
        <v>936.53845576713468</v>
      </c>
      <c r="Q165" s="1176">
        <f t="shared" si="76"/>
        <v>1030.1923013438482</v>
      </c>
      <c r="R165" s="1176">
        <f t="shared" si="76"/>
        <v>1093.5908664111976</v>
      </c>
      <c r="S165" s="1176">
        <f t="shared" si="76"/>
        <v>1184.7234386121308</v>
      </c>
      <c r="T165" s="1176">
        <f t="shared" si="76"/>
        <v>1275.8560108130637</v>
      </c>
      <c r="U165" s="1176">
        <f t="shared" si="76"/>
        <v>1353.2361827824677</v>
      </c>
      <c r="V165" s="1701">
        <f t="shared" si="76"/>
        <v>1443.4519283012989</v>
      </c>
      <c r="W165" s="1700">
        <f t="shared" si="76"/>
        <v>1533.6676738201299</v>
      </c>
      <c r="X165" s="1176">
        <f t="shared" si="76"/>
        <v>1611.506259130585</v>
      </c>
      <c r="Y165" s="1176">
        <f t="shared" si="76"/>
        <v>1701.0343846378398</v>
      </c>
      <c r="Z165" s="1176">
        <f t="shared" si="76"/>
        <v>1790.5625101450946</v>
      </c>
      <c r="AA165" s="1176">
        <f t="shared" si="76"/>
        <v>1880.0906356523494</v>
      </c>
      <c r="AB165" s="1176">
        <f t="shared" si="76"/>
        <v>1969.6187611596042</v>
      </c>
      <c r="AC165" s="1176">
        <f t="shared" si="76"/>
        <v>2059.1468866668583</v>
      </c>
      <c r="AD165" s="1176">
        <f t="shared" si="76"/>
        <v>2148.6750121741134</v>
      </c>
      <c r="AE165" s="1176">
        <f t="shared" si="76"/>
        <v>2238.2031376813684</v>
      </c>
      <c r="AF165" s="1701">
        <f t="shared" si="76"/>
        <v>2327.731263188623</v>
      </c>
      <c r="AG165" s="1702">
        <f t="shared" si="76"/>
        <v>2417.259388695878</v>
      </c>
      <c r="AH165" s="1176">
        <f t="shared" si="76"/>
        <v>2506.7875142031321</v>
      </c>
      <c r="AI165" s="1176">
        <f t="shared" si="76"/>
        <v>2596.3156397103871</v>
      </c>
      <c r="AJ165" s="1176">
        <f t="shared" si="76"/>
        <v>2685.8437652176417</v>
      </c>
      <c r="AK165" s="1176">
        <f t="shared" si="76"/>
        <v>2775.3718907248967</v>
      </c>
      <c r="AL165" s="1176">
        <f t="shared" si="76"/>
        <v>2864.9000162321513</v>
      </c>
      <c r="AM165" s="1176">
        <f t="shared" si="76"/>
        <v>2954.4281417394059</v>
      </c>
      <c r="AN165" s="1176">
        <f t="shared" si="76"/>
        <v>3043.9562672466604</v>
      </c>
      <c r="AO165" s="1176">
        <f t="shared" si="76"/>
        <v>3133.4843927539155</v>
      </c>
      <c r="AP165" s="1701">
        <f t="shared" si="76"/>
        <v>3223.01251826117</v>
      </c>
      <c r="AQ165" s="1700">
        <f t="shared" ref="AQ165:BG165" si="77">((AQ$138-$I$4)/1000)*IF($C$14=0,$L33,$L50)*(($C$8/70)^$W$50)*IF($C$14=0,1,IF($C$14&lt;=AQ$139,$AH$50,IF(AND($C$14&gt;=AQ$139,$C$14&lt;=AQ$140),((($AI$50-$AH$50)/(AQ$140-AQ$139))*$C$14+($AH$50-(($AI$50-$AH$50)/(AQ$140-AQ$139))*AQ$139)),IF($C$14&gt;=AQ$140,$AI$50,1))))</f>
        <v>3312.5406437684251</v>
      </c>
      <c r="AR165" s="1176">
        <f t="shared" si="77"/>
        <v>3402.0687692756796</v>
      </c>
      <c r="AS165" s="1176">
        <f t="shared" si="77"/>
        <v>3491.5968947829342</v>
      </c>
      <c r="AT165" s="1176">
        <f t="shared" si="77"/>
        <v>3581.1250202901892</v>
      </c>
      <c r="AU165" s="1176">
        <f t="shared" si="77"/>
        <v>3670.6531457974434</v>
      </c>
      <c r="AV165" s="1176">
        <f t="shared" si="77"/>
        <v>3760.1812713046988</v>
      </c>
      <c r="AW165" s="1176">
        <f t="shared" si="77"/>
        <v>3849.709396811953</v>
      </c>
      <c r="AX165" s="1176">
        <f t="shared" si="77"/>
        <v>3939.2375223192084</v>
      </c>
      <c r="AY165" s="1176">
        <f t="shared" si="77"/>
        <v>4028.7656478264626</v>
      </c>
      <c r="AZ165" s="1701">
        <f t="shared" si="77"/>
        <v>4118.2937733337167</v>
      </c>
      <c r="BA165" s="1703">
        <f t="shared" si="77"/>
        <v>4207.8218988409726</v>
      </c>
      <c r="BB165" s="1704">
        <f t="shared" si="77"/>
        <v>4297.3500243482267</v>
      </c>
      <c r="BC165" s="1704">
        <f t="shared" si="77"/>
        <v>4386.8781498554818</v>
      </c>
      <c r="BD165" s="1704">
        <f t="shared" si="77"/>
        <v>4476.4062753627368</v>
      </c>
      <c r="BE165" s="1704">
        <f t="shared" si="77"/>
        <v>4565.9344008699909</v>
      </c>
      <c r="BF165" s="1704">
        <f t="shared" si="77"/>
        <v>4655.4625263772459</v>
      </c>
      <c r="BG165" s="1701">
        <f t="shared" si="77"/>
        <v>4744.9906518845</v>
      </c>
      <c r="BH165" s="1855"/>
      <c r="BI165" s="1855"/>
      <c r="DJ165" s="646"/>
      <c r="DK165" s="646"/>
      <c r="DL165" s="646"/>
      <c r="DM165" s="646"/>
      <c r="DN165" s="646"/>
    </row>
    <row r="166" spans="1:118">
      <c r="A166" s="2773"/>
      <c r="B166" s="2753" t="s">
        <v>246</v>
      </c>
      <c r="C166" s="2754"/>
      <c r="D166" s="2897"/>
      <c r="E166" s="1705" t="s">
        <v>194</v>
      </c>
      <c r="F166" s="1705">
        <v>110</v>
      </c>
      <c r="G166" s="1705">
        <v>200</v>
      </c>
      <c r="H166" s="1705">
        <v>2</v>
      </c>
      <c r="I166" s="871"/>
      <c r="J166" s="1706"/>
      <c r="K166" s="1707">
        <f t="shared" ref="K166:AP166" si="78">((K$138-$I$4)/1000)*IF($C$14=0,$M33,$M50)*(($C$8/70)^$X$50)*IF($C$14=0,1,IF($C$14&lt;=K$139,$AH$50,IF(AND($C$14&gt;=K$139,$C$14&lt;=K$140),((($AI$50-$AH$50)/(K$140-K$139))*$C$14+($AH$50-(($AI$50-$AH$50)/(K$140-K$139))*K$139)),IF($C$14&gt;=K$140,$AI$50,1))))</f>
        <v>532.12412259496284</v>
      </c>
      <c r="L166" s="872">
        <f t="shared" si="78"/>
        <v>638.54894711395548</v>
      </c>
      <c r="M166" s="872">
        <f t="shared" si="78"/>
        <v>744.973771632948</v>
      </c>
      <c r="N166" s="872">
        <f t="shared" si="78"/>
        <v>851.39859615194064</v>
      </c>
      <c r="O166" s="872">
        <f t="shared" si="78"/>
        <v>957.82342067093316</v>
      </c>
      <c r="P166" s="872">
        <f t="shared" si="78"/>
        <v>1064.2482451899257</v>
      </c>
      <c r="Q166" s="872">
        <f t="shared" si="78"/>
        <v>1170.6730697089183</v>
      </c>
      <c r="R166" s="872">
        <f t="shared" si="78"/>
        <v>1242.7168936490882</v>
      </c>
      <c r="S166" s="872">
        <f t="shared" si="78"/>
        <v>1346.2766347865122</v>
      </c>
      <c r="T166" s="872">
        <f t="shared" si="78"/>
        <v>1449.836375923936</v>
      </c>
      <c r="U166" s="872">
        <f t="shared" si="78"/>
        <v>1537.7683895255316</v>
      </c>
      <c r="V166" s="1708">
        <f t="shared" si="78"/>
        <v>1640.286282160567</v>
      </c>
      <c r="W166" s="1707">
        <f t="shared" si="78"/>
        <v>1742.8041747956022</v>
      </c>
      <c r="X166" s="872">
        <f t="shared" si="78"/>
        <v>1831.257112648392</v>
      </c>
      <c r="Y166" s="872">
        <f t="shared" si="78"/>
        <v>1932.9936189066359</v>
      </c>
      <c r="Z166" s="872">
        <f t="shared" si="78"/>
        <v>2034.7301251648801</v>
      </c>
      <c r="AA166" s="872">
        <f t="shared" si="78"/>
        <v>2136.4666314231245</v>
      </c>
      <c r="AB166" s="872">
        <f t="shared" si="78"/>
        <v>2238.2031376813684</v>
      </c>
      <c r="AC166" s="872">
        <f t="shared" si="78"/>
        <v>2339.9396439396119</v>
      </c>
      <c r="AD166" s="872">
        <f t="shared" si="78"/>
        <v>2441.6761501978563</v>
      </c>
      <c r="AE166" s="872">
        <f t="shared" si="78"/>
        <v>2543.4126564561002</v>
      </c>
      <c r="AF166" s="1708">
        <f t="shared" si="78"/>
        <v>2645.1491627143441</v>
      </c>
      <c r="AG166" s="1709">
        <f t="shared" si="78"/>
        <v>2746.8856689725885</v>
      </c>
      <c r="AH166" s="872">
        <f t="shared" si="78"/>
        <v>2848.622175230832</v>
      </c>
      <c r="AI166" s="872">
        <f t="shared" si="78"/>
        <v>2950.3586814890759</v>
      </c>
      <c r="AJ166" s="872">
        <f t="shared" si="78"/>
        <v>3052.0951877473203</v>
      </c>
      <c r="AK166" s="872">
        <f t="shared" si="78"/>
        <v>3153.8316940055643</v>
      </c>
      <c r="AL166" s="872">
        <f t="shared" si="78"/>
        <v>3255.5682002638082</v>
      </c>
      <c r="AM166" s="872">
        <f t="shared" si="78"/>
        <v>3357.3047065220517</v>
      </c>
      <c r="AN166" s="872">
        <f t="shared" si="78"/>
        <v>3459.0412127802961</v>
      </c>
      <c r="AO166" s="872">
        <f t="shared" si="78"/>
        <v>3560.77771903854</v>
      </c>
      <c r="AP166" s="1708">
        <f t="shared" si="78"/>
        <v>3662.5142252967839</v>
      </c>
      <c r="AQ166" s="1707">
        <f t="shared" ref="AQ166:BG166" si="79">((AQ$138-$I$4)/1000)*IF($C$14=0,$M33,$M50)*(($C$8/70)^$X$50)*IF($C$14=0,1,IF($C$14&lt;=AQ$139,$AH$50,IF(AND($C$14&gt;=AQ$139,$C$14&lt;=AQ$140),((($AI$50-$AH$50)/(AQ$140-AQ$139))*$C$14+($AH$50-(($AI$50-$AH$50)/(AQ$140-AQ$139))*AQ$139)),IF($C$14&gt;=AQ$140,$AI$50,1))))</f>
        <v>3764.2507315550283</v>
      </c>
      <c r="AR166" s="872">
        <f t="shared" si="79"/>
        <v>3865.9872378132718</v>
      </c>
      <c r="AS166" s="872">
        <f t="shared" si="79"/>
        <v>3967.7237440715162</v>
      </c>
      <c r="AT166" s="872">
        <f t="shared" si="79"/>
        <v>4069.4602503297601</v>
      </c>
      <c r="AU166" s="872">
        <f t="shared" si="79"/>
        <v>4171.1967565880041</v>
      </c>
      <c r="AV166" s="872">
        <f t="shared" si="79"/>
        <v>4272.9332628462489</v>
      </c>
      <c r="AW166" s="872">
        <f t="shared" si="79"/>
        <v>4374.6697691044919</v>
      </c>
      <c r="AX166" s="872">
        <f t="shared" si="79"/>
        <v>4476.4062753627368</v>
      </c>
      <c r="AY166" s="872">
        <f t="shared" si="79"/>
        <v>4578.1427816209807</v>
      </c>
      <c r="AZ166" s="1708">
        <f t="shared" si="79"/>
        <v>4679.8792878792237</v>
      </c>
      <c r="BA166" s="1710">
        <f t="shared" si="79"/>
        <v>4781.6157941374686</v>
      </c>
      <c r="BB166" s="1711">
        <f t="shared" si="79"/>
        <v>4883.3523003957125</v>
      </c>
      <c r="BC166" s="1711">
        <f t="shared" si="79"/>
        <v>4985.0888066539565</v>
      </c>
      <c r="BD166" s="1711">
        <f t="shared" si="79"/>
        <v>5086.8253129122004</v>
      </c>
      <c r="BE166" s="1711">
        <f t="shared" si="79"/>
        <v>5188.5618191704443</v>
      </c>
      <c r="BF166" s="1711">
        <f t="shared" si="79"/>
        <v>5290.2983254286883</v>
      </c>
      <c r="BG166" s="1708">
        <f t="shared" si="79"/>
        <v>5392.0348316869322</v>
      </c>
      <c r="BH166" s="1855"/>
      <c r="BI166" s="1855"/>
      <c r="BK166" s="571">
        <f t="shared" ref="BK166:DG166" si="80">K183/K166</f>
        <v>1.8950483960065929</v>
      </c>
      <c r="BL166" s="571">
        <f t="shared" si="80"/>
        <v>1.8950483960065927</v>
      </c>
      <c r="BM166" s="571">
        <f t="shared" si="80"/>
        <v>1.8950483960065927</v>
      </c>
      <c r="BN166" s="571">
        <f t="shared" si="80"/>
        <v>1.8950483960065927</v>
      </c>
      <c r="BO166" s="571">
        <f t="shared" si="80"/>
        <v>1.8950483960065927</v>
      </c>
      <c r="BP166" s="571">
        <f t="shared" si="80"/>
        <v>1.8950483960065929</v>
      </c>
      <c r="BQ166" s="571">
        <f t="shared" si="80"/>
        <v>1.8950483960065927</v>
      </c>
      <c r="BR166" s="571">
        <f t="shared" si="80"/>
        <v>1.8950483960065927</v>
      </c>
      <c r="BS166" s="571">
        <f t="shared" si="80"/>
        <v>1.8950483960065927</v>
      </c>
      <c r="BT166" s="571">
        <f t="shared" si="80"/>
        <v>1.8950483960065929</v>
      </c>
      <c r="BU166" s="571">
        <f t="shared" si="80"/>
        <v>1.8950483960065929</v>
      </c>
      <c r="BV166" s="571">
        <f t="shared" si="80"/>
        <v>1.8950483960065927</v>
      </c>
      <c r="BW166" s="571">
        <f t="shared" si="80"/>
        <v>1.8950483960065927</v>
      </c>
      <c r="BX166" s="571">
        <f t="shared" si="80"/>
        <v>1.8950483960065927</v>
      </c>
      <c r="BY166" s="571">
        <f t="shared" si="80"/>
        <v>1.8950483960065931</v>
      </c>
      <c r="BZ166" s="571">
        <f t="shared" si="80"/>
        <v>1.8950483960065927</v>
      </c>
      <c r="CA166" s="571">
        <f t="shared" si="80"/>
        <v>1.8950483960065923</v>
      </c>
      <c r="CB166" s="571">
        <f t="shared" si="80"/>
        <v>1.8950483960065925</v>
      </c>
      <c r="CC166" s="571">
        <f t="shared" si="80"/>
        <v>1.8950483960065927</v>
      </c>
      <c r="CD166" s="571">
        <f t="shared" si="80"/>
        <v>1.8950483960065927</v>
      </c>
      <c r="CE166" s="571">
        <f t="shared" si="80"/>
        <v>1.8950483960065925</v>
      </c>
      <c r="CF166" s="571">
        <f t="shared" si="80"/>
        <v>1.8950483960065929</v>
      </c>
      <c r="CG166" s="571">
        <f t="shared" si="80"/>
        <v>1.8950483960065925</v>
      </c>
      <c r="CH166" s="571">
        <f t="shared" si="80"/>
        <v>1.8950483960065929</v>
      </c>
      <c r="CI166" s="571">
        <f t="shared" si="80"/>
        <v>1.8950483960065929</v>
      </c>
      <c r="CJ166" s="571">
        <f t="shared" si="80"/>
        <v>1.8950483960065927</v>
      </c>
      <c r="CK166" s="571">
        <f t="shared" si="80"/>
        <v>1.8950483960065927</v>
      </c>
      <c r="CL166" s="571">
        <f t="shared" si="80"/>
        <v>1.8950483960065925</v>
      </c>
      <c r="CM166" s="571">
        <f t="shared" si="80"/>
        <v>1.8950483960065931</v>
      </c>
      <c r="CN166" s="571">
        <f t="shared" si="80"/>
        <v>1.8950483960065927</v>
      </c>
      <c r="CO166" s="571">
        <f t="shared" si="80"/>
        <v>1.8950483960065929</v>
      </c>
      <c r="CP166" s="571">
        <f t="shared" si="80"/>
        <v>1.8950483960065927</v>
      </c>
      <c r="CQ166" s="571">
        <f t="shared" si="80"/>
        <v>1.8950483960065925</v>
      </c>
      <c r="CR166" s="571">
        <f t="shared" si="80"/>
        <v>1.8950483960065931</v>
      </c>
      <c r="CS166" s="571">
        <f t="shared" si="80"/>
        <v>1.8950483960065927</v>
      </c>
      <c r="CT166" s="571">
        <f t="shared" si="80"/>
        <v>1.8950483960065927</v>
      </c>
      <c r="CU166" s="571">
        <f t="shared" si="80"/>
        <v>1.8950483960065925</v>
      </c>
      <c r="CV166" s="571">
        <f t="shared" si="80"/>
        <v>1.8950483960065923</v>
      </c>
      <c r="CW166" s="571">
        <f t="shared" si="80"/>
        <v>1.8950483960065927</v>
      </c>
      <c r="CX166" s="571">
        <f t="shared" si="80"/>
        <v>1.8950483960065925</v>
      </c>
      <c r="CY166" s="571">
        <f t="shared" si="80"/>
        <v>1.8950483960065927</v>
      </c>
      <c r="CZ166" s="571">
        <f t="shared" si="80"/>
        <v>1.8950483960065927</v>
      </c>
      <c r="DA166" s="571">
        <f t="shared" si="80"/>
        <v>1.8950483960065929</v>
      </c>
      <c r="DB166" s="571">
        <f t="shared" si="80"/>
        <v>1.8950483960065927</v>
      </c>
      <c r="DC166" s="571">
        <f t="shared" si="80"/>
        <v>1.8950483960065927</v>
      </c>
      <c r="DD166" s="571">
        <f t="shared" si="80"/>
        <v>1.8950483960065925</v>
      </c>
      <c r="DE166" s="571">
        <f t="shared" si="80"/>
        <v>1.8950483960065923</v>
      </c>
      <c r="DF166" s="571">
        <f t="shared" si="80"/>
        <v>1.8950483960065929</v>
      </c>
      <c r="DG166" s="571">
        <f t="shared" si="80"/>
        <v>1.8950483960065927</v>
      </c>
    </row>
    <row r="167" spans="1:118">
      <c r="A167" s="2773"/>
      <c r="B167" s="2753" t="s">
        <v>247</v>
      </c>
      <c r="C167" s="2754"/>
      <c r="D167" s="2897"/>
      <c r="E167" s="1705" t="s">
        <v>194</v>
      </c>
      <c r="F167" s="1705">
        <v>110</v>
      </c>
      <c r="G167" s="1705">
        <v>260</v>
      </c>
      <c r="H167" s="1705">
        <v>2</v>
      </c>
      <c r="I167" s="871"/>
      <c r="J167" s="1706"/>
      <c r="K167" s="1707">
        <f t="shared" ref="K167:AP167" si="81">((K$138-$I$4)/1000)*IF($C$14=0,$N$33,$N$50)*(($C$8/70)^$Y$50)*IF($C$14=0,1,IF($C$14&lt;=K$139,$AH$50,IF(AND($C$14&gt;=K$139,$C$14&lt;=K$140),((($AI$50-$AH$50)/(K$140-K$139))*$C$14+($AH$50-(($AI$50-$AH$50)/(K$140-K$139))*K$139)),IF($C$14&gt;=K$140,$AI$50,1))))</f>
        <v>671.94270000000006</v>
      </c>
      <c r="L167" s="872">
        <f t="shared" si="81"/>
        <v>806.33124000000009</v>
      </c>
      <c r="M167" s="872">
        <f t="shared" si="81"/>
        <v>940.71978000000001</v>
      </c>
      <c r="N167" s="872">
        <f t="shared" si="81"/>
        <v>1075.10832</v>
      </c>
      <c r="O167" s="872">
        <f t="shared" si="81"/>
        <v>1209.4968600000002</v>
      </c>
      <c r="P167" s="872">
        <f t="shared" si="81"/>
        <v>1343.8854000000001</v>
      </c>
      <c r="Q167" s="872">
        <f t="shared" si="81"/>
        <v>1478.2739400000003</v>
      </c>
      <c r="R167" s="872">
        <f t="shared" si="81"/>
        <v>1569.2476800000002</v>
      </c>
      <c r="S167" s="872">
        <f t="shared" si="81"/>
        <v>1700.0183200000001</v>
      </c>
      <c r="T167" s="872">
        <f t="shared" si="81"/>
        <v>1830.7889600000003</v>
      </c>
      <c r="U167" s="872">
        <f t="shared" si="81"/>
        <v>1941.8256000000001</v>
      </c>
      <c r="V167" s="1708">
        <f t="shared" si="81"/>
        <v>2071.2806399999999</v>
      </c>
      <c r="W167" s="1707">
        <f t="shared" si="81"/>
        <v>2200.7356799999998</v>
      </c>
      <c r="X167" s="872">
        <f t="shared" si="81"/>
        <v>2312.4301200000004</v>
      </c>
      <c r="Y167" s="872">
        <f t="shared" si="81"/>
        <v>2440.8984600000003</v>
      </c>
      <c r="Z167" s="872">
        <f t="shared" si="81"/>
        <v>2569.3668000000002</v>
      </c>
      <c r="AA167" s="872">
        <f t="shared" si="81"/>
        <v>2697.8351400000001</v>
      </c>
      <c r="AB167" s="872">
        <f t="shared" si="81"/>
        <v>2826.3034800000005</v>
      </c>
      <c r="AC167" s="872">
        <f t="shared" si="81"/>
        <v>2954.7718199999999</v>
      </c>
      <c r="AD167" s="872">
        <f t="shared" si="81"/>
        <v>3083.2401600000003</v>
      </c>
      <c r="AE167" s="872">
        <f t="shared" si="81"/>
        <v>3211.7085000000002</v>
      </c>
      <c r="AF167" s="1708">
        <f t="shared" si="81"/>
        <v>3340.1768400000001</v>
      </c>
      <c r="AG167" s="1709">
        <f t="shared" si="81"/>
        <v>3468.6451800000004</v>
      </c>
      <c r="AH167" s="872">
        <f t="shared" si="81"/>
        <v>3597.1135200000003</v>
      </c>
      <c r="AI167" s="872">
        <f t="shared" si="81"/>
        <v>3725.5818600000002</v>
      </c>
      <c r="AJ167" s="872">
        <f t="shared" si="81"/>
        <v>3854.0502000000001</v>
      </c>
      <c r="AK167" s="872">
        <f t="shared" si="81"/>
        <v>3982.51854</v>
      </c>
      <c r="AL167" s="872">
        <f t="shared" si="81"/>
        <v>4110.9868800000004</v>
      </c>
      <c r="AM167" s="872">
        <f t="shared" si="81"/>
        <v>4239.4552199999998</v>
      </c>
      <c r="AN167" s="872">
        <f t="shared" si="81"/>
        <v>4367.9235600000002</v>
      </c>
      <c r="AO167" s="872">
        <f t="shared" si="81"/>
        <v>4496.3919000000005</v>
      </c>
      <c r="AP167" s="1708">
        <f t="shared" si="81"/>
        <v>4624.8602400000009</v>
      </c>
      <c r="AQ167" s="1707">
        <f t="shared" ref="AQ167:BG167" si="82">((AQ$138-$I$4)/1000)*IF($C$14=0,$N$33,$N$50)*(($C$8/70)^$Y$50)*IF($C$14=0,1,IF($C$14&lt;=AQ$139,$AH$50,IF(AND($C$14&gt;=AQ$139,$C$14&lt;=AQ$140),((($AI$50-$AH$50)/(AQ$140-AQ$139))*$C$14+($AH$50-(($AI$50-$AH$50)/(AQ$140-AQ$139))*AQ$139)),IF($C$14&gt;=AQ$140,$AI$50,1))))</f>
        <v>4753.3285800000003</v>
      </c>
      <c r="AR167" s="872">
        <f t="shared" si="82"/>
        <v>4881.7969200000007</v>
      </c>
      <c r="AS167" s="872">
        <f t="shared" si="82"/>
        <v>5010.2652600000001</v>
      </c>
      <c r="AT167" s="872">
        <f t="shared" si="82"/>
        <v>5138.7336000000005</v>
      </c>
      <c r="AU167" s="872">
        <f t="shared" si="82"/>
        <v>5267.2019399999999</v>
      </c>
      <c r="AV167" s="872">
        <f t="shared" si="82"/>
        <v>5395.6702800000003</v>
      </c>
      <c r="AW167" s="872">
        <f t="shared" si="82"/>
        <v>5524.1386199999997</v>
      </c>
      <c r="AX167" s="872">
        <f t="shared" si="82"/>
        <v>5652.606960000001</v>
      </c>
      <c r="AY167" s="872">
        <f t="shared" si="82"/>
        <v>5781.0753000000004</v>
      </c>
      <c r="AZ167" s="1708">
        <f t="shared" si="82"/>
        <v>5909.5436399999999</v>
      </c>
      <c r="BA167" s="1710">
        <f t="shared" si="82"/>
        <v>6038.0119800000002</v>
      </c>
      <c r="BB167" s="1711">
        <f t="shared" si="82"/>
        <v>6166.4803200000006</v>
      </c>
      <c r="BC167" s="1711">
        <f t="shared" si="82"/>
        <v>6294.9486600000009</v>
      </c>
      <c r="BD167" s="1711">
        <f t="shared" si="82"/>
        <v>6423.4170000000004</v>
      </c>
      <c r="BE167" s="1711">
        <f t="shared" si="82"/>
        <v>6551.8853400000007</v>
      </c>
      <c r="BF167" s="1711">
        <f t="shared" si="82"/>
        <v>6680.3536800000002</v>
      </c>
      <c r="BG167" s="1708">
        <f t="shared" si="82"/>
        <v>6808.8220200000005</v>
      </c>
      <c r="BH167" s="1855"/>
      <c r="BI167" s="1855"/>
      <c r="BK167" s="571">
        <f t="shared" ref="BK167:DG167" si="83">K185/K168</f>
        <v>1.6943089887640457</v>
      </c>
      <c r="BL167" s="571">
        <f t="shared" si="83"/>
        <v>1.6943089887640457</v>
      </c>
      <c r="BM167" s="571">
        <f t="shared" si="83"/>
        <v>1.6943089887640455</v>
      </c>
      <c r="BN167" s="571">
        <f t="shared" si="83"/>
        <v>1.6943089887640455</v>
      </c>
      <c r="BO167" s="571">
        <f t="shared" si="83"/>
        <v>1.6943089887640455</v>
      </c>
      <c r="BP167" s="571">
        <f t="shared" si="83"/>
        <v>1.6943089887640457</v>
      </c>
      <c r="BQ167" s="571">
        <f t="shared" si="83"/>
        <v>1.6943089887640452</v>
      </c>
      <c r="BR167" s="571">
        <f t="shared" si="83"/>
        <v>1.6943089887640459</v>
      </c>
      <c r="BS167" s="571">
        <f t="shared" si="83"/>
        <v>1.6943089887640457</v>
      </c>
      <c r="BT167" s="571">
        <f t="shared" si="83"/>
        <v>1.6943089887640455</v>
      </c>
      <c r="BU167" s="571">
        <f t="shared" si="83"/>
        <v>1.6943089887640455</v>
      </c>
      <c r="BV167" s="571">
        <f t="shared" si="83"/>
        <v>1.6943089887640452</v>
      </c>
      <c r="BW167" s="571">
        <f t="shared" si="83"/>
        <v>1.6943089887640457</v>
      </c>
      <c r="BX167" s="571">
        <f t="shared" si="83"/>
        <v>1.6943089887640455</v>
      </c>
      <c r="BY167" s="571">
        <f t="shared" si="83"/>
        <v>1.6943089887640455</v>
      </c>
      <c r="BZ167" s="571">
        <f t="shared" si="83"/>
        <v>1.6943089887640452</v>
      </c>
      <c r="CA167" s="571">
        <f t="shared" si="83"/>
        <v>1.6943089887640457</v>
      </c>
      <c r="CB167" s="571">
        <f t="shared" si="83"/>
        <v>1.6943089887640452</v>
      </c>
      <c r="CC167" s="571">
        <f t="shared" si="83"/>
        <v>1.6943089887640457</v>
      </c>
      <c r="CD167" s="571">
        <f t="shared" si="83"/>
        <v>1.6943089887640457</v>
      </c>
      <c r="CE167" s="571">
        <f t="shared" si="83"/>
        <v>1.6943089887640455</v>
      </c>
      <c r="CF167" s="571">
        <f t="shared" si="83"/>
        <v>1.6943089887640457</v>
      </c>
      <c r="CG167" s="571">
        <f t="shared" si="83"/>
        <v>1.6943089887640455</v>
      </c>
      <c r="CH167" s="571">
        <f t="shared" si="83"/>
        <v>1.6943089887640455</v>
      </c>
      <c r="CI167" s="571">
        <f t="shared" si="83"/>
        <v>1.6943089887640457</v>
      </c>
      <c r="CJ167" s="571">
        <f t="shared" si="83"/>
        <v>1.6943089887640457</v>
      </c>
      <c r="CK167" s="571">
        <f t="shared" si="83"/>
        <v>1.6943089887640455</v>
      </c>
      <c r="CL167" s="571">
        <f t="shared" si="83"/>
        <v>1.6943089887640455</v>
      </c>
      <c r="CM167" s="571">
        <f t="shared" si="83"/>
        <v>1.6943089887640457</v>
      </c>
      <c r="CN167" s="571">
        <f t="shared" si="83"/>
        <v>1.6943089887640455</v>
      </c>
      <c r="CO167" s="571">
        <f t="shared" si="83"/>
        <v>1.6943089887640455</v>
      </c>
      <c r="CP167" s="571">
        <f t="shared" si="83"/>
        <v>1.6943089887640455</v>
      </c>
      <c r="CQ167" s="571">
        <f t="shared" si="83"/>
        <v>1.6943089887640455</v>
      </c>
      <c r="CR167" s="571">
        <f t="shared" si="83"/>
        <v>1.6943089887640455</v>
      </c>
      <c r="CS167" s="571">
        <f t="shared" si="83"/>
        <v>1.6943089887640457</v>
      </c>
      <c r="CT167" s="571">
        <f t="shared" si="83"/>
        <v>1.6943089887640452</v>
      </c>
      <c r="CU167" s="571">
        <f t="shared" si="83"/>
        <v>1.6943089887640452</v>
      </c>
      <c r="CV167" s="571">
        <f t="shared" si="83"/>
        <v>1.6943089887640457</v>
      </c>
      <c r="CW167" s="571">
        <f t="shared" si="83"/>
        <v>1.6943089887640455</v>
      </c>
      <c r="CX167" s="571">
        <f t="shared" si="83"/>
        <v>1.6943089887640452</v>
      </c>
      <c r="CY167" s="571">
        <f t="shared" si="83"/>
        <v>1.6943089887640457</v>
      </c>
      <c r="CZ167" s="571">
        <f t="shared" si="83"/>
        <v>1.6943089887640457</v>
      </c>
      <c r="DA167" s="571">
        <f t="shared" si="83"/>
        <v>1.6943089887640452</v>
      </c>
      <c r="DB167" s="571">
        <f t="shared" si="83"/>
        <v>1.6943089887640457</v>
      </c>
      <c r="DC167" s="571">
        <f t="shared" si="83"/>
        <v>1.6943089887640455</v>
      </c>
      <c r="DD167" s="571">
        <f t="shared" si="83"/>
        <v>1.6943089887640455</v>
      </c>
      <c r="DE167" s="571">
        <f t="shared" si="83"/>
        <v>1.6943089887640455</v>
      </c>
      <c r="DF167" s="571">
        <f t="shared" si="83"/>
        <v>1.6943089887640457</v>
      </c>
      <c r="DG167" s="571">
        <f t="shared" si="83"/>
        <v>1.6943089887640455</v>
      </c>
      <c r="DJ167" s="646"/>
      <c r="DK167" s="646"/>
      <c r="DL167" s="646"/>
      <c r="DM167" s="646"/>
      <c r="DN167" s="646"/>
    </row>
    <row r="168" spans="1:118">
      <c r="A168" s="2773"/>
      <c r="B168" s="2753" t="s">
        <v>248</v>
      </c>
      <c r="C168" s="2754"/>
      <c r="D168" s="2897"/>
      <c r="E168" s="1705" t="s">
        <v>194</v>
      </c>
      <c r="F168" s="1705">
        <v>110</v>
      </c>
      <c r="G168" s="1705">
        <v>300</v>
      </c>
      <c r="H168" s="1705">
        <v>2</v>
      </c>
      <c r="I168" s="871"/>
      <c r="J168" s="1706"/>
      <c r="K168" s="1707">
        <f t="shared" ref="K168:AP168" si="84">((K$138-$I$4)/1000)*IF($C$14=0,$O$33,$O$50)*(($C$8/70)^$Z$50)*IF($C$14=0,1,IF($C$14&lt;=K$139,$AH$50,IF(AND($C$14&gt;=K$139,$C$14&lt;=K$140),((($AI$50-$AH$50)/(K$140-K$139))*$C$14+($AH$50-(($AI$50-$AH$50)/(K$140-K$139))*K$139)),IF($C$14&gt;=K$140,$AI$50,1))))</f>
        <v>742.89317142857135</v>
      </c>
      <c r="L168" s="872">
        <f t="shared" si="84"/>
        <v>891.47180571428567</v>
      </c>
      <c r="M168" s="872">
        <f t="shared" si="84"/>
        <v>1040.05044</v>
      </c>
      <c r="N168" s="872">
        <f t="shared" si="84"/>
        <v>1188.6290742857143</v>
      </c>
      <c r="O168" s="872">
        <f t="shared" si="84"/>
        <v>1337.2077085714286</v>
      </c>
      <c r="P168" s="872">
        <f t="shared" si="84"/>
        <v>1485.7863428571427</v>
      </c>
      <c r="Q168" s="872">
        <f t="shared" si="84"/>
        <v>1634.3649771428572</v>
      </c>
      <c r="R168" s="872">
        <f t="shared" si="84"/>
        <v>1734.9446399999999</v>
      </c>
      <c r="S168" s="872">
        <f t="shared" si="84"/>
        <v>1879.5233600000001</v>
      </c>
      <c r="T168" s="872">
        <f t="shared" si="84"/>
        <v>2024.1020799999999</v>
      </c>
      <c r="U168" s="872">
        <f t="shared" si="84"/>
        <v>2146.8630857142857</v>
      </c>
      <c r="V168" s="1708">
        <f t="shared" si="84"/>
        <v>2289.9872914285716</v>
      </c>
      <c r="W168" s="1707">
        <f t="shared" si="84"/>
        <v>2433.1114971428569</v>
      </c>
      <c r="X168" s="872">
        <f t="shared" si="84"/>
        <v>2556.5997600000001</v>
      </c>
      <c r="Y168" s="872">
        <f t="shared" si="84"/>
        <v>2698.6330800000001</v>
      </c>
      <c r="Z168" s="872">
        <f t="shared" si="84"/>
        <v>2840.6664000000001</v>
      </c>
      <c r="AA168" s="872">
        <f t="shared" si="84"/>
        <v>2982.6997200000001</v>
      </c>
      <c r="AB168" s="872">
        <f t="shared" si="84"/>
        <v>3124.7330400000005</v>
      </c>
      <c r="AC168" s="872">
        <f t="shared" si="84"/>
        <v>3266.7663599999996</v>
      </c>
      <c r="AD168" s="872">
        <f t="shared" si="84"/>
        <v>3408.7996799999996</v>
      </c>
      <c r="AE168" s="872">
        <f t="shared" si="84"/>
        <v>3550.8330000000001</v>
      </c>
      <c r="AF168" s="1708">
        <f t="shared" si="84"/>
        <v>3692.8663200000001</v>
      </c>
      <c r="AG168" s="1709">
        <f t="shared" si="84"/>
        <v>3834.8996400000001</v>
      </c>
      <c r="AH168" s="872">
        <f t="shared" si="84"/>
        <v>3976.9329599999996</v>
      </c>
      <c r="AI168" s="872">
        <f t="shared" si="84"/>
        <v>4118.9662799999996</v>
      </c>
      <c r="AJ168" s="872">
        <f t="shared" si="84"/>
        <v>4260.9996000000001</v>
      </c>
      <c r="AK168" s="872">
        <f t="shared" si="84"/>
        <v>4403.0329200000006</v>
      </c>
      <c r="AL168" s="872">
        <f t="shared" si="84"/>
        <v>4545.0662400000001</v>
      </c>
      <c r="AM168" s="872">
        <f t="shared" si="84"/>
        <v>4687.0995599999997</v>
      </c>
      <c r="AN168" s="872">
        <f t="shared" si="84"/>
        <v>4829.1328800000001</v>
      </c>
      <c r="AO168" s="872">
        <f t="shared" si="84"/>
        <v>4971.1661999999997</v>
      </c>
      <c r="AP168" s="1708">
        <f t="shared" si="84"/>
        <v>5113.1995200000001</v>
      </c>
      <c r="AQ168" s="1707">
        <f t="shared" ref="AQ168:BG168" si="85">((AQ$138-$I$4)/1000)*IF($C$14=0,$O$33,$O$50)*(($C$8/70)^$Z$50)*IF($C$14=0,1,IF($C$14&lt;=AQ$139,$AH$50,IF(AND($C$14&gt;=AQ$139,$C$14&lt;=AQ$140),((($AI$50-$AH$50)/(AQ$140-AQ$139))*$C$14+($AH$50-(($AI$50-$AH$50)/(AQ$140-AQ$139))*AQ$139)),IF($C$14&gt;=AQ$140,$AI$50,1))))</f>
        <v>5255.2328400000006</v>
      </c>
      <c r="AR168" s="872">
        <f t="shared" si="85"/>
        <v>5397.2661600000001</v>
      </c>
      <c r="AS168" s="872">
        <f t="shared" si="85"/>
        <v>5539.2994799999997</v>
      </c>
      <c r="AT168" s="872">
        <f t="shared" si="85"/>
        <v>5681.3328000000001</v>
      </c>
      <c r="AU168" s="872">
        <f t="shared" si="85"/>
        <v>5823.3661199999997</v>
      </c>
      <c r="AV168" s="872">
        <f t="shared" si="85"/>
        <v>5965.3994400000001</v>
      </c>
      <c r="AW168" s="872">
        <f t="shared" si="85"/>
        <v>6107.4327599999997</v>
      </c>
      <c r="AX168" s="872">
        <f t="shared" si="85"/>
        <v>6249.4660800000011</v>
      </c>
      <c r="AY168" s="872">
        <f t="shared" si="85"/>
        <v>6391.4993999999997</v>
      </c>
      <c r="AZ168" s="1708">
        <f t="shared" si="85"/>
        <v>6533.5327199999992</v>
      </c>
      <c r="BA168" s="1710">
        <f t="shared" si="85"/>
        <v>6675.5660400000006</v>
      </c>
      <c r="BB168" s="1711">
        <f t="shared" si="85"/>
        <v>6817.5993599999993</v>
      </c>
      <c r="BC168" s="1711">
        <f t="shared" si="85"/>
        <v>6959.6326800000006</v>
      </c>
      <c r="BD168" s="1711">
        <f t="shared" si="85"/>
        <v>7101.6660000000002</v>
      </c>
      <c r="BE168" s="1711">
        <f t="shared" si="85"/>
        <v>7243.6993199999997</v>
      </c>
      <c r="BF168" s="1711">
        <f t="shared" si="85"/>
        <v>7385.7326400000002</v>
      </c>
      <c r="BG168" s="1708">
        <f t="shared" si="85"/>
        <v>7527.7659600000006</v>
      </c>
      <c r="BH168" s="1855"/>
      <c r="BI168" s="1855"/>
      <c r="BK168" s="571">
        <f t="shared" ref="BK168:DG168" si="86">K188/K170</f>
        <v>1.3449484159978091</v>
      </c>
      <c r="BL168" s="571">
        <f t="shared" si="86"/>
        <v>1.3449484159978096</v>
      </c>
      <c r="BM168" s="571">
        <f t="shared" si="86"/>
        <v>1.3449484159978096</v>
      </c>
      <c r="BN168" s="571">
        <f t="shared" si="86"/>
        <v>1.3449484159978093</v>
      </c>
      <c r="BO168" s="571">
        <f t="shared" si="86"/>
        <v>1.3449484159978093</v>
      </c>
      <c r="BP168" s="571">
        <f t="shared" si="86"/>
        <v>1.3449484159978091</v>
      </c>
      <c r="BQ168" s="571">
        <f t="shared" si="86"/>
        <v>1.3449484159978091</v>
      </c>
      <c r="BR168" s="571">
        <f t="shared" si="86"/>
        <v>1.3449484159978096</v>
      </c>
      <c r="BS168" s="571">
        <f t="shared" si="86"/>
        <v>1.3449484159978093</v>
      </c>
      <c r="BT168" s="571">
        <f t="shared" si="86"/>
        <v>1.3449484159978093</v>
      </c>
      <c r="BU168" s="571">
        <f t="shared" si="86"/>
        <v>1.3449484159978093</v>
      </c>
      <c r="BV168" s="571">
        <f t="shared" si="86"/>
        <v>1.3449484159978093</v>
      </c>
      <c r="BW168" s="571">
        <f t="shared" si="86"/>
        <v>1.3449484159978091</v>
      </c>
      <c r="BX168" s="571">
        <f t="shared" si="86"/>
        <v>1.3449484159978096</v>
      </c>
      <c r="BY168" s="571">
        <f t="shared" si="86"/>
        <v>1.3449484159978093</v>
      </c>
      <c r="BZ168" s="571">
        <f t="shared" si="86"/>
        <v>1.3449484159978093</v>
      </c>
      <c r="CA168" s="571">
        <f t="shared" si="86"/>
        <v>1.3449484159978096</v>
      </c>
      <c r="CB168" s="571">
        <f t="shared" si="86"/>
        <v>1.3449484159978093</v>
      </c>
      <c r="CC168" s="571">
        <f t="shared" si="86"/>
        <v>1.3449484159978093</v>
      </c>
      <c r="CD168" s="571">
        <f t="shared" si="86"/>
        <v>1.3449484159978093</v>
      </c>
      <c r="CE168" s="571">
        <f t="shared" si="86"/>
        <v>1.3449484159978096</v>
      </c>
      <c r="CF168" s="571">
        <f t="shared" si="86"/>
        <v>1.3449484159978093</v>
      </c>
      <c r="CG168" s="571">
        <f t="shared" si="86"/>
        <v>1.3449484159978096</v>
      </c>
      <c r="CH168" s="571">
        <f t="shared" si="86"/>
        <v>1.3449484159978093</v>
      </c>
      <c r="CI168" s="571">
        <f t="shared" si="86"/>
        <v>1.3449484159978093</v>
      </c>
      <c r="CJ168" s="571">
        <f t="shared" si="86"/>
        <v>1.3449484159978093</v>
      </c>
      <c r="CK168" s="571">
        <f t="shared" si="86"/>
        <v>1.3449484159978093</v>
      </c>
      <c r="CL168" s="571">
        <f t="shared" si="86"/>
        <v>1.3449484159978093</v>
      </c>
      <c r="CM168" s="571">
        <f t="shared" si="86"/>
        <v>1.3449484159978093</v>
      </c>
      <c r="CN168" s="571">
        <f t="shared" si="86"/>
        <v>1.3449484159978093</v>
      </c>
      <c r="CO168" s="571">
        <f t="shared" si="86"/>
        <v>1.3449484159978091</v>
      </c>
      <c r="CP168" s="571">
        <f t="shared" si="86"/>
        <v>1.3449484159978096</v>
      </c>
      <c r="CQ168" s="571">
        <f t="shared" si="86"/>
        <v>1.3449484159978096</v>
      </c>
      <c r="CR168" s="571">
        <f t="shared" si="86"/>
        <v>1.3449484159978093</v>
      </c>
      <c r="CS168" s="571">
        <f t="shared" si="86"/>
        <v>1.3449484159978093</v>
      </c>
      <c r="CT168" s="571">
        <f t="shared" si="86"/>
        <v>1.3449484159978093</v>
      </c>
      <c r="CU168" s="571">
        <f t="shared" si="86"/>
        <v>1.3449484159978093</v>
      </c>
      <c r="CV168" s="571">
        <f t="shared" si="86"/>
        <v>1.3449484159978096</v>
      </c>
      <c r="CW168" s="571">
        <f t="shared" si="86"/>
        <v>1.3449484159978093</v>
      </c>
      <c r="CX168" s="571">
        <f t="shared" si="86"/>
        <v>1.3449484159978093</v>
      </c>
      <c r="CY168" s="571">
        <f t="shared" si="86"/>
        <v>1.3449484159978093</v>
      </c>
      <c r="CZ168" s="571">
        <f t="shared" si="86"/>
        <v>1.3449484159978093</v>
      </c>
      <c r="DA168" s="571">
        <f t="shared" si="86"/>
        <v>1.3449484159978093</v>
      </c>
      <c r="DB168" s="571">
        <f t="shared" si="86"/>
        <v>1.3449484159978093</v>
      </c>
      <c r="DC168" s="571">
        <f t="shared" si="86"/>
        <v>1.3449484159978093</v>
      </c>
      <c r="DD168" s="571">
        <f t="shared" si="86"/>
        <v>1.3449484159978096</v>
      </c>
      <c r="DE168" s="571">
        <f t="shared" si="86"/>
        <v>1.3449484159978093</v>
      </c>
      <c r="DF168" s="571">
        <f t="shared" si="86"/>
        <v>1.3449484159978093</v>
      </c>
      <c r="DG168" s="571">
        <f t="shared" si="86"/>
        <v>1.3449484159978096</v>
      </c>
    </row>
    <row r="169" spans="1:118">
      <c r="A169" s="2773"/>
      <c r="B169" s="2753" t="s">
        <v>249</v>
      </c>
      <c r="C169" s="2754"/>
      <c r="D169" s="2897"/>
      <c r="E169" s="1705" t="s">
        <v>194</v>
      </c>
      <c r="F169" s="1705">
        <v>110</v>
      </c>
      <c r="G169" s="1705">
        <v>300</v>
      </c>
      <c r="H169" s="1705">
        <v>4</v>
      </c>
      <c r="I169" s="871"/>
      <c r="J169" s="1706"/>
      <c r="K169" s="1707">
        <f t="shared" ref="K169:AP169" si="87">((K$138-$I$4)/1000)*IF($C$14=0,$P$33,$P$50)*(($C$8/70)^$AA$50)*IF($C$14=0,1,IF($C$14&lt;=K$139,$AH$50,IF(AND($C$14&gt;=K$139,$C$14&lt;=K$140),((($AI$50-$AH$50)/(K$140-K$139))*$C$14+($AH$50-(($AI$50-$AH$50)/(K$140-K$139))*K$139)),IF($C$14&gt;=K$140,$AI$50,1))))</f>
        <v>943.47432771428578</v>
      </c>
      <c r="L169" s="872">
        <f t="shared" si="87"/>
        <v>1132.1691932571428</v>
      </c>
      <c r="M169" s="872">
        <f t="shared" si="87"/>
        <v>1320.8640587999998</v>
      </c>
      <c r="N169" s="872">
        <f t="shared" si="87"/>
        <v>1509.5589243428574</v>
      </c>
      <c r="O169" s="872">
        <f t="shared" si="87"/>
        <v>1698.2537898857145</v>
      </c>
      <c r="P169" s="872">
        <f t="shared" si="87"/>
        <v>1886.9486554285716</v>
      </c>
      <c r="Q169" s="872">
        <f t="shared" si="87"/>
        <v>2075.6435209714286</v>
      </c>
      <c r="R169" s="872">
        <f t="shared" si="87"/>
        <v>2203.3796928000002</v>
      </c>
      <c r="S169" s="872">
        <f t="shared" si="87"/>
        <v>2386.9946672000005</v>
      </c>
      <c r="T169" s="872">
        <f t="shared" si="87"/>
        <v>2570.6096416</v>
      </c>
      <c r="U169" s="872">
        <f t="shared" si="87"/>
        <v>2726.5161188571433</v>
      </c>
      <c r="V169" s="1708">
        <f t="shared" si="87"/>
        <v>2908.2838601142862</v>
      </c>
      <c r="W169" s="1707">
        <f t="shared" si="87"/>
        <v>3090.0516013714287</v>
      </c>
      <c r="X169" s="872">
        <f t="shared" si="87"/>
        <v>3246.8816952000006</v>
      </c>
      <c r="Y169" s="872">
        <f t="shared" si="87"/>
        <v>3427.2640116000002</v>
      </c>
      <c r="Z169" s="872">
        <f t="shared" si="87"/>
        <v>3607.6463280000003</v>
      </c>
      <c r="AA169" s="872">
        <f t="shared" si="87"/>
        <v>3788.0286444000003</v>
      </c>
      <c r="AB169" s="872">
        <f t="shared" si="87"/>
        <v>3968.4109608000008</v>
      </c>
      <c r="AC169" s="872">
        <f t="shared" si="87"/>
        <v>4148.7932772000004</v>
      </c>
      <c r="AD169" s="872">
        <f t="shared" si="87"/>
        <v>4329.1755936</v>
      </c>
      <c r="AE169" s="872">
        <f t="shared" si="87"/>
        <v>4509.5579100000004</v>
      </c>
      <c r="AF169" s="1708">
        <f t="shared" si="87"/>
        <v>4689.9402264</v>
      </c>
      <c r="AG169" s="1709">
        <f t="shared" si="87"/>
        <v>4870.3225428000005</v>
      </c>
      <c r="AH169" s="872">
        <f t="shared" si="87"/>
        <v>5050.7048592000001</v>
      </c>
      <c r="AI169" s="872">
        <f t="shared" si="87"/>
        <v>5231.0871755999997</v>
      </c>
      <c r="AJ169" s="872">
        <f t="shared" si="87"/>
        <v>5411.4694920000011</v>
      </c>
      <c r="AK169" s="872">
        <f t="shared" si="87"/>
        <v>5591.8518084000007</v>
      </c>
      <c r="AL169" s="872">
        <f t="shared" si="87"/>
        <v>5772.2341248000012</v>
      </c>
      <c r="AM169" s="872">
        <f t="shared" si="87"/>
        <v>5952.6164412000007</v>
      </c>
      <c r="AN169" s="872">
        <f t="shared" si="87"/>
        <v>6132.9987576000003</v>
      </c>
      <c r="AO169" s="872">
        <f t="shared" si="87"/>
        <v>6313.3810740000008</v>
      </c>
      <c r="AP169" s="1708">
        <f t="shared" si="87"/>
        <v>6493.7633904000013</v>
      </c>
      <c r="AQ169" s="1707">
        <f t="shared" ref="AQ169:BG169" si="88">((AQ$138-$I$4)/1000)*IF($C$14=0,$P$33,$P$50)*(($C$8/70)^$AA$50)*IF($C$14=0,1,IF($C$14&lt;=AQ$139,$AH$50,IF(AND($C$14&gt;=AQ$139,$C$14&lt;=AQ$140),((($AI$50-$AH$50)/(AQ$140-AQ$139))*$C$14+($AH$50-(($AI$50-$AH$50)/(AQ$140-AQ$139))*AQ$139)),IF($C$14&gt;=AQ$140,$AI$50,1))))</f>
        <v>6674.1457068000009</v>
      </c>
      <c r="AR169" s="872">
        <f t="shared" si="88"/>
        <v>6854.5280232000005</v>
      </c>
      <c r="AS169" s="872">
        <f t="shared" si="88"/>
        <v>7034.910339600001</v>
      </c>
      <c r="AT169" s="872">
        <f t="shared" si="88"/>
        <v>7215.2926560000005</v>
      </c>
      <c r="AU169" s="872">
        <f t="shared" si="88"/>
        <v>7395.674972400001</v>
      </c>
      <c r="AV169" s="872">
        <f t="shared" si="88"/>
        <v>7576.0572888000006</v>
      </c>
      <c r="AW169" s="872">
        <f t="shared" si="88"/>
        <v>7756.4396052000011</v>
      </c>
      <c r="AX169" s="872">
        <f t="shared" si="88"/>
        <v>7936.8219216000016</v>
      </c>
      <c r="AY169" s="872">
        <f t="shared" si="88"/>
        <v>8117.2042380000012</v>
      </c>
      <c r="AZ169" s="1708">
        <f t="shared" si="88"/>
        <v>8297.5865544000008</v>
      </c>
      <c r="BA169" s="1710">
        <f t="shared" si="88"/>
        <v>8477.9688708000012</v>
      </c>
      <c r="BB169" s="1711">
        <f t="shared" si="88"/>
        <v>8658.3511871999999</v>
      </c>
      <c r="BC169" s="1711">
        <f t="shared" si="88"/>
        <v>8838.7335036000022</v>
      </c>
      <c r="BD169" s="1711">
        <f t="shared" si="88"/>
        <v>9019.1158200000009</v>
      </c>
      <c r="BE169" s="1711">
        <f t="shared" si="88"/>
        <v>9199.4981364000014</v>
      </c>
      <c r="BF169" s="1711">
        <f t="shared" si="88"/>
        <v>9379.8804528000001</v>
      </c>
      <c r="BG169" s="1708">
        <f t="shared" si="88"/>
        <v>9560.2627692000005</v>
      </c>
      <c r="BH169" s="1709">
        <f t="shared" ref="BH169:CM169" si="89">((BH$138-$I$4)/1000)*IF($C$13=0,$P$33,$P$50)*(($C$8/70)^$AA$50)*IF($C$14&lt;=BH$139,$AH$50,IF(AND($C$14&gt;=BH$139,$C$14&lt;=BH$140),((($AI$50-$AH$50)/(BH$140-BH$139))*$C$14+($AH$50-(($AI$50-$AH$50)/(BH$140-BH$139))*BH$139)),IF($C$14&gt;=BH$140,$AI$50,1)))</f>
        <v>-1262.6762148</v>
      </c>
      <c r="BI169" s="872">
        <f t="shared" si="89"/>
        <v>-1262.6762148</v>
      </c>
      <c r="BJ169" s="872">
        <f t="shared" si="89"/>
        <v>-1262.6762148</v>
      </c>
      <c r="BK169" s="872">
        <f t="shared" si="89"/>
        <v>541.14694919999999</v>
      </c>
      <c r="BL169" s="872">
        <f t="shared" si="89"/>
        <v>721.52926560000014</v>
      </c>
      <c r="BM169" s="872">
        <f t="shared" si="89"/>
        <v>901.91158200000007</v>
      </c>
      <c r="BN169" s="872">
        <f t="shared" si="89"/>
        <v>1256.8574303999999</v>
      </c>
      <c r="BO169" s="872">
        <f t="shared" si="89"/>
        <v>1466.3336687999999</v>
      </c>
      <c r="BP169" s="872">
        <f t="shared" si="89"/>
        <v>1675.8099072000002</v>
      </c>
      <c r="BQ169" s="872">
        <f t="shared" si="89"/>
        <v>1885.2861456000003</v>
      </c>
      <c r="BR169" s="872">
        <f t="shared" si="89"/>
        <v>2094.7623840000001</v>
      </c>
      <c r="BS169" s="872">
        <f t="shared" si="89"/>
        <v>2304.2386224000002</v>
      </c>
      <c r="BT169" s="872">
        <f t="shared" si="89"/>
        <v>2513.7148607999998</v>
      </c>
      <c r="BU169" s="872">
        <f t="shared" si="89"/>
        <v>2723.1910992000003</v>
      </c>
      <c r="BV169" s="872">
        <f t="shared" si="89"/>
        <v>2932.6673375999999</v>
      </c>
      <c r="BW169" s="872">
        <f t="shared" si="89"/>
        <v>3142.1435760000004</v>
      </c>
      <c r="BX169" s="872">
        <f t="shared" si="89"/>
        <v>3351.6198144000005</v>
      </c>
      <c r="BY169" s="872">
        <f t="shared" si="89"/>
        <v>3561.0960528000001</v>
      </c>
      <c r="BZ169" s="872">
        <f t="shared" si="89"/>
        <v>3770.5722912000006</v>
      </c>
      <c r="CA169" s="872">
        <f t="shared" si="89"/>
        <v>3980.0485296000002</v>
      </c>
      <c r="CB169" s="872">
        <f t="shared" si="89"/>
        <v>4189.5247680000002</v>
      </c>
      <c r="CC169" s="872">
        <f t="shared" si="89"/>
        <v>4399.0010064000007</v>
      </c>
      <c r="CD169" s="872">
        <f t="shared" si="89"/>
        <v>4608.4772448000003</v>
      </c>
      <c r="CE169" s="872">
        <f t="shared" si="89"/>
        <v>4817.9534831999999</v>
      </c>
      <c r="CF169" s="872">
        <f t="shared" si="89"/>
        <v>5027.4297215999995</v>
      </c>
      <c r="CG169" s="872">
        <f t="shared" si="89"/>
        <v>5236.9059600000001</v>
      </c>
      <c r="CH169" s="872">
        <f t="shared" si="89"/>
        <v>5446.3821984000006</v>
      </c>
      <c r="CI169" s="872">
        <f t="shared" si="89"/>
        <v>5655.8584368000002</v>
      </c>
      <c r="CJ169" s="872">
        <f t="shared" si="89"/>
        <v>5865.3346751999998</v>
      </c>
      <c r="CK169" s="872">
        <f t="shared" si="89"/>
        <v>6074.8109135999994</v>
      </c>
      <c r="CL169" s="872">
        <f t="shared" si="89"/>
        <v>6284.2871520000008</v>
      </c>
      <c r="CM169" s="872">
        <f t="shared" si="89"/>
        <v>6493.7633904000013</v>
      </c>
      <c r="CN169" s="872">
        <f t="shared" ref="CN169:DG169" si="90">((CN$138-$I$4)/1000)*IF($C$13=0,$P$33,$P$50)*(($C$8/70)^$AA$50)*IF($C$14&lt;=CN$139,$AH$50,IF(AND($C$14&gt;=CN$139,$C$14&lt;=CN$140),((($AI$50-$AH$50)/(CN$140-CN$139))*$C$14+($AH$50-(($AI$50-$AH$50)/(CN$140-CN$139))*CN$139)),IF($C$14&gt;=CN$140,$AI$50,1)))</f>
        <v>6703.2396288000009</v>
      </c>
      <c r="CO169" s="872">
        <f t="shared" si="90"/>
        <v>6912.7158672000005</v>
      </c>
      <c r="CP169" s="872">
        <f t="shared" si="90"/>
        <v>7122.1921056000001</v>
      </c>
      <c r="CQ169" s="872">
        <f t="shared" si="90"/>
        <v>7331.6683440000006</v>
      </c>
      <c r="CR169" s="872">
        <f t="shared" si="90"/>
        <v>7541.1445824000011</v>
      </c>
      <c r="CS169" s="872">
        <f t="shared" si="90"/>
        <v>7750.6208208000007</v>
      </c>
      <c r="CT169" s="872">
        <f t="shared" si="90"/>
        <v>7960.0970592000003</v>
      </c>
      <c r="CU169" s="872">
        <f t="shared" si="90"/>
        <v>8169.5732975999999</v>
      </c>
      <c r="CV169" s="872">
        <f t="shared" si="90"/>
        <v>8379.0495360000004</v>
      </c>
      <c r="CW169" s="872">
        <f t="shared" si="90"/>
        <v>8588.525774400001</v>
      </c>
      <c r="CX169" s="872">
        <f t="shared" si="90"/>
        <v>8798.0020128000015</v>
      </c>
      <c r="CY169" s="872">
        <f t="shared" si="90"/>
        <v>9007.4782512000002</v>
      </c>
      <c r="CZ169" s="872">
        <f t="shared" si="90"/>
        <v>9216.9544896000007</v>
      </c>
      <c r="DA169" s="872">
        <f t="shared" si="90"/>
        <v>9426.4307280000012</v>
      </c>
      <c r="DB169" s="872">
        <f t="shared" si="90"/>
        <v>9635.9069663999999</v>
      </c>
      <c r="DC169" s="872">
        <f t="shared" si="90"/>
        <v>9845.3832048000022</v>
      </c>
      <c r="DD169" s="872">
        <f t="shared" si="90"/>
        <v>10054.859443199999</v>
      </c>
      <c r="DE169" s="872">
        <f t="shared" si="90"/>
        <v>10264.335681600001</v>
      </c>
      <c r="DF169" s="872">
        <f t="shared" si="90"/>
        <v>10473.81192</v>
      </c>
      <c r="DG169" s="872">
        <f t="shared" si="90"/>
        <v>10683.288158400001</v>
      </c>
    </row>
    <row r="170" spans="1:118">
      <c r="A170" s="2773"/>
      <c r="B170" s="2753" t="s">
        <v>250</v>
      </c>
      <c r="C170" s="2754"/>
      <c r="D170" s="2897"/>
      <c r="E170" s="1705" t="s">
        <v>194</v>
      </c>
      <c r="F170" s="1705">
        <v>110</v>
      </c>
      <c r="G170" s="1705">
        <v>360</v>
      </c>
      <c r="H170" s="1705">
        <v>4</v>
      </c>
      <c r="I170" s="871"/>
      <c r="J170" s="1706"/>
      <c r="K170" s="1707">
        <f t="shared" ref="K170:AP170" si="91">((K$138-$I$4)/1000)*IF($C$14=0,$R$33,$R$50)*(($C$8/70)^$AC$50)*IF($C$14=0,1,IF($C$14&lt;=K$139,$AH$50,IF(AND($C$14&gt;=K$139,$C$14&lt;=K$140),((($AI$50-$AH$50)/(K$140-K$139))*$C$14+($AH$50-(($AI$50-$AH$50)/(K$140-K$139))*K$139)),IF($C$14&gt;=K$140,$AI$50,1))))</f>
        <v>995.07210925258062</v>
      </c>
      <c r="L170" s="872">
        <f t="shared" si="91"/>
        <v>1194.0865311030966</v>
      </c>
      <c r="M170" s="872">
        <f t="shared" si="91"/>
        <v>1393.1009529536127</v>
      </c>
      <c r="N170" s="872">
        <f t="shared" si="91"/>
        <v>1592.115374804129</v>
      </c>
      <c r="O170" s="872">
        <f t="shared" si="91"/>
        <v>1791.1297966546451</v>
      </c>
      <c r="P170" s="872">
        <f t="shared" si="91"/>
        <v>1990.1442185051612</v>
      </c>
      <c r="Q170" s="872">
        <f t="shared" si="91"/>
        <v>2189.1586403556776</v>
      </c>
      <c r="R170" s="872">
        <f t="shared" si="91"/>
        <v>2323.8805911237946</v>
      </c>
      <c r="S170" s="872">
        <f t="shared" si="91"/>
        <v>2517.5373070507781</v>
      </c>
      <c r="T170" s="872">
        <f t="shared" si="91"/>
        <v>2711.1940229777606</v>
      </c>
      <c r="U170" s="872">
        <f t="shared" si="91"/>
        <v>2875.6268884127439</v>
      </c>
      <c r="V170" s="1708">
        <f t="shared" si="91"/>
        <v>3067.3353476402604</v>
      </c>
      <c r="W170" s="1707">
        <f t="shared" si="91"/>
        <v>3259.0438068677763</v>
      </c>
      <c r="X170" s="872">
        <f t="shared" si="91"/>
        <v>3424.4508006524934</v>
      </c>
      <c r="Y170" s="872">
        <f t="shared" si="91"/>
        <v>3614.6980673554099</v>
      </c>
      <c r="Z170" s="872">
        <f t="shared" si="91"/>
        <v>3804.9453340583259</v>
      </c>
      <c r="AA170" s="872">
        <f t="shared" si="91"/>
        <v>3995.1926007612419</v>
      </c>
      <c r="AB170" s="872">
        <f t="shared" si="91"/>
        <v>4185.4398674641589</v>
      </c>
      <c r="AC170" s="872">
        <f t="shared" si="91"/>
        <v>4375.6871341670749</v>
      </c>
      <c r="AD170" s="872">
        <f t="shared" si="91"/>
        <v>4565.9344008699909</v>
      </c>
      <c r="AE170" s="872">
        <f t="shared" si="91"/>
        <v>4756.1816675729069</v>
      </c>
      <c r="AF170" s="1708">
        <f t="shared" si="91"/>
        <v>4946.4289342758238</v>
      </c>
      <c r="AG170" s="1709">
        <f t="shared" si="91"/>
        <v>5136.6762009787399</v>
      </c>
      <c r="AH170" s="872">
        <f t="shared" si="91"/>
        <v>5326.9234676816559</v>
      </c>
      <c r="AI170" s="872">
        <f t="shared" si="91"/>
        <v>5517.1707343845728</v>
      </c>
      <c r="AJ170" s="872">
        <f t="shared" si="91"/>
        <v>5707.4180010874888</v>
      </c>
      <c r="AK170" s="872">
        <f t="shared" si="91"/>
        <v>5897.6652677904049</v>
      </c>
      <c r="AL170" s="872">
        <f t="shared" si="91"/>
        <v>6087.9125344933218</v>
      </c>
      <c r="AM170" s="872">
        <f t="shared" si="91"/>
        <v>6278.1598011962378</v>
      </c>
      <c r="AN170" s="872">
        <f t="shared" si="91"/>
        <v>6468.4070678991538</v>
      </c>
      <c r="AO170" s="872">
        <f t="shared" si="91"/>
        <v>6658.6543346020708</v>
      </c>
      <c r="AP170" s="1708">
        <f t="shared" si="91"/>
        <v>6848.9016013049868</v>
      </c>
      <c r="AQ170" s="1707">
        <f t="shared" ref="AQ170:BG170" si="92">((AQ$138-$I$4)/1000)*IF($C$14=0,$R$33,$R$50)*(($C$8/70)^$AC$50)*IF($C$14=0,1,IF($C$14&lt;=AQ$139,$AH$50,IF(AND($C$14&gt;=AQ$139,$C$14&lt;=AQ$140),((($AI$50-$AH$50)/(AQ$140-AQ$139))*$C$14+($AH$50-(($AI$50-$AH$50)/(AQ$140-AQ$139))*AQ$139)),IF($C$14&gt;=AQ$140,$AI$50,1))))</f>
        <v>7039.1488680079028</v>
      </c>
      <c r="AR170" s="872">
        <f t="shared" si="92"/>
        <v>7229.3961347108198</v>
      </c>
      <c r="AS170" s="872">
        <f t="shared" si="92"/>
        <v>7419.6434014137358</v>
      </c>
      <c r="AT170" s="872">
        <f t="shared" si="92"/>
        <v>7609.8906681166518</v>
      </c>
      <c r="AU170" s="872">
        <f t="shared" si="92"/>
        <v>7800.1379348195678</v>
      </c>
      <c r="AV170" s="872">
        <f t="shared" si="92"/>
        <v>7990.3852015224838</v>
      </c>
      <c r="AW170" s="872">
        <f t="shared" si="92"/>
        <v>8180.6324682254008</v>
      </c>
      <c r="AX170" s="872">
        <f t="shared" si="92"/>
        <v>8370.8797349283177</v>
      </c>
      <c r="AY170" s="872">
        <f t="shared" si="92"/>
        <v>8561.1270016312337</v>
      </c>
      <c r="AZ170" s="1708">
        <f t="shared" si="92"/>
        <v>8751.3742683341497</v>
      </c>
      <c r="BA170" s="1710">
        <f t="shared" si="92"/>
        <v>8941.6215350370676</v>
      </c>
      <c r="BB170" s="1711">
        <f t="shared" si="92"/>
        <v>9131.8688017399818</v>
      </c>
      <c r="BC170" s="1711">
        <f t="shared" si="92"/>
        <v>9322.1160684428996</v>
      </c>
      <c r="BD170" s="1711">
        <f t="shared" si="92"/>
        <v>9512.3633351458138</v>
      </c>
      <c r="BE170" s="1711">
        <f t="shared" si="92"/>
        <v>9702.6106018487299</v>
      </c>
      <c r="BF170" s="1711">
        <f t="shared" si="92"/>
        <v>9892.8578685516477</v>
      </c>
      <c r="BG170" s="1708">
        <f t="shared" si="92"/>
        <v>10083.105135254562</v>
      </c>
      <c r="BH170" s="1855"/>
      <c r="BI170" s="1855"/>
      <c r="BK170" s="571">
        <f t="shared" ref="BK170:DG170" si="93">K185/K170</f>
        <v>1.26492398524594</v>
      </c>
      <c r="BL170" s="571">
        <f t="shared" si="93"/>
        <v>1.26492398524594</v>
      </c>
      <c r="BM170" s="571">
        <f t="shared" si="93"/>
        <v>1.26492398524594</v>
      </c>
      <c r="BN170" s="571">
        <f t="shared" si="93"/>
        <v>1.2649239852459397</v>
      </c>
      <c r="BO170" s="571">
        <f t="shared" si="93"/>
        <v>1.2649239852459397</v>
      </c>
      <c r="BP170" s="571">
        <f t="shared" si="93"/>
        <v>1.26492398524594</v>
      </c>
      <c r="BQ170" s="571">
        <f t="shared" si="93"/>
        <v>1.2649239852459397</v>
      </c>
      <c r="BR170" s="571">
        <f t="shared" si="93"/>
        <v>1.2649239852459402</v>
      </c>
      <c r="BS170" s="571">
        <f t="shared" si="93"/>
        <v>1.2649239852459397</v>
      </c>
      <c r="BT170" s="571">
        <f t="shared" si="93"/>
        <v>1.2649239852459397</v>
      </c>
      <c r="BU170" s="571">
        <f t="shared" si="93"/>
        <v>1.26492398524594</v>
      </c>
      <c r="BV170" s="571">
        <f t="shared" si="93"/>
        <v>1.2649239852459397</v>
      </c>
      <c r="BW170" s="571">
        <f t="shared" si="93"/>
        <v>1.26492398524594</v>
      </c>
      <c r="BX170" s="571">
        <f t="shared" si="93"/>
        <v>1.2649239852459397</v>
      </c>
      <c r="BY170" s="571">
        <f t="shared" si="93"/>
        <v>1.2649239852459397</v>
      </c>
      <c r="BZ170" s="571">
        <f t="shared" si="93"/>
        <v>1.2649239852459397</v>
      </c>
      <c r="CA170" s="571">
        <f t="shared" si="93"/>
        <v>1.26492398524594</v>
      </c>
      <c r="CB170" s="571">
        <f t="shared" si="93"/>
        <v>1.2649239852459397</v>
      </c>
      <c r="CC170" s="571">
        <f t="shared" si="93"/>
        <v>1.26492398524594</v>
      </c>
      <c r="CD170" s="571">
        <f t="shared" si="93"/>
        <v>1.26492398524594</v>
      </c>
      <c r="CE170" s="571">
        <f t="shared" si="93"/>
        <v>1.26492398524594</v>
      </c>
      <c r="CF170" s="571">
        <f t="shared" si="93"/>
        <v>1.26492398524594</v>
      </c>
      <c r="CG170" s="571">
        <f t="shared" si="93"/>
        <v>1.26492398524594</v>
      </c>
      <c r="CH170" s="571">
        <f t="shared" si="93"/>
        <v>1.2649239852459397</v>
      </c>
      <c r="CI170" s="571">
        <f t="shared" si="93"/>
        <v>1.2649239852459397</v>
      </c>
      <c r="CJ170" s="571">
        <f t="shared" si="93"/>
        <v>1.26492398524594</v>
      </c>
      <c r="CK170" s="571">
        <f t="shared" si="93"/>
        <v>1.26492398524594</v>
      </c>
      <c r="CL170" s="571">
        <f t="shared" si="93"/>
        <v>1.2649239852459397</v>
      </c>
      <c r="CM170" s="571">
        <f t="shared" si="93"/>
        <v>1.26492398524594</v>
      </c>
      <c r="CN170" s="571">
        <f t="shared" si="93"/>
        <v>1.26492398524594</v>
      </c>
      <c r="CO170" s="571">
        <f t="shared" si="93"/>
        <v>1.2649239852459397</v>
      </c>
      <c r="CP170" s="571">
        <f t="shared" si="93"/>
        <v>1.2649239852459397</v>
      </c>
      <c r="CQ170" s="571">
        <f t="shared" si="93"/>
        <v>1.26492398524594</v>
      </c>
      <c r="CR170" s="571">
        <f t="shared" si="93"/>
        <v>1.2649239852459397</v>
      </c>
      <c r="CS170" s="571">
        <f t="shared" si="93"/>
        <v>1.26492398524594</v>
      </c>
      <c r="CT170" s="571">
        <f t="shared" si="93"/>
        <v>1.2649239852459397</v>
      </c>
      <c r="CU170" s="571">
        <f t="shared" si="93"/>
        <v>1.2649239852459397</v>
      </c>
      <c r="CV170" s="571">
        <f t="shared" si="93"/>
        <v>1.26492398524594</v>
      </c>
      <c r="CW170" s="571">
        <f t="shared" si="93"/>
        <v>1.2649239852459397</v>
      </c>
      <c r="CX170" s="571">
        <f t="shared" si="93"/>
        <v>1.2649239852459397</v>
      </c>
      <c r="CY170" s="571">
        <f t="shared" si="93"/>
        <v>1.26492398524594</v>
      </c>
      <c r="CZ170" s="571">
        <f t="shared" si="93"/>
        <v>1.26492398524594</v>
      </c>
      <c r="DA170" s="571">
        <f t="shared" si="93"/>
        <v>1.2649239852459395</v>
      </c>
      <c r="DB170" s="571">
        <f t="shared" si="93"/>
        <v>1.26492398524594</v>
      </c>
      <c r="DC170" s="571">
        <f t="shared" si="93"/>
        <v>1.2649239852459397</v>
      </c>
      <c r="DD170" s="571">
        <f t="shared" si="93"/>
        <v>1.26492398524594</v>
      </c>
      <c r="DE170" s="571">
        <f t="shared" si="93"/>
        <v>1.26492398524594</v>
      </c>
      <c r="DF170" s="571">
        <f t="shared" si="93"/>
        <v>1.26492398524594</v>
      </c>
      <c r="DG170" s="571">
        <f t="shared" si="93"/>
        <v>1.2649239852459402</v>
      </c>
    </row>
    <row r="171" spans="1:118" ht="15.75" thickBot="1">
      <c r="A171" s="2773"/>
      <c r="B171" s="2753" t="s">
        <v>251</v>
      </c>
      <c r="C171" s="2754"/>
      <c r="D171" s="2897"/>
      <c r="E171" s="1705" t="s">
        <v>194</v>
      </c>
      <c r="F171" s="1705">
        <v>110</v>
      </c>
      <c r="G171" s="1705">
        <v>400</v>
      </c>
      <c r="H171" s="1705">
        <v>4</v>
      </c>
      <c r="I171" s="871"/>
      <c r="J171" s="1706"/>
      <c r="K171" s="1707">
        <f t="shared" ref="K171:AP171" si="94">((K$138-$I$4)/1000)*IF($C$14=0,$S$33,$S$50)*(($C$8/70)^$AD$50)*IF($C$14=0,1,IF($C$14&lt;=K$139,$AH$50,IF(AND($C$14&gt;=K$139,$C$14&lt;=K$140),((($AI$50-$AH$50)/(K$140-K$139))*$C$14+($AH$50-(($AI$50-$AH$50)/(K$140-K$139))*K$139)),IF($C$14&gt;=K$140,$AI$50,1))))</f>
        <v>1085.1248571428571</v>
      </c>
      <c r="L171" s="872">
        <f t="shared" si="94"/>
        <v>1302.1498285714285</v>
      </c>
      <c r="M171" s="872">
        <f t="shared" si="94"/>
        <v>1519.1747999999998</v>
      </c>
      <c r="N171" s="872">
        <f t="shared" si="94"/>
        <v>1736.1997714285715</v>
      </c>
      <c r="O171" s="872">
        <f t="shared" si="94"/>
        <v>1953.2247428571427</v>
      </c>
      <c r="P171" s="872">
        <f t="shared" si="94"/>
        <v>2170.2497142857142</v>
      </c>
      <c r="Q171" s="872">
        <f t="shared" si="94"/>
        <v>2387.2746857142856</v>
      </c>
      <c r="R171" s="872">
        <f t="shared" si="94"/>
        <v>2534.1887999999999</v>
      </c>
      <c r="S171" s="872">
        <f t="shared" si="94"/>
        <v>2745.3712</v>
      </c>
      <c r="T171" s="872">
        <f t="shared" si="94"/>
        <v>2956.5535999999997</v>
      </c>
      <c r="U171" s="872">
        <f t="shared" si="94"/>
        <v>3135.8674285714283</v>
      </c>
      <c r="V171" s="1708">
        <f t="shared" si="94"/>
        <v>3344.9252571428574</v>
      </c>
      <c r="W171" s="1707">
        <f t="shared" si="94"/>
        <v>3553.9830857142856</v>
      </c>
      <c r="X171" s="872">
        <f t="shared" si="94"/>
        <v>3734.3591999999999</v>
      </c>
      <c r="Y171" s="872">
        <f t="shared" si="94"/>
        <v>3941.8235999999997</v>
      </c>
      <c r="Z171" s="872">
        <f t="shared" si="94"/>
        <v>4149.2880000000005</v>
      </c>
      <c r="AA171" s="872">
        <f t="shared" si="94"/>
        <v>4356.7524000000003</v>
      </c>
      <c r="AB171" s="872">
        <f t="shared" si="94"/>
        <v>4564.2168000000001</v>
      </c>
      <c r="AC171" s="872">
        <f t="shared" si="94"/>
        <v>4771.6812</v>
      </c>
      <c r="AD171" s="872">
        <f t="shared" si="94"/>
        <v>4979.1455999999998</v>
      </c>
      <c r="AE171" s="872">
        <f t="shared" si="94"/>
        <v>5186.6100000000006</v>
      </c>
      <c r="AF171" s="1708">
        <f t="shared" si="94"/>
        <v>5394.0743999999995</v>
      </c>
      <c r="AG171" s="1709">
        <f t="shared" si="94"/>
        <v>5601.5388000000003</v>
      </c>
      <c r="AH171" s="872">
        <f t="shared" si="94"/>
        <v>5809.0031999999992</v>
      </c>
      <c r="AI171" s="872">
        <f t="shared" si="94"/>
        <v>6016.4675999999999</v>
      </c>
      <c r="AJ171" s="872">
        <f t="shared" si="94"/>
        <v>6223.9319999999998</v>
      </c>
      <c r="AK171" s="872">
        <f t="shared" si="94"/>
        <v>6431.3964000000005</v>
      </c>
      <c r="AL171" s="872">
        <f t="shared" si="94"/>
        <v>6638.8608000000004</v>
      </c>
      <c r="AM171" s="872">
        <f t="shared" si="94"/>
        <v>6846.3251999999993</v>
      </c>
      <c r="AN171" s="872">
        <f t="shared" si="94"/>
        <v>7053.7896000000001</v>
      </c>
      <c r="AO171" s="872">
        <f t="shared" si="94"/>
        <v>7261.2540000000008</v>
      </c>
      <c r="AP171" s="1708">
        <f t="shared" si="94"/>
        <v>7468.7183999999997</v>
      </c>
      <c r="AQ171" s="1707">
        <f t="shared" ref="AQ171:BG171" si="95">((AQ$138-$I$4)/1000)*IF($C$14=0,$S$33,$S$50)*(($C$8/70)^$AD$50)*IF($C$14=0,1,IF($C$14&lt;=AQ$139,$AH$50,IF(AND($C$14&gt;=AQ$139,$C$14&lt;=AQ$140),((($AI$50-$AH$50)/(AQ$140-AQ$139))*$C$14+($AH$50-(($AI$50-$AH$50)/(AQ$140-AQ$139))*AQ$139)),IF($C$14&gt;=AQ$140,$AI$50,1))))</f>
        <v>7676.1828000000005</v>
      </c>
      <c r="AR171" s="872">
        <f t="shared" si="95"/>
        <v>7883.6471999999994</v>
      </c>
      <c r="AS171" s="872">
        <f t="shared" si="95"/>
        <v>8091.1115999999993</v>
      </c>
      <c r="AT171" s="872">
        <f t="shared" si="95"/>
        <v>8298.5760000000009</v>
      </c>
      <c r="AU171" s="872">
        <f t="shared" si="95"/>
        <v>8506.0403999999999</v>
      </c>
      <c r="AV171" s="872">
        <f t="shared" si="95"/>
        <v>8713.5048000000006</v>
      </c>
      <c r="AW171" s="872">
        <f t="shared" si="95"/>
        <v>8920.9691999999995</v>
      </c>
      <c r="AX171" s="872">
        <f t="shared" si="95"/>
        <v>9128.4336000000003</v>
      </c>
      <c r="AY171" s="872">
        <f t="shared" si="95"/>
        <v>9335.8979999999992</v>
      </c>
      <c r="AZ171" s="1708">
        <f t="shared" si="95"/>
        <v>9543.3624</v>
      </c>
      <c r="BA171" s="1710">
        <f t="shared" si="95"/>
        <v>9750.8268000000007</v>
      </c>
      <c r="BB171" s="1711">
        <f t="shared" si="95"/>
        <v>9958.2911999999997</v>
      </c>
      <c r="BC171" s="1711">
        <f t="shared" si="95"/>
        <v>10165.755600000002</v>
      </c>
      <c r="BD171" s="1711">
        <f t="shared" si="95"/>
        <v>10373.220000000001</v>
      </c>
      <c r="BE171" s="1711">
        <f t="shared" si="95"/>
        <v>10580.6844</v>
      </c>
      <c r="BF171" s="1711">
        <f t="shared" si="95"/>
        <v>10788.148799999999</v>
      </c>
      <c r="BG171" s="1708">
        <f t="shared" si="95"/>
        <v>10995.6132</v>
      </c>
      <c r="BH171" s="1712">
        <f t="shared" ref="BH171:CM171" si="96">((BH$138-$I$4)/1000)*IF($C$13=0,$S$33,$S$50)*(($C$8/70)^$AD$50)*IF($C$13=1,$AH$50,IF($C$13=2,$AI$50,IF($C$13=3,$AJ$50,1)))</f>
        <v>-2099.5883999999996</v>
      </c>
      <c r="BI171" s="874">
        <f t="shared" si="96"/>
        <v>-2099.5883999999996</v>
      </c>
      <c r="BJ171" s="874">
        <f t="shared" si="96"/>
        <v>-2099.5883999999996</v>
      </c>
      <c r="BK171" s="874">
        <f t="shared" si="96"/>
        <v>899.82359999999983</v>
      </c>
      <c r="BL171" s="874">
        <f t="shared" si="96"/>
        <v>1199.7647999999999</v>
      </c>
      <c r="BM171" s="874">
        <f t="shared" si="96"/>
        <v>1499.7059999999999</v>
      </c>
      <c r="BN171" s="874">
        <f t="shared" si="96"/>
        <v>1799.6471999999997</v>
      </c>
      <c r="BO171" s="874">
        <f t="shared" si="96"/>
        <v>2099.5883999999996</v>
      </c>
      <c r="BP171" s="874">
        <f t="shared" si="96"/>
        <v>2399.5295999999998</v>
      </c>
      <c r="BQ171" s="874">
        <f t="shared" si="96"/>
        <v>2699.4707999999996</v>
      </c>
      <c r="BR171" s="874">
        <f t="shared" si="96"/>
        <v>2999.4119999999998</v>
      </c>
      <c r="BS171" s="874">
        <f t="shared" si="96"/>
        <v>3299.3532</v>
      </c>
      <c r="BT171" s="874">
        <f t="shared" si="96"/>
        <v>3599.2943999999993</v>
      </c>
      <c r="BU171" s="874">
        <f t="shared" si="96"/>
        <v>3899.2355999999995</v>
      </c>
      <c r="BV171" s="874">
        <f t="shared" si="96"/>
        <v>4199.1767999999993</v>
      </c>
      <c r="BW171" s="874">
        <f t="shared" si="96"/>
        <v>4499.1179999999995</v>
      </c>
      <c r="BX171" s="874">
        <f t="shared" si="96"/>
        <v>4799.0591999999997</v>
      </c>
      <c r="BY171" s="874">
        <f t="shared" si="96"/>
        <v>5099.0003999999999</v>
      </c>
      <c r="BZ171" s="874">
        <f t="shared" si="96"/>
        <v>5398.9415999999992</v>
      </c>
      <c r="CA171" s="874">
        <f t="shared" si="96"/>
        <v>5698.8827999999985</v>
      </c>
      <c r="CB171" s="874">
        <f t="shared" si="96"/>
        <v>5998.8239999999996</v>
      </c>
      <c r="CC171" s="874">
        <f t="shared" si="96"/>
        <v>6298.7651999999998</v>
      </c>
      <c r="CD171" s="874">
        <f t="shared" si="96"/>
        <v>6598.7064</v>
      </c>
      <c r="CE171" s="874">
        <f t="shared" si="96"/>
        <v>6898.6475999999993</v>
      </c>
      <c r="CF171" s="874">
        <f t="shared" si="96"/>
        <v>7198.5887999999986</v>
      </c>
      <c r="CG171" s="874">
        <f t="shared" si="96"/>
        <v>7498.53</v>
      </c>
      <c r="CH171" s="874">
        <f t="shared" si="96"/>
        <v>7798.471199999999</v>
      </c>
      <c r="CI171" s="874">
        <f t="shared" si="96"/>
        <v>8098.4124000000002</v>
      </c>
      <c r="CJ171" s="874">
        <f t="shared" si="96"/>
        <v>8398.3535999999986</v>
      </c>
      <c r="CK171" s="874">
        <f t="shared" si="96"/>
        <v>8698.2947999999997</v>
      </c>
      <c r="CL171" s="874">
        <f t="shared" si="96"/>
        <v>8998.235999999999</v>
      </c>
      <c r="CM171" s="874">
        <f t="shared" si="96"/>
        <v>9298.1772000000001</v>
      </c>
      <c r="CN171" s="874">
        <f t="shared" ref="CN171:DG171" si="97">((CN$138-$I$4)/1000)*IF($C$13=0,$S$33,$S$50)*(($C$8/70)^$AD$50)*IF($C$13=1,$AH$50,IF($C$13=2,$AI$50,IF($C$13=3,$AJ$50,1)))</f>
        <v>9598.1183999999994</v>
      </c>
      <c r="CO171" s="874">
        <f t="shared" si="97"/>
        <v>9898.0595999999987</v>
      </c>
      <c r="CP171" s="874">
        <f t="shared" si="97"/>
        <v>10198.0008</v>
      </c>
      <c r="CQ171" s="874">
        <f t="shared" si="97"/>
        <v>10497.941999999999</v>
      </c>
      <c r="CR171" s="874">
        <f t="shared" si="97"/>
        <v>10797.883199999998</v>
      </c>
      <c r="CS171" s="874">
        <f t="shared" si="97"/>
        <v>11097.8244</v>
      </c>
      <c r="CT171" s="874">
        <f t="shared" si="97"/>
        <v>11397.765599999997</v>
      </c>
      <c r="CU171" s="874">
        <f t="shared" si="97"/>
        <v>11697.706799999998</v>
      </c>
      <c r="CV171" s="874">
        <f t="shared" si="97"/>
        <v>11997.647999999999</v>
      </c>
      <c r="CW171" s="874">
        <f t="shared" si="97"/>
        <v>12297.589199999997</v>
      </c>
      <c r="CX171" s="874">
        <f t="shared" si="97"/>
        <v>12597.5304</v>
      </c>
      <c r="CY171" s="874">
        <f t="shared" si="97"/>
        <v>12897.471599999999</v>
      </c>
      <c r="CZ171" s="874">
        <f t="shared" si="97"/>
        <v>13197.4128</v>
      </c>
      <c r="DA171" s="874">
        <f t="shared" si="97"/>
        <v>13497.353999999998</v>
      </c>
      <c r="DB171" s="874">
        <f t="shared" si="97"/>
        <v>13797.295199999999</v>
      </c>
      <c r="DC171" s="874">
        <f t="shared" si="97"/>
        <v>14097.2364</v>
      </c>
      <c r="DD171" s="874">
        <f t="shared" si="97"/>
        <v>14397.177599999997</v>
      </c>
      <c r="DE171" s="874">
        <f t="shared" si="97"/>
        <v>14697.1188</v>
      </c>
      <c r="DF171" s="874">
        <f t="shared" si="97"/>
        <v>14997.06</v>
      </c>
      <c r="DG171" s="874">
        <f t="shared" si="97"/>
        <v>15297.001199999997</v>
      </c>
    </row>
    <row r="172" spans="1:118" ht="15.75" thickBot="1">
      <c r="A172" s="2846"/>
      <c r="B172" s="2736" t="s">
        <v>252</v>
      </c>
      <c r="C172" s="2737"/>
      <c r="D172" s="2898"/>
      <c r="E172" s="1174" t="s">
        <v>194</v>
      </c>
      <c r="F172" s="1174">
        <v>110</v>
      </c>
      <c r="G172" s="1174">
        <v>400</v>
      </c>
      <c r="H172" s="1174">
        <v>6</v>
      </c>
      <c r="I172" s="873"/>
      <c r="J172" s="1713"/>
      <c r="K172" s="1714">
        <f t="shared" ref="K172:AP172" si="98">((K$138-$I$4)/1000)*IF($C$14=0,$T$33,$T$50)*(($C$8/70)^$AE$50)*IF($C$14=0,1,IF($C$14&lt;=K$139,$AH$50,IF(AND($C$14&gt;=K$139,$C$14&lt;=K$140),((($AI$50-$AH$50)/(K$140-K$139))*$C$14+($AH$50-(($AI$50-$AH$50)/(K$140-K$139))*K$139)),IF($C$14&gt;=K$140,$AI$50,1))))</f>
        <v>1247.8935857142856</v>
      </c>
      <c r="L172" s="874">
        <f t="shared" si="98"/>
        <v>1497.4723028571429</v>
      </c>
      <c r="M172" s="874">
        <f t="shared" si="98"/>
        <v>1747.0510199999999</v>
      </c>
      <c r="N172" s="874">
        <f t="shared" si="98"/>
        <v>1996.629737142857</v>
      </c>
      <c r="O172" s="874">
        <f t="shared" si="98"/>
        <v>2246.2084542857142</v>
      </c>
      <c r="P172" s="874">
        <f t="shared" si="98"/>
        <v>2495.7871714285711</v>
      </c>
      <c r="Q172" s="874">
        <f t="shared" si="98"/>
        <v>2745.3658885714285</v>
      </c>
      <c r="R172" s="874">
        <f t="shared" si="98"/>
        <v>2914.3171200000002</v>
      </c>
      <c r="S172" s="874">
        <f t="shared" si="98"/>
        <v>3157.1768800000004</v>
      </c>
      <c r="T172" s="874">
        <f t="shared" si="98"/>
        <v>3400.0366399999998</v>
      </c>
      <c r="U172" s="874">
        <f t="shared" si="98"/>
        <v>3606.2475428571429</v>
      </c>
      <c r="V172" s="1715">
        <f t="shared" si="98"/>
        <v>3846.6640457142853</v>
      </c>
      <c r="W172" s="1714">
        <f t="shared" si="98"/>
        <v>4087.0805485714286</v>
      </c>
      <c r="X172" s="874">
        <f t="shared" si="98"/>
        <v>4294.5130799999997</v>
      </c>
      <c r="Y172" s="874">
        <f t="shared" si="98"/>
        <v>4533.0971399999999</v>
      </c>
      <c r="Z172" s="874">
        <f t="shared" si="98"/>
        <v>4771.6812</v>
      </c>
      <c r="AA172" s="874">
        <f t="shared" si="98"/>
        <v>5010.2652600000001</v>
      </c>
      <c r="AB172" s="874">
        <f t="shared" si="98"/>
        <v>5248.8493200000003</v>
      </c>
      <c r="AC172" s="874">
        <f t="shared" si="98"/>
        <v>5487.4333799999995</v>
      </c>
      <c r="AD172" s="874">
        <f t="shared" si="98"/>
        <v>5726.0174400000005</v>
      </c>
      <c r="AE172" s="874">
        <f t="shared" si="98"/>
        <v>5964.6014999999998</v>
      </c>
      <c r="AF172" s="1715">
        <f t="shared" si="98"/>
        <v>6203.1855599999999</v>
      </c>
      <c r="AG172" s="1712">
        <f t="shared" si="98"/>
        <v>6441.7696200000009</v>
      </c>
      <c r="AH172" s="874">
        <f t="shared" si="98"/>
        <v>6680.3536799999993</v>
      </c>
      <c r="AI172" s="874">
        <f t="shared" si="98"/>
        <v>6918.9377400000003</v>
      </c>
      <c r="AJ172" s="874">
        <f t="shared" si="98"/>
        <v>7157.5218000000004</v>
      </c>
      <c r="AK172" s="874">
        <f t="shared" si="98"/>
        <v>7396.1058599999997</v>
      </c>
      <c r="AL172" s="874">
        <f t="shared" si="98"/>
        <v>7634.6899199999998</v>
      </c>
      <c r="AM172" s="874">
        <f t="shared" si="98"/>
        <v>7873.273979999999</v>
      </c>
      <c r="AN172" s="874">
        <f t="shared" si="98"/>
        <v>8111.8580400000001</v>
      </c>
      <c r="AO172" s="874">
        <f t="shared" si="98"/>
        <v>8350.4421000000002</v>
      </c>
      <c r="AP172" s="1715">
        <f t="shared" si="98"/>
        <v>8589.0261599999994</v>
      </c>
      <c r="AQ172" s="1714">
        <f t="shared" ref="AQ172:BG172" si="99">((AQ$138-$I$4)/1000)*IF($C$14=0,$T$33,$T$50)*(($C$8/70)^$AE$50)*IF($C$14=0,1,IF($C$14&lt;=AQ$139,$AH$50,IF(AND($C$14&gt;=AQ$139,$C$14&lt;=AQ$140),((($AI$50-$AH$50)/(AQ$140-AQ$139))*$C$14+($AH$50-(($AI$50-$AH$50)/(AQ$140-AQ$139))*AQ$139)),IF($C$14&gt;=AQ$140,$AI$50,1))))</f>
        <v>8827.6102200000005</v>
      </c>
      <c r="AR172" s="874">
        <f t="shared" si="99"/>
        <v>9066.1942799999997</v>
      </c>
      <c r="AS172" s="874">
        <f t="shared" si="99"/>
        <v>9304.7783400000008</v>
      </c>
      <c r="AT172" s="874">
        <f t="shared" si="99"/>
        <v>9543.3624</v>
      </c>
      <c r="AU172" s="874">
        <f t="shared" si="99"/>
        <v>9781.9464599999992</v>
      </c>
      <c r="AV172" s="874">
        <f t="shared" si="99"/>
        <v>10020.53052</v>
      </c>
      <c r="AW172" s="874">
        <f t="shared" si="99"/>
        <v>10259.114579999999</v>
      </c>
      <c r="AX172" s="874">
        <f t="shared" si="99"/>
        <v>10497.698640000001</v>
      </c>
      <c r="AY172" s="874">
        <f t="shared" si="99"/>
        <v>10736.2827</v>
      </c>
      <c r="AZ172" s="1715">
        <f t="shared" si="99"/>
        <v>10974.866759999999</v>
      </c>
      <c r="BA172" s="1716">
        <f t="shared" si="99"/>
        <v>11213.45082</v>
      </c>
      <c r="BB172" s="1717">
        <f t="shared" si="99"/>
        <v>11452.034880000001</v>
      </c>
      <c r="BC172" s="1717">
        <f t="shared" si="99"/>
        <v>11690.618940000002</v>
      </c>
      <c r="BD172" s="1717">
        <f t="shared" si="99"/>
        <v>11929.203</v>
      </c>
      <c r="BE172" s="1717">
        <f t="shared" si="99"/>
        <v>12167.787059999999</v>
      </c>
      <c r="BF172" s="1717">
        <f t="shared" si="99"/>
        <v>12406.37112</v>
      </c>
      <c r="BG172" s="1715">
        <f t="shared" si="99"/>
        <v>12644.955180000001</v>
      </c>
      <c r="BH172" s="1712">
        <f t="shared" ref="BH172:CM172" si="100">((BH$138-$I$4)/1000)*IF($C$13=0,$T$33,$T$50)*(($C$8/70)^$AE$50)*IF($C$14&lt;=BH$139,$AH$50,IF(AND($C$14&gt;=BH$139,$C$14&lt;=BH$140),((($AI$50-$AH$50)/(BH$140-BH$139))*$C$14+($AH$50-(($AI$50-$AH$50)/(BH$140-BH$139))*BH$139)),IF($C$14&gt;=BH$140,$AI$50,1)))</f>
        <v>-1670.0884199999998</v>
      </c>
      <c r="BI172" s="874">
        <f t="shared" si="100"/>
        <v>-1670.0884199999998</v>
      </c>
      <c r="BJ172" s="874">
        <f t="shared" si="100"/>
        <v>-1670.0884199999998</v>
      </c>
      <c r="BK172" s="874">
        <f t="shared" si="100"/>
        <v>715.75218000000007</v>
      </c>
      <c r="BL172" s="874">
        <f t="shared" si="100"/>
        <v>954.33623999999998</v>
      </c>
      <c r="BM172" s="874">
        <f t="shared" si="100"/>
        <v>1192.9203</v>
      </c>
      <c r="BN172" s="874">
        <f t="shared" si="100"/>
        <v>1662.3921599999999</v>
      </c>
      <c r="BO172" s="874">
        <f t="shared" si="100"/>
        <v>1939.4575199999997</v>
      </c>
      <c r="BP172" s="874">
        <f t="shared" si="100"/>
        <v>2216.52288</v>
      </c>
      <c r="BQ172" s="874">
        <f t="shared" si="100"/>
        <v>2493.58824</v>
      </c>
      <c r="BR172" s="874">
        <f t="shared" si="100"/>
        <v>2770.6535999999996</v>
      </c>
      <c r="BS172" s="874">
        <f t="shared" si="100"/>
        <v>3047.7189599999997</v>
      </c>
      <c r="BT172" s="874">
        <f t="shared" si="100"/>
        <v>3324.7843199999998</v>
      </c>
      <c r="BU172" s="874">
        <f t="shared" si="100"/>
        <v>3601.8496799999998</v>
      </c>
      <c r="BV172" s="874">
        <f t="shared" si="100"/>
        <v>3878.9150399999994</v>
      </c>
      <c r="BW172" s="874">
        <f t="shared" si="100"/>
        <v>4155.9804000000004</v>
      </c>
      <c r="BX172" s="874">
        <f t="shared" si="100"/>
        <v>4433.04576</v>
      </c>
      <c r="BY172" s="874">
        <f t="shared" si="100"/>
        <v>4710.1111200000005</v>
      </c>
      <c r="BZ172" s="874">
        <f t="shared" si="100"/>
        <v>4987.1764800000001</v>
      </c>
      <c r="CA172" s="874">
        <f t="shared" si="100"/>
        <v>5264.2418399999988</v>
      </c>
      <c r="CB172" s="874">
        <f t="shared" si="100"/>
        <v>5541.3071999999993</v>
      </c>
      <c r="CC172" s="874">
        <f t="shared" si="100"/>
        <v>5818.3725599999998</v>
      </c>
      <c r="CD172" s="874">
        <f t="shared" si="100"/>
        <v>6095.4379199999994</v>
      </c>
      <c r="CE172" s="874">
        <f t="shared" si="100"/>
        <v>6372.503279999999</v>
      </c>
      <c r="CF172" s="874">
        <f t="shared" si="100"/>
        <v>6649.5686399999995</v>
      </c>
      <c r="CG172" s="874">
        <f t="shared" si="100"/>
        <v>6926.6339999999991</v>
      </c>
      <c r="CH172" s="874">
        <f t="shared" si="100"/>
        <v>7203.6993599999996</v>
      </c>
      <c r="CI172" s="874">
        <f t="shared" si="100"/>
        <v>7480.7647200000001</v>
      </c>
      <c r="CJ172" s="874">
        <f t="shared" si="100"/>
        <v>7757.8300799999988</v>
      </c>
      <c r="CK172" s="874">
        <f t="shared" si="100"/>
        <v>8034.8954399999993</v>
      </c>
      <c r="CL172" s="874">
        <f t="shared" si="100"/>
        <v>8311.9608000000007</v>
      </c>
      <c r="CM172" s="874">
        <f t="shared" si="100"/>
        <v>8589.0261599999994</v>
      </c>
      <c r="CN172" s="874">
        <f t="shared" ref="CN172:DG172" si="101">((CN$138-$I$4)/1000)*IF($C$13=0,$T$33,$T$50)*(($C$8/70)^$AE$50)*IF($C$14&lt;=CN$139,$AH$50,IF(AND($C$14&gt;=CN$139,$C$14&lt;=CN$140),((($AI$50-$AH$50)/(CN$140-CN$139))*$C$14+($AH$50-(($AI$50-$AH$50)/(CN$140-CN$139))*CN$139)),IF($C$14&gt;=CN$140,$AI$50,1)))</f>
        <v>8866.0915199999999</v>
      </c>
      <c r="CO172" s="874">
        <f t="shared" si="101"/>
        <v>9143.1568799999986</v>
      </c>
      <c r="CP172" s="874">
        <f t="shared" si="101"/>
        <v>9420.222240000001</v>
      </c>
      <c r="CQ172" s="874">
        <f t="shared" si="101"/>
        <v>9697.2875999999997</v>
      </c>
      <c r="CR172" s="874">
        <f t="shared" si="101"/>
        <v>9974.3529600000002</v>
      </c>
      <c r="CS172" s="874">
        <f t="shared" si="101"/>
        <v>10251.418320000001</v>
      </c>
      <c r="CT172" s="874">
        <f t="shared" si="101"/>
        <v>10528.483679999998</v>
      </c>
      <c r="CU172" s="874">
        <f t="shared" si="101"/>
        <v>10805.54904</v>
      </c>
      <c r="CV172" s="874">
        <f t="shared" si="101"/>
        <v>11082.614399999999</v>
      </c>
      <c r="CW172" s="874">
        <f t="shared" si="101"/>
        <v>11359.679759999999</v>
      </c>
      <c r="CX172" s="874">
        <f t="shared" si="101"/>
        <v>11636.74512</v>
      </c>
      <c r="CY172" s="874">
        <f t="shared" si="101"/>
        <v>11913.810479999998</v>
      </c>
      <c r="CZ172" s="874">
        <f t="shared" si="101"/>
        <v>12190.875839999999</v>
      </c>
      <c r="DA172" s="874">
        <f t="shared" si="101"/>
        <v>12467.941199999999</v>
      </c>
      <c r="DB172" s="874">
        <f t="shared" si="101"/>
        <v>12745.006559999998</v>
      </c>
      <c r="DC172" s="874">
        <f t="shared" si="101"/>
        <v>13022.07192</v>
      </c>
      <c r="DD172" s="874">
        <f t="shared" si="101"/>
        <v>13299.137279999999</v>
      </c>
      <c r="DE172" s="874">
        <f t="shared" si="101"/>
        <v>13576.202640000001</v>
      </c>
      <c r="DF172" s="874">
        <f t="shared" si="101"/>
        <v>13853.267999999998</v>
      </c>
      <c r="DG172" s="874">
        <f t="shared" si="101"/>
        <v>14130.333359999999</v>
      </c>
    </row>
    <row r="173" spans="1:118">
      <c r="A173" s="2846"/>
      <c r="B173" s="2740" t="s">
        <v>380</v>
      </c>
      <c r="C173" s="2740"/>
      <c r="D173" s="2899">
        <v>90</v>
      </c>
      <c r="E173" s="1718" t="s">
        <v>194</v>
      </c>
      <c r="F173" s="1718">
        <v>140</v>
      </c>
      <c r="G173" s="1718">
        <v>160</v>
      </c>
      <c r="H173" s="1719">
        <v>4</v>
      </c>
      <c r="I173" s="1090"/>
      <c r="J173" s="1720"/>
      <c r="K173" s="1721">
        <f t="shared" ref="K173:AP173" si="102">((K$138-$I$4)/1000)*IF($C$14=0,$L$34,$L$51)*(($C$8/70)^$W$51)*IF($C$14=0,1,IF($C$14&lt;=K$139,$AH$51,IF(AND($C$14&gt;=K$139,$C$14&lt;=K$140),((($AI$51-$AH$51)/(K$140-K$139))*$C$14+($AH$51-(($AI$51-$AH$51)/(K$140-K$139))*K$139)),IF($C$14&gt;=K$140,$AI$51,1))))</f>
        <v>924.45158466374983</v>
      </c>
      <c r="L173" s="954">
        <f t="shared" si="102"/>
        <v>1109.3419015964998</v>
      </c>
      <c r="M173" s="954">
        <f t="shared" si="102"/>
        <v>1294.2322185292496</v>
      </c>
      <c r="N173" s="954">
        <f t="shared" si="102"/>
        <v>1479.1225354619999</v>
      </c>
      <c r="O173" s="954">
        <f t="shared" si="102"/>
        <v>1664.0128523947496</v>
      </c>
      <c r="P173" s="954">
        <f t="shared" si="102"/>
        <v>1848.9031693274997</v>
      </c>
      <c r="Q173" s="954">
        <f t="shared" si="102"/>
        <v>2033.7934862602499</v>
      </c>
      <c r="R173" s="954">
        <f t="shared" si="102"/>
        <v>2158.954185388</v>
      </c>
      <c r="S173" s="954">
        <f t="shared" si="102"/>
        <v>2338.8670341703332</v>
      </c>
      <c r="T173" s="954">
        <f t="shared" si="102"/>
        <v>2518.7798829526664</v>
      </c>
      <c r="U173" s="954">
        <f t="shared" si="102"/>
        <v>2671.5429054599995</v>
      </c>
      <c r="V173" s="1722">
        <f t="shared" si="102"/>
        <v>2849.6457658239997</v>
      </c>
      <c r="W173" s="1721">
        <f t="shared" si="102"/>
        <v>3027.7486261879994</v>
      </c>
      <c r="X173" s="954">
        <f t="shared" si="102"/>
        <v>3181.4166429044994</v>
      </c>
      <c r="Y173" s="954">
        <f t="shared" si="102"/>
        <v>3358.1620119547492</v>
      </c>
      <c r="Z173" s="954">
        <f t="shared" si="102"/>
        <v>3534.9073810049995</v>
      </c>
      <c r="AA173" s="954">
        <f t="shared" si="102"/>
        <v>3711.6527500552493</v>
      </c>
      <c r="AB173" s="954">
        <f t="shared" si="102"/>
        <v>3888.3981191055</v>
      </c>
      <c r="AC173" s="954">
        <f t="shared" si="102"/>
        <v>4065.1434881557489</v>
      </c>
      <c r="AD173" s="954">
        <f t="shared" si="102"/>
        <v>4241.8888572059996</v>
      </c>
      <c r="AE173" s="954">
        <f t="shared" si="102"/>
        <v>4418.6342262562493</v>
      </c>
      <c r="AF173" s="1722">
        <f t="shared" si="102"/>
        <v>4595.3795953064991</v>
      </c>
      <c r="AG173" s="1723">
        <f t="shared" si="102"/>
        <v>4772.1249643567498</v>
      </c>
      <c r="AH173" s="954">
        <f t="shared" si="102"/>
        <v>4948.8703334069987</v>
      </c>
      <c r="AI173" s="954">
        <f t="shared" si="102"/>
        <v>5125.6157024572494</v>
      </c>
      <c r="AJ173" s="954">
        <f t="shared" si="102"/>
        <v>5302.3610715074992</v>
      </c>
      <c r="AK173" s="954">
        <f t="shared" si="102"/>
        <v>5479.106440557749</v>
      </c>
      <c r="AL173" s="954">
        <f t="shared" si="102"/>
        <v>5655.8518096079997</v>
      </c>
      <c r="AM173" s="954">
        <f t="shared" si="102"/>
        <v>5832.5971786582486</v>
      </c>
      <c r="AN173" s="954">
        <f t="shared" si="102"/>
        <v>6009.3425477084993</v>
      </c>
      <c r="AO173" s="954">
        <f t="shared" si="102"/>
        <v>6186.0879167587491</v>
      </c>
      <c r="AP173" s="1722">
        <f t="shared" si="102"/>
        <v>6362.8332858089989</v>
      </c>
      <c r="AQ173" s="1721">
        <f t="shared" ref="AQ173:BG173" si="103">((AQ$138-$I$4)/1000)*IF($C$14=0,$L$34,$L$51)*(($C$8/70)^$W$51)*IF($C$14=0,1,IF($C$14&lt;=AQ$139,$AH$51,IF(AND($C$14&gt;=AQ$139,$C$14&lt;=AQ$140),((($AI$51-$AH$51)/(AQ$140-AQ$139))*$C$14+($AH$51-(($AI$51-$AH$51)/(AQ$140-AQ$139))*AQ$139)),IF($C$14&gt;=AQ$140,$AI$51,1))))</f>
        <v>6539.5786548592496</v>
      </c>
      <c r="AR173" s="954">
        <f t="shared" si="103"/>
        <v>6716.3240239094985</v>
      </c>
      <c r="AS173" s="954">
        <f t="shared" si="103"/>
        <v>6893.0693929597492</v>
      </c>
      <c r="AT173" s="954">
        <f t="shared" si="103"/>
        <v>7069.814762009999</v>
      </c>
      <c r="AU173" s="954">
        <f t="shared" si="103"/>
        <v>7246.5601310602488</v>
      </c>
      <c r="AV173" s="954">
        <f t="shared" si="103"/>
        <v>7423.3055001104985</v>
      </c>
      <c r="AW173" s="954">
        <f t="shared" si="103"/>
        <v>7600.0508691607483</v>
      </c>
      <c r="AX173" s="954">
        <f t="shared" si="103"/>
        <v>7776.7962382109999</v>
      </c>
      <c r="AY173" s="954">
        <f t="shared" si="103"/>
        <v>7953.5416072612497</v>
      </c>
      <c r="AZ173" s="1722">
        <f t="shared" si="103"/>
        <v>8130.2869763114977</v>
      </c>
      <c r="BA173" s="1724">
        <f t="shared" si="103"/>
        <v>8307.0323453617493</v>
      </c>
      <c r="BB173" s="1725">
        <f t="shared" si="103"/>
        <v>8483.7777144119991</v>
      </c>
      <c r="BC173" s="1725">
        <f t="shared" si="103"/>
        <v>8660.5230834622489</v>
      </c>
      <c r="BD173" s="1725">
        <f t="shared" si="103"/>
        <v>8837.2684525124987</v>
      </c>
      <c r="BE173" s="1725">
        <f t="shared" si="103"/>
        <v>9014.0138215627485</v>
      </c>
      <c r="BF173" s="1725">
        <f t="shared" si="103"/>
        <v>9190.7591906129983</v>
      </c>
      <c r="BG173" s="1722">
        <f t="shared" si="103"/>
        <v>9367.5045596632481</v>
      </c>
      <c r="BH173" s="1855"/>
      <c r="BI173" s="1855"/>
    </row>
    <row r="174" spans="1:118">
      <c r="A174" s="2846"/>
      <c r="B174" s="2730" t="s">
        <v>381</v>
      </c>
      <c r="C174" s="2730"/>
      <c r="D174" s="2900"/>
      <c r="E174" s="1719" t="s">
        <v>194</v>
      </c>
      <c r="F174" s="1719">
        <v>140</v>
      </c>
      <c r="G174" s="1719">
        <v>200</v>
      </c>
      <c r="H174" s="1719">
        <v>4</v>
      </c>
      <c r="I174" s="1091"/>
      <c r="J174" s="1726"/>
      <c r="K174" s="1727">
        <f t="shared" ref="K174:AP174" si="104">((K$138-$I$4)/1000)*IF($C$14=0,$M$34,$M$51)*(($C$8/70)^$X$51)*IF($C$14=0,1,IF($C$14&lt;=K$139,$AH$51,IF(AND($C$14&gt;=K$139,$C$14&lt;=K$140),((($AI$51-$AH$51)/(K$140-K$139))*$C$14+($AH$51-(($AI$51-$AH$51)/(K$140-K$139))*K$139)),IF($C$14&gt;=K$140,$AI$51,1))))</f>
        <v>973.10693122499981</v>
      </c>
      <c r="L174" s="955">
        <f t="shared" si="104"/>
        <v>1167.7283174699999</v>
      </c>
      <c r="M174" s="955">
        <f t="shared" si="104"/>
        <v>1362.3497037149996</v>
      </c>
      <c r="N174" s="955">
        <f t="shared" si="104"/>
        <v>1556.97108996</v>
      </c>
      <c r="O174" s="955">
        <f t="shared" si="104"/>
        <v>1751.5924762049997</v>
      </c>
      <c r="P174" s="955">
        <f t="shared" si="104"/>
        <v>1946.2138624499996</v>
      </c>
      <c r="Q174" s="955">
        <f t="shared" si="104"/>
        <v>2140.8352486949998</v>
      </c>
      <c r="R174" s="955">
        <f t="shared" si="104"/>
        <v>2272.58335304</v>
      </c>
      <c r="S174" s="955">
        <f t="shared" si="104"/>
        <v>2461.9652991266667</v>
      </c>
      <c r="T174" s="955">
        <f t="shared" si="104"/>
        <v>2651.3472452133328</v>
      </c>
      <c r="U174" s="955">
        <f t="shared" si="104"/>
        <v>2812.1504267999994</v>
      </c>
      <c r="V174" s="1728">
        <f t="shared" si="104"/>
        <v>2999.6271219199998</v>
      </c>
      <c r="W174" s="1727">
        <f t="shared" si="104"/>
        <v>3187.1038170399993</v>
      </c>
      <c r="X174" s="955">
        <f t="shared" si="104"/>
        <v>3348.8596241099995</v>
      </c>
      <c r="Y174" s="955">
        <f t="shared" si="104"/>
        <v>3534.9073810049995</v>
      </c>
      <c r="Z174" s="955">
        <f t="shared" si="104"/>
        <v>3720.9551378999995</v>
      </c>
      <c r="AA174" s="955">
        <f t="shared" si="104"/>
        <v>3907.0028947949995</v>
      </c>
      <c r="AB174" s="955">
        <f t="shared" si="104"/>
        <v>4093.0506516899995</v>
      </c>
      <c r="AC174" s="955">
        <f t="shared" si="104"/>
        <v>4279.0984085849987</v>
      </c>
      <c r="AD174" s="955">
        <f t="shared" si="104"/>
        <v>4465.1461654799996</v>
      </c>
      <c r="AE174" s="955">
        <f t="shared" si="104"/>
        <v>4651.1939223749996</v>
      </c>
      <c r="AF174" s="1728">
        <f t="shared" si="104"/>
        <v>4837.2416792699996</v>
      </c>
      <c r="AG174" s="1729">
        <f t="shared" si="104"/>
        <v>5023.2894361649996</v>
      </c>
      <c r="AH174" s="955">
        <f t="shared" si="104"/>
        <v>5209.3371930599988</v>
      </c>
      <c r="AI174" s="955">
        <f t="shared" si="104"/>
        <v>5395.3849499549988</v>
      </c>
      <c r="AJ174" s="955">
        <f t="shared" si="104"/>
        <v>5581.4327068499988</v>
      </c>
      <c r="AK174" s="955">
        <f t="shared" si="104"/>
        <v>5767.4804637449997</v>
      </c>
      <c r="AL174" s="955">
        <f t="shared" si="104"/>
        <v>5953.5282206399997</v>
      </c>
      <c r="AM174" s="955">
        <f t="shared" si="104"/>
        <v>6139.5759775349989</v>
      </c>
      <c r="AN174" s="955">
        <f t="shared" si="104"/>
        <v>6325.6237344299989</v>
      </c>
      <c r="AO174" s="955">
        <f t="shared" si="104"/>
        <v>6511.6714913249989</v>
      </c>
      <c r="AP174" s="1728">
        <f t="shared" si="104"/>
        <v>6697.7192482199989</v>
      </c>
      <c r="AQ174" s="1727">
        <f t="shared" ref="AQ174:BG174" si="105">((AQ$138-$I$4)/1000)*IF($C$14=0,$M$34,$M$51)*(($C$8/70)^$X$51)*IF($C$14=0,1,IF($C$14&lt;=AQ$139,$AH$51,IF(AND($C$14&gt;=AQ$139,$C$14&lt;=AQ$140),((($AI$51-$AH$51)/(AQ$140-AQ$139))*$C$14+($AH$51-(($AI$51-$AH$51)/(AQ$140-AQ$139))*AQ$139)),IF($C$14&gt;=AQ$140,$AI$51,1))))</f>
        <v>6883.7670051149998</v>
      </c>
      <c r="AR174" s="955">
        <f t="shared" si="105"/>
        <v>7069.814762009999</v>
      </c>
      <c r="AS174" s="955">
        <f t="shared" si="105"/>
        <v>7255.8625189049981</v>
      </c>
      <c r="AT174" s="955">
        <f t="shared" si="105"/>
        <v>7441.910275799999</v>
      </c>
      <c r="AU174" s="955">
        <f t="shared" si="105"/>
        <v>7627.9580326949981</v>
      </c>
      <c r="AV174" s="955">
        <f t="shared" si="105"/>
        <v>7814.005789589999</v>
      </c>
      <c r="AW174" s="955">
        <f t="shared" si="105"/>
        <v>8000.0535464849982</v>
      </c>
      <c r="AX174" s="955">
        <f t="shared" si="105"/>
        <v>8186.1013033799991</v>
      </c>
      <c r="AY174" s="955">
        <f t="shared" si="105"/>
        <v>8372.1490602749982</v>
      </c>
      <c r="AZ174" s="1728">
        <f t="shared" si="105"/>
        <v>8558.1968171699973</v>
      </c>
      <c r="BA174" s="1730">
        <f t="shared" si="105"/>
        <v>8744.2445740650001</v>
      </c>
      <c r="BB174" s="1731">
        <f t="shared" si="105"/>
        <v>8930.2923309599992</v>
      </c>
      <c r="BC174" s="1731">
        <f t="shared" si="105"/>
        <v>9116.3400878550001</v>
      </c>
      <c r="BD174" s="1731">
        <f t="shared" si="105"/>
        <v>9302.3878447499992</v>
      </c>
      <c r="BE174" s="1731">
        <f t="shared" si="105"/>
        <v>9488.4356016449983</v>
      </c>
      <c r="BF174" s="1731">
        <f t="shared" si="105"/>
        <v>9674.4833585399992</v>
      </c>
      <c r="BG174" s="1728">
        <f t="shared" si="105"/>
        <v>9860.5311154349984</v>
      </c>
      <c r="BH174" s="1855"/>
      <c r="BI174" s="1855"/>
    </row>
    <row r="175" spans="1:118">
      <c r="A175" s="2846"/>
      <c r="B175" s="2730" t="s">
        <v>382</v>
      </c>
      <c r="C175" s="2730"/>
      <c r="D175" s="2900"/>
      <c r="E175" s="1719" t="s">
        <v>194</v>
      </c>
      <c r="F175" s="1719">
        <v>140</v>
      </c>
      <c r="G175" s="1719">
        <v>260</v>
      </c>
      <c r="H175" s="1719">
        <v>4</v>
      </c>
      <c r="I175" s="1091"/>
      <c r="J175" s="1726"/>
      <c r="K175" s="1727">
        <f t="shared" ref="K175:AP175" si="106">((K$138-$I$4)/1000)*IF($C$14=0,$N$34,$N$51)*(($C$8/70)^$Y$51)*IF($C$14=0,1,IF($C$14&lt;=K$139,$AH$51,IF(AND($C$14&gt;=K$139,$C$14&lt;=K$140),((($AI$51-$AH$51)/(K$140-K$139))*$C$14+($AH$51-(($AI$51-$AH$51)/(K$140-K$139))*K$139)),IF($C$14&gt;=K$140,$AI$51,1))))</f>
        <v>1024.3230854999999</v>
      </c>
      <c r="L175" s="955">
        <f t="shared" si="106"/>
        <v>1229.1877025999997</v>
      </c>
      <c r="M175" s="955">
        <f t="shared" si="106"/>
        <v>1434.0523196999998</v>
      </c>
      <c r="N175" s="955">
        <f t="shared" si="106"/>
        <v>1638.9169367999998</v>
      </c>
      <c r="O175" s="955">
        <f t="shared" si="106"/>
        <v>1843.7815538999996</v>
      </c>
      <c r="P175" s="955">
        <f t="shared" si="106"/>
        <v>2048.6461709999999</v>
      </c>
      <c r="Q175" s="955">
        <f t="shared" si="106"/>
        <v>2253.5107880999999</v>
      </c>
      <c r="R175" s="955">
        <f t="shared" si="106"/>
        <v>2392.1930031999996</v>
      </c>
      <c r="S175" s="955">
        <f t="shared" si="106"/>
        <v>2591.5424201333335</v>
      </c>
      <c r="T175" s="955">
        <f t="shared" si="106"/>
        <v>2790.8918370666665</v>
      </c>
      <c r="U175" s="955">
        <f t="shared" si="106"/>
        <v>2960.1583439999995</v>
      </c>
      <c r="V175" s="1728">
        <f t="shared" si="106"/>
        <v>3157.5022335999997</v>
      </c>
      <c r="W175" s="1727">
        <f t="shared" si="106"/>
        <v>3354.8461231999995</v>
      </c>
      <c r="X175" s="955">
        <f t="shared" si="106"/>
        <v>3525.1153937999993</v>
      </c>
      <c r="Y175" s="955">
        <f t="shared" si="106"/>
        <v>3720.9551378999995</v>
      </c>
      <c r="Z175" s="955">
        <f t="shared" si="106"/>
        <v>3916.7948819999997</v>
      </c>
      <c r="AA175" s="955">
        <f t="shared" si="106"/>
        <v>4112.6346260999999</v>
      </c>
      <c r="AB175" s="955">
        <f t="shared" si="106"/>
        <v>4308.4743701999996</v>
      </c>
      <c r="AC175" s="955">
        <f t="shared" si="106"/>
        <v>4504.3141142999993</v>
      </c>
      <c r="AD175" s="955">
        <f t="shared" si="106"/>
        <v>4700.1538583999991</v>
      </c>
      <c r="AE175" s="955">
        <f t="shared" si="106"/>
        <v>4895.9936024999988</v>
      </c>
      <c r="AF175" s="1728">
        <f t="shared" si="106"/>
        <v>5091.8333466000004</v>
      </c>
      <c r="AG175" s="1729">
        <f t="shared" si="106"/>
        <v>5287.6730907000001</v>
      </c>
      <c r="AH175" s="955">
        <f t="shared" si="106"/>
        <v>5483.5128347999989</v>
      </c>
      <c r="AI175" s="955">
        <f t="shared" si="106"/>
        <v>5679.3525788999996</v>
      </c>
      <c r="AJ175" s="955">
        <f t="shared" si="106"/>
        <v>5875.1923229999993</v>
      </c>
      <c r="AK175" s="955">
        <f t="shared" si="106"/>
        <v>6071.032067099999</v>
      </c>
      <c r="AL175" s="955">
        <f t="shared" si="106"/>
        <v>6266.8718111999997</v>
      </c>
      <c r="AM175" s="955">
        <f t="shared" si="106"/>
        <v>6462.7115552999985</v>
      </c>
      <c r="AN175" s="955">
        <f t="shared" si="106"/>
        <v>6658.5512993999992</v>
      </c>
      <c r="AO175" s="955">
        <f t="shared" si="106"/>
        <v>6854.3910434999998</v>
      </c>
      <c r="AP175" s="1728">
        <f t="shared" si="106"/>
        <v>7050.2307875999986</v>
      </c>
      <c r="AQ175" s="1727">
        <f t="shared" ref="AQ175:BG175" si="107">((AQ$138-$I$4)/1000)*IF($C$14=0,$N$34,$N$51)*(($C$8/70)^$Y$51)*IF($C$14=0,1,IF($C$14&lt;=AQ$139,$AH$51,IF(AND($C$14&gt;=AQ$139,$C$14&lt;=AQ$140),((($AI$51-$AH$51)/(AQ$140-AQ$139))*$C$14+($AH$51-(($AI$51-$AH$51)/(AQ$140-AQ$139))*AQ$139)),IF($C$14&gt;=AQ$140,$AI$51,1))))</f>
        <v>7246.0705317000002</v>
      </c>
      <c r="AR175" s="955">
        <f t="shared" si="107"/>
        <v>7441.910275799999</v>
      </c>
      <c r="AS175" s="955">
        <f t="shared" si="107"/>
        <v>7637.7500198999987</v>
      </c>
      <c r="AT175" s="955">
        <f t="shared" si="107"/>
        <v>7833.5897639999994</v>
      </c>
      <c r="AU175" s="955">
        <f t="shared" si="107"/>
        <v>8029.4295080999982</v>
      </c>
      <c r="AV175" s="955">
        <f t="shared" si="107"/>
        <v>8225.2692521999998</v>
      </c>
      <c r="AW175" s="955">
        <f t="shared" si="107"/>
        <v>8421.1089962999995</v>
      </c>
      <c r="AX175" s="955">
        <f t="shared" si="107"/>
        <v>8616.9487403999992</v>
      </c>
      <c r="AY175" s="955">
        <f t="shared" si="107"/>
        <v>8812.788484499999</v>
      </c>
      <c r="AZ175" s="1728">
        <f t="shared" si="107"/>
        <v>9008.6282285999987</v>
      </c>
      <c r="BA175" s="1730">
        <f t="shared" si="107"/>
        <v>9204.4679726999984</v>
      </c>
      <c r="BB175" s="1731">
        <f t="shared" si="107"/>
        <v>9400.3077167999982</v>
      </c>
      <c r="BC175" s="1731">
        <f t="shared" si="107"/>
        <v>9596.1474608999997</v>
      </c>
      <c r="BD175" s="1731">
        <f t="shared" si="107"/>
        <v>9791.9872049999976</v>
      </c>
      <c r="BE175" s="1731">
        <f t="shared" si="107"/>
        <v>9987.8269490999992</v>
      </c>
      <c r="BF175" s="1731">
        <f t="shared" si="107"/>
        <v>10183.666693200001</v>
      </c>
      <c r="BG175" s="1728">
        <f t="shared" si="107"/>
        <v>10379.506437299999</v>
      </c>
      <c r="BH175" s="1855"/>
      <c r="BI175" s="1855"/>
    </row>
    <row r="176" spans="1:118">
      <c r="A176" s="2846"/>
      <c r="B176" s="2730" t="s">
        <v>383</v>
      </c>
      <c r="C176" s="2730"/>
      <c r="D176" s="2900"/>
      <c r="E176" s="1719" t="s">
        <v>194</v>
      </c>
      <c r="F176" s="1719">
        <v>140</v>
      </c>
      <c r="G176" s="1719">
        <v>300</v>
      </c>
      <c r="H176" s="1719">
        <v>6</v>
      </c>
      <c r="I176" s="1091"/>
      <c r="J176" s="1726"/>
      <c r="K176" s="1727">
        <f t="shared" ref="K176:AP176" si="108">((K$138-$I$4)/1000)*IF($C$14=0,$O$34,($O$51*1.1))*(($C$8/70)^$Z$51)*IF($C$14=0,1,IF($C$14&lt;=K$139,$AH$51,IF(AND($C$14&gt;=K$139,$C$14&lt;=K$140),((($AI$51-$AH$51)/(K$140-K$139))*$C$14+($AH$51-(($AI$51-$AH$51)/(K$140-K$139))*K$139)),IF($C$14&gt;=K$140,$AI$51,1))))</f>
        <v>1147.1566073773931</v>
      </c>
      <c r="L176" s="955">
        <f t="shared" si="108"/>
        <v>1376.5879288528715</v>
      </c>
      <c r="M176" s="955">
        <f t="shared" si="108"/>
        <v>1606.0192503283504</v>
      </c>
      <c r="N176" s="955">
        <f t="shared" si="108"/>
        <v>1835.4505718038292</v>
      </c>
      <c r="O176" s="955">
        <f t="shared" si="108"/>
        <v>2064.8818932793074</v>
      </c>
      <c r="P176" s="955">
        <f t="shared" si="108"/>
        <v>2294.3132147547863</v>
      </c>
      <c r="Q176" s="955">
        <f t="shared" si="108"/>
        <v>2523.7445362302651</v>
      </c>
      <c r="R176" s="955">
        <f t="shared" si="108"/>
        <v>2679.0570754376008</v>
      </c>
      <c r="S176" s="955">
        <f t="shared" si="108"/>
        <v>2902.3118317240678</v>
      </c>
      <c r="T176" s="955">
        <f t="shared" si="108"/>
        <v>3125.5665880105344</v>
      </c>
      <c r="U176" s="955">
        <f t="shared" si="108"/>
        <v>3315.1309887205721</v>
      </c>
      <c r="V176" s="1728">
        <f t="shared" si="108"/>
        <v>3536.1397213019441</v>
      </c>
      <c r="W176" s="1727">
        <f t="shared" si="108"/>
        <v>3757.1484538833147</v>
      </c>
      <c r="X176" s="955">
        <f t="shared" si="108"/>
        <v>3947.835866445901</v>
      </c>
      <c r="Y176" s="955">
        <f t="shared" si="108"/>
        <v>4167.1600812484512</v>
      </c>
      <c r="Z176" s="955">
        <f t="shared" si="108"/>
        <v>4386.4842960510014</v>
      </c>
      <c r="AA176" s="955">
        <f t="shared" si="108"/>
        <v>4605.8085108535515</v>
      </c>
      <c r="AB176" s="955">
        <f t="shared" si="108"/>
        <v>4825.1327256561017</v>
      </c>
      <c r="AC176" s="955">
        <f t="shared" si="108"/>
        <v>5044.4569404586509</v>
      </c>
      <c r="AD176" s="955">
        <f t="shared" si="108"/>
        <v>5263.7811552612011</v>
      </c>
      <c r="AE176" s="955">
        <f t="shared" si="108"/>
        <v>5483.1053700637522</v>
      </c>
      <c r="AF176" s="1728">
        <f t="shared" si="108"/>
        <v>5702.4295848663023</v>
      </c>
      <c r="AG176" s="1729">
        <f t="shared" si="108"/>
        <v>5921.7537996688516</v>
      </c>
      <c r="AH176" s="955">
        <f t="shared" si="108"/>
        <v>6141.0780144714017</v>
      </c>
      <c r="AI176" s="955">
        <f t="shared" si="108"/>
        <v>6360.4022292739519</v>
      </c>
      <c r="AJ176" s="955">
        <f t="shared" si="108"/>
        <v>6579.726444076502</v>
      </c>
      <c r="AK176" s="955">
        <f t="shared" si="108"/>
        <v>6799.0506588790522</v>
      </c>
      <c r="AL176" s="955">
        <f t="shared" si="108"/>
        <v>7018.3748736816024</v>
      </c>
      <c r="AM176" s="955">
        <f t="shared" si="108"/>
        <v>7237.6990884841516</v>
      </c>
      <c r="AN176" s="955">
        <f t="shared" si="108"/>
        <v>7457.0233032867018</v>
      </c>
      <c r="AO176" s="955">
        <f t="shared" si="108"/>
        <v>7676.3475180892519</v>
      </c>
      <c r="AP176" s="1728">
        <f t="shared" si="108"/>
        <v>7895.6717328918021</v>
      </c>
      <c r="AQ176" s="1727">
        <f t="shared" ref="AQ176:BG176" si="109">((AQ$138-$I$4)/1000)*IF($C$14=0,$O$34,($O$51*1.1))*(($C$8/70)^$Z$51)*IF($C$14=0,1,IF($C$14&lt;=AQ$139,$AH$51,IF(AND($C$14&gt;=AQ$139,$C$14&lt;=AQ$140),((($AI$51-$AH$51)/(AQ$140-AQ$139))*$C$14+($AH$51-(($AI$51-$AH$51)/(AQ$140-AQ$139))*AQ$139)),IF($C$14&gt;=AQ$140,$AI$51,1))))</f>
        <v>8114.9959476943513</v>
      </c>
      <c r="AR176" s="955">
        <f t="shared" si="109"/>
        <v>8334.3201624969024</v>
      </c>
      <c r="AS176" s="955">
        <f t="shared" si="109"/>
        <v>8553.6443772994517</v>
      </c>
      <c r="AT176" s="955">
        <f t="shared" si="109"/>
        <v>8772.9685921020027</v>
      </c>
      <c r="AU176" s="955">
        <f t="shared" si="109"/>
        <v>8992.2928069045502</v>
      </c>
      <c r="AV176" s="955">
        <f t="shared" si="109"/>
        <v>9211.617021707103</v>
      </c>
      <c r="AW176" s="955">
        <f t="shared" si="109"/>
        <v>9430.9412365096523</v>
      </c>
      <c r="AX176" s="955">
        <f t="shared" si="109"/>
        <v>9650.2654513122034</v>
      </c>
      <c r="AY176" s="955">
        <f t="shared" si="109"/>
        <v>9869.5896661147526</v>
      </c>
      <c r="AZ176" s="1728">
        <f t="shared" si="109"/>
        <v>10088.913880917302</v>
      </c>
      <c r="BA176" s="1730">
        <f t="shared" si="109"/>
        <v>10308.238095719853</v>
      </c>
      <c r="BB176" s="1731">
        <f t="shared" si="109"/>
        <v>10527.562310522402</v>
      </c>
      <c r="BC176" s="1731">
        <f t="shared" si="109"/>
        <v>10746.886525324953</v>
      </c>
      <c r="BD176" s="1731">
        <f t="shared" si="109"/>
        <v>10966.210740127504</v>
      </c>
      <c r="BE176" s="1731">
        <f t="shared" si="109"/>
        <v>11185.534954930052</v>
      </c>
      <c r="BF176" s="1731">
        <f t="shared" si="109"/>
        <v>11404.859169732605</v>
      </c>
      <c r="BG176" s="1728">
        <f t="shared" si="109"/>
        <v>11624.183384535152</v>
      </c>
      <c r="BH176" s="1855"/>
      <c r="BI176" s="1855"/>
    </row>
    <row r="177" spans="1:111">
      <c r="A177" s="2846"/>
      <c r="B177" s="2730" t="s">
        <v>384</v>
      </c>
      <c r="C177" s="2730"/>
      <c r="D177" s="2900"/>
      <c r="E177" s="1719" t="s">
        <v>194</v>
      </c>
      <c r="F177" s="1719">
        <v>140</v>
      </c>
      <c r="G177" s="1719">
        <v>300</v>
      </c>
      <c r="H177" s="1719">
        <v>8</v>
      </c>
      <c r="I177" s="1091"/>
      <c r="J177" s="1726"/>
      <c r="K177" s="1727">
        <f t="shared" ref="K177:AP177" si="110">((K$138-$I$4)/1000)*IF($C$14=0,$P$34,($P$51*1.1))*(($C$8/70)^$AA$51)*IF($C$14=0,1,IF($C$14&lt;=K$139,$AH$51,IF(AND($C$14&gt;=K$139,$C$14&lt;=K$140),((($AI$51-$AH$51)/(K$140-K$139))*$C$14+($AH$51-(($AI$51-$AH$51)/(K$140-K$139))*K$139)),IF($C$14&gt;=K$140,$AI$51,1))))</f>
        <v>1207.5332709235715</v>
      </c>
      <c r="L177" s="955">
        <f t="shared" si="110"/>
        <v>1449.0399251082861</v>
      </c>
      <c r="M177" s="955">
        <f t="shared" si="110"/>
        <v>1690.5465792930001</v>
      </c>
      <c r="N177" s="955">
        <f t="shared" si="110"/>
        <v>1932.0532334777145</v>
      </c>
      <c r="O177" s="955">
        <f t="shared" si="110"/>
        <v>2173.559887662429</v>
      </c>
      <c r="P177" s="955">
        <f t="shared" si="110"/>
        <v>2415.0665418471431</v>
      </c>
      <c r="Q177" s="955">
        <f t="shared" si="110"/>
        <v>2656.5731960318581</v>
      </c>
      <c r="R177" s="955">
        <f t="shared" si="110"/>
        <v>2820.060079408001</v>
      </c>
      <c r="S177" s="955">
        <f t="shared" si="110"/>
        <v>3055.065086025334</v>
      </c>
      <c r="T177" s="955">
        <f t="shared" si="110"/>
        <v>3290.0700926426675</v>
      </c>
      <c r="U177" s="955">
        <f t="shared" si="110"/>
        <v>3489.6115670742865</v>
      </c>
      <c r="V177" s="1728">
        <f t="shared" si="110"/>
        <v>3722.2523382125719</v>
      </c>
      <c r="W177" s="1727">
        <f t="shared" si="110"/>
        <v>3954.8931093508577</v>
      </c>
      <c r="X177" s="955">
        <f t="shared" si="110"/>
        <v>4155.6167015220008</v>
      </c>
      <c r="Y177" s="955">
        <f t="shared" si="110"/>
        <v>4386.4842960510014</v>
      </c>
      <c r="Z177" s="955">
        <f t="shared" si="110"/>
        <v>4617.3518905800011</v>
      </c>
      <c r="AA177" s="955">
        <f t="shared" si="110"/>
        <v>4848.2194851090007</v>
      </c>
      <c r="AB177" s="955">
        <f t="shared" si="110"/>
        <v>5079.0870796380013</v>
      </c>
      <c r="AC177" s="955">
        <f t="shared" si="110"/>
        <v>5309.954674167001</v>
      </c>
      <c r="AD177" s="955">
        <f t="shared" si="110"/>
        <v>5540.8222686960016</v>
      </c>
      <c r="AE177" s="955">
        <f t="shared" si="110"/>
        <v>5771.6898632250013</v>
      </c>
      <c r="AF177" s="1728">
        <f t="shared" si="110"/>
        <v>6002.557457754001</v>
      </c>
      <c r="AG177" s="1729">
        <f t="shared" si="110"/>
        <v>6233.4250522830016</v>
      </c>
      <c r="AH177" s="955">
        <f t="shared" si="110"/>
        <v>6464.2926468120013</v>
      </c>
      <c r="AI177" s="955">
        <f t="shared" si="110"/>
        <v>6695.1602413410019</v>
      </c>
      <c r="AJ177" s="955">
        <f t="shared" si="110"/>
        <v>6926.0278358700016</v>
      </c>
      <c r="AK177" s="955">
        <f t="shared" si="110"/>
        <v>7156.8954303990013</v>
      </c>
      <c r="AL177" s="955">
        <f t="shared" si="110"/>
        <v>7387.763024928001</v>
      </c>
      <c r="AM177" s="955">
        <f t="shared" si="110"/>
        <v>7618.6306194570016</v>
      </c>
      <c r="AN177" s="955">
        <f t="shared" si="110"/>
        <v>7849.4982139860012</v>
      </c>
      <c r="AO177" s="955">
        <f t="shared" si="110"/>
        <v>8080.3658085150009</v>
      </c>
      <c r="AP177" s="1728">
        <f t="shared" si="110"/>
        <v>8311.2334030440015</v>
      </c>
      <c r="AQ177" s="1727">
        <f t="shared" ref="AQ177:BG177" si="111">((AQ$138-$I$4)/1000)*IF($C$14=0,$P$34,($P$51*1.1))*(($C$8/70)^$AA$51)*IF($C$14=0,1,IF($C$14&lt;=AQ$139,$AH$51,IF(AND($C$14&gt;=AQ$139,$C$14&lt;=AQ$140),((($AI$51-$AH$51)/(AQ$140-AQ$139))*$C$14+($AH$51-(($AI$51-$AH$51)/(AQ$140-AQ$139))*AQ$139)),IF($C$14&gt;=AQ$140,$AI$51,1))))</f>
        <v>8542.100997573003</v>
      </c>
      <c r="AR177" s="955">
        <f t="shared" si="111"/>
        <v>8772.9685921020027</v>
      </c>
      <c r="AS177" s="955">
        <f t="shared" si="111"/>
        <v>9003.8361866310024</v>
      </c>
      <c r="AT177" s="955">
        <f t="shared" si="111"/>
        <v>9234.7037811600021</v>
      </c>
      <c r="AU177" s="955">
        <f t="shared" si="111"/>
        <v>9465.5713756890018</v>
      </c>
      <c r="AV177" s="955">
        <f t="shared" si="111"/>
        <v>9696.4389702180015</v>
      </c>
      <c r="AW177" s="955">
        <f t="shared" si="111"/>
        <v>9927.3065647470012</v>
      </c>
      <c r="AX177" s="955">
        <f t="shared" si="111"/>
        <v>10158.174159276003</v>
      </c>
      <c r="AY177" s="955">
        <f t="shared" si="111"/>
        <v>10389.041753805002</v>
      </c>
      <c r="AZ177" s="1728">
        <f t="shared" si="111"/>
        <v>10619.909348334002</v>
      </c>
      <c r="BA177" s="1730">
        <f t="shared" si="111"/>
        <v>10850.776942863004</v>
      </c>
      <c r="BB177" s="1731">
        <f t="shared" si="111"/>
        <v>11081.644537392003</v>
      </c>
      <c r="BC177" s="1731">
        <f t="shared" si="111"/>
        <v>11312.512131921003</v>
      </c>
      <c r="BD177" s="1731">
        <f t="shared" si="111"/>
        <v>11543.379726450003</v>
      </c>
      <c r="BE177" s="1731">
        <f t="shared" si="111"/>
        <v>11774.247320979002</v>
      </c>
      <c r="BF177" s="1731">
        <f t="shared" si="111"/>
        <v>12005.114915508002</v>
      </c>
      <c r="BG177" s="1728">
        <f t="shared" si="111"/>
        <v>12235.982510037002</v>
      </c>
      <c r="BH177" s="1855"/>
      <c r="BI177" s="1855"/>
    </row>
    <row r="178" spans="1:111">
      <c r="A178" s="2846"/>
      <c r="B178" s="2730" t="s">
        <v>385</v>
      </c>
      <c r="C178" s="2730"/>
      <c r="D178" s="2900"/>
      <c r="E178" s="1719" t="s">
        <v>194</v>
      </c>
      <c r="F178" s="1719">
        <v>140</v>
      </c>
      <c r="G178" s="1719">
        <v>360</v>
      </c>
      <c r="H178" s="1719">
        <v>6</v>
      </c>
      <c r="I178" s="1091"/>
      <c r="J178" s="1726"/>
      <c r="K178" s="1727">
        <f t="shared" ref="K178:AP178" si="112">((K$138-$I$4)/1000)*IF($C$14=0,$Q$34,$Q$51)*(($C$8/70)^$AC$51)*IF($C$14=0,1,IF($C$14&lt;=K$139,$AH$51,IF(AND($C$14&gt;=K$139,$C$14&lt;=K$140),((($AI$51-$AH$51)/(K$140-K$139))*$C$14+($AH$51-(($AI$51-$AH$51)/(K$140-K$139))*K$139)),IF($C$14&gt;=K$140,$AI$51,1))))</f>
        <v>1226.9054624357145</v>
      </c>
      <c r="L178" s="955">
        <f t="shared" si="112"/>
        <v>1472.2865549228572</v>
      </c>
      <c r="M178" s="955">
        <f t="shared" si="112"/>
        <v>1717.6676474100002</v>
      </c>
      <c r="N178" s="955">
        <f t="shared" si="112"/>
        <v>1963.0487398971434</v>
      </c>
      <c r="O178" s="955">
        <f t="shared" si="112"/>
        <v>2208.4298323842859</v>
      </c>
      <c r="P178" s="955">
        <f t="shared" si="112"/>
        <v>2453.8109248714291</v>
      </c>
      <c r="Q178" s="955">
        <f t="shared" si="112"/>
        <v>2699.1920173585718</v>
      </c>
      <c r="R178" s="955">
        <f t="shared" si="112"/>
        <v>2865.3016849600003</v>
      </c>
      <c r="S178" s="955">
        <f t="shared" si="112"/>
        <v>3104.076825373334</v>
      </c>
      <c r="T178" s="955">
        <f t="shared" si="112"/>
        <v>3342.8519657866673</v>
      </c>
      <c r="U178" s="955">
        <f t="shared" si="112"/>
        <v>3545.5946403428575</v>
      </c>
      <c r="V178" s="1728">
        <f t="shared" si="112"/>
        <v>3781.9676163657155</v>
      </c>
      <c r="W178" s="1727">
        <f t="shared" si="112"/>
        <v>4018.3405923885721</v>
      </c>
      <c r="X178" s="955">
        <f t="shared" si="112"/>
        <v>4222.2843491400008</v>
      </c>
      <c r="Y178" s="955">
        <f t="shared" si="112"/>
        <v>4456.8557018700003</v>
      </c>
      <c r="Z178" s="955">
        <f t="shared" si="112"/>
        <v>4691.4270546000007</v>
      </c>
      <c r="AA178" s="955">
        <f t="shared" si="112"/>
        <v>4925.9984073300011</v>
      </c>
      <c r="AB178" s="955">
        <f t="shared" si="112"/>
        <v>5160.5697600600006</v>
      </c>
      <c r="AC178" s="955">
        <f t="shared" si="112"/>
        <v>5395.141112790001</v>
      </c>
      <c r="AD178" s="955">
        <f t="shared" si="112"/>
        <v>5629.7124655200005</v>
      </c>
      <c r="AE178" s="955">
        <f t="shared" si="112"/>
        <v>5864.2838182500009</v>
      </c>
      <c r="AF178" s="1728">
        <f t="shared" si="112"/>
        <v>6098.8551709800013</v>
      </c>
      <c r="AG178" s="1729">
        <f t="shared" si="112"/>
        <v>6333.4265237100008</v>
      </c>
      <c r="AH178" s="955">
        <f t="shared" si="112"/>
        <v>6567.9978764400012</v>
      </c>
      <c r="AI178" s="955">
        <f t="shared" si="112"/>
        <v>6802.5692291700007</v>
      </c>
      <c r="AJ178" s="955">
        <f t="shared" si="112"/>
        <v>7037.1405819000011</v>
      </c>
      <c r="AK178" s="955">
        <f t="shared" si="112"/>
        <v>7271.7119346300005</v>
      </c>
      <c r="AL178" s="955">
        <f t="shared" si="112"/>
        <v>7506.2832873600019</v>
      </c>
      <c r="AM178" s="955">
        <f t="shared" si="112"/>
        <v>7740.8546400900004</v>
      </c>
      <c r="AN178" s="955">
        <f t="shared" si="112"/>
        <v>7975.4259928200017</v>
      </c>
      <c r="AO178" s="955">
        <f t="shared" si="112"/>
        <v>8209.9973455500021</v>
      </c>
      <c r="AP178" s="1728">
        <f t="shared" si="112"/>
        <v>8444.5686982800016</v>
      </c>
      <c r="AQ178" s="1727">
        <f t="shared" ref="AQ178:BG178" si="113">((AQ$138-$I$4)/1000)*IF($C$14=0,$Q$34,$Q$51)*(($C$8/70)^$AC$51)*IF($C$14=0,1,IF($C$14&lt;=AQ$139,$AH$51,IF(AND($C$14&gt;=AQ$139,$C$14&lt;=AQ$140),((($AI$51-$AH$51)/(AQ$140-AQ$139))*$C$14+($AH$51-(($AI$51-$AH$51)/(AQ$140-AQ$139))*AQ$139)),IF($C$14&gt;=AQ$140,$AI$51,1))))</f>
        <v>8679.1400510100029</v>
      </c>
      <c r="AR178" s="955">
        <f t="shared" si="113"/>
        <v>8913.7114037400006</v>
      </c>
      <c r="AS178" s="955">
        <f t="shared" si="113"/>
        <v>9148.2827564700019</v>
      </c>
      <c r="AT178" s="955">
        <f t="shared" si="113"/>
        <v>9382.8541092000014</v>
      </c>
      <c r="AU178" s="955">
        <f t="shared" si="113"/>
        <v>9617.4254619300009</v>
      </c>
      <c r="AV178" s="955">
        <f t="shared" si="113"/>
        <v>9851.9968146600022</v>
      </c>
      <c r="AW178" s="955">
        <f t="shared" si="113"/>
        <v>10086.56816739</v>
      </c>
      <c r="AX178" s="955">
        <f t="shared" si="113"/>
        <v>10321.139520120001</v>
      </c>
      <c r="AY178" s="955">
        <f t="shared" si="113"/>
        <v>10555.710872850002</v>
      </c>
      <c r="AZ178" s="1728">
        <f t="shared" si="113"/>
        <v>10790.282225580002</v>
      </c>
      <c r="BA178" s="1730">
        <f t="shared" si="113"/>
        <v>11024.853578310003</v>
      </c>
      <c r="BB178" s="1731">
        <f t="shared" si="113"/>
        <v>11259.424931040001</v>
      </c>
      <c r="BC178" s="1731">
        <f t="shared" si="113"/>
        <v>11493.996283770002</v>
      </c>
      <c r="BD178" s="1731">
        <f t="shared" si="113"/>
        <v>11728.567636500002</v>
      </c>
      <c r="BE178" s="1731">
        <f t="shared" si="113"/>
        <v>11963.138989230001</v>
      </c>
      <c r="BF178" s="1731">
        <f t="shared" si="113"/>
        <v>12197.710341960003</v>
      </c>
      <c r="BG178" s="1728">
        <f t="shared" si="113"/>
        <v>12432.28169469</v>
      </c>
      <c r="BH178" s="1729">
        <f t="shared" ref="BH178:CM178" si="114">((BH$138-$I$4)/1000)*IF($C$13=0,$Q$34,$Q$51)*(($C$8/70)^$AC$51)*IF($C$13=1,$AH$52,IF($C$13=2,$AI$52,IF($C$13=3,$AJ$52,1)))</f>
        <v>-2373.9171210300001</v>
      </c>
      <c r="BI178" s="955">
        <f t="shared" si="114"/>
        <v>-2373.9171210300001</v>
      </c>
      <c r="BJ178" s="955">
        <f t="shared" si="114"/>
        <v>-2373.9171210300001</v>
      </c>
      <c r="BK178" s="955">
        <f t="shared" si="114"/>
        <v>1017.39305187</v>
      </c>
      <c r="BL178" s="955">
        <f t="shared" si="114"/>
        <v>1356.5240691600002</v>
      </c>
      <c r="BM178" s="955">
        <f t="shared" si="114"/>
        <v>1695.65508645</v>
      </c>
      <c r="BN178" s="955">
        <f t="shared" si="114"/>
        <v>2034.78610374</v>
      </c>
      <c r="BO178" s="955">
        <f t="shared" si="114"/>
        <v>2373.9171210300001</v>
      </c>
      <c r="BP178" s="955">
        <f t="shared" si="114"/>
        <v>2713.0481383200004</v>
      </c>
      <c r="BQ178" s="955">
        <f t="shared" si="114"/>
        <v>3052.1791556100002</v>
      </c>
      <c r="BR178" s="955">
        <f t="shared" si="114"/>
        <v>3391.3101729</v>
      </c>
      <c r="BS178" s="955">
        <f t="shared" si="114"/>
        <v>3730.4411901900003</v>
      </c>
      <c r="BT178" s="955">
        <f t="shared" si="114"/>
        <v>4069.5722074800001</v>
      </c>
      <c r="BU178" s="955">
        <f t="shared" si="114"/>
        <v>4408.7032247700008</v>
      </c>
      <c r="BV178" s="955">
        <f t="shared" si="114"/>
        <v>4747.8342420600002</v>
      </c>
      <c r="BW178" s="955">
        <f t="shared" si="114"/>
        <v>5086.9652593500005</v>
      </c>
      <c r="BX178" s="955">
        <f t="shared" si="114"/>
        <v>5426.0962766400007</v>
      </c>
      <c r="BY178" s="955">
        <f t="shared" si="114"/>
        <v>5765.227293930001</v>
      </c>
      <c r="BZ178" s="955">
        <f t="shared" si="114"/>
        <v>6104.3583112200004</v>
      </c>
      <c r="CA178" s="955">
        <f t="shared" si="114"/>
        <v>6443.4893285099997</v>
      </c>
      <c r="CB178" s="955">
        <f t="shared" si="114"/>
        <v>6782.6203458</v>
      </c>
      <c r="CC178" s="955">
        <f t="shared" si="114"/>
        <v>7121.7513630900012</v>
      </c>
      <c r="CD178" s="955">
        <f t="shared" si="114"/>
        <v>7460.8823803800005</v>
      </c>
      <c r="CE178" s="955">
        <f t="shared" si="114"/>
        <v>7800.0133976699999</v>
      </c>
      <c r="CF178" s="955">
        <f t="shared" si="114"/>
        <v>8139.1444149600002</v>
      </c>
      <c r="CG178" s="955">
        <f t="shared" si="114"/>
        <v>8478.2754322500004</v>
      </c>
      <c r="CH178" s="955">
        <f t="shared" si="114"/>
        <v>8817.4064495400016</v>
      </c>
      <c r="CI178" s="955">
        <f t="shared" si="114"/>
        <v>9156.537466830001</v>
      </c>
      <c r="CJ178" s="955">
        <f t="shared" si="114"/>
        <v>9495.6684841200004</v>
      </c>
      <c r="CK178" s="955">
        <f t="shared" si="114"/>
        <v>9834.7995014099997</v>
      </c>
      <c r="CL178" s="955">
        <f t="shared" si="114"/>
        <v>10173.930518700001</v>
      </c>
      <c r="CM178" s="955">
        <f t="shared" si="114"/>
        <v>10513.06153599</v>
      </c>
      <c r="CN178" s="955">
        <f t="shared" ref="CN178:DG178" si="115">((CN$138-$I$4)/1000)*IF($C$13=0,$Q$34,$Q$51)*(($C$8/70)^$AC$51)*IF($C$13=1,$AH$52,IF($C$13=2,$AI$52,IF($C$13=3,$AJ$52,1)))</f>
        <v>10852.192553280001</v>
      </c>
      <c r="CO178" s="955">
        <f t="shared" si="115"/>
        <v>11191.323570569999</v>
      </c>
      <c r="CP178" s="955">
        <f t="shared" si="115"/>
        <v>11530.454587860002</v>
      </c>
      <c r="CQ178" s="955">
        <f t="shared" si="115"/>
        <v>11869.585605150001</v>
      </c>
      <c r="CR178" s="955">
        <f t="shared" si="115"/>
        <v>12208.716622440001</v>
      </c>
      <c r="CS178" s="955">
        <f t="shared" si="115"/>
        <v>12547.847639730002</v>
      </c>
      <c r="CT178" s="955">
        <f t="shared" si="115"/>
        <v>12886.978657019999</v>
      </c>
      <c r="CU178" s="955">
        <f t="shared" si="115"/>
        <v>13226.109674310001</v>
      </c>
      <c r="CV178" s="955">
        <f t="shared" si="115"/>
        <v>13565.2406916</v>
      </c>
      <c r="CW178" s="955">
        <f t="shared" si="115"/>
        <v>13904.371708890001</v>
      </c>
      <c r="CX178" s="955">
        <f t="shared" si="115"/>
        <v>14243.502726180002</v>
      </c>
      <c r="CY178" s="955">
        <f t="shared" si="115"/>
        <v>14582.63374347</v>
      </c>
      <c r="CZ178" s="955">
        <f t="shared" si="115"/>
        <v>14921.764760760001</v>
      </c>
      <c r="DA178" s="955">
        <f t="shared" si="115"/>
        <v>15260.89577805</v>
      </c>
      <c r="DB178" s="955">
        <f t="shared" si="115"/>
        <v>15600.02679534</v>
      </c>
      <c r="DC178" s="955">
        <f t="shared" si="115"/>
        <v>15939.157812630003</v>
      </c>
      <c r="DD178" s="955">
        <f t="shared" si="115"/>
        <v>16278.28882992</v>
      </c>
      <c r="DE178" s="955">
        <f t="shared" si="115"/>
        <v>16617.41984721</v>
      </c>
      <c r="DF178" s="955">
        <f t="shared" si="115"/>
        <v>16956.550864500001</v>
      </c>
      <c r="DG178" s="955">
        <f t="shared" si="115"/>
        <v>17295.681881790002</v>
      </c>
    </row>
    <row r="179" spans="1:111">
      <c r="A179" s="2846"/>
      <c r="B179" s="2730" t="s">
        <v>386</v>
      </c>
      <c r="C179" s="2730"/>
      <c r="D179" s="2900"/>
      <c r="E179" s="1719" t="s">
        <v>194</v>
      </c>
      <c r="F179" s="1719">
        <v>140</v>
      </c>
      <c r="G179" s="1719">
        <v>360</v>
      </c>
      <c r="H179" s="1719">
        <v>8</v>
      </c>
      <c r="I179" s="1091"/>
      <c r="J179" s="1726"/>
      <c r="K179" s="1727">
        <f t="shared" ref="K179:AP179" si="116">((K$138-$I$4)/1000)*IF($C$14=0,$R$34,$R$51)*(($C$8/70)^$AC$51)*IF($C$14=0,1,IF($C$14&lt;=K$139,$AH$51,IF(AND($C$14&gt;=K$139,$C$14&lt;=K$140),((($AI$51-$AH$51)/(K$140-K$139))*$C$14+($AH$51-(($AI$51-$AH$51)/(K$140-K$139))*K$139)),IF($C$14&gt;=K$140,$AI$51,1))))</f>
        <v>1291.4794341428574</v>
      </c>
      <c r="L179" s="955">
        <f t="shared" si="116"/>
        <v>1549.7753209714288</v>
      </c>
      <c r="M179" s="955">
        <f t="shared" si="116"/>
        <v>1808.0712078000001</v>
      </c>
      <c r="N179" s="955">
        <f t="shared" si="116"/>
        <v>2066.367094628572</v>
      </c>
      <c r="O179" s="955">
        <f t="shared" si="116"/>
        <v>2324.6629814571434</v>
      </c>
      <c r="P179" s="955">
        <f t="shared" si="116"/>
        <v>2582.9588682857147</v>
      </c>
      <c r="Q179" s="955">
        <f t="shared" si="116"/>
        <v>2841.2547551142861</v>
      </c>
      <c r="R179" s="955">
        <f t="shared" si="116"/>
        <v>3016.1070368000005</v>
      </c>
      <c r="S179" s="955">
        <f t="shared" si="116"/>
        <v>3267.4492898666676</v>
      </c>
      <c r="T179" s="955">
        <f t="shared" si="116"/>
        <v>3518.7915429333339</v>
      </c>
      <c r="U179" s="955">
        <f t="shared" si="116"/>
        <v>3732.2048845714294</v>
      </c>
      <c r="V179" s="1728">
        <f t="shared" si="116"/>
        <v>3981.018543542858</v>
      </c>
      <c r="W179" s="1727">
        <f t="shared" si="116"/>
        <v>4229.8322025142861</v>
      </c>
      <c r="X179" s="955">
        <f t="shared" si="116"/>
        <v>4444.5098412000016</v>
      </c>
      <c r="Y179" s="955">
        <f t="shared" si="116"/>
        <v>4691.4270546000007</v>
      </c>
      <c r="Z179" s="955">
        <f t="shared" si="116"/>
        <v>4938.3442680000007</v>
      </c>
      <c r="AA179" s="955">
        <f t="shared" si="116"/>
        <v>5185.2614814000008</v>
      </c>
      <c r="AB179" s="955">
        <f t="shared" si="116"/>
        <v>5432.1786948000017</v>
      </c>
      <c r="AC179" s="955">
        <f t="shared" si="116"/>
        <v>5679.0959082000008</v>
      </c>
      <c r="AD179" s="955">
        <f t="shared" si="116"/>
        <v>5926.0131216000009</v>
      </c>
      <c r="AE179" s="955">
        <f t="shared" si="116"/>
        <v>6172.9303350000009</v>
      </c>
      <c r="AF179" s="1728">
        <f t="shared" si="116"/>
        <v>6419.847548400001</v>
      </c>
      <c r="AG179" s="1729">
        <f t="shared" si="116"/>
        <v>6666.7647618000019</v>
      </c>
      <c r="AH179" s="955">
        <f t="shared" si="116"/>
        <v>6913.681975200001</v>
      </c>
      <c r="AI179" s="955">
        <f t="shared" si="116"/>
        <v>7160.5991886000011</v>
      </c>
      <c r="AJ179" s="955">
        <f t="shared" si="116"/>
        <v>7407.5164020000011</v>
      </c>
      <c r="AK179" s="955">
        <f t="shared" si="116"/>
        <v>7654.4336154000021</v>
      </c>
      <c r="AL179" s="955">
        <f t="shared" si="116"/>
        <v>7901.3508288000021</v>
      </c>
      <c r="AM179" s="955">
        <f t="shared" si="116"/>
        <v>8148.2680422000003</v>
      </c>
      <c r="AN179" s="955">
        <f t="shared" si="116"/>
        <v>8395.1852556000013</v>
      </c>
      <c r="AO179" s="955">
        <f t="shared" si="116"/>
        <v>8642.1024690000013</v>
      </c>
      <c r="AP179" s="1728">
        <f t="shared" si="116"/>
        <v>8889.0196824000031</v>
      </c>
      <c r="AQ179" s="1727">
        <f t="shared" ref="AQ179:BG179" si="117">((AQ$138-$I$4)/1000)*IF($C$14=0,$R$34,$R$51)*(($C$8/70)^$AC$51)*IF($C$14=0,1,IF($C$14&lt;=AQ$139,$AH$51,IF(AND($C$14&gt;=AQ$139,$C$14&lt;=AQ$140),((($AI$51-$AH$51)/(AQ$140-AQ$139))*$C$14+($AH$51-(($AI$51-$AH$51)/(AQ$140-AQ$139))*AQ$139)),IF($C$14&gt;=AQ$140,$AI$51,1))))</f>
        <v>9135.9368958000032</v>
      </c>
      <c r="AR179" s="955">
        <f t="shared" si="117"/>
        <v>9382.8541092000014</v>
      </c>
      <c r="AS179" s="955">
        <f t="shared" si="117"/>
        <v>9629.7713226000014</v>
      </c>
      <c r="AT179" s="955">
        <f t="shared" si="117"/>
        <v>9876.6885360000015</v>
      </c>
      <c r="AU179" s="955">
        <f t="shared" si="117"/>
        <v>10123.6057494</v>
      </c>
      <c r="AV179" s="955">
        <f t="shared" si="117"/>
        <v>10370.522962800002</v>
      </c>
      <c r="AW179" s="955">
        <f t="shared" si="117"/>
        <v>10617.440176200002</v>
      </c>
      <c r="AX179" s="955">
        <f t="shared" si="117"/>
        <v>10864.357389600003</v>
      </c>
      <c r="AY179" s="955">
        <f t="shared" si="117"/>
        <v>11111.274603000003</v>
      </c>
      <c r="AZ179" s="1728">
        <f t="shared" si="117"/>
        <v>11358.191816400002</v>
      </c>
      <c r="BA179" s="1730">
        <f t="shared" si="117"/>
        <v>11605.109029800004</v>
      </c>
      <c r="BB179" s="1731">
        <f t="shared" si="117"/>
        <v>11852.026243200002</v>
      </c>
      <c r="BC179" s="1731">
        <f t="shared" si="117"/>
        <v>12098.943456600004</v>
      </c>
      <c r="BD179" s="1731">
        <f t="shared" si="117"/>
        <v>12345.860670000002</v>
      </c>
      <c r="BE179" s="1731">
        <f t="shared" si="117"/>
        <v>12592.777883400002</v>
      </c>
      <c r="BF179" s="1731">
        <f t="shared" si="117"/>
        <v>12839.695096800002</v>
      </c>
      <c r="BG179" s="1728">
        <f t="shared" si="117"/>
        <v>13086.612310200002</v>
      </c>
      <c r="BH179" s="1729">
        <f t="shared" ref="BH179:CM179" si="118">((BH$138-$I$4)/1000)*IF($C$13=0,$R$34,$R$51)*(($C$8/70)^$AC$51)*IF($C$13=1,$AH$52,IF($C$13=2,$AI$52,IF($C$13=3,$AJ$52,1)))</f>
        <v>-2498.8601274000002</v>
      </c>
      <c r="BI179" s="955">
        <f t="shared" si="118"/>
        <v>-2498.8601274000002</v>
      </c>
      <c r="BJ179" s="955">
        <f t="shared" si="118"/>
        <v>-2498.8601274000002</v>
      </c>
      <c r="BK179" s="955">
        <f t="shared" si="118"/>
        <v>1070.9400546000002</v>
      </c>
      <c r="BL179" s="955">
        <f t="shared" si="118"/>
        <v>1427.9200728000003</v>
      </c>
      <c r="BM179" s="955">
        <f t="shared" si="118"/>
        <v>1784.9000910000002</v>
      </c>
      <c r="BN179" s="955">
        <f t="shared" si="118"/>
        <v>2141.8801092000003</v>
      </c>
      <c r="BO179" s="955">
        <f t="shared" si="118"/>
        <v>2498.8601274000002</v>
      </c>
      <c r="BP179" s="955">
        <f t="shared" si="118"/>
        <v>2855.8401456000006</v>
      </c>
      <c r="BQ179" s="955">
        <f t="shared" si="118"/>
        <v>3212.8201638000005</v>
      </c>
      <c r="BR179" s="955">
        <f t="shared" si="118"/>
        <v>3569.8001820000004</v>
      </c>
      <c r="BS179" s="955">
        <f t="shared" si="118"/>
        <v>3926.7802002000008</v>
      </c>
      <c r="BT179" s="955">
        <f t="shared" si="118"/>
        <v>4283.7602184000007</v>
      </c>
      <c r="BU179" s="955">
        <f t="shared" si="118"/>
        <v>4640.7402366000006</v>
      </c>
      <c r="BV179" s="955">
        <f t="shared" si="118"/>
        <v>4997.7202548000005</v>
      </c>
      <c r="BW179" s="955">
        <f t="shared" si="118"/>
        <v>5354.7002730000004</v>
      </c>
      <c r="BX179" s="955">
        <f t="shared" si="118"/>
        <v>5711.6802912000012</v>
      </c>
      <c r="BY179" s="955">
        <f t="shared" si="118"/>
        <v>6068.6603094000002</v>
      </c>
      <c r="BZ179" s="955">
        <f t="shared" si="118"/>
        <v>6425.640327600001</v>
      </c>
      <c r="CA179" s="955">
        <f t="shared" si="118"/>
        <v>6782.6203458</v>
      </c>
      <c r="CB179" s="955">
        <f t="shared" si="118"/>
        <v>7139.6003640000008</v>
      </c>
      <c r="CC179" s="955">
        <f t="shared" si="118"/>
        <v>7496.5803822000007</v>
      </c>
      <c r="CD179" s="955">
        <f t="shared" si="118"/>
        <v>7853.5604004000015</v>
      </c>
      <c r="CE179" s="955">
        <f t="shared" si="118"/>
        <v>8210.5404185999996</v>
      </c>
      <c r="CF179" s="955">
        <f t="shared" si="118"/>
        <v>8567.5204368000013</v>
      </c>
      <c r="CG179" s="955">
        <f t="shared" si="118"/>
        <v>8924.5004550000012</v>
      </c>
      <c r="CH179" s="955">
        <f t="shared" si="118"/>
        <v>9281.4804732000011</v>
      </c>
      <c r="CI179" s="955">
        <f t="shared" si="118"/>
        <v>9638.460491400001</v>
      </c>
      <c r="CJ179" s="955">
        <f t="shared" si="118"/>
        <v>9995.440509600001</v>
      </c>
      <c r="CK179" s="955">
        <f t="shared" si="118"/>
        <v>10352.420527800001</v>
      </c>
      <c r="CL179" s="955">
        <f t="shared" si="118"/>
        <v>10709.400546000001</v>
      </c>
      <c r="CM179" s="955">
        <f t="shared" si="118"/>
        <v>11066.380564200001</v>
      </c>
      <c r="CN179" s="955">
        <f t="shared" ref="CN179:DG179" si="119">((CN$138-$I$4)/1000)*IF($C$13=0,$R$34,$R$51)*(($C$8/70)^$AC$51)*IF($C$13=1,$AH$52,IF($C$13=2,$AI$52,IF($C$13=3,$AJ$52,1)))</f>
        <v>11423.360582400002</v>
      </c>
      <c r="CO179" s="955">
        <f t="shared" si="119"/>
        <v>11780.340600599999</v>
      </c>
      <c r="CP179" s="955">
        <f t="shared" si="119"/>
        <v>12137.3206188</v>
      </c>
      <c r="CQ179" s="955">
        <f t="shared" si="119"/>
        <v>12494.300637</v>
      </c>
      <c r="CR179" s="955">
        <f t="shared" si="119"/>
        <v>12851.280655200002</v>
      </c>
      <c r="CS179" s="955">
        <f t="shared" si="119"/>
        <v>13208.260673400002</v>
      </c>
      <c r="CT179" s="955">
        <f t="shared" si="119"/>
        <v>13565.2406916</v>
      </c>
      <c r="CU179" s="955">
        <f t="shared" si="119"/>
        <v>13922.220709800002</v>
      </c>
      <c r="CV179" s="955">
        <f t="shared" si="119"/>
        <v>14279.200728000002</v>
      </c>
      <c r="CW179" s="955">
        <f t="shared" si="119"/>
        <v>14636.1807462</v>
      </c>
      <c r="CX179" s="955">
        <f t="shared" si="119"/>
        <v>14993.160764400001</v>
      </c>
      <c r="CY179" s="955">
        <f t="shared" si="119"/>
        <v>15350.1407826</v>
      </c>
      <c r="CZ179" s="955">
        <f t="shared" si="119"/>
        <v>15707.120800800003</v>
      </c>
      <c r="DA179" s="955">
        <f t="shared" si="119"/>
        <v>16064.100819000003</v>
      </c>
      <c r="DB179" s="955">
        <f t="shared" si="119"/>
        <v>16421.080837199999</v>
      </c>
      <c r="DC179" s="955">
        <f t="shared" si="119"/>
        <v>16778.060855400003</v>
      </c>
      <c r="DD179" s="955">
        <f t="shared" si="119"/>
        <v>17135.040873600003</v>
      </c>
      <c r="DE179" s="955">
        <f t="shared" si="119"/>
        <v>17492.020891800003</v>
      </c>
      <c r="DF179" s="955">
        <f t="shared" si="119"/>
        <v>17849.000910000002</v>
      </c>
      <c r="DG179" s="955">
        <f t="shared" si="119"/>
        <v>18205.980928199999</v>
      </c>
    </row>
    <row r="180" spans="1:111">
      <c r="A180" s="2846"/>
      <c r="B180" s="2730" t="s">
        <v>387</v>
      </c>
      <c r="C180" s="2730"/>
      <c r="D180" s="2900"/>
      <c r="E180" s="1719" t="s">
        <v>194</v>
      </c>
      <c r="F180" s="1719">
        <v>140</v>
      </c>
      <c r="G180" s="1719">
        <v>400</v>
      </c>
      <c r="H180" s="1719">
        <v>6</v>
      </c>
      <c r="I180" s="1732"/>
      <c r="J180" s="1733"/>
      <c r="K180" s="1734">
        <f t="shared" ref="K180:AP180" si="120">((K$138-$I$4)/1000)*IF($C$14=0,$S$34,$S$51)*(($C$8/70)^$AD$51)*IF($C$14=0,1,IF($C$14&lt;=K$139,$AH$51,IF(AND($C$14&gt;=K$139,$C$14&lt;=K$140),((($AI$51-$AH$51)/(K$140-K$139))*$C$14+($AH$51-(($AI$51-$AH$51)/(K$140-K$139))*K$139)),IF($C$14&gt;=K$140,$AI$51,1))))</f>
        <v>1270.1472010778573</v>
      </c>
      <c r="L180" s="1151">
        <f t="shared" si="120"/>
        <v>1524.1766412934287</v>
      </c>
      <c r="M180" s="1151">
        <f t="shared" si="120"/>
        <v>1778.2060815089999</v>
      </c>
      <c r="N180" s="1151">
        <f t="shared" si="120"/>
        <v>2032.2355217245715</v>
      </c>
      <c r="O180" s="1151">
        <f t="shared" si="120"/>
        <v>2286.2649619401432</v>
      </c>
      <c r="P180" s="1151">
        <f t="shared" si="120"/>
        <v>2540.2944021557146</v>
      </c>
      <c r="Q180" s="1151">
        <f t="shared" si="120"/>
        <v>2794.3238423712864</v>
      </c>
      <c r="R180" s="1151">
        <f t="shared" si="120"/>
        <v>2966.2879715040008</v>
      </c>
      <c r="S180" s="1151">
        <f t="shared" si="120"/>
        <v>3213.4786357960006</v>
      </c>
      <c r="T180" s="1151">
        <f t="shared" si="120"/>
        <v>3460.6693000880005</v>
      </c>
      <c r="U180" s="1151">
        <f t="shared" si="120"/>
        <v>3670.5575502514289</v>
      </c>
      <c r="V180" s="1735">
        <f t="shared" si="120"/>
        <v>3915.2613869348575</v>
      </c>
      <c r="W180" s="1734">
        <f t="shared" si="120"/>
        <v>4159.9652236182865</v>
      </c>
      <c r="X180" s="1151">
        <f t="shared" si="120"/>
        <v>4371.0968875860008</v>
      </c>
      <c r="Y180" s="1151">
        <f t="shared" si="120"/>
        <v>4613.9356035630008</v>
      </c>
      <c r="Z180" s="1151">
        <f t="shared" si="120"/>
        <v>4856.7743195400008</v>
      </c>
      <c r="AA180" s="1151">
        <f t="shared" si="120"/>
        <v>5099.6130355170008</v>
      </c>
      <c r="AB180" s="1151">
        <f t="shared" si="120"/>
        <v>5342.4517514940017</v>
      </c>
      <c r="AC180" s="1151">
        <f t="shared" si="120"/>
        <v>5585.2904674709998</v>
      </c>
      <c r="AD180" s="1151">
        <f t="shared" si="120"/>
        <v>5828.1291834480007</v>
      </c>
      <c r="AE180" s="1151">
        <f t="shared" si="120"/>
        <v>6070.9678994250007</v>
      </c>
      <c r="AF180" s="1735">
        <f t="shared" si="120"/>
        <v>6313.8066154020007</v>
      </c>
      <c r="AG180" s="1736">
        <f t="shared" si="120"/>
        <v>6556.6453313790016</v>
      </c>
      <c r="AH180" s="1151">
        <f t="shared" si="120"/>
        <v>6799.4840473559998</v>
      </c>
      <c r="AI180" s="1151">
        <f t="shared" si="120"/>
        <v>7042.3227633329998</v>
      </c>
      <c r="AJ180" s="1151">
        <f t="shared" si="120"/>
        <v>7285.1614793100007</v>
      </c>
      <c r="AK180" s="1151">
        <f t="shared" si="120"/>
        <v>7528.0001952870016</v>
      </c>
      <c r="AL180" s="1151">
        <f t="shared" si="120"/>
        <v>7770.8389112640007</v>
      </c>
      <c r="AM180" s="1151">
        <f t="shared" si="120"/>
        <v>8013.6776272410007</v>
      </c>
      <c r="AN180" s="1151">
        <f t="shared" si="120"/>
        <v>8256.5163432180016</v>
      </c>
      <c r="AO180" s="1151">
        <f t="shared" si="120"/>
        <v>8499.3550591950025</v>
      </c>
      <c r="AP180" s="1735">
        <f t="shared" si="120"/>
        <v>8742.1937751720016</v>
      </c>
      <c r="AQ180" s="1734">
        <f t="shared" ref="AQ180:BG180" si="121">((AQ$138-$I$4)/1000)*IF($C$14=0,$S$34,$S$51)*(($C$8/70)^$AD$51)*IF($C$14=0,1,IF($C$14&lt;=AQ$139,$AH$51,IF(AND($C$14&gt;=AQ$139,$C$14&lt;=AQ$140),((($AI$51-$AH$51)/(AQ$140-AQ$139))*$C$14+($AH$51-(($AI$51-$AH$51)/(AQ$140-AQ$139))*AQ$139)),IF($C$14&gt;=AQ$140,$AI$51,1))))</f>
        <v>8985.0324911490025</v>
      </c>
      <c r="AR180" s="1151">
        <f t="shared" si="121"/>
        <v>9227.8712071260015</v>
      </c>
      <c r="AS180" s="1151">
        <f t="shared" si="121"/>
        <v>9470.7099231030006</v>
      </c>
      <c r="AT180" s="1151">
        <f t="shared" si="121"/>
        <v>9713.5486390800015</v>
      </c>
      <c r="AU180" s="1151">
        <f t="shared" si="121"/>
        <v>9956.3873550570006</v>
      </c>
      <c r="AV180" s="1151">
        <f t="shared" si="121"/>
        <v>10199.226071034002</v>
      </c>
      <c r="AW180" s="1151">
        <f t="shared" si="121"/>
        <v>10442.064787011001</v>
      </c>
      <c r="AX180" s="1151">
        <f t="shared" si="121"/>
        <v>10684.903502988003</v>
      </c>
      <c r="AY180" s="1151">
        <f t="shared" si="121"/>
        <v>10927.742218965001</v>
      </c>
      <c r="AZ180" s="1735">
        <f t="shared" si="121"/>
        <v>11170.580934942</v>
      </c>
      <c r="BA180" s="1737">
        <f t="shared" si="121"/>
        <v>11413.419650919002</v>
      </c>
      <c r="BB180" s="1738">
        <f t="shared" si="121"/>
        <v>11656.258366896001</v>
      </c>
      <c r="BC180" s="1738">
        <f t="shared" si="121"/>
        <v>11899.097082873002</v>
      </c>
      <c r="BD180" s="1738">
        <f t="shared" si="121"/>
        <v>12141.935798850001</v>
      </c>
      <c r="BE180" s="1738">
        <f t="shared" si="121"/>
        <v>12384.774514827001</v>
      </c>
      <c r="BF180" s="1738">
        <f t="shared" si="121"/>
        <v>12627.613230804001</v>
      </c>
      <c r="BG180" s="1735">
        <f t="shared" si="121"/>
        <v>12870.451946781001</v>
      </c>
      <c r="BH180" s="1736">
        <f t="shared" ref="BH180:CM180" si="122">((BH$138-$I$4)/1000)*IF($C$13=0,$S$34,$S$51)*(($C$8/70)^$AD$51)*IF($C$13=1,$AH$51,IF($C$13=2,$AI$51,IF($C$13=3,$AJ$51,1)))</f>
        <v>-2457.5847766469997</v>
      </c>
      <c r="BI180" s="1151">
        <f t="shared" si="122"/>
        <v>-2457.5847766469997</v>
      </c>
      <c r="BJ180" s="1151">
        <f t="shared" si="122"/>
        <v>-2457.5847766469997</v>
      </c>
      <c r="BK180" s="1151">
        <f t="shared" si="122"/>
        <v>1053.250618563</v>
      </c>
      <c r="BL180" s="1151">
        <f t="shared" si="122"/>
        <v>1404.3341580840001</v>
      </c>
      <c r="BM180" s="1151">
        <f t="shared" si="122"/>
        <v>1755.4176976050001</v>
      </c>
      <c r="BN180" s="1151">
        <f t="shared" si="122"/>
        <v>2106.501237126</v>
      </c>
      <c r="BO180" s="1151">
        <f t="shared" si="122"/>
        <v>2457.5847766469997</v>
      </c>
      <c r="BP180" s="1151">
        <f t="shared" si="122"/>
        <v>2808.6683161680003</v>
      </c>
      <c r="BQ180" s="1151">
        <f t="shared" si="122"/>
        <v>3159.751855689</v>
      </c>
      <c r="BR180" s="1151">
        <f t="shared" si="122"/>
        <v>3510.8353952100001</v>
      </c>
      <c r="BS180" s="1151">
        <f t="shared" si="122"/>
        <v>3861.9189347310007</v>
      </c>
      <c r="BT180" s="1151">
        <f t="shared" si="122"/>
        <v>4213.002474252</v>
      </c>
      <c r="BU180" s="1151">
        <f t="shared" si="122"/>
        <v>4564.0860137730006</v>
      </c>
      <c r="BV180" s="1151">
        <f t="shared" si="122"/>
        <v>4915.1695532939993</v>
      </c>
      <c r="BW180" s="1151">
        <f t="shared" si="122"/>
        <v>5266.2530928149999</v>
      </c>
      <c r="BX180" s="1151">
        <f t="shared" si="122"/>
        <v>5617.3366323360005</v>
      </c>
      <c r="BY180" s="1151">
        <f t="shared" si="122"/>
        <v>5968.4201718570002</v>
      </c>
      <c r="BZ180" s="1151">
        <f t="shared" si="122"/>
        <v>6319.5037113779999</v>
      </c>
      <c r="CA180" s="1151">
        <f t="shared" si="122"/>
        <v>6670.5872508990005</v>
      </c>
      <c r="CB180" s="1151">
        <f t="shared" si="122"/>
        <v>7021.6707904200002</v>
      </c>
      <c r="CC180" s="1151">
        <f t="shared" si="122"/>
        <v>7372.7543299409999</v>
      </c>
      <c r="CD180" s="1151">
        <f t="shared" si="122"/>
        <v>7723.8378694620014</v>
      </c>
      <c r="CE180" s="1151">
        <f t="shared" si="122"/>
        <v>8074.9214089829993</v>
      </c>
      <c r="CF180" s="1151">
        <f t="shared" si="122"/>
        <v>8426.0049485039999</v>
      </c>
      <c r="CG180" s="1151">
        <f t="shared" si="122"/>
        <v>8777.0884880249996</v>
      </c>
      <c r="CH180" s="1151">
        <f t="shared" si="122"/>
        <v>9128.1720275460011</v>
      </c>
      <c r="CI180" s="1151">
        <f t="shared" si="122"/>
        <v>9479.2555670670008</v>
      </c>
      <c r="CJ180" s="1151">
        <f t="shared" si="122"/>
        <v>9830.3391065879987</v>
      </c>
      <c r="CK180" s="1151">
        <f t="shared" si="122"/>
        <v>10181.422646108998</v>
      </c>
      <c r="CL180" s="1151">
        <f t="shared" si="122"/>
        <v>10532.50618563</v>
      </c>
      <c r="CM180" s="1151">
        <f t="shared" si="122"/>
        <v>10883.589725151001</v>
      </c>
      <c r="CN180" s="1151">
        <f t="shared" ref="CN180:DG180" si="123">((CN$138-$I$4)/1000)*IF($C$13=0,$S$34,$S$51)*(($C$8/70)^$AD$51)*IF($C$13=1,$AH$51,IF($C$13=2,$AI$51,IF($C$13=3,$AJ$51,1)))</f>
        <v>11234.673264672001</v>
      </c>
      <c r="CO180" s="1151">
        <f t="shared" si="123"/>
        <v>11585.756804192999</v>
      </c>
      <c r="CP180" s="1151">
        <f t="shared" si="123"/>
        <v>11936.840343714</v>
      </c>
      <c r="CQ180" s="1151">
        <f t="shared" si="123"/>
        <v>12287.923883235002</v>
      </c>
      <c r="CR180" s="1151">
        <f t="shared" si="123"/>
        <v>12639.007422756</v>
      </c>
      <c r="CS180" s="1151">
        <f t="shared" si="123"/>
        <v>12990.090962277001</v>
      </c>
      <c r="CT180" s="1151">
        <f t="shared" si="123"/>
        <v>13341.174501798001</v>
      </c>
      <c r="CU180" s="1151">
        <f t="shared" si="123"/>
        <v>13692.258041318999</v>
      </c>
      <c r="CV180" s="1151">
        <f t="shared" si="123"/>
        <v>14043.34158084</v>
      </c>
      <c r="CW180" s="1151">
        <f t="shared" si="123"/>
        <v>14394.425120361</v>
      </c>
      <c r="CX180" s="1151">
        <f t="shared" si="123"/>
        <v>14745.508659882</v>
      </c>
      <c r="CY180" s="1151">
        <f t="shared" si="123"/>
        <v>15096.592199403</v>
      </c>
      <c r="CZ180" s="1151">
        <f t="shared" si="123"/>
        <v>15447.675738924003</v>
      </c>
      <c r="DA180" s="1151">
        <f t="shared" si="123"/>
        <v>15798.759278444999</v>
      </c>
      <c r="DB180" s="1151">
        <f t="shared" si="123"/>
        <v>16149.842817965999</v>
      </c>
      <c r="DC180" s="1151">
        <f t="shared" si="123"/>
        <v>16500.926357487002</v>
      </c>
      <c r="DD180" s="1151">
        <f t="shared" si="123"/>
        <v>16852.009897008</v>
      </c>
      <c r="DE180" s="1151">
        <f t="shared" si="123"/>
        <v>17203.093436529001</v>
      </c>
      <c r="DF180" s="1151">
        <f t="shared" si="123"/>
        <v>17554.176976049999</v>
      </c>
      <c r="DG180" s="1151">
        <f t="shared" si="123"/>
        <v>17905.260515571001</v>
      </c>
    </row>
    <row r="181" spans="1:111" ht="15.75" thickBot="1">
      <c r="A181" s="2846"/>
      <c r="B181" s="2731" t="s">
        <v>388</v>
      </c>
      <c r="C181" s="2731"/>
      <c r="D181" s="2901"/>
      <c r="E181" s="1739" t="s">
        <v>194</v>
      </c>
      <c r="F181" s="1739">
        <v>140</v>
      </c>
      <c r="G181" s="1739">
        <v>400</v>
      </c>
      <c r="H181" s="1739">
        <v>8</v>
      </c>
      <c r="I181" s="1092"/>
      <c r="J181" s="1740"/>
      <c r="K181" s="1741">
        <f t="shared" ref="K181:AP181" si="124">((K$138-$I$4)/1000)*IF($C$14=0,$T$34,$T$51)*(($C$8/70)^$AE$51)*IF($C$14=0,1,IF($C$14&lt;=K$139,$AH$51,IF(AND($C$14&gt;=K$139,$C$14&lt;=K$140),((($AI$51-$AH$51)/(K$140-K$139))*$C$14+($AH$51-(($AI$51-$AH$51)/(K$140-K$139))*K$139)),IF($C$14&gt;=K$140,$AI$51,1))))</f>
        <v>1388.1390175714284</v>
      </c>
      <c r="L181" s="956">
        <f t="shared" si="124"/>
        <v>1665.7668210857141</v>
      </c>
      <c r="M181" s="956">
        <f t="shared" si="124"/>
        <v>1943.3946245999996</v>
      </c>
      <c r="N181" s="956">
        <f t="shared" si="124"/>
        <v>2221.022428114286</v>
      </c>
      <c r="O181" s="956">
        <f t="shared" si="124"/>
        <v>2498.6502316285714</v>
      </c>
      <c r="P181" s="956">
        <f t="shared" si="124"/>
        <v>2776.2780351428569</v>
      </c>
      <c r="Q181" s="956">
        <f t="shared" si="124"/>
        <v>3053.9058386571428</v>
      </c>
      <c r="R181" s="956">
        <f t="shared" si="124"/>
        <v>3241.8447775999998</v>
      </c>
      <c r="S181" s="956">
        <f t="shared" si="124"/>
        <v>3511.9985090666673</v>
      </c>
      <c r="T181" s="956">
        <f t="shared" si="124"/>
        <v>3782.152240533333</v>
      </c>
      <c r="U181" s="956">
        <f t="shared" si="124"/>
        <v>4011.538306285714</v>
      </c>
      <c r="V181" s="1742">
        <f t="shared" si="124"/>
        <v>4278.9741933714295</v>
      </c>
      <c r="W181" s="1741">
        <f t="shared" si="124"/>
        <v>4546.4100804571426</v>
      </c>
      <c r="X181" s="956">
        <f t="shared" si="124"/>
        <v>4777.1550684000003</v>
      </c>
      <c r="Y181" s="956">
        <f t="shared" si="124"/>
        <v>5042.5525721999993</v>
      </c>
      <c r="Z181" s="956">
        <f t="shared" si="124"/>
        <v>5307.9500760000001</v>
      </c>
      <c r="AA181" s="956">
        <f t="shared" si="124"/>
        <v>5573.3475798000009</v>
      </c>
      <c r="AB181" s="956">
        <f t="shared" si="124"/>
        <v>5838.7450836000007</v>
      </c>
      <c r="AC181" s="956">
        <f t="shared" si="124"/>
        <v>6104.1425873999997</v>
      </c>
      <c r="AD181" s="956">
        <f t="shared" si="124"/>
        <v>6369.5400911999996</v>
      </c>
      <c r="AE181" s="956">
        <f t="shared" si="124"/>
        <v>6634.9375950000003</v>
      </c>
      <c r="AF181" s="1742">
        <f t="shared" si="124"/>
        <v>6900.3350988000002</v>
      </c>
      <c r="AG181" s="1743">
        <f t="shared" si="124"/>
        <v>7165.732602600001</v>
      </c>
      <c r="AH181" s="956">
        <f t="shared" si="124"/>
        <v>7431.130106399999</v>
      </c>
      <c r="AI181" s="956">
        <f t="shared" si="124"/>
        <v>7696.5276101999998</v>
      </c>
      <c r="AJ181" s="956">
        <f t="shared" si="124"/>
        <v>7961.9251139999997</v>
      </c>
      <c r="AK181" s="956">
        <f t="shared" si="124"/>
        <v>8227.3226178000004</v>
      </c>
      <c r="AL181" s="956">
        <f t="shared" si="124"/>
        <v>8492.7201216000012</v>
      </c>
      <c r="AM181" s="956">
        <f t="shared" si="124"/>
        <v>8758.1176253999984</v>
      </c>
      <c r="AN181" s="956">
        <f t="shared" si="124"/>
        <v>9023.5151291999991</v>
      </c>
      <c r="AO181" s="956">
        <f t="shared" si="124"/>
        <v>9288.9126329999999</v>
      </c>
      <c r="AP181" s="1742">
        <f t="shared" si="124"/>
        <v>9554.3101368000007</v>
      </c>
      <c r="AQ181" s="1741">
        <f t="shared" ref="AQ181:BG181" si="125">((AQ$138-$I$4)/1000)*IF($C$14=0,$T$34,$T$51)*(($C$8/70)^$AE$51)*IF($C$14=0,1,IF($C$14&lt;=AQ$139,$AH$51,IF(AND($C$14&gt;=AQ$139,$C$14&lt;=AQ$140),((($AI$51-$AH$51)/(AQ$140-AQ$139))*$C$14+($AH$51-(($AI$51-$AH$51)/(AQ$140-AQ$139))*AQ$139)),IF($C$14&gt;=AQ$140,$AI$51,1))))</f>
        <v>9819.7076406000015</v>
      </c>
      <c r="AR181" s="956">
        <f t="shared" si="125"/>
        <v>10085.105144399999</v>
      </c>
      <c r="AS181" s="956">
        <f t="shared" si="125"/>
        <v>10350.502648199999</v>
      </c>
      <c r="AT181" s="956">
        <f t="shared" si="125"/>
        <v>10615.900152</v>
      </c>
      <c r="AU181" s="956">
        <f t="shared" si="125"/>
        <v>10881.297655799999</v>
      </c>
      <c r="AV181" s="956">
        <f t="shared" si="125"/>
        <v>11146.695159600002</v>
      </c>
      <c r="AW181" s="956">
        <f t="shared" si="125"/>
        <v>11412.092663399999</v>
      </c>
      <c r="AX181" s="956">
        <f t="shared" si="125"/>
        <v>11677.490167200001</v>
      </c>
      <c r="AY181" s="956">
        <f t="shared" si="125"/>
        <v>11942.887671</v>
      </c>
      <c r="AZ181" s="1742">
        <f t="shared" si="125"/>
        <v>12208.285174799999</v>
      </c>
      <c r="BA181" s="1744">
        <f t="shared" si="125"/>
        <v>12473.682678600002</v>
      </c>
      <c r="BB181" s="1745">
        <f t="shared" si="125"/>
        <v>12739.080182399999</v>
      </c>
      <c r="BC181" s="1745">
        <f t="shared" si="125"/>
        <v>13004.477686200002</v>
      </c>
      <c r="BD181" s="1745">
        <f t="shared" si="125"/>
        <v>13269.875190000001</v>
      </c>
      <c r="BE181" s="1745">
        <f t="shared" si="125"/>
        <v>13535.2726938</v>
      </c>
      <c r="BF181" s="1745">
        <f t="shared" si="125"/>
        <v>13800.6701976</v>
      </c>
      <c r="BG181" s="1742">
        <f t="shared" si="125"/>
        <v>14066.067701400001</v>
      </c>
      <c r="BH181" s="1736">
        <f t="shared" ref="BH181:CM181" si="126">((BH$138-$I$4)/1000)*IF($C$13=0,$T$34,$T$51)*(($C$8/70)^$AE$51)*IF($C$13=1,$AH$51,IF($C$13=2,$AI$51,IF($C$13=3,$AJ$51,1)))</f>
        <v>-2685.8850017999994</v>
      </c>
      <c r="BI181" s="1151">
        <f t="shared" si="126"/>
        <v>-2685.8850017999994</v>
      </c>
      <c r="BJ181" s="1151">
        <f t="shared" si="126"/>
        <v>-2685.8850017999994</v>
      </c>
      <c r="BK181" s="1151">
        <f t="shared" si="126"/>
        <v>1151.0935721999997</v>
      </c>
      <c r="BL181" s="1151">
        <f t="shared" si="126"/>
        <v>1534.7914296000001</v>
      </c>
      <c r="BM181" s="1151">
        <f t="shared" si="126"/>
        <v>1918.4892869999999</v>
      </c>
      <c r="BN181" s="1151">
        <f t="shared" si="126"/>
        <v>2302.1871443999994</v>
      </c>
      <c r="BO181" s="1151">
        <f t="shared" si="126"/>
        <v>2685.8850017999994</v>
      </c>
      <c r="BP181" s="1151">
        <f t="shared" si="126"/>
        <v>3069.5828592000003</v>
      </c>
      <c r="BQ181" s="1151">
        <f t="shared" si="126"/>
        <v>3453.2807165999998</v>
      </c>
      <c r="BR181" s="1151">
        <f t="shared" si="126"/>
        <v>3836.9785739999998</v>
      </c>
      <c r="BS181" s="1151">
        <f t="shared" si="126"/>
        <v>4220.6764314000002</v>
      </c>
      <c r="BT181" s="1151">
        <f t="shared" si="126"/>
        <v>4604.3742887999988</v>
      </c>
      <c r="BU181" s="1151">
        <f t="shared" si="126"/>
        <v>4988.0721462000001</v>
      </c>
      <c r="BV181" s="1151">
        <f t="shared" si="126"/>
        <v>5371.7700035999987</v>
      </c>
      <c r="BW181" s="1151">
        <f t="shared" si="126"/>
        <v>5755.4678609999992</v>
      </c>
      <c r="BX181" s="1151">
        <f t="shared" si="126"/>
        <v>6139.1657184000005</v>
      </c>
      <c r="BY181" s="1151">
        <f t="shared" si="126"/>
        <v>6522.8635757999991</v>
      </c>
      <c r="BZ181" s="1151">
        <f t="shared" si="126"/>
        <v>6906.5614331999996</v>
      </c>
      <c r="CA181" s="1151">
        <f t="shared" si="126"/>
        <v>7290.2592905999982</v>
      </c>
      <c r="CB181" s="1151">
        <f t="shared" si="126"/>
        <v>7673.9571479999995</v>
      </c>
      <c r="CC181" s="1151">
        <f t="shared" si="126"/>
        <v>8057.6550053999999</v>
      </c>
      <c r="CD181" s="1151">
        <f t="shared" si="126"/>
        <v>8441.3528628000004</v>
      </c>
      <c r="CE181" s="1151">
        <f t="shared" si="126"/>
        <v>8825.050720199999</v>
      </c>
      <c r="CF181" s="1151">
        <f t="shared" si="126"/>
        <v>9208.7485775999976</v>
      </c>
      <c r="CG181" s="1151">
        <f t="shared" si="126"/>
        <v>9592.4464349999998</v>
      </c>
      <c r="CH181" s="1151">
        <f t="shared" si="126"/>
        <v>9976.1442924000003</v>
      </c>
      <c r="CI181" s="1151">
        <f t="shared" si="126"/>
        <v>10359.842149800001</v>
      </c>
      <c r="CJ181" s="1151">
        <f t="shared" si="126"/>
        <v>10743.540007199997</v>
      </c>
      <c r="CK181" s="1151">
        <f t="shared" si="126"/>
        <v>11127.237864599998</v>
      </c>
      <c r="CL181" s="1151">
        <f t="shared" si="126"/>
        <v>11510.935721999998</v>
      </c>
      <c r="CM181" s="1151">
        <f t="shared" si="126"/>
        <v>11894.633579400001</v>
      </c>
      <c r="CN181" s="1151">
        <f t="shared" ref="CN181:DG181" si="127">((CN$138-$I$4)/1000)*IF($C$13=0,$T$34,$T$51)*(($C$8/70)^$AE$51)*IF($C$13=1,$AH$51,IF($C$13=2,$AI$51,IF($C$13=3,$AJ$51,1)))</f>
        <v>12278.331436800001</v>
      </c>
      <c r="CO181" s="1151">
        <f t="shared" si="127"/>
        <v>12662.029294199998</v>
      </c>
      <c r="CP181" s="1151">
        <f t="shared" si="127"/>
        <v>13045.727151599998</v>
      </c>
      <c r="CQ181" s="1151">
        <f t="shared" si="127"/>
        <v>13429.425008999999</v>
      </c>
      <c r="CR181" s="1151">
        <f t="shared" si="127"/>
        <v>13813.122866399999</v>
      </c>
      <c r="CS181" s="1151">
        <f t="shared" si="127"/>
        <v>14196.8207238</v>
      </c>
      <c r="CT181" s="1151">
        <f t="shared" si="127"/>
        <v>14580.518581199996</v>
      </c>
      <c r="CU181" s="1151">
        <f t="shared" si="127"/>
        <v>14964.216438599997</v>
      </c>
      <c r="CV181" s="1151">
        <f t="shared" si="127"/>
        <v>15347.914295999999</v>
      </c>
      <c r="CW181" s="1151">
        <f t="shared" si="127"/>
        <v>15731.612153399998</v>
      </c>
      <c r="CX181" s="1151">
        <f t="shared" si="127"/>
        <v>16115.3100108</v>
      </c>
      <c r="CY181" s="1151">
        <f t="shared" si="127"/>
        <v>16499.007868199995</v>
      </c>
      <c r="CZ181" s="1151">
        <f t="shared" si="127"/>
        <v>16882.705725600001</v>
      </c>
      <c r="DA181" s="1151">
        <f t="shared" si="127"/>
        <v>17266.403582999999</v>
      </c>
      <c r="DB181" s="1151">
        <f t="shared" si="127"/>
        <v>17650.101440399998</v>
      </c>
      <c r="DC181" s="1151">
        <f t="shared" si="127"/>
        <v>18033.7992978</v>
      </c>
      <c r="DD181" s="1151">
        <f t="shared" si="127"/>
        <v>18417.497155199995</v>
      </c>
      <c r="DE181" s="1151">
        <f t="shared" si="127"/>
        <v>18801.195012600001</v>
      </c>
      <c r="DF181" s="1151">
        <f t="shared" si="127"/>
        <v>19184.89287</v>
      </c>
      <c r="DG181" s="1151">
        <f t="shared" si="127"/>
        <v>19568.590727399998</v>
      </c>
    </row>
    <row r="182" spans="1:111">
      <c r="A182" s="2846"/>
      <c r="B182" s="2790" t="s">
        <v>253</v>
      </c>
      <c r="C182" s="2790"/>
      <c r="D182" s="2913">
        <v>125</v>
      </c>
      <c r="E182" s="1746" t="s">
        <v>194</v>
      </c>
      <c r="F182" s="1746">
        <v>150</v>
      </c>
      <c r="G182" s="1746">
        <v>160</v>
      </c>
      <c r="H182" s="1746">
        <v>4</v>
      </c>
      <c r="I182" s="1166"/>
      <c r="J182" s="1747"/>
      <c r="K182" s="1748">
        <f t="shared" ref="K182:AP182" si="128">((K$138-$I$4)/1000)*IF($C$14=0,$L$35,$L$52)*(($C$8/70)^$W$52)*IF($C$14=0,1,IF($C$14&lt;=K$139,$AH$52,IF(AND($C$14&gt;=K$139,$C$14&lt;=K$140),((($AI$52-$AH$52)/(K$140-K$139))*$C$14+($AH$52-(($AI$52-$AH$52)/(K$140-K$139))*K$139)),IF($C$14&gt;=K$140,$AI$52,1))))</f>
        <v>957.98091674999989</v>
      </c>
      <c r="L182" s="875">
        <f t="shared" si="128"/>
        <v>1149.5771001000001</v>
      </c>
      <c r="M182" s="875">
        <f t="shared" si="128"/>
        <v>1341.1732834499999</v>
      </c>
      <c r="N182" s="875">
        <f t="shared" si="128"/>
        <v>1532.7694667999999</v>
      </c>
      <c r="O182" s="875">
        <f t="shared" si="128"/>
        <v>1724.3656501499997</v>
      </c>
      <c r="P182" s="875">
        <f t="shared" si="128"/>
        <v>1915.9618334999998</v>
      </c>
      <c r="Q182" s="875">
        <f t="shared" si="128"/>
        <v>2107.5580168500001</v>
      </c>
      <c r="R182" s="875">
        <f t="shared" si="128"/>
        <v>2237.2582232</v>
      </c>
      <c r="S182" s="875">
        <f t="shared" si="128"/>
        <v>2423.6964084666665</v>
      </c>
      <c r="T182" s="875">
        <f t="shared" si="128"/>
        <v>2610.1345937333331</v>
      </c>
      <c r="U182" s="875">
        <f t="shared" si="128"/>
        <v>2768.4382439999999</v>
      </c>
      <c r="V182" s="1749">
        <f t="shared" si="128"/>
        <v>2953.0007936000002</v>
      </c>
      <c r="W182" s="1748">
        <f t="shared" si="128"/>
        <v>3137.5633432</v>
      </c>
      <c r="X182" s="875">
        <f t="shared" si="128"/>
        <v>3296.8048113</v>
      </c>
      <c r="Y182" s="875">
        <f t="shared" si="128"/>
        <v>3479.9606341499998</v>
      </c>
      <c r="Z182" s="875">
        <f t="shared" si="128"/>
        <v>3663.1164570000001</v>
      </c>
      <c r="AA182" s="875">
        <f t="shared" si="128"/>
        <v>3846.2722798499999</v>
      </c>
      <c r="AB182" s="875">
        <f t="shared" si="128"/>
        <v>4029.4281027000002</v>
      </c>
      <c r="AC182" s="875">
        <f t="shared" si="128"/>
        <v>4212.5839255499995</v>
      </c>
      <c r="AD182" s="875">
        <f t="shared" si="128"/>
        <v>4395.7397484000003</v>
      </c>
      <c r="AE182" s="875">
        <f t="shared" si="128"/>
        <v>4578.8955712499992</v>
      </c>
      <c r="AF182" s="1749">
        <f t="shared" si="128"/>
        <v>4762.0513940999999</v>
      </c>
      <c r="AG182" s="1750">
        <f t="shared" si="128"/>
        <v>4945.2072169499997</v>
      </c>
      <c r="AH182" s="875">
        <f t="shared" si="128"/>
        <v>5128.3630397999996</v>
      </c>
      <c r="AI182" s="875">
        <f t="shared" si="128"/>
        <v>5311.5188626499994</v>
      </c>
      <c r="AJ182" s="875">
        <f t="shared" si="128"/>
        <v>5494.6746855000001</v>
      </c>
      <c r="AK182" s="875">
        <f t="shared" si="128"/>
        <v>5677.8305083499999</v>
      </c>
      <c r="AL182" s="875">
        <f t="shared" si="128"/>
        <v>5860.9863312000007</v>
      </c>
      <c r="AM182" s="875">
        <f t="shared" si="128"/>
        <v>6044.1421540499996</v>
      </c>
      <c r="AN182" s="875">
        <f t="shared" si="128"/>
        <v>6227.2979769000003</v>
      </c>
      <c r="AO182" s="875">
        <f t="shared" si="128"/>
        <v>6410.4537997500001</v>
      </c>
      <c r="AP182" s="1749">
        <f t="shared" si="128"/>
        <v>6593.6096226</v>
      </c>
      <c r="AQ182" s="1748">
        <f t="shared" ref="AQ182:BG182" si="129">((AQ$138-$I$4)/1000)*IF($C$14=0,$L$35,$L$52)*(($C$8/70)^$W$52)*IF($C$14=0,1,IF($C$14&lt;=AQ$139,$AH$52,IF(AND($C$14&gt;=AQ$139,$C$14&lt;=AQ$140),((($AI$52-$AH$52)/(AQ$140-AQ$139))*$C$14+($AH$52-(($AI$52-$AH$52)/(AQ$140-AQ$139))*AQ$139)),IF($C$14&gt;=AQ$140,$AI$52,1))))</f>
        <v>6776.7654454499998</v>
      </c>
      <c r="AR182" s="875">
        <f t="shared" si="129"/>
        <v>6959.9212682999996</v>
      </c>
      <c r="AS182" s="875">
        <f t="shared" si="129"/>
        <v>7143.0770911499994</v>
      </c>
      <c r="AT182" s="875">
        <f t="shared" si="129"/>
        <v>7326.2329140000002</v>
      </c>
      <c r="AU182" s="875">
        <f t="shared" si="129"/>
        <v>7509.3887368499982</v>
      </c>
      <c r="AV182" s="875">
        <f t="shared" si="129"/>
        <v>7692.5445596999998</v>
      </c>
      <c r="AW182" s="875">
        <f t="shared" si="129"/>
        <v>7875.7003825499987</v>
      </c>
      <c r="AX182" s="875">
        <f t="shared" si="129"/>
        <v>8058.8562054000004</v>
      </c>
      <c r="AY182" s="875">
        <f t="shared" si="129"/>
        <v>8242.0120282499993</v>
      </c>
      <c r="AZ182" s="1749">
        <f t="shared" si="129"/>
        <v>8425.1678510999991</v>
      </c>
      <c r="BA182" s="1751">
        <f t="shared" si="129"/>
        <v>8608.3236739499989</v>
      </c>
      <c r="BB182" s="1752">
        <f t="shared" si="129"/>
        <v>8791.4794968000006</v>
      </c>
      <c r="BC182" s="1752">
        <f t="shared" si="129"/>
        <v>8974.6353196500004</v>
      </c>
      <c r="BD182" s="1752">
        <f t="shared" si="129"/>
        <v>9157.7911424999984</v>
      </c>
      <c r="BE182" s="1752">
        <f t="shared" si="129"/>
        <v>9340.9469653499982</v>
      </c>
      <c r="BF182" s="1752">
        <f t="shared" si="129"/>
        <v>9524.1027881999998</v>
      </c>
      <c r="BG182" s="1749">
        <f t="shared" si="129"/>
        <v>9707.2586110499997</v>
      </c>
      <c r="BH182" s="1855"/>
      <c r="BI182" s="1855"/>
      <c r="BK182" s="571">
        <f>0</f>
        <v>0</v>
      </c>
      <c r="BL182" s="571">
        <f>0</f>
        <v>0</v>
      </c>
      <c r="BM182" s="571">
        <f>0</f>
        <v>0</v>
      </c>
      <c r="BN182" s="571">
        <f>0</f>
        <v>0</v>
      </c>
      <c r="BO182" s="571">
        <f>0</f>
        <v>0</v>
      </c>
      <c r="BP182" s="571">
        <f>0</f>
        <v>0</v>
      </c>
      <c r="BQ182" s="571">
        <f>0</f>
        <v>0</v>
      </c>
      <c r="BR182" s="571">
        <f>0</f>
        <v>0</v>
      </c>
      <c r="BS182" s="571">
        <f>0</f>
        <v>0</v>
      </c>
      <c r="BT182" s="571">
        <f>0</f>
        <v>0</v>
      </c>
      <c r="BU182" s="571">
        <f>0</f>
        <v>0</v>
      </c>
      <c r="BV182" s="571">
        <f>0</f>
        <v>0</v>
      </c>
      <c r="BW182" s="571">
        <f>0</f>
        <v>0</v>
      </c>
      <c r="BX182" s="571">
        <f>0</f>
        <v>0</v>
      </c>
      <c r="BY182" s="571">
        <f>0</f>
        <v>0</v>
      </c>
      <c r="BZ182" s="571">
        <f>0</f>
        <v>0</v>
      </c>
      <c r="CA182" s="571">
        <f>0</f>
        <v>0</v>
      </c>
      <c r="CB182" s="571">
        <f>0</f>
        <v>0</v>
      </c>
      <c r="CC182" s="571">
        <f>0</f>
        <v>0</v>
      </c>
      <c r="CD182" s="571">
        <f>0</f>
        <v>0</v>
      </c>
      <c r="CE182" s="571">
        <f>0</f>
        <v>0</v>
      </c>
      <c r="CF182" s="571">
        <f>0</f>
        <v>0</v>
      </c>
      <c r="CG182" s="571">
        <f>0</f>
        <v>0</v>
      </c>
      <c r="CH182" s="571">
        <f>0</f>
        <v>0</v>
      </c>
      <c r="CI182" s="571">
        <f>0</f>
        <v>0</v>
      </c>
      <c r="CJ182" s="571">
        <f>0</f>
        <v>0</v>
      </c>
      <c r="CK182" s="571">
        <f>0</f>
        <v>0</v>
      </c>
      <c r="CL182" s="571">
        <f>0</f>
        <v>0</v>
      </c>
      <c r="CM182" s="571">
        <f>0</f>
        <v>0</v>
      </c>
      <c r="CN182" s="571">
        <f>0</f>
        <v>0</v>
      </c>
      <c r="CO182" s="571">
        <f>0</f>
        <v>0</v>
      </c>
      <c r="CP182" s="571">
        <f>0</f>
        <v>0</v>
      </c>
      <c r="CQ182" s="571">
        <f>0</f>
        <v>0</v>
      </c>
      <c r="CR182" s="571">
        <f>0</f>
        <v>0</v>
      </c>
      <c r="CS182" s="571">
        <f>0</f>
        <v>0</v>
      </c>
      <c r="CT182" s="571">
        <f>0</f>
        <v>0</v>
      </c>
      <c r="CU182" s="571">
        <f>0</f>
        <v>0</v>
      </c>
      <c r="CV182" s="571">
        <f>0</f>
        <v>0</v>
      </c>
      <c r="CW182" s="571">
        <f>0</f>
        <v>0</v>
      </c>
      <c r="CX182" s="571">
        <f>0</f>
        <v>0</v>
      </c>
      <c r="CY182" s="571">
        <f>0</f>
        <v>0</v>
      </c>
      <c r="CZ182" s="571">
        <f>0</f>
        <v>0</v>
      </c>
      <c r="DA182" s="571">
        <f>0</f>
        <v>0</v>
      </c>
      <c r="DB182" s="571">
        <f>0</f>
        <v>0</v>
      </c>
      <c r="DC182" s="571">
        <f>0</f>
        <v>0</v>
      </c>
      <c r="DD182" s="571">
        <f>0</f>
        <v>0</v>
      </c>
      <c r="DE182" s="571">
        <f>0</f>
        <v>0</v>
      </c>
      <c r="DF182" s="571">
        <f>0</f>
        <v>0</v>
      </c>
      <c r="DG182" s="571">
        <f>0</f>
        <v>0</v>
      </c>
    </row>
    <row r="183" spans="1:111">
      <c r="A183" s="2846"/>
      <c r="B183" s="2734" t="s">
        <v>255</v>
      </c>
      <c r="C183" s="2734"/>
      <c r="D183" s="2914"/>
      <c r="E183" s="1753" t="s">
        <v>194</v>
      </c>
      <c r="F183" s="1753">
        <v>150</v>
      </c>
      <c r="G183" s="1753">
        <v>200</v>
      </c>
      <c r="H183" s="1753">
        <v>4</v>
      </c>
      <c r="I183" s="1167"/>
      <c r="J183" s="1754"/>
      <c r="K183" s="1755">
        <f t="shared" ref="K183:AP183" si="130">((K$138-$I$4)/1000)*IF($C$14=0,$M$35,$M$52)*(($C$8/70)^$X$52)*IF($C$14=0,1,IF($C$14&lt;=K$139,$AH$52,IF(AND($C$14&gt;=K$139,$C$14&lt;=K$140),((($AI$52-$AH$52)/(K$140-K$139))*$C$14+($AH$52-(($AI$52-$AH$52)/(K$140-K$139))*K$139)),IF($C$14&gt;=K$140,$AI$52,1))))</f>
        <v>1008.4009649999999</v>
      </c>
      <c r="L183" s="876">
        <f t="shared" si="130"/>
        <v>1210.081158</v>
      </c>
      <c r="M183" s="876">
        <f t="shared" si="130"/>
        <v>1411.7613509999999</v>
      </c>
      <c r="N183" s="876">
        <f t="shared" si="130"/>
        <v>1613.4415439999998</v>
      </c>
      <c r="O183" s="876">
        <f t="shared" si="130"/>
        <v>1815.1217369999997</v>
      </c>
      <c r="P183" s="876">
        <f t="shared" si="130"/>
        <v>2016.8019299999999</v>
      </c>
      <c r="Q183" s="876">
        <f t="shared" si="130"/>
        <v>2218.4821229999998</v>
      </c>
      <c r="R183" s="876">
        <f t="shared" si="130"/>
        <v>2355.008656</v>
      </c>
      <c r="S183" s="876">
        <f t="shared" si="130"/>
        <v>2551.2593773333333</v>
      </c>
      <c r="T183" s="876">
        <f t="shared" si="130"/>
        <v>2747.5100986666666</v>
      </c>
      <c r="U183" s="876">
        <f t="shared" si="130"/>
        <v>2914.14552</v>
      </c>
      <c r="V183" s="1756">
        <f t="shared" si="130"/>
        <v>3108.4218879999999</v>
      </c>
      <c r="W183" s="1755">
        <f t="shared" si="130"/>
        <v>3302.6982559999992</v>
      </c>
      <c r="X183" s="876">
        <f t="shared" si="130"/>
        <v>3470.3208539999996</v>
      </c>
      <c r="Y183" s="876">
        <f t="shared" si="130"/>
        <v>3663.1164570000001</v>
      </c>
      <c r="Z183" s="876">
        <f t="shared" si="130"/>
        <v>3855.9120599999997</v>
      </c>
      <c r="AA183" s="876">
        <f t="shared" si="130"/>
        <v>4048.7076629999992</v>
      </c>
      <c r="AB183" s="876">
        <f t="shared" si="130"/>
        <v>4241.5032659999997</v>
      </c>
      <c r="AC183" s="876">
        <f t="shared" si="130"/>
        <v>4434.2988689999993</v>
      </c>
      <c r="AD183" s="876">
        <f t="shared" si="130"/>
        <v>4627.0944719999998</v>
      </c>
      <c r="AE183" s="876">
        <f t="shared" si="130"/>
        <v>4819.8900749999993</v>
      </c>
      <c r="AF183" s="1756">
        <f t="shared" si="130"/>
        <v>5012.6856779999998</v>
      </c>
      <c r="AG183" s="1757">
        <f t="shared" si="130"/>
        <v>5205.4812809999994</v>
      </c>
      <c r="AH183" s="876">
        <f t="shared" si="130"/>
        <v>5398.2768839999999</v>
      </c>
      <c r="AI183" s="876">
        <f t="shared" si="130"/>
        <v>5591.0724869999995</v>
      </c>
      <c r="AJ183" s="876">
        <f t="shared" si="130"/>
        <v>5783.8680899999999</v>
      </c>
      <c r="AK183" s="876">
        <f t="shared" si="130"/>
        <v>5976.6636929999995</v>
      </c>
      <c r="AL183" s="876">
        <f t="shared" si="130"/>
        <v>6169.4592959999991</v>
      </c>
      <c r="AM183" s="876">
        <f t="shared" si="130"/>
        <v>6362.2548989999996</v>
      </c>
      <c r="AN183" s="876">
        <f t="shared" si="130"/>
        <v>6555.0505019999991</v>
      </c>
      <c r="AO183" s="876">
        <f t="shared" si="130"/>
        <v>6747.8461049999996</v>
      </c>
      <c r="AP183" s="1756">
        <f t="shared" si="130"/>
        <v>6940.6417079999992</v>
      </c>
      <c r="AQ183" s="1755">
        <f t="shared" ref="AQ183:BG183" si="131">((AQ$138-$I$4)/1000)*IF($C$14=0,$M$35,$M$52)*(($C$8/70)^$X$52)*IF($C$14=0,1,IF($C$14&lt;=AQ$139,$AH$52,IF(AND($C$14&gt;=AQ$139,$C$14&lt;=AQ$140),((($AI$52-$AH$52)/(AQ$140-AQ$139))*$C$14+($AH$52-(($AI$52-$AH$52)/(AQ$140-AQ$139))*AQ$139)),IF($C$14&gt;=AQ$140,$AI$52,1))))</f>
        <v>7133.4373109999988</v>
      </c>
      <c r="AR183" s="876">
        <f t="shared" si="131"/>
        <v>7326.2329140000002</v>
      </c>
      <c r="AS183" s="876">
        <f t="shared" si="131"/>
        <v>7519.0285169999988</v>
      </c>
      <c r="AT183" s="876">
        <f t="shared" si="131"/>
        <v>7711.8241199999993</v>
      </c>
      <c r="AU183" s="876">
        <f t="shared" si="131"/>
        <v>7904.619722999998</v>
      </c>
      <c r="AV183" s="876">
        <f t="shared" si="131"/>
        <v>8097.4153259999985</v>
      </c>
      <c r="AW183" s="876">
        <f t="shared" si="131"/>
        <v>8290.2109289999989</v>
      </c>
      <c r="AX183" s="876">
        <f t="shared" si="131"/>
        <v>8483.0065319999994</v>
      </c>
      <c r="AY183" s="876">
        <f t="shared" si="131"/>
        <v>8675.8021349999999</v>
      </c>
      <c r="AZ183" s="1756">
        <f t="shared" si="131"/>
        <v>8868.5977379999986</v>
      </c>
      <c r="BA183" s="1758">
        <f t="shared" si="131"/>
        <v>9061.3933410000009</v>
      </c>
      <c r="BB183" s="1759">
        <f t="shared" si="131"/>
        <v>9254.1889439999995</v>
      </c>
      <c r="BC183" s="1759">
        <f t="shared" si="131"/>
        <v>9446.984547</v>
      </c>
      <c r="BD183" s="1759">
        <f t="shared" si="131"/>
        <v>9639.7801499999987</v>
      </c>
      <c r="BE183" s="1759">
        <f t="shared" si="131"/>
        <v>9832.5757529999973</v>
      </c>
      <c r="BF183" s="1759">
        <f t="shared" si="131"/>
        <v>10025.371356</v>
      </c>
      <c r="BG183" s="1756">
        <f t="shared" si="131"/>
        <v>10218.166958999998</v>
      </c>
      <c r="BH183" s="1855"/>
      <c r="BI183" s="1855"/>
      <c r="BK183" s="571" t="e">
        <f>#REF!/K183</f>
        <v>#REF!</v>
      </c>
      <c r="BL183" s="571" t="e">
        <f>#REF!/L183</f>
        <v>#REF!</v>
      </c>
      <c r="BM183" s="571" t="e">
        <f>#REF!/M183</f>
        <v>#REF!</v>
      </c>
      <c r="BN183" s="571" t="e">
        <f>#REF!/N183</f>
        <v>#REF!</v>
      </c>
      <c r="BO183" s="571" t="e">
        <f>#REF!/O183</f>
        <v>#REF!</v>
      </c>
      <c r="BP183" s="571" t="e">
        <f>#REF!/P183</f>
        <v>#REF!</v>
      </c>
      <c r="BQ183" s="571" t="e">
        <f>#REF!/Q183</f>
        <v>#REF!</v>
      </c>
      <c r="BR183" s="571" t="e">
        <f>#REF!/R183</f>
        <v>#REF!</v>
      </c>
      <c r="BS183" s="571" t="e">
        <f>#REF!/S183</f>
        <v>#REF!</v>
      </c>
      <c r="BT183" s="571" t="e">
        <f>#REF!/T183</f>
        <v>#REF!</v>
      </c>
      <c r="BU183" s="571" t="e">
        <f>#REF!/U183</f>
        <v>#REF!</v>
      </c>
      <c r="BV183" s="571" t="e">
        <f>#REF!/V183</f>
        <v>#REF!</v>
      </c>
      <c r="BW183" s="571" t="e">
        <f>#REF!/W183</f>
        <v>#REF!</v>
      </c>
      <c r="BX183" s="571" t="e">
        <f>#REF!/X183</f>
        <v>#REF!</v>
      </c>
      <c r="BY183" s="571" t="e">
        <f>#REF!/Y183</f>
        <v>#REF!</v>
      </c>
      <c r="BZ183" s="571" t="e">
        <f>#REF!/Z183</f>
        <v>#REF!</v>
      </c>
      <c r="CA183" s="571" t="e">
        <f>#REF!/AA183</f>
        <v>#REF!</v>
      </c>
      <c r="CB183" s="571" t="e">
        <f>#REF!/AB183</f>
        <v>#REF!</v>
      </c>
      <c r="CC183" s="571" t="e">
        <f>#REF!/AC183</f>
        <v>#REF!</v>
      </c>
      <c r="CD183" s="571" t="e">
        <f>#REF!/AD183</f>
        <v>#REF!</v>
      </c>
      <c r="CE183" s="571" t="e">
        <f>#REF!/AE183</f>
        <v>#REF!</v>
      </c>
      <c r="CF183" s="571" t="e">
        <f>#REF!/AF183</f>
        <v>#REF!</v>
      </c>
      <c r="CG183" s="571" t="e">
        <f>#REF!/AG183</f>
        <v>#REF!</v>
      </c>
      <c r="CH183" s="571" t="e">
        <f>#REF!/AH183</f>
        <v>#REF!</v>
      </c>
      <c r="CI183" s="571" t="e">
        <f>#REF!/AI183</f>
        <v>#REF!</v>
      </c>
      <c r="CJ183" s="571" t="e">
        <f>#REF!/AJ183</f>
        <v>#REF!</v>
      </c>
      <c r="CK183" s="571" t="e">
        <f>#REF!/AK183</f>
        <v>#REF!</v>
      </c>
      <c r="CL183" s="571" t="e">
        <f>#REF!/AL183</f>
        <v>#REF!</v>
      </c>
      <c r="CM183" s="571" t="e">
        <f>#REF!/AM183</f>
        <v>#REF!</v>
      </c>
      <c r="CN183" s="571" t="e">
        <f>#REF!/AN183</f>
        <v>#REF!</v>
      </c>
      <c r="CO183" s="571" t="e">
        <f>#REF!/AO183</f>
        <v>#REF!</v>
      </c>
      <c r="CP183" s="571" t="e">
        <f>#REF!/AP183</f>
        <v>#REF!</v>
      </c>
      <c r="CQ183" s="571" t="e">
        <f>#REF!/AQ183</f>
        <v>#REF!</v>
      </c>
      <c r="CR183" s="571" t="e">
        <f>#REF!/AR183</f>
        <v>#REF!</v>
      </c>
      <c r="CS183" s="571" t="e">
        <f>#REF!/AS183</f>
        <v>#REF!</v>
      </c>
      <c r="CT183" s="571" t="e">
        <f>#REF!/AT183</f>
        <v>#REF!</v>
      </c>
      <c r="CU183" s="571" t="e">
        <f>#REF!/AU183</f>
        <v>#REF!</v>
      </c>
      <c r="CV183" s="571" t="e">
        <f>#REF!/AV183</f>
        <v>#REF!</v>
      </c>
      <c r="CW183" s="571" t="e">
        <f>#REF!/AW183</f>
        <v>#REF!</v>
      </c>
      <c r="CX183" s="571" t="e">
        <f>#REF!/AX183</f>
        <v>#REF!</v>
      </c>
      <c r="CY183" s="571" t="e">
        <f>#REF!/AY183</f>
        <v>#REF!</v>
      </c>
      <c r="CZ183" s="571" t="e">
        <f>#REF!/AZ183</f>
        <v>#REF!</v>
      </c>
      <c r="DA183" s="571" t="e">
        <f>#REF!/BA183</f>
        <v>#REF!</v>
      </c>
      <c r="DB183" s="571" t="e">
        <f>#REF!/BB183</f>
        <v>#REF!</v>
      </c>
      <c r="DC183" s="571" t="e">
        <f>#REF!/BC183</f>
        <v>#REF!</v>
      </c>
      <c r="DD183" s="571" t="e">
        <f>#REF!/BD183</f>
        <v>#REF!</v>
      </c>
      <c r="DE183" s="571" t="e">
        <f>#REF!/BE183</f>
        <v>#REF!</v>
      </c>
      <c r="DF183" s="571" t="e">
        <f>#REF!/BF183</f>
        <v>#REF!</v>
      </c>
      <c r="DG183" s="571" t="e">
        <f>#REF!/BG183</f>
        <v>#REF!</v>
      </c>
    </row>
    <row r="184" spans="1:111">
      <c r="A184" s="2846"/>
      <c r="B184" s="2734" t="s">
        <v>256</v>
      </c>
      <c r="C184" s="2734"/>
      <c r="D184" s="2914"/>
      <c r="E184" s="1753" t="s">
        <v>194</v>
      </c>
      <c r="F184" s="1753">
        <v>150</v>
      </c>
      <c r="G184" s="1753">
        <v>260</v>
      </c>
      <c r="H184" s="1753">
        <v>4</v>
      </c>
      <c r="I184" s="1167"/>
      <c r="J184" s="1754"/>
      <c r="K184" s="1755">
        <f t="shared" ref="K184:AP184" si="132">((K$138-$I$4)/1000)*IF($C$14=0,$N$35,$N$52)*(($C$8/70)^$Y$52)*IF($C$14=0,1,IF($C$14&lt;=K$139,$AH$52,IF(AND($C$14&gt;=K$139,$C$14&lt;=K$140),((($AI$52-$AH$52)/(K$140-K$139))*$C$14+($AH$52-(($AI$52-$AH$52)/(K$140-K$139))*K$139)),IF($C$14&gt;=K$140,$AI$52,1))))</f>
        <v>1061.4747</v>
      </c>
      <c r="L184" s="876">
        <f t="shared" si="132"/>
        <v>1273.76964</v>
      </c>
      <c r="M184" s="876">
        <f t="shared" si="132"/>
        <v>1486.0645799999998</v>
      </c>
      <c r="N184" s="876">
        <f t="shared" si="132"/>
        <v>1698.3595200000002</v>
      </c>
      <c r="O184" s="876">
        <f t="shared" si="132"/>
        <v>1910.65446</v>
      </c>
      <c r="P184" s="876">
        <f t="shared" si="132"/>
        <v>2122.9494</v>
      </c>
      <c r="Q184" s="876">
        <f t="shared" si="132"/>
        <v>2335.2443400000002</v>
      </c>
      <c r="R184" s="876">
        <f t="shared" si="132"/>
        <v>2478.9564800000003</v>
      </c>
      <c r="S184" s="876">
        <f t="shared" si="132"/>
        <v>2685.5361866666672</v>
      </c>
      <c r="T184" s="876">
        <f t="shared" si="132"/>
        <v>2892.1158933333331</v>
      </c>
      <c r="U184" s="876">
        <f t="shared" si="132"/>
        <v>3067.5216</v>
      </c>
      <c r="V184" s="1756">
        <f t="shared" si="132"/>
        <v>3272.02304</v>
      </c>
      <c r="W184" s="1755">
        <f t="shared" si="132"/>
        <v>3476.52448</v>
      </c>
      <c r="X184" s="876">
        <f t="shared" si="132"/>
        <v>3652.9693200000002</v>
      </c>
      <c r="Y184" s="876">
        <f t="shared" si="132"/>
        <v>3855.9120599999997</v>
      </c>
      <c r="Z184" s="876">
        <f t="shared" si="132"/>
        <v>4058.8548000000001</v>
      </c>
      <c r="AA184" s="876">
        <f t="shared" si="132"/>
        <v>4261.7975400000005</v>
      </c>
      <c r="AB184" s="876">
        <f t="shared" si="132"/>
        <v>4464.74028</v>
      </c>
      <c r="AC184" s="876">
        <f t="shared" si="132"/>
        <v>4667.6830199999995</v>
      </c>
      <c r="AD184" s="876">
        <f t="shared" si="132"/>
        <v>4870.6257599999999</v>
      </c>
      <c r="AE184" s="876">
        <f t="shared" si="132"/>
        <v>5073.5685000000003</v>
      </c>
      <c r="AF184" s="1756">
        <f t="shared" si="132"/>
        <v>5276.5112400000007</v>
      </c>
      <c r="AG184" s="1757">
        <f t="shared" si="132"/>
        <v>5479.4539800000011</v>
      </c>
      <c r="AH184" s="876">
        <f t="shared" si="132"/>
        <v>5682.3967199999997</v>
      </c>
      <c r="AI184" s="876">
        <f t="shared" si="132"/>
        <v>5885.3394600000001</v>
      </c>
      <c r="AJ184" s="876">
        <f t="shared" si="132"/>
        <v>6088.2822000000006</v>
      </c>
      <c r="AK184" s="876">
        <f t="shared" si="132"/>
        <v>6291.2249400000001</v>
      </c>
      <c r="AL184" s="876">
        <f t="shared" si="132"/>
        <v>6494.1676800000005</v>
      </c>
      <c r="AM184" s="876">
        <f t="shared" si="132"/>
        <v>6697.1104199999991</v>
      </c>
      <c r="AN184" s="876">
        <f t="shared" si="132"/>
        <v>6900.0531599999995</v>
      </c>
      <c r="AO184" s="876">
        <f t="shared" si="132"/>
        <v>7102.9958999999999</v>
      </c>
      <c r="AP184" s="1756">
        <f t="shared" si="132"/>
        <v>7305.9386400000003</v>
      </c>
      <c r="AQ184" s="1755">
        <f t="shared" ref="AQ184:BG184" si="133">((AQ$138-$I$4)/1000)*IF($C$14=0,$N$35,$N$52)*(($C$8/70)^$Y$52)*IF($C$14=0,1,IF($C$14&lt;=AQ$139,$AH$52,IF(AND($C$14&gt;=AQ$139,$C$14&lt;=AQ$140),((($AI$52-$AH$52)/(AQ$140-AQ$139))*$C$14+($AH$52-(($AI$52-$AH$52)/(AQ$140-AQ$139))*AQ$139)),IF($C$14&gt;=AQ$140,$AI$52,1))))</f>
        <v>7508.8813800000007</v>
      </c>
      <c r="AR184" s="876">
        <f t="shared" si="133"/>
        <v>7711.8241199999993</v>
      </c>
      <c r="AS184" s="876">
        <f t="shared" si="133"/>
        <v>7914.7668599999997</v>
      </c>
      <c r="AT184" s="876">
        <f t="shared" si="133"/>
        <v>8117.7096000000001</v>
      </c>
      <c r="AU184" s="876">
        <f t="shared" si="133"/>
        <v>8320.6523399999987</v>
      </c>
      <c r="AV184" s="876">
        <f t="shared" si="133"/>
        <v>8523.595080000001</v>
      </c>
      <c r="AW184" s="876">
        <f t="shared" si="133"/>
        <v>8726.5378199999996</v>
      </c>
      <c r="AX184" s="876">
        <f t="shared" si="133"/>
        <v>8929.48056</v>
      </c>
      <c r="AY184" s="876">
        <f t="shared" si="133"/>
        <v>9132.4233000000004</v>
      </c>
      <c r="AZ184" s="1756">
        <f t="shared" si="133"/>
        <v>9335.366039999999</v>
      </c>
      <c r="BA184" s="1758">
        <f t="shared" si="133"/>
        <v>9538.3087799999994</v>
      </c>
      <c r="BB184" s="1759">
        <f t="shared" si="133"/>
        <v>9741.2515199999998</v>
      </c>
      <c r="BC184" s="1759">
        <f t="shared" si="133"/>
        <v>9944.1942600000002</v>
      </c>
      <c r="BD184" s="1759">
        <f t="shared" si="133"/>
        <v>10147.137000000001</v>
      </c>
      <c r="BE184" s="1759">
        <f t="shared" si="133"/>
        <v>10350.079740000001</v>
      </c>
      <c r="BF184" s="1759">
        <f t="shared" si="133"/>
        <v>10553.022480000001</v>
      </c>
      <c r="BG184" s="1756">
        <f t="shared" si="133"/>
        <v>10755.96522</v>
      </c>
      <c r="BH184" s="1855"/>
      <c r="BI184" s="1855"/>
      <c r="BK184" s="571">
        <f t="shared" ref="BK184:DG184" si="134">I247/K184</f>
        <v>0.52305597486214217</v>
      </c>
      <c r="BL184" s="571">
        <f t="shared" si="134"/>
        <v>0.58117330540238021</v>
      </c>
      <c r="BM184" s="571">
        <f t="shared" si="134"/>
        <v>0.62268568435969318</v>
      </c>
      <c r="BN184" s="571">
        <f t="shared" si="134"/>
        <v>0.65381996857767766</v>
      </c>
      <c r="BO184" s="571">
        <f t="shared" si="134"/>
        <v>0.67803552296944347</v>
      </c>
      <c r="BP184" s="571">
        <f t="shared" si="134"/>
        <v>0.6974079664828563</v>
      </c>
      <c r="BQ184" s="571">
        <f t="shared" si="134"/>
        <v>0.71325814753928474</v>
      </c>
      <c r="BR184" s="571">
        <f t="shared" si="134"/>
        <v>0.74656505466364598</v>
      </c>
      <c r="BS184" s="571">
        <f t="shared" si="134"/>
        <v>0.7580506708892405</v>
      </c>
      <c r="BT184" s="571">
        <f t="shared" si="134"/>
        <v>0.76789548479689318</v>
      </c>
      <c r="BU184" s="571">
        <f t="shared" si="134"/>
        <v>0.78431818181818169</v>
      </c>
      <c r="BV184" s="571">
        <f t="shared" si="134"/>
        <v>0.79185970279720252</v>
      </c>
      <c r="BW184" s="571">
        <f t="shared" si="134"/>
        <v>0.79851398601398593</v>
      </c>
      <c r="BX184" s="571">
        <f t="shared" si="134"/>
        <v>0.81060731383312024</v>
      </c>
      <c r="BY184" s="571">
        <f t="shared" si="134"/>
        <v>0.81594025668728543</v>
      </c>
      <c r="BZ184" s="571">
        <f t="shared" si="134"/>
        <v>0.82073990525603413</v>
      </c>
      <c r="CA184" s="571">
        <f t="shared" si="134"/>
        <v>0.82508244443728285</v>
      </c>
      <c r="CB184" s="571">
        <f t="shared" si="134"/>
        <v>0.82903020732932742</v>
      </c>
      <c r="CC184" s="571">
        <f t="shared" si="134"/>
        <v>0.83263468649162897</v>
      </c>
      <c r="CD184" s="571">
        <f t="shared" si="134"/>
        <v>0.83593879239040525</v>
      </c>
      <c r="CE184" s="571">
        <f t="shared" si="134"/>
        <v>0.83897856981727936</v>
      </c>
      <c r="CF184" s="571">
        <f t="shared" si="134"/>
        <v>0.84178451821131695</v>
      </c>
      <c r="CG184" s="571">
        <f t="shared" si="134"/>
        <v>0.84438261857616659</v>
      </c>
      <c r="CH184" s="571">
        <f t="shared" si="134"/>
        <v>0.84679514034352732</v>
      </c>
      <c r="CI184" s="571">
        <f t="shared" si="134"/>
        <v>0.84904128129934564</v>
      </c>
      <c r="CJ184" s="571">
        <f t="shared" si="134"/>
        <v>0.85113767952477593</v>
      </c>
      <c r="CK184" s="571">
        <f t="shared" si="134"/>
        <v>0.85309882625179179</v>
      </c>
      <c r="CL184" s="571">
        <f t="shared" si="134"/>
        <v>0.85493740130836893</v>
      </c>
      <c r="CM184" s="571">
        <f t="shared" si="134"/>
        <v>0.85666454757363841</v>
      </c>
      <c r="CN184" s="571">
        <f t="shared" si="134"/>
        <v>0.85829009699977443</v>
      </c>
      <c r="CO184" s="571">
        <f t="shared" si="134"/>
        <v>0.85982275788727391</v>
      </c>
      <c r="CP184" s="571">
        <f t="shared" si="134"/>
        <v>0.86127027094769004</v>
      </c>
      <c r="CQ184" s="571">
        <f t="shared" si="134"/>
        <v>0.86263954005889476</v>
      </c>
      <c r="CR184" s="571">
        <f t="shared" si="134"/>
        <v>0.8639367423747728</v>
      </c>
      <c r="CS184" s="571">
        <f t="shared" si="134"/>
        <v>0.86516742149496484</v>
      </c>
      <c r="CT184" s="571">
        <f t="shared" si="134"/>
        <v>0.86633656665914704</v>
      </c>
      <c r="CU184" s="571">
        <f t="shared" si="134"/>
        <v>0.86744868035190614</v>
      </c>
      <c r="CV184" s="571">
        <f t="shared" si="134"/>
        <v>0.86850783624977157</v>
      </c>
      <c r="CW184" s="571">
        <f t="shared" si="134"/>
        <v>0.86951772908262004</v>
      </c>
      <c r="CX184" s="571">
        <f t="shared" si="134"/>
        <v>0.87048171769579386</v>
      </c>
      <c r="CY184" s="571">
        <f t="shared" si="134"/>
        <v>0.87140286237060416</v>
      </c>
      <c r="CZ184" s="571">
        <f t="shared" si="134"/>
        <v>0.87228395727694463</v>
      </c>
      <c r="DA184" s="571">
        <f t="shared" si="134"/>
        <v>0.87312755878301518</v>
      </c>
      <c r="DB184" s="571">
        <f t="shared" si="134"/>
        <v>0.87393601022633272</v>
      </c>
      <c r="DC184" s="571">
        <f t="shared" si="134"/>
        <v>0.87471146365155561</v>
      </c>
      <c r="DD184" s="571">
        <f t="shared" si="134"/>
        <v>0.87545589893976972</v>
      </c>
      <c r="DE184" s="571">
        <f t="shared" si="134"/>
        <v>0.87617114068726953</v>
      </c>
      <c r="DF184" s="571">
        <f t="shared" si="134"/>
        <v>0.87685887313678845</v>
      </c>
      <c r="DG184" s="571">
        <f t="shared" si="134"/>
        <v>0.87752065341840124</v>
      </c>
    </row>
    <row r="185" spans="1:111">
      <c r="A185" s="2846"/>
      <c r="B185" s="2734" t="s">
        <v>257</v>
      </c>
      <c r="C185" s="2734"/>
      <c r="D185" s="2914"/>
      <c r="E185" s="1753" t="s">
        <v>194</v>
      </c>
      <c r="F185" s="1753">
        <v>150</v>
      </c>
      <c r="G185" s="1753">
        <v>300</v>
      </c>
      <c r="H185" s="1753">
        <v>6</v>
      </c>
      <c r="I185" s="1167"/>
      <c r="J185" s="1754"/>
      <c r="K185" s="1755">
        <f t="shared" ref="K185:AP185" si="135">((K$138-$I$4)/1000)*IF($C$14=0,$O$35,($O$52*1.1))*(($C$8/70)^$Z$52)*IF($C$14=0,1,IF($C$14&lt;=K$139,$AH$52,IF(AND($C$14&gt;=K$139,$C$14&lt;=K$140),((($AI$52-$AH$52)/(K$140-K$139))*$C$14+($AH$52-(($AI$52-$AH$52)/(K$140-K$139))*K$139)),IF($C$14&gt;=K$140,$AI$52,1))))</f>
        <v>1258.6905780428576</v>
      </c>
      <c r="L185" s="876">
        <f t="shared" si="135"/>
        <v>1510.4286936514291</v>
      </c>
      <c r="M185" s="876">
        <f t="shared" si="135"/>
        <v>1762.1668092600005</v>
      </c>
      <c r="N185" s="876">
        <f t="shared" si="135"/>
        <v>2013.9049248685719</v>
      </c>
      <c r="O185" s="876">
        <f t="shared" si="135"/>
        <v>2265.6430404771436</v>
      </c>
      <c r="P185" s="876">
        <f t="shared" si="135"/>
        <v>2517.3811560857152</v>
      </c>
      <c r="Q185" s="876">
        <f t="shared" si="135"/>
        <v>2769.1192716942865</v>
      </c>
      <c r="R185" s="876">
        <f t="shared" si="135"/>
        <v>2939.5322985600014</v>
      </c>
      <c r="S185" s="876">
        <f t="shared" si="135"/>
        <v>3184.4933234400014</v>
      </c>
      <c r="T185" s="876">
        <f t="shared" si="135"/>
        <v>3429.4543483200009</v>
      </c>
      <c r="U185" s="876">
        <f t="shared" si="135"/>
        <v>3637.4494237714298</v>
      </c>
      <c r="V185" s="1756">
        <f t="shared" si="135"/>
        <v>3879.9460520228581</v>
      </c>
      <c r="W185" s="1755">
        <f t="shared" si="135"/>
        <v>4122.4426802742873</v>
      </c>
      <c r="X185" s="876">
        <f t="shared" si="135"/>
        <v>4331.6699540400014</v>
      </c>
      <c r="Y185" s="876">
        <f t="shared" si="135"/>
        <v>4572.3182848200013</v>
      </c>
      <c r="Z185" s="876">
        <f t="shared" si="135"/>
        <v>4812.9666156000012</v>
      </c>
      <c r="AA185" s="876">
        <f t="shared" si="135"/>
        <v>5053.614946380002</v>
      </c>
      <c r="AB185" s="876">
        <f t="shared" si="135"/>
        <v>5294.263277160002</v>
      </c>
      <c r="AC185" s="876">
        <f t="shared" si="135"/>
        <v>5534.9116079400019</v>
      </c>
      <c r="AD185" s="876">
        <f t="shared" si="135"/>
        <v>5775.5599387200018</v>
      </c>
      <c r="AE185" s="876">
        <f t="shared" si="135"/>
        <v>6016.2082695000017</v>
      </c>
      <c r="AF185" s="1756">
        <f t="shared" si="135"/>
        <v>6256.8566002800026</v>
      </c>
      <c r="AG185" s="1757">
        <f t="shared" si="135"/>
        <v>6497.5049310600025</v>
      </c>
      <c r="AH185" s="876">
        <f t="shared" si="135"/>
        <v>6738.1532618400015</v>
      </c>
      <c r="AI185" s="876">
        <f t="shared" si="135"/>
        <v>6978.8015926200023</v>
      </c>
      <c r="AJ185" s="876">
        <f t="shared" si="135"/>
        <v>7219.4499234000032</v>
      </c>
      <c r="AK185" s="876">
        <f t="shared" si="135"/>
        <v>7460.0982541800031</v>
      </c>
      <c r="AL185" s="876">
        <f t="shared" si="135"/>
        <v>7700.7465849600021</v>
      </c>
      <c r="AM185" s="876">
        <f t="shared" si="135"/>
        <v>7941.3949157400029</v>
      </c>
      <c r="AN185" s="876">
        <f t="shared" si="135"/>
        <v>8182.0432465200029</v>
      </c>
      <c r="AO185" s="876">
        <f t="shared" si="135"/>
        <v>8422.6915773000019</v>
      </c>
      <c r="AP185" s="1756">
        <f t="shared" si="135"/>
        <v>8663.3399080800027</v>
      </c>
      <c r="AQ185" s="1755">
        <f t="shared" ref="AQ185:BG185" si="136">((AQ$138-$I$4)/1000)*IF($C$14=0,$O$35,($O$52*1.1))*(($C$8/70)^$Z$52)*IF($C$14=0,1,IF($C$14&lt;=AQ$139,$AH$52,IF(AND($C$14&gt;=AQ$139,$C$14&lt;=AQ$140),((($AI$52-$AH$52)/(AQ$140-AQ$139))*$C$14+($AH$52-(($AI$52-$AH$52)/(AQ$140-AQ$139))*AQ$139)),IF($C$14&gt;=AQ$140,$AI$52,1))))</f>
        <v>8903.9882388600035</v>
      </c>
      <c r="AR185" s="876">
        <f t="shared" si="136"/>
        <v>9144.6365696400026</v>
      </c>
      <c r="AS185" s="876">
        <f t="shared" si="136"/>
        <v>9385.2849004200034</v>
      </c>
      <c r="AT185" s="876">
        <f t="shared" si="136"/>
        <v>9625.9332312000024</v>
      </c>
      <c r="AU185" s="876">
        <f t="shared" si="136"/>
        <v>9866.5815619800014</v>
      </c>
      <c r="AV185" s="876">
        <f t="shared" si="136"/>
        <v>10107.229892760004</v>
      </c>
      <c r="AW185" s="876">
        <f t="shared" si="136"/>
        <v>10347.878223540003</v>
      </c>
      <c r="AX185" s="876">
        <f t="shared" si="136"/>
        <v>10588.526554320004</v>
      </c>
      <c r="AY185" s="876">
        <f t="shared" si="136"/>
        <v>10829.174885100005</v>
      </c>
      <c r="AZ185" s="1756">
        <f t="shared" si="136"/>
        <v>11069.823215880004</v>
      </c>
      <c r="BA185" s="1758">
        <f t="shared" si="136"/>
        <v>11310.471546660003</v>
      </c>
      <c r="BB185" s="1759">
        <f t="shared" si="136"/>
        <v>11551.119877440004</v>
      </c>
      <c r="BC185" s="1759">
        <f t="shared" si="136"/>
        <v>11791.768208220004</v>
      </c>
      <c r="BD185" s="1759">
        <f t="shared" si="136"/>
        <v>12032.416539000003</v>
      </c>
      <c r="BE185" s="1759">
        <f t="shared" si="136"/>
        <v>12273.064869780002</v>
      </c>
      <c r="BF185" s="1759">
        <f t="shared" si="136"/>
        <v>12513.713200560005</v>
      </c>
      <c r="BG185" s="1756">
        <f t="shared" si="136"/>
        <v>12754.361531340004</v>
      </c>
      <c r="BH185" s="1757">
        <f t="shared" ref="BH185:CM185" si="137">((BH$138-$I$4)/1000)*IF($C$13=0,$P$35,($P$52*1.1))*(($C$8/70)^$AA$52)*IF($C$13=1,$AH$55,IF($C$13=2,$AI$55,IF($C$13=3,$AJ$55,1)))</f>
        <v>-2407.5975924000008</v>
      </c>
      <c r="BI185" s="876">
        <f t="shared" si="137"/>
        <v>-2407.5975924000008</v>
      </c>
      <c r="BJ185" s="876">
        <f t="shared" si="137"/>
        <v>-2407.5975924000008</v>
      </c>
      <c r="BK185" s="876">
        <f t="shared" si="137"/>
        <v>1031.8275396000004</v>
      </c>
      <c r="BL185" s="876">
        <f t="shared" si="137"/>
        <v>1375.7700528000005</v>
      </c>
      <c r="BM185" s="876">
        <f t="shared" si="137"/>
        <v>1719.7125660000006</v>
      </c>
      <c r="BN185" s="876">
        <f t="shared" si="137"/>
        <v>2063.6550792000007</v>
      </c>
      <c r="BO185" s="876">
        <f t="shared" si="137"/>
        <v>2407.5975924000008</v>
      </c>
      <c r="BP185" s="876">
        <f t="shared" si="137"/>
        <v>2751.540105600001</v>
      </c>
      <c r="BQ185" s="876">
        <f t="shared" si="137"/>
        <v>3095.4826188000006</v>
      </c>
      <c r="BR185" s="876">
        <f t="shared" si="137"/>
        <v>3439.4251320000012</v>
      </c>
      <c r="BS185" s="876">
        <f t="shared" si="137"/>
        <v>3783.3676452000013</v>
      </c>
      <c r="BT185" s="876">
        <f t="shared" si="137"/>
        <v>4127.3101584000015</v>
      </c>
      <c r="BU185" s="876">
        <f t="shared" si="137"/>
        <v>4471.2526716000011</v>
      </c>
      <c r="BV185" s="876">
        <f t="shared" si="137"/>
        <v>4815.1951848000017</v>
      </c>
      <c r="BW185" s="876">
        <f t="shared" si="137"/>
        <v>5159.1376980000014</v>
      </c>
      <c r="BX185" s="876">
        <f t="shared" si="137"/>
        <v>5503.0802112000019</v>
      </c>
      <c r="BY185" s="876">
        <f t="shared" si="137"/>
        <v>5847.0227244000016</v>
      </c>
      <c r="BZ185" s="876">
        <f t="shared" si="137"/>
        <v>6190.9652376000013</v>
      </c>
      <c r="CA185" s="876">
        <f t="shared" si="137"/>
        <v>6534.9077508000018</v>
      </c>
      <c r="CB185" s="876">
        <f t="shared" si="137"/>
        <v>6878.8502640000024</v>
      </c>
      <c r="CC185" s="876">
        <f t="shared" si="137"/>
        <v>7222.7927772000021</v>
      </c>
      <c r="CD185" s="876">
        <f t="shared" si="137"/>
        <v>7566.7352904000027</v>
      </c>
      <c r="CE185" s="876">
        <f t="shared" si="137"/>
        <v>7910.6778036000014</v>
      </c>
      <c r="CF185" s="876">
        <f t="shared" si="137"/>
        <v>8254.6203168000029</v>
      </c>
      <c r="CG185" s="876">
        <f t="shared" si="137"/>
        <v>8598.5628300000026</v>
      </c>
      <c r="CH185" s="876">
        <f t="shared" si="137"/>
        <v>8942.5053432000022</v>
      </c>
      <c r="CI185" s="876">
        <f t="shared" si="137"/>
        <v>9286.4478564000037</v>
      </c>
      <c r="CJ185" s="876">
        <f t="shared" si="137"/>
        <v>9630.3903696000034</v>
      </c>
      <c r="CK185" s="876">
        <f t="shared" si="137"/>
        <v>9974.3328828000031</v>
      </c>
      <c r="CL185" s="876">
        <f t="shared" si="137"/>
        <v>10318.275396000003</v>
      </c>
      <c r="CM185" s="876">
        <f t="shared" si="137"/>
        <v>10662.217909200004</v>
      </c>
      <c r="CN185" s="876">
        <f t="shared" ref="CN185:DG185" si="138">((CN$138-$I$4)/1000)*IF($C$13=0,$P$35,($P$52*1.1))*(($C$8/70)^$AA$52)*IF($C$13=1,$AH$55,IF($C$13=2,$AI$55,IF($C$13=3,$AJ$55,1)))</f>
        <v>11006.160422400004</v>
      </c>
      <c r="CO185" s="876">
        <f t="shared" si="138"/>
        <v>11350.102935600002</v>
      </c>
      <c r="CP185" s="876">
        <f t="shared" si="138"/>
        <v>11694.045448800003</v>
      </c>
      <c r="CQ185" s="876">
        <f t="shared" si="138"/>
        <v>12037.987962000003</v>
      </c>
      <c r="CR185" s="876">
        <f t="shared" si="138"/>
        <v>12381.930475200003</v>
      </c>
      <c r="CS185" s="876">
        <f t="shared" si="138"/>
        <v>12725.872988400006</v>
      </c>
      <c r="CT185" s="876">
        <f t="shared" si="138"/>
        <v>13069.815501600004</v>
      </c>
      <c r="CU185" s="876">
        <f t="shared" si="138"/>
        <v>13413.758014800003</v>
      </c>
      <c r="CV185" s="876">
        <f t="shared" si="138"/>
        <v>13757.700528000005</v>
      </c>
      <c r="CW185" s="876">
        <f t="shared" si="138"/>
        <v>14101.643041200003</v>
      </c>
      <c r="CX185" s="876">
        <f t="shared" si="138"/>
        <v>14445.585554400004</v>
      </c>
      <c r="CY185" s="876">
        <f t="shared" si="138"/>
        <v>14789.528067600002</v>
      </c>
      <c r="CZ185" s="876">
        <f t="shared" si="138"/>
        <v>15133.470580800005</v>
      </c>
      <c r="DA185" s="876">
        <f t="shared" si="138"/>
        <v>15477.413094000005</v>
      </c>
      <c r="DB185" s="876">
        <f t="shared" si="138"/>
        <v>15821.355607200003</v>
      </c>
      <c r="DC185" s="876">
        <f t="shared" si="138"/>
        <v>16165.298120400006</v>
      </c>
      <c r="DD185" s="876">
        <f t="shared" si="138"/>
        <v>16509.240633600006</v>
      </c>
      <c r="DE185" s="876">
        <f t="shared" si="138"/>
        <v>16853.183146800005</v>
      </c>
      <c r="DF185" s="876">
        <f t="shared" si="138"/>
        <v>17197.125660000005</v>
      </c>
      <c r="DG185" s="876">
        <f t="shared" si="138"/>
        <v>17541.068173200005</v>
      </c>
    </row>
    <row r="186" spans="1:111">
      <c r="A186" s="2846"/>
      <c r="B186" s="2734" t="s">
        <v>259</v>
      </c>
      <c r="C186" s="2734"/>
      <c r="D186" s="2914"/>
      <c r="E186" s="1753" t="s">
        <v>194</v>
      </c>
      <c r="F186" s="1753">
        <v>150</v>
      </c>
      <c r="G186" s="1753">
        <v>300</v>
      </c>
      <c r="H186" s="1753">
        <v>8</v>
      </c>
      <c r="I186" s="1167"/>
      <c r="J186" s="1754"/>
      <c r="K186" s="1755">
        <f t="shared" ref="K186:AP186" si="139">((K$138-$I$4)/1000)*IF($C$14=0,$P$35,($P$52*1.1))*(($C$8/70)^$AA$52)*IF($C$14=0,1,IF($C$14&lt;=K$139,$AH$52,IF(AND($C$14&gt;=K$139,$C$14&lt;=K$140),((($AI$52-$AH$52)/(K$140-K$139))*$C$14+($AH$52-(($AI$52-$AH$52)/(K$140-K$139))*K$139)),IF($C$14&gt;=K$140,$AI$52,1))))</f>
        <v>1324.9374505714291</v>
      </c>
      <c r="L186" s="876">
        <f t="shared" si="139"/>
        <v>1589.9249406857148</v>
      </c>
      <c r="M186" s="876">
        <f t="shared" si="139"/>
        <v>1854.9124308000007</v>
      </c>
      <c r="N186" s="876">
        <f t="shared" si="139"/>
        <v>2119.8999209142867</v>
      </c>
      <c r="O186" s="876">
        <f t="shared" si="139"/>
        <v>2384.8874110285719</v>
      </c>
      <c r="P186" s="876">
        <f t="shared" si="139"/>
        <v>2649.8749011428581</v>
      </c>
      <c r="Q186" s="876">
        <f t="shared" si="139"/>
        <v>2914.8623912571438</v>
      </c>
      <c r="R186" s="876">
        <f t="shared" si="139"/>
        <v>3094.2445248000013</v>
      </c>
      <c r="S186" s="876">
        <f t="shared" si="139"/>
        <v>3352.0982352000015</v>
      </c>
      <c r="T186" s="876">
        <f t="shared" si="139"/>
        <v>3609.9519456000016</v>
      </c>
      <c r="U186" s="876">
        <f t="shared" si="139"/>
        <v>3828.8941302857156</v>
      </c>
      <c r="V186" s="1756">
        <f t="shared" si="139"/>
        <v>4084.1537389714304</v>
      </c>
      <c r="W186" s="1755">
        <f t="shared" si="139"/>
        <v>4339.4133476571442</v>
      </c>
      <c r="X186" s="876">
        <f t="shared" si="139"/>
        <v>4559.6525832000016</v>
      </c>
      <c r="Y186" s="876">
        <f t="shared" si="139"/>
        <v>4812.9666156000012</v>
      </c>
      <c r="Z186" s="876">
        <f t="shared" si="139"/>
        <v>5066.2806480000017</v>
      </c>
      <c r="AA186" s="876">
        <f t="shared" si="139"/>
        <v>5319.5946804000023</v>
      </c>
      <c r="AB186" s="876">
        <f t="shared" si="139"/>
        <v>5572.9087128000019</v>
      </c>
      <c r="AC186" s="876">
        <f t="shared" si="139"/>
        <v>5826.2227452000016</v>
      </c>
      <c r="AD186" s="876">
        <f t="shared" si="139"/>
        <v>6079.5367776000021</v>
      </c>
      <c r="AE186" s="876">
        <f t="shared" si="139"/>
        <v>6332.8508100000017</v>
      </c>
      <c r="AF186" s="1756">
        <f t="shared" si="139"/>
        <v>6586.1648424000023</v>
      </c>
      <c r="AG186" s="1757">
        <f t="shared" si="139"/>
        <v>6839.4788748000028</v>
      </c>
      <c r="AH186" s="876">
        <f t="shared" si="139"/>
        <v>7092.7929072000024</v>
      </c>
      <c r="AI186" s="876">
        <f t="shared" si="139"/>
        <v>7346.106939600003</v>
      </c>
      <c r="AJ186" s="876">
        <f t="shared" si="139"/>
        <v>7599.4209720000035</v>
      </c>
      <c r="AK186" s="876">
        <f t="shared" si="139"/>
        <v>7852.7350044000032</v>
      </c>
      <c r="AL186" s="876">
        <f t="shared" si="139"/>
        <v>8106.0490368000037</v>
      </c>
      <c r="AM186" s="876">
        <f t="shared" si="139"/>
        <v>8359.3630692000024</v>
      </c>
      <c r="AN186" s="876">
        <f t="shared" si="139"/>
        <v>8612.6771016000021</v>
      </c>
      <c r="AO186" s="876">
        <f t="shared" si="139"/>
        <v>8865.9911340000017</v>
      </c>
      <c r="AP186" s="1756">
        <f t="shared" si="139"/>
        <v>9119.3051664000031</v>
      </c>
      <c r="AQ186" s="1755">
        <f t="shared" ref="AQ186:BG186" si="140">((AQ$138-$I$4)/1000)*IF($C$14=0,$P$35,($P$52*1.1))*(($C$8/70)^$AA$52)*IF($C$14=0,1,IF($C$14&lt;=AQ$139,$AH$52,IF(AND($C$14&gt;=AQ$139,$C$14&lt;=AQ$140),((($AI$52-$AH$52)/(AQ$140-AQ$139))*$C$14+($AH$52-(($AI$52-$AH$52)/(AQ$140-AQ$139))*AQ$139)),IF($C$14&gt;=AQ$140,$AI$52,1))))</f>
        <v>9372.6191988000046</v>
      </c>
      <c r="AR186" s="876">
        <f t="shared" si="140"/>
        <v>9625.9332312000024</v>
      </c>
      <c r="AS186" s="876">
        <f t="shared" si="140"/>
        <v>9879.2472636000039</v>
      </c>
      <c r="AT186" s="876">
        <f t="shared" si="140"/>
        <v>10132.561296000003</v>
      </c>
      <c r="AU186" s="876">
        <f t="shared" si="140"/>
        <v>10385.875328400003</v>
      </c>
      <c r="AV186" s="876">
        <f t="shared" si="140"/>
        <v>10639.189360800005</v>
      </c>
      <c r="AW186" s="876">
        <f t="shared" si="140"/>
        <v>10892.503393200002</v>
      </c>
      <c r="AX186" s="876">
        <f t="shared" si="140"/>
        <v>11145.817425600004</v>
      </c>
      <c r="AY186" s="876">
        <f t="shared" si="140"/>
        <v>11399.131458000005</v>
      </c>
      <c r="AZ186" s="1756">
        <f t="shared" si="140"/>
        <v>11652.445490400003</v>
      </c>
      <c r="BA186" s="1758">
        <f t="shared" si="140"/>
        <v>11905.759522800005</v>
      </c>
      <c r="BB186" s="1759">
        <f t="shared" si="140"/>
        <v>12159.073555200004</v>
      </c>
      <c r="BC186" s="1759">
        <f t="shared" si="140"/>
        <v>12412.387587600006</v>
      </c>
      <c r="BD186" s="1759">
        <f t="shared" si="140"/>
        <v>12665.701620000003</v>
      </c>
      <c r="BE186" s="1759">
        <f t="shared" si="140"/>
        <v>12919.015652400005</v>
      </c>
      <c r="BF186" s="1759">
        <f t="shared" si="140"/>
        <v>13172.329684800005</v>
      </c>
      <c r="BG186" s="1756">
        <f t="shared" si="140"/>
        <v>13425.643717200004</v>
      </c>
      <c r="BH186" s="1760"/>
      <c r="BI186" s="1760"/>
      <c r="BJ186" s="1760"/>
      <c r="BK186" s="1760"/>
      <c r="BL186" s="1760"/>
      <c r="BM186" s="1760"/>
      <c r="BN186" s="1760"/>
      <c r="BO186" s="1760"/>
      <c r="BP186" s="1760"/>
      <c r="BQ186" s="1760"/>
      <c r="BR186" s="1760"/>
      <c r="BS186" s="1760"/>
      <c r="BT186" s="1760"/>
      <c r="BU186" s="1760"/>
      <c r="BV186" s="1760"/>
      <c r="BW186" s="1760"/>
      <c r="BX186" s="1760"/>
      <c r="BY186" s="1760"/>
      <c r="BZ186" s="1760"/>
      <c r="CA186" s="1760"/>
      <c r="CB186" s="1760"/>
      <c r="CC186" s="1760"/>
      <c r="CD186" s="1760"/>
      <c r="CE186" s="1760"/>
      <c r="CF186" s="1760"/>
      <c r="CG186" s="1760"/>
      <c r="CH186" s="1760"/>
      <c r="CI186" s="1760"/>
      <c r="CJ186" s="1760"/>
      <c r="CK186" s="1760"/>
      <c r="CL186" s="1760"/>
      <c r="CM186" s="1760"/>
      <c r="CN186" s="1760"/>
      <c r="CO186" s="1760"/>
      <c r="CP186" s="1760"/>
      <c r="CQ186" s="1760"/>
      <c r="CR186" s="1760"/>
      <c r="CS186" s="1760"/>
      <c r="CT186" s="1760"/>
      <c r="CU186" s="1760"/>
      <c r="CV186" s="1760"/>
      <c r="CW186" s="1760"/>
      <c r="CX186" s="1760"/>
      <c r="CY186" s="1760"/>
      <c r="CZ186" s="1760"/>
      <c r="DA186" s="1760"/>
      <c r="DB186" s="1760"/>
      <c r="DC186" s="1760"/>
      <c r="DD186" s="1760"/>
      <c r="DE186" s="1760"/>
      <c r="DF186" s="1760"/>
      <c r="DG186" s="1760"/>
    </row>
    <row r="187" spans="1:111">
      <c r="A187" s="2846"/>
      <c r="B187" s="2734" t="s">
        <v>261</v>
      </c>
      <c r="C187" s="2734"/>
      <c r="D187" s="2914"/>
      <c r="E187" s="1753" t="s">
        <v>194</v>
      </c>
      <c r="F187" s="1753">
        <v>150</v>
      </c>
      <c r="G187" s="1753">
        <v>360</v>
      </c>
      <c r="H187" s="1753">
        <v>6</v>
      </c>
      <c r="I187" s="1167"/>
      <c r="J187" s="1754"/>
      <c r="K187" s="1755">
        <f t="shared" ref="K187:AP187" si="141">((K$138-$I$4)/1000)*IF($C$14=0,$Q$35,$Q$52)*(($C$8/70)^$AB$52)*IF($C$14=0,1,IF($C$14&lt;=K$139,$AH$52,IF(AND($C$14&gt;=K$139,$C$14&lt;=K$140),((($AI$52-$AH$52)/(K$140-K$139))*$C$14+($AH$52-(($AI$52-$AH$52)/(K$140-K$139))*K$139)),IF($C$14&gt;=K$140,$AI$52,1))))</f>
        <v>1271.4046242857144</v>
      </c>
      <c r="L187" s="876">
        <f t="shared" si="141"/>
        <v>1525.6855491428573</v>
      </c>
      <c r="M187" s="876">
        <f t="shared" si="141"/>
        <v>1779.9664740000003</v>
      </c>
      <c r="N187" s="876">
        <f t="shared" si="141"/>
        <v>2034.2473988571433</v>
      </c>
      <c r="O187" s="876">
        <f t="shared" si="141"/>
        <v>2288.5283237142862</v>
      </c>
      <c r="P187" s="876">
        <f t="shared" si="141"/>
        <v>2542.8092485714287</v>
      </c>
      <c r="Q187" s="876">
        <f t="shared" si="141"/>
        <v>2797.0901734285721</v>
      </c>
      <c r="R187" s="876">
        <f t="shared" si="141"/>
        <v>2969.2245440000006</v>
      </c>
      <c r="S187" s="876">
        <f t="shared" si="141"/>
        <v>3216.6599226666676</v>
      </c>
      <c r="T187" s="876">
        <f t="shared" si="141"/>
        <v>3464.0953013333342</v>
      </c>
      <c r="U187" s="876">
        <f t="shared" si="141"/>
        <v>3674.1913371428577</v>
      </c>
      <c r="V187" s="1756">
        <f t="shared" si="141"/>
        <v>3919.1374262857153</v>
      </c>
      <c r="W187" s="1755">
        <f t="shared" si="141"/>
        <v>4164.0835154285714</v>
      </c>
      <c r="X187" s="876">
        <f t="shared" si="141"/>
        <v>4375.4241960000008</v>
      </c>
      <c r="Y187" s="876">
        <f t="shared" si="141"/>
        <v>4618.5033180000009</v>
      </c>
      <c r="Z187" s="876">
        <f t="shared" si="141"/>
        <v>4861.582440000001</v>
      </c>
      <c r="AA187" s="876">
        <f t="shared" si="141"/>
        <v>5104.6615620000011</v>
      </c>
      <c r="AB187" s="876">
        <f t="shared" si="141"/>
        <v>5347.7406840000012</v>
      </c>
      <c r="AC187" s="876">
        <f t="shared" si="141"/>
        <v>5590.8198060000004</v>
      </c>
      <c r="AD187" s="876">
        <f t="shared" si="141"/>
        <v>5833.8989280000005</v>
      </c>
      <c r="AE187" s="876">
        <f t="shared" si="141"/>
        <v>6076.9780500000015</v>
      </c>
      <c r="AF187" s="1756">
        <f t="shared" si="141"/>
        <v>6320.0571720000016</v>
      </c>
      <c r="AG187" s="1757">
        <f t="shared" si="141"/>
        <v>6563.1362940000017</v>
      </c>
      <c r="AH187" s="876">
        <f t="shared" si="141"/>
        <v>6806.2154160000009</v>
      </c>
      <c r="AI187" s="876">
        <f t="shared" si="141"/>
        <v>7049.294538000001</v>
      </c>
      <c r="AJ187" s="876">
        <f t="shared" si="141"/>
        <v>7292.3736600000011</v>
      </c>
      <c r="AK187" s="876">
        <f t="shared" si="141"/>
        <v>7535.4527820000012</v>
      </c>
      <c r="AL187" s="876">
        <f t="shared" si="141"/>
        <v>7778.5319040000013</v>
      </c>
      <c r="AM187" s="876">
        <f t="shared" si="141"/>
        <v>8021.6110260000005</v>
      </c>
      <c r="AN187" s="876">
        <f t="shared" si="141"/>
        <v>8264.6901479999997</v>
      </c>
      <c r="AO187" s="876">
        <f t="shared" si="141"/>
        <v>8507.7692700000007</v>
      </c>
      <c r="AP187" s="1756">
        <f t="shared" si="141"/>
        <v>8750.8483920000017</v>
      </c>
      <c r="AQ187" s="1755">
        <f t="shared" ref="AQ187:BG187" si="142">((AQ$138-$I$4)/1000)*IF($C$14=0,$Q$35,$Q$52)*(($C$8/70)^$AB$52)*IF($C$14=0,1,IF($C$14&lt;=AQ$139,$AH$52,IF(AND($C$14&gt;=AQ$139,$C$14&lt;=AQ$140),((($AI$52-$AH$52)/(AQ$140-AQ$139))*$C$14+($AH$52-(($AI$52-$AH$52)/(AQ$140-AQ$139))*AQ$139)),IF($C$14&gt;=AQ$140,$AI$52,1))))</f>
        <v>8993.9275140000027</v>
      </c>
      <c r="AR187" s="876">
        <f t="shared" si="142"/>
        <v>9237.0066360000019</v>
      </c>
      <c r="AS187" s="876">
        <f t="shared" si="142"/>
        <v>9480.0857580000011</v>
      </c>
      <c r="AT187" s="876">
        <f t="shared" si="142"/>
        <v>9723.1648800000021</v>
      </c>
      <c r="AU187" s="876">
        <f t="shared" si="142"/>
        <v>9966.2440020000013</v>
      </c>
      <c r="AV187" s="876">
        <f t="shared" si="142"/>
        <v>10209.323124000002</v>
      </c>
      <c r="AW187" s="876">
        <f t="shared" si="142"/>
        <v>10452.402246000001</v>
      </c>
      <c r="AX187" s="876">
        <f t="shared" si="142"/>
        <v>10695.481368000002</v>
      </c>
      <c r="AY187" s="876">
        <f t="shared" si="142"/>
        <v>10938.560490000003</v>
      </c>
      <c r="AZ187" s="1756">
        <f t="shared" si="142"/>
        <v>11181.639612000001</v>
      </c>
      <c r="BA187" s="1758">
        <f t="shared" si="142"/>
        <v>11424.718734000004</v>
      </c>
      <c r="BB187" s="1759">
        <f t="shared" si="142"/>
        <v>11667.797856000001</v>
      </c>
      <c r="BC187" s="1759">
        <f t="shared" si="142"/>
        <v>11910.876978000004</v>
      </c>
      <c r="BD187" s="1759">
        <f t="shared" si="142"/>
        <v>12153.956100000003</v>
      </c>
      <c r="BE187" s="1759">
        <f t="shared" si="142"/>
        <v>12397.035222</v>
      </c>
      <c r="BF187" s="1759">
        <f t="shared" si="142"/>
        <v>12640.114344000003</v>
      </c>
      <c r="BG187" s="1756">
        <f t="shared" si="142"/>
        <v>12883.193466000001</v>
      </c>
      <c r="BH187" s="1760"/>
      <c r="BI187" s="1760"/>
      <c r="BJ187" s="1760"/>
      <c r="BK187" s="1760"/>
      <c r="BL187" s="1760"/>
      <c r="BM187" s="1760"/>
      <c r="BN187" s="1760"/>
      <c r="BO187" s="1760"/>
      <c r="BP187" s="1760"/>
      <c r="BQ187" s="1760"/>
      <c r="BR187" s="1760"/>
      <c r="BS187" s="1760"/>
      <c r="BT187" s="1760"/>
      <c r="BU187" s="1760"/>
      <c r="BV187" s="1760"/>
      <c r="BW187" s="1760"/>
      <c r="BX187" s="1760"/>
      <c r="BY187" s="1760"/>
      <c r="BZ187" s="1760"/>
      <c r="CA187" s="1760"/>
      <c r="CB187" s="1760"/>
      <c r="CC187" s="1760"/>
      <c r="CD187" s="1760"/>
      <c r="CE187" s="1760"/>
      <c r="CF187" s="1760"/>
      <c r="CG187" s="1760"/>
      <c r="CH187" s="1760"/>
      <c r="CI187" s="1760"/>
      <c r="CJ187" s="1760"/>
      <c r="CK187" s="1760"/>
      <c r="CL187" s="1760"/>
      <c r="CM187" s="1760"/>
      <c r="CN187" s="1760"/>
      <c r="CO187" s="1760"/>
      <c r="CP187" s="1760"/>
      <c r="CQ187" s="1760"/>
      <c r="CR187" s="1760"/>
      <c r="CS187" s="1760"/>
      <c r="CT187" s="1760"/>
      <c r="CU187" s="1760"/>
      <c r="CV187" s="1760"/>
      <c r="CW187" s="1760"/>
      <c r="CX187" s="1760"/>
      <c r="CY187" s="1760"/>
      <c r="CZ187" s="1760"/>
      <c r="DA187" s="1760"/>
      <c r="DB187" s="1760"/>
      <c r="DC187" s="1760"/>
      <c r="DD187" s="1760"/>
      <c r="DE187" s="1760"/>
      <c r="DF187" s="1760"/>
      <c r="DG187" s="1760"/>
    </row>
    <row r="188" spans="1:111">
      <c r="A188" s="2846"/>
      <c r="B188" s="2734" t="s">
        <v>262</v>
      </c>
      <c r="C188" s="2734"/>
      <c r="D188" s="2914"/>
      <c r="E188" s="1753" t="s">
        <v>194</v>
      </c>
      <c r="F188" s="1753">
        <v>150</v>
      </c>
      <c r="G188" s="1753">
        <v>360</v>
      </c>
      <c r="H188" s="1753">
        <v>8</v>
      </c>
      <c r="I188" s="1167"/>
      <c r="J188" s="1754"/>
      <c r="K188" s="1755">
        <f t="shared" ref="K188:AP188" si="143">((K$138-$I$4)/1000)*IF($C$14=0,$R$35,$R$52)*(($C$8/70)^$AC$52)*IF($C$14=0,1,IF($C$14&lt;=K$139,$AH$52,IF(AND($C$14&gt;=K$139,$C$14&lt;=K$140),((($AI$52-$AH$52)/(K$140-K$139))*$C$14+($AH$52-(($AI$52-$AH$52)/(K$140-K$139))*K$139)),IF($C$14&gt;=K$140,$AI$52,1))))</f>
        <v>1338.3206571428573</v>
      </c>
      <c r="L188" s="876">
        <f t="shared" si="143"/>
        <v>1605.9847885714289</v>
      </c>
      <c r="M188" s="876">
        <f t="shared" si="143"/>
        <v>1873.6489200000003</v>
      </c>
      <c r="N188" s="876">
        <f t="shared" si="143"/>
        <v>2141.3130514285717</v>
      </c>
      <c r="O188" s="876">
        <f t="shared" si="143"/>
        <v>2408.9771828571434</v>
      </c>
      <c r="P188" s="876">
        <f t="shared" si="143"/>
        <v>2676.6413142857145</v>
      </c>
      <c r="Q188" s="876">
        <f t="shared" si="143"/>
        <v>2944.3054457142862</v>
      </c>
      <c r="R188" s="876">
        <f t="shared" si="143"/>
        <v>3125.4995200000008</v>
      </c>
      <c r="S188" s="876">
        <f t="shared" si="143"/>
        <v>3385.9578133333343</v>
      </c>
      <c r="T188" s="876">
        <f t="shared" si="143"/>
        <v>3646.4161066666675</v>
      </c>
      <c r="U188" s="876">
        <f t="shared" si="143"/>
        <v>3867.5698285714293</v>
      </c>
      <c r="V188" s="1756">
        <f t="shared" si="143"/>
        <v>4125.4078171428582</v>
      </c>
      <c r="W188" s="1755">
        <f t="shared" si="143"/>
        <v>4383.2458057142858</v>
      </c>
      <c r="X188" s="876">
        <f t="shared" si="143"/>
        <v>4605.7096800000018</v>
      </c>
      <c r="Y188" s="876">
        <f t="shared" si="143"/>
        <v>4861.582440000001</v>
      </c>
      <c r="Z188" s="876">
        <f t="shared" si="143"/>
        <v>5117.4552000000012</v>
      </c>
      <c r="AA188" s="876">
        <f t="shared" si="143"/>
        <v>5373.3279600000014</v>
      </c>
      <c r="AB188" s="876">
        <f t="shared" si="143"/>
        <v>5629.2007200000016</v>
      </c>
      <c r="AC188" s="876">
        <f t="shared" si="143"/>
        <v>5885.0734800000009</v>
      </c>
      <c r="AD188" s="876">
        <f t="shared" si="143"/>
        <v>6140.9462400000011</v>
      </c>
      <c r="AE188" s="876">
        <f t="shared" si="143"/>
        <v>6396.8190000000013</v>
      </c>
      <c r="AF188" s="1756">
        <f t="shared" si="143"/>
        <v>6652.6917600000015</v>
      </c>
      <c r="AG188" s="1757">
        <f t="shared" si="143"/>
        <v>6908.5645200000017</v>
      </c>
      <c r="AH188" s="876">
        <f t="shared" si="143"/>
        <v>7164.437280000001</v>
      </c>
      <c r="AI188" s="876">
        <f t="shared" si="143"/>
        <v>7420.3100400000012</v>
      </c>
      <c r="AJ188" s="876">
        <f t="shared" si="143"/>
        <v>7676.1828000000014</v>
      </c>
      <c r="AK188" s="876">
        <f t="shared" si="143"/>
        <v>7932.0555600000016</v>
      </c>
      <c r="AL188" s="876">
        <f t="shared" si="143"/>
        <v>8187.9283200000018</v>
      </c>
      <c r="AM188" s="876">
        <f t="shared" si="143"/>
        <v>8443.8010800000011</v>
      </c>
      <c r="AN188" s="876">
        <f t="shared" si="143"/>
        <v>8699.6738400000013</v>
      </c>
      <c r="AO188" s="876">
        <f t="shared" si="143"/>
        <v>8955.5466000000015</v>
      </c>
      <c r="AP188" s="1756">
        <f t="shared" si="143"/>
        <v>9211.4193600000035</v>
      </c>
      <c r="AQ188" s="1755">
        <f t="shared" ref="AQ188:BG188" si="144">((AQ$138-$I$4)/1000)*IF($C$14=0,$R$35,$R$52)*(($C$8/70)^$AC$52)*IF($C$14=0,1,IF($C$14&lt;=AQ$139,$AH$52,IF(AND($C$14&gt;=AQ$139,$C$14&lt;=AQ$140),((($AI$52-$AH$52)/(AQ$140-AQ$139))*$C$14+($AH$52-(($AI$52-$AH$52)/(AQ$140-AQ$139))*AQ$139)),IF($C$14&gt;=AQ$140,$AI$52,1))))</f>
        <v>9467.2921200000037</v>
      </c>
      <c r="AR188" s="876">
        <f t="shared" si="144"/>
        <v>9723.1648800000021</v>
      </c>
      <c r="AS188" s="876">
        <f t="shared" si="144"/>
        <v>9979.0376400000023</v>
      </c>
      <c r="AT188" s="876">
        <f t="shared" si="144"/>
        <v>10234.910400000002</v>
      </c>
      <c r="AU188" s="876">
        <f t="shared" si="144"/>
        <v>10490.783160000001</v>
      </c>
      <c r="AV188" s="876">
        <f t="shared" si="144"/>
        <v>10746.655920000003</v>
      </c>
      <c r="AW188" s="876">
        <f t="shared" si="144"/>
        <v>11002.528680000001</v>
      </c>
      <c r="AX188" s="876">
        <f t="shared" si="144"/>
        <v>11258.401440000003</v>
      </c>
      <c r="AY188" s="876">
        <f t="shared" si="144"/>
        <v>11514.274200000003</v>
      </c>
      <c r="AZ188" s="1756">
        <f t="shared" si="144"/>
        <v>11770.146960000002</v>
      </c>
      <c r="BA188" s="1758">
        <f t="shared" si="144"/>
        <v>12026.019720000004</v>
      </c>
      <c r="BB188" s="1759">
        <f t="shared" si="144"/>
        <v>12281.892480000002</v>
      </c>
      <c r="BC188" s="1759">
        <f t="shared" si="144"/>
        <v>12537.765240000004</v>
      </c>
      <c r="BD188" s="1759">
        <f t="shared" si="144"/>
        <v>12793.638000000003</v>
      </c>
      <c r="BE188" s="1759">
        <f t="shared" si="144"/>
        <v>13049.510760000001</v>
      </c>
      <c r="BF188" s="1759">
        <f t="shared" si="144"/>
        <v>13305.383520000003</v>
      </c>
      <c r="BG188" s="1756">
        <f t="shared" si="144"/>
        <v>13561.256280000001</v>
      </c>
      <c r="BH188" s="1855"/>
      <c r="BI188" s="1855"/>
      <c r="BK188" s="571">
        <f t="shared" ref="BK188:DG188" si="145">I249/K188</f>
        <v>0.52305597486214206</v>
      </c>
      <c r="BL188" s="571">
        <f t="shared" si="145"/>
        <v>0.5811733054023801</v>
      </c>
      <c r="BM188" s="571">
        <f t="shared" si="145"/>
        <v>0.62268568435969296</v>
      </c>
      <c r="BN188" s="571">
        <f t="shared" si="145"/>
        <v>0.65381996857767755</v>
      </c>
      <c r="BO188" s="571">
        <f t="shared" si="145"/>
        <v>0.67803552296944336</v>
      </c>
      <c r="BP188" s="571">
        <f t="shared" si="145"/>
        <v>0.69740796648285619</v>
      </c>
      <c r="BQ188" s="571">
        <f t="shared" si="145"/>
        <v>0.71325814753928463</v>
      </c>
      <c r="BR188" s="571">
        <f t="shared" si="145"/>
        <v>0.74656505466364587</v>
      </c>
      <c r="BS188" s="571">
        <f t="shared" si="145"/>
        <v>0.75805067088924039</v>
      </c>
      <c r="BT188" s="571">
        <f t="shared" si="145"/>
        <v>0.76789548479689285</v>
      </c>
      <c r="BU188" s="571">
        <f t="shared" si="145"/>
        <v>0.78431818181818147</v>
      </c>
      <c r="BV188" s="571">
        <f t="shared" si="145"/>
        <v>0.79185970279720241</v>
      </c>
      <c r="BW188" s="571">
        <f t="shared" si="145"/>
        <v>0.79851398601398582</v>
      </c>
      <c r="BX188" s="571">
        <f t="shared" si="145"/>
        <v>0.8106073138331199</v>
      </c>
      <c r="BY188" s="571">
        <f t="shared" si="145"/>
        <v>0.81594025668728509</v>
      </c>
      <c r="BZ188" s="571">
        <f t="shared" si="145"/>
        <v>0.82073990525603391</v>
      </c>
      <c r="CA188" s="571">
        <f t="shared" si="145"/>
        <v>0.82508244443728262</v>
      </c>
      <c r="CB188" s="571">
        <f t="shared" si="145"/>
        <v>0.82903020732932708</v>
      </c>
      <c r="CC188" s="571">
        <f t="shared" si="145"/>
        <v>0.83263468649162875</v>
      </c>
      <c r="CD188" s="571">
        <f t="shared" si="145"/>
        <v>0.83593879239040492</v>
      </c>
      <c r="CE188" s="571">
        <f t="shared" si="145"/>
        <v>0.83897856981727903</v>
      </c>
      <c r="CF188" s="571">
        <f t="shared" si="145"/>
        <v>0.84178451821131672</v>
      </c>
      <c r="CG188" s="571">
        <f t="shared" si="145"/>
        <v>0.84438261857616648</v>
      </c>
      <c r="CH188" s="571">
        <f t="shared" si="145"/>
        <v>0.8467951403435271</v>
      </c>
      <c r="CI188" s="571">
        <f t="shared" si="145"/>
        <v>0.84904128129934553</v>
      </c>
      <c r="CJ188" s="571">
        <f t="shared" si="145"/>
        <v>0.85113767952477593</v>
      </c>
      <c r="CK188" s="571">
        <f t="shared" si="145"/>
        <v>0.85309882625179156</v>
      </c>
      <c r="CL188" s="571">
        <f t="shared" si="145"/>
        <v>0.85493740130836871</v>
      </c>
      <c r="CM188" s="571">
        <f t="shared" si="145"/>
        <v>0.8566645475736383</v>
      </c>
      <c r="CN188" s="571">
        <f t="shared" si="145"/>
        <v>0.85829009699977421</v>
      </c>
      <c r="CO188" s="571">
        <f t="shared" si="145"/>
        <v>0.85982275788727369</v>
      </c>
      <c r="CP188" s="571">
        <f t="shared" si="145"/>
        <v>0.86127027094768971</v>
      </c>
      <c r="CQ188" s="571">
        <f t="shared" si="145"/>
        <v>0.86263954005889432</v>
      </c>
      <c r="CR188" s="571">
        <f t="shared" si="145"/>
        <v>0.86393674237477258</v>
      </c>
      <c r="CS188" s="571">
        <f t="shared" si="145"/>
        <v>0.86516742149496462</v>
      </c>
      <c r="CT188" s="571">
        <f t="shared" si="145"/>
        <v>0.86633656665914682</v>
      </c>
      <c r="CU188" s="571">
        <f t="shared" si="145"/>
        <v>0.86744868035190581</v>
      </c>
      <c r="CV188" s="571">
        <f t="shared" si="145"/>
        <v>0.86850783624977135</v>
      </c>
      <c r="CW188" s="571">
        <f t="shared" si="145"/>
        <v>0.86951772908261982</v>
      </c>
      <c r="CX188" s="571">
        <f t="shared" si="145"/>
        <v>0.87048171769579352</v>
      </c>
      <c r="CY188" s="571">
        <f t="shared" si="145"/>
        <v>0.87140286237060371</v>
      </c>
      <c r="CZ188" s="571">
        <f t="shared" si="145"/>
        <v>0.8722839572769443</v>
      </c>
      <c r="DA188" s="571">
        <f t="shared" si="145"/>
        <v>0.87312755878301473</v>
      </c>
      <c r="DB188" s="571">
        <f t="shared" si="145"/>
        <v>0.87393601022633227</v>
      </c>
      <c r="DC188" s="571">
        <f t="shared" si="145"/>
        <v>0.87471146365155539</v>
      </c>
      <c r="DD188" s="571">
        <f t="shared" si="145"/>
        <v>0.87545589893976949</v>
      </c>
      <c r="DE188" s="571">
        <f t="shared" si="145"/>
        <v>0.87617114068726953</v>
      </c>
      <c r="DF188" s="571">
        <f t="shared" si="145"/>
        <v>0.87685887313678834</v>
      </c>
      <c r="DG188" s="571">
        <f t="shared" si="145"/>
        <v>0.87752065341840102</v>
      </c>
    </row>
    <row r="189" spans="1:111">
      <c r="A189" s="1864"/>
      <c r="B189" s="2734" t="s">
        <v>263</v>
      </c>
      <c r="C189" s="2734"/>
      <c r="D189" s="2914"/>
      <c r="E189" s="1753" t="s">
        <v>194</v>
      </c>
      <c r="F189" s="1753">
        <v>150</v>
      </c>
      <c r="G189" s="1753">
        <v>400</v>
      </c>
      <c r="H189" s="1753">
        <v>6</v>
      </c>
      <c r="I189" s="1167"/>
      <c r="J189" s="1754"/>
      <c r="K189" s="1755">
        <f t="shared" ref="K189:AP189" si="146">((K$138-$I$4)/1000)*IF($C$14=0,$S$35,$S$52)*(($C$8/70)^$AD$52)*IF($C$14=0,1,IF($C$14&lt;=K$139,$AH$52,IF(AND($C$14&gt;=K$139,$C$14&lt;=K$140),((($AI$52-$AH$52)/(K$140-K$139))*$C$14+($AH$52-(($AI$52-$AH$52)/(K$140-K$139))*K$139)),IF($C$14&gt;=K$140,$AI$52,1))))</f>
        <v>1316.2147161428572</v>
      </c>
      <c r="L189" s="876">
        <f t="shared" si="146"/>
        <v>1579.4576593714287</v>
      </c>
      <c r="M189" s="876">
        <f t="shared" si="146"/>
        <v>1842.7006025999999</v>
      </c>
      <c r="N189" s="876">
        <f t="shared" si="146"/>
        <v>2105.9435458285716</v>
      </c>
      <c r="O189" s="876">
        <f t="shared" si="146"/>
        <v>2369.1864890571433</v>
      </c>
      <c r="P189" s="876">
        <f t="shared" si="146"/>
        <v>2632.4294322857145</v>
      </c>
      <c r="Q189" s="876">
        <f t="shared" si="146"/>
        <v>2895.6723755142862</v>
      </c>
      <c r="R189" s="876">
        <f t="shared" si="146"/>
        <v>3073.8735456000004</v>
      </c>
      <c r="S189" s="876">
        <f t="shared" si="146"/>
        <v>3330.0296744000007</v>
      </c>
      <c r="T189" s="876">
        <f t="shared" si="146"/>
        <v>3586.1858032000005</v>
      </c>
      <c r="U189" s="876">
        <f t="shared" si="146"/>
        <v>3803.6865805714292</v>
      </c>
      <c r="V189" s="1756">
        <f t="shared" si="146"/>
        <v>4057.2656859428575</v>
      </c>
      <c r="W189" s="1755">
        <f t="shared" si="146"/>
        <v>4310.8447913142863</v>
      </c>
      <c r="X189" s="876">
        <f t="shared" si="146"/>
        <v>4529.634080400001</v>
      </c>
      <c r="Y189" s="876">
        <f t="shared" si="146"/>
        <v>4781.2804182</v>
      </c>
      <c r="Z189" s="876">
        <f t="shared" si="146"/>
        <v>5032.9267560000008</v>
      </c>
      <c r="AA189" s="876">
        <f t="shared" si="146"/>
        <v>5284.5730938000015</v>
      </c>
      <c r="AB189" s="876">
        <f t="shared" si="146"/>
        <v>5536.2194316000014</v>
      </c>
      <c r="AC189" s="876">
        <f t="shared" si="146"/>
        <v>5787.8657694000003</v>
      </c>
      <c r="AD189" s="876">
        <f t="shared" si="146"/>
        <v>6039.5121072000011</v>
      </c>
      <c r="AE189" s="876">
        <f t="shared" si="146"/>
        <v>6291.1584450000009</v>
      </c>
      <c r="AF189" s="1756">
        <f t="shared" si="146"/>
        <v>6542.8047828000008</v>
      </c>
      <c r="AG189" s="1757">
        <f t="shared" si="146"/>
        <v>6794.4511206000006</v>
      </c>
      <c r="AH189" s="876">
        <f t="shared" si="146"/>
        <v>7046.0974584000005</v>
      </c>
      <c r="AI189" s="876">
        <f t="shared" si="146"/>
        <v>7297.7437962000004</v>
      </c>
      <c r="AJ189" s="876">
        <f t="shared" si="146"/>
        <v>7549.3901340000011</v>
      </c>
      <c r="AK189" s="876">
        <f t="shared" si="146"/>
        <v>7801.0364718000019</v>
      </c>
      <c r="AL189" s="876">
        <f t="shared" si="146"/>
        <v>8052.6828096000008</v>
      </c>
      <c r="AM189" s="876">
        <f t="shared" si="146"/>
        <v>8304.3291473999998</v>
      </c>
      <c r="AN189" s="876">
        <f t="shared" si="146"/>
        <v>8555.9754852000005</v>
      </c>
      <c r="AO189" s="876">
        <f t="shared" si="146"/>
        <v>8807.6218230000013</v>
      </c>
      <c r="AP189" s="1756">
        <f t="shared" si="146"/>
        <v>9059.2681608000021</v>
      </c>
      <c r="AQ189" s="1755">
        <f t="shared" ref="AQ189:BG189" si="147">((AQ$138-$I$4)/1000)*IF($C$14=0,$S$35,$S$52)*(($C$8/70)^$AD$52)*IF($C$14=0,1,IF($C$14&lt;=AQ$139,$AH$52,IF(AND($C$14&gt;=AQ$139,$C$14&lt;=AQ$140),((($AI$52-$AH$52)/(AQ$140-AQ$139))*$C$14+($AH$52-(($AI$52-$AH$52)/(AQ$140-AQ$139))*AQ$139)),IF($C$14&gt;=AQ$140,$AI$52,1))))</f>
        <v>9310.914498600001</v>
      </c>
      <c r="AR189" s="876">
        <f t="shared" si="147"/>
        <v>9562.5608364</v>
      </c>
      <c r="AS189" s="876">
        <f t="shared" si="147"/>
        <v>9814.2071742000007</v>
      </c>
      <c r="AT189" s="876">
        <f t="shared" si="147"/>
        <v>10065.853512000002</v>
      </c>
      <c r="AU189" s="876">
        <f t="shared" si="147"/>
        <v>10317.4998498</v>
      </c>
      <c r="AV189" s="876">
        <f t="shared" si="147"/>
        <v>10569.146187600003</v>
      </c>
      <c r="AW189" s="876">
        <f t="shared" si="147"/>
        <v>10820.792525400002</v>
      </c>
      <c r="AX189" s="876">
        <f t="shared" si="147"/>
        <v>11072.438863200003</v>
      </c>
      <c r="AY189" s="876">
        <f t="shared" si="147"/>
        <v>11324.085201000002</v>
      </c>
      <c r="AZ189" s="1756">
        <f t="shared" si="147"/>
        <v>11575.731538800001</v>
      </c>
      <c r="BA189" s="1758">
        <f t="shared" si="147"/>
        <v>11827.377876600003</v>
      </c>
      <c r="BB189" s="1759">
        <f t="shared" si="147"/>
        <v>12079.024214400002</v>
      </c>
      <c r="BC189" s="1759">
        <f t="shared" si="147"/>
        <v>12330.670552200003</v>
      </c>
      <c r="BD189" s="1759">
        <f t="shared" si="147"/>
        <v>12582.316890000002</v>
      </c>
      <c r="BE189" s="1759">
        <f t="shared" si="147"/>
        <v>12833.963227800001</v>
      </c>
      <c r="BF189" s="1759">
        <f t="shared" si="147"/>
        <v>13085.609565600002</v>
      </c>
      <c r="BG189" s="1756">
        <f t="shared" si="147"/>
        <v>13337.255903400001</v>
      </c>
      <c r="BH189" s="1761">
        <f t="shared" ref="BH189:CM189" si="148">((BH$138-$I$4)/1000)*IF($C$13=0,$T$35,$S$52)*(($C$8/70)^$AD$52)*IF($C$13=1,$AH$52,IF($C$13=2,$AI$52,IF($C$13=3,$AJ$52,1)))</f>
        <v>-2546.7199757999997</v>
      </c>
      <c r="BI189" s="1762">
        <f t="shared" si="148"/>
        <v>-2546.7199757999997</v>
      </c>
      <c r="BJ189" s="1762">
        <f t="shared" si="148"/>
        <v>-2546.7199757999997</v>
      </c>
      <c r="BK189" s="1762">
        <f t="shared" si="148"/>
        <v>1091.4514182</v>
      </c>
      <c r="BL189" s="1762">
        <f t="shared" si="148"/>
        <v>1455.2685576000001</v>
      </c>
      <c r="BM189" s="1762">
        <f t="shared" si="148"/>
        <v>1819.085697</v>
      </c>
      <c r="BN189" s="1762">
        <f t="shared" si="148"/>
        <v>2182.9028364000001</v>
      </c>
      <c r="BO189" s="1762">
        <f t="shared" si="148"/>
        <v>2546.7199757999997</v>
      </c>
      <c r="BP189" s="1762">
        <f t="shared" si="148"/>
        <v>2910.5371152000002</v>
      </c>
      <c r="BQ189" s="1762">
        <f t="shared" si="148"/>
        <v>3274.3542546000003</v>
      </c>
      <c r="BR189" s="1762">
        <f t="shared" si="148"/>
        <v>3638.171394</v>
      </c>
      <c r="BS189" s="1762">
        <f t="shared" si="148"/>
        <v>4001.9885334000005</v>
      </c>
      <c r="BT189" s="1762">
        <f t="shared" si="148"/>
        <v>4365.8056728000001</v>
      </c>
      <c r="BU189" s="1762">
        <f t="shared" si="148"/>
        <v>4729.6228122000002</v>
      </c>
      <c r="BV189" s="1762">
        <f t="shared" si="148"/>
        <v>5093.4399515999994</v>
      </c>
      <c r="BW189" s="1762">
        <f t="shared" si="148"/>
        <v>5457.2570910000004</v>
      </c>
      <c r="BX189" s="1762">
        <f t="shared" si="148"/>
        <v>5821.0742304000005</v>
      </c>
      <c r="BY189" s="1762">
        <f t="shared" si="148"/>
        <v>6184.8913697999997</v>
      </c>
      <c r="BZ189" s="1762">
        <f t="shared" si="148"/>
        <v>6548.7085092000007</v>
      </c>
      <c r="CA189" s="1762">
        <f t="shared" si="148"/>
        <v>6912.5256485999989</v>
      </c>
      <c r="CB189" s="1762">
        <f t="shared" si="148"/>
        <v>7276.3427879999999</v>
      </c>
      <c r="CC189" s="1762">
        <f t="shared" si="148"/>
        <v>7640.1599274000009</v>
      </c>
      <c r="CD189" s="1762">
        <f t="shared" si="148"/>
        <v>8003.977066800001</v>
      </c>
      <c r="CE189" s="1762">
        <f t="shared" si="148"/>
        <v>8367.7942062000002</v>
      </c>
      <c r="CF189" s="1762">
        <f t="shared" si="148"/>
        <v>8731.6113456000003</v>
      </c>
      <c r="CG189" s="1762">
        <f t="shared" si="148"/>
        <v>9095.4284850000004</v>
      </c>
      <c r="CH189" s="1762">
        <f t="shared" si="148"/>
        <v>9459.2456244000005</v>
      </c>
      <c r="CI189" s="1762">
        <f t="shared" si="148"/>
        <v>9823.0627638000005</v>
      </c>
      <c r="CJ189" s="1762">
        <f t="shared" si="148"/>
        <v>10186.879903199999</v>
      </c>
      <c r="CK189" s="1762">
        <f t="shared" si="148"/>
        <v>10550.697042600001</v>
      </c>
      <c r="CL189" s="1762">
        <f t="shared" si="148"/>
        <v>10914.514182000001</v>
      </c>
      <c r="CM189" s="1762">
        <f t="shared" si="148"/>
        <v>11278.331321400001</v>
      </c>
      <c r="CN189" s="1762">
        <f t="shared" ref="CN189:DG189" si="149">((CN$138-$I$4)/1000)*IF($C$13=0,$T$35,$S$52)*(($C$8/70)^$AD$52)*IF($C$13=1,$AH$52,IF($C$13=2,$AI$52,IF($C$13=3,$AJ$52,1)))</f>
        <v>11642.148460800001</v>
      </c>
      <c r="CO189" s="1762">
        <f t="shared" si="149"/>
        <v>12005.965600199999</v>
      </c>
      <c r="CP189" s="1762">
        <f t="shared" si="149"/>
        <v>12369.782739599999</v>
      </c>
      <c r="CQ189" s="1762">
        <f t="shared" si="149"/>
        <v>12733.599879000001</v>
      </c>
      <c r="CR189" s="1762">
        <f t="shared" si="149"/>
        <v>13097.417018400001</v>
      </c>
      <c r="CS189" s="1762">
        <f t="shared" si="149"/>
        <v>13461.2341578</v>
      </c>
      <c r="CT189" s="1762">
        <f t="shared" si="149"/>
        <v>13825.051297199998</v>
      </c>
      <c r="CU189" s="1762">
        <f t="shared" si="149"/>
        <v>14188.8684366</v>
      </c>
      <c r="CV189" s="1762">
        <f t="shared" si="149"/>
        <v>14552.685576</v>
      </c>
      <c r="CW189" s="1762">
        <f t="shared" si="149"/>
        <v>14916.502715399998</v>
      </c>
      <c r="CX189" s="1762">
        <f t="shared" si="149"/>
        <v>15280.319854800002</v>
      </c>
      <c r="CY189" s="1762">
        <f t="shared" si="149"/>
        <v>15644.1369942</v>
      </c>
      <c r="CZ189" s="1762">
        <f t="shared" si="149"/>
        <v>16007.954133600002</v>
      </c>
      <c r="DA189" s="1762">
        <f t="shared" si="149"/>
        <v>16371.771273</v>
      </c>
      <c r="DB189" s="1762">
        <f t="shared" si="149"/>
        <v>16735.5884124</v>
      </c>
      <c r="DC189" s="1762">
        <f t="shared" si="149"/>
        <v>17099.405551800002</v>
      </c>
      <c r="DD189" s="1762">
        <f t="shared" si="149"/>
        <v>17463.222691200001</v>
      </c>
      <c r="DE189" s="1762">
        <f t="shared" si="149"/>
        <v>17827.039830600002</v>
      </c>
      <c r="DF189" s="1762">
        <f t="shared" si="149"/>
        <v>18190.856970000001</v>
      </c>
      <c r="DG189" s="1762">
        <f t="shared" si="149"/>
        <v>18554.674109399999</v>
      </c>
    </row>
    <row r="190" spans="1:111" ht="15.75" thickBot="1">
      <c r="A190" s="1864"/>
      <c r="B190" s="2735" t="s">
        <v>264</v>
      </c>
      <c r="C190" s="2735"/>
      <c r="D190" s="2915"/>
      <c r="E190" s="1763" t="s">
        <v>194</v>
      </c>
      <c r="F190" s="1763">
        <v>150</v>
      </c>
      <c r="G190" s="1763">
        <v>400</v>
      </c>
      <c r="H190" s="1763">
        <v>8</v>
      </c>
      <c r="I190" s="1168"/>
      <c r="J190" s="1764"/>
      <c r="K190" s="1765">
        <f t="shared" ref="K190:AP190" si="150">((K$138-$I$4)/1000)*IF($C$14=0,$T$35,$T$52)*(($C$8/70)^$AE$52)*IF($C$14=0,1,IF($C$14&lt;=K$139,$AH$52,IF(AND($C$14&gt;=K$139,$C$14&lt;=K$140),((($AI$52-$AH$52)/(K$140-K$139))*$C$14+($AH$52-(($AI$52-$AH$52)/(K$140-K$139))*K$139)),IF($C$14&gt;=K$140,$AI$52,1))))</f>
        <v>1438.4860285714285</v>
      </c>
      <c r="L190" s="877">
        <f t="shared" si="150"/>
        <v>1726.1832342857142</v>
      </c>
      <c r="M190" s="877">
        <f t="shared" si="150"/>
        <v>2013.8804399999999</v>
      </c>
      <c r="N190" s="877">
        <f t="shared" si="150"/>
        <v>2301.5776457142856</v>
      </c>
      <c r="O190" s="877">
        <f t="shared" si="150"/>
        <v>2589.2748514285718</v>
      </c>
      <c r="P190" s="877">
        <f t="shared" si="150"/>
        <v>2876.972057142857</v>
      </c>
      <c r="Q190" s="877">
        <f t="shared" si="150"/>
        <v>3164.6692628571432</v>
      </c>
      <c r="R190" s="877">
        <f t="shared" si="150"/>
        <v>3359.4246400000002</v>
      </c>
      <c r="S190" s="877">
        <f t="shared" si="150"/>
        <v>3639.3766933333341</v>
      </c>
      <c r="T190" s="877">
        <f t="shared" si="150"/>
        <v>3919.328746666667</v>
      </c>
      <c r="U190" s="877">
        <f t="shared" si="150"/>
        <v>4157.0345142857141</v>
      </c>
      <c r="V190" s="1766">
        <f t="shared" si="150"/>
        <v>4434.1701485714284</v>
      </c>
      <c r="W190" s="1765">
        <f t="shared" si="150"/>
        <v>4711.3057828571427</v>
      </c>
      <c r="X190" s="877">
        <f t="shared" si="150"/>
        <v>4950.4197600000007</v>
      </c>
      <c r="Y190" s="877">
        <f t="shared" si="150"/>
        <v>5225.44308</v>
      </c>
      <c r="Z190" s="877">
        <f t="shared" si="150"/>
        <v>5500.4664000000002</v>
      </c>
      <c r="AA190" s="877">
        <f t="shared" si="150"/>
        <v>5775.4897200000005</v>
      </c>
      <c r="AB190" s="877">
        <f t="shared" si="150"/>
        <v>6050.5130400000007</v>
      </c>
      <c r="AC190" s="877">
        <f t="shared" si="150"/>
        <v>6325.5363600000001</v>
      </c>
      <c r="AD190" s="877">
        <f t="shared" si="150"/>
        <v>6600.5596800000003</v>
      </c>
      <c r="AE190" s="877">
        <f t="shared" si="150"/>
        <v>6875.5830000000005</v>
      </c>
      <c r="AF190" s="1766">
        <f t="shared" si="150"/>
        <v>7150.6063200000008</v>
      </c>
      <c r="AG190" s="1767">
        <f t="shared" si="150"/>
        <v>7425.629640000001</v>
      </c>
      <c r="AH190" s="877">
        <f t="shared" si="150"/>
        <v>7700.6529599999994</v>
      </c>
      <c r="AI190" s="877">
        <f t="shared" si="150"/>
        <v>7975.6762799999997</v>
      </c>
      <c r="AJ190" s="877">
        <f t="shared" si="150"/>
        <v>8250.6995999999999</v>
      </c>
      <c r="AK190" s="877">
        <f t="shared" si="150"/>
        <v>8525.7229200000002</v>
      </c>
      <c r="AL190" s="877">
        <f t="shared" si="150"/>
        <v>8800.7462400000004</v>
      </c>
      <c r="AM190" s="877">
        <f t="shared" si="150"/>
        <v>9075.7695599999988</v>
      </c>
      <c r="AN190" s="877">
        <f t="shared" si="150"/>
        <v>9350.7928799999991</v>
      </c>
      <c r="AO190" s="877">
        <f t="shared" si="150"/>
        <v>9625.8161999999993</v>
      </c>
      <c r="AP190" s="1766">
        <f t="shared" si="150"/>
        <v>9900.8395200000014</v>
      </c>
      <c r="AQ190" s="1765">
        <f t="shared" ref="AQ190:BG190" si="151">((AQ$138-$I$4)/1000)*IF($C$14=0,$T$35,$T$52)*(($C$8/70)^$AE$52)*IF($C$14=0,1,IF($C$14&lt;=AQ$139,$AH$52,IF(AND($C$14&gt;=AQ$139,$C$14&lt;=AQ$140),((($AI$52-$AH$52)/(AQ$140-AQ$139))*$C$14+($AH$52-(($AI$52-$AH$52)/(AQ$140-AQ$139))*AQ$139)),IF($C$14&gt;=AQ$140,$AI$52,1))))</f>
        <v>10175.862840000002</v>
      </c>
      <c r="AR190" s="877">
        <f t="shared" si="151"/>
        <v>10450.88616</v>
      </c>
      <c r="AS190" s="877">
        <f t="shared" si="151"/>
        <v>10725.90948</v>
      </c>
      <c r="AT190" s="877">
        <f t="shared" si="151"/>
        <v>11000.9328</v>
      </c>
      <c r="AU190" s="877">
        <f t="shared" si="151"/>
        <v>11275.956119999999</v>
      </c>
      <c r="AV190" s="877">
        <f t="shared" si="151"/>
        <v>11550.979440000001</v>
      </c>
      <c r="AW190" s="877">
        <f t="shared" si="151"/>
        <v>11826.002759999999</v>
      </c>
      <c r="AX190" s="877">
        <f t="shared" si="151"/>
        <v>12101.026080000001</v>
      </c>
      <c r="AY190" s="877">
        <f t="shared" si="151"/>
        <v>12376.049400000002</v>
      </c>
      <c r="AZ190" s="1766">
        <f t="shared" si="151"/>
        <v>12651.07272</v>
      </c>
      <c r="BA190" s="1768">
        <f t="shared" si="151"/>
        <v>12926.096040000002</v>
      </c>
      <c r="BB190" s="1769">
        <f t="shared" si="151"/>
        <v>13201.119360000001</v>
      </c>
      <c r="BC190" s="1769">
        <f t="shared" si="151"/>
        <v>13476.142680000001</v>
      </c>
      <c r="BD190" s="1769">
        <f t="shared" si="151"/>
        <v>13751.166000000001</v>
      </c>
      <c r="BE190" s="1769">
        <f t="shared" si="151"/>
        <v>14026.189319999999</v>
      </c>
      <c r="BF190" s="1769">
        <f t="shared" si="151"/>
        <v>14301.212640000002</v>
      </c>
      <c r="BG190" s="1766">
        <f t="shared" si="151"/>
        <v>14576.23596</v>
      </c>
      <c r="BH190" s="1767">
        <f t="shared" ref="BH190:CM190" si="152">((BH$138-$I$4)/1000)*IF($C$13=0,$T$35,$T$52)*(($C$8/70)^$AD$52)*IF($C$13=1,$AH$52,IF($C$13=2,$AI$52,IF($C$13=3,$AJ$52,1)))</f>
        <v>-2783.3005199999998</v>
      </c>
      <c r="BI190" s="877">
        <f t="shared" si="152"/>
        <v>-2783.3005199999998</v>
      </c>
      <c r="BJ190" s="877">
        <f t="shared" si="152"/>
        <v>-2783.3005199999998</v>
      </c>
      <c r="BK190" s="877">
        <f t="shared" si="152"/>
        <v>1192.8430799999999</v>
      </c>
      <c r="BL190" s="877">
        <f t="shared" si="152"/>
        <v>1590.4574399999999</v>
      </c>
      <c r="BM190" s="877">
        <f t="shared" si="152"/>
        <v>1988.0717999999999</v>
      </c>
      <c r="BN190" s="877">
        <f t="shared" si="152"/>
        <v>2385.6861599999997</v>
      </c>
      <c r="BO190" s="877">
        <f t="shared" si="152"/>
        <v>2783.3005199999998</v>
      </c>
      <c r="BP190" s="877">
        <f t="shared" si="152"/>
        <v>3180.9148799999998</v>
      </c>
      <c r="BQ190" s="877">
        <f t="shared" si="152"/>
        <v>3578.5292399999998</v>
      </c>
      <c r="BR190" s="877">
        <f t="shared" si="152"/>
        <v>3976.1435999999999</v>
      </c>
      <c r="BS190" s="877">
        <f t="shared" si="152"/>
        <v>4373.7579599999999</v>
      </c>
      <c r="BT190" s="877">
        <f t="shared" si="152"/>
        <v>4771.3723199999995</v>
      </c>
      <c r="BU190" s="877">
        <f t="shared" si="152"/>
        <v>5168.98668</v>
      </c>
      <c r="BV190" s="877">
        <f t="shared" si="152"/>
        <v>5566.6010399999996</v>
      </c>
      <c r="BW190" s="877">
        <f t="shared" si="152"/>
        <v>5964.2153999999991</v>
      </c>
      <c r="BX190" s="877">
        <f t="shared" si="152"/>
        <v>6361.8297599999996</v>
      </c>
      <c r="BY190" s="877">
        <f t="shared" si="152"/>
        <v>6759.4441199999992</v>
      </c>
      <c r="BZ190" s="877">
        <f t="shared" si="152"/>
        <v>7157.0584799999997</v>
      </c>
      <c r="CA190" s="877">
        <f t="shared" si="152"/>
        <v>7554.6728399999993</v>
      </c>
      <c r="CB190" s="877">
        <f t="shared" si="152"/>
        <v>7952.2871999999998</v>
      </c>
      <c r="CC190" s="877">
        <f t="shared" si="152"/>
        <v>8349.9015600000002</v>
      </c>
      <c r="CD190" s="877">
        <f t="shared" si="152"/>
        <v>8747.5159199999998</v>
      </c>
      <c r="CE190" s="877">
        <f t="shared" si="152"/>
        <v>9145.1302799999994</v>
      </c>
      <c r="CF190" s="877">
        <f t="shared" si="152"/>
        <v>9542.744639999999</v>
      </c>
      <c r="CG190" s="877">
        <f t="shared" si="152"/>
        <v>9940.3589999999986</v>
      </c>
      <c r="CH190" s="877">
        <f t="shared" si="152"/>
        <v>10337.97336</v>
      </c>
      <c r="CI190" s="877">
        <f t="shared" si="152"/>
        <v>10735.587720000001</v>
      </c>
      <c r="CJ190" s="877">
        <f t="shared" si="152"/>
        <v>11133.202079999999</v>
      </c>
      <c r="CK190" s="877">
        <f t="shared" si="152"/>
        <v>11530.816439999999</v>
      </c>
      <c r="CL190" s="877">
        <f t="shared" si="152"/>
        <v>11928.430799999998</v>
      </c>
      <c r="CM190" s="877">
        <f t="shared" si="152"/>
        <v>12326.04516</v>
      </c>
      <c r="CN190" s="877">
        <f t="shared" ref="CN190:DG190" si="153">((CN$138-$I$4)/1000)*IF($C$13=0,$T$35,$T$52)*(($C$8/70)^$AD$52)*IF($C$13=1,$AH$52,IF($C$13=2,$AI$52,IF($C$13=3,$AJ$52,1)))</f>
        <v>12723.659519999999</v>
      </c>
      <c r="CO190" s="877">
        <f t="shared" si="153"/>
        <v>13121.273879999997</v>
      </c>
      <c r="CP190" s="877">
        <f t="shared" si="153"/>
        <v>13518.888239999998</v>
      </c>
      <c r="CQ190" s="877">
        <f t="shared" si="153"/>
        <v>13916.502599999998</v>
      </c>
      <c r="CR190" s="877">
        <f t="shared" si="153"/>
        <v>14314.116959999999</v>
      </c>
      <c r="CS190" s="877">
        <f t="shared" si="153"/>
        <v>14711.731320000001</v>
      </c>
      <c r="CT190" s="877">
        <f t="shared" si="153"/>
        <v>15109.345679999999</v>
      </c>
      <c r="CU190" s="877">
        <f t="shared" si="153"/>
        <v>15506.960039999998</v>
      </c>
      <c r="CV190" s="877">
        <f t="shared" si="153"/>
        <v>15904.5744</v>
      </c>
      <c r="CW190" s="877">
        <f t="shared" si="153"/>
        <v>16302.188759999997</v>
      </c>
      <c r="CX190" s="877">
        <f t="shared" si="153"/>
        <v>16699.80312</v>
      </c>
      <c r="CY190" s="877">
        <f t="shared" si="153"/>
        <v>17097.417479999996</v>
      </c>
      <c r="CZ190" s="877">
        <f t="shared" si="153"/>
        <v>17495.03184</v>
      </c>
      <c r="DA190" s="877">
        <f t="shared" si="153"/>
        <v>17892.646199999999</v>
      </c>
      <c r="DB190" s="877">
        <f t="shared" si="153"/>
        <v>18290.260559999999</v>
      </c>
      <c r="DC190" s="877">
        <f t="shared" si="153"/>
        <v>18687.874919999998</v>
      </c>
      <c r="DD190" s="877">
        <f t="shared" si="153"/>
        <v>19085.489279999998</v>
      </c>
      <c r="DE190" s="877">
        <f t="shared" si="153"/>
        <v>19483.103640000001</v>
      </c>
      <c r="DF190" s="877">
        <f t="shared" si="153"/>
        <v>19880.717999999997</v>
      </c>
      <c r="DG190" s="877">
        <f t="shared" si="153"/>
        <v>20278.332359999997</v>
      </c>
    </row>
    <row r="191" spans="1:111" ht="36" hidden="1" customHeight="1">
      <c r="B191" s="2902"/>
      <c r="C191" s="2902"/>
      <c r="D191" s="767"/>
      <c r="E191" s="1770"/>
      <c r="F191" s="1771"/>
      <c r="G191" s="1771"/>
      <c r="H191" s="1772"/>
      <c r="I191" s="1865"/>
      <c r="J191" s="1865"/>
      <c r="K191" s="1865"/>
      <c r="L191" s="1865"/>
      <c r="M191" s="1865"/>
      <c r="N191" s="1865"/>
      <c r="O191" s="1865"/>
      <c r="P191" s="1865"/>
      <c r="Q191" s="1865"/>
      <c r="R191" s="1865"/>
      <c r="S191" s="1865"/>
      <c r="T191" s="1865"/>
      <c r="U191" s="1865"/>
      <c r="V191" s="1865"/>
      <c r="W191" s="1865"/>
      <c r="X191" s="1865"/>
      <c r="Y191" s="1865"/>
      <c r="Z191" s="1865"/>
      <c r="AA191" s="1865"/>
      <c r="AB191" s="1865"/>
      <c r="AC191" s="1865"/>
      <c r="AD191" s="1865"/>
      <c r="AE191" s="1865"/>
      <c r="AF191" s="1865"/>
      <c r="AG191" s="1865"/>
      <c r="AH191" s="1865"/>
      <c r="AI191" s="1865"/>
      <c r="AJ191" s="1865"/>
      <c r="AK191" s="1865"/>
      <c r="AL191" s="1865"/>
      <c r="AM191" s="1865"/>
      <c r="AN191" s="1865"/>
      <c r="AO191" s="1865"/>
      <c r="AP191" s="1865"/>
      <c r="AQ191" s="1865"/>
      <c r="AR191" s="1865"/>
      <c r="AS191" s="1865"/>
      <c r="AT191" s="1865"/>
      <c r="AU191" s="1865"/>
      <c r="AV191" s="1865"/>
      <c r="AW191" s="1865"/>
      <c r="AX191" s="1865"/>
      <c r="AY191" s="1865"/>
      <c r="AZ191" s="1865"/>
      <c r="BA191" s="1865"/>
      <c r="BB191" s="1865"/>
      <c r="BC191" s="1865"/>
      <c r="BD191" s="1865"/>
      <c r="BE191" s="1865"/>
      <c r="BF191" s="1865"/>
      <c r="BG191" s="1865"/>
      <c r="BH191" s="1855"/>
    </row>
    <row r="192" spans="1:111" ht="21.75" hidden="1" thickBot="1">
      <c r="B192" s="2903" t="s">
        <v>343</v>
      </c>
      <c r="C192" s="2904"/>
      <c r="D192" s="1773"/>
      <c r="E192" s="2907" t="s">
        <v>192</v>
      </c>
      <c r="F192" s="2909" t="s">
        <v>0</v>
      </c>
      <c r="G192" s="2909" t="s">
        <v>1</v>
      </c>
      <c r="H192" s="2911" t="s">
        <v>153</v>
      </c>
      <c r="I192" s="2916" t="s">
        <v>16</v>
      </c>
      <c r="J192" s="2917"/>
      <c r="K192" s="2917"/>
      <c r="L192" s="2917"/>
      <c r="M192" s="2917"/>
      <c r="N192" s="2917"/>
      <c r="O192" s="2917"/>
      <c r="P192" s="2917"/>
      <c r="Q192" s="2917"/>
      <c r="R192" s="2917"/>
      <c r="S192" s="2917"/>
      <c r="T192" s="2917"/>
      <c r="U192" s="2917"/>
      <c r="V192" s="2917"/>
      <c r="W192" s="2917"/>
      <c r="X192" s="2917"/>
      <c r="Y192" s="2917"/>
      <c r="Z192" s="2917"/>
      <c r="AA192" s="2917"/>
      <c r="AB192" s="2917"/>
      <c r="AC192" s="2917"/>
      <c r="AD192" s="2917"/>
      <c r="AE192" s="2917"/>
      <c r="AF192" s="2917"/>
      <c r="AG192" s="2917"/>
      <c r="AH192" s="2917"/>
      <c r="AI192" s="2917"/>
      <c r="AJ192" s="2917"/>
      <c r="AK192" s="2917"/>
      <c r="AL192" s="2917"/>
      <c r="AM192" s="2917"/>
      <c r="AN192" s="2917"/>
      <c r="AO192" s="2917"/>
      <c r="AP192" s="2917"/>
      <c r="AQ192" s="2917"/>
      <c r="AR192" s="2917"/>
      <c r="AS192" s="2917"/>
      <c r="AT192" s="2917"/>
      <c r="AU192" s="2917"/>
      <c r="AV192" s="2917"/>
      <c r="AW192" s="2917"/>
      <c r="AX192" s="2917"/>
      <c r="AY192" s="2917"/>
      <c r="AZ192" s="2917"/>
      <c r="BA192" s="2917"/>
      <c r="BB192" s="2917"/>
      <c r="BC192" s="2917"/>
      <c r="BD192" s="2917"/>
      <c r="BE192" s="2917"/>
      <c r="BF192" s="2917"/>
      <c r="BG192" s="2918"/>
    </row>
    <row r="193" spans="1:111" ht="21.75" hidden="1" thickBot="1">
      <c r="B193" s="2905"/>
      <c r="C193" s="2906"/>
      <c r="D193" s="1774"/>
      <c r="E193" s="2908"/>
      <c r="F193" s="2910"/>
      <c r="G193" s="2910"/>
      <c r="H193" s="2912"/>
      <c r="I193" s="1775">
        <v>500</v>
      </c>
      <c r="J193" s="1776">
        <v>550</v>
      </c>
      <c r="K193" s="1777">
        <v>600</v>
      </c>
      <c r="L193" s="1778">
        <v>650</v>
      </c>
      <c r="M193" s="1778">
        <v>700</v>
      </c>
      <c r="N193" s="1778">
        <v>750</v>
      </c>
      <c r="O193" s="1778">
        <v>800</v>
      </c>
      <c r="P193" s="1778">
        <v>850</v>
      </c>
      <c r="Q193" s="1778">
        <v>900</v>
      </c>
      <c r="R193" s="1778">
        <v>950</v>
      </c>
      <c r="S193" s="1778">
        <v>1000</v>
      </c>
      <c r="T193" s="1778">
        <v>1050</v>
      </c>
      <c r="U193" s="1778">
        <v>1100</v>
      </c>
      <c r="V193" s="1778">
        <v>1150</v>
      </c>
      <c r="W193" s="1778">
        <v>1200</v>
      </c>
      <c r="X193" s="1778">
        <v>1250</v>
      </c>
      <c r="Y193" s="1778">
        <v>1300</v>
      </c>
      <c r="Z193" s="1778">
        <v>1350</v>
      </c>
      <c r="AA193" s="1778">
        <v>1400</v>
      </c>
      <c r="AB193" s="1778">
        <v>1450</v>
      </c>
      <c r="AC193" s="1778">
        <v>1500</v>
      </c>
      <c r="AD193" s="1778">
        <v>1550</v>
      </c>
      <c r="AE193" s="1778">
        <v>1600</v>
      </c>
      <c r="AF193" s="1778">
        <v>1650</v>
      </c>
      <c r="AG193" s="1778">
        <v>1700</v>
      </c>
      <c r="AH193" s="1778">
        <v>1750</v>
      </c>
      <c r="AI193" s="1778">
        <v>1800</v>
      </c>
      <c r="AJ193" s="1778">
        <v>1850</v>
      </c>
      <c r="AK193" s="1778">
        <v>1900</v>
      </c>
      <c r="AL193" s="1778">
        <v>1950</v>
      </c>
      <c r="AM193" s="1778">
        <v>2000</v>
      </c>
      <c r="AN193" s="1778">
        <v>2050</v>
      </c>
      <c r="AO193" s="1778">
        <v>2100</v>
      </c>
      <c r="AP193" s="1778">
        <v>2150</v>
      </c>
      <c r="AQ193" s="1778">
        <v>2200</v>
      </c>
      <c r="AR193" s="1778">
        <v>2250</v>
      </c>
      <c r="AS193" s="1778">
        <v>2300</v>
      </c>
      <c r="AT193" s="1778">
        <v>2350</v>
      </c>
      <c r="AU193" s="1778">
        <v>2400</v>
      </c>
      <c r="AV193" s="1778">
        <v>2450</v>
      </c>
      <c r="AW193" s="1778">
        <v>2500</v>
      </c>
      <c r="AX193" s="1778">
        <v>2550</v>
      </c>
      <c r="AY193" s="1778">
        <v>2600</v>
      </c>
      <c r="AZ193" s="1778">
        <v>2650</v>
      </c>
      <c r="BA193" s="1778">
        <v>2700</v>
      </c>
      <c r="BB193" s="1778">
        <v>2750</v>
      </c>
      <c r="BC193" s="1778">
        <v>2800</v>
      </c>
      <c r="BD193" s="1778">
        <v>2850</v>
      </c>
      <c r="BE193" s="1778">
        <v>2900</v>
      </c>
      <c r="BF193" s="1779">
        <v>2950</v>
      </c>
      <c r="BG193" s="1780">
        <v>3000</v>
      </c>
    </row>
    <row r="194" spans="1:111" hidden="1">
      <c r="A194" s="2773" t="s">
        <v>5699</v>
      </c>
      <c r="B194" s="2919" t="s">
        <v>5704</v>
      </c>
      <c r="C194" s="2920"/>
      <c r="D194" s="2921"/>
      <c r="E194" s="1781" t="s">
        <v>5698</v>
      </c>
      <c r="F194" s="1781">
        <v>90</v>
      </c>
      <c r="G194" s="1781">
        <v>260</v>
      </c>
      <c r="H194" s="1781">
        <v>2</v>
      </c>
      <c r="I194" s="1782">
        <f t="shared" ref="I194:AN194" si="154">((I$193-$I$4)/1000)*$N$86*(($C$8/70)^$X$86)*IF($C$13=1,$AF$67,IF($C$13=2,$AG$67,IF($C$13=3,$AH$67,1)))</f>
        <v>558.35207999999989</v>
      </c>
      <c r="J194" s="1782">
        <f t="shared" si="154"/>
        <v>744.46943999999996</v>
      </c>
      <c r="K194" s="1782">
        <f t="shared" si="154"/>
        <v>930.58679999999993</v>
      </c>
      <c r="L194" s="1782">
        <f t="shared" si="154"/>
        <v>1116.7041599999998</v>
      </c>
      <c r="M194" s="1782">
        <f t="shared" si="154"/>
        <v>1302.8215199999997</v>
      </c>
      <c r="N194" s="1782">
        <f t="shared" si="154"/>
        <v>1488.9388799999999</v>
      </c>
      <c r="O194" s="1782">
        <f t="shared" si="154"/>
        <v>1675.0562399999997</v>
      </c>
      <c r="P194" s="1782">
        <f t="shared" si="154"/>
        <v>1861.1735999999999</v>
      </c>
      <c r="Q194" s="1782">
        <f t="shared" si="154"/>
        <v>2047.2909599999998</v>
      </c>
      <c r="R194" s="1782">
        <f t="shared" si="154"/>
        <v>2233.4083199999995</v>
      </c>
      <c r="S194" s="1782">
        <f t="shared" si="154"/>
        <v>2419.5256799999997</v>
      </c>
      <c r="T194" s="1782">
        <f t="shared" si="154"/>
        <v>2605.6430399999995</v>
      </c>
      <c r="U194" s="1782">
        <f t="shared" si="154"/>
        <v>2791.7603999999997</v>
      </c>
      <c r="V194" s="1782">
        <f t="shared" si="154"/>
        <v>2977.8777599999999</v>
      </c>
      <c r="W194" s="1782">
        <f t="shared" si="154"/>
        <v>3163.9951199999996</v>
      </c>
      <c r="X194" s="1782">
        <f t="shared" si="154"/>
        <v>3350.1124799999993</v>
      </c>
      <c r="Y194" s="1782">
        <f t="shared" si="154"/>
        <v>3536.2298399999995</v>
      </c>
      <c r="Z194" s="1782">
        <f t="shared" si="154"/>
        <v>3722.3471999999997</v>
      </c>
      <c r="AA194" s="1782">
        <f t="shared" si="154"/>
        <v>3908.4645599999999</v>
      </c>
      <c r="AB194" s="1782">
        <f t="shared" si="154"/>
        <v>4094.5819199999996</v>
      </c>
      <c r="AC194" s="1782">
        <f t="shared" si="154"/>
        <v>4280.6992799999998</v>
      </c>
      <c r="AD194" s="1782">
        <f t="shared" si="154"/>
        <v>4466.8166399999991</v>
      </c>
      <c r="AE194" s="1782">
        <f t="shared" si="154"/>
        <v>4652.9339999999993</v>
      </c>
      <c r="AF194" s="1782">
        <f t="shared" si="154"/>
        <v>4839.0513599999995</v>
      </c>
      <c r="AG194" s="1782">
        <f t="shared" si="154"/>
        <v>5025.1687199999997</v>
      </c>
      <c r="AH194" s="1782">
        <f t="shared" si="154"/>
        <v>5211.2860799999989</v>
      </c>
      <c r="AI194" s="1782">
        <f t="shared" si="154"/>
        <v>5397.40344</v>
      </c>
      <c r="AJ194" s="1782">
        <f t="shared" si="154"/>
        <v>5583.5207999999993</v>
      </c>
      <c r="AK194" s="1782">
        <f t="shared" si="154"/>
        <v>5769.6381599999995</v>
      </c>
      <c r="AL194" s="1782">
        <f t="shared" si="154"/>
        <v>5955.7555199999997</v>
      </c>
      <c r="AM194" s="1782">
        <f t="shared" si="154"/>
        <v>6141.872879999999</v>
      </c>
      <c r="AN194" s="1782">
        <f t="shared" si="154"/>
        <v>6327.9902399999992</v>
      </c>
      <c r="AO194" s="1782">
        <f t="shared" ref="AO194:BG194" si="155">((AO$193-$I$4)/1000)*$N$86*(($C$8/70)^$X$86)*IF($C$13=1,$AF$67,IF($C$13=2,$AG$67,IF($C$13=3,$AH$67,1)))</f>
        <v>6514.1075999999994</v>
      </c>
      <c r="AP194" s="1782">
        <f t="shared" si="155"/>
        <v>6700.2249599999986</v>
      </c>
      <c r="AQ194" s="1782">
        <f t="shared" si="155"/>
        <v>6886.3423199999997</v>
      </c>
      <c r="AR194" s="1782">
        <f t="shared" si="155"/>
        <v>7072.459679999999</v>
      </c>
      <c r="AS194" s="1782">
        <f t="shared" si="155"/>
        <v>7258.5770399999992</v>
      </c>
      <c r="AT194" s="1782">
        <f t="shared" si="155"/>
        <v>7444.6943999999994</v>
      </c>
      <c r="AU194" s="1782">
        <f t="shared" si="155"/>
        <v>7630.8117599999987</v>
      </c>
      <c r="AV194" s="1782">
        <f t="shared" si="155"/>
        <v>7816.9291199999998</v>
      </c>
      <c r="AW194" s="1782">
        <f t="shared" si="155"/>
        <v>8003.0464799999982</v>
      </c>
      <c r="AX194" s="1782">
        <f t="shared" si="155"/>
        <v>8189.1638399999993</v>
      </c>
      <c r="AY194" s="1782">
        <f t="shared" si="155"/>
        <v>8375.2811999999994</v>
      </c>
      <c r="AZ194" s="1782">
        <f t="shared" si="155"/>
        <v>8561.3985599999996</v>
      </c>
      <c r="BA194" s="1782">
        <f t="shared" si="155"/>
        <v>8747.5159199999998</v>
      </c>
      <c r="BB194" s="1782">
        <f t="shared" si="155"/>
        <v>8933.6332799999982</v>
      </c>
      <c r="BC194" s="1782">
        <f t="shared" si="155"/>
        <v>9119.7506399999984</v>
      </c>
      <c r="BD194" s="1782">
        <f t="shared" si="155"/>
        <v>9305.8679999999986</v>
      </c>
      <c r="BE194" s="1782">
        <f t="shared" si="155"/>
        <v>9491.9853599999988</v>
      </c>
      <c r="BF194" s="1782">
        <f t="shared" si="155"/>
        <v>9678.102719999999</v>
      </c>
      <c r="BG194" s="1782">
        <f t="shared" si="155"/>
        <v>9864.2200799999991</v>
      </c>
    </row>
    <row r="195" spans="1:111" hidden="1">
      <c r="A195" s="2773"/>
      <c r="B195" s="2924" t="s">
        <v>5705</v>
      </c>
      <c r="C195" s="2925"/>
      <c r="D195" s="2922"/>
      <c r="E195" s="1783" t="s">
        <v>5698</v>
      </c>
      <c r="F195" s="1783">
        <v>90</v>
      </c>
      <c r="G195" s="1783">
        <v>300</v>
      </c>
      <c r="H195" s="1783">
        <v>2</v>
      </c>
      <c r="I195" s="1784">
        <f t="shared" ref="I195:AN195" si="156">((I$193-$I$4)/1000)*$O$86*(($C$8/70)^$Y$86)*IF($C$13=1,$AF$67,IF($C$13=2,$AG$67,IF($C$13=3,$AH$67,1)))</f>
        <v>649.25733599999978</v>
      </c>
      <c r="J195" s="1784">
        <f t="shared" si="156"/>
        <v>865.67644799999982</v>
      </c>
      <c r="K195" s="1784">
        <f t="shared" si="156"/>
        <v>1082.0955599999998</v>
      </c>
      <c r="L195" s="1784">
        <f t="shared" si="156"/>
        <v>1298.5146719999996</v>
      </c>
      <c r="M195" s="1784">
        <f t="shared" si="156"/>
        <v>1514.9337839999996</v>
      </c>
      <c r="N195" s="1784">
        <f t="shared" si="156"/>
        <v>1731.3528959999996</v>
      </c>
      <c r="O195" s="1784">
        <f t="shared" si="156"/>
        <v>1947.7720079999997</v>
      </c>
      <c r="P195" s="1784">
        <f t="shared" si="156"/>
        <v>2164.1911199999995</v>
      </c>
      <c r="Q195" s="1784">
        <f t="shared" si="156"/>
        <v>2380.6102319999995</v>
      </c>
      <c r="R195" s="1784">
        <f t="shared" si="156"/>
        <v>2597.0293439999991</v>
      </c>
      <c r="S195" s="1784">
        <f t="shared" si="156"/>
        <v>2813.4484559999996</v>
      </c>
      <c r="T195" s="1784">
        <f t="shared" si="156"/>
        <v>3029.8675679999992</v>
      </c>
      <c r="U195" s="1784">
        <f t="shared" si="156"/>
        <v>3246.2866799999993</v>
      </c>
      <c r="V195" s="1784">
        <f t="shared" si="156"/>
        <v>3462.7057919999993</v>
      </c>
      <c r="W195" s="1784">
        <f t="shared" si="156"/>
        <v>3679.1249039999989</v>
      </c>
      <c r="X195" s="1784">
        <f t="shared" si="156"/>
        <v>3895.5440159999994</v>
      </c>
      <c r="Y195" s="1784">
        <f t="shared" si="156"/>
        <v>4111.9631279999985</v>
      </c>
      <c r="Z195" s="1784">
        <f t="shared" si="156"/>
        <v>4328.382239999999</v>
      </c>
      <c r="AA195" s="1784">
        <f t="shared" si="156"/>
        <v>4544.8013519999995</v>
      </c>
      <c r="AB195" s="1784">
        <f t="shared" si="156"/>
        <v>4761.2204639999991</v>
      </c>
      <c r="AC195" s="1784">
        <f t="shared" si="156"/>
        <v>4977.6395759999987</v>
      </c>
      <c r="AD195" s="1784">
        <f t="shared" si="156"/>
        <v>5194.0586879999983</v>
      </c>
      <c r="AE195" s="1784">
        <f t="shared" si="156"/>
        <v>5410.4777999999988</v>
      </c>
      <c r="AF195" s="1784">
        <f t="shared" si="156"/>
        <v>5626.8969119999992</v>
      </c>
      <c r="AG195" s="1784">
        <f t="shared" si="156"/>
        <v>5843.3160239999988</v>
      </c>
      <c r="AH195" s="1784">
        <f t="shared" si="156"/>
        <v>6059.7351359999984</v>
      </c>
      <c r="AI195" s="1784">
        <f t="shared" si="156"/>
        <v>6276.154247999998</v>
      </c>
      <c r="AJ195" s="1784">
        <f t="shared" si="156"/>
        <v>6492.5733599999985</v>
      </c>
      <c r="AK195" s="1784">
        <f t="shared" si="156"/>
        <v>6708.992471999999</v>
      </c>
      <c r="AL195" s="1784">
        <f t="shared" si="156"/>
        <v>6925.4115839999986</v>
      </c>
      <c r="AM195" s="1784">
        <f t="shared" si="156"/>
        <v>7141.8306959999982</v>
      </c>
      <c r="AN195" s="1784">
        <f t="shared" si="156"/>
        <v>7358.2498079999978</v>
      </c>
      <c r="AO195" s="1784">
        <f t="shared" ref="AO195:BG195" si="157">((AO$193-$I$4)/1000)*$O$86*(($C$8/70)^$Y$86)*IF($C$13=1,$AF$67,IF($C$13=2,$AG$67,IF($C$13=3,$AH$67,1)))</f>
        <v>7574.6689199999983</v>
      </c>
      <c r="AP195" s="1784">
        <f t="shared" si="157"/>
        <v>7791.0880319999987</v>
      </c>
      <c r="AQ195" s="1784">
        <f t="shared" si="157"/>
        <v>8007.5071439999983</v>
      </c>
      <c r="AR195" s="1784">
        <f t="shared" si="157"/>
        <v>8223.926255999997</v>
      </c>
      <c r="AS195" s="1784">
        <f t="shared" si="157"/>
        <v>8440.3453679999984</v>
      </c>
      <c r="AT195" s="1784">
        <f t="shared" si="157"/>
        <v>8656.764479999998</v>
      </c>
      <c r="AU195" s="1784">
        <f t="shared" si="157"/>
        <v>8873.1835919999976</v>
      </c>
      <c r="AV195" s="1784">
        <f t="shared" si="157"/>
        <v>9089.602703999999</v>
      </c>
      <c r="AW195" s="1784">
        <f t="shared" si="157"/>
        <v>9306.0218159999968</v>
      </c>
      <c r="AX195" s="1784">
        <f t="shared" si="157"/>
        <v>9522.4409279999982</v>
      </c>
      <c r="AY195" s="1784">
        <f t="shared" si="157"/>
        <v>9738.8600399999978</v>
      </c>
      <c r="AZ195" s="1784">
        <f t="shared" si="157"/>
        <v>9955.2791519999973</v>
      </c>
      <c r="BA195" s="1784">
        <f t="shared" si="157"/>
        <v>10171.698263999997</v>
      </c>
      <c r="BB195" s="1784">
        <f t="shared" si="157"/>
        <v>10388.117375999997</v>
      </c>
      <c r="BC195" s="1784">
        <f t="shared" si="157"/>
        <v>10604.536487999998</v>
      </c>
      <c r="BD195" s="1784">
        <f t="shared" si="157"/>
        <v>10820.955599999998</v>
      </c>
      <c r="BE195" s="1784">
        <f t="shared" si="157"/>
        <v>11037.374711999997</v>
      </c>
      <c r="BF195" s="1784">
        <f t="shared" si="157"/>
        <v>11253.793823999998</v>
      </c>
      <c r="BG195" s="1784">
        <f t="shared" si="157"/>
        <v>11470.212935999998</v>
      </c>
      <c r="BI195" s="571">
        <f t="shared" ref="BI195:BX196" si="158">I201/I195</f>
        <v>1.3093816631130066</v>
      </c>
      <c r="BJ195" s="571">
        <f t="shared" si="158"/>
        <v>1.3093816631130062</v>
      </c>
      <c r="BK195" s="571">
        <f t="shared" si="158"/>
        <v>1.3093816631130062</v>
      </c>
      <c r="BL195" s="571">
        <f t="shared" si="158"/>
        <v>1.3093816631130066</v>
      </c>
      <c r="BM195" s="571">
        <f t="shared" si="158"/>
        <v>1.3093816631130062</v>
      </c>
      <c r="BN195" s="571">
        <f t="shared" si="158"/>
        <v>1.3093816631130062</v>
      </c>
      <c r="BO195" s="571">
        <f t="shared" si="158"/>
        <v>1.3093816631130064</v>
      </c>
      <c r="BP195" s="571">
        <f t="shared" si="158"/>
        <v>1.3093816631130062</v>
      </c>
      <c r="BQ195" s="571">
        <f t="shared" si="158"/>
        <v>1.3093816631130064</v>
      </c>
      <c r="BR195" s="571">
        <f t="shared" si="158"/>
        <v>1.3093816631130066</v>
      </c>
      <c r="BS195" s="571">
        <f t="shared" si="158"/>
        <v>1.3093816631130062</v>
      </c>
      <c r="BT195" s="571">
        <f t="shared" si="158"/>
        <v>1.3093816631130062</v>
      </c>
      <c r="BU195" s="571">
        <f t="shared" si="158"/>
        <v>1.3093816631130062</v>
      </c>
      <c r="BV195" s="571">
        <f t="shared" si="158"/>
        <v>1.3093816631130062</v>
      </c>
      <c r="BW195" s="571">
        <f t="shared" si="158"/>
        <v>1.3093816631130064</v>
      </c>
      <c r="BX195" s="571">
        <f t="shared" si="158"/>
        <v>1.3093816631130064</v>
      </c>
      <c r="BY195" s="571">
        <f t="shared" ref="BY195:CN196" si="159">Y201/Y195</f>
        <v>1.3093816631130066</v>
      </c>
      <c r="BZ195" s="571">
        <f t="shared" si="159"/>
        <v>1.3093816631130062</v>
      </c>
      <c r="CA195" s="571">
        <f t="shared" si="159"/>
        <v>1.3093816631130062</v>
      </c>
      <c r="CB195" s="571">
        <f t="shared" si="159"/>
        <v>1.3093816631130064</v>
      </c>
      <c r="CC195" s="571">
        <f t="shared" si="159"/>
        <v>1.3093816631130062</v>
      </c>
      <c r="CD195" s="571">
        <f t="shared" si="159"/>
        <v>1.3093816631130066</v>
      </c>
      <c r="CE195" s="571">
        <f t="shared" si="159"/>
        <v>1.3093816631130062</v>
      </c>
      <c r="CF195" s="571">
        <f t="shared" si="159"/>
        <v>1.3093816631130062</v>
      </c>
      <c r="CG195" s="571">
        <f t="shared" si="159"/>
        <v>1.3093816631130064</v>
      </c>
      <c r="CH195" s="571">
        <f t="shared" si="159"/>
        <v>1.3093816631130062</v>
      </c>
      <c r="CI195" s="571">
        <f t="shared" si="159"/>
        <v>1.3093816631130064</v>
      </c>
      <c r="CJ195" s="571">
        <f t="shared" si="159"/>
        <v>1.3093816631130062</v>
      </c>
      <c r="CK195" s="571">
        <f t="shared" si="159"/>
        <v>1.3093816631130064</v>
      </c>
      <c r="CL195" s="571">
        <f t="shared" si="159"/>
        <v>1.3093816631130062</v>
      </c>
      <c r="CM195" s="571">
        <f t="shared" si="159"/>
        <v>1.3093816631130062</v>
      </c>
      <c r="CN195" s="571">
        <f t="shared" si="159"/>
        <v>1.3093816631130064</v>
      </c>
      <c r="CO195" s="571">
        <f t="shared" ref="CO195:DD196" si="160">AO201/AO195</f>
        <v>1.3093816631130062</v>
      </c>
      <c r="CP195" s="571">
        <f t="shared" si="160"/>
        <v>1.3093816631130064</v>
      </c>
      <c r="CQ195" s="571">
        <f t="shared" si="160"/>
        <v>1.3093816631130062</v>
      </c>
      <c r="CR195" s="571">
        <f t="shared" si="160"/>
        <v>1.3093816631130066</v>
      </c>
      <c r="CS195" s="571">
        <f t="shared" si="160"/>
        <v>1.3093816631130062</v>
      </c>
      <c r="CT195" s="571">
        <f t="shared" si="160"/>
        <v>1.3093816631130062</v>
      </c>
      <c r="CU195" s="571">
        <f t="shared" si="160"/>
        <v>1.3093816631130062</v>
      </c>
      <c r="CV195" s="571">
        <f t="shared" si="160"/>
        <v>1.3093816631130062</v>
      </c>
      <c r="CW195" s="571">
        <f t="shared" si="160"/>
        <v>1.3093816631130066</v>
      </c>
      <c r="CX195" s="571">
        <f t="shared" si="160"/>
        <v>1.3093816631130064</v>
      </c>
      <c r="CY195" s="571">
        <f t="shared" si="160"/>
        <v>1.3093816631130062</v>
      </c>
      <c r="CZ195" s="571">
        <f t="shared" si="160"/>
        <v>1.3093816631130062</v>
      </c>
      <c r="DA195" s="571">
        <f t="shared" si="160"/>
        <v>1.3093816631130064</v>
      </c>
      <c r="DB195" s="571">
        <f t="shared" si="160"/>
        <v>1.3093816631130066</v>
      </c>
      <c r="DC195" s="571">
        <f t="shared" si="160"/>
        <v>1.3093816631130064</v>
      </c>
      <c r="DD195" s="571">
        <f t="shared" si="160"/>
        <v>1.3093816631130062</v>
      </c>
      <c r="DE195" s="571">
        <f t="shared" ref="CW195:DG196" si="161">BE201/BE195</f>
        <v>1.3093816631130062</v>
      </c>
      <c r="DF195" s="571">
        <f t="shared" si="161"/>
        <v>1.3093816631130062</v>
      </c>
      <c r="DG195" s="571">
        <f t="shared" si="161"/>
        <v>1.3093816631130064</v>
      </c>
    </row>
    <row r="196" spans="1:111" hidden="1">
      <c r="A196" s="2773"/>
      <c r="B196" s="2924" t="s">
        <v>5706</v>
      </c>
      <c r="C196" s="2925"/>
      <c r="D196" s="2922"/>
      <c r="E196" s="1783" t="s">
        <v>5698</v>
      </c>
      <c r="F196" s="1783">
        <v>90</v>
      </c>
      <c r="G196" s="1783">
        <v>360</v>
      </c>
      <c r="H196" s="1783">
        <v>2</v>
      </c>
      <c r="I196" s="1784">
        <f t="shared" ref="I196:AN196" si="162">((I$193-$I$4)/1000)*$Q$86*(($C$8/70)^$AA$86)*IF($C$13=1,$AF$67,IF($C$13=2,$AG$67,IF($C$13=3,$AH$67,1)))</f>
        <v>694.70534952000003</v>
      </c>
      <c r="J196" s="1784">
        <f t="shared" si="162"/>
        <v>926.27379936000011</v>
      </c>
      <c r="K196" s="1784">
        <f t="shared" si="162"/>
        <v>1157.8422492</v>
      </c>
      <c r="L196" s="1784">
        <f t="shared" si="162"/>
        <v>1389.4106990400001</v>
      </c>
      <c r="M196" s="1784">
        <f t="shared" si="162"/>
        <v>1620.9791488799999</v>
      </c>
      <c r="N196" s="1784">
        <f t="shared" si="162"/>
        <v>1852.5475987200002</v>
      </c>
      <c r="O196" s="1784">
        <f t="shared" si="162"/>
        <v>2084.1160485599999</v>
      </c>
      <c r="P196" s="1784">
        <f t="shared" si="162"/>
        <v>2315.6844983999999</v>
      </c>
      <c r="Q196" s="1784">
        <f t="shared" si="162"/>
        <v>2547.2529482400005</v>
      </c>
      <c r="R196" s="1784">
        <f t="shared" si="162"/>
        <v>2778.8213980800001</v>
      </c>
      <c r="S196" s="1784">
        <f t="shared" si="162"/>
        <v>3010.3898479200002</v>
      </c>
      <c r="T196" s="1784">
        <f t="shared" si="162"/>
        <v>3241.9582977599998</v>
      </c>
      <c r="U196" s="1784">
        <f t="shared" si="162"/>
        <v>3473.5267475999999</v>
      </c>
      <c r="V196" s="1784">
        <f t="shared" si="162"/>
        <v>3705.0951974400004</v>
      </c>
      <c r="W196" s="1784">
        <f t="shared" si="162"/>
        <v>3936.6636472800001</v>
      </c>
      <c r="X196" s="1784">
        <f t="shared" si="162"/>
        <v>4168.2320971199997</v>
      </c>
      <c r="Y196" s="1784">
        <f t="shared" si="162"/>
        <v>4399.8005469600002</v>
      </c>
      <c r="Z196" s="1784">
        <f t="shared" si="162"/>
        <v>4631.3689967999999</v>
      </c>
      <c r="AA196" s="1784">
        <f t="shared" si="162"/>
        <v>4862.9374466400004</v>
      </c>
      <c r="AB196" s="1784">
        <f t="shared" si="162"/>
        <v>5094.505896480001</v>
      </c>
      <c r="AC196" s="1784">
        <f t="shared" si="162"/>
        <v>5326.0743463199997</v>
      </c>
      <c r="AD196" s="1784">
        <f t="shared" si="162"/>
        <v>5557.6427961600002</v>
      </c>
      <c r="AE196" s="1784">
        <f t="shared" si="162"/>
        <v>5789.2112459999998</v>
      </c>
      <c r="AF196" s="1784">
        <f t="shared" si="162"/>
        <v>6020.7796958400004</v>
      </c>
      <c r="AG196" s="1784">
        <f t="shared" si="162"/>
        <v>6252.3481456800009</v>
      </c>
      <c r="AH196" s="1784">
        <f t="shared" si="162"/>
        <v>6483.9165955199996</v>
      </c>
      <c r="AI196" s="1784">
        <f t="shared" si="162"/>
        <v>6715.4850453600002</v>
      </c>
      <c r="AJ196" s="1784">
        <f t="shared" si="162"/>
        <v>6947.0534951999998</v>
      </c>
      <c r="AK196" s="1784">
        <f t="shared" si="162"/>
        <v>7178.6219450400004</v>
      </c>
      <c r="AL196" s="1784">
        <f t="shared" si="162"/>
        <v>7410.1903948800009</v>
      </c>
      <c r="AM196" s="1784">
        <f t="shared" si="162"/>
        <v>7641.7588447199996</v>
      </c>
      <c r="AN196" s="1784">
        <f t="shared" si="162"/>
        <v>7873.3272945600002</v>
      </c>
      <c r="AO196" s="1784">
        <f t="shared" ref="AO196:BG196" si="163">((AO$193-$I$4)/1000)*$Q$86*(($C$8/70)^$AA$86)*IF($C$13=1,$AF$67,IF($C$13=2,$AG$67,IF($C$13=3,$AH$67,1)))</f>
        <v>8104.8957444000007</v>
      </c>
      <c r="AP196" s="1784">
        <f t="shared" si="163"/>
        <v>8336.4641942399994</v>
      </c>
      <c r="AQ196" s="1784">
        <f t="shared" si="163"/>
        <v>8568.0326440800018</v>
      </c>
      <c r="AR196" s="1784">
        <f t="shared" si="163"/>
        <v>8799.6010939200005</v>
      </c>
      <c r="AS196" s="1784">
        <f t="shared" si="163"/>
        <v>9031.169543760001</v>
      </c>
      <c r="AT196" s="1784">
        <f t="shared" si="163"/>
        <v>9262.7379935999998</v>
      </c>
      <c r="AU196" s="1784">
        <f t="shared" si="163"/>
        <v>9494.3064434399985</v>
      </c>
      <c r="AV196" s="1784">
        <f t="shared" si="163"/>
        <v>9725.8748932800008</v>
      </c>
      <c r="AW196" s="1784">
        <f t="shared" si="163"/>
        <v>9957.4433431199996</v>
      </c>
      <c r="AX196" s="1784">
        <f t="shared" si="163"/>
        <v>10189.011792960002</v>
      </c>
      <c r="AY196" s="1784">
        <f t="shared" si="163"/>
        <v>10420.580242800001</v>
      </c>
      <c r="AZ196" s="1784">
        <f t="shared" si="163"/>
        <v>10652.148692639999</v>
      </c>
      <c r="BA196" s="1784">
        <f t="shared" si="163"/>
        <v>10883.71714248</v>
      </c>
      <c r="BB196" s="1784">
        <f t="shared" si="163"/>
        <v>11115.28559232</v>
      </c>
      <c r="BC196" s="1784">
        <f t="shared" si="163"/>
        <v>11346.854042160001</v>
      </c>
      <c r="BD196" s="1784">
        <f t="shared" si="163"/>
        <v>11578.422492</v>
      </c>
      <c r="BE196" s="1784">
        <f t="shared" si="163"/>
        <v>11809.990941839998</v>
      </c>
      <c r="BF196" s="1784">
        <f t="shared" si="163"/>
        <v>12041.559391680001</v>
      </c>
      <c r="BG196" s="1784">
        <f t="shared" si="163"/>
        <v>12273.127841520001</v>
      </c>
      <c r="BI196" s="571">
        <f t="shared" si="158"/>
        <v>0.72170339316721477</v>
      </c>
      <c r="BJ196" s="571">
        <f t="shared" si="158"/>
        <v>0.72170339316721488</v>
      </c>
      <c r="BK196" s="571">
        <f t="shared" si="158"/>
        <v>0.72170339316721488</v>
      </c>
      <c r="BL196" s="571">
        <f t="shared" si="158"/>
        <v>0.72170339316721477</v>
      </c>
      <c r="BM196" s="571">
        <f t="shared" si="158"/>
        <v>0.72170339316721488</v>
      </c>
      <c r="BN196" s="571">
        <f t="shared" si="158"/>
        <v>0.72170339316721488</v>
      </c>
      <c r="BO196" s="571">
        <f t="shared" si="158"/>
        <v>0.72170339316721488</v>
      </c>
      <c r="BP196" s="571">
        <f t="shared" si="158"/>
        <v>0.72170339316721488</v>
      </c>
      <c r="BQ196" s="571">
        <f t="shared" si="158"/>
        <v>0.72170339316721477</v>
      </c>
      <c r="BR196" s="571">
        <f t="shared" si="158"/>
        <v>0.72170339316721477</v>
      </c>
      <c r="BS196" s="571">
        <f t="shared" si="158"/>
        <v>0.72170339316721488</v>
      </c>
      <c r="BT196" s="571">
        <f t="shared" si="158"/>
        <v>0.72170339316721488</v>
      </c>
      <c r="BU196" s="571">
        <f t="shared" si="158"/>
        <v>0.72170339316721477</v>
      </c>
      <c r="BV196" s="571">
        <f t="shared" si="158"/>
        <v>0.72170339316721488</v>
      </c>
      <c r="BW196" s="571">
        <f t="shared" si="158"/>
        <v>0.72170339316721477</v>
      </c>
      <c r="BX196" s="571">
        <f t="shared" si="158"/>
        <v>0.72170339316721488</v>
      </c>
      <c r="BY196" s="571">
        <f t="shared" si="159"/>
        <v>0.72170339316721477</v>
      </c>
      <c r="BZ196" s="571">
        <f t="shared" si="159"/>
        <v>0.72170339316721488</v>
      </c>
      <c r="CA196" s="571">
        <f t="shared" si="159"/>
        <v>0.72170339316721477</v>
      </c>
      <c r="CB196" s="571">
        <f t="shared" si="159"/>
        <v>0.72170339316721477</v>
      </c>
      <c r="CC196" s="571">
        <f t="shared" si="159"/>
        <v>0.72170339316721477</v>
      </c>
      <c r="CD196" s="571">
        <f t="shared" si="159"/>
        <v>0.72170339316721477</v>
      </c>
      <c r="CE196" s="571">
        <f t="shared" si="159"/>
        <v>0.72170339316721488</v>
      </c>
      <c r="CF196" s="571">
        <f t="shared" si="159"/>
        <v>0.72170339316721488</v>
      </c>
      <c r="CG196" s="571">
        <f t="shared" si="159"/>
        <v>0.72170339316721477</v>
      </c>
      <c r="CH196" s="571">
        <f t="shared" si="159"/>
        <v>0.72170339316721488</v>
      </c>
      <c r="CI196" s="571">
        <f t="shared" si="159"/>
        <v>0.72170339316721488</v>
      </c>
      <c r="CJ196" s="571">
        <f t="shared" si="159"/>
        <v>0.72170339316721477</v>
      </c>
      <c r="CK196" s="571">
        <f t="shared" si="159"/>
        <v>0.72170339316721488</v>
      </c>
      <c r="CL196" s="571">
        <f t="shared" si="159"/>
        <v>0.72170339316721488</v>
      </c>
      <c r="CM196" s="571">
        <f t="shared" si="159"/>
        <v>0.72170339316721477</v>
      </c>
      <c r="CN196" s="571">
        <f t="shared" si="159"/>
        <v>0.72170339316721477</v>
      </c>
      <c r="CO196" s="571">
        <f t="shared" si="160"/>
        <v>0.72170339316721477</v>
      </c>
      <c r="CP196" s="571">
        <f t="shared" si="160"/>
        <v>0.72170339316721488</v>
      </c>
      <c r="CQ196" s="571">
        <f t="shared" si="160"/>
        <v>0.72170339316721477</v>
      </c>
      <c r="CR196" s="571">
        <f t="shared" si="160"/>
        <v>0.72170339316721477</v>
      </c>
      <c r="CS196" s="571">
        <f t="shared" si="160"/>
        <v>0.72170339316721466</v>
      </c>
      <c r="CT196" s="571">
        <f t="shared" si="160"/>
        <v>0.72170339316721488</v>
      </c>
      <c r="CU196" s="571">
        <f t="shared" si="160"/>
        <v>0.72170339316721488</v>
      </c>
      <c r="CV196" s="571">
        <f t="shared" si="160"/>
        <v>0.72170339316721477</v>
      </c>
      <c r="CW196" s="571">
        <f t="shared" si="161"/>
        <v>0.72170339316721477</v>
      </c>
      <c r="CX196" s="571">
        <f t="shared" si="161"/>
        <v>0.72170339316721477</v>
      </c>
      <c r="CY196" s="571">
        <f t="shared" si="161"/>
        <v>0.72170339316721477</v>
      </c>
      <c r="CZ196" s="571">
        <f t="shared" si="161"/>
        <v>0.72170339316721477</v>
      </c>
      <c r="DA196" s="571">
        <f t="shared" si="161"/>
        <v>0.72170339316721488</v>
      </c>
      <c r="DB196" s="571">
        <f t="shared" si="161"/>
        <v>0.72170339316721477</v>
      </c>
      <c r="DC196" s="571">
        <f t="shared" si="161"/>
        <v>0.72170339316721477</v>
      </c>
      <c r="DD196" s="571">
        <f t="shared" si="161"/>
        <v>0.72170339316721488</v>
      </c>
      <c r="DE196" s="571">
        <f t="shared" si="161"/>
        <v>0.72170339316721488</v>
      </c>
      <c r="DF196" s="571">
        <f t="shared" si="161"/>
        <v>0.72170339316721488</v>
      </c>
      <c r="DG196" s="571">
        <f t="shared" si="161"/>
        <v>0.72170339316721466</v>
      </c>
    </row>
    <row r="197" spans="1:111" ht="15.75" hidden="1" thickBot="1">
      <c r="A197" s="2773"/>
      <c r="B197" s="2926" t="s">
        <v>5707</v>
      </c>
      <c r="C197" s="2927"/>
      <c r="D197" s="2923"/>
      <c r="E197" s="1785" t="s">
        <v>5698</v>
      </c>
      <c r="F197" s="1785">
        <v>90</v>
      </c>
      <c r="G197" s="1785">
        <v>400</v>
      </c>
      <c r="H197" s="1785">
        <v>2</v>
      </c>
      <c r="I197" s="1786">
        <f t="shared" ref="I197:AN197" si="164">((I$193-$I$4)/1000)*$R$86*(($C$8/70)^$AB$86)*IF($C$13=1,$AF$67,IF($C$13=2,$AG$67,IF($C$13=3,$AH$67,1)))</f>
        <v>746.64593639999975</v>
      </c>
      <c r="J197" s="1786">
        <f t="shared" si="164"/>
        <v>995.52791519999994</v>
      </c>
      <c r="K197" s="1786">
        <f t="shared" si="164"/>
        <v>1244.4098939999997</v>
      </c>
      <c r="L197" s="1786">
        <f t="shared" si="164"/>
        <v>1493.2918727999995</v>
      </c>
      <c r="M197" s="1786">
        <f t="shared" si="164"/>
        <v>1742.1738515999996</v>
      </c>
      <c r="N197" s="1786">
        <f t="shared" si="164"/>
        <v>1991.0558303999999</v>
      </c>
      <c r="O197" s="1786">
        <f t="shared" si="164"/>
        <v>2239.9378091999997</v>
      </c>
      <c r="P197" s="1786">
        <f t="shared" si="164"/>
        <v>2488.8197879999993</v>
      </c>
      <c r="Q197" s="1786">
        <f t="shared" si="164"/>
        <v>2737.7017667999999</v>
      </c>
      <c r="R197" s="1786">
        <f t="shared" si="164"/>
        <v>2986.583745599999</v>
      </c>
      <c r="S197" s="1786">
        <f t="shared" si="164"/>
        <v>3235.4657243999995</v>
      </c>
      <c r="T197" s="1786">
        <f t="shared" si="164"/>
        <v>3484.3477031999992</v>
      </c>
      <c r="U197" s="1786">
        <f t="shared" si="164"/>
        <v>3733.2296819999992</v>
      </c>
      <c r="V197" s="1786">
        <f t="shared" si="164"/>
        <v>3982.1116607999998</v>
      </c>
      <c r="W197" s="1786">
        <f t="shared" si="164"/>
        <v>4230.9936395999994</v>
      </c>
      <c r="X197" s="1786">
        <f t="shared" si="164"/>
        <v>4479.8756183999994</v>
      </c>
      <c r="Y197" s="1786">
        <f t="shared" si="164"/>
        <v>4728.7575971999986</v>
      </c>
      <c r="Z197" s="1786">
        <f t="shared" si="164"/>
        <v>4977.6395759999987</v>
      </c>
      <c r="AA197" s="1786">
        <f t="shared" si="164"/>
        <v>5226.5215547999996</v>
      </c>
      <c r="AB197" s="1786">
        <f t="shared" si="164"/>
        <v>5475.4035335999997</v>
      </c>
      <c r="AC197" s="1786">
        <f t="shared" si="164"/>
        <v>5724.285512399998</v>
      </c>
      <c r="AD197" s="1786">
        <f t="shared" si="164"/>
        <v>5973.167491199998</v>
      </c>
      <c r="AE197" s="1786">
        <f t="shared" si="164"/>
        <v>6222.0494699999981</v>
      </c>
      <c r="AF197" s="1786">
        <f t="shared" si="164"/>
        <v>6470.9314487999991</v>
      </c>
      <c r="AG197" s="1786">
        <f t="shared" si="164"/>
        <v>6719.8134275999992</v>
      </c>
      <c r="AH197" s="1786">
        <f t="shared" si="164"/>
        <v>6968.6954063999983</v>
      </c>
      <c r="AI197" s="1786">
        <f t="shared" si="164"/>
        <v>7217.5773851999984</v>
      </c>
      <c r="AJ197" s="1786">
        <f t="shared" si="164"/>
        <v>7466.4593639999985</v>
      </c>
      <c r="AK197" s="1786">
        <f t="shared" si="164"/>
        <v>7715.3413427999985</v>
      </c>
      <c r="AL197" s="1786">
        <f t="shared" si="164"/>
        <v>7964.2233215999995</v>
      </c>
      <c r="AM197" s="1786">
        <f t="shared" si="164"/>
        <v>8213.1053003999987</v>
      </c>
      <c r="AN197" s="1786">
        <f t="shared" si="164"/>
        <v>8461.9872791999987</v>
      </c>
      <c r="AO197" s="1786">
        <f t="shared" ref="AO197:BG197" si="165">((AO$193-$I$4)/1000)*$R$86*(($C$8/70)^$AB$86)*IF($C$13=1,$AF$67,IF($C$13=2,$AG$67,IF($C$13=3,$AH$67,1)))</f>
        <v>8710.8692579999988</v>
      </c>
      <c r="AP197" s="1786">
        <f t="shared" si="165"/>
        <v>8959.7512367999989</v>
      </c>
      <c r="AQ197" s="1786">
        <f t="shared" si="165"/>
        <v>9208.6332155999971</v>
      </c>
      <c r="AR197" s="1786">
        <f t="shared" si="165"/>
        <v>9457.5151943999972</v>
      </c>
      <c r="AS197" s="1786">
        <f t="shared" si="165"/>
        <v>9706.3971731999973</v>
      </c>
      <c r="AT197" s="1786">
        <f t="shared" si="165"/>
        <v>9955.2791519999973</v>
      </c>
      <c r="AU197" s="1786">
        <f t="shared" si="165"/>
        <v>10204.161130799997</v>
      </c>
      <c r="AV197" s="1786">
        <f t="shared" si="165"/>
        <v>10453.043109599999</v>
      </c>
      <c r="AW197" s="1786">
        <f t="shared" si="165"/>
        <v>10701.925088399998</v>
      </c>
      <c r="AX197" s="1786">
        <f t="shared" si="165"/>
        <v>10950.807067199999</v>
      </c>
      <c r="AY197" s="1786">
        <f t="shared" si="165"/>
        <v>11199.689045999998</v>
      </c>
      <c r="AZ197" s="1786">
        <f t="shared" si="165"/>
        <v>11448.571024799996</v>
      </c>
      <c r="BA197" s="1786">
        <f t="shared" si="165"/>
        <v>11697.453003599998</v>
      </c>
      <c r="BB197" s="1786">
        <f t="shared" si="165"/>
        <v>11946.334982399996</v>
      </c>
      <c r="BC197" s="1786">
        <f t="shared" si="165"/>
        <v>12195.216961199998</v>
      </c>
      <c r="BD197" s="1786">
        <f t="shared" si="165"/>
        <v>12444.098939999996</v>
      </c>
      <c r="BE197" s="1786">
        <f t="shared" si="165"/>
        <v>12692.980918799996</v>
      </c>
      <c r="BF197" s="1786">
        <f t="shared" si="165"/>
        <v>12941.862897599998</v>
      </c>
      <c r="BG197" s="1786">
        <f t="shared" si="165"/>
        <v>13190.744876399998</v>
      </c>
      <c r="BI197" s="571">
        <f>0</f>
        <v>0</v>
      </c>
      <c r="BJ197" s="571">
        <f>0</f>
        <v>0</v>
      </c>
      <c r="BK197" s="571">
        <f>0</f>
        <v>0</v>
      </c>
      <c r="BL197" s="571">
        <f>0</f>
        <v>0</v>
      </c>
      <c r="BM197" s="571">
        <f>0</f>
        <v>0</v>
      </c>
      <c r="BN197" s="571">
        <f>0</f>
        <v>0</v>
      </c>
      <c r="BO197" s="571">
        <f>0</f>
        <v>0</v>
      </c>
      <c r="BP197" s="571">
        <f>0</f>
        <v>0</v>
      </c>
      <c r="BQ197" s="571">
        <f>0</f>
        <v>0</v>
      </c>
      <c r="BR197" s="571">
        <f>0</f>
        <v>0</v>
      </c>
      <c r="BS197" s="571">
        <f>0</f>
        <v>0</v>
      </c>
      <c r="BT197" s="571">
        <f>0</f>
        <v>0</v>
      </c>
      <c r="BU197" s="571">
        <f>0</f>
        <v>0</v>
      </c>
      <c r="BV197" s="571">
        <f>0</f>
        <v>0</v>
      </c>
      <c r="BW197" s="571">
        <f>0</f>
        <v>0</v>
      </c>
      <c r="BX197" s="571">
        <f>0</f>
        <v>0</v>
      </c>
      <c r="BY197" s="571">
        <f>0</f>
        <v>0</v>
      </c>
      <c r="BZ197" s="571">
        <f>0</f>
        <v>0</v>
      </c>
      <c r="CA197" s="571">
        <f>0</f>
        <v>0</v>
      </c>
      <c r="CB197" s="571">
        <f>0</f>
        <v>0</v>
      </c>
      <c r="CC197" s="571">
        <f>0</f>
        <v>0</v>
      </c>
      <c r="CD197" s="571">
        <f>0</f>
        <v>0</v>
      </c>
      <c r="CE197" s="571">
        <f>0</f>
        <v>0</v>
      </c>
      <c r="CF197" s="571">
        <f>0</f>
        <v>0</v>
      </c>
      <c r="CG197" s="571">
        <f>0</f>
        <v>0</v>
      </c>
      <c r="CH197" s="571">
        <f>0</f>
        <v>0</v>
      </c>
      <c r="CI197" s="571">
        <f>0</f>
        <v>0</v>
      </c>
      <c r="CJ197" s="571">
        <f>0</f>
        <v>0</v>
      </c>
      <c r="CK197" s="571">
        <f>0</f>
        <v>0</v>
      </c>
      <c r="CL197" s="571">
        <f>0</f>
        <v>0</v>
      </c>
      <c r="CM197" s="571">
        <f>0</f>
        <v>0</v>
      </c>
      <c r="CN197" s="571">
        <f>0</f>
        <v>0</v>
      </c>
      <c r="CO197" s="571">
        <f>0</f>
        <v>0</v>
      </c>
      <c r="CP197" s="571">
        <f>0</f>
        <v>0</v>
      </c>
      <c r="CQ197" s="571">
        <f>0</f>
        <v>0</v>
      </c>
      <c r="CR197" s="571">
        <f>0</f>
        <v>0</v>
      </c>
      <c r="CS197" s="571">
        <f>0</f>
        <v>0</v>
      </c>
      <c r="CT197" s="571">
        <f>0</f>
        <v>0</v>
      </c>
      <c r="CU197" s="571">
        <f>0</f>
        <v>0</v>
      </c>
      <c r="CV197" s="571">
        <f>0</f>
        <v>0</v>
      </c>
      <c r="CW197" s="571">
        <f>0</f>
        <v>0</v>
      </c>
      <c r="CX197" s="571">
        <f>0</f>
        <v>0</v>
      </c>
      <c r="CY197" s="571">
        <f>0</f>
        <v>0</v>
      </c>
      <c r="CZ197" s="571">
        <f>0</f>
        <v>0</v>
      </c>
      <c r="DA197" s="571">
        <f>0</f>
        <v>0</v>
      </c>
      <c r="DB197" s="571">
        <f>0</f>
        <v>0</v>
      </c>
      <c r="DC197" s="571">
        <f>0</f>
        <v>0</v>
      </c>
      <c r="DD197" s="571">
        <f>0</f>
        <v>0</v>
      </c>
      <c r="DE197" s="571">
        <f>0</f>
        <v>0</v>
      </c>
      <c r="DF197" s="571">
        <f>0</f>
        <v>0</v>
      </c>
      <c r="DG197" s="571">
        <f>0</f>
        <v>0</v>
      </c>
    </row>
    <row r="198" spans="1:111" hidden="1">
      <c r="A198" s="2773"/>
      <c r="B198" s="2928" t="s">
        <v>5708</v>
      </c>
      <c r="C198" s="2929"/>
      <c r="D198" s="2930"/>
      <c r="E198" s="1787" t="s">
        <v>5698</v>
      </c>
      <c r="F198" s="1787">
        <v>110</v>
      </c>
      <c r="G198" s="1787">
        <v>260</v>
      </c>
      <c r="H198" s="1787">
        <v>2</v>
      </c>
      <c r="I198" s="1788">
        <f t="shared" ref="I198:AN198" si="166">((I$193-$I$4)/1000)*$N$87*(($C$8/70)^$X$87)*IF($C$13=1,$AF$68,IF($C$13=2,$AG$68,IF($C$13=3,$AH$68,1)))</f>
        <v>612.5722199999999</v>
      </c>
      <c r="J198" s="1788">
        <f t="shared" si="166"/>
        <v>816.76295999999991</v>
      </c>
      <c r="K198" s="1788">
        <f t="shared" si="166"/>
        <v>1020.9536999999998</v>
      </c>
      <c r="L198" s="1788">
        <f t="shared" si="166"/>
        <v>1225.1444399999998</v>
      </c>
      <c r="M198" s="1788">
        <f t="shared" si="166"/>
        <v>1429.3351799999996</v>
      </c>
      <c r="N198" s="1788">
        <f t="shared" si="166"/>
        <v>1633.5259199999998</v>
      </c>
      <c r="O198" s="1788">
        <f t="shared" si="166"/>
        <v>1837.7166599999996</v>
      </c>
      <c r="P198" s="1788">
        <f t="shared" si="166"/>
        <v>2041.9073999999996</v>
      </c>
      <c r="Q198" s="1788">
        <f t="shared" si="166"/>
        <v>2246.0981399999996</v>
      </c>
      <c r="R198" s="1788">
        <f t="shared" si="166"/>
        <v>2450.2888799999996</v>
      </c>
      <c r="S198" s="1788">
        <f t="shared" si="166"/>
        <v>2654.4796199999996</v>
      </c>
      <c r="T198" s="1788">
        <f t="shared" si="166"/>
        <v>2858.6703599999992</v>
      </c>
      <c r="U198" s="1788">
        <f t="shared" si="166"/>
        <v>3062.8610999999996</v>
      </c>
      <c r="V198" s="1788">
        <f t="shared" si="166"/>
        <v>3267.0518399999996</v>
      </c>
      <c r="W198" s="1788">
        <f t="shared" si="166"/>
        <v>3471.2425799999992</v>
      </c>
      <c r="X198" s="1788">
        <f t="shared" si="166"/>
        <v>3675.4333199999992</v>
      </c>
      <c r="Y198" s="1788">
        <f t="shared" si="166"/>
        <v>3879.6240599999992</v>
      </c>
      <c r="Z198" s="1788">
        <f t="shared" si="166"/>
        <v>4083.8147999999992</v>
      </c>
      <c r="AA198" s="1788">
        <f t="shared" si="166"/>
        <v>4288.0055399999992</v>
      </c>
      <c r="AB198" s="1788">
        <f t="shared" si="166"/>
        <v>4492.1962799999992</v>
      </c>
      <c r="AC198" s="1788">
        <f t="shared" si="166"/>
        <v>4696.3870199999992</v>
      </c>
      <c r="AD198" s="1788">
        <f t="shared" si="166"/>
        <v>4900.5777599999992</v>
      </c>
      <c r="AE198" s="1788">
        <f t="shared" si="166"/>
        <v>5104.7684999999992</v>
      </c>
      <c r="AF198" s="1788">
        <f t="shared" si="166"/>
        <v>5308.9592399999992</v>
      </c>
      <c r="AG198" s="1788">
        <f t="shared" si="166"/>
        <v>5513.1499799999992</v>
      </c>
      <c r="AH198" s="1788">
        <f t="shared" si="166"/>
        <v>5717.3407199999983</v>
      </c>
      <c r="AI198" s="1788">
        <f t="shared" si="166"/>
        <v>5921.5314599999992</v>
      </c>
      <c r="AJ198" s="1788">
        <f t="shared" si="166"/>
        <v>6125.7221999999992</v>
      </c>
      <c r="AK198" s="1788">
        <f t="shared" si="166"/>
        <v>6329.9129399999993</v>
      </c>
      <c r="AL198" s="1788">
        <f t="shared" si="166"/>
        <v>6534.1036799999993</v>
      </c>
      <c r="AM198" s="1788">
        <f t="shared" si="166"/>
        <v>6738.2944199999993</v>
      </c>
      <c r="AN198" s="1788">
        <f t="shared" si="166"/>
        <v>6942.4851599999984</v>
      </c>
      <c r="AO198" s="1788">
        <f t="shared" ref="AO198:BG198" si="167">((AO$193-$I$4)/1000)*$N$87*(($C$8/70)^$X$87)*IF($C$13=1,$AF$68,IF($C$13=2,$AG$68,IF($C$13=3,$AH$68,1)))</f>
        <v>7146.6758999999993</v>
      </c>
      <c r="AP198" s="1788">
        <f t="shared" si="167"/>
        <v>7350.8666399999984</v>
      </c>
      <c r="AQ198" s="1788">
        <f t="shared" si="167"/>
        <v>7555.0573799999993</v>
      </c>
      <c r="AR198" s="1788">
        <f t="shared" si="167"/>
        <v>7759.2481199999984</v>
      </c>
      <c r="AS198" s="1788">
        <f t="shared" si="167"/>
        <v>7963.4388599999984</v>
      </c>
      <c r="AT198" s="1788">
        <f t="shared" si="167"/>
        <v>8167.6295999999984</v>
      </c>
      <c r="AU198" s="1788">
        <f t="shared" si="167"/>
        <v>8371.8203399999984</v>
      </c>
      <c r="AV198" s="1788">
        <f t="shared" si="167"/>
        <v>8576.0110799999984</v>
      </c>
      <c r="AW198" s="1788">
        <f t="shared" si="167"/>
        <v>8780.2018199999984</v>
      </c>
      <c r="AX198" s="1788">
        <f t="shared" si="167"/>
        <v>8984.3925599999984</v>
      </c>
      <c r="AY198" s="1788">
        <f t="shared" si="167"/>
        <v>9188.5832999999984</v>
      </c>
      <c r="AZ198" s="1788">
        <f t="shared" si="167"/>
        <v>9392.7740399999984</v>
      </c>
      <c r="BA198" s="1788">
        <f t="shared" si="167"/>
        <v>9596.9647799999984</v>
      </c>
      <c r="BB198" s="1788">
        <f t="shared" si="167"/>
        <v>9801.1555199999984</v>
      </c>
      <c r="BC198" s="1788">
        <f t="shared" si="167"/>
        <v>10005.346259999998</v>
      </c>
      <c r="BD198" s="1788">
        <f t="shared" si="167"/>
        <v>10209.536999999998</v>
      </c>
      <c r="BE198" s="1788">
        <f t="shared" si="167"/>
        <v>10413.727739999998</v>
      </c>
      <c r="BF198" s="1788">
        <f t="shared" si="167"/>
        <v>10617.918479999998</v>
      </c>
      <c r="BG198" s="1788">
        <f t="shared" si="167"/>
        <v>10822.109219999997</v>
      </c>
    </row>
    <row r="199" spans="1:111" hidden="1">
      <c r="A199" s="2773"/>
      <c r="B199" s="2928" t="s">
        <v>5709</v>
      </c>
      <c r="C199" s="2929"/>
      <c r="D199" s="2931"/>
      <c r="E199" s="1787" t="s">
        <v>5698</v>
      </c>
      <c r="F199" s="1787">
        <v>110</v>
      </c>
      <c r="G199" s="1787">
        <v>300</v>
      </c>
      <c r="H199" s="1787">
        <v>2</v>
      </c>
      <c r="I199" s="1788">
        <f t="shared" ref="I199:AN199" si="168">((I$193-$I$4)/1000)*$O$87*(($C$8/70)^$Y$87)*IF($C$13=1,$AH$33,IF($C$13=2,$AI$33,IF($C$13=3,$AJ$33,1)))</f>
        <v>739.23969599999987</v>
      </c>
      <c r="J199" s="1788">
        <f t="shared" si="168"/>
        <v>985.65292799999986</v>
      </c>
      <c r="K199" s="1788">
        <f t="shared" si="168"/>
        <v>1232.0661599999999</v>
      </c>
      <c r="L199" s="1788">
        <f t="shared" si="168"/>
        <v>1478.4793919999997</v>
      </c>
      <c r="M199" s="1788">
        <f t="shared" si="168"/>
        <v>1724.8926239999996</v>
      </c>
      <c r="N199" s="1788">
        <f t="shared" si="168"/>
        <v>1971.3058559999997</v>
      </c>
      <c r="O199" s="1788">
        <f t="shared" si="168"/>
        <v>2217.7190879999998</v>
      </c>
      <c r="P199" s="1788">
        <f t="shared" si="168"/>
        <v>2464.1323199999997</v>
      </c>
      <c r="Q199" s="1788">
        <f t="shared" si="168"/>
        <v>2710.5455519999996</v>
      </c>
      <c r="R199" s="1788">
        <f t="shared" si="168"/>
        <v>2956.9587839999995</v>
      </c>
      <c r="S199" s="1788">
        <f t="shared" si="168"/>
        <v>3203.3720159999993</v>
      </c>
      <c r="T199" s="1788">
        <f t="shared" si="168"/>
        <v>3449.7852479999992</v>
      </c>
      <c r="U199" s="1788">
        <f t="shared" si="168"/>
        <v>3696.1984799999991</v>
      </c>
      <c r="V199" s="1788">
        <f t="shared" si="168"/>
        <v>3942.6117119999994</v>
      </c>
      <c r="W199" s="1788">
        <f t="shared" si="168"/>
        <v>4189.0249439999998</v>
      </c>
      <c r="X199" s="1788">
        <f t="shared" si="168"/>
        <v>4435.4381759999997</v>
      </c>
      <c r="Y199" s="1788">
        <f t="shared" si="168"/>
        <v>4681.8514079999995</v>
      </c>
      <c r="Z199" s="1788">
        <f t="shared" si="168"/>
        <v>4928.2646399999994</v>
      </c>
      <c r="AA199" s="1788">
        <f t="shared" si="168"/>
        <v>5174.6778719999993</v>
      </c>
      <c r="AB199" s="1788">
        <f t="shared" si="168"/>
        <v>5421.0911039999992</v>
      </c>
      <c r="AC199" s="1788">
        <f t="shared" si="168"/>
        <v>5667.5043359999981</v>
      </c>
      <c r="AD199" s="1788">
        <f t="shared" si="168"/>
        <v>5913.9175679999989</v>
      </c>
      <c r="AE199" s="1788">
        <f t="shared" si="168"/>
        <v>6160.3307999999997</v>
      </c>
      <c r="AF199" s="1788">
        <f t="shared" si="168"/>
        <v>6406.7440319999987</v>
      </c>
      <c r="AG199" s="1788">
        <f t="shared" si="168"/>
        <v>6653.1572639999995</v>
      </c>
      <c r="AH199" s="1788">
        <f t="shared" si="168"/>
        <v>6899.5704959999985</v>
      </c>
      <c r="AI199" s="1788">
        <f t="shared" si="168"/>
        <v>7145.9837279999992</v>
      </c>
      <c r="AJ199" s="1788">
        <f t="shared" si="168"/>
        <v>7392.3969599999982</v>
      </c>
      <c r="AK199" s="1788">
        <f t="shared" si="168"/>
        <v>7638.810191999999</v>
      </c>
      <c r="AL199" s="1788">
        <f t="shared" si="168"/>
        <v>7885.2234239999989</v>
      </c>
      <c r="AM199" s="1788">
        <f t="shared" si="168"/>
        <v>8131.6366559999988</v>
      </c>
      <c r="AN199" s="1788">
        <f t="shared" si="168"/>
        <v>8378.0498879999996</v>
      </c>
      <c r="AO199" s="1788">
        <f t="shared" ref="AO199:BG199" si="169">((AO$193-$I$4)/1000)*$O$87*(($C$8/70)^$Y$87)*IF($C$13=1,$AH$33,IF($C$13=2,$AI$33,IF($C$13=3,$AJ$33,1)))</f>
        <v>8624.4631199999985</v>
      </c>
      <c r="AP199" s="1788">
        <f t="shared" si="169"/>
        <v>8870.8763519999993</v>
      </c>
      <c r="AQ199" s="1788">
        <f t="shared" si="169"/>
        <v>9117.2895840000001</v>
      </c>
      <c r="AR199" s="1788">
        <f t="shared" si="169"/>
        <v>9363.7028159999991</v>
      </c>
      <c r="AS199" s="1788">
        <f t="shared" si="169"/>
        <v>9610.116047999998</v>
      </c>
      <c r="AT199" s="1788">
        <f t="shared" si="169"/>
        <v>9856.5292799999988</v>
      </c>
      <c r="AU199" s="1788">
        <f t="shared" si="169"/>
        <v>10102.942511999998</v>
      </c>
      <c r="AV199" s="1788">
        <f t="shared" si="169"/>
        <v>10349.355743999999</v>
      </c>
      <c r="AW199" s="1788">
        <f t="shared" si="169"/>
        <v>10595.768975999999</v>
      </c>
      <c r="AX199" s="1788">
        <f t="shared" si="169"/>
        <v>10842.182207999998</v>
      </c>
      <c r="AY199" s="1788">
        <f t="shared" si="169"/>
        <v>11088.595439999997</v>
      </c>
      <c r="AZ199" s="1788">
        <f t="shared" si="169"/>
        <v>11335.008671999996</v>
      </c>
      <c r="BA199" s="1788">
        <f t="shared" si="169"/>
        <v>11581.421903999999</v>
      </c>
      <c r="BB199" s="1788">
        <f t="shared" si="169"/>
        <v>11827.835135999998</v>
      </c>
      <c r="BC199" s="1788">
        <f t="shared" si="169"/>
        <v>12074.248367999999</v>
      </c>
      <c r="BD199" s="1788">
        <f t="shared" si="169"/>
        <v>12320.661599999999</v>
      </c>
      <c r="BE199" s="1788">
        <f t="shared" si="169"/>
        <v>12567.074831999998</v>
      </c>
      <c r="BF199" s="1788">
        <f t="shared" si="169"/>
        <v>12813.488063999997</v>
      </c>
      <c r="BG199" s="1788">
        <f t="shared" si="169"/>
        <v>13059.901295999996</v>
      </c>
      <c r="BI199" s="571">
        <f t="shared" ref="BI199:DG199" si="170">I205/I200</f>
        <v>1.1220349563046195</v>
      </c>
      <c r="BJ199" s="571">
        <f t="shared" si="170"/>
        <v>1.1220349563046192</v>
      </c>
      <c r="BK199" s="571">
        <f t="shared" si="170"/>
        <v>1.1220349563046195</v>
      </c>
      <c r="BL199" s="571">
        <f t="shared" si="170"/>
        <v>1.1220349563046195</v>
      </c>
      <c r="BM199" s="571">
        <f t="shared" si="170"/>
        <v>1.1220349563046195</v>
      </c>
      <c r="BN199" s="571">
        <f t="shared" si="170"/>
        <v>1.1220349563046192</v>
      </c>
      <c r="BO199" s="571">
        <f t="shared" si="170"/>
        <v>1.1220349563046192</v>
      </c>
      <c r="BP199" s="571">
        <f t="shared" si="170"/>
        <v>1.1220349563046195</v>
      </c>
      <c r="BQ199" s="571">
        <f t="shared" si="170"/>
        <v>1.1220349563046192</v>
      </c>
      <c r="BR199" s="571">
        <f t="shared" si="170"/>
        <v>1.1220349563046195</v>
      </c>
      <c r="BS199" s="571">
        <f t="shared" si="170"/>
        <v>1.1220349563046195</v>
      </c>
      <c r="BT199" s="571">
        <f t="shared" si="170"/>
        <v>1.1220349563046195</v>
      </c>
      <c r="BU199" s="571">
        <f t="shared" si="170"/>
        <v>1.1220349563046195</v>
      </c>
      <c r="BV199" s="571">
        <f t="shared" si="170"/>
        <v>1.1220349563046192</v>
      </c>
      <c r="BW199" s="571">
        <f t="shared" si="170"/>
        <v>1.1220349563046192</v>
      </c>
      <c r="BX199" s="571">
        <f t="shared" si="170"/>
        <v>1.1220349563046192</v>
      </c>
      <c r="BY199" s="571">
        <f t="shared" si="170"/>
        <v>1.1220349563046195</v>
      </c>
      <c r="BZ199" s="571">
        <f t="shared" si="170"/>
        <v>1.1220349563046195</v>
      </c>
      <c r="CA199" s="571">
        <f t="shared" si="170"/>
        <v>1.1220349563046195</v>
      </c>
      <c r="CB199" s="571">
        <f t="shared" si="170"/>
        <v>1.1220349563046192</v>
      </c>
      <c r="CC199" s="571">
        <f t="shared" si="170"/>
        <v>1.1220349563046192</v>
      </c>
      <c r="CD199" s="571">
        <f t="shared" si="170"/>
        <v>1.1220349563046195</v>
      </c>
      <c r="CE199" s="571">
        <f t="shared" si="170"/>
        <v>1.1220349563046195</v>
      </c>
      <c r="CF199" s="571">
        <f t="shared" si="170"/>
        <v>1.1220349563046195</v>
      </c>
      <c r="CG199" s="571">
        <f t="shared" si="170"/>
        <v>1.1220349563046195</v>
      </c>
      <c r="CH199" s="571">
        <f t="shared" si="170"/>
        <v>1.1220349563046195</v>
      </c>
      <c r="CI199" s="571">
        <f t="shared" si="170"/>
        <v>1.1220349563046197</v>
      </c>
      <c r="CJ199" s="571">
        <f t="shared" si="170"/>
        <v>1.1220349563046195</v>
      </c>
      <c r="CK199" s="571">
        <f t="shared" si="170"/>
        <v>1.1220349563046195</v>
      </c>
      <c r="CL199" s="571">
        <f t="shared" si="170"/>
        <v>1.1220349563046192</v>
      </c>
      <c r="CM199" s="571">
        <f t="shared" si="170"/>
        <v>1.1220349563046192</v>
      </c>
      <c r="CN199" s="571">
        <f t="shared" si="170"/>
        <v>1.1220349563046192</v>
      </c>
      <c r="CO199" s="571">
        <f t="shared" si="170"/>
        <v>1.1220349563046192</v>
      </c>
      <c r="CP199" s="571">
        <f t="shared" si="170"/>
        <v>1.1220349563046192</v>
      </c>
      <c r="CQ199" s="571">
        <f t="shared" si="170"/>
        <v>1.1220349563046195</v>
      </c>
      <c r="CR199" s="571">
        <f t="shared" si="170"/>
        <v>1.1220349563046195</v>
      </c>
      <c r="CS199" s="571">
        <f t="shared" si="170"/>
        <v>1.1220349563046197</v>
      </c>
      <c r="CT199" s="571">
        <f t="shared" si="170"/>
        <v>1.1220349563046195</v>
      </c>
      <c r="CU199" s="571">
        <f t="shared" si="170"/>
        <v>1.1220349563046195</v>
      </c>
      <c r="CV199" s="571">
        <f t="shared" si="170"/>
        <v>1.1220349563046195</v>
      </c>
      <c r="CW199" s="571">
        <f t="shared" si="170"/>
        <v>1.1220349563046195</v>
      </c>
      <c r="CX199" s="571">
        <f t="shared" si="170"/>
        <v>1.1220349563046192</v>
      </c>
      <c r="CY199" s="571">
        <f t="shared" si="170"/>
        <v>1.1220349563046195</v>
      </c>
      <c r="CZ199" s="571">
        <f t="shared" si="170"/>
        <v>1.1220349563046192</v>
      </c>
      <c r="DA199" s="571">
        <f t="shared" si="170"/>
        <v>1.1220349563046195</v>
      </c>
      <c r="DB199" s="571">
        <f t="shared" si="170"/>
        <v>1.1220349563046195</v>
      </c>
      <c r="DC199" s="571">
        <f t="shared" si="170"/>
        <v>1.1220349563046195</v>
      </c>
      <c r="DD199" s="571">
        <f t="shared" si="170"/>
        <v>1.1220349563046195</v>
      </c>
      <c r="DE199" s="571">
        <f t="shared" si="170"/>
        <v>1.1220349563046195</v>
      </c>
      <c r="DF199" s="571">
        <f t="shared" si="170"/>
        <v>1.1220349563046195</v>
      </c>
      <c r="DG199" s="571">
        <f t="shared" si="170"/>
        <v>1.1220349563046195</v>
      </c>
    </row>
    <row r="200" spans="1:111" hidden="1">
      <c r="A200" s="2773"/>
      <c r="B200" s="2928" t="s">
        <v>5710</v>
      </c>
      <c r="C200" s="2929"/>
      <c r="D200" s="2931"/>
      <c r="E200" s="1787" t="s">
        <v>5698</v>
      </c>
      <c r="F200" s="1787">
        <v>110</v>
      </c>
      <c r="G200" s="1787">
        <v>360</v>
      </c>
      <c r="H200" s="1787">
        <v>2</v>
      </c>
      <c r="I200" s="1788">
        <f t="shared" ref="I200:AN200" si="171">((I$193-$I$4)/1000)*$Q87*(($C$8/70)^$AA$87)*IF($C$13=1,$AF$68,IF($C$13=2,$AG$68,IF($C$13=3,$AH$68,1)))</f>
        <v>790.98647471999982</v>
      </c>
      <c r="J200" s="1788">
        <f t="shared" si="171"/>
        <v>1054.64863296</v>
      </c>
      <c r="K200" s="1788">
        <f t="shared" si="171"/>
        <v>1318.3107911999998</v>
      </c>
      <c r="L200" s="1788">
        <f t="shared" si="171"/>
        <v>1581.9729494399996</v>
      </c>
      <c r="M200" s="1788">
        <f t="shared" si="171"/>
        <v>1845.6351076799995</v>
      </c>
      <c r="N200" s="1788">
        <f t="shared" si="171"/>
        <v>2109.29726592</v>
      </c>
      <c r="O200" s="1788">
        <f t="shared" si="171"/>
        <v>2372.9594241599998</v>
      </c>
      <c r="P200" s="1788">
        <f t="shared" si="171"/>
        <v>2636.6215823999996</v>
      </c>
      <c r="Q200" s="1788">
        <f t="shared" si="171"/>
        <v>2900.2837406399995</v>
      </c>
      <c r="R200" s="1788">
        <f t="shared" si="171"/>
        <v>3163.9458988799993</v>
      </c>
      <c r="S200" s="1788">
        <f t="shared" si="171"/>
        <v>3427.6080571199991</v>
      </c>
      <c r="T200" s="1788">
        <f t="shared" si="171"/>
        <v>3691.2702153599989</v>
      </c>
      <c r="U200" s="1788">
        <f t="shared" si="171"/>
        <v>3954.9323735999992</v>
      </c>
      <c r="V200" s="1788">
        <f t="shared" si="171"/>
        <v>4218.5945318399999</v>
      </c>
      <c r="W200" s="1788">
        <f t="shared" si="171"/>
        <v>4482.2566900799993</v>
      </c>
      <c r="X200" s="1788">
        <f t="shared" si="171"/>
        <v>4745.9188483199996</v>
      </c>
      <c r="Y200" s="1788">
        <f t="shared" si="171"/>
        <v>5009.581006559999</v>
      </c>
      <c r="Z200" s="1788">
        <f t="shared" si="171"/>
        <v>5273.2431647999992</v>
      </c>
      <c r="AA200" s="1788">
        <f t="shared" si="171"/>
        <v>5536.9053230399986</v>
      </c>
      <c r="AB200" s="1788">
        <f t="shared" si="171"/>
        <v>5800.5674812799989</v>
      </c>
      <c r="AC200" s="1788">
        <f t="shared" si="171"/>
        <v>6064.2296395199983</v>
      </c>
      <c r="AD200" s="1788">
        <f t="shared" si="171"/>
        <v>6327.8917977599986</v>
      </c>
      <c r="AE200" s="1788">
        <f t="shared" si="171"/>
        <v>6591.5539559999979</v>
      </c>
      <c r="AF200" s="1788">
        <f t="shared" si="171"/>
        <v>6855.2161142399982</v>
      </c>
      <c r="AG200" s="1788">
        <f t="shared" si="171"/>
        <v>7118.8782724799985</v>
      </c>
      <c r="AH200" s="1788">
        <f t="shared" si="171"/>
        <v>7382.5404307199979</v>
      </c>
      <c r="AI200" s="1788">
        <f t="shared" si="171"/>
        <v>7646.2025889599972</v>
      </c>
      <c r="AJ200" s="1788">
        <f t="shared" si="171"/>
        <v>7909.8647471999984</v>
      </c>
      <c r="AK200" s="1788">
        <f t="shared" si="171"/>
        <v>8173.5269054399987</v>
      </c>
      <c r="AL200" s="1788">
        <f t="shared" si="171"/>
        <v>8437.1890636799999</v>
      </c>
      <c r="AM200" s="1788">
        <f t="shared" si="171"/>
        <v>8700.8512219199984</v>
      </c>
      <c r="AN200" s="1788">
        <f t="shared" si="171"/>
        <v>8964.5133801599986</v>
      </c>
      <c r="AO200" s="1788">
        <f t="shared" ref="AO200:BG200" si="172">((AO$193-$I$4)/1000)*$Q87*(($C$8/70)^$AA$87)*IF($C$13=1,$AF$68,IF($C$13=2,$AG$68,IF($C$13=3,$AH$68,1)))</f>
        <v>9228.1755383999989</v>
      </c>
      <c r="AP200" s="1788">
        <f t="shared" si="172"/>
        <v>9491.8376966399992</v>
      </c>
      <c r="AQ200" s="1788">
        <f t="shared" si="172"/>
        <v>9755.4998548799977</v>
      </c>
      <c r="AR200" s="1788">
        <f t="shared" si="172"/>
        <v>10019.162013119998</v>
      </c>
      <c r="AS200" s="1788">
        <f t="shared" si="172"/>
        <v>10282.824171359996</v>
      </c>
      <c r="AT200" s="1788">
        <f t="shared" si="172"/>
        <v>10546.486329599998</v>
      </c>
      <c r="AU200" s="1788">
        <f t="shared" si="172"/>
        <v>10810.148487839997</v>
      </c>
      <c r="AV200" s="1788">
        <f t="shared" si="172"/>
        <v>11073.810646079997</v>
      </c>
      <c r="AW200" s="1788">
        <f t="shared" si="172"/>
        <v>11337.472804319998</v>
      </c>
      <c r="AX200" s="1788">
        <f t="shared" si="172"/>
        <v>11601.134962559998</v>
      </c>
      <c r="AY200" s="1788">
        <f t="shared" si="172"/>
        <v>11864.797120799996</v>
      </c>
      <c r="AZ200" s="1788">
        <f t="shared" si="172"/>
        <v>12128.459279039997</v>
      </c>
      <c r="BA200" s="1788">
        <f t="shared" si="172"/>
        <v>12392.121437279997</v>
      </c>
      <c r="BB200" s="1788">
        <f t="shared" si="172"/>
        <v>12655.783595519997</v>
      </c>
      <c r="BC200" s="1788">
        <f t="shared" si="172"/>
        <v>12919.445753759997</v>
      </c>
      <c r="BD200" s="1788">
        <f t="shared" si="172"/>
        <v>13183.107911999996</v>
      </c>
      <c r="BE200" s="1788">
        <f t="shared" si="172"/>
        <v>13446.770070239996</v>
      </c>
      <c r="BF200" s="1788">
        <f t="shared" si="172"/>
        <v>13710.432228479996</v>
      </c>
      <c r="BG200" s="1788">
        <f t="shared" si="172"/>
        <v>13974.094386719995</v>
      </c>
      <c r="BI200" s="571" t="e">
        <f>#REF!/I201</f>
        <v>#REF!</v>
      </c>
      <c r="BJ200" s="571" t="e">
        <f>#REF!/J201</f>
        <v>#REF!</v>
      </c>
      <c r="BK200" s="571" t="e">
        <f>#REF!/K201</f>
        <v>#REF!</v>
      </c>
      <c r="BL200" s="571" t="e">
        <f>#REF!/L201</f>
        <v>#REF!</v>
      </c>
      <c r="BM200" s="571" t="e">
        <f>#REF!/M201</f>
        <v>#REF!</v>
      </c>
      <c r="BN200" s="571" t="e">
        <f>#REF!/N201</f>
        <v>#REF!</v>
      </c>
      <c r="BO200" s="571" t="e">
        <f>#REF!/O201</f>
        <v>#REF!</v>
      </c>
      <c r="BP200" s="571" t="e">
        <f>#REF!/P201</f>
        <v>#REF!</v>
      </c>
      <c r="BQ200" s="571" t="e">
        <f>#REF!/Q201</f>
        <v>#REF!</v>
      </c>
      <c r="BR200" s="571" t="e">
        <f>#REF!/R201</f>
        <v>#REF!</v>
      </c>
      <c r="BS200" s="571" t="e">
        <f>#REF!/S201</f>
        <v>#REF!</v>
      </c>
      <c r="BT200" s="571" t="e">
        <f>#REF!/T201</f>
        <v>#REF!</v>
      </c>
      <c r="BU200" s="571" t="e">
        <f>#REF!/U201</f>
        <v>#REF!</v>
      </c>
      <c r="BV200" s="571" t="e">
        <f>#REF!/V201</f>
        <v>#REF!</v>
      </c>
      <c r="BW200" s="571" t="e">
        <f>#REF!/W201</f>
        <v>#REF!</v>
      </c>
      <c r="BX200" s="571" t="e">
        <f>#REF!/X201</f>
        <v>#REF!</v>
      </c>
      <c r="BY200" s="571" t="e">
        <f>#REF!/Y201</f>
        <v>#REF!</v>
      </c>
      <c r="BZ200" s="571" t="e">
        <f>#REF!/Z201</f>
        <v>#REF!</v>
      </c>
      <c r="CA200" s="571" t="e">
        <f>#REF!/AA201</f>
        <v>#REF!</v>
      </c>
      <c r="CB200" s="571" t="e">
        <f>#REF!/AB201</f>
        <v>#REF!</v>
      </c>
      <c r="CC200" s="571" t="e">
        <f>#REF!/AC201</f>
        <v>#REF!</v>
      </c>
      <c r="CD200" s="571" t="e">
        <f>#REF!/AD201</f>
        <v>#REF!</v>
      </c>
      <c r="CE200" s="571" t="e">
        <f>#REF!/AE201</f>
        <v>#REF!</v>
      </c>
      <c r="CF200" s="571" t="e">
        <f>#REF!/AF201</f>
        <v>#REF!</v>
      </c>
      <c r="CG200" s="571" t="e">
        <f>#REF!/AG201</f>
        <v>#REF!</v>
      </c>
      <c r="CH200" s="571" t="e">
        <f>#REF!/AH201</f>
        <v>#REF!</v>
      </c>
      <c r="CI200" s="571" t="e">
        <f>#REF!/AI201</f>
        <v>#REF!</v>
      </c>
      <c r="CJ200" s="571" t="e">
        <f>#REF!/AJ201</f>
        <v>#REF!</v>
      </c>
      <c r="CK200" s="571" t="e">
        <f>#REF!/AK201</f>
        <v>#REF!</v>
      </c>
      <c r="CL200" s="571" t="e">
        <f>#REF!/AL201</f>
        <v>#REF!</v>
      </c>
      <c r="CM200" s="571" t="e">
        <f>#REF!/AM201</f>
        <v>#REF!</v>
      </c>
      <c r="CN200" s="571" t="e">
        <f>#REF!/AN201</f>
        <v>#REF!</v>
      </c>
      <c r="CO200" s="571" t="e">
        <f>#REF!/AO201</f>
        <v>#REF!</v>
      </c>
      <c r="CP200" s="571" t="e">
        <f>#REF!/AP201</f>
        <v>#REF!</v>
      </c>
      <c r="CQ200" s="571" t="e">
        <f>#REF!/AQ201</f>
        <v>#REF!</v>
      </c>
      <c r="CR200" s="571" t="e">
        <f>#REF!/AR201</f>
        <v>#REF!</v>
      </c>
      <c r="CS200" s="571" t="e">
        <f>#REF!/AS201</f>
        <v>#REF!</v>
      </c>
      <c r="CT200" s="571" t="e">
        <f>#REF!/AT201</f>
        <v>#REF!</v>
      </c>
      <c r="CU200" s="571" t="e">
        <f>#REF!/AU201</f>
        <v>#REF!</v>
      </c>
      <c r="CV200" s="571" t="e">
        <f>#REF!/AV201</f>
        <v>#REF!</v>
      </c>
      <c r="CW200" s="571" t="e">
        <f>#REF!/AW201</f>
        <v>#REF!</v>
      </c>
      <c r="CX200" s="571" t="e">
        <f>#REF!/AX201</f>
        <v>#REF!</v>
      </c>
      <c r="CY200" s="571" t="e">
        <f>#REF!/AY201</f>
        <v>#REF!</v>
      </c>
      <c r="CZ200" s="571" t="e">
        <f>#REF!/AZ201</f>
        <v>#REF!</v>
      </c>
      <c r="DA200" s="571" t="e">
        <f>#REF!/BA201</f>
        <v>#REF!</v>
      </c>
      <c r="DB200" s="571" t="e">
        <f>#REF!/BB201</f>
        <v>#REF!</v>
      </c>
      <c r="DC200" s="571" t="e">
        <f>#REF!/BC201</f>
        <v>#REF!</v>
      </c>
      <c r="DD200" s="571" t="e">
        <f>#REF!/BD201</f>
        <v>#REF!</v>
      </c>
      <c r="DE200" s="571" t="e">
        <f>#REF!/BE201</f>
        <v>#REF!</v>
      </c>
      <c r="DF200" s="571" t="e">
        <f>#REF!/BF201</f>
        <v>#REF!</v>
      </c>
      <c r="DG200" s="571" t="e">
        <f>#REF!/BG201</f>
        <v>#REF!</v>
      </c>
    </row>
    <row r="201" spans="1:111" ht="15.75" hidden="1" thickBot="1">
      <c r="A201" s="2773"/>
      <c r="B201" s="2933" t="s">
        <v>5711</v>
      </c>
      <c r="C201" s="2934"/>
      <c r="D201" s="2932"/>
      <c r="E201" s="1789" t="s">
        <v>5698</v>
      </c>
      <c r="F201" s="1789">
        <v>110</v>
      </c>
      <c r="G201" s="1789">
        <v>400</v>
      </c>
      <c r="H201" s="1789">
        <v>2</v>
      </c>
      <c r="I201" s="1790">
        <f t="shared" ref="I201:AN201" si="173">((I$193-$I$4)/1000)*$R$87*(($C$8/70)^$AB$87)*IF($C$13=1,$AF$68,IF($C$13=2,$AG$68,IF($C$13=3,$AH$68,1)))</f>
        <v>850.12565039999981</v>
      </c>
      <c r="J201" s="1790">
        <f t="shared" si="173"/>
        <v>1133.5008671999997</v>
      </c>
      <c r="K201" s="1790">
        <f t="shared" si="173"/>
        <v>1416.8760839999995</v>
      </c>
      <c r="L201" s="1790">
        <f t="shared" si="173"/>
        <v>1700.2513007999996</v>
      </c>
      <c r="M201" s="1790">
        <f t="shared" si="173"/>
        <v>1983.6265175999993</v>
      </c>
      <c r="N201" s="1790">
        <f t="shared" si="173"/>
        <v>2267.0017343999993</v>
      </c>
      <c r="O201" s="1790">
        <f t="shared" si="173"/>
        <v>2550.3769511999994</v>
      </c>
      <c r="P201" s="1790">
        <f t="shared" si="173"/>
        <v>2833.7521679999991</v>
      </c>
      <c r="Q201" s="1790">
        <f t="shared" si="173"/>
        <v>3117.1273847999996</v>
      </c>
      <c r="R201" s="1790">
        <f t="shared" si="173"/>
        <v>3400.5026015999993</v>
      </c>
      <c r="S201" s="1790">
        <f t="shared" si="173"/>
        <v>3683.8778183999989</v>
      </c>
      <c r="T201" s="1790">
        <f t="shared" si="173"/>
        <v>3967.2530351999985</v>
      </c>
      <c r="U201" s="1790">
        <f t="shared" si="173"/>
        <v>4250.6282519999986</v>
      </c>
      <c r="V201" s="1790">
        <f t="shared" si="173"/>
        <v>4534.0034687999987</v>
      </c>
      <c r="W201" s="1790">
        <f t="shared" si="173"/>
        <v>4817.3786855999988</v>
      </c>
      <c r="X201" s="1790">
        <f t="shared" si="173"/>
        <v>5100.7539023999989</v>
      </c>
      <c r="Y201" s="1790">
        <f t="shared" si="173"/>
        <v>5384.129119199999</v>
      </c>
      <c r="Z201" s="1790">
        <f t="shared" si="173"/>
        <v>5667.5043359999981</v>
      </c>
      <c r="AA201" s="1790">
        <f t="shared" si="173"/>
        <v>5950.8795527999982</v>
      </c>
      <c r="AB201" s="1790">
        <f t="shared" si="173"/>
        <v>6234.2547695999992</v>
      </c>
      <c r="AC201" s="1790">
        <f t="shared" si="173"/>
        <v>6517.6299863999975</v>
      </c>
      <c r="AD201" s="1790">
        <f t="shared" si="173"/>
        <v>6801.0052031999985</v>
      </c>
      <c r="AE201" s="1790">
        <f t="shared" si="173"/>
        <v>7084.3804199999977</v>
      </c>
      <c r="AF201" s="1790">
        <f t="shared" si="173"/>
        <v>7367.7556367999978</v>
      </c>
      <c r="AG201" s="1790">
        <f t="shared" si="173"/>
        <v>7651.1308535999988</v>
      </c>
      <c r="AH201" s="1790">
        <f t="shared" si="173"/>
        <v>7934.506070399997</v>
      </c>
      <c r="AI201" s="1790">
        <f t="shared" si="173"/>
        <v>8217.881287199998</v>
      </c>
      <c r="AJ201" s="1790">
        <f t="shared" si="173"/>
        <v>8501.2565039999972</v>
      </c>
      <c r="AK201" s="1790">
        <f t="shared" si="173"/>
        <v>8784.6317207999982</v>
      </c>
      <c r="AL201" s="1790">
        <f t="shared" si="173"/>
        <v>9068.0069375999974</v>
      </c>
      <c r="AM201" s="1790">
        <f t="shared" si="173"/>
        <v>9351.3821543999966</v>
      </c>
      <c r="AN201" s="1790">
        <f t="shared" si="173"/>
        <v>9634.7573711999976</v>
      </c>
      <c r="AO201" s="1790">
        <f t="shared" ref="AO201:BG201" si="174">((AO$193-$I$4)/1000)*$R$87*(($C$8/70)^$AB$87)*IF($C$13=1,$AF$68,IF($C$13=2,$AG$68,IF($C$13=3,$AH$68,1)))</f>
        <v>9918.1325879999968</v>
      </c>
      <c r="AP201" s="1790">
        <f t="shared" si="174"/>
        <v>10201.507804799998</v>
      </c>
      <c r="AQ201" s="1790">
        <f t="shared" si="174"/>
        <v>10484.883021599997</v>
      </c>
      <c r="AR201" s="1790">
        <f t="shared" si="174"/>
        <v>10768.258238399998</v>
      </c>
      <c r="AS201" s="1790">
        <f t="shared" si="174"/>
        <v>11051.633455199995</v>
      </c>
      <c r="AT201" s="1790">
        <f t="shared" si="174"/>
        <v>11335.008671999996</v>
      </c>
      <c r="AU201" s="1790">
        <f t="shared" si="174"/>
        <v>11618.383888799995</v>
      </c>
      <c r="AV201" s="1790">
        <f t="shared" si="174"/>
        <v>11901.759105599996</v>
      </c>
      <c r="AW201" s="1790">
        <f t="shared" si="174"/>
        <v>12185.134322399997</v>
      </c>
      <c r="AX201" s="1790">
        <f t="shared" si="174"/>
        <v>12468.509539199998</v>
      </c>
      <c r="AY201" s="1790">
        <f t="shared" si="174"/>
        <v>12751.884755999996</v>
      </c>
      <c r="AZ201" s="1790">
        <f t="shared" si="174"/>
        <v>13035.259972799995</v>
      </c>
      <c r="BA201" s="1790">
        <f t="shared" si="174"/>
        <v>13318.635189599996</v>
      </c>
      <c r="BB201" s="1790">
        <f t="shared" si="174"/>
        <v>13602.010406399997</v>
      </c>
      <c r="BC201" s="1790">
        <f t="shared" si="174"/>
        <v>13885.385623199998</v>
      </c>
      <c r="BD201" s="1790">
        <f t="shared" si="174"/>
        <v>14168.760839999995</v>
      </c>
      <c r="BE201" s="1790">
        <f t="shared" si="174"/>
        <v>14452.136056799995</v>
      </c>
      <c r="BF201" s="1790">
        <f t="shared" si="174"/>
        <v>14735.511273599996</v>
      </c>
      <c r="BG201" s="1790">
        <f t="shared" si="174"/>
        <v>15018.886490399997</v>
      </c>
      <c r="BI201" s="571">
        <f t="shared" ref="BI201:DG201" si="175">I205/I201</f>
        <v>1.0439803506486458</v>
      </c>
      <c r="BJ201" s="571">
        <f t="shared" si="175"/>
        <v>1.043980350648646</v>
      </c>
      <c r="BK201" s="571">
        <f t="shared" si="175"/>
        <v>1.043980350648646</v>
      </c>
      <c r="BL201" s="571">
        <f t="shared" si="175"/>
        <v>1.0439803506486458</v>
      </c>
      <c r="BM201" s="571">
        <f t="shared" si="175"/>
        <v>1.043980350648646</v>
      </c>
      <c r="BN201" s="571">
        <f t="shared" si="175"/>
        <v>1.043980350648646</v>
      </c>
      <c r="BO201" s="571">
        <f t="shared" si="175"/>
        <v>1.0439803506486458</v>
      </c>
      <c r="BP201" s="571">
        <f t="shared" si="175"/>
        <v>1.043980350648646</v>
      </c>
      <c r="BQ201" s="571">
        <f t="shared" si="175"/>
        <v>1.0439803506486458</v>
      </c>
      <c r="BR201" s="571">
        <f t="shared" si="175"/>
        <v>1.0439803506486458</v>
      </c>
      <c r="BS201" s="571">
        <f t="shared" si="175"/>
        <v>1.043980350648646</v>
      </c>
      <c r="BT201" s="571">
        <f t="shared" si="175"/>
        <v>1.043980350648646</v>
      </c>
      <c r="BU201" s="571">
        <f t="shared" si="175"/>
        <v>1.043980350648646</v>
      </c>
      <c r="BV201" s="571">
        <f t="shared" si="175"/>
        <v>1.043980350648646</v>
      </c>
      <c r="BW201" s="571">
        <f t="shared" si="175"/>
        <v>1.0439803506486458</v>
      </c>
      <c r="BX201" s="571">
        <f t="shared" si="175"/>
        <v>1.0439803506486458</v>
      </c>
      <c r="BY201" s="571">
        <f t="shared" si="175"/>
        <v>1.0439803506486458</v>
      </c>
      <c r="BZ201" s="571">
        <f t="shared" si="175"/>
        <v>1.043980350648646</v>
      </c>
      <c r="CA201" s="571">
        <f t="shared" si="175"/>
        <v>1.043980350648646</v>
      </c>
      <c r="CB201" s="571">
        <f t="shared" si="175"/>
        <v>1.0439803506486458</v>
      </c>
      <c r="CC201" s="571">
        <f t="shared" si="175"/>
        <v>1.0439803506486458</v>
      </c>
      <c r="CD201" s="571">
        <f t="shared" si="175"/>
        <v>1.0439803506486458</v>
      </c>
      <c r="CE201" s="571">
        <f t="shared" si="175"/>
        <v>1.043980350648646</v>
      </c>
      <c r="CF201" s="571">
        <f t="shared" si="175"/>
        <v>1.043980350648646</v>
      </c>
      <c r="CG201" s="571">
        <f t="shared" si="175"/>
        <v>1.043980350648646</v>
      </c>
      <c r="CH201" s="571">
        <f t="shared" si="175"/>
        <v>1.043980350648646</v>
      </c>
      <c r="CI201" s="571">
        <f t="shared" si="175"/>
        <v>1.043980350648646</v>
      </c>
      <c r="CJ201" s="571">
        <f t="shared" si="175"/>
        <v>1.043980350648646</v>
      </c>
      <c r="CK201" s="571">
        <f t="shared" si="175"/>
        <v>1.043980350648646</v>
      </c>
      <c r="CL201" s="571">
        <f t="shared" si="175"/>
        <v>1.043980350648646</v>
      </c>
      <c r="CM201" s="571">
        <f t="shared" si="175"/>
        <v>1.043980350648646</v>
      </c>
      <c r="CN201" s="571">
        <f t="shared" si="175"/>
        <v>1.0439803506486458</v>
      </c>
      <c r="CO201" s="571">
        <f t="shared" si="175"/>
        <v>1.043980350648646</v>
      </c>
      <c r="CP201" s="571">
        <f t="shared" si="175"/>
        <v>1.0439803506486458</v>
      </c>
      <c r="CQ201" s="571">
        <f t="shared" si="175"/>
        <v>1.043980350648646</v>
      </c>
      <c r="CR201" s="571">
        <f t="shared" si="175"/>
        <v>1.0439803506486458</v>
      </c>
      <c r="CS201" s="571">
        <f t="shared" si="175"/>
        <v>1.043980350648646</v>
      </c>
      <c r="CT201" s="571">
        <f t="shared" si="175"/>
        <v>1.043980350648646</v>
      </c>
      <c r="CU201" s="571">
        <f t="shared" si="175"/>
        <v>1.043980350648646</v>
      </c>
      <c r="CV201" s="571">
        <f t="shared" si="175"/>
        <v>1.043980350648646</v>
      </c>
      <c r="CW201" s="571">
        <f t="shared" si="175"/>
        <v>1.043980350648646</v>
      </c>
      <c r="CX201" s="571">
        <f t="shared" si="175"/>
        <v>1.0439803506486458</v>
      </c>
      <c r="CY201" s="571">
        <f t="shared" si="175"/>
        <v>1.043980350648646</v>
      </c>
      <c r="CZ201" s="571">
        <f t="shared" si="175"/>
        <v>1.0439803506486458</v>
      </c>
      <c r="DA201" s="571">
        <f t="shared" si="175"/>
        <v>1.043980350648646</v>
      </c>
      <c r="DB201" s="571">
        <f t="shared" si="175"/>
        <v>1.0439803506486458</v>
      </c>
      <c r="DC201" s="571">
        <f t="shared" si="175"/>
        <v>1.0439803506486458</v>
      </c>
      <c r="DD201" s="571">
        <f t="shared" si="175"/>
        <v>1.043980350648646</v>
      </c>
      <c r="DE201" s="571">
        <f t="shared" si="175"/>
        <v>1.043980350648646</v>
      </c>
      <c r="DF201" s="571">
        <f t="shared" si="175"/>
        <v>1.043980350648646</v>
      </c>
      <c r="DG201" s="571">
        <f t="shared" si="175"/>
        <v>1.0439803506486458</v>
      </c>
    </row>
    <row r="202" spans="1:111" hidden="1">
      <c r="A202" s="2773"/>
      <c r="B202" s="2935" t="s">
        <v>5712</v>
      </c>
      <c r="C202" s="2936"/>
      <c r="D202" s="2937"/>
      <c r="E202" s="1791" t="s">
        <v>5698</v>
      </c>
      <c r="F202" s="1791">
        <v>150</v>
      </c>
      <c r="G202" s="1791">
        <v>200</v>
      </c>
      <c r="H202" s="1791">
        <v>2</v>
      </c>
      <c r="I202" s="1792">
        <f t="shared" ref="I202:AN202" si="176">((I$193-$I$4)/1000)*$M$88*(($C$8/70)^$W$88)*IF($C$13=1,$AF$70,IF($C$13=2,$AG$70,IF($C$13=3,$AH$70,1)))</f>
        <v>501.37120799999991</v>
      </c>
      <c r="J202" s="1792">
        <f t="shared" si="176"/>
        <v>668.49494400000003</v>
      </c>
      <c r="K202" s="1792">
        <f t="shared" si="176"/>
        <v>835.61867999999993</v>
      </c>
      <c r="L202" s="1792">
        <f t="shared" si="176"/>
        <v>1002.7424159999998</v>
      </c>
      <c r="M202" s="1792">
        <f t="shared" si="176"/>
        <v>1169.8661519999998</v>
      </c>
      <c r="N202" s="1792">
        <f t="shared" si="176"/>
        <v>1336.9898880000001</v>
      </c>
      <c r="O202" s="1792">
        <f t="shared" si="176"/>
        <v>1504.1136239999998</v>
      </c>
      <c r="P202" s="1792">
        <f t="shared" si="176"/>
        <v>1671.2373599999999</v>
      </c>
      <c r="Q202" s="1792">
        <f t="shared" si="176"/>
        <v>1838.3610960000001</v>
      </c>
      <c r="R202" s="1792">
        <f t="shared" si="176"/>
        <v>2005.4848319999996</v>
      </c>
      <c r="S202" s="1792">
        <f t="shared" si="176"/>
        <v>2172.6085680000001</v>
      </c>
      <c r="T202" s="1792">
        <f t="shared" si="176"/>
        <v>2339.7323039999997</v>
      </c>
      <c r="U202" s="1792">
        <f t="shared" si="176"/>
        <v>2506.8560399999997</v>
      </c>
      <c r="V202" s="1792">
        <f t="shared" si="176"/>
        <v>2673.9797760000001</v>
      </c>
      <c r="W202" s="1792">
        <f t="shared" si="176"/>
        <v>2841.1035119999997</v>
      </c>
      <c r="X202" s="1792">
        <f t="shared" si="176"/>
        <v>3008.2272479999997</v>
      </c>
      <c r="Y202" s="1792">
        <f t="shared" si="176"/>
        <v>3175.3509839999997</v>
      </c>
      <c r="Z202" s="1792">
        <f t="shared" si="176"/>
        <v>3342.4747199999997</v>
      </c>
      <c r="AA202" s="1792">
        <f t="shared" si="176"/>
        <v>3509.5984559999997</v>
      </c>
      <c r="AB202" s="1792">
        <f t="shared" si="176"/>
        <v>3676.7221920000002</v>
      </c>
      <c r="AC202" s="1792">
        <f t="shared" si="176"/>
        <v>3843.8459279999993</v>
      </c>
      <c r="AD202" s="1792">
        <f t="shared" si="176"/>
        <v>4010.9696639999993</v>
      </c>
      <c r="AE202" s="1792">
        <f t="shared" si="176"/>
        <v>4178.0933999999997</v>
      </c>
      <c r="AF202" s="1792">
        <f t="shared" si="176"/>
        <v>4345.2171360000002</v>
      </c>
      <c r="AG202" s="1792">
        <f t="shared" si="176"/>
        <v>4512.3408719999998</v>
      </c>
      <c r="AH202" s="1792">
        <f t="shared" si="176"/>
        <v>4679.4646079999993</v>
      </c>
      <c r="AI202" s="1792">
        <f t="shared" si="176"/>
        <v>4846.5883439999998</v>
      </c>
      <c r="AJ202" s="1792">
        <f t="shared" si="176"/>
        <v>5013.7120799999993</v>
      </c>
      <c r="AK202" s="1792">
        <f t="shared" si="176"/>
        <v>5180.8358159999998</v>
      </c>
      <c r="AL202" s="1792">
        <f t="shared" si="176"/>
        <v>5347.9595520000003</v>
      </c>
      <c r="AM202" s="1792">
        <f t="shared" si="176"/>
        <v>5515.0832879999989</v>
      </c>
      <c r="AN202" s="1792">
        <f t="shared" si="176"/>
        <v>5682.2070239999994</v>
      </c>
      <c r="AO202" s="1792">
        <f t="shared" ref="AO202:BG202" si="177">((AO$193-$I$4)/1000)*$M$88*(($C$8/70)^$W$88)*IF($C$13=1,$AF$70,IF($C$13=2,$AG$70,IF($C$13=3,$AH$70,1)))</f>
        <v>5849.3307599999998</v>
      </c>
      <c r="AP202" s="1792">
        <f t="shared" si="177"/>
        <v>6016.4544959999994</v>
      </c>
      <c r="AQ202" s="1792">
        <f t="shared" si="177"/>
        <v>6183.5782319999998</v>
      </c>
      <c r="AR202" s="1792">
        <f t="shared" si="177"/>
        <v>6350.7019679999994</v>
      </c>
      <c r="AS202" s="1792">
        <f t="shared" si="177"/>
        <v>6517.825703999999</v>
      </c>
      <c r="AT202" s="1792">
        <f t="shared" si="177"/>
        <v>6684.9494399999994</v>
      </c>
      <c r="AU202" s="1792">
        <f t="shared" si="177"/>
        <v>6852.073175999999</v>
      </c>
      <c r="AV202" s="1792">
        <f t="shared" si="177"/>
        <v>7019.1969119999994</v>
      </c>
      <c r="AW202" s="1792">
        <f t="shared" si="177"/>
        <v>7186.320647999999</v>
      </c>
      <c r="AX202" s="1792">
        <f t="shared" si="177"/>
        <v>7353.4443840000004</v>
      </c>
      <c r="AY202" s="1792">
        <f t="shared" si="177"/>
        <v>7520.568119999999</v>
      </c>
      <c r="AZ202" s="1792">
        <f t="shared" si="177"/>
        <v>7687.6918559999986</v>
      </c>
      <c r="BA202" s="1792">
        <f t="shared" si="177"/>
        <v>7854.8155919999999</v>
      </c>
      <c r="BB202" s="1792">
        <f t="shared" si="177"/>
        <v>8021.9393279999986</v>
      </c>
      <c r="BC202" s="1792">
        <f t="shared" si="177"/>
        <v>8189.0630639999999</v>
      </c>
      <c r="BD202" s="1792">
        <f t="shared" si="177"/>
        <v>8356.1867999999995</v>
      </c>
      <c r="BE202" s="1792">
        <f t="shared" si="177"/>
        <v>8523.310535999999</v>
      </c>
      <c r="BF202" s="1792">
        <f t="shared" si="177"/>
        <v>8690.4342720000004</v>
      </c>
      <c r="BG202" s="1792">
        <f t="shared" si="177"/>
        <v>8857.5580079999982</v>
      </c>
      <c r="BI202" s="571" t="e">
        <f>#REF!/I202</f>
        <v>#REF!</v>
      </c>
      <c r="BJ202" s="571" t="e">
        <f>#REF!/J202</f>
        <v>#REF!</v>
      </c>
      <c r="BK202" s="571" t="e">
        <f>#REF!/K202</f>
        <v>#REF!</v>
      </c>
      <c r="BL202" s="571" t="e">
        <f>#REF!/L202</f>
        <v>#REF!</v>
      </c>
      <c r="BM202" s="571" t="e">
        <f>#REF!/M202</f>
        <v>#REF!</v>
      </c>
      <c r="BN202" s="571" t="e">
        <f>#REF!/N202</f>
        <v>#REF!</v>
      </c>
      <c r="BO202" s="571" t="e">
        <f>#REF!/O202</f>
        <v>#REF!</v>
      </c>
      <c r="BP202" s="571" t="e">
        <f>#REF!/P202</f>
        <v>#REF!</v>
      </c>
      <c r="BQ202" s="571" t="e">
        <f>#REF!/Q202</f>
        <v>#REF!</v>
      </c>
      <c r="BR202" s="571" t="e">
        <f>#REF!/R202</f>
        <v>#REF!</v>
      </c>
      <c r="BS202" s="571" t="e">
        <f>#REF!/S202</f>
        <v>#REF!</v>
      </c>
      <c r="BT202" s="571" t="e">
        <f>#REF!/T202</f>
        <v>#REF!</v>
      </c>
      <c r="BU202" s="571" t="e">
        <f>#REF!/U202</f>
        <v>#REF!</v>
      </c>
      <c r="BV202" s="571" t="e">
        <f>#REF!/V202</f>
        <v>#REF!</v>
      </c>
      <c r="BW202" s="571" t="e">
        <f>#REF!/W202</f>
        <v>#REF!</v>
      </c>
      <c r="BX202" s="571" t="e">
        <f>#REF!/X202</f>
        <v>#REF!</v>
      </c>
      <c r="BY202" s="571" t="e">
        <f>#REF!/Y202</f>
        <v>#REF!</v>
      </c>
      <c r="BZ202" s="571" t="e">
        <f>#REF!/Z202</f>
        <v>#REF!</v>
      </c>
      <c r="CA202" s="571" t="e">
        <f>#REF!/AA202</f>
        <v>#REF!</v>
      </c>
      <c r="CB202" s="571" t="e">
        <f>#REF!/AB202</f>
        <v>#REF!</v>
      </c>
      <c r="CC202" s="571" t="e">
        <f>#REF!/AC202</f>
        <v>#REF!</v>
      </c>
      <c r="CD202" s="571" t="e">
        <f>#REF!/AD202</f>
        <v>#REF!</v>
      </c>
      <c r="CE202" s="571" t="e">
        <f>#REF!/AE202</f>
        <v>#REF!</v>
      </c>
      <c r="CF202" s="571" t="e">
        <f>#REF!/AF202</f>
        <v>#REF!</v>
      </c>
      <c r="CG202" s="571" t="e">
        <f>#REF!/AG202</f>
        <v>#REF!</v>
      </c>
      <c r="CH202" s="571" t="e">
        <f>#REF!/AH202</f>
        <v>#REF!</v>
      </c>
      <c r="CI202" s="571" t="e">
        <f>#REF!/AI202</f>
        <v>#REF!</v>
      </c>
      <c r="CJ202" s="571" t="e">
        <f>#REF!/AJ202</f>
        <v>#REF!</v>
      </c>
      <c r="CK202" s="571" t="e">
        <f>#REF!/AK202</f>
        <v>#REF!</v>
      </c>
      <c r="CL202" s="571" t="e">
        <f>#REF!/AL202</f>
        <v>#REF!</v>
      </c>
      <c r="CM202" s="571" t="e">
        <f>#REF!/AM202</f>
        <v>#REF!</v>
      </c>
      <c r="CN202" s="571" t="e">
        <f>#REF!/AN202</f>
        <v>#REF!</v>
      </c>
      <c r="CO202" s="571" t="e">
        <f>#REF!/AO202</f>
        <v>#REF!</v>
      </c>
      <c r="CP202" s="571" t="e">
        <f>#REF!/AP202</f>
        <v>#REF!</v>
      </c>
      <c r="CQ202" s="571" t="e">
        <f>#REF!/AQ202</f>
        <v>#REF!</v>
      </c>
      <c r="CR202" s="571" t="e">
        <f>#REF!/AR202</f>
        <v>#REF!</v>
      </c>
      <c r="CS202" s="571" t="e">
        <f>#REF!/AS202</f>
        <v>#REF!</v>
      </c>
      <c r="CT202" s="571" t="e">
        <f>#REF!/AT202</f>
        <v>#REF!</v>
      </c>
      <c r="CU202" s="571" t="e">
        <f>#REF!/AU202</f>
        <v>#REF!</v>
      </c>
      <c r="CV202" s="571" t="e">
        <f>#REF!/AV202</f>
        <v>#REF!</v>
      </c>
      <c r="CW202" s="571" t="e">
        <f>#REF!/AW202</f>
        <v>#REF!</v>
      </c>
      <c r="CX202" s="571" t="e">
        <f>#REF!/AX202</f>
        <v>#REF!</v>
      </c>
      <c r="CY202" s="571" t="e">
        <f>#REF!/AY202</f>
        <v>#REF!</v>
      </c>
      <c r="CZ202" s="571" t="e">
        <f>#REF!/AZ202</f>
        <v>#REF!</v>
      </c>
      <c r="DA202" s="571" t="e">
        <f>#REF!/BA202</f>
        <v>#REF!</v>
      </c>
      <c r="DB202" s="571" t="e">
        <f>#REF!/BB202</f>
        <v>#REF!</v>
      </c>
      <c r="DC202" s="571" t="e">
        <f>#REF!/BC202</f>
        <v>#REF!</v>
      </c>
      <c r="DD202" s="571" t="e">
        <f>#REF!/BD202</f>
        <v>#REF!</v>
      </c>
      <c r="DE202" s="571" t="e">
        <f>#REF!/BE202</f>
        <v>#REF!</v>
      </c>
      <c r="DF202" s="571" t="e">
        <f>#REF!/BF202</f>
        <v>#REF!</v>
      </c>
      <c r="DG202" s="571" t="e">
        <f>#REF!/BG202</f>
        <v>#REF!</v>
      </c>
    </row>
    <row r="203" spans="1:111" hidden="1">
      <c r="A203" s="2773"/>
      <c r="B203" s="2940" t="s">
        <v>5713</v>
      </c>
      <c r="C203" s="2941"/>
      <c r="D203" s="2938"/>
      <c r="E203" s="1793" t="s">
        <v>5698</v>
      </c>
      <c r="F203" s="1793">
        <v>150</v>
      </c>
      <c r="G203" s="1793">
        <v>260</v>
      </c>
      <c r="H203" s="1793">
        <v>2</v>
      </c>
      <c r="I203" s="1792">
        <f t="shared" ref="I203:AN203" si="178">((I$193-$I$4)/1000)*$N$88*(($C$8/70)^$X$88)*IF($C$13=1,$AF$69,IF($C$13=2,$AG$69,IF($C$13=3,$AH$69,1)))</f>
        <v>657.6533823599998</v>
      </c>
      <c r="J203" s="1792">
        <f t="shared" si="178"/>
        <v>876.8711764799998</v>
      </c>
      <c r="K203" s="1792">
        <f t="shared" si="178"/>
        <v>1096.0889705999996</v>
      </c>
      <c r="L203" s="1792">
        <f t="shared" si="178"/>
        <v>1315.3067647199996</v>
      </c>
      <c r="M203" s="1792">
        <f t="shared" si="178"/>
        <v>1534.5245588399994</v>
      </c>
      <c r="N203" s="1792">
        <f t="shared" si="178"/>
        <v>1753.7423529599996</v>
      </c>
      <c r="O203" s="1792">
        <f t="shared" si="178"/>
        <v>1972.9601470799996</v>
      </c>
      <c r="P203" s="1792">
        <f t="shared" si="178"/>
        <v>2192.1779411999992</v>
      </c>
      <c r="Q203" s="1792">
        <f t="shared" si="178"/>
        <v>2411.3957353199994</v>
      </c>
      <c r="R203" s="1792">
        <f t="shared" si="178"/>
        <v>2630.6135294399992</v>
      </c>
      <c r="S203" s="1792">
        <f t="shared" si="178"/>
        <v>2849.831323559999</v>
      </c>
      <c r="T203" s="1792">
        <f t="shared" si="178"/>
        <v>3069.0491176799987</v>
      </c>
      <c r="U203" s="1792">
        <f t="shared" si="178"/>
        <v>3288.2669117999985</v>
      </c>
      <c r="V203" s="1792">
        <f t="shared" si="178"/>
        <v>3507.4847059199992</v>
      </c>
      <c r="W203" s="1792">
        <f t="shared" si="178"/>
        <v>3726.702500039999</v>
      </c>
      <c r="X203" s="1792">
        <f t="shared" si="178"/>
        <v>3945.9202941599992</v>
      </c>
      <c r="Y203" s="1792">
        <f t="shared" si="178"/>
        <v>4165.1380882799986</v>
      </c>
      <c r="Z203" s="1792">
        <f t="shared" si="178"/>
        <v>4384.3558823999983</v>
      </c>
      <c r="AA203" s="1792">
        <f t="shared" si="178"/>
        <v>4603.573676519999</v>
      </c>
      <c r="AB203" s="1792">
        <f t="shared" si="178"/>
        <v>4822.7914706399988</v>
      </c>
      <c r="AC203" s="1792">
        <f t="shared" si="178"/>
        <v>5042.0092647599977</v>
      </c>
      <c r="AD203" s="1792">
        <f t="shared" si="178"/>
        <v>5261.2270588799984</v>
      </c>
      <c r="AE203" s="1792">
        <f t="shared" si="178"/>
        <v>5480.4448529999991</v>
      </c>
      <c r="AF203" s="1792">
        <f t="shared" si="178"/>
        <v>5699.6626471199979</v>
      </c>
      <c r="AG203" s="1792">
        <f t="shared" si="178"/>
        <v>5918.8804412399986</v>
      </c>
      <c r="AH203" s="1792">
        <f t="shared" si="178"/>
        <v>6138.0982353599975</v>
      </c>
      <c r="AI203" s="1792">
        <f t="shared" si="178"/>
        <v>6357.3160294799982</v>
      </c>
      <c r="AJ203" s="1792">
        <f t="shared" si="178"/>
        <v>6576.533823599997</v>
      </c>
      <c r="AK203" s="1792">
        <f t="shared" si="178"/>
        <v>6795.7516177199977</v>
      </c>
      <c r="AL203" s="1792">
        <f t="shared" si="178"/>
        <v>7014.9694118399984</v>
      </c>
      <c r="AM203" s="1792">
        <f t="shared" si="178"/>
        <v>7234.1872059599973</v>
      </c>
      <c r="AN203" s="1792">
        <f t="shared" si="178"/>
        <v>7453.405000079998</v>
      </c>
      <c r="AO203" s="1792">
        <f t="shared" ref="AO203:BG203" si="179">((AO$193-$I$4)/1000)*$N$88*(($C$8/70)^$X$88)*IF($C$13=1,$AF$69,IF($C$13=2,$AG$69,IF($C$13=3,$AH$69,1)))</f>
        <v>7672.6227941999978</v>
      </c>
      <c r="AP203" s="1792">
        <f t="shared" si="179"/>
        <v>7891.8405883199985</v>
      </c>
      <c r="AQ203" s="1792">
        <f t="shared" si="179"/>
        <v>8111.0583824399973</v>
      </c>
      <c r="AR203" s="1792">
        <f t="shared" si="179"/>
        <v>8330.2761765599971</v>
      </c>
      <c r="AS203" s="1792">
        <f t="shared" si="179"/>
        <v>8549.493970679996</v>
      </c>
      <c r="AT203" s="1792">
        <f t="shared" si="179"/>
        <v>8768.7117647999967</v>
      </c>
      <c r="AU203" s="1792">
        <f t="shared" si="179"/>
        <v>8987.9295589199974</v>
      </c>
      <c r="AV203" s="1792">
        <f t="shared" si="179"/>
        <v>9207.1473530399981</v>
      </c>
      <c r="AW203" s="1792">
        <f t="shared" si="179"/>
        <v>9426.3651471599969</v>
      </c>
      <c r="AX203" s="1792">
        <f t="shared" si="179"/>
        <v>9645.5829412799976</v>
      </c>
      <c r="AY203" s="1792">
        <f t="shared" si="179"/>
        <v>9864.8007353999965</v>
      </c>
      <c r="AZ203" s="1792">
        <f t="shared" si="179"/>
        <v>10084.018529519995</v>
      </c>
      <c r="BA203" s="1792">
        <f t="shared" si="179"/>
        <v>10303.236323639998</v>
      </c>
      <c r="BB203" s="1792">
        <f t="shared" si="179"/>
        <v>10522.454117759997</v>
      </c>
      <c r="BC203" s="1792">
        <f t="shared" si="179"/>
        <v>10741.671911879997</v>
      </c>
      <c r="BD203" s="1792">
        <f t="shared" si="179"/>
        <v>10960.889705999998</v>
      </c>
      <c r="BE203" s="1792">
        <f t="shared" si="179"/>
        <v>11180.107500119995</v>
      </c>
      <c r="BF203" s="1792">
        <f t="shared" si="179"/>
        <v>11399.325294239996</v>
      </c>
      <c r="BG203" s="1792">
        <f t="shared" si="179"/>
        <v>11618.543088359997</v>
      </c>
      <c r="BI203" s="571" t="e">
        <f>#REF!/I203</f>
        <v>#REF!</v>
      </c>
      <c r="BJ203" s="571" t="e">
        <f>#REF!/J203</f>
        <v>#REF!</v>
      </c>
      <c r="BK203" s="571" t="e">
        <f>#REF!/K203</f>
        <v>#REF!</v>
      </c>
      <c r="BL203" s="571" t="e">
        <f>#REF!/L203</f>
        <v>#REF!</v>
      </c>
      <c r="BM203" s="571" t="e">
        <f>#REF!/M203</f>
        <v>#REF!</v>
      </c>
      <c r="BN203" s="571" t="e">
        <f>#REF!/N203</f>
        <v>#REF!</v>
      </c>
      <c r="BO203" s="571" t="e">
        <f>#REF!/O203</f>
        <v>#REF!</v>
      </c>
      <c r="BP203" s="571" t="e">
        <f>#REF!/P203</f>
        <v>#REF!</v>
      </c>
      <c r="BQ203" s="571" t="e">
        <f>#REF!/Q203</f>
        <v>#REF!</v>
      </c>
      <c r="BR203" s="571" t="e">
        <f>#REF!/R203</f>
        <v>#REF!</v>
      </c>
      <c r="BS203" s="571" t="e">
        <f>#REF!/S203</f>
        <v>#REF!</v>
      </c>
      <c r="BT203" s="571" t="e">
        <f>#REF!/T203</f>
        <v>#REF!</v>
      </c>
      <c r="BU203" s="571" t="e">
        <f>#REF!/U203</f>
        <v>#REF!</v>
      </c>
      <c r="BV203" s="571" t="e">
        <f>#REF!/V203</f>
        <v>#REF!</v>
      </c>
      <c r="BW203" s="571" t="e">
        <f>#REF!/W203</f>
        <v>#REF!</v>
      </c>
      <c r="BX203" s="571" t="e">
        <f>#REF!/X203</f>
        <v>#REF!</v>
      </c>
      <c r="BY203" s="571" t="e">
        <f>#REF!/Y203</f>
        <v>#REF!</v>
      </c>
      <c r="BZ203" s="571" t="e">
        <f>#REF!/Z203</f>
        <v>#REF!</v>
      </c>
      <c r="CA203" s="571" t="e">
        <f>#REF!/AA203</f>
        <v>#REF!</v>
      </c>
      <c r="CB203" s="571" t="e">
        <f>#REF!/AB203</f>
        <v>#REF!</v>
      </c>
      <c r="CC203" s="571" t="e">
        <f>#REF!/AC203</f>
        <v>#REF!</v>
      </c>
      <c r="CD203" s="571" t="e">
        <f>#REF!/AD203</f>
        <v>#REF!</v>
      </c>
      <c r="CE203" s="571" t="e">
        <f>#REF!/AE203</f>
        <v>#REF!</v>
      </c>
      <c r="CF203" s="571" t="e">
        <f>#REF!/AF203</f>
        <v>#REF!</v>
      </c>
      <c r="CG203" s="571" t="e">
        <f>#REF!/AG203</f>
        <v>#REF!</v>
      </c>
      <c r="CH203" s="571" t="e">
        <f>#REF!/AH203</f>
        <v>#REF!</v>
      </c>
      <c r="CI203" s="571" t="e">
        <f>#REF!/AI203</f>
        <v>#REF!</v>
      </c>
      <c r="CJ203" s="571" t="e">
        <f>#REF!/AJ203</f>
        <v>#REF!</v>
      </c>
      <c r="CK203" s="571" t="e">
        <f>#REF!/AK203</f>
        <v>#REF!</v>
      </c>
      <c r="CL203" s="571" t="e">
        <f>#REF!/AL203</f>
        <v>#REF!</v>
      </c>
      <c r="CM203" s="571" t="e">
        <f>#REF!/AM203</f>
        <v>#REF!</v>
      </c>
      <c r="CN203" s="571" t="e">
        <f>#REF!/AN203</f>
        <v>#REF!</v>
      </c>
      <c r="CO203" s="571" t="e">
        <f>#REF!/AO203</f>
        <v>#REF!</v>
      </c>
      <c r="CP203" s="571" t="e">
        <f>#REF!/AP203</f>
        <v>#REF!</v>
      </c>
      <c r="CQ203" s="571" t="e">
        <f>#REF!/AQ203</f>
        <v>#REF!</v>
      </c>
      <c r="CR203" s="571" t="e">
        <f>#REF!/AR203</f>
        <v>#REF!</v>
      </c>
      <c r="CS203" s="571" t="e">
        <f>#REF!/AS203</f>
        <v>#REF!</v>
      </c>
      <c r="CT203" s="571" t="e">
        <f>#REF!/AT203</f>
        <v>#REF!</v>
      </c>
      <c r="CU203" s="571" t="e">
        <f>#REF!/AU203</f>
        <v>#REF!</v>
      </c>
      <c r="CV203" s="571" t="e">
        <f>#REF!/AV203</f>
        <v>#REF!</v>
      </c>
      <c r="CW203" s="571" t="e">
        <f>#REF!/AW203</f>
        <v>#REF!</v>
      </c>
      <c r="CX203" s="571" t="e">
        <f>#REF!/AX203</f>
        <v>#REF!</v>
      </c>
      <c r="CY203" s="571" t="e">
        <f>#REF!/AY203</f>
        <v>#REF!</v>
      </c>
      <c r="CZ203" s="571" t="e">
        <f>#REF!/AZ203</f>
        <v>#REF!</v>
      </c>
      <c r="DA203" s="571" t="e">
        <f>#REF!/BA203</f>
        <v>#REF!</v>
      </c>
      <c r="DB203" s="571" t="e">
        <f>#REF!/BB203</f>
        <v>#REF!</v>
      </c>
      <c r="DC203" s="571" t="e">
        <f>#REF!/BC203</f>
        <v>#REF!</v>
      </c>
      <c r="DD203" s="571" t="e">
        <f>#REF!/BD203</f>
        <v>#REF!</v>
      </c>
      <c r="DE203" s="571" t="e">
        <f>#REF!/BE203</f>
        <v>#REF!</v>
      </c>
      <c r="DF203" s="571" t="e">
        <f>#REF!/BF203</f>
        <v>#REF!</v>
      </c>
      <c r="DG203" s="571" t="e">
        <f>#REF!/BG203</f>
        <v>#REF!</v>
      </c>
    </row>
    <row r="204" spans="1:111" hidden="1">
      <c r="A204" s="2773"/>
      <c r="B204" s="2940" t="s">
        <v>5714</v>
      </c>
      <c r="C204" s="2941"/>
      <c r="D204" s="2938"/>
      <c r="E204" s="1793" t="s">
        <v>5698</v>
      </c>
      <c r="F204" s="1793">
        <v>150</v>
      </c>
      <c r="G204" s="1793">
        <v>300</v>
      </c>
      <c r="H204" s="1793">
        <v>2</v>
      </c>
      <c r="I204" s="1792">
        <f t="shared" ref="I204:AN204" si="180">((I$193-$I$4)/1000)*$O$88*(($C$8/70)^$Z$88)*IF($C$13=1,$AF$72,IF($C$13=2,$AG$72,IF($C$13=3,$AH$72,1)))</f>
        <v>778.97897999999986</v>
      </c>
      <c r="J204" s="1792">
        <f t="shared" si="180"/>
        <v>1038.6386399999999</v>
      </c>
      <c r="K204" s="1792">
        <f t="shared" si="180"/>
        <v>1298.2982999999999</v>
      </c>
      <c r="L204" s="1792">
        <f t="shared" si="180"/>
        <v>1557.9579599999997</v>
      </c>
      <c r="M204" s="1792">
        <f t="shared" si="180"/>
        <v>1817.6176199999998</v>
      </c>
      <c r="N204" s="1792">
        <f t="shared" si="180"/>
        <v>2077.2772799999998</v>
      </c>
      <c r="O204" s="1792">
        <f t="shared" si="180"/>
        <v>2336.9369399999996</v>
      </c>
      <c r="P204" s="1792">
        <f t="shared" si="180"/>
        <v>2596.5965999999999</v>
      </c>
      <c r="Q204" s="1792">
        <f t="shared" si="180"/>
        <v>2856.2562599999997</v>
      </c>
      <c r="R204" s="1792">
        <f t="shared" si="180"/>
        <v>3115.9159199999995</v>
      </c>
      <c r="S204" s="1792">
        <f t="shared" si="180"/>
        <v>3375.5755799999997</v>
      </c>
      <c r="T204" s="1792">
        <f t="shared" si="180"/>
        <v>3635.2352399999995</v>
      </c>
      <c r="U204" s="1792">
        <f t="shared" si="180"/>
        <v>3894.8948999999993</v>
      </c>
      <c r="V204" s="1792">
        <f t="shared" si="180"/>
        <v>4154.5545599999996</v>
      </c>
      <c r="W204" s="1792">
        <f t="shared" si="180"/>
        <v>4414.2142199999998</v>
      </c>
      <c r="X204" s="1792">
        <f t="shared" si="180"/>
        <v>4673.8738799999992</v>
      </c>
      <c r="Y204" s="1792">
        <f t="shared" si="180"/>
        <v>4933.5335399999985</v>
      </c>
      <c r="Z204" s="1792">
        <f t="shared" si="180"/>
        <v>5193.1931999999997</v>
      </c>
      <c r="AA204" s="1792">
        <f t="shared" si="180"/>
        <v>5452.85286</v>
      </c>
      <c r="AB204" s="1792">
        <f t="shared" si="180"/>
        <v>5712.5125199999993</v>
      </c>
      <c r="AC204" s="1792">
        <f t="shared" si="180"/>
        <v>5972.1721799999987</v>
      </c>
      <c r="AD204" s="1792">
        <f t="shared" si="180"/>
        <v>6231.8318399999989</v>
      </c>
      <c r="AE204" s="1792">
        <f t="shared" si="180"/>
        <v>6491.4914999999983</v>
      </c>
      <c r="AF204" s="1792">
        <f t="shared" si="180"/>
        <v>6751.1511599999994</v>
      </c>
      <c r="AG204" s="1792">
        <f t="shared" si="180"/>
        <v>7010.8108199999997</v>
      </c>
      <c r="AH204" s="1792">
        <f t="shared" si="180"/>
        <v>7270.470479999999</v>
      </c>
      <c r="AI204" s="1792">
        <f t="shared" si="180"/>
        <v>7530.1301399999984</v>
      </c>
      <c r="AJ204" s="1792">
        <f t="shared" si="180"/>
        <v>7789.7897999999986</v>
      </c>
      <c r="AK204" s="1792">
        <f t="shared" si="180"/>
        <v>8049.4494599999998</v>
      </c>
      <c r="AL204" s="1792">
        <f t="shared" si="180"/>
        <v>8309.1091199999992</v>
      </c>
      <c r="AM204" s="1792">
        <f t="shared" si="180"/>
        <v>8568.7687799999985</v>
      </c>
      <c r="AN204" s="1792">
        <f t="shared" si="180"/>
        <v>8828.4284399999997</v>
      </c>
      <c r="AO204" s="1792">
        <f t="shared" ref="AO204:BG204" si="181">((AO$193-$I$4)/1000)*$O$88*(($C$8/70)^$Z$88)*IF($C$13=1,$AF$72,IF($C$13=2,$AG$72,IF($C$13=3,$AH$72,1)))</f>
        <v>9088.088099999999</v>
      </c>
      <c r="AP204" s="1792">
        <f t="shared" si="181"/>
        <v>9347.7477599999984</v>
      </c>
      <c r="AQ204" s="1792">
        <f t="shared" si="181"/>
        <v>9607.4074199999977</v>
      </c>
      <c r="AR204" s="1792">
        <f t="shared" si="181"/>
        <v>9867.0670799999971</v>
      </c>
      <c r="AS204" s="1792">
        <f t="shared" si="181"/>
        <v>10126.726739999998</v>
      </c>
      <c r="AT204" s="1792">
        <f t="shared" si="181"/>
        <v>10386.386399999999</v>
      </c>
      <c r="AU204" s="1792">
        <f t="shared" si="181"/>
        <v>10646.046059999999</v>
      </c>
      <c r="AV204" s="1792">
        <f t="shared" si="181"/>
        <v>10905.70572</v>
      </c>
      <c r="AW204" s="1792">
        <f t="shared" si="181"/>
        <v>11165.365379999999</v>
      </c>
      <c r="AX204" s="1792">
        <f t="shared" si="181"/>
        <v>11425.025039999999</v>
      </c>
      <c r="AY204" s="1792">
        <f t="shared" si="181"/>
        <v>11684.684699999998</v>
      </c>
      <c r="AZ204" s="1792">
        <f t="shared" si="181"/>
        <v>11944.344359999997</v>
      </c>
      <c r="BA204" s="1792">
        <f t="shared" si="181"/>
        <v>12204.004019999998</v>
      </c>
      <c r="BB204" s="1792">
        <f t="shared" si="181"/>
        <v>12463.663679999998</v>
      </c>
      <c r="BC204" s="1792">
        <f t="shared" si="181"/>
        <v>12723.323339999999</v>
      </c>
      <c r="BD204" s="1792">
        <f t="shared" si="181"/>
        <v>12982.982999999997</v>
      </c>
      <c r="BE204" s="1792">
        <f t="shared" si="181"/>
        <v>13242.642659999996</v>
      </c>
      <c r="BF204" s="1792">
        <f t="shared" si="181"/>
        <v>13502.302319999999</v>
      </c>
      <c r="BG204" s="1792">
        <f t="shared" si="181"/>
        <v>13761.961979999998</v>
      </c>
      <c r="BI204" s="571" t="e">
        <f>#REF!/I204</f>
        <v>#REF!</v>
      </c>
      <c r="BJ204" s="571" t="e">
        <f>#REF!/J204</f>
        <v>#REF!</v>
      </c>
      <c r="BK204" s="571" t="e">
        <f>#REF!/K204</f>
        <v>#REF!</v>
      </c>
      <c r="BL204" s="571" t="e">
        <f>#REF!/L204</f>
        <v>#REF!</v>
      </c>
      <c r="BM204" s="571" t="e">
        <f>#REF!/M204</f>
        <v>#REF!</v>
      </c>
      <c r="BN204" s="571" t="e">
        <f>#REF!/N204</f>
        <v>#REF!</v>
      </c>
      <c r="BO204" s="571" t="e">
        <f>#REF!/O204</f>
        <v>#REF!</v>
      </c>
      <c r="BP204" s="571" t="e">
        <f>#REF!/P204</f>
        <v>#REF!</v>
      </c>
      <c r="BQ204" s="571" t="e">
        <f>#REF!/Q204</f>
        <v>#REF!</v>
      </c>
      <c r="BR204" s="571" t="e">
        <f>#REF!/R204</f>
        <v>#REF!</v>
      </c>
      <c r="BS204" s="571" t="e">
        <f>#REF!/S204</f>
        <v>#REF!</v>
      </c>
      <c r="BT204" s="571" t="e">
        <f>#REF!/T204</f>
        <v>#REF!</v>
      </c>
      <c r="BU204" s="571" t="e">
        <f>#REF!/U204</f>
        <v>#REF!</v>
      </c>
      <c r="BV204" s="571" t="e">
        <f>#REF!/V204</f>
        <v>#REF!</v>
      </c>
      <c r="BW204" s="571" t="e">
        <f>#REF!/W204</f>
        <v>#REF!</v>
      </c>
      <c r="BX204" s="571" t="e">
        <f>#REF!/X204</f>
        <v>#REF!</v>
      </c>
      <c r="BY204" s="571" t="e">
        <f>#REF!/Y204</f>
        <v>#REF!</v>
      </c>
      <c r="BZ204" s="571" t="e">
        <f>#REF!/Z204</f>
        <v>#REF!</v>
      </c>
      <c r="CA204" s="571" t="e">
        <f>#REF!/AA204</f>
        <v>#REF!</v>
      </c>
      <c r="CB204" s="571" t="e">
        <f>#REF!/AB204</f>
        <v>#REF!</v>
      </c>
      <c r="CC204" s="571" t="e">
        <f>#REF!/AC204</f>
        <v>#REF!</v>
      </c>
      <c r="CD204" s="571" t="e">
        <f>#REF!/AD204</f>
        <v>#REF!</v>
      </c>
      <c r="CE204" s="571" t="e">
        <f>#REF!/AE204</f>
        <v>#REF!</v>
      </c>
      <c r="CF204" s="571" t="e">
        <f>#REF!/AF204</f>
        <v>#REF!</v>
      </c>
      <c r="CG204" s="571" t="e">
        <f>#REF!/AG204</f>
        <v>#REF!</v>
      </c>
      <c r="CH204" s="571" t="e">
        <f>#REF!/AH204</f>
        <v>#REF!</v>
      </c>
      <c r="CI204" s="571" t="e">
        <f>#REF!/AI204</f>
        <v>#REF!</v>
      </c>
      <c r="CJ204" s="571" t="e">
        <f>#REF!/AJ204</f>
        <v>#REF!</v>
      </c>
      <c r="CK204" s="571" t="e">
        <f>#REF!/AK204</f>
        <v>#REF!</v>
      </c>
      <c r="CL204" s="571" t="e">
        <f>#REF!/AL204</f>
        <v>#REF!</v>
      </c>
      <c r="CM204" s="571" t="e">
        <f>#REF!/AM204</f>
        <v>#REF!</v>
      </c>
      <c r="CN204" s="571" t="e">
        <f>#REF!/AN204</f>
        <v>#REF!</v>
      </c>
      <c r="CO204" s="571" t="e">
        <f>#REF!/AO204</f>
        <v>#REF!</v>
      </c>
      <c r="CP204" s="571" t="e">
        <f>#REF!/AP204</f>
        <v>#REF!</v>
      </c>
      <c r="CQ204" s="571" t="e">
        <f>#REF!/AQ204</f>
        <v>#REF!</v>
      </c>
      <c r="CR204" s="571" t="e">
        <f>#REF!/AR204</f>
        <v>#REF!</v>
      </c>
      <c r="CS204" s="571" t="e">
        <f>#REF!/AS204</f>
        <v>#REF!</v>
      </c>
      <c r="CT204" s="571" t="e">
        <f>#REF!/AT204</f>
        <v>#REF!</v>
      </c>
      <c r="CU204" s="571" t="e">
        <f>#REF!/AU204</f>
        <v>#REF!</v>
      </c>
      <c r="CV204" s="571" t="e">
        <f>#REF!/AV204</f>
        <v>#REF!</v>
      </c>
      <c r="CW204" s="571" t="e">
        <f>#REF!/AW204</f>
        <v>#REF!</v>
      </c>
      <c r="CX204" s="571" t="e">
        <f>#REF!/AX204</f>
        <v>#REF!</v>
      </c>
      <c r="CY204" s="571" t="e">
        <f>#REF!/AY204</f>
        <v>#REF!</v>
      </c>
      <c r="CZ204" s="571" t="e">
        <f>#REF!/AZ204</f>
        <v>#REF!</v>
      </c>
      <c r="DA204" s="571" t="e">
        <f>#REF!/BA204</f>
        <v>#REF!</v>
      </c>
      <c r="DB204" s="571" t="e">
        <f>#REF!/BB204</f>
        <v>#REF!</v>
      </c>
      <c r="DC204" s="571" t="e">
        <f>#REF!/BC204</f>
        <v>#REF!</v>
      </c>
      <c r="DD204" s="571" t="e">
        <f>#REF!/BD204</f>
        <v>#REF!</v>
      </c>
      <c r="DE204" s="571" t="e">
        <f>#REF!/BE204</f>
        <v>#REF!</v>
      </c>
      <c r="DF204" s="571" t="e">
        <f>#REF!/BF204</f>
        <v>#REF!</v>
      </c>
      <c r="DG204" s="571" t="e">
        <f>#REF!/BG204</f>
        <v>#REF!</v>
      </c>
    </row>
    <row r="205" spans="1:111" ht="15.75" hidden="1" thickBot="1">
      <c r="A205" s="2773"/>
      <c r="B205" s="2942" t="s">
        <v>5715</v>
      </c>
      <c r="C205" s="2943"/>
      <c r="D205" s="2939"/>
      <c r="E205" s="1794" t="s">
        <v>5698</v>
      </c>
      <c r="F205" s="1794">
        <v>150</v>
      </c>
      <c r="G205" s="1794">
        <v>360</v>
      </c>
      <c r="H205" s="1794">
        <v>2</v>
      </c>
      <c r="I205" s="1795">
        <f t="shared" ref="I205:AN205" si="182">((I$193-$I$4)/1000)*$Q$88*(($C$8/70)^$AA$88)*IF($C$13=1,$AF$69,IF($C$13=2,$AG$69,IF($C$13=3,$AH$69,1)))</f>
        <v>887.51447459999997</v>
      </c>
      <c r="J205" s="1795">
        <f t="shared" si="182"/>
        <v>1183.3526328</v>
      </c>
      <c r="K205" s="1795">
        <f t="shared" si="182"/>
        <v>1479.190791</v>
      </c>
      <c r="L205" s="1795">
        <f t="shared" si="182"/>
        <v>1775.0289491999999</v>
      </c>
      <c r="M205" s="1795">
        <f t="shared" si="182"/>
        <v>2070.8671073999999</v>
      </c>
      <c r="N205" s="1795">
        <f t="shared" si="182"/>
        <v>2366.7052656000001</v>
      </c>
      <c r="O205" s="1795">
        <f t="shared" si="182"/>
        <v>2662.5434237999998</v>
      </c>
      <c r="P205" s="1795">
        <f t="shared" si="182"/>
        <v>2958.381582</v>
      </c>
      <c r="Q205" s="1795">
        <f t="shared" si="182"/>
        <v>3254.2197401999997</v>
      </c>
      <c r="R205" s="1795">
        <f t="shared" si="182"/>
        <v>3550.0578983999999</v>
      </c>
      <c r="S205" s="1795">
        <f t="shared" si="182"/>
        <v>3845.8960566000001</v>
      </c>
      <c r="T205" s="1795">
        <f t="shared" si="182"/>
        <v>4141.7342147999998</v>
      </c>
      <c r="U205" s="1795">
        <f t="shared" si="182"/>
        <v>4437.572373</v>
      </c>
      <c r="V205" s="1795">
        <f t="shared" si="182"/>
        <v>4733.4105312000002</v>
      </c>
      <c r="W205" s="1795">
        <f t="shared" si="182"/>
        <v>5029.2486893999994</v>
      </c>
      <c r="X205" s="1795">
        <f t="shared" si="182"/>
        <v>5325.0868475999996</v>
      </c>
      <c r="Y205" s="1795">
        <f t="shared" si="182"/>
        <v>5620.9250057999998</v>
      </c>
      <c r="Z205" s="1795">
        <f t="shared" si="182"/>
        <v>5916.763164</v>
      </c>
      <c r="AA205" s="1795">
        <f t="shared" si="182"/>
        <v>6212.6013222000001</v>
      </c>
      <c r="AB205" s="1795">
        <f t="shared" si="182"/>
        <v>6508.4394803999994</v>
      </c>
      <c r="AC205" s="1795">
        <f t="shared" si="182"/>
        <v>6804.2776385999987</v>
      </c>
      <c r="AD205" s="1795">
        <f t="shared" si="182"/>
        <v>7100.1157967999998</v>
      </c>
      <c r="AE205" s="1795">
        <f t="shared" si="182"/>
        <v>7395.953955</v>
      </c>
      <c r="AF205" s="1795">
        <f t="shared" si="182"/>
        <v>7691.7921132000001</v>
      </c>
      <c r="AG205" s="1795">
        <f t="shared" si="182"/>
        <v>7987.6302714000003</v>
      </c>
      <c r="AH205" s="1795">
        <f t="shared" si="182"/>
        <v>8283.4684295999996</v>
      </c>
      <c r="AI205" s="1795">
        <f t="shared" si="182"/>
        <v>8579.3065877999998</v>
      </c>
      <c r="AJ205" s="1795">
        <f t="shared" si="182"/>
        <v>8875.1447459999999</v>
      </c>
      <c r="AK205" s="1795">
        <f t="shared" si="182"/>
        <v>9170.9829042000001</v>
      </c>
      <c r="AL205" s="1795">
        <f t="shared" si="182"/>
        <v>9466.8210624000003</v>
      </c>
      <c r="AM205" s="1795">
        <f t="shared" si="182"/>
        <v>9762.6592205999987</v>
      </c>
      <c r="AN205" s="1795">
        <f t="shared" si="182"/>
        <v>10058.497378799999</v>
      </c>
      <c r="AO205" s="1795">
        <f t="shared" ref="AO205:BG205" si="183">((AO$193-$I$4)/1000)*$Q$88*(($C$8/70)^$AA$88)*IF($C$13=1,$AF$69,IF($C$13=2,$AG$69,IF($C$13=3,$AH$69,1)))</f>
        <v>10354.335536999999</v>
      </c>
      <c r="AP205" s="1795">
        <f t="shared" si="183"/>
        <v>10650.173695199999</v>
      </c>
      <c r="AQ205" s="1795">
        <f t="shared" si="183"/>
        <v>10946.011853399999</v>
      </c>
      <c r="AR205" s="1795">
        <f t="shared" si="183"/>
        <v>11241.8500116</v>
      </c>
      <c r="AS205" s="1795">
        <f t="shared" si="183"/>
        <v>11537.6881698</v>
      </c>
      <c r="AT205" s="1795">
        <f t="shared" si="183"/>
        <v>11833.526328</v>
      </c>
      <c r="AU205" s="1795">
        <f t="shared" si="183"/>
        <v>12129.3644862</v>
      </c>
      <c r="AV205" s="1795">
        <f t="shared" si="183"/>
        <v>12425.2026444</v>
      </c>
      <c r="AW205" s="1795">
        <f t="shared" si="183"/>
        <v>12721.0408026</v>
      </c>
      <c r="AX205" s="1795">
        <f t="shared" si="183"/>
        <v>13016.878960799999</v>
      </c>
      <c r="AY205" s="1795">
        <f t="shared" si="183"/>
        <v>13312.717118999999</v>
      </c>
      <c r="AZ205" s="1795">
        <f t="shared" si="183"/>
        <v>13608.555277199997</v>
      </c>
      <c r="BA205" s="1795">
        <f t="shared" si="183"/>
        <v>13904.393435399999</v>
      </c>
      <c r="BB205" s="1795">
        <f t="shared" si="183"/>
        <v>14200.2315936</v>
      </c>
      <c r="BC205" s="1795">
        <f t="shared" si="183"/>
        <v>14496.0697518</v>
      </c>
      <c r="BD205" s="1795">
        <f t="shared" si="183"/>
        <v>14791.90791</v>
      </c>
      <c r="BE205" s="1795">
        <f t="shared" si="183"/>
        <v>15087.746068199998</v>
      </c>
      <c r="BF205" s="1795">
        <f t="shared" si="183"/>
        <v>15383.5842264</v>
      </c>
      <c r="BG205" s="1795">
        <f t="shared" si="183"/>
        <v>15679.422384599999</v>
      </c>
      <c r="BI205" s="571">
        <f t="shared" ref="BI205:DG205" si="184">I206/I205</f>
        <v>0</v>
      </c>
      <c r="BJ205" s="571">
        <f t="shared" si="184"/>
        <v>0</v>
      </c>
      <c r="BK205" s="571">
        <f t="shared" si="184"/>
        <v>0</v>
      </c>
      <c r="BL205" s="571">
        <f t="shared" si="184"/>
        <v>0</v>
      </c>
      <c r="BM205" s="571">
        <f t="shared" si="184"/>
        <v>0</v>
      </c>
      <c r="BN205" s="571">
        <f t="shared" si="184"/>
        <v>0</v>
      </c>
      <c r="BO205" s="571">
        <f t="shared" si="184"/>
        <v>0</v>
      </c>
      <c r="BP205" s="571">
        <f t="shared" si="184"/>
        <v>0</v>
      </c>
      <c r="BQ205" s="571">
        <f t="shared" si="184"/>
        <v>0</v>
      </c>
      <c r="BR205" s="571">
        <f t="shared" si="184"/>
        <v>0</v>
      </c>
      <c r="BS205" s="571">
        <f t="shared" si="184"/>
        <v>0</v>
      </c>
      <c r="BT205" s="571">
        <f t="shared" si="184"/>
        <v>0</v>
      </c>
      <c r="BU205" s="571">
        <f t="shared" si="184"/>
        <v>0</v>
      </c>
      <c r="BV205" s="571">
        <f t="shared" si="184"/>
        <v>0</v>
      </c>
      <c r="BW205" s="571">
        <f t="shared" si="184"/>
        <v>0</v>
      </c>
      <c r="BX205" s="571">
        <f t="shared" si="184"/>
        <v>0</v>
      </c>
      <c r="BY205" s="571">
        <f t="shared" si="184"/>
        <v>0</v>
      </c>
      <c r="BZ205" s="571">
        <f t="shared" si="184"/>
        <v>0</v>
      </c>
      <c r="CA205" s="571">
        <f t="shared" si="184"/>
        <v>0</v>
      </c>
      <c r="CB205" s="571">
        <f t="shared" si="184"/>
        <v>0</v>
      </c>
      <c r="CC205" s="571">
        <f t="shared" si="184"/>
        <v>0</v>
      </c>
      <c r="CD205" s="571">
        <f t="shared" si="184"/>
        <v>0</v>
      </c>
      <c r="CE205" s="571">
        <f t="shared" si="184"/>
        <v>0</v>
      </c>
      <c r="CF205" s="571">
        <f t="shared" si="184"/>
        <v>0</v>
      </c>
      <c r="CG205" s="571">
        <f t="shared" si="184"/>
        <v>0</v>
      </c>
      <c r="CH205" s="571">
        <f t="shared" si="184"/>
        <v>0</v>
      </c>
      <c r="CI205" s="571">
        <f t="shared" si="184"/>
        <v>0</v>
      </c>
      <c r="CJ205" s="571">
        <f t="shared" si="184"/>
        <v>0</v>
      </c>
      <c r="CK205" s="571">
        <f t="shared" si="184"/>
        <v>0</v>
      </c>
      <c r="CL205" s="571">
        <f t="shared" si="184"/>
        <v>0</v>
      </c>
      <c r="CM205" s="571">
        <f t="shared" si="184"/>
        <v>0</v>
      </c>
      <c r="CN205" s="571">
        <f t="shared" si="184"/>
        <v>0</v>
      </c>
      <c r="CO205" s="571">
        <f t="shared" si="184"/>
        <v>0</v>
      </c>
      <c r="CP205" s="571">
        <f t="shared" si="184"/>
        <v>0</v>
      </c>
      <c r="CQ205" s="571">
        <f t="shared" si="184"/>
        <v>0</v>
      </c>
      <c r="CR205" s="571">
        <f t="shared" si="184"/>
        <v>0</v>
      </c>
      <c r="CS205" s="571">
        <f t="shared" si="184"/>
        <v>0</v>
      </c>
      <c r="CT205" s="571">
        <f t="shared" si="184"/>
        <v>0</v>
      </c>
      <c r="CU205" s="571">
        <f t="shared" si="184"/>
        <v>0</v>
      </c>
      <c r="CV205" s="571">
        <f t="shared" si="184"/>
        <v>0</v>
      </c>
      <c r="CW205" s="571">
        <f t="shared" si="184"/>
        <v>0</v>
      </c>
      <c r="CX205" s="571">
        <f t="shared" si="184"/>
        <v>0</v>
      </c>
      <c r="CY205" s="571">
        <f t="shared" si="184"/>
        <v>0</v>
      </c>
      <c r="CZ205" s="571">
        <f t="shared" si="184"/>
        <v>0</v>
      </c>
      <c r="DA205" s="571">
        <f t="shared" si="184"/>
        <v>0</v>
      </c>
      <c r="DB205" s="571">
        <f t="shared" si="184"/>
        <v>0</v>
      </c>
      <c r="DC205" s="571">
        <f t="shared" si="184"/>
        <v>0</v>
      </c>
      <c r="DD205" s="571">
        <f t="shared" si="184"/>
        <v>0</v>
      </c>
      <c r="DE205" s="571">
        <f t="shared" si="184"/>
        <v>0</v>
      </c>
      <c r="DF205" s="571">
        <f t="shared" si="184"/>
        <v>0</v>
      </c>
      <c r="DG205" s="571">
        <f t="shared" si="184"/>
        <v>0</v>
      </c>
    </row>
    <row r="206" spans="1:111" ht="36" hidden="1" customHeight="1">
      <c r="B206" s="1796"/>
      <c r="C206" s="1796"/>
      <c r="D206" s="1797"/>
      <c r="E206" s="1798"/>
      <c r="F206" s="1799"/>
      <c r="G206" s="1799"/>
      <c r="H206" s="1800"/>
      <c r="I206" s="1796"/>
      <c r="J206" s="1796"/>
      <c r="K206" s="1796"/>
      <c r="L206" s="1796"/>
      <c r="M206" s="1796"/>
      <c r="N206" s="1796"/>
      <c r="O206" s="1796"/>
      <c r="P206" s="1796"/>
      <c r="Q206" s="1796"/>
      <c r="R206" s="1796"/>
      <c r="S206" s="1796"/>
      <c r="T206" s="1796"/>
      <c r="U206" s="1796"/>
      <c r="V206" s="1796"/>
      <c r="W206" s="1796"/>
      <c r="X206" s="1796"/>
      <c r="Y206" s="1796"/>
      <c r="Z206" s="1796"/>
      <c r="AA206" s="1796"/>
      <c r="AB206" s="1796"/>
      <c r="AC206" s="1796"/>
      <c r="AD206" s="1796"/>
      <c r="AE206" s="1796"/>
      <c r="AF206" s="1796"/>
      <c r="AG206" s="1796"/>
      <c r="AH206" s="1796"/>
      <c r="AI206" s="1796"/>
      <c r="AJ206" s="1796"/>
      <c r="AK206" s="1796"/>
      <c r="AL206" s="1796"/>
      <c r="AM206" s="1796"/>
      <c r="AN206" s="1796"/>
      <c r="AO206" s="1796"/>
      <c r="AP206" s="1796"/>
      <c r="AQ206" s="1796"/>
      <c r="AR206" s="1796"/>
      <c r="AS206" s="1796"/>
      <c r="AT206" s="1796"/>
      <c r="AU206" s="1796"/>
      <c r="AV206" s="1796"/>
      <c r="AW206" s="1796"/>
      <c r="AX206" s="1796"/>
      <c r="AY206" s="1796"/>
      <c r="AZ206" s="1796"/>
      <c r="BA206" s="1796"/>
      <c r="BB206" s="1796"/>
      <c r="BC206" s="1796"/>
      <c r="BD206" s="1796"/>
      <c r="BE206" s="1796"/>
      <c r="BF206" s="1796"/>
      <c r="BG206" s="1796"/>
      <c r="BH206" s="1855"/>
    </row>
    <row r="207" spans="1:111" ht="21.75" hidden="1" thickBot="1">
      <c r="B207" s="2903" t="s">
        <v>343</v>
      </c>
      <c r="C207" s="2904"/>
      <c r="D207" s="1773"/>
      <c r="E207" s="2907" t="s">
        <v>192</v>
      </c>
      <c r="F207" s="2909" t="s">
        <v>0</v>
      </c>
      <c r="G207" s="2909" t="s">
        <v>1</v>
      </c>
      <c r="H207" s="2911" t="s">
        <v>153</v>
      </c>
      <c r="I207" s="2916" t="s">
        <v>16</v>
      </c>
      <c r="J207" s="2917"/>
      <c r="K207" s="2917"/>
      <c r="L207" s="2917"/>
      <c r="M207" s="2917"/>
      <c r="N207" s="2917"/>
      <c r="O207" s="2917"/>
      <c r="P207" s="2917"/>
      <c r="Q207" s="2917"/>
      <c r="R207" s="2917"/>
      <c r="S207" s="2917"/>
      <c r="T207" s="2917"/>
      <c r="U207" s="2917"/>
      <c r="V207" s="2917"/>
      <c r="W207" s="2917"/>
      <c r="X207" s="2917"/>
      <c r="Y207" s="2917"/>
      <c r="Z207" s="2917"/>
      <c r="AA207" s="2917"/>
      <c r="AB207" s="2917"/>
      <c r="AC207" s="2917"/>
      <c r="AD207" s="2917"/>
      <c r="AE207" s="2917"/>
      <c r="AF207" s="2917"/>
      <c r="AG207" s="2917"/>
      <c r="AH207" s="2917"/>
      <c r="AI207" s="2917"/>
      <c r="AJ207" s="2917"/>
      <c r="AK207" s="2917"/>
      <c r="AL207" s="2917"/>
      <c r="AM207" s="2917"/>
      <c r="AN207" s="2917"/>
      <c r="AO207" s="2917"/>
      <c r="AP207" s="2917"/>
      <c r="AQ207" s="2917"/>
      <c r="AR207" s="2917"/>
      <c r="AS207" s="2917"/>
      <c r="AT207" s="2917"/>
      <c r="AU207" s="2917"/>
      <c r="AV207" s="2917"/>
      <c r="AW207" s="2917"/>
      <c r="AX207" s="2917"/>
      <c r="AY207" s="2917"/>
      <c r="AZ207" s="2917"/>
      <c r="BA207" s="2917"/>
      <c r="BB207" s="2917"/>
      <c r="BC207" s="2917"/>
      <c r="BD207" s="2917"/>
      <c r="BE207" s="2917"/>
      <c r="BF207" s="2917"/>
      <c r="BG207" s="2918"/>
    </row>
    <row r="208" spans="1:111" ht="21.75" hidden="1" thickBot="1">
      <c r="B208" s="2905"/>
      <c r="C208" s="2906"/>
      <c r="D208" s="1774"/>
      <c r="E208" s="2908"/>
      <c r="F208" s="2910"/>
      <c r="G208" s="2910"/>
      <c r="H208" s="2912"/>
      <c r="I208" s="1775">
        <v>500</v>
      </c>
      <c r="J208" s="1776">
        <v>550</v>
      </c>
      <c r="K208" s="1777">
        <v>600</v>
      </c>
      <c r="L208" s="1778">
        <v>650</v>
      </c>
      <c r="M208" s="1778">
        <v>700</v>
      </c>
      <c r="N208" s="1778">
        <v>750</v>
      </c>
      <c r="O208" s="1778">
        <v>800</v>
      </c>
      <c r="P208" s="1778">
        <v>850</v>
      </c>
      <c r="Q208" s="1778">
        <v>900</v>
      </c>
      <c r="R208" s="1778">
        <v>950</v>
      </c>
      <c r="S208" s="1778">
        <v>1000</v>
      </c>
      <c r="T208" s="1778">
        <v>1050</v>
      </c>
      <c r="U208" s="1778">
        <v>1100</v>
      </c>
      <c r="V208" s="1778">
        <v>1150</v>
      </c>
      <c r="W208" s="1778">
        <v>1200</v>
      </c>
      <c r="X208" s="1778">
        <v>1250</v>
      </c>
      <c r="Y208" s="1778">
        <v>1300</v>
      </c>
      <c r="Z208" s="1778">
        <v>1350</v>
      </c>
      <c r="AA208" s="1778">
        <v>1400</v>
      </c>
      <c r="AB208" s="1778">
        <v>1450</v>
      </c>
      <c r="AC208" s="1778">
        <v>1500</v>
      </c>
      <c r="AD208" s="1778">
        <v>1550</v>
      </c>
      <c r="AE208" s="1778">
        <v>1600</v>
      </c>
      <c r="AF208" s="1778">
        <v>1650</v>
      </c>
      <c r="AG208" s="1778">
        <v>1700</v>
      </c>
      <c r="AH208" s="1778">
        <v>1750</v>
      </c>
      <c r="AI208" s="1778">
        <v>1800</v>
      </c>
      <c r="AJ208" s="1778">
        <v>1850</v>
      </c>
      <c r="AK208" s="1778">
        <v>1900</v>
      </c>
      <c r="AL208" s="1778">
        <v>1950</v>
      </c>
      <c r="AM208" s="1778">
        <v>2000</v>
      </c>
      <c r="AN208" s="1778">
        <v>2050</v>
      </c>
      <c r="AO208" s="1778">
        <v>2100</v>
      </c>
      <c r="AP208" s="1778">
        <v>2150</v>
      </c>
      <c r="AQ208" s="1778">
        <v>2200</v>
      </c>
      <c r="AR208" s="1778">
        <v>2250</v>
      </c>
      <c r="AS208" s="1778">
        <v>2300</v>
      </c>
      <c r="AT208" s="1778">
        <v>2350</v>
      </c>
      <c r="AU208" s="1778">
        <v>2400</v>
      </c>
      <c r="AV208" s="1778">
        <v>2450</v>
      </c>
      <c r="AW208" s="1778">
        <v>2500</v>
      </c>
      <c r="AX208" s="1778">
        <v>2550</v>
      </c>
      <c r="AY208" s="1778">
        <v>2600</v>
      </c>
      <c r="AZ208" s="1778">
        <v>2650</v>
      </c>
      <c r="BA208" s="1778">
        <v>2700</v>
      </c>
      <c r="BB208" s="1778">
        <v>2750</v>
      </c>
      <c r="BC208" s="1778">
        <v>2800</v>
      </c>
      <c r="BD208" s="1778">
        <v>2850</v>
      </c>
      <c r="BE208" s="1778">
        <v>2900</v>
      </c>
      <c r="BF208" s="1779">
        <v>2950</v>
      </c>
      <c r="BG208" s="1780">
        <v>3000</v>
      </c>
    </row>
    <row r="209" spans="1:111" hidden="1">
      <c r="A209" s="2773" t="s">
        <v>5698</v>
      </c>
      <c r="B209" s="2919" t="s">
        <v>5716</v>
      </c>
      <c r="C209" s="2920"/>
      <c r="D209" s="2921"/>
      <c r="E209" s="1781" t="s">
        <v>5698</v>
      </c>
      <c r="F209" s="1781">
        <v>90</v>
      </c>
      <c r="G209" s="1781">
        <v>260</v>
      </c>
      <c r="H209" s="1781">
        <v>2</v>
      </c>
      <c r="I209" s="1782">
        <f t="shared" ref="I209:AN209" si="185">((I$208-$I$4)/1000)*$N$67*(($C$8/70)^$X$67)*IF($C$13=1,$AF$67,IF($C$13=2,$AG$67,IF($C$13=3,$AH$67,1)))</f>
        <v>429.50159999999994</v>
      </c>
      <c r="J209" s="1782">
        <f t="shared" si="185"/>
        <v>572.66879999999992</v>
      </c>
      <c r="K209" s="1782">
        <f t="shared" si="185"/>
        <v>715.8359999999999</v>
      </c>
      <c r="L209" s="1782">
        <f t="shared" si="185"/>
        <v>859.00319999999988</v>
      </c>
      <c r="M209" s="1782">
        <f t="shared" si="185"/>
        <v>1002.1703999999999</v>
      </c>
      <c r="N209" s="1782">
        <f t="shared" si="185"/>
        <v>1145.3375999999998</v>
      </c>
      <c r="O209" s="1782">
        <f t="shared" si="185"/>
        <v>1288.5047999999999</v>
      </c>
      <c r="P209" s="1782">
        <f t="shared" si="185"/>
        <v>1431.6719999999998</v>
      </c>
      <c r="Q209" s="1782">
        <f t="shared" si="185"/>
        <v>1574.8391999999999</v>
      </c>
      <c r="R209" s="1782">
        <f t="shared" si="185"/>
        <v>1718.0063999999998</v>
      </c>
      <c r="S209" s="1782">
        <f t="shared" si="185"/>
        <v>1861.1735999999999</v>
      </c>
      <c r="T209" s="1782">
        <f t="shared" si="185"/>
        <v>2004.3407999999997</v>
      </c>
      <c r="U209" s="1782">
        <f t="shared" si="185"/>
        <v>2147.5079999999998</v>
      </c>
      <c r="V209" s="1782">
        <f t="shared" si="185"/>
        <v>2290.6751999999997</v>
      </c>
      <c r="W209" s="1782">
        <f t="shared" si="185"/>
        <v>2433.8423999999995</v>
      </c>
      <c r="X209" s="1782">
        <f t="shared" si="185"/>
        <v>2577.0095999999999</v>
      </c>
      <c r="Y209" s="1782">
        <f t="shared" si="185"/>
        <v>2720.1767999999993</v>
      </c>
      <c r="Z209" s="1782">
        <f t="shared" si="185"/>
        <v>2863.3439999999996</v>
      </c>
      <c r="AA209" s="1782">
        <f t="shared" si="185"/>
        <v>3006.5111999999999</v>
      </c>
      <c r="AB209" s="1782">
        <f t="shared" si="185"/>
        <v>3149.6783999999998</v>
      </c>
      <c r="AC209" s="1782">
        <f t="shared" si="185"/>
        <v>3292.8455999999992</v>
      </c>
      <c r="AD209" s="1782">
        <f t="shared" si="185"/>
        <v>3436.0127999999995</v>
      </c>
      <c r="AE209" s="1782">
        <f t="shared" si="185"/>
        <v>3579.18</v>
      </c>
      <c r="AF209" s="1782">
        <f t="shared" si="185"/>
        <v>3722.3471999999997</v>
      </c>
      <c r="AG209" s="1782">
        <f t="shared" si="185"/>
        <v>3865.5144</v>
      </c>
      <c r="AH209" s="1782">
        <f t="shared" si="185"/>
        <v>4008.6815999999994</v>
      </c>
      <c r="AI209" s="1782">
        <f t="shared" si="185"/>
        <v>4151.8487999999988</v>
      </c>
      <c r="AJ209" s="1782">
        <f t="shared" si="185"/>
        <v>4295.0159999999996</v>
      </c>
      <c r="AK209" s="1782">
        <f t="shared" si="185"/>
        <v>4438.1831999999995</v>
      </c>
      <c r="AL209" s="1782">
        <f t="shared" si="185"/>
        <v>4581.3503999999994</v>
      </c>
      <c r="AM209" s="1782">
        <f t="shared" si="185"/>
        <v>4724.5175999999992</v>
      </c>
      <c r="AN209" s="1782">
        <f t="shared" si="185"/>
        <v>4867.6847999999991</v>
      </c>
      <c r="AO209" s="1782">
        <f t="shared" ref="AO209:BG209" si="186">((AO$208-$I$4)/1000)*$N$67*(($C$8/70)^$X$67)*IF($C$13=1,$AF$67,IF($C$13=2,$AG$67,IF($C$13=3,$AH$67,1)))</f>
        <v>5010.851999999999</v>
      </c>
      <c r="AP209" s="1782">
        <f t="shared" si="186"/>
        <v>5154.0191999999997</v>
      </c>
      <c r="AQ209" s="1782">
        <f t="shared" si="186"/>
        <v>5297.1863999999996</v>
      </c>
      <c r="AR209" s="1782">
        <f t="shared" si="186"/>
        <v>5440.3535999999986</v>
      </c>
      <c r="AS209" s="1782">
        <f t="shared" si="186"/>
        <v>5583.5207999999993</v>
      </c>
      <c r="AT209" s="1782">
        <f t="shared" si="186"/>
        <v>5726.6879999999992</v>
      </c>
      <c r="AU209" s="1782">
        <f t="shared" si="186"/>
        <v>5869.8551999999991</v>
      </c>
      <c r="AV209" s="1782">
        <f t="shared" si="186"/>
        <v>6013.0223999999998</v>
      </c>
      <c r="AW209" s="1782">
        <f t="shared" si="186"/>
        <v>6156.1895999999988</v>
      </c>
      <c r="AX209" s="1782">
        <f t="shared" si="186"/>
        <v>6299.3567999999996</v>
      </c>
      <c r="AY209" s="1782">
        <f t="shared" si="186"/>
        <v>6442.5239999999994</v>
      </c>
      <c r="AZ209" s="1782">
        <f t="shared" si="186"/>
        <v>6585.6911999999984</v>
      </c>
      <c r="BA209" s="1782">
        <f t="shared" si="186"/>
        <v>6728.8583999999992</v>
      </c>
      <c r="BB209" s="1782">
        <f t="shared" si="186"/>
        <v>6872.025599999999</v>
      </c>
      <c r="BC209" s="1782">
        <f t="shared" si="186"/>
        <v>7015.1927999999998</v>
      </c>
      <c r="BD209" s="1782">
        <f t="shared" si="186"/>
        <v>7158.36</v>
      </c>
      <c r="BE209" s="1782">
        <f t="shared" si="186"/>
        <v>7301.5271999999986</v>
      </c>
      <c r="BF209" s="1782">
        <f t="shared" si="186"/>
        <v>7444.6943999999994</v>
      </c>
      <c r="BG209" s="1782">
        <f t="shared" si="186"/>
        <v>7587.8615999999993</v>
      </c>
    </row>
    <row r="210" spans="1:111" hidden="1">
      <c r="A210" s="2773"/>
      <c r="B210" s="2924" t="s">
        <v>5717</v>
      </c>
      <c r="C210" s="2925"/>
      <c r="D210" s="2922"/>
      <c r="E210" s="1783" t="s">
        <v>5698</v>
      </c>
      <c r="F210" s="1783">
        <v>90</v>
      </c>
      <c r="G210" s="1783">
        <v>300</v>
      </c>
      <c r="H210" s="1783">
        <v>2</v>
      </c>
      <c r="I210" s="1784">
        <f t="shared" ref="I210:AN210" si="187">((I$208-$I$4)/1000)*$O$67*(($C$8/70)^$Y$67)*IF($C$13=1,$AF$67,IF($C$13=2,$AG$67,IF($C$13=3,$AH$67,1)))</f>
        <v>499.42871999999988</v>
      </c>
      <c r="J210" s="1784">
        <f t="shared" si="187"/>
        <v>665.90495999999985</v>
      </c>
      <c r="K210" s="1784">
        <f t="shared" si="187"/>
        <v>832.38119999999981</v>
      </c>
      <c r="L210" s="1784">
        <f t="shared" si="187"/>
        <v>998.85743999999977</v>
      </c>
      <c r="M210" s="1784">
        <f t="shared" si="187"/>
        <v>1165.3336799999997</v>
      </c>
      <c r="N210" s="1784">
        <f t="shared" si="187"/>
        <v>1331.8099199999997</v>
      </c>
      <c r="O210" s="1784">
        <f t="shared" si="187"/>
        <v>1498.2861599999999</v>
      </c>
      <c r="P210" s="1784">
        <f t="shared" si="187"/>
        <v>1664.7623999999996</v>
      </c>
      <c r="Q210" s="1784">
        <f t="shared" si="187"/>
        <v>1831.2386399999998</v>
      </c>
      <c r="R210" s="1784">
        <f t="shared" si="187"/>
        <v>1997.7148799999995</v>
      </c>
      <c r="S210" s="1784">
        <f t="shared" si="187"/>
        <v>2164.1911199999995</v>
      </c>
      <c r="T210" s="1784">
        <f t="shared" si="187"/>
        <v>2330.6673599999995</v>
      </c>
      <c r="U210" s="1784">
        <f t="shared" si="187"/>
        <v>2497.1435999999994</v>
      </c>
      <c r="V210" s="1784">
        <f t="shared" si="187"/>
        <v>2663.6198399999994</v>
      </c>
      <c r="W210" s="1784">
        <f t="shared" si="187"/>
        <v>2830.0960799999993</v>
      </c>
      <c r="X210" s="1784">
        <f t="shared" si="187"/>
        <v>2996.5723199999998</v>
      </c>
      <c r="Y210" s="1784">
        <f t="shared" si="187"/>
        <v>3163.0485599999993</v>
      </c>
      <c r="Z210" s="1784">
        <f t="shared" si="187"/>
        <v>3329.5247999999992</v>
      </c>
      <c r="AA210" s="1784">
        <f t="shared" si="187"/>
        <v>3496.0010399999996</v>
      </c>
      <c r="AB210" s="1784">
        <f t="shared" si="187"/>
        <v>3662.4772799999996</v>
      </c>
      <c r="AC210" s="1784">
        <f t="shared" si="187"/>
        <v>3828.9535199999991</v>
      </c>
      <c r="AD210" s="1784">
        <f t="shared" si="187"/>
        <v>3995.4297599999991</v>
      </c>
      <c r="AE210" s="1784">
        <f t="shared" si="187"/>
        <v>4161.905999999999</v>
      </c>
      <c r="AF210" s="1784">
        <f t="shared" si="187"/>
        <v>4328.382239999999</v>
      </c>
      <c r="AG210" s="1784">
        <f t="shared" si="187"/>
        <v>4494.858479999999</v>
      </c>
      <c r="AH210" s="1784">
        <f t="shared" si="187"/>
        <v>4661.3347199999989</v>
      </c>
      <c r="AI210" s="1784">
        <f t="shared" si="187"/>
        <v>4827.8109599999989</v>
      </c>
      <c r="AJ210" s="1784">
        <f t="shared" si="187"/>
        <v>4994.2871999999988</v>
      </c>
      <c r="AK210" s="1784">
        <f t="shared" si="187"/>
        <v>5160.7634399999988</v>
      </c>
      <c r="AL210" s="1784">
        <f t="shared" si="187"/>
        <v>5327.2396799999988</v>
      </c>
      <c r="AM210" s="1784">
        <f t="shared" si="187"/>
        <v>5493.7159199999987</v>
      </c>
      <c r="AN210" s="1784">
        <f t="shared" si="187"/>
        <v>5660.1921599999987</v>
      </c>
      <c r="AO210" s="1784">
        <f t="shared" ref="AO210:BG210" si="188">((AO$208-$I$4)/1000)*$O$67*(($C$8/70)^$Y$67)*IF($C$13=1,$AF$67,IF($C$13=2,$AG$67,IF($C$13=3,$AH$67,1)))</f>
        <v>5826.6683999999987</v>
      </c>
      <c r="AP210" s="1784">
        <f t="shared" si="188"/>
        <v>5993.1446399999995</v>
      </c>
      <c r="AQ210" s="1784">
        <f t="shared" si="188"/>
        <v>6159.6208799999995</v>
      </c>
      <c r="AR210" s="1784">
        <f t="shared" si="188"/>
        <v>6326.0971199999985</v>
      </c>
      <c r="AS210" s="1784">
        <f t="shared" si="188"/>
        <v>6492.5733599999985</v>
      </c>
      <c r="AT210" s="1784">
        <f t="shared" si="188"/>
        <v>6659.0495999999985</v>
      </c>
      <c r="AU210" s="1784">
        <f t="shared" si="188"/>
        <v>6825.5258399999975</v>
      </c>
      <c r="AV210" s="1784">
        <f t="shared" si="188"/>
        <v>6992.0020799999993</v>
      </c>
      <c r="AW210" s="1784">
        <f t="shared" si="188"/>
        <v>7158.4783199999983</v>
      </c>
      <c r="AX210" s="1784">
        <f t="shared" si="188"/>
        <v>7324.9545599999992</v>
      </c>
      <c r="AY210" s="1784">
        <f t="shared" si="188"/>
        <v>7491.4307999999983</v>
      </c>
      <c r="AZ210" s="1784">
        <f t="shared" si="188"/>
        <v>7657.9070399999982</v>
      </c>
      <c r="BA210" s="1784">
        <f t="shared" si="188"/>
        <v>7824.3832799999982</v>
      </c>
      <c r="BB210" s="1784">
        <f t="shared" si="188"/>
        <v>7990.8595199999982</v>
      </c>
      <c r="BC210" s="1784">
        <f t="shared" si="188"/>
        <v>8157.335759999999</v>
      </c>
      <c r="BD210" s="1784">
        <f t="shared" si="188"/>
        <v>8323.8119999999981</v>
      </c>
      <c r="BE210" s="1784">
        <f t="shared" si="188"/>
        <v>8490.288239999998</v>
      </c>
      <c r="BF210" s="1784">
        <f t="shared" si="188"/>
        <v>8656.764479999998</v>
      </c>
      <c r="BG210" s="1784">
        <f t="shared" si="188"/>
        <v>8823.240719999998</v>
      </c>
      <c r="BI210" s="571">
        <f t="shared" ref="BI210:BX211" si="189">I216/I210</f>
        <v>1.309381663113006</v>
      </c>
      <c r="BJ210" s="571">
        <f t="shared" si="189"/>
        <v>1.3093816631130062</v>
      </c>
      <c r="BK210" s="571">
        <f t="shared" si="189"/>
        <v>1.3093816631130062</v>
      </c>
      <c r="BL210" s="571">
        <f t="shared" si="189"/>
        <v>1.309381663113006</v>
      </c>
      <c r="BM210" s="571">
        <f t="shared" si="189"/>
        <v>1.309381663113006</v>
      </c>
      <c r="BN210" s="571">
        <f t="shared" si="189"/>
        <v>1.3093816631130062</v>
      </c>
      <c r="BO210" s="571">
        <f t="shared" si="189"/>
        <v>1.309381663113006</v>
      </c>
      <c r="BP210" s="571">
        <f t="shared" si="189"/>
        <v>1.3093816631130062</v>
      </c>
      <c r="BQ210" s="571">
        <f t="shared" si="189"/>
        <v>1.3093816631130062</v>
      </c>
      <c r="BR210" s="571">
        <f t="shared" si="189"/>
        <v>1.309381663113006</v>
      </c>
      <c r="BS210" s="571">
        <f t="shared" si="189"/>
        <v>1.3093816631130062</v>
      </c>
      <c r="BT210" s="571">
        <f t="shared" si="189"/>
        <v>1.309381663113006</v>
      </c>
      <c r="BU210" s="571">
        <f t="shared" si="189"/>
        <v>1.3093816631130062</v>
      </c>
      <c r="BV210" s="571">
        <f t="shared" si="189"/>
        <v>1.3093816631130062</v>
      </c>
      <c r="BW210" s="571">
        <f t="shared" si="189"/>
        <v>1.3093816631130062</v>
      </c>
      <c r="BX210" s="571">
        <f t="shared" si="189"/>
        <v>1.309381663113006</v>
      </c>
      <c r="BY210" s="571">
        <f t="shared" ref="BY210:CN211" si="190">Y216/Y210</f>
        <v>1.3093816631130062</v>
      </c>
      <c r="BZ210" s="571">
        <f t="shared" si="190"/>
        <v>1.3093816631130062</v>
      </c>
      <c r="CA210" s="571">
        <f t="shared" si="190"/>
        <v>1.3093816631130062</v>
      </c>
      <c r="CB210" s="571">
        <f t="shared" si="190"/>
        <v>1.3093816631130062</v>
      </c>
      <c r="CC210" s="571">
        <f t="shared" si="190"/>
        <v>1.309381663113006</v>
      </c>
      <c r="CD210" s="571">
        <f t="shared" si="190"/>
        <v>1.309381663113006</v>
      </c>
      <c r="CE210" s="571">
        <f t="shared" si="190"/>
        <v>1.3093816631130062</v>
      </c>
      <c r="CF210" s="571">
        <f t="shared" si="190"/>
        <v>1.3093816631130062</v>
      </c>
      <c r="CG210" s="571">
        <f t="shared" si="190"/>
        <v>1.3093816631130064</v>
      </c>
      <c r="CH210" s="571">
        <f t="shared" si="190"/>
        <v>1.309381663113006</v>
      </c>
      <c r="CI210" s="571">
        <f t="shared" si="190"/>
        <v>1.3093816631130062</v>
      </c>
      <c r="CJ210" s="571">
        <f t="shared" si="190"/>
        <v>1.3093816631130062</v>
      </c>
      <c r="CK210" s="571">
        <f t="shared" si="190"/>
        <v>1.3093816631130062</v>
      </c>
      <c r="CL210" s="571">
        <f t="shared" si="190"/>
        <v>1.3093816631130062</v>
      </c>
      <c r="CM210" s="571">
        <f t="shared" si="190"/>
        <v>1.3093816631130062</v>
      </c>
      <c r="CN210" s="571">
        <f t="shared" si="190"/>
        <v>1.3093816631130062</v>
      </c>
      <c r="CO210" s="571">
        <f t="shared" ref="CO210:DD211" si="191">AO216/AO210</f>
        <v>1.3093816631130062</v>
      </c>
      <c r="CP210" s="571">
        <f t="shared" si="191"/>
        <v>1.309381663113006</v>
      </c>
      <c r="CQ210" s="571">
        <f t="shared" si="191"/>
        <v>1.3093816631130062</v>
      </c>
      <c r="CR210" s="571">
        <f t="shared" si="191"/>
        <v>1.3093816631130062</v>
      </c>
      <c r="CS210" s="571">
        <f t="shared" si="191"/>
        <v>1.3093816631130062</v>
      </c>
      <c r="CT210" s="571">
        <f t="shared" si="191"/>
        <v>1.3093816631130062</v>
      </c>
      <c r="CU210" s="571">
        <f t="shared" si="191"/>
        <v>1.3093816631130064</v>
      </c>
      <c r="CV210" s="571">
        <f t="shared" si="191"/>
        <v>1.3093816631130062</v>
      </c>
      <c r="CW210" s="571">
        <f t="shared" si="191"/>
        <v>1.3093816631130062</v>
      </c>
      <c r="CX210" s="571">
        <f t="shared" si="191"/>
        <v>1.3093816631130062</v>
      </c>
      <c r="CY210" s="571">
        <f t="shared" si="191"/>
        <v>1.3093816631130062</v>
      </c>
      <c r="CZ210" s="571">
        <f t="shared" si="191"/>
        <v>1.309381663113006</v>
      </c>
      <c r="DA210" s="571">
        <f t="shared" si="191"/>
        <v>1.3093816631130062</v>
      </c>
      <c r="DB210" s="571">
        <f t="shared" si="191"/>
        <v>1.309381663113006</v>
      </c>
      <c r="DC210" s="571">
        <f t="shared" si="191"/>
        <v>1.3093816631130064</v>
      </c>
      <c r="DD210" s="571">
        <f t="shared" si="191"/>
        <v>1.3093816631130062</v>
      </c>
      <c r="DE210" s="571">
        <f t="shared" ref="CW210:DG211" si="192">BE216/BE210</f>
        <v>1.3093816631130062</v>
      </c>
      <c r="DF210" s="571">
        <f t="shared" si="192"/>
        <v>1.3093816631130062</v>
      </c>
      <c r="DG210" s="571">
        <f t="shared" si="192"/>
        <v>1.309381663113006</v>
      </c>
    </row>
    <row r="211" spans="1:111" hidden="1">
      <c r="A211" s="2773"/>
      <c r="B211" s="2924" t="s">
        <v>5718</v>
      </c>
      <c r="C211" s="2925"/>
      <c r="D211" s="2922"/>
      <c r="E211" s="1783" t="s">
        <v>5698</v>
      </c>
      <c r="F211" s="1783">
        <v>90</v>
      </c>
      <c r="G211" s="1783">
        <v>360</v>
      </c>
      <c r="H211" s="1783">
        <v>2</v>
      </c>
      <c r="I211" s="1784">
        <f t="shared" ref="I211:AN211" si="193">((I$208-$I$4)/1000)*$Q$67*(($C$8/70)^$AA$67)*IF($C$13=1,$AF$67,IF($C$13=2,$AG$67,IF($C$13=3,$AH$67,1)))</f>
        <v>534.38873039999999</v>
      </c>
      <c r="J211" s="1784">
        <f t="shared" si="193"/>
        <v>712.51830720000009</v>
      </c>
      <c r="K211" s="1784">
        <f t="shared" si="193"/>
        <v>890.64788399999998</v>
      </c>
      <c r="L211" s="1784">
        <f t="shared" si="193"/>
        <v>1068.7774608</v>
      </c>
      <c r="M211" s="1784">
        <f t="shared" si="193"/>
        <v>1246.9070376</v>
      </c>
      <c r="N211" s="1784">
        <f t="shared" si="193"/>
        <v>1425.0366144000002</v>
      </c>
      <c r="O211" s="1784">
        <f t="shared" si="193"/>
        <v>1603.1661912000002</v>
      </c>
      <c r="P211" s="1784">
        <f t="shared" si="193"/>
        <v>1781.295768</v>
      </c>
      <c r="Q211" s="1784">
        <f t="shared" si="193"/>
        <v>1959.4253448000002</v>
      </c>
      <c r="R211" s="1784">
        <f t="shared" si="193"/>
        <v>2137.5549215999999</v>
      </c>
      <c r="S211" s="1784">
        <f t="shared" si="193"/>
        <v>2315.6844983999999</v>
      </c>
      <c r="T211" s="1784">
        <f t="shared" si="193"/>
        <v>2493.8140751999999</v>
      </c>
      <c r="U211" s="1784">
        <f t="shared" si="193"/>
        <v>2671.9436519999999</v>
      </c>
      <c r="V211" s="1784">
        <f t="shared" si="193"/>
        <v>2850.0732288000004</v>
      </c>
      <c r="W211" s="1784">
        <f t="shared" si="193"/>
        <v>3028.2028055999999</v>
      </c>
      <c r="X211" s="1784">
        <f t="shared" si="193"/>
        <v>3206.3323824000004</v>
      </c>
      <c r="Y211" s="1784">
        <f t="shared" si="193"/>
        <v>3384.4619592000004</v>
      </c>
      <c r="Z211" s="1784">
        <f t="shared" si="193"/>
        <v>3562.5915359999999</v>
      </c>
      <c r="AA211" s="1784">
        <f t="shared" si="193"/>
        <v>3740.7211127999999</v>
      </c>
      <c r="AB211" s="1784">
        <f t="shared" si="193"/>
        <v>3918.8506896000004</v>
      </c>
      <c r="AC211" s="1784">
        <f t="shared" si="193"/>
        <v>4096.9802663999999</v>
      </c>
      <c r="AD211" s="1784">
        <f t="shared" si="193"/>
        <v>4275.1098431999999</v>
      </c>
      <c r="AE211" s="1784">
        <f t="shared" si="193"/>
        <v>4453.2394199999999</v>
      </c>
      <c r="AF211" s="1784">
        <f t="shared" si="193"/>
        <v>4631.3689967999999</v>
      </c>
      <c r="AG211" s="1784">
        <f t="shared" si="193"/>
        <v>4809.4985736000008</v>
      </c>
      <c r="AH211" s="1784">
        <f t="shared" si="193"/>
        <v>4987.6281503999999</v>
      </c>
      <c r="AI211" s="1784">
        <f t="shared" si="193"/>
        <v>5165.7577271999999</v>
      </c>
      <c r="AJ211" s="1784">
        <f t="shared" si="193"/>
        <v>5343.8873039999999</v>
      </c>
      <c r="AK211" s="1784">
        <f t="shared" si="193"/>
        <v>5522.0168807999999</v>
      </c>
      <c r="AL211" s="1784">
        <f t="shared" si="193"/>
        <v>5700.1464576000008</v>
      </c>
      <c r="AM211" s="1784">
        <f t="shared" si="193"/>
        <v>5878.2760343999998</v>
      </c>
      <c r="AN211" s="1784">
        <f t="shared" si="193"/>
        <v>6056.4056111999998</v>
      </c>
      <c r="AO211" s="1784">
        <f t="shared" ref="AO211:BG211" si="194">((AO$208-$I$4)/1000)*$Q$67*(($C$8/70)^$AA$67)*IF($C$13=1,$AF$67,IF($C$13=2,$AG$67,IF($C$13=3,$AH$67,1)))</f>
        <v>6234.5351880000007</v>
      </c>
      <c r="AP211" s="1784">
        <f t="shared" si="194"/>
        <v>6412.6647648000007</v>
      </c>
      <c r="AQ211" s="1784">
        <f t="shared" si="194"/>
        <v>6590.7943416000007</v>
      </c>
      <c r="AR211" s="1784">
        <f t="shared" si="194"/>
        <v>6768.9239184000007</v>
      </c>
      <c r="AS211" s="1784">
        <f t="shared" si="194"/>
        <v>6947.0534951999998</v>
      </c>
      <c r="AT211" s="1784">
        <f t="shared" si="194"/>
        <v>7125.1830719999998</v>
      </c>
      <c r="AU211" s="1784">
        <f t="shared" si="194"/>
        <v>7303.3126487999998</v>
      </c>
      <c r="AV211" s="1784">
        <f t="shared" si="194"/>
        <v>7481.4422255999998</v>
      </c>
      <c r="AW211" s="1784">
        <f t="shared" si="194"/>
        <v>7659.5718023999998</v>
      </c>
      <c r="AX211" s="1784">
        <f t="shared" si="194"/>
        <v>7837.7013792000007</v>
      </c>
      <c r="AY211" s="1784">
        <f t="shared" si="194"/>
        <v>8015.8309559999998</v>
      </c>
      <c r="AZ211" s="1784">
        <f t="shared" si="194"/>
        <v>8193.9605327999998</v>
      </c>
      <c r="BA211" s="1784">
        <f t="shared" si="194"/>
        <v>8372.0901095999998</v>
      </c>
      <c r="BB211" s="1784">
        <f t="shared" si="194"/>
        <v>8550.2196863999998</v>
      </c>
      <c r="BC211" s="1784">
        <f t="shared" si="194"/>
        <v>8728.3492631999998</v>
      </c>
      <c r="BD211" s="1784">
        <f t="shared" si="194"/>
        <v>8906.4788399999998</v>
      </c>
      <c r="BE211" s="1784">
        <f t="shared" si="194"/>
        <v>9084.6084167999998</v>
      </c>
      <c r="BF211" s="1784">
        <f t="shared" si="194"/>
        <v>9262.7379935999998</v>
      </c>
      <c r="BG211" s="1784">
        <f t="shared" si="194"/>
        <v>9440.8675703999997</v>
      </c>
      <c r="BI211" s="571">
        <f t="shared" si="189"/>
        <v>0.72170339316721477</v>
      </c>
      <c r="BJ211" s="571">
        <f t="shared" si="189"/>
        <v>0.72170339316721466</v>
      </c>
      <c r="BK211" s="571">
        <f t="shared" si="189"/>
        <v>0.72170339316721488</v>
      </c>
      <c r="BL211" s="571">
        <f t="shared" si="189"/>
        <v>0.72170339316721477</v>
      </c>
      <c r="BM211" s="571">
        <f t="shared" si="189"/>
        <v>0.72170339316721477</v>
      </c>
      <c r="BN211" s="571">
        <f t="shared" si="189"/>
        <v>0.72170339316721466</v>
      </c>
      <c r="BO211" s="571">
        <f t="shared" si="189"/>
        <v>0.72170339316721477</v>
      </c>
      <c r="BP211" s="571">
        <f t="shared" si="189"/>
        <v>0.72170339316721488</v>
      </c>
      <c r="BQ211" s="571">
        <f t="shared" si="189"/>
        <v>0.72170339316721488</v>
      </c>
      <c r="BR211" s="571">
        <f t="shared" si="189"/>
        <v>0.72170339316721477</v>
      </c>
      <c r="BS211" s="571">
        <f t="shared" si="189"/>
        <v>0.72170339316721488</v>
      </c>
      <c r="BT211" s="571">
        <f t="shared" si="189"/>
        <v>0.72170339316721477</v>
      </c>
      <c r="BU211" s="571">
        <f t="shared" si="189"/>
        <v>0.72170339316721477</v>
      </c>
      <c r="BV211" s="571">
        <f t="shared" si="189"/>
        <v>0.72170339316721466</v>
      </c>
      <c r="BW211" s="571">
        <f t="shared" si="189"/>
        <v>0.72170339316721488</v>
      </c>
      <c r="BX211" s="571">
        <f t="shared" si="189"/>
        <v>0.72170339316721477</v>
      </c>
      <c r="BY211" s="571">
        <f t="shared" si="190"/>
        <v>0.72170339316721477</v>
      </c>
      <c r="BZ211" s="571">
        <f t="shared" si="190"/>
        <v>0.72170339316721488</v>
      </c>
      <c r="CA211" s="571">
        <f t="shared" si="190"/>
        <v>0.72170339316721488</v>
      </c>
      <c r="CB211" s="571">
        <f t="shared" si="190"/>
        <v>0.72170339316721488</v>
      </c>
      <c r="CC211" s="571">
        <f t="shared" si="190"/>
        <v>0.72170339316721477</v>
      </c>
      <c r="CD211" s="571">
        <f t="shared" si="190"/>
        <v>0.72170339316721477</v>
      </c>
      <c r="CE211" s="571">
        <f t="shared" si="190"/>
        <v>0.72170339316721488</v>
      </c>
      <c r="CF211" s="571">
        <f t="shared" si="190"/>
        <v>0.72170339316721488</v>
      </c>
      <c r="CG211" s="571">
        <f t="shared" si="190"/>
        <v>0.72170339316721477</v>
      </c>
      <c r="CH211" s="571">
        <f t="shared" si="190"/>
        <v>0.72170339316721477</v>
      </c>
      <c r="CI211" s="571">
        <f t="shared" si="190"/>
        <v>0.72170339316721477</v>
      </c>
      <c r="CJ211" s="571">
        <f t="shared" si="190"/>
        <v>0.72170339316721477</v>
      </c>
      <c r="CK211" s="571">
        <f t="shared" si="190"/>
        <v>0.72170339316721477</v>
      </c>
      <c r="CL211" s="571">
        <f t="shared" si="190"/>
        <v>0.72170339316721466</v>
      </c>
      <c r="CM211" s="571">
        <f t="shared" si="190"/>
        <v>0.72170339316721477</v>
      </c>
      <c r="CN211" s="571">
        <f t="shared" si="190"/>
        <v>0.72170339316721488</v>
      </c>
      <c r="CO211" s="571">
        <f t="shared" si="191"/>
        <v>0.72170339316721466</v>
      </c>
      <c r="CP211" s="571">
        <f t="shared" si="191"/>
        <v>0.72170339316721477</v>
      </c>
      <c r="CQ211" s="571">
        <f t="shared" si="191"/>
        <v>0.72170339316721466</v>
      </c>
      <c r="CR211" s="571">
        <f t="shared" si="191"/>
        <v>0.72170339316721477</v>
      </c>
      <c r="CS211" s="571">
        <f t="shared" si="191"/>
        <v>0.72170339316721477</v>
      </c>
      <c r="CT211" s="571">
        <f t="shared" si="191"/>
        <v>0.72170339316721488</v>
      </c>
      <c r="CU211" s="571">
        <f t="shared" si="191"/>
        <v>0.72170339316721466</v>
      </c>
      <c r="CV211" s="571">
        <f t="shared" si="191"/>
        <v>0.72170339316721488</v>
      </c>
      <c r="CW211" s="571">
        <f t="shared" si="192"/>
        <v>0.72170339316721488</v>
      </c>
      <c r="CX211" s="571">
        <f t="shared" si="192"/>
        <v>0.72170339316721488</v>
      </c>
      <c r="CY211" s="571">
        <f t="shared" si="192"/>
        <v>0.72170339316721488</v>
      </c>
      <c r="CZ211" s="571">
        <f t="shared" si="192"/>
        <v>0.72170339316721477</v>
      </c>
      <c r="DA211" s="571">
        <f t="shared" si="192"/>
        <v>0.72170339316721488</v>
      </c>
      <c r="DB211" s="571">
        <f t="shared" si="192"/>
        <v>0.72170339316721477</v>
      </c>
      <c r="DC211" s="571">
        <f t="shared" si="192"/>
        <v>0.72170339316721488</v>
      </c>
      <c r="DD211" s="571">
        <f t="shared" si="192"/>
        <v>0.72170339316721488</v>
      </c>
      <c r="DE211" s="571">
        <f t="shared" si="192"/>
        <v>0.72170339316721477</v>
      </c>
      <c r="DF211" s="571">
        <f t="shared" si="192"/>
        <v>0.72170339316721488</v>
      </c>
      <c r="DG211" s="571">
        <f t="shared" si="192"/>
        <v>0.72170339316721477</v>
      </c>
    </row>
    <row r="212" spans="1:111" ht="15.75" hidden="1" thickBot="1">
      <c r="A212" s="2773"/>
      <c r="B212" s="2926" t="s">
        <v>5719</v>
      </c>
      <c r="C212" s="2927"/>
      <c r="D212" s="2923"/>
      <c r="E212" s="1785" t="s">
        <v>5698</v>
      </c>
      <c r="F212" s="1785">
        <v>90</v>
      </c>
      <c r="G212" s="1785">
        <v>400</v>
      </c>
      <c r="H212" s="1785">
        <v>2</v>
      </c>
      <c r="I212" s="1786">
        <f t="shared" ref="I212:AN212" si="195">((I$208-$I$4)/1000)*$R$67*(($C$8/70)^$AB$67)*IF($C$13=1,$AF$67,IF($C$13=2,$AG$67,IF($C$13=3,$AH$67,1)))</f>
        <v>574.34302799999978</v>
      </c>
      <c r="J212" s="1786">
        <f t="shared" si="195"/>
        <v>765.79070399999989</v>
      </c>
      <c r="K212" s="1786">
        <f t="shared" si="195"/>
        <v>957.23837999999978</v>
      </c>
      <c r="L212" s="1786">
        <f t="shared" si="195"/>
        <v>1148.6860559999996</v>
      </c>
      <c r="M212" s="1786">
        <f t="shared" si="195"/>
        <v>1340.1337319999998</v>
      </c>
      <c r="N212" s="1786">
        <f t="shared" si="195"/>
        <v>1531.5814079999998</v>
      </c>
      <c r="O212" s="1786">
        <f t="shared" si="195"/>
        <v>1723.0290839999998</v>
      </c>
      <c r="P212" s="1786">
        <f t="shared" si="195"/>
        <v>1914.4767599999996</v>
      </c>
      <c r="Q212" s="1786">
        <f t="shared" si="195"/>
        <v>2105.9244359999998</v>
      </c>
      <c r="R212" s="1786">
        <f t="shared" si="195"/>
        <v>2297.3721119999991</v>
      </c>
      <c r="S212" s="1786">
        <f t="shared" si="195"/>
        <v>2488.8197879999993</v>
      </c>
      <c r="T212" s="1786">
        <f t="shared" si="195"/>
        <v>2680.2674639999996</v>
      </c>
      <c r="U212" s="1786">
        <f t="shared" si="195"/>
        <v>2871.7151399999993</v>
      </c>
      <c r="V212" s="1786">
        <f t="shared" si="195"/>
        <v>3063.1628159999996</v>
      </c>
      <c r="W212" s="1786">
        <f t="shared" si="195"/>
        <v>3254.6104919999993</v>
      </c>
      <c r="X212" s="1786">
        <f t="shared" si="195"/>
        <v>3446.0581679999996</v>
      </c>
      <c r="Y212" s="1786">
        <f t="shared" si="195"/>
        <v>3637.5058439999989</v>
      </c>
      <c r="Z212" s="1786">
        <f t="shared" si="195"/>
        <v>3828.9535199999991</v>
      </c>
      <c r="AA212" s="1786">
        <f t="shared" si="195"/>
        <v>4020.4011959999993</v>
      </c>
      <c r="AB212" s="1786">
        <f t="shared" si="195"/>
        <v>4211.8488719999996</v>
      </c>
      <c r="AC212" s="1786">
        <f t="shared" si="195"/>
        <v>4403.2965479999984</v>
      </c>
      <c r="AD212" s="1786">
        <f t="shared" si="195"/>
        <v>4594.7442239999982</v>
      </c>
      <c r="AE212" s="1786">
        <f t="shared" si="195"/>
        <v>4786.1918999999989</v>
      </c>
      <c r="AF212" s="1786">
        <f t="shared" si="195"/>
        <v>4977.6395759999987</v>
      </c>
      <c r="AG212" s="1786">
        <f t="shared" si="195"/>
        <v>5169.0872519999994</v>
      </c>
      <c r="AH212" s="1786">
        <f t="shared" si="195"/>
        <v>5360.5349279999991</v>
      </c>
      <c r="AI212" s="1786">
        <f t="shared" si="195"/>
        <v>5551.9826039999989</v>
      </c>
      <c r="AJ212" s="1786">
        <f t="shared" si="195"/>
        <v>5743.4302799999987</v>
      </c>
      <c r="AK212" s="1786">
        <f t="shared" si="195"/>
        <v>5934.8779559999994</v>
      </c>
      <c r="AL212" s="1786">
        <f t="shared" si="195"/>
        <v>6126.3256319999991</v>
      </c>
      <c r="AM212" s="1786">
        <f t="shared" si="195"/>
        <v>6317.773307999998</v>
      </c>
      <c r="AN212" s="1786">
        <f t="shared" si="195"/>
        <v>6509.2209839999987</v>
      </c>
      <c r="AO212" s="1786">
        <f t="shared" ref="AO212:BG212" si="196">((AO$208-$I$4)/1000)*$R$67*(($C$8/70)^$AB$67)*IF($C$13=1,$AF$67,IF($C$13=2,$AG$67,IF($C$13=3,$AH$67,1)))</f>
        <v>6700.6686599999985</v>
      </c>
      <c r="AP212" s="1786">
        <f t="shared" si="196"/>
        <v>6892.1163359999991</v>
      </c>
      <c r="AQ212" s="1786">
        <f t="shared" si="196"/>
        <v>7083.5640119999989</v>
      </c>
      <c r="AR212" s="1786">
        <f t="shared" si="196"/>
        <v>7275.0116879999978</v>
      </c>
      <c r="AS212" s="1786">
        <f t="shared" si="196"/>
        <v>7466.4593639999985</v>
      </c>
      <c r="AT212" s="1786">
        <f t="shared" si="196"/>
        <v>7657.9070399999982</v>
      </c>
      <c r="AU212" s="1786">
        <f t="shared" si="196"/>
        <v>7849.3547159999971</v>
      </c>
      <c r="AV212" s="1786">
        <f t="shared" si="196"/>
        <v>8040.8023919999987</v>
      </c>
      <c r="AW212" s="1786">
        <f t="shared" si="196"/>
        <v>8232.2500679999976</v>
      </c>
      <c r="AX212" s="1786">
        <f t="shared" si="196"/>
        <v>8423.6977439999991</v>
      </c>
      <c r="AY212" s="1786">
        <f t="shared" si="196"/>
        <v>8615.1454199999971</v>
      </c>
      <c r="AZ212" s="1786">
        <f t="shared" si="196"/>
        <v>8806.5930959999969</v>
      </c>
      <c r="BA212" s="1786">
        <f t="shared" si="196"/>
        <v>8998.0407719999985</v>
      </c>
      <c r="BB212" s="1786">
        <f t="shared" si="196"/>
        <v>9189.4884479999964</v>
      </c>
      <c r="BC212" s="1786">
        <f t="shared" si="196"/>
        <v>9380.936123999998</v>
      </c>
      <c r="BD212" s="1786">
        <f t="shared" si="196"/>
        <v>9572.3837999999978</v>
      </c>
      <c r="BE212" s="1786">
        <f t="shared" si="196"/>
        <v>9763.8314759999957</v>
      </c>
      <c r="BF212" s="1786">
        <f t="shared" si="196"/>
        <v>9955.2791519999973</v>
      </c>
      <c r="BG212" s="1786">
        <f t="shared" si="196"/>
        <v>10146.726827999997</v>
      </c>
      <c r="BI212" s="571">
        <f>0</f>
        <v>0</v>
      </c>
      <c r="BJ212" s="571">
        <f>0</f>
        <v>0</v>
      </c>
      <c r="BK212" s="571">
        <f>0</f>
        <v>0</v>
      </c>
      <c r="BL212" s="571">
        <f>0</f>
        <v>0</v>
      </c>
      <c r="BM212" s="571">
        <f>0</f>
        <v>0</v>
      </c>
      <c r="BN212" s="571">
        <f>0</f>
        <v>0</v>
      </c>
      <c r="BO212" s="571">
        <f>0</f>
        <v>0</v>
      </c>
      <c r="BP212" s="571">
        <f>0</f>
        <v>0</v>
      </c>
      <c r="BQ212" s="571">
        <f>0</f>
        <v>0</v>
      </c>
      <c r="BR212" s="571">
        <f>0</f>
        <v>0</v>
      </c>
      <c r="BS212" s="571">
        <f>0</f>
        <v>0</v>
      </c>
      <c r="BT212" s="571">
        <f>0</f>
        <v>0</v>
      </c>
      <c r="BU212" s="571">
        <f>0</f>
        <v>0</v>
      </c>
      <c r="BV212" s="571">
        <f>0</f>
        <v>0</v>
      </c>
      <c r="BW212" s="571">
        <f>0</f>
        <v>0</v>
      </c>
      <c r="BX212" s="571">
        <f>0</f>
        <v>0</v>
      </c>
      <c r="BY212" s="571">
        <f>0</f>
        <v>0</v>
      </c>
      <c r="BZ212" s="571">
        <f>0</f>
        <v>0</v>
      </c>
      <c r="CA212" s="571">
        <f>0</f>
        <v>0</v>
      </c>
      <c r="CB212" s="571">
        <f>0</f>
        <v>0</v>
      </c>
      <c r="CC212" s="571">
        <f>0</f>
        <v>0</v>
      </c>
      <c r="CD212" s="571">
        <f>0</f>
        <v>0</v>
      </c>
      <c r="CE212" s="571">
        <f>0</f>
        <v>0</v>
      </c>
      <c r="CF212" s="571">
        <f>0</f>
        <v>0</v>
      </c>
      <c r="CG212" s="571">
        <f>0</f>
        <v>0</v>
      </c>
      <c r="CH212" s="571">
        <f>0</f>
        <v>0</v>
      </c>
      <c r="CI212" s="571">
        <f>0</f>
        <v>0</v>
      </c>
      <c r="CJ212" s="571">
        <f>0</f>
        <v>0</v>
      </c>
      <c r="CK212" s="571">
        <f>0</f>
        <v>0</v>
      </c>
      <c r="CL212" s="571">
        <f>0</f>
        <v>0</v>
      </c>
      <c r="CM212" s="571">
        <f>0</f>
        <v>0</v>
      </c>
      <c r="CN212" s="571">
        <f>0</f>
        <v>0</v>
      </c>
      <c r="CO212" s="571">
        <f>0</f>
        <v>0</v>
      </c>
      <c r="CP212" s="571">
        <f>0</f>
        <v>0</v>
      </c>
      <c r="CQ212" s="571">
        <f>0</f>
        <v>0</v>
      </c>
      <c r="CR212" s="571">
        <f>0</f>
        <v>0</v>
      </c>
      <c r="CS212" s="571">
        <f>0</f>
        <v>0</v>
      </c>
      <c r="CT212" s="571">
        <f>0</f>
        <v>0</v>
      </c>
      <c r="CU212" s="571">
        <f>0</f>
        <v>0</v>
      </c>
      <c r="CV212" s="571">
        <f>0</f>
        <v>0</v>
      </c>
      <c r="CW212" s="571">
        <f>0</f>
        <v>0</v>
      </c>
      <c r="CX212" s="571">
        <f>0</f>
        <v>0</v>
      </c>
      <c r="CY212" s="571">
        <f>0</f>
        <v>0</v>
      </c>
      <c r="CZ212" s="571">
        <f>0</f>
        <v>0</v>
      </c>
      <c r="DA212" s="571">
        <f>0</f>
        <v>0</v>
      </c>
      <c r="DB212" s="571">
        <f>0</f>
        <v>0</v>
      </c>
      <c r="DC212" s="571">
        <f>0</f>
        <v>0</v>
      </c>
      <c r="DD212" s="571">
        <f>0</f>
        <v>0</v>
      </c>
      <c r="DE212" s="571">
        <f>0</f>
        <v>0</v>
      </c>
      <c r="DF212" s="571">
        <f>0</f>
        <v>0</v>
      </c>
      <c r="DG212" s="571">
        <f>0</f>
        <v>0</v>
      </c>
    </row>
    <row r="213" spans="1:111" hidden="1">
      <c r="A213" s="2773"/>
      <c r="B213" s="2928" t="s">
        <v>5720</v>
      </c>
      <c r="C213" s="2929"/>
      <c r="D213" s="2930"/>
      <c r="E213" s="1787" t="s">
        <v>5698</v>
      </c>
      <c r="F213" s="1787">
        <v>110</v>
      </c>
      <c r="G213" s="1787">
        <v>260</v>
      </c>
      <c r="H213" s="1787">
        <v>2</v>
      </c>
      <c r="I213" s="1788">
        <f t="shared" ref="I213:AN213" si="197">((I$208-$I$4)/1000)*$N$68*(($C$8/70)^$X$68)*IF($C$13=1,$AF$68,IF($C$13=2,$AG$68,IF($C$13=3,$AH$68,1)))</f>
        <v>471.2093999999999</v>
      </c>
      <c r="J213" s="1788">
        <f t="shared" si="197"/>
        <v>628.27919999999995</v>
      </c>
      <c r="K213" s="1788">
        <f t="shared" si="197"/>
        <v>785.34899999999982</v>
      </c>
      <c r="L213" s="1788">
        <f t="shared" si="197"/>
        <v>942.41879999999981</v>
      </c>
      <c r="M213" s="1788">
        <f t="shared" si="197"/>
        <v>1099.4885999999997</v>
      </c>
      <c r="N213" s="1788">
        <f t="shared" si="197"/>
        <v>1256.5583999999999</v>
      </c>
      <c r="O213" s="1788">
        <f t="shared" si="197"/>
        <v>1413.6281999999997</v>
      </c>
      <c r="P213" s="1788">
        <f t="shared" si="197"/>
        <v>1570.6979999999996</v>
      </c>
      <c r="Q213" s="1788">
        <f t="shared" si="197"/>
        <v>1727.7677999999999</v>
      </c>
      <c r="R213" s="1788">
        <f t="shared" si="197"/>
        <v>1884.8375999999996</v>
      </c>
      <c r="S213" s="1788">
        <f t="shared" si="197"/>
        <v>2041.9073999999996</v>
      </c>
      <c r="T213" s="1788">
        <f t="shared" si="197"/>
        <v>2198.9771999999994</v>
      </c>
      <c r="U213" s="1788">
        <f t="shared" si="197"/>
        <v>2356.0469999999996</v>
      </c>
      <c r="V213" s="1788">
        <f t="shared" si="197"/>
        <v>2513.1167999999998</v>
      </c>
      <c r="W213" s="1788">
        <f t="shared" si="197"/>
        <v>2670.1865999999991</v>
      </c>
      <c r="X213" s="1788">
        <f t="shared" si="197"/>
        <v>2827.2563999999993</v>
      </c>
      <c r="Y213" s="1788">
        <f t="shared" si="197"/>
        <v>2984.3261999999995</v>
      </c>
      <c r="Z213" s="1788">
        <f t="shared" si="197"/>
        <v>3141.3959999999993</v>
      </c>
      <c r="AA213" s="1788">
        <f t="shared" si="197"/>
        <v>3298.4657999999995</v>
      </c>
      <c r="AB213" s="1788">
        <f t="shared" si="197"/>
        <v>3455.5355999999997</v>
      </c>
      <c r="AC213" s="1788">
        <f t="shared" si="197"/>
        <v>3612.605399999999</v>
      </c>
      <c r="AD213" s="1788">
        <f t="shared" si="197"/>
        <v>3769.6751999999992</v>
      </c>
      <c r="AE213" s="1788">
        <f t="shared" si="197"/>
        <v>3926.7449999999994</v>
      </c>
      <c r="AF213" s="1788">
        <f t="shared" si="197"/>
        <v>4083.8147999999992</v>
      </c>
      <c r="AG213" s="1788">
        <f t="shared" si="197"/>
        <v>4240.8845999999994</v>
      </c>
      <c r="AH213" s="1788">
        <f t="shared" si="197"/>
        <v>4397.9543999999987</v>
      </c>
      <c r="AI213" s="1788">
        <f t="shared" si="197"/>
        <v>4555.0241999999989</v>
      </c>
      <c r="AJ213" s="1788">
        <f t="shared" si="197"/>
        <v>4712.0939999999991</v>
      </c>
      <c r="AK213" s="1788">
        <f t="shared" si="197"/>
        <v>4869.1637999999994</v>
      </c>
      <c r="AL213" s="1788">
        <f t="shared" si="197"/>
        <v>5026.2335999999996</v>
      </c>
      <c r="AM213" s="1788">
        <f t="shared" si="197"/>
        <v>5183.3033999999989</v>
      </c>
      <c r="AN213" s="1788">
        <f t="shared" si="197"/>
        <v>5340.3731999999982</v>
      </c>
      <c r="AO213" s="1788">
        <f t="shared" ref="AO213:BG213" si="198">((AO$208-$I$4)/1000)*$N$68*(($C$8/70)^$X$68)*IF($C$13=1,$AF$68,IF($C$13=2,$AG$68,IF($C$13=3,$AH$68,1)))</f>
        <v>5497.4429999999993</v>
      </c>
      <c r="AP213" s="1788">
        <f t="shared" si="198"/>
        <v>5654.5127999999986</v>
      </c>
      <c r="AQ213" s="1788">
        <f t="shared" si="198"/>
        <v>5811.5825999999997</v>
      </c>
      <c r="AR213" s="1788">
        <f t="shared" si="198"/>
        <v>5968.652399999999</v>
      </c>
      <c r="AS213" s="1788">
        <f t="shared" si="198"/>
        <v>6125.7221999999983</v>
      </c>
      <c r="AT213" s="1788">
        <f t="shared" si="198"/>
        <v>6282.7919999999986</v>
      </c>
      <c r="AU213" s="1788">
        <f t="shared" si="198"/>
        <v>6439.8617999999988</v>
      </c>
      <c r="AV213" s="1788">
        <f t="shared" si="198"/>
        <v>6596.931599999999</v>
      </c>
      <c r="AW213" s="1788">
        <f t="shared" si="198"/>
        <v>6754.0013999999983</v>
      </c>
      <c r="AX213" s="1788">
        <f t="shared" si="198"/>
        <v>6911.0711999999994</v>
      </c>
      <c r="AY213" s="1788">
        <f t="shared" si="198"/>
        <v>7068.1409999999987</v>
      </c>
      <c r="AZ213" s="1788">
        <f t="shared" si="198"/>
        <v>7225.210799999998</v>
      </c>
      <c r="BA213" s="1788">
        <f t="shared" si="198"/>
        <v>7382.2805999999991</v>
      </c>
      <c r="BB213" s="1788">
        <f t="shared" si="198"/>
        <v>7539.3503999999984</v>
      </c>
      <c r="BC213" s="1788">
        <f t="shared" si="198"/>
        <v>7696.4201999999987</v>
      </c>
      <c r="BD213" s="1788">
        <f t="shared" si="198"/>
        <v>7853.4899999999989</v>
      </c>
      <c r="BE213" s="1788">
        <f t="shared" si="198"/>
        <v>8010.5597999999982</v>
      </c>
      <c r="BF213" s="1788">
        <f t="shared" si="198"/>
        <v>8167.6295999999984</v>
      </c>
      <c r="BG213" s="1788">
        <f t="shared" si="198"/>
        <v>8324.6993999999977</v>
      </c>
    </row>
    <row r="214" spans="1:111" hidden="1">
      <c r="A214" s="2773"/>
      <c r="B214" s="2928" t="s">
        <v>5721</v>
      </c>
      <c r="C214" s="2929"/>
      <c r="D214" s="2931"/>
      <c r="E214" s="1787" t="s">
        <v>5698</v>
      </c>
      <c r="F214" s="1787">
        <v>110</v>
      </c>
      <c r="G214" s="1787">
        <v>300</v>
      </c>
      <c r="H214" s="1787">
        <v>2</v>
      </c>
      <c r="I214" s="1788">
        <f t="shared" ref="I214:AN214" si="199">((I$208-$I$4)/1000)*$O$68*(($C$8/70)^$Y$68)*IF($C$13=1,$AH$33,IF($C$13=2,$AI$33,IF($C$13=3,$AJ$33,1)))</f>
        <v>568.64591999999982</v>
      </c>
      <c r="J214" s="1788">
        <f t="shared" si="199"/>
        <v>758.19455999999991</v>
      </c>
      <c r="K214" s="1788">
        <f t="shared" si="199"/>
        <v>947.74319999999989</v>
      </c>
      <c r="L214" s="1788">
        <f t="shared" si="199"/>
        <v>1137.2918399999996</v>
      </c>
      <c r="M214" s="1788">
        <f t="shared" si="199"/>
        <v>1326.8404799999998</v>
      </c>
      <c r="N214" s="1788">
        <f t="shared" si="199"/>
        <v>1516.3891199999998</v>
      </c>
      <c r="O214" s="1788">
        <f t="shared" si="199"/>
        <v>1705.9377599999998</v>
      </c>
      <c r="P214" s="1788">
        <f t="shared" si="199"/>
        <v>1895.4863999999998</v>
      </c>
      <c r="Q214" s="1788">
        <f t="shared" si="199"/>
        <v>2085.0350399999998</v>
      </c>
      <c r="R214" s="1788">
        <f t="shared" si="199"/>
        <v>2274.5836799999993</v>
      </c>
      <c r="S214" s="1788">
        <f t="shared" si="199"/>
        <v>2464.1323199999997</v>
      </c>
      <c r="T214" s="1788">
        <f t="shared" si="199"/>
        <v>2653.6809599999997</v>
      </c>
      <c r="U214" s="1788">
        <f t="shared" si="199"/>
        <v>2843.2295999999992</v>
      </c>
      <c r="V214" s="1788">
        <f t="shared" si="199"/>
        <v>3032.7782399999996</v>
      </c>
      <c r="W214" s="1788">
        <f t="shared" si="199"/>
        <v>3222.3268799999992</v>
      </c>
      <c r="X214" s="1788">
        <f t="shared" si="199"/>
        <v>3411.8755199999996</v>
      </c>
      <c r="Y214" s="1788">
        <f t="shared" si="199"/>
        <v>3601.4241599999996</v>
      </c>
      <c r="Z214" s="1788">
        <f t="shared" si="199"/>
        <v>3790.9727999999996</v>
      </c>
      <c r="AA214" s="1788">
        <f t="shared" si="199"/>
        <v>3980.5214399999991</v>
      </c>
      <c r="AB214" s="1788">
        <f t="shared" si="199"/>
        <v>4170.0700799999995</v>
      </c>
      <c r="AC214" s="1788">
        <f t="shared" si="199"/>
        <v>4359.6187199999995</v>
      </c>
      <c r="AD214" s="1788">
        <f t="shared" si="199"/>
        <v>4549.1673599999986</v>
      </c>
      <c r="AE214" s="1788">
        <f t="shared" si="199"/>
        <v>4738.7159999999994</v>
      </c>
      <c r="AF214" s="1788">
        <f t="shared" si="199"/>
        <v>4928.2646399999994</v>
      </c>
      <c r="AG214" s="1788">
        <f t="shared" si="199"/>
        <v>5117.8132799999994</v>
      </c>
      <c r="AH214" s="1788">
        <f t="shared" si="199"/>
        <v>5307.3619199999994</v>
      </c>
      <c r="AI214" s="1788">
        <f t="shared" si="199"/>
        <v>5496.9105599999994</v>
      </c>
      <c r="AJ214" s="1788">
        <f t="shared" si="199"/>
        <v>5686.4591999999984</v>
      </c>
      <c r="AK214" s="1788">
        <f t="shared" si="199"/>
        <v>5876.0078399999993</v>
      </c>
      <c r="AL214" s="1788">
        <f t="shared" si="199"/>
        <v>6065.5564799999993</v>
      </c>
      <c r="AM214" s="1788">
        <f t="shared" si="199"/>
        <v>6255.1051199999993</v>
      </c>
      <c r="AN214" s="1788">
        <f t="shared" si="199"/>
        <v>6444.6537599999983</v>
      </c>
      <c r="AO214" s="1788">
        <f t="shared" ref="AO214:BG214" si="200">((AO$208-$I$4)/1000)*$O$68*(($C$8/70)^$Y$68)*IF($C$13=1,$AH$33,IF($C$13=2,$AI$33,IF($C$13=3,$AJ$33,1)))</f>
        <v>6634.2023999999992</v>
      </c>
      <c r="AP214" s="1788">
        <f t="shared" si="200"/>
        <v>6823.7510399999992</v>
      </c>
      <c r="AQ214" s="1788">
        <f t="shared" si="200"/>
        <v>7013.2996800000001</v>
      </c>
      <c r="AR214" s="1788">
        <f t="shared" si="200"/>
        <v>7202.8483199999991</v>
      </c>
      <c r="AS214" s="1788">
        <f t="shared" si="200"/>
        <v>7392.3969599999982</v>
      </c>
      <c r="AT214" s="1788">
        <f t="shared" si="200"/>
        <v>7581.9455999999991</v>
      </c>
      <c r="AU214" s="1788">
        <f t="shared" si="200"/>
        <v>7771.4942399999982</v>
      </c>
      <c r="AV214" s="1788">
        <f t="shared" si="200"/>
        <v>7961.0428799999981</v>
      </c>
      <c r="AW214" s="1788">
        <f t="shared" si="200"/>
        <v>8150.5915199999981</v>
      </c>
      <c r="AX214" s="1788">
        <f t="shared" si="200"/>
        <v>8340.140159999999</v>
      </c>
      <c r="AY214" s="1788">
        <f t="shared" si="200"/>
        <v>8529.6887999999981</v>
      </c>
      <c r="AZ214" s="1788">
        <f t="shared" si="200"/>
        <v>8719.237439999999</v>
      </c>
      <c r="BA214" s="1788">
        <f t="shared" si="200"/>
        <v>8908.786079999998</v>
      </c>
      <c r="BB214" s="1788">
        <f t="shared" si="200"/>
        <v>9098.3347199999971</v>
      </c>
      <c r="BC214" s="1788">
        <f t="shared" si="200"/>
        <v>9287.8833599999998</v>
      </c>
      <c r="BD214" s="1788">
        <f t="shared" si="200"/>
        <v>9477.4319999999989</v>
      </c>
      <c r="BE214" s="1788">
        <f t="shared" si="200"/>
        <v>9666.9806399999979</v>
      </c>
      <c r="BF214" s="1788">
        <f t="shared" si="200"/>
        <v>9856.5292799999988</v>
      </c>
      <c r="BG214" s="1788">
        <f t="shared" si="200"/>
        <v>10046.077919999998</v>
      </c>
      <c r="BI214" s="571">
        <f t="shared" ref="BI214:BX215" si="201">I220/I215</f>
        <v>1.1220349563046195</v>
      </c>
      <c r="BJ214" s="571">
        <f t="shared" si="201"/>
        <v>1.1220349563046195</v>
      </c>
      <c r="BK214" s="571">
        <f t="shared" si="201"/>
        <v>1.1220349563046195</v>
      </c>
      <c r="BL214" s="571">
        <f t="shared" si="201"/>
        <v>1.1220349563046195</v>
      </c>
      <c r="BM214" s="571">
        <f t="shared" si="201"/>
        <v>1.1220349563046195</v>
      </c>
      <c r="BN214" s="571">
        <f t="shared" si="201"/>
        <v>1.1220349563046195</v>
      </c>
      <c r="BO214" s="571">
        <f t="shared" si="201"/>
        <v>1.1220349563046195</v>
      </c>
      <c r="BP214" s="571">
        <f t="shared" si="201"/>
        <v>1.1220349563046195</v>
      </c>
      <c r="BQ214" s="571">
        <f t="shared" si="201"/>
        <v>1.1220349563046195</v>
      </c>
      <c r="BR214" s="571">
        <f t="shared" si="201"/>
        <v>1.1220349563046195</v>
      </c>
      <c r="BS214" s="571">
        <f t="shared" si="201"/>
        <v>1.1220349563046195</v>
      </c>
      <c r="BT214" s="571">
        <f t="shared" si="201"/>
        <v>1.1220349563046195</v>
      </c>
      <c r="BU214" s="571">
        <f t="shared" si="201"/>
        <v>1.1220349563046195</v>
      </c>
      <c r="BV214" s="571">
        <f t="shared" si="201"/>
        <v>1.1220349563046195</v>
      </c>
      <c r="BW214" s="571">
        <f t="shared" si="201"/>
        <v>1.1220349563046195</v>
      </c>
      <c r="BX214" s="571">
        <f t="shared" si="201"/>
        <v>1.1220349563046195</v>
      </c>
      <c r="BY214" s="571">
        <f t="shared" ref="BY214:CN215" si="202">Y220/Y215</f>
        <v>1.1220349563046195</v>
      </c>
      <c r="BZ214" s="571">
        <f t="shared" si="202"/>
        <v>1.1220349563046195</v>
      </c>
      <c r="CA214" s="571">
        <f t="shared" si="202"/>
        <v>1.1220349563046195</v>
      </c>
      <c r="CB214" s="571">
        <f t="shared" si="202"/>
        <v>1.1220349563046195</v>
      </c>
      <c r="CC214" s="571">
        <f t="shared" si="202"/>
        <v>1.1220349563046192</v>
      </c>
      <c r="CD214" s="571">
        <f t="shared" si="202"/>
        <v>1.1220349563046195</v>
      </c>
      <c r="CE214" s="571">
        <f t="shared" si="202"/>
        <v>1.1220349563046195</v>
      </c>
      <c r="CF214" s="571">
        <f t="shared" si="202"/>
        <v>1.1220349563046195</v>
      </c>
      <c r="CG214" s="571">
        <f t="shared" si="202"/>
        <v>1.1220349563046192</v>
      </c>
      <c r="CH214" s="571">
        <f t="shared" si="202"/>
        <v>1.1220349563046195</v>
      </c>
      <c r="CI214" s="571">
        <f t="shared" si="202"/>
        <v>1.1220349563046192</v>
      </c>
      <c r="CJ214" s="571">
        <f t="shared" si="202"/>
        <v>1.1220349563046195</v>
      </c>
      <c r="CK214" s="571">
        <f t="shared" si="202"/>
        <v>1.1220349563046195</v>
      </c>
      <c r="CL214" s="571">
        <f t="shared" si="202"/>
        <v>1.1220349563046195</v>
      </c>
      <c r="CM214" s="571">
        <f t="shared" si="202"/>
        <v>1.1220349563046195</v>
      </c>
      <c r="CN214" s="571">
        <f t="shared" si="202"/>
        <v>1.1220349563046195</v>
      </c>
      <c r="CO214" s="571">
        <f t="shared" ref="CO214:DD215" si="203">AO220/AO215</f>
        <v>1.1220349563046195</v>
      </c>
      <c r="CP214" s="571">
        <f t="shared" si="203"/>
        <v>1.1220349563046195</v>
      </c>
      <c r="CQ214" s="571">
        <f t="shared" si="203"/>
        <v>1.1220349563046195</v>
      </c>
      <c r="CR214" s="571">
        <f t="shared" si="203"/>
        <v>1.1220349563046195</v>
      </c>
      <c r="CS214" s="571">
        <f t="shared" si="203"/>
        <v>1.1220349563046195</v>
      </c>
      <c r="CT214" s="571">
        <f t="shared" si="203"/>
        <v>1.1220349563046195</v>
      </c>
      <c r="CU214" s="571">
        <f t="shared" si="203"/>
        <v>1.1220349563046195</v>
      </c>
      <c r="CV214" s="571">
        <f t="shared" si="203"/>
        <v>1.1220349563046195</v>
      </c>
      <c r="CW214" s="571">
        <f t="shared" si="203"/>
        <v>1.1220349563046195</v>
      </c>
      <c r="CX214" s="571">
        <f t="shared" si="203"/>
        <v>1.1220349563046195</v>
      </c>
      <c r="CY214" s="571">
        <f t="shared" si="203"/>
        <v>1.1220349563046195</v>
      </c>
      <c r="CZ214" s="571">
        <f t="shared" si="203"/>
        <v>1.1220349563046192</v>
      </c>
      <c r="DA214" s="571">
        <f t="shared" si="203"/>
        <v>1.1220349563046195</v>
      </c>
      <c r="DB214" s="571">
        <f t="shared" si="203"/>
        <v>1.1220349563046195</v>
      </c>
      <c r="DC214" s="571">
        <f t="shared" si="203"/>
        <v>1.1220349563046197</v>
      </c>
      <c r="DD214" s="571">
        <f t="shared" si="203"/>
        <v>1.1220349563046195</v>
      </c>
      <c r="DE214" s="571">
        <f t="shared" ref="DE214:DG215" si="204">BE220/BE215</f>
        <v>1.1220349563046195</v>
      </c>
      <c r="DF214" s="571">
        <f t="shared" si="204"/>
        <v>1.1220349563046195</v>
      </c>
      <c r="DG214" s="571">
        <f t="shared" si="204"/>
        <v>1.1220349563046195</v>
      </c>
    </row>
    <row r="215" spans="1:111" hidden="1">
      <c r="A215" s="2773"/>
      <c r="B215" s="2928" t="s">
        <v>5722</v>
      </c>
      <c r="C215" s="2929"/>
      <c r="D215" s="2931"/>
      <c r="E215" s="1787" t="s">
        <v>5698</v>
      </c>
      <c r="F215" s="1787">
        <v>110</v>
      </c>
      <c r="G215" s="1787">
        <v>360</v>
      </c>
      <c r="H215" s="1787">
        <v>2</v>
      </c>
      <c r="I215" s="1788">
        <f t="shared" ref="I215:AN215" si="205">((I$208-$I$4)/1000)*$Q68*(($C$8/70)^$AA$68)*IF($C$13=1,$AF$68,IF($C$13=2,$AG$68,IF($C$13=3,$AH$68,1)))</f>
        <v>608.45113439999989</v>
      </c>
      <c r="J215" s="1788">
        <f t="shared" si="205"/>
        <v>811.26817919999985</v>
      </c>
      <c r="K215" s="1788">
        <f t="shared" si="205"/>
        <v>1014.0852239999998</v>
      </c>
      <c r="L215" s="1788">
        <f t="shared" si="205"/>
        <v>1216.9022687999998</v>
      </c>
      <c r="M215" s="1788">
        <f t="shared" si="205"/>
        <v>1419.7193135999996</v>
      </c>
      <c r="N215" s="1788">
        <f t="shared" si="205"/>
        <v>1622.5363583999997</v>
      </c>
      <c r="O215" s="1788">
        <f t="shared" si="205"/>
        <v>1825.3534031999995</v>
      </c>
      <c r="P215" s="1788">
        <f t="shared" si="205"/>
        <v>2028.1704479999996</v>
      </c>
      <c r="Q215" s="1788">
        <f t="shared" si="205"/>
        <v>2230.9874927999995</v>
      </c>
      <c r="R215" s="1788">
        <f t="shared" si="205"/>
        <v>2433.8045375999995</v>
      </c>
      <c r="S215" s="1788">
        <f t="shared" si="205"/>
        <v>2636.6215823999996</v>
      </c>
      <c r="T215" s="1788">
        <f t="shared" si="205"/>
        <v>2839.4386271999992</v>
      </c>
      <c r="U215" s="1788">
        <f t="shared" si="205"/>
        <v>3042.2556719999993</v>
      </c>
      <c r="V215" s="1788">
        <f t="shared" si="205"/>
        <v>3245.0727167999994</v>
      </c>
      <c r="W215" s="1788">
        <f t="shared" si="205"/>
        <v>3447.889761599999</v>
      </c>
      <c r="X215" s="1788">
        <f t="shared" si="205"/>
        <v>3650.7068063999991</v>
      </c>
      <c r="Y215" s="1788">
        <f t="shared" si="205"/>
        <v>3853.5238511999992</v>
      </c>
      <c r="Z215" s="1788">
        <f t="shared" si="205"/>
        <v>4056.3408959999992</v>
      </c>
      <c r="AA215" s="1788">
        <f t="shared" si="205"/>
        <v>4259.1579407999989</v>
      </c>
      <c r="AB215" s="1788">
        <f t="shared" si="205"/>
        <v>4461.9749855999989</v>
      </c>
      <c r="AC215" s="1788">
        <f t="shared" si="205"/>
        <v>4664.792030399999</v>
      </c>
      <c r="AD215" s="1788">
        <f t="shared" si="205"/>
        <v>4867.6090751999991</v>
      </c>
      <c r="AE215" s="1788">
        <f t="shared" si="205"/>
        <v>5070.4261199999992</v>
      </c>
      <c r="AF215" s="1788">
        <f t="shared" si="205"/>
        <v>5273.2431647999992</v>
      </c>
      <c r="AG215" s="1788">
        <f t="shared" si="205"/>
        <v>5476.0602095999993</v>
      </c>
      <c r="AH215" s="1788">
        <f t="shared" si="205"/>
        <v>5678.8772543999985</v>
      </c>
      <c r="AI215" s="1788">
        <f t="shared" si="205"/>
        <v>5881.6942991999986</v>
      </c>
      <c r="AJ215" s="1788">
        <f t="shared" si="205"/>
        <v>6084.5113439999986</v>
      </c>
      <c r="AK215" s="1788">
        <f t="shared" si="205"/>
        <v>6287.3283887999987</v>
      </c>
      <c r="AL215" s="1788">
        <f t="shared" si="205"/>
        <v>6490.1454335999988</v>
      </c>
      <c r="AM215" s="1788">
        <f t="shared" si="205"/>
        <v>6692.9624783999989</v>
      </c>
      <c r="AN215" s="1788">
        <f t="shared" si="205"/>
        <v>6895.779523199998</v>
      </c>
      <c r="AO215" s="1788">
        <f t="shared" ref="AO215:BG215" si="206">((AO$208-$I$4)/1000)*$Q68*(($C$8/70)^$AA$68)*IF($C$13=1,$AF$68,IF($C$13=2,$AG$68,IF($C$13=3,$AH$68,1)))</f>
        <v>7098.596567999999</v>
      </c>
      <c r="AP215" s="1788">
        <f t="shared" si="206"/>
        <v>7301.4136127999982</v>
      </c>
      <c r="AQ215" s="1788">
        <f t="shared" si="206"/>
        <v>7504.2306575999983</v>
      </c>
      <c r="AR215" s="1788">
        <f t="shared" si="206"/>
        <v>7707.0477023999983</v>
      </c>
      <c r="AS215" s="1788">
        <f t="shared" si="206"/>
        <v>7909.8647471999975</v>
      </c>
      <c r="AT215" s="1788">
        <f t="shared" si="206"/>
        <v>8112.6817919999985</v>
      </c>
      <c r="AU215" s="1788">
        <f t="shared" si="206"/>
        <v>8315.4988367999977</v>
      </c>
      <c r="AV215" s="1788">
        <f t="shared" si="206"/>
        <v>8518.3158815999977</v>
      </c>
      <c r="AW215" s="1788">
        <f t="shared" si="206"/>
        <v>8721.1329263999978</v>
      </c>
      <c r="AX215" s="1788">
        <f t="shared" si="206"/>
        <v>8923.9499711999979</v>
      </c>
      <c r="AY215" s="1788">
        <f t="shared" si="206"/>
        <v>9126.767015999998</v>
      </c>
      <c r="AZ215" s="1788">
        <f t="shared" si="206"/>
        <v>9329.584060799998</v>
      </c>
      <c r="BA215" s="1788">
        <f t="shared" si="206"/>
        <v>9532.4011055999981</v>
      </c>
      <c r="BB215" s="1788">
        <f t="shared" si="206"/>
        <v>9735.2181503999982</v>
      </c>
      <c r="BC215" s="1788">
        <f t="shared" si="206"/>
        <v>9938.0351951999983</v>
      </c>
      <c r="BD215" s="1788">
        <f t="shared" si="206"/>
        <v>10140.852239999998</v>
      </c>
      <c r="BE215" s="1788">
        <f t="shared" si="206"/>
        <v>10343.669284799997</v>
      </c>
      <c r="BF215" s="1788">
        <f t="shared" si="206"/>
        <v>10546.486329599998</v>
      </c>
      <c r="BG215" s="1788">
        <f t="shared" si="206"/>
        <v>10749.303374399999</v>
      </c>
      <c r="BI215" s="571" t="e">
        <f t="shared" si="201"/>
        <v>#REF!</v>
      </c>
      <c r="BJ215" s="571" t="e">
        <f t="shared" si="201"/>
        <v>#REF!</v>
      </c>
      <c r="BK215" s="571" t="e">
        <f t="shared" si="201"/>
        <v>#REF!</v>
      </c>
      <c r="BL215" s="571" t="e">
        <f t="shared" si="201"/>
        <v>#REF!</v>
      </c>
      <c r="BM215" s="571" t="e">
        <f t="shared" si="201"/>
        <v>#REF!</v>
      </c>
      <c r="BN215" s="571" t="e">
        <f t="shared" si="201"/>
        <v>#REF!</v>
      </c>
      <c r="BO215" s="571" t="e">
        <f t="shared" si="201"/>
        <v>#REF!</v>
      </c>
      <c r="BP215" s="571" t="e">
        <f t="shared" si="201"/>
        <v>#REF!</v>
      </c>
      <c r="BQ215" s="571" t="e">
        <f t="shared" si="201"/>
        <v>#REF!</v>
      </c>
      <c r="BR215" s="571" t="e">
        <f t="shared" si="201"/>
        <v>#REF!</v>
      </c>
      <c r="BS215" s="571" t="e">
        <f t="shared" si="201"/>
        <v>#REF!</v>
      </c>
      <c r="BT215" s="571" t="e">
        <f t="shared" si="201"/>
        <v>#REF!</v>
      </c>
      <c r="BU215" s="571" t="e">
        <f t="shared" si="201"/>
        <v>#REF!</v>
      </c>
      <c r="BV215" s="571" t="e">
        <f t="shared" si="201"/>
        <v>#REF!</v>
      </c>
      <c r="BW215" s="571" t="e">
        <f t="shared" si="201"/>
        <v>#REF!</v>
      </c>
      <c r="BX215" s="571" t="e">
        <f t="shared" si="201"/>
        <v>#REF!</v>
      </c>
      <c r="BY215" s="571" t="e">
        <f t="shared" si="202"/>
        <v>#REF!</v>
      </c>
      <c r="BZ215" s="571" t="e">
        <f t="shared" si="202"/>
        <v>#REF!</v>
      </c>
      <c r="CA215" s="571" t="e">
        <f t="shared" si="202"/>
        <v>#REF!</v>
      </c>
      <c r="CB215" s="571" t="e">
        <f t="shared" si="202"/>
        <v>#REF!</v>
      </c>
      <c r="CC215" s="571" t="e">
        <f t="shared" si="202"/>
        <v>#REF!</v>
      </c>
      <c r="CD215" s="571" t="e">
        <f t="shared" si="202"/>
        <v>#REF!</v>
      </c>
      <c r="CE215" s="571" t="e">
        <f t="shared" si="202"/>
        <v>#REF!</v>
      </c>
      <c r="CF215" s="571" t="e">
        <f t="shared" si="202"/>
        <v>#REF!</v>
      </c>
      <c r="CG215" s="571" t="e">
        <f t="shared" si="202"/>
        <v>#REF!</v>
      </c>
      <c r="CH215" s="571" t="e">
        <f t="shared" si="202"/>
        <v>#REF!</v>
      </c>
      <c r="CI215" s="571" t="e">
        <f t="shared" si="202"/>
        <v>#REF!</v>
      </c>
      <c r="CJ215" s="571" t="e">
        <f t="shared" si="202"/>
        <v>#REF!</v>
      </c>
      <c r="CK215" s="571" t="e">
        <f t="shared" si="202"/>
        <v>#REF!</v>
      </c>
      <c r="CL215" s="571" t="e">
        <f t="shared" si="202"/>
        <v>#REF!</v>
      </c>
      <c r="CM215" s="571" t="e">
        <f t="shared" si="202"/>
        <v>#REF!</v>
      </c>
      <c r="CN215" s="571" t="e">
        <f t="shared" si="202"/>
        <v>#REF!</v>
      </c>
      <c r="CO215" s="571" t="e">
        <f t="shared" si="203"/>
        <v>#REF!</v>
      </c>
      <c r="CP215" s="571" t="e">
        <f t="shared" si="203"/>
        <v>#REF!</v>
      </c>
      <c r="CQ215" s="571" t="e">
        <f t="shared" si="203"/>
        <v>#REF!</v>
      </c>
      <c r="CR215" s="571" t="e">
        <f t="shared" si="203"/>
        <v>#REF!</v>
      </c>
      <c r="CS215" s="571" t="e">
        <f t="shared" si="203"/>
        <v>#REF!</v>
      </c>
      <c r="CT215" s="571" t="e">
        <f t="shared" si="203"/>
        <v>#REF!</v>
      </c>
      <c r="CU215" s="571" t="e">
        <f t="shared" si="203"/>
        <v>#REF!</v>
      </c>
      <c r="CV215" s="571" t="e">
        <f t="shared" si="203"/>
        <v>#REF!</v>
      </c>
      <c r="CW215" s="571" t="e">
        <f t="shared" si="203"/>
        <v>#REF!</v>
      </c>
      <c r="CX215" s="571" t="e">
        <f t="shared" si="203"/>
        <v>#REF!</v>
      </c>
      <c r="CY215" s="571" t="e">
        <f t="shared" si="203"/>
        <v>#REF!</v>
      </c>
      <c r="CZ215" s="571" t="e">
        <f t="shared" si="203"/>
        <v>#REF!</v>
      </c>
      <c r="DA215" s="571" t="e">
        <f t="shared" si="203"/>
        <v>#REF!</v>
      </c>
      <c r="DB215" s="571" t="e">
        <f t="shared" si="203"/>
        <v>#REF!</v>
      </c>
      <c r="DC215" s="571" t="e">
        <f t="shared" si="203"/>
        <v>#REF!</v>
      </c>
      <c r="DD215" s="571" t="e">
        <f t="shared" si="203"/>
        <v>#REF!</v>
      </c>
      <c r="DE215" s="571" t="e">
        <f t="shared" si="204"/>
        <v>#REF!</v>
      </c>
      <c r="DF215" s="571" t="e">
        <f t="shared" si="204"/>
        <v>#REF!</v>
      </c>
      <c r="DG215" s="571" t="e">
        <f t="shared" si="204"/>
        <v>#REF!</v>
      </c>
    </row>
    <row r="216" spans="1:111" ht="15.75" hidden="1" thickBot="1">
      <c r="A216" s="2773"/>
      <c r="B216" s="2933" t="s">
        <v>5723</v>
      </c>
      <c r="C216" s="2934"/>
      <c r="D216" s="2932"/>
      <c r="E216" s="1789" t="s">
        <v>5698</v>
      </c>
      <c r="F216" s="1789">
        <v>110</v>
      </c>
      <c r="G216" s="1789">
        <v>400</v>
      </c>
      <c r="H216" s="1789">
        <v>2</v>
      </c>
      <c r="I216" s="1790">
        <f t="shared" ref="I216:AN216" si="207">((I$208-$I$4)/1000)*$R$68*(($C$8/70)^$AB$68)*IF($C$13=1,$AF$68,IF($C$13=2,$AG$68,IF($C$13=3,$AH$68,1)))</f>
        <v>653.94280799999967</v>
      </c>
      <c r="J216" s="1790">
        <f t="shared" si="207"/>
        <v>871.92374399999972</v>
      </c>
      <c r="K216" s="1790">
        <f t="shared" si="207"/>
        <v>1089.9046799999996</v>
      </c>
      <c r="L216" s="1790">
        <f t="shared" si="207"/>
        <v>1307.8856159999993</v>
      </c>
      <c r="M216" s="1790">
        <f t="shared" si="207"/>
        <v>1525.8665519999993</v>
      </c>
      <c r="N216" s="1790">
        <f t="shared" si="207"/>
        <v>1743.8474879999994</v>
      </c>
      <c r="O216" s="1790">
        <f t="shared" si="207"/>
        <v>1961.8284239999994</v>
      </c>
      <c r="P216" s="1790">
        <f t="shared" si="207"/>
        <v>2179.8093599999993</v>
      </c>
      <c r="Q216" s="1790">
        <f t="shared" si="207"/>
        <v>2397.7902959999992</v>
      </c>
      <c r="R216" s="1790">
        <f t="shared" si="207"/>
        <v>2615.7712319999987</v>
      </c>
      <c r="S216" s="1790">
        <f t="shared" si="207"/>
        <v>2833.7521679999991</v>
      </c>
      <c r="T216" s="1790">
        <f t="shared" si="207"/>
        <v>3051.7331039999985</v>
      </c>
      <c r="U216" s="1790">
        <f t="shared" si="207"/>
        <v>3269.7140399999989</v>
      </c>
      <c r="V216" s="1790">
        <f t="shared" si="207"/>
        <v>3487.6949759999989</v>
      </c>
      <c r="W216" s="1790">
        <f t="shared" si="207"/>
        <v>3705.6759119999988</v>
      </c>
      <c r="X216" s="1790">
        <f t="shared" si="207"/>
        <v>3923.6568479999987</v>
      </c>
      <c r="Y216" s="1790">
        <f t="shared" si="207"/>
        <v>4141.6377839999986</v>
      </c>
      <c r="Z216" s="1790">
        <f t="shared" si="207"/>
        <v>4359.6187199999986</v>
      </c>
      <c r="AA216" s="1790">
        <f t="shared" si="207"/>
        <v>4577.5996559999985</v>
      </c>
      <c r="AB216" s="1790">
        <f t="shared" si="207"/>
        <v>4795.5805919999984</v>
      </c>
      <c r="AC216" s="1790">
        <f t="shared" si="207"/>
        <v>5013.5615279999975</v>
      </c>
      <c r="AD216" s="1790">
        <f t="shared" si="207"/>
        <v>5231.5424639999974</v>
      </c>
      <c r="AE216" s="1790">
        <f t="shared" si="207"/>
        <v>5449.5233999999982</v>
      </c>
      <c r="AF216" s="1790">
        <f t="shared" si="207"/>
        <v>5667.5043359999981</v>
      </c>
      <c r="AG216" s="1790">
        <f t="shared" si="207"/>
        <v>5885.485271999999</v>
      </c>
      <c r="AH216" s="1790">
        <f t="shared" si="207"/>
        <v>6103.4662079999971</v>
      </c>
      <c r="AI216" s="1790">
        <f t="shared" si="207"/>
        <v>6321.4471439999979</v>
      </c>
      <c r="AJ216" s="1790">
        <f t="shared" si="207"/>
        <v>6539.4280799999979</v>
      </c>
      <c r="AK216" s="1790">
        <f t="shared" si="207"/>
        <v>6757.4090159999978</v>
      </c>
      <c r="AL216" s="1790">
        <f t="shared" si="207"/>
        <v>6975.3899519999977</v>
      </c>
      <c r="AM216" s="1790">
        <f t="shared" si="207"/>
        <v>7193.3708879999967</v>
      </c>
      <c r="AN216" s="1790">
        <f t="shared" si="207"/>
        <v>7411.3518239999976</v>
      </c>
      <c r="AO216" s="1790">
        <f t="shared" ref="AO216:BG216" si="208">((AO$208-$I$4)/1000)*$R$68*(($C$8/70)^$AB$68)*IF($C$13=1,$AF$68,IF($C$13=2,$AG$68,IF($C$13=3,$AH$68,1)))</f>
        <v>7629.3327599999966</v>
      </c>
      <c r="AP216" s="1790">
        <f t="shared" si="208"/>
        <v>7847.3136959999974</v>
      </c>
      <c r="AQ216" s="1790">
        <f t="shared" si="208"/>
        <v>8065.2946319999983</v>
      </c>
      <c r="AR216" s="1790">
        <f t="shared" si="208"/>
        <v>8283.2755679999973</v>
      </c>
      <c r="AS216" s="1790">
        <f t="shared" si="208"/>
        <v>8501.2565039999972</v>
      </c>
      <c r="AT216" s="1790">
        <f t="shared" si="208"/>
        <v>8719.2374399999972</v>
      </c>
      <c r="AU216" s="1790">
        <f t="shared" si="208"/>
        <v>8937.2183759999971</v>
      </c>
      <c r="AV216" s="1790">
        <f t="shared" si="208"/>
        <v>9155.199311999997</v>
      </c>
      <c r="AW216" s="1790">
        <f t="shared" si="208"/>
        <v>9373.1802479999969</v>
      </c>
      <c r="AX216" s="1790">
        <f t="shared" si="208"/>
        <v>9591.1611839999969</v>
      </c>
      <c r="AY216" s="1790">
        <f t="shared" si="208"/>
        <v>9809.1421199999968</v>
      </c>
      <c r="AZ216" s="1790">
        <f t="shared" si="208"/>
        <v>10027.123055999995</v>
      </c>
      <c r="BA216" s="1790">
        <f t="shared" si="208"/>
        <v>10245.103991999997</v>
      </c>
      <c r="BB216" s="1790">
        <f t="shared" si="208"/>
        <v>10463.084927999995</v>
      </c>
      <c r="BC216" s="1790">
        <f t="shared" si="208"/>
        <v>10681.065863999998</v>
      </c>
      <c r="BD216" s="1790">
        <f t="shared" si="208"/>
        <v>10899.046799999996</v>
      </c>
      <c r="BE216" s="1790">
        <f t="shared" si="208"/>
        <v>11117.027735999996</v>
      </c>
      <c r="BF216" s="1790">
        <f t="shared" si="208"/>
        <v>11335.008671999996</v>
      </c>
      <c r="BG216" s="1790">
        <f t="shared" si="208"/>
        <v>11552.989607999994</v>
      </c>
      <c r="BI216" s="571">
        <f t="shared" ref="BI216:BX220" si="209">I220/I216</f>
        <v>1.0439803506486462</v>
      </c>
      <c r="BJ216" s="571">
        <f t="shared" si="209"/>
        <v>1.043980350648646</v>
      </c>
      <c r="BK216" s="571">
        <f t="shared" si="209"/>
        <v>1.043980350648646</v>
      </c>
      <c r="BL216" s="571">
        <f t="shared" si="209"/>
        <v>1.0439803506486462</v>
      </c>
      <c r="BM216" s="571">
        <f t="shared" si="209"/>
        <v>1.0439803506486462</v>
      </c>
      <c r="BN216" s="571">
        <f t="shared" si="209"/>
        <v>1.043980350648646</v>
      </c>
      <c r="BO216" s="571">
        <f t="shared" si="209"/>
        <v>1.043980350648646</v>
      </c>
      <c r="BP216" s="571">
        <f t="shared" si="209"/>
        <v>1.043980350648646</v>
      </c>
      <c r="BQ216" s="571">
        <f t="shared" si="209"/>
        <v>1.043980350648646</v>
      </c>
      <c r="BR216" s="571">
        <f t="shared" si="209"/>
        <v>1.0439803506486462</v>
      </c>
      <c r="BS216" s="571">
        <f t="shared" si="209"/>
        <v>1.043980350648646</v>
      </c>
      <c r="BT216" s="571">
        <f t="shared" si="209"/>
        <v>1.0439803506486462</v>
      </c>
      <c r="BU216" s="571">
        <f t="shared" si="209"/>
        <v>1.043980350648646</v>
      </c>
      <c r="BV216" s="571">
        <f t="shared" si="209"/>
        <v>1.043980350648646</v>
      </c>
      <c r="BW216" s="571">
        <f t="shared" si="209"/>
        <v>1.043980350648646</v>
      </c>
      <c r="BX216" s="571">
        <f t="shared" si="209"/>
        <v>1.043980350648646</v>
      </c>
      <c r="BY216" s="571">
        <f t="shared" ref="BY216:CN220" si="210">Y220/Y216</f>
        <v>1.043980350648646</v>
      </c>
      <c r="BZ216" s="571">
        <f t="shared" si="210"/>
        <v>1.043980350648646</v>
      </c>
      <c r="CA216" s="571">
        <f t="shared" si="210"/>
        <v>1.043980350648646</v>
      </c>
      <c r="CB216" s="571">
        <f t="shared" si="210"/>
        <v>1.043980350648646</v>
      </c>
      <c r="CC216" s="571">
        <f t="shared" si="210"/>
        <v>1.043980350648646</v>
      </c>
      <c r="CD216" s="571">
        <f t="shared" si="210"/>
        <v>1.0439803506486462</v>
      </c>
      <c r="CE216" s="571">
        <f t="shared" si="210"/>
        <v>1.043980350648646</v>
      </c>
      <c r="CF216" s="571">
        <f t="shared" si="210"/>
        <v>1.043980350648646</v>
      </c>
      <c r="CG216" s="571">
        <f t="shared" si="210"/>
        <v>1.0439803506486458</v>
      </c>
      <c r="CH216" s="571">
        <f t="shared" si="210"/>
        <v>1.0439803506486462</v>
      </c>
      <c r="CI216" s="571">
        <f t="shared" si="210"/>
        <v>1.0439803506486458</v>
      </c>
      <c r="CJ216" s="571">
        <f t="shared" si="210"/>
        <v>1.043980350648646</v>
      </c>
      <c r="CK216" s="571">
        <f t="shared" si="210"/>
        <v>1.043980350648646</v>
      </c>
      <c r="CL216" s="571">
        <f t="shared" si="210"/>
        <v>1.043980350648646</v>
      </c>
      <c r="CM216" s="571">
        <f t="shared" si="210"/>
        <v>1.0439803506486462</v>
      </c>
      <c r="CN216" s="571">
        <f t="shared" si="210"/>
        <v>1.043980350648646</v>
      </c>
      <c r="CO216" s="571">
        <f t="shared" ref="CO216:DD220" si="211">AO220/AO216</f>
        <v>1.0439803506486462</v>
      </c>
      <c r="CP216" s="571">
        <f t="shared" si="211"/>
        <v>1.043980350648646</v>
      </c>
      <c r="CQ216" s="571">
        <f t="shared" si="211"/>
        <v>1.043980350648646</v>
      </c>
      <c r="CR216" s="571">
        <f t="shared" si="211"/>
        <v>1.043980350648646</v>
      </c>
      <c r="CS216" s="571">
        <f t="shared" si="211"/>
        <v>1.043980350648646</v>
      </c>
      <c r="CT216" s="571">
        <f t="shared" si="211"/>
        <v>1.043980350648646</v>
      </c>
      <c r="CU216" s="571">
        <f t="shared" si="211"/>
        <v>1.043980350648646</v>
      </c>
      <c r="CV216" s="571">
        <f t="shared" si="211"/>
        <v>1.043980350648646</v>
      </c>
      <c r="CW216" s="571">
        <f t="shared" si="211"/>
        <v>1.043980350648646</v>
      </c>
      <c r="CX216" s="571">
        <f t="shared" si="211"/>
        <v>1.043980350648646</v>
      </c>
      <c r="CY216" s="571">
        <f t="shared" si="211"/>
        <v>1.043980350648646</v>
      </c>
      <c r="CZ216" s="571">
        <f t="shared" si="211"/>
        <v>1.043980350648646</v>
      </c>
      <c r="DA216" s="571">
        <f t="shared" si="211"/>
        <v>1.043980350648646</v>
      </c>
      <c r="DB216" s="571">
        <f t="shared" si="211"/>
        <v>1.0439803506486462</v>
      </c>
      <c r="DC216" s="571">
        <f t="shared" si="211"/>
        <v>1.043980350648646</v>
      </c>
      <c r="DD216" s="571">
        <f t="shared" si="211"/>
        <v>1.043980350648646</v>
      </c>
      <c r="DE216" s="571">
        <f t="shared" ref="DE216:DG220" si="212">BE220/BE216</f>
        <v>1.0439803506486458</v>
      </c>
      <c r="DF216" s="571">
        <f t="shared" si="212"/>
        <v>1.043980350648646</v>
      </c>
      <c r="DG216" s="571">
        <f t="shared" si="212"/>
        <v>1.0439803506486462</v>
      </c>
    </row>
    <row r="217" spans="1:111" hidden="1">
      <c r="A217" s="2773"/>
      <c r="B217" s="2935" t="s">
        <v>5724</v>
      </c>
      <c r="C217" s="2936"/>
      <c r="D217" s="2937"/>
      <c r="E217" s="1791" t="s">
        <v>5698</v>
      </c>
      <c r="F217" s="1791">
        <v>150</v>
      </c>
      <c r="G217" s="1791">
        <v>200</v>
      </c>
      <c r="H217" s="1791">
        <v>2</v>
      </c>
      <c r="I217" s="1792">
        <f t="shared" ref="I217:AN217" si="213">((I$208-$I$4)/1000)*$M$69*(($C$8/70)^$W$69)*IF($C$13=1,$AF$70,IF($C$13=2,$AG$70,IF($C$13=3,$AH$70,1)))</f>
        <v>385.67015999999995</v>
      </c>
      <c r="J217" s="1792">
        <f t="shared" si="213"/>
        <v>514.22687999999994</v>
      </c>
      <c r="K217" s="1792">
        <f t="shared" si="213"/>
        <v>642.78359999999998</v>
      </c>
      <c r="L217" s="1792">
        <f t="shared" si="213"/>
        <v>771.34031999999991</v>
      </c>
      <c r="M217" s="1792">
        <f t="shared" si="213"/>
        <v>899.89703999999983</v>
      </c>
      <c r="N217" s="1792">
        <f t="shared" si="213"/>
        <v>1028.4537599999999</v>
      </c>
      <c r="O217" s="1792">
        <f t="shared" si="213"/>
        <v>1157.0104799999999</v>
      </c>
      <c r="P217" s="1792">
        <f t="shared" si="213"/>
        <v>1285.5672</v>
      </c>
      <c r="Q217" s="1792">
        <f t="shared" si="213"/>
        <v>1414.12392</v>
      </c>
      <c r="R217" s="1792">
        <f t="shared" si="213"/>
        <v>1542.6806399999998</v>
      </c>
      <c r="S217" s="1792">
        <f t="shared" si="213"/>
        <v>1671.2373599999999</v>
      </c>
      <c r="T217" s="1792">
        <f t="shared" si="213"/>
        <v>1799.7940799999997</v>
      </c>
      <c r="U217" s="1792">
        <f t="shared" si="213"/>
        <v>1928.3507999999997</v>
      </c>
      <c r="V217" s="1792">
        <f t="shared" si="213"/>
        <v>2056.9075199999997</v>
      </c>
      <c r="W217" s="1792">
        <f t="shared" si="213"/>
        <v>2185.4642399999998</v>
      </c>
      <c r="X217" s="1792">
        <f t="shared" si="213"/>
        <v>2314.0209599999998</v>
      </c>
      <c r="Y217" s="1792">
        <f t="shared" si="213"/>
        <v>2442.5776799999999</v>
      </c>
      <c r="Z217" s="1792">
        <f t="shared" si="213"/>
        <v>2571.1343999999999</v>
      </c>
      <c r="AA217" s="1792">
        <f t="shared" si="213"/>
        <v>2699.69112</v>
      </c>
      <c r="AB217" s="1792">
        <f t="shared" si="213"/>
        <v>2828.24784</v>
      </c>
      <c r="AC217" s="1792">
        <f t="shared" si="213"/>
        <v>2956.8045599999996</v>
      </c>
      <c r="AD217" s="1792">
        <f t="shared" si="213"/>
        <v>3085.3612799999996</v>
      </c>
      <c r="AE217" s="1792">
        <f t="shared" si="213"/>
        <v>3213.9179999999997</v>
      </c>
      <c r="AF217" s="1792">
        <f t="shared" si="213"/>
        <v>3342.4747199999997</v>
      </c>
      <c r="AG217" s="1792">
        <f t="shared" si="213"/>
        <v>3471.0314399999997</v>
      </c>
      <c r="AH217" s="1792">
        <f t="shared" si="213"/>
        <v>3599.5881599999993</v>
      </c>
      <c r="AI217" s="1792">
        <f t="shared" si="213"/>
        <v>3728.1448799999994</v>
      </c>
      <c r="AJ217" s="1792">
        <f t="shared" si="213"/>
        <v>3856.7015999999994</v>
      </c>
      <c r="AK217" s="1792">
        <f t="shared" si="213"/>
        <v>3985.2583199999995</v>
      </c>
      <c r="AL217" s="1792">
        <f t="shared" si="213"/>
        <v>4113.8150399999995</v>
      </c>
      <c r="AM217" s="1792">
        <f t="shared" si="213"/>
        <v>4242.3717599999991</v>
      </c>
      <c r="AN217" s="1792">
        <f t="shared" si="213"/>
        <v>4370.9284799999996</v>
      </c>
      <c r="AO217" s="1792">
        <f t="shared" ref="AO217:BG217" si="214">((AO$208-$I$4)/1000)*$M$69*(($C$8/70)^$W$69)*IF($C$13=1,$AF$70,IF($C$13=2,$AG$70,IF($C$13=3,$AH$70,1)))</f>
        <v>4499.4851999999992</v>
      </c>
      <c r="AP217" s="1792">
        <f t="shared" si="214"/>
        <v>4628.0419199999997</v>
      </c>
      <c r="AQ217" s="1792">
        <f t="shared" si="214"/>
        <v>4756.5986399999992</v>
      </c>
      <c r="AR217" s="1792">
        <f t="shared" si="214"/>
        <v>4885.1553599999997</v>
      </c>
      <c r="AS217" s="1792">
        <f t="shared" si="214"/>
        <v>5013.7120799999993</v>
      </c>
      <c r="AT217" s="1792">
        <f t="shared" si="214"/>
        <v>5142.2687999999998</v>
      </c>
      <c r="AU217" s="1792">
        <f t="shared" si="214"/>
        <v>5270.8255199999985</v>
      </c>
      <c r="AV217" s="1792">
        <f t="shared" si="214"/>
        <v>5399.3822399999999</v>
      </c>
      <c r="AW217" s="1792">
        <f t="shared" si="214"/>
        <v>5527.9389599999995</v>
      </c>
      <c r="AX217" s="1792">
        <f t="shared" si="214"/>
        <v>5656.49568</v>
      </c>
      <c r="AY217" s="1792">
        <f t="shared" si="214"/>
        <v>5785.0523999999996</v>
      </c>
      <c r="AZ217" s="1792">
        <f t="shared" si="214"/>
        <v>5913.6091199999992</v>
      </c>
      <c r="BA217" s="1792">
        <f t="shared" si="214"/>
        <v>6042.1658399999997</v>
      </c>
      <c r="BB217" s="1792">
        <f t="shared" si="214"/>
        <v>6170.7225599999992</v>
      </c>
      <c r="BC217" s="1792">
        <f t="shared" si="214"/>
        <v>6299.2792799999997</v>
      </c>
      <c r="BD217" s="1792">
        <f t="shared" si="214"/>
        <v>6427.8359999999993</v>
      </c>
      <c r="BE217" s="1792">
        <f t="shared" si="214"/>
        <v>6556.3927199999989</v>
      </c>
      <c r="BF217" s="1792">
        <f t="shared" si="214"/>
        <v>6684.9494399999994</v>
      </c>
      <c r="BG217" s="1792">
        <f t="shared" si="214"/>
        <v>6813.506159999999</v>
      </c>
      <c r="BI217" s="571" t="e">
        <f t="shared" si="209"/>
        <v>#REF!</v>
      </c>
      <c r="BJ217" s="571" t="e">
        <f t="shared" si="209"/>
        <v>#REF!</v>
      </c>
      <c r="BK217" s="571" t="e">
        <f t="shared" si="209"/>
        <v>#REF!</v>
      </c>
      <c r="BL217" s="571" t="e">
        <f t="shared" si="209"/>
        <v>#REF!</v>
      </c>
      <c r="BM217" s="571" t="e">
        <f t="shared" si="209"/>
        <v>#REF!</v>
      </c>
      <c r="BN217" s="571" t="e">
        <f t="shared" si="209"/>
        <v>#REF!</v>
      </c>
      <c r="BO217" s="571" t="e">
        <f t="shared" si="209"/>
        <v>#REF!</v>
      </c>
      <c r="BP217" s="571" t="e">
        <f t="shared" si="209"/>
        <v>#REF!</v>
      </c>
      <c r="BQ217" s="571" t="e">
        <f t="shared" si="209"/>
        <v>#REF!</v>
      </c>
      <c r="BR217" s="571" t="e">
        <f t="shared" si="209"/>
        <v>#REF!</v>
      </c>
      <c r="BS217" s="571" t="e">
        <f t="shared" si="209"/>
        <v>#REF!</v>
      </c>
      <c r="BT217" s="571" t="e">
        <f t="shared" si="209"/>
        <v>#REF!</v>
      </c>
      <c r="BU217" s="571" t="e">
        <f t="shared" si="209"/>
        <v>#REF!</v>
      </c>
      <c r="BV217" s="571" t="e">
        <f t="shared" si="209"/>
        <v>#REF!</v>
      </c>
      <c r="BW217" s="571" t="e">
        <f t="shared" si="209"/>
        <v>#REF!</v>
      </c>
      <c r="BX217" s="571" t="e">
        <f t="shared" si="209"/>
        <v>#REF!</v>
      </c>
      <c r="BY217" s="571" t="e">
        <f t="shared" si="210"/>
        <v>#REF!</v>
      </c>
      <c r="BZ217" s="571" t="e">
        <f t="shared" si="210"/>
        <v>#REF!</v>
      </c>
      <c r="CA217" s="571" t="e">
        <f t="shared" si="210"/>
        <v>#REF!</v>
      </c>
      <c r="CB217" s="571" t="e">
        <f t="shared" si="210"/>
        <v>#REF!</v>
      </c>
      <c r="CC217" s="571" t="e">
        <f t="shared" si="210"/>
        <v>#REF!</v>
      </c>
      <c r="CD217" s="571" t="e">
        <f t="shared" si="210"/>
        <v>#REF!</v>
      </c>
      <c r="CE217" s="571" t="e">
        <f t="shared" si="210"/>
        <v>#REF!</v>
      </c>
      <c r="CF217" s="571" t="e">
        <f t="shared" si="210"/>
        <v>#REF!</v>
      </c>
      <c r="CG217" s="571" t="e">
        <f t="shared" si="210"/>
        <v>#REF!</v>
      </c>
      <c r="CH217" s="571" t="e">
        <f t="shared" si="210"/>
        <v>#REF!</v>
      </c>
      <c r="CI217" s="571" t="e">
        <f t="shared" si="210"/>
        <v>#REF!</v>
      </c>
      <c r="CJ217" s="571" t="e">
        <f t="shared" si="210"/>
        <v>#REF!</v>
      </c>
      <c r="CK217" s="571" t="e">
        <f t="shared" si="210"/>
        <v>#REF!</v>
      </c>
      <c r="CL217" s="571" t="e">
        <f t="shared" si="210"/>
        <v>#REF!</v>
      </c>
      <c r="CM217" s="571" t="e">
        <f t="shared" si="210"/>
        <v>#REF!</v>
      </c>
      <c r="CN217" s="571" t="e">
        <f t="shared" si="210"/>
        <v>#REF!</v>
      </c>
      <c r="CO217" s="571" t="e">
        <f t="shared" si="211"/>
        <v>#REF!</v>
      </c>
      <c r="CP217" s="571" t="e">
        <f t="shared" si="211"/>
        <v>#REF!</v>
      </c>
      <c r="CQ217" s="571" t="e">
        <f t="shared" si="211"/>
        <v>#REF!</v>
      </c>
      <c r="CR217" s="571" t="e">
        <f t="shared" si="211"/>
        <v>#REF!</v>
      </c>
      <c r="CS217" s="571" t="e">
        <f t="shared" si="211"/>
        <v>#REF!</v>
      </c>
      <c r="CT217" s="571" t="e">
        <f t="shared" si="211"/>
        <v>#REF!</v>
      </c>
      <c r="CU217" s="571" t="e">
        <f t="shared" si="211"/>
        <v>#REF!</v>
      </c>
      <c r="CV217" s="571" t="e">
        <f t="shared" si="211"/>
        <v>#REF!</v>
      </c>
      <c r="CW217" s="571" t="e">
        <f t="shared" si="211"/>
        <v>#REF!</v>
      </c>
      <c r="CX217" s="571" t="e">
        <f t="shared" si="211"/>
        <v>#REF!</v>
      </c>
      <c r="CY217" s="571" t="e">
        <f t="shared" si="211"/>
        <v>#REF!</v>
      </c>
      <c r="CZ217" s="571" t="e">
        <f t="shared" si="211"/>
        <v>#REF!</v>
      </c>
      <c r="DA217" s="571" t="e">
        <f t="shared" si="211"/>
        <v>#REF!</v>
      </c>
      <c r="DB217" s="571" t="e">
        <f t="shared" si="211"/>
        <v>#REF!</v>
      </c>
      <c r="DC217" s="571" t="e">
        <f t="shared" si="211"/>
        <v>#REF!</v>
      </c>
      <c r="DD217" s="571" t="e">
        <f t="shared" si="211"/>
        <v>#REF!</v>
      </c>
      <c r="DE217" s="571" t="e">
        <f t="shared" si="212"/>
        <v>#REF!</v>
      </c>
      <c r="DF217" s="571" t="e">
        <f t="shared" si="212"/>
        <v>#REF!</v>
      </c>
      <c r="DG217" s="571" t="e">
        <f t="shared" si="212"/>
        <v>#REF!</v>
      </c>
    </row>
    <row r="218" spans="1:111" hidden="1">
      <c r="A218" s="2773"/>
      <c r="B218" s="2940" t="s">
        <v>5725</v>
      </c>
      <c r="C218" s="2941"/>
      <c r="D218" s="2938"/>
      <c r="E218" s="1793" t="s">
        <v>5698</v>
      </c>
      <c r="F218" s="1793">
        <v>150</v>
      </c>
      <c r="G218" s="1793">
        <v>260</v>
      </c>
      <c r="H218" s="1793">
        <v>2</v>
      </c>
      <c r="I218" s="1792">
        <f t="shared" ref="I218:AN218" si="215">((I$208-$I$4)/1000)*$N$69*(($C$8/70)^$X$69)*IF($C$13=1,$AF$69,IF($C$13=2,$AG$69,IF($C$13=3,$AH$69,1)))</f>
        <v>505.88721719999984</v>
      </c>
      <c r="J218" s="1792">
        <f t="shared" si="215"/>
        <v>674.51628959999971</v>
      </c>
      <c r="K218" s="1792">
        <f t="shared" si="215"/>
        <v>843.14536199999975</v>
      </c>
      <c r="L218" s="1792">
        <f t="shared" si="215"/>
        <v>1011.7744343999997</v>
      </c>
      <c r="M218" s="1792">
        <f t="shared" si="215"/>
        <v>1180.4035067999996</v>
      </c>
      <c r="N218" s="1792">
        <f t="shared" si="215"/>
        <v>1349.0325791999994</v>
      </c>
      <c r="O218" s="1792">
        <f t="shared" si="215"/>
        <v>1517.6616515999995</v>
      </c>
      <c r="P218" s="1792">
        <f t="shared" si="215"/>
        <v>1686.2907239999995</v>
      </c>
      <c r="Q218" s="1792">
        <f t="shared" si="215"/>
        <v>1854.9197963999993</v>
      </c>
      <c r="R218" s="1792">
        <f t="shared" si="215"/>
        <v>2023.5488687999994</v>
      </c>
      <c r="S218" s="1792">
        <f t="shared" si="215"/>
        <v>2192.1779411999992</v>
      </c>
      <c r="T218" s="1792">
        <f t="shared" si="215"/>
        <v>2360.8070135999992</v>
      </c>
      <c r="U218" s="1792">
        <f t="shared" si="215"/>
        <v>2529.4360859999992</v>
      </c>
      <c r="V218" s="1792">
        <f t="shared" si="215"/>
        <v>2698.0651583999988</v>
      </c>
      <c r="W218" s="1792">
        <f t="shared" si="215"/>
        <v>2866.6942307999993</v>
      </c>
      <c r="X218" s="1792">
        <f t="shared" si="215"/>
        <v>3035.3233031999989</v>
      </c>
      <c r="Y218" s="1792">
        <f t="shared" si="215"/>
        <v>3203.9523755999985</v>
      </c>
      <c r="Z218" s="1792">
        <f t="shared" si="215"/>
        <v>3372.581447999999</v>
      </c>
      <c r="AA218" s="1792">
        <f t="shared" si="215"/>
        <v>3541.210520399999</v>
      </c>
      <c r="AB218" s="1792">
        <f t="shared" si="215"/>
        <v>3709.8395927999986</v>
      </c>
      <c r="AC218" s="1792">
        <f t="shared" si="215"/>
        <v>3878.4686651999987</v>
      </c>
      <c r="AD218" s="1792">
        <f t="shared" si="215"/>
        <v>4047.0977375999987</v>
      </c>
      <c r="AE218" s="1792">
        <f t="shared" si="215"/>
        <v>4215.7268099999983</v>
      </c>
      <c r="AF218" s="1792">
        <f t="shared" si="215"/>
        <v>4384.3558823999983</v>
      </c>
      <c r="AG218" s="1792">
        <f t="shared" si="215"/>
        <v>4552.9849547999993</v>
      </c>
      <c r="AH218" s="1792">
        <f t="shared" si="215"/>
        <v>4721.6140271999984</v>
      </c>
      <c r="AI218" s="1792">
        <f t="shared" si="215"/>
        <v>4890.2430995999985</v>
      </c>
      <c r="AJ218" s="1792">
        <f t="shared" si="215"/>
        <v>5058.8721719999985</v>
      </c>
      <c r="AK218" s="1792">
        <f t="shared" si="215"/>
        <v>5227.5012443999985</v>
      </c>
      <c r="AL218" s="1792">
        <f t="shared" si="215"/>
        <v>5396.1303167999977</v>
      </c>
      <c r="AM218" s="1792">
        <f t="shared" si="215"/>
        <v>5564.7593891999986</v>
      </c>
      <c r="AN218" s="1792">
        <f t="shared" si="215"/>
        <v>5733.3884615999987</v>
      </c>
      <c r="AO218" s="1792">
        <f t="shared" ref="AO218:BG218" si="216">((AO$208-$I$4)/1000)*$N$69*(($C$8/70)^$X$69)*IF($C$13=1,$AF$69,IF($C$13=2,$AG$69,IF($C$13=3,$AH$69,1)))</f>
        <v>5902.0175339999978</v>
      </c>
      <c r="AP218" s="1792">
        <f t="shared" si="216"/>
        <v>6070.6466063999978</v>
      </c>
      <c r="AQ218" s="1792">
        <f t="shared" si="216"/>
        <v>6239.2756787999979</v>
      </c>
      <c r="AR218" s="1792">
        <f t="shared" si="216"/>
        <v>6407.904751199997</v>
      </c>
      <c r="AS218" s="1792">
        <f t="shared" si="216"/>
        <v>6576.533823599997</v>
      </c>
      <c r="AT218" s="1792">
        <f t="shared" si="216"/>
        <v>6745.162895999998</v>
      </c>
      <c r="AU218" s="1792">
        <f t="shared" si="216"/>
        <v>6913.7919683999971</v>
      </c>
      <c r="AV218" s="1792">
        <f t="shared" si="216"/>
        <v>7082.4210407999981</v>
      </c>
      <c r="AW218" s="1792">
        <f t="shared" si="216"/>
        <v>7251.0501131999972</v>
      </c>
      <c r="AX218" s="1792">
        <f t="shared" si="216"/>
        <v>7419.6791855999973</v>
      </c>
      <c r="AY218" s="1792">
        <f t="shared" si="216"/>
        <v>7588.3082579999982</v>
      </c>
      <c r="AZ218" s="1792">
        <f t="shared" si="216"/>
        <v>7756.9373303999973</v>
      </c>
      <c r="BA218" s="1792">
        <f t="shared" si="216"/>
        <v>7925.5664027999974</v>
      </c>
      <c r="BB218" s="1792">
        <f t="shared" si="216"/>
        <v>8094.1954751999974</v>
      </c>
      <c r="BC218" s="1792">
        <f t="shared" si="216"/>
        <v>8262.8245475999975</v>
      </c>
      <c r="BD218" s="1792">
        <f t="shared" si="216"/>
        <v>8431.4536199999966</v>
      </c>
      <c r="BE218" s="1792">
        <f t="shared" si="216"/>
        <v>8600.0826923999957</v>
      </c>
      <c r="BF218" s="1792">
        <f t="shared" si="216"/>
        <v>8768.7117647999967</v>
      </c>
      <c r="BG218" s="1792">
        <f t="shared" si="216"/>
        <v>8937.3408371999958</v>
      </c>
      <c r="BI218" s="571" t="e">
        <f t="shared" si="209"/>
        <v>#REF!</v>
      </c>
      <c r="BJ218" s="571" t="e">
        <f t="shared" si="209"/>
        <v>#REF!</v>
      </c>
      <c r="BK218" s="571" t="e">
        <f t="shared" si="209"/>
        <v>#REF!</v>
      </c>
      <c r="BL218" s="571" t="e">
        <f t="shared" si="209"/>
        <v>#REF!</v>
      </c>
      <c r="BM218" s="571" t="e">
        <f t="shared" si="209"/>
        <v>#REF!</v>
      </c>
      <c r="BN218" s="571" t="e">
        <f t="shared" si="209"/>
        <v>#REF!</v>
      </c>
      <c r="BO218" s="571" t="e">
        <f t="shared" si="209"/>
        <v>#REF!</v>
      </c>
      <c r="BP218" s="571" t="e">
        <f t="shared" si="209"/>
        <v>#REF!</v>
      </c>
      <c r="BQ218" s="571" t="e">
        <f t="shared" si="209"/>
        <v>#REF!</v>
      </c>
      <c r="BR218" s="571" t="e">
        <f t="shared" si="209"/>
        <v>#REF!</v>
      </c>
      <c r="BS218" s="571" t="e">
        <f t="shared" si="209"/>
        <v>#REF!</v>
      </c>
      <c r="BT218" s="571" t="e">
        <f t="shared" si="209"/>
        <v>#REF!</v>
      </c>
      <c r="BU218" s="571" t="e">
        <f t="shared" si="209"/>
        <v>#REF!</v>
      </c>
      <c r="BV218" s="571" t="e">
        <f t="shared" si="209"/>
        <v>#REF!</v>
      </c>
      <c r="BW218" s="571" t="e">
        <f t="shared" si="209"/>
        <v>#REF!</v>
      </c>
      <c r="BX218" s="571" t="e">
        <f t="shared" si="209"/>
        <v>#REF!</v>
      </c>
      <c r="BY218" s="571" t="e">
        <f t="shared" si="210"/>
        <v>#REF!</v>
      </c>
      <c r="BZ218" s="571" t="e">
        <f t="shared" si="210"/>
        <v>#REF!</v>
      </c>
      <c r="CA218" s="571" t="e">
        <f t="shared" si="210"/>
        <v>#REF!</v>
      </c>
      <c r="CB218" s="571" t="e">
        <f t="shared" si="210"/>
        <v>#REF!</v>
      </c>
      <c r="CC218" s="571" t="e">
        <f t="shared" si="210"/>
        <v>#REF!</v>
      </c>
      <c r="CD218" s="571" t="e">
        <f t="shared" si="210"/>
        <v>#REF!</v>
      </c>
      <c r="CE218" s="571" t="e">
        <f t="shared" si="210"/>
        <v>#REF!</v>
      </c>
      <c r="CF218" s="571" t="e">
        <f t="shared" si="210"/>
        <v>#REF!</v>
      </c>
      <c r="CG218" s="571" t="e">
        <f t="shared" si="210"/>
        <v>#REF!</v>
      </c>
      <c r="CH218" s="571" t="e">
        <f t="shared" si="210"/>
        <v>#REF!</v>
      </c>
      <c r="CI218" s="571" t="e">
        <f t="shared" si="210"/>
        <v>#REF!</v>
      </c>
      <c r="CJ218" s="571" t="e">
        <f t="shared" si="210"/>
        <v>#REF!</v>
      </c>
      <c r="CK218" s="571" t="e">
        <f t="shared" si="210"/>
        <v>#REF!</v>
      </c>
      <c r="CL218" s="571" t="e">
        <f t="shared" si="210"/>
        <v>#REF!</v>
      </c>
      <c r="CM218" s="571" t="e">
        <f t="shared" si="210"/>
        <v>#REF!</v>
      </c>
      <c r="CN218" s="571" t="e">
        <f t="shared" si="210"/>
        <v>#REF!</v>
      </c>
      <c r="CO218" s="571" t="e">
        <f t="shared" si="211"/>
        <v>#REF!</v>
      </c>
      <c r="CP218" s="571" t="e">
        <f t="shared" si="211"/>
        <v>#REF!</v>
      </c>
      <c r="CQ218" s="571" t="e">
        <f t="shared" si="211"/>
        <v>#REF!</v>
      </c>
      <c r="CR218" s="571" t="e">
        <f t="shared" si="211"/>
        <v>#REF!</v>
      </c>
      <c r="CS218" s="571" t="e">
        <f t="shared" si="211"/>
        <v>#REF!</v>
      </c>
      <c r="CT218" s="571" t="e">
        <f t="shared" si="211"/>
        <v>#REF!</v>
      </c>
      <c r="CU218" s="571" t="e">
        <f t="shared" si="211"/>
        <v>#REF!</v>
      </c>
      <c r="CV218" s="571" t="e">
        <f t="shared" si="211"/>
        <v>#REF!</v>
      </c>
      <c r="CW218" s="571" t="e">
        <f t="shared" si="211"/>
        <v>#REF!</v>
      </c>
      <c r="CX218" s="571" t="e">
        <f t="shared" si="211"/>
        <v>#REF!</v>
      </c>
      <c r="CY218" s="571" t="e">
        <f t="shared" si="211"/>
        <v>#REF!</v>
      </c>
      <c r="CZ218" s="571" t="e">
        <f t="shared" si="211"/>
        <v>#REF!</v>
      </c>
      <c r="DA218" s="571" t="e">
        <f t="shared" si="211"/>
        <v>#REF!</v>
      </c>
      <c r="DB218" s="571" t="e">
        <f t="shared" si="211"/>
        <v>#REF!</v>
      </c>
      <c r="DC218" s="571" t="e">
        <f t="shared" si="211"/>
        <v>#REF!</v>
      </c>
      <c r="DD218" s="571" t="e">
        <f t="shared" si="211"/>
        <v>#REF!</v>
      </c>
      <c r="DE218" s="571" t="e">
        <f t="shared" si="212"/>
        <v>#REF!</v>
      </c>
      <c r="DF218" s="571" t="e">
        <f t="shared" si="212"/>
        <v>#REF!</v>
      </c>
      <c r="DG218" s="571" t="e">
        <f t="shared" si="212"/>
        <v>#REF!</v>
      </c>
    </row>
    <row r="219" spans="1:111" hidden="1">
      <c r="A219" s="2773"/>
      <c r="B219" s="2940" t="s">
        <v>5726</v>
      </c>
      <c r="C219" s="2941"/>
      <c r="D219" s="2938"/>
      <c r="E219" s="1793" t="s">
        <v>5698</v>
      </c>
      <c r="F219" s="1793">
        <v>150</v>
      </c>
      <c r="G219" s="1793">
        <v>300</v>
      </c>
      <c r="H219" s="1793">
        <v>2</v>
      </c>
      <c r="I219" s="1792">
        <f t="shared" ref="I219:AN219" si="217">((I$208-$I$4)/1000)*$O$69*(($C$8/70)^$Z$69)*IF($C$13=1,$AF$72,IF($C$13=2,$AG$72,IF($C$13=3,$AH$72,1)))</f>
        <v>599.2145999999999</v>
      </c>
      <c r="J219" s="1792">
        <f t="shared" si="217"/>
        <v>798.95280000000002</v>
      </c>
      <c r="K219" s="1792">
        <f t="shared" si="217"/>
        <v>998.69099999999992</v>
      </c>
      <c r="L219" s="1792">
        <f t="shared" si="217"/>
        <v>1198.4291999999998</v>
      </c>
      <c r="M219" s="1792">
        <f t="shared" si="217"/>
        <v>1398.1673999999998</v>
      </c>
      <c r="N219" s="1792">
        <f t="shared" si="217"/>
        <v>1597.9056</v>
      </c>
      <c r="O219" s="1792">
        <f t="shared" si="217"/>
        <v>1797.6437999999998</v>
      </c>
      <c r="P219" s="1792">
        <f t="shared" si="217"/>
        <v>1997.3819999999998</v>
      </c>
      <c r="Q219" s="1792">
        <f t="shared" si="217"/>
        <v>2197.1201999999998</v>
      </c>
      <c r="R219" s="1792">
        <f t="shared" si="217"/>
        <v>2396.8583999999996</v>
      </c>
      <c r="S219" s="1792">
        <f t="shared" si="217"/>
        <v>2596.5965999999999</v>
      </c>
      <c r="T219" s="1792">
        <f t="shared" si="217"/>
        <v>2796.3347999999996</v>
      </c>
      <c r="U219" s="1792">
        <f t="shared" si="217"/>
        <v>2996.0729999999994</v>
      </c>
      <c r="V219" s="1792">
        <f t="shared" si="217"/>
        <v>3195.8112000000001</v>
      </c>
      <c r="W219" s="1792">
        <f t="shared" si="217"/>
        <v>3395.5493999999999</v>
      </c>
      <c r="X219" s="1792">
        <f t="shared" si="217"/>
        <v>3595.2875999999997</v>
      </c>
      <c r="Y219" s="1792">
        <f t="shared" si="217"/>
        <v>3795.0257999999999</v>
      </c>
      <c r="Z219" s="1792">
        <f t="shared" si="217"/>
        <v>3994.7639999999997</v>
      </c>
      <c r="AA219" s="1792">
        <f t="shared" si="217"/>
        <v>4194.5021999999999</v>
      </c>
      <c r="AB219" s="1792">
        <f t="shared" si="217"/>
        <v>4394.2403999999997</v>
      </c>
      <c r="AC219" s="1792">
        <f t="shared" si="217"/>
        <v>4593.9785999999995</v>
      </c>
      <c r="AD219" s="1792">
        <f t="shared" si="217"/>
        <v>4793.7167999999992</v>
      </c>
      <c r="AE219" s="1792">
        <f t="shared" si="217"/>
        <v>4993.4549999999999</v>
      </c>
      <c r="AF219" s="1792">
        <f t="shared" si="217"/>
        <v>5193.1931999999997</v>
      </c>
      <c r="AG219" s="1792">
        <f t="shared" si="217"/>
        <v>5392.9313999999995</v>
      </c>
      <c r="AH219" s="1792">
        <f t="shared" si="217"/>
        <v>5592.6695999999993</v>
      </c>
      <c r="AI219" s="1792">
        <f t="shared" si="217"/>
        <v>5792.4078</v>
      </c>
      <c r="AJ219" s="1792">
        <f t="shared" si="217"/>
        <v>5992.1459999999988</v>
      </c>
      <c r="AK219" s="1792">
        <f t="shared" si="217"/>
        <v>6191.8841999999995</v>
      </c>
      <c r="AL219" s="1792">
        <f t="shared" si="217"/>
        <v>6391.6224000000002</v>
      </c>
      <c r="AM219" s="1792">
        <f t="shared" si="217"/>
        <v>6591.3605999999991</v>
      </c>
      <c r="AN219" s="1792">
        <f t="shared" si="217"/>
        <v>6791.0987999999998</v>
      </c>
      <c r="AO219" s="1792">
        <f t="shared" ref="AO219:BG219" si="218">((AO$208-$I$4)/1000)*$O$69*(($C$8/70)^$Z$69)*IF($C$13=1,$AF$72,IF($C$13=2,$AG$72,IF($C$13=3,$AH$72,1)))</f>
        <v>6990.8369999999995</v>
      </c>
      <c r="AP219" s="1792">
        <f t="shared" si="218"/>
        <v>7190.5751999999993</v>
      </c>
      <c r="AQ219" s="1792">
        <f t="shared" si="218"/>
        <v>7390.3134</v>
      </c>
      <c r="AR219" s="1792">
        <f t="shared" si="218"/>
        <v>7590.0515999999998</v>
      </c>
      <c r="AS219" s="1792">
        <f t="shared" si="218"/>
        <v>7789.7897999999986</v>
      </c>
      <c r="AT219" s="1792">
        <f t="shared" si="218"/>
        <v>7989.5279999999993</v>
      </c>
      <c r="AU219" s="1792">
        <f t="shared" si="218"/>
        <v>8189.2661999999991</v>
      </c>
      <c r="AV219" s="1792">
        <f t="shared" si="218"/>
        <v>8389.0043999999998</v>
      </c>
      <c r="AW219" s="1792">
        <f t="shared" si="218"/>
        <v>8588.7425999999978</v>
      </c>
      <c r="AX219" s="1792">
        <f t="shared" si="218"/>
        <v>8788.4807999999994</v>
      </c>
      <c r="AY219" s="1792">
        <f t="shared" si="218"/>
        <v>8988.2189999999991</v>
      </c>
      <c r="AZ219" s="1792">
        <f t="shared" si="218"/>
        <v>9187.9571999999989</v>
      </c>
      <c r="BA219" s="1792">
        <f t="shared" si="218"/>
        <v>9387.6953999999987</v>
      </c>
      <c r="BB219" s="1792">
        <f t="shared" si="218"/>
        <v>9587.4335999999985</v>
      </c>
      <c r="BC219" s="1792">
        <f t="shared" si="218"/>
        <v>9787.1718000000001</v>
      </c>
      <c r="BD219" s="1792">
        <f t="shared" si="218"/>
        <v>9986.91</v>
      </c>
      <c r="BE219" s="1792">
        <f t="shared" si="218"/>
        <v>10186.6482</v>
      </c>
      <c r="BF219" s="1792">
        <f t="shared" si="218"/>
        <v>10386.386399999999</v>
      </c>
      <c r="BG219" s="1792">
        <f t="shared" si="218"/>
        <v>10586.124599999997</v>
      </c>
      <c r="BI219" s="571" t="e">
        <f t="shared" si="209"/>
        <v>#REF!</v>
      </c>
      <c r="BJ219" s="571" t="e">
        <f t="shared" si="209"/>
        <v>#REF!</v>
      </c>
      <c r="BK219" s="571" t="e">
        <f t="shared" si="209"/>
        <v>#REF!</v>
      </c>
      <c r="BL219" s="571" t="e">
        <f t="shared" si="209"/>
        <v>#REF!</v>
      </c>
      <c r="BM219" s="571" t="e">
        <f t="shared" si="209"/>
        <v>#REF!</v>
      </c>
      <c r="BN219" s="571" t="e">
        <f t="shared" si="209"/>
        <v>#REF!</v>
      </c>
      <c r="BO219" s="571" t="e">
        <f t="shared" si="209"/>
        <v>#REF!</v>
      </c>
      <c r="BP219" s="571" t="e">
        <f t="shared" si="209"/>
        <v>#REF!</v>
      </c>
      <c r="BQ219" s="571" t="e">
        <f t="shared" si="209"/>
        <v>#REF!</v>
      </c>
      <c r="BR219" s="571" t="e">
        <f t="shared" si="209"/>
        <v>#REF!</v>
      </c>
      <c r="BS219" s="571" t="e">
        <f t="shared" si="209"/>
        <v>#REF!</v>
      </c>
      <c r="BT219" s="571" t="e">
        <f t="shared" si="209"/>
        <v>#REF!</v>
      </c>
      <c r="BU219" s="571" t="e">
        <f t="shared" si="209"/>
        <v>#REF!</v>
      </c>
      <c r="BV219" s="571" t="e">
        <f t="shared" si="209"/>
        <v>#REF!</v>
      </c>
      <c r="BW219" s="571" t="e">
        <f t="shared" si="209"/>
        <v>#REF!</v>
      </c>
      <c r="BX219" s="571" t="e">
        <f t="shared" si="209"/>
        <v>#REF!</v>
      </c>
      <c r="BY219" s="571" t="e">
        <f t="shared" si="210"/>
        <v>#REF!</v>
      </c>
      <c r="BZ219" s="571" t="e">
        <f t="shared" si="210"/>
        <v>#REF!</v>
      </c>
      <c r="CA219" s="571" t="e">
        <f t="shared" si="210"/>
        <v>#REF!</v>
      </c>
      <c r="CB219" s="571" t="e">
        <f t="shared" si="210"/>
        <v>#REF!</v>
      </c>
      <c r="CC219" s="571" t="e">
        <f t="shared" si="210"/>
        <v>#REF!</v>
      </c>
      <c r="CD219" s="571" t="e">
        <f t="shared" si="210"/>
        <v>#REF!</v>
      </c>
      <c r="CE219" s="571" t="e">
        <f t="shared" si="210"/>
        <v>#REF!</v>
      </c>
      <c r="CF219" s="571" t="e">
        <f t="shared" si="210"/>
        <v>#REF!</v>
      </c>
      <c r="CG219" s="571" t="e">
        <f t="shared" si="210"/>
        <v>#REF!</v>
      </c>
      <c r="CH219" s="571" t="e">
        <f t="shared" si="210"/>
        <v>#REF!</v>
      </c>
      <c r="CI219" s="571" t="e">
        <f t="shared" si="210"/>
        <v>#REF!</v>
      </c>
      <c r="CJ219" s="571" t="e">
        <f t="shared" si="210"/>
        <v>#REF!</v>
      </c>
      <c r="CK219" s="571" t="e">
        <f t="shared" si="210"/>
        <v>#REF!</v>
      </c>
      <c r="CL219" s="571" t="e">
        <f t="shared" si="210"/>
        <v>#REF!</v>
      </c>
      <c r="CM219" s="571" t="e">
        <f t="shared" si="210"/>
        <v>#REF!</v>
      </c>
      <c r="CN219" s="571" t="e">
        <f t="shared" si="210"/>
        <v>#REF!</v>
      </c>
      <c r="CO219" s="571" t="e">
        <f t="shared" si="211"/>
        <v>#REF!</v>
      </c>
      <c r="CP219" s="571" t="e">
        <f t="shared" si="211"/>
        <v>#REF!</v>
      </c>
      <c r="CQ219" s="571" t="e">
        <f t="shared" si="211"/>
        <v>#REF!</v>
      </c>
      <c r="CR219" s="571" t="e">
        <f t="shared" si="211"/>
        <v>#REF!</v>
      </c>
      <c r="CS219" s="571" t="e">
        <f t="shared" si="211"/>
        <v>#REF!</v>
      </c>
      <c r="CT219" s="571" t="e">
        <f t="shared" si="211"/>
        <v>#REF!</v>
      </c>
      <c r="CU219" s="571" t="e">
        <f t="shared" si="211"/>
        <v>#REF!</v>
      </c>
      <c r="CV219" s="571" t="e">
        <f t="shared" si="211"/>
        <v>#REF!</v>
      </c>
      <c r="CW219" s="571" t="e">
        <f t="shared" si="211"/>
        <v>#REF!</v>
      </c>
      <c r="CX219" s="571" t="e">
        <f t="shared" si="211"/>
        <v>#REF!</v>
      </c>
      <c r="CY219" s="571" t="e">
        <f t="shared" si="211"/>
        <v>#REF!</v>
      </c>
      <c r="CZ219" s="571" t="e">
        <f t="shared" si="211"/>
        <v>#REF!</v>
      </c>
      <c r="DA219" s="571" t="e">
        <f t="shared" si="211"/>
        <v>#REF!</v>
      </c>
      <c r="DB219" s="571" t="e">
        <f t="shared" si="211"/>
        <v>#REF!</v>
      </c>
      <c r="DC219" s="571" t="e">
        <f t="shared" si="211"/>
        <v>#REF!</v>
      </c>
      <c r="DD219" s="571" t="e">
        <f t="shared" si="211"/>
        <v>#REF!</v>
      </c>
      <c r="DE219" s="571" t="e">
        <f t="shared" si="212"/>
        <v>#REF!</v>
      </c>
      <c r="DF219" s="571" t="e">
        <f t="shared" si="212"/>
        <v>#REF!</v>
      </c>
      <c r="DG219" s="571" t="e">
        <f t="shared" si="212"/>
        <v>#REF!</v>
      </c>
    </row>
    <row r="220" spans="1:111" ht="15.75" hidden="1" thickBot="1">
      <c r="A220" s="2773"/>
      <c r="B220" s="2942" t="s">
        <v>5727</v>
      </c>
      <c r="C220" s="2943"/>
      <c r="D220" s="2939"/>
      <c r="E220" s="1794" t="s">
        <v>5698</v>
      </c>
      <c r="F220" s="1794">
        <v>150</v>
      </c>
      <c r="G220" s="1794">
        <v>360</v>
      </c>
      <c r="H220" s="1794">
        <v>2</v>
      </c>
      <c r="I220" s="1795">
        <f t="shared" ref="I220:AN220" si="219">((I$208-$I$4)/1000)*$Q$69*(($C$8/70)^$AA$69)*IF($C$13=1,$AF$69,IF($C$13=2,$AG$69,IF($C$13=3,$AH$69,1)))</f>
        <v>682.703442</v>
      </c>
      <c r="J220" s="1795">
        <f t="shared" si="219"/>
        <v>910.27125599999999</v>
      </c>
      <c r="K220" s="1795">
        <f t="shared" si="219"/>
        <v>1137.83907</v>
      </c>
      <c r="L220" s="1795">
        <f t="shared" si="219"/>
        <v>1365.406884</v>
      </c>
      <c r="M220" s="1795">
        <f t="shared" si="219"/>
        <v>1592.974698</v>
      </c>
      <c r="N220" s="1795">
        <f t="shared" si="219"/>
        <v>1820.542512</v>
      </c>
      <c r="O220" s="1795">
        <f t="shared" si="219"/>
        <v>2048.110326</v>
      </c>
      <c r="P220" s="1795">
        <f t="shared" si="219"/>
        <v>2275.67814</v>
      </c>
      <c r="Q220" s="1795">
        <f t="shared" si="219"/>
        <v>2503.245954</v>
      </c>
      <c r="R220" s="1795">
        <f t="shared" si="219"/>
        <v>2730.813768</v>
      </c>
      <c r="S220" s="1795">
        <f t="shared" si="219"/>
        <v>2958.381582</v>
      </c>
      <c r="T220" s="1795">
        <f t="shared" si="219"/>
        <v>3185.949396</v>
      </c>
      <c r="U220" s="1795">
        <f t="shared" si="219"/>
        <v>3413.51721</v>
      </c>
      <c r="V220" s="1795">
        <f t="shared" si="219"/>
        <v>3641.085024</v>
      </c>
      <c r="W220" s="1795">
        <f t="shared" si="219"/>
        <v>3868.6528379999995</v>
      </c>
      <c r="X220" s="1795">
        <f t="shared" si="219"/>
        <v>4096.220652</v>
      </c>
      <c r="Y220" s="1795">
        <f t="shared" si="219"/>
        <v>4323.788466</v>
      </c>
      <c r="Z220" s="1795">
        <f t="shared" si="219"/>
        <v>4551.35628</v>
      </c>
      <c r="AA220" s="1795">
        <f t="shared" si="219"/>
        <v>4778.924094</v>
      </c>
      <c r="AB220" s="1795">
        <f t="shared" si="219"/>
        <v>5006.491908</v>
      </c>
      <c r="AC220" s="1795">
        <f t="shared" si="219"/>
        <v>5234.0597219999991</v>
      </c>
      <c r="AD220" s="1795">
        <f t="shared" si="219"/>
        <v>5461.627536</v>
      </c>
      <c r="AE220" s="1795">
        <f t="shared" si="219"/>
        <v>5689.19535</v>
      </c>
      <c r="AF220" s="1795">
        <f t="shared" si="219"/>
        <v>5916.763164</v>
      </c>
      <c r="AG220" s="1795">
        <f t="shared" si="219"/>
        <v>6144.330978</v>
      </c>
      <c r="AH220" s="1795">
        <f t="shared" si="219"/>
        <v>6371.898792</v>
      </c>
      <c r="AI220" s="1795">
        <f t="shared" si="219"/>
        <v>6599.466605999999</v>
      </c>
      <c r="AJ220" s="1795">
        <f t="shared" si="219"/>
        <v>6827.03442</v>
      </c>
      <c r="AK220" s="1795">
        <f t="shared" si="219"/>
        <v>7054.602234</v>
      </c>
      <c r="AL220" s="1795">
        <f t="shared" si="219"/>
        <v>7282.170048</v>
      </c>
      <c r="AM220" s="1795">
        <f t="shared" si="219"/>
        <v>7509.737862</v>
      </c>
      <c r="AN220" s="1795">
        <f t="shared" si="219"/>
        <v>7737.305675999999</v>
      </c>
      <c r="AO220" s="1795">
        <f t="shared" ref="AO220:BG220" si="220">((AO$208-$I$4)/1000)*$Q$69*(($C$8/70)^$AA$69)*IF($C$13=1,$AF$69,IF($C$13=2,$AG$69,IF($C$13=3,$AH$69,1)))</f>
        <v>7964.8734899999999</v>
      </c>
      <c r="AP220" s="1795">
        <f t="shared" si="220"/>
        <v>8192.4413039999999</v>
      </c>
      <c r="AQ220" s="1795">
        <f t="shared" si="220"/>
        <v>8420.0091179999999</v>
      </c>
      <c r="AR220" s="1795">
        <f t="shared" si="220"/>
        <v>8647.5769319999999</v>
      </c>
      <c r="AS220" s="1795">
        <f t="shared" si="220"/>
        <v>8875.1447459999999</v>
      </c>
      <c r="AT220" s="1795">
        <f t="shared" si="220"/>
        <v>9102.7125599999999</v>
      </c>
      <c r="AU220" s="1795">
        <f t="shared" si="220"/>
        <v>9330.2803739999999</v>
      </c>
      <c r="AV220" s="1795">
        <f t="shared" si="220"/>
        <v>9557.8481879999999</v>
      </c>
      <c r="AW220" s="1795">
        <f t="shared" si="220"/>
        <v>9785.4160019999999</v>
      </c>
      <c r="AX220" s="1795">
        <f t="shared" si="220"/>
        <v>10012.983816</v>
      </c>
      <c r="AY220" s="1795">
        <f t="shared" si="220"/>
        <v>10240.55163</v>
      </c>
      <c r="AZ220" s="1795">
        <f t="shared" si="220"/>
        <v>10468.119443999998</v>
      </c>
      <c r="BA220" s="1795">
        <f t="shared" si="220"/>
        <v>10695.687258</v>
      </c>
      <c r="BB220" s="1795">
        <f t="shared" si="220"/>
        <v>10923.255072</v>
      </c>
      <c r="BC220" s="1795">
        <f t="shared" si="220"/>
        <v>11150.822886000002</v>
      </c>
      <c r="BD220" s="1795">
        <f t="shared" si="220"/>
        <v>11378.3907</v>
      </c>
      <c r="BE220" s="1795">
        <f t="shared" si="220"/>
        <v>11605.958513999998</v>
      </c>
      <c r="BF220" s="1795">
        <f t="shared" si="220"/>
        <v>11833.526328</v>
      </c>
      <c r="BG220" s="1795">
        <f t="shared" si="220"/>
        <v>12061.094142</v>
      </c>
      <c r="BI220" s="571" t="e">
        <f t="shared" si="209"/>
        <v>#REF!</v>
      </c>
      <c r="BJ220" s="571" t="e">
        <f t="shared" si="209"/>
        <v>#REF!</v>
      </c>
      <c r="BK220" s="571" t="e">
        <f t="shared" si="209"/>
        <v>#REF!</v>
      </c>
      <c r="BL220" s="571" t="e">
        <f t="shared" si="209"/>
        <v>#REF!</v>
      </c>
      <c r="BM220" s="571" t="e">
        <f t="shared" si="209"/>
        <v>#REF!</v>
      </c>
      <c r="BN220" s="571" t="e">
        <f t="shared" si="209"/>
        <v>#REF!</v>
      </c>
      <c r="BO220" s="571" t="e">
        <f t="shared" si="209"/>
        <v>#REF!</v>
      </c>
      <c r="BP220" s="571" t="e">
        <f t="shared" si="209"/>
        <v>#REF!</v>
      </c>
      <c r="BQ220" s="571" t="e">
        <f t="shared" si="209"/>
        <v>#REF!</v>
      </c>
      <c r="BR220" s="571" t="e">
        <f t="shared" si="209"/>
        <v>#REF!</v>
      </c>
      <c r="BS220" s="571" t="e">
        <f t="shared" si="209"/>
        <v>#REF!</v>
      </c>
      <c r="BT220" s="571" t="e">
        <f t="shared" si="209"/>
        <v>#REF!</v>
      </c>
      <c r="BU220" s="571" t="e">
        <f t="shared" si="209"/>
        <v>#REF!</v>
      </c>
      <c r="BV220" s="571" t="e">
        <f t="shared" si="209"/>
        <v>#REF!</v>
      </c>
      <c r="BW220" s="571" t="e">
        <f t="shared" si="209"/>
        <v>#REF!</v>
      </c>
      <c r="BX220" s="571" t="e">
        <f t="shared" si="209"/>
        <v>#REF!</v>
      </c>
      <c r="BY220" s="571" t="e">
        <f t="shared" si="210"/>
        <v>#REF!</v>
      </c>
      <c r="BZ220" s="571" t="e">
        <f t="shared" si="210"/>
        <v>#REF!</v>
      </c>
      <c r="CA220" s="571" t="e">
        <f t="shared" si="210"/>
        <v>#REF!</v>
      </c>
      <c r="CB220" s="571" t="e">
        <f t="shared" si="210"/>
        <v>#REF!</v>
      </c>
      <c r="CC220" s="571" t="e">
        <f t="shared" si="210"/>
        <v>#REF!</v>
      </c>
      <c r="CD220" s="571" t="e">
        <f t="shared" si="210"/>
        <v>#REF!</v>
      </c>
      <c r="CE220" s="571" t="e">
        <f t="shared" si="210"/>
        <v>#REF!</v>
      </c>
      <c r="CF220" s="571" t="e">
        <f t="shared" si="210"/>
        <v>#REF!</v>
      </c>
      <c r="CG220" s="571" t="e">
        <f t="shared" si="210"/>
        <v>#REF!</v>
      </c>
      <c r="CH220" s="571" t="e">
        <f t="shared" si="210"/>
        <v>#REF!</v>
      </c>
      <c r="CI220" s="571" t="e">
        <f t="shared" si="210"/>
        <v>#REF!</v>
      </c>
      <c r="CJ220" s="571" t="e">
        <f t="shared" si="210"/>
        <v>#REF!</v>
      </c>
      <c r="CK220" s="571" t="e">
        <f t="shared" si="210"/>
        <v>#REF!</v>
      </c>
      <c r="CL220" s="571" t="e">
        <f t="shared" si="210"/>
        <v>#REF!</v>
      </c>
      <c r="CM220" s="571" t="e">
        <f t="shared" si="210"/>
        <v>#REF!</v>
      </c>
      <c r="CN220" s="571" t="e">
        <f t="shared" si="210"/>
        <v>#REF!</v>
      </c>
      <c r="CO220" s="571" t="e">
        <f t="shared" si="211"/>
        <v>#REF!</v>
      </c>
      <c r="CP220" s="571" t="e">
        <f t="shared" si="211"/>
        <v>#REF!</v>
      </c>
      <c r="CQ220" s="571" t="e">
        <f t="shared" si="211"/>
        <v>#REF!</v>
      </c>
      <c r="CR220" s="571" t="e">
        <f t="shared" si="211"/>
        <v>#REF!</v>
      </c>
      <c r="CS220" s="571" t="e">
        <f t="shared" si="211"/>
        <v>#REF!</v>
      </c>
      <c r="CT220" s="571" t="e">
        <f t="shared" si="211"/>
        <v>#REF!</v>
      </c>
      <c r="CU220" s="571" t="e">
        <f t="shared" si="211"/>
        <v>#REF!</v>
      </c>
      <c r="CV220" s="571" t="e">
        <f t="shared" si="211"/>
        <v>#REF!</v>
      </c>
      <c r="CW220" s="571" t="e">
        <f t="shared" si="211"/>
        <v>#REF!</v>
      </c>
      <c r="CX220" s="571" t="e">
        <f t="shared" si="211"/>
        <v>#REF!</v>
      </c>
      <c r="CY220" s="571" t="e">
        <f t="shared" si="211"/>
        <v>#REF!</v>
      </c>
      <c r="CZ220" s="571" t="e">
        <f t="shared" si="211"/>
        <v>#REF!</v>
      </c>
      <c r="DA220" s="571" t="e">
        <f t="shared" si="211"/>
        <v>#REF!</v>
      </c>
      <c r="DB220" s="571" t="e">
        <f t="shared" si="211"/>
        <v>#REF!</v>
      </c>
      <c r="DC220" s="571" t="e">
        <f t="shared" si="211"/>
        <v>#REF!</v>
      </c>
      <c r="DD220" s="571" t="e">
        <f t="shared" si="211"/>
        <v>#REF!</v>
      </c>
      <c r="DE220" s="571" t="e">
        <f t="shared" si="212"/>
        <v>#REF!</v>
      </c>
      <c r="DF220" s="571" t="e">
        <f t="shared" si="212"/>
        <v>#REF!</v>
      </c>
      <c r="DG220" s="571" t="e">
        <f t="shared" si="212"/>
        <v>#REF!</v>
      </c>
    </row>
    <row r="221" spans="1:111" hidden="1">
      <c r="B221" s="2947" t="s">
        <v>5728</v>
      </c>
      <c r="C221" s="2948"/>
      <c r="D221" s="1801"/>
      <c r="E221" s="1801"/>
      <c r="F221" s="1801"/>
      <c r="G221" s="1801"/>
      <c r="H221" s="1801"/>
      <c r="I221" s="1802" t="e">
        <f>((#REF!-$I$4)/1000)*$M$70*(($C$8/70)^$W$70)*IF($C$13=1,$AF$71,IF($C$13=2,$AG$71,IF($C$13=3,$AH$71,1)))</f>
        <v>#REF!</v>
      </c>
      <c r="J221" s="1802" t="e">
        <f>((#REF!-$I$4)/1000)*$M$70*(($C$8/70)^$W$70)*IF($C$13=1,$AF$71,IF($C$13=2,$AG$71,IF($C$13=3,$AH$71,1)))</f>
        <v>#REF!</v>
      </c>
      <c r="K221" s="1802" t="e">
        <f>((#REF!-$I$4)/1000)*$M$70*(($C$8/70)^$W$70)*IF($C$13=1,$AF$71,IF($C$13=2,$AG$71,IF($C$13=3,$AH$71,1)))</f>
        <v>#REF!</v>
      </c>
      <c r="L221" s="1802" t="e">
        <f>((#REF!-$I$4)/1000)*$M$70*(($C$8/70)^$W$70)*IF($C$13=1,$AF$71,IF($C$13=2,$AG$71,IF($C$13=3,$AH$71,1)))</f>
        <v>#REF!</v>
      </c>
      <c r="M221" s="1802" t="e">
        <f>((#REF!-$I$4)/1000)*$M$70*(($C$8/70)^$W$70)*IF($C$13=1,$AF$71,IF($C$13=2,$AG$71,IF($C$13=3,$AH$71,1)))</f>
        <v>#REF!</v>
      </c>
      <c r="N221" s="1802" t="e">
        <f>((#REF!-$I$4)/1000)*$M$70*(($C$8/70)^$W$70)*IF($C$13=1,$AF$71,IF($C$13=2,$AG$71,IF($C$13=3,$AH$71,1)))</f>
        <v>#REF!</v>
      </c>
      <c r="O221" s="1802" t="e">
        <f>((#REF!-$I$4)/1000)*$M$70*(($C$8/70)^$W$70)*IF($C$13=1,$AF$71,IF($C$13=2,$AG$71,IF($C$13=3,$AH$71,1)))</f>
        <v>#REF!</v>
      </c>
      <c r="P221" s="1802" t="e">
        <f>((#REF!-$I$4)/1000)*$M$70*(($C$8/70)^$W$70)*IF($C$13=1,$AF$71,IF($C$13=2,$AG$71,IF($C$13=3,$AH$71,1)))</f>
        <v>#REF!</v>
      </c>
      <c r="Q221" s="1802" t="e">
        <f>((#REF!-$I$4)/1000)*$M$70*(($C$8/70)^$W$70)*IF($C$13=1,$AF$71,IF($C$13=2,$AG$71,IF($C$13=3,$AH$71,1)))</f>
        <v>#REF!</v>
      </c>
      <c r="R221" s="1802" t="e">
        <f>((#REF!-$I$4)/1000)*$M$70*(($C$8/70)^$W$70)*IF($C$13=1,$AF$71,IF($C$13=2,$AG$71,IF($C$13=3,$AH$71,1)))</f>
        <v>#REF!</v>
      </c>
      <c r="S221" s="1802" t="e">
        <f>((#REF!-$I$4)/1000)*$M$70*(($C$8/70)^$W$70)*IF($C$13=1,$AF$71,IF($C$13=2,$AG$71,IF($C$13=3,$AH$71,1)))</f>
        <v>#REF!</v>
      </c>
      <c r="T221" s="1802" t="e">
        <f>((#REF!-$I$4)/1000)*$M$70*(($C$8/70)^$W$70)*IF($C$13=1,$AF$71,IF($C$13=2,$AG$71,IF($C$13=3,$AH$71,1)))</f>
        <v>#REF!</v>
      </c>
      <c r="U221" s="1802" t="e">
        <f>((#REF!-$I$4)/1000)*$M$70*(($C$8/70)^$W$70)*IF($C$13=1,$AF$71,IF($C$13=2,$AG$71,IF($C$13=3,$AH$71,1)))</f>
        <v>#REF!</v>
      </c>
      <c r="V221" s="1802" t="e">
        <f>((#REF!-$I$4)/1000)*$M$70*(($C$8/70)^$W$70)*IF($C$13=1,$AF$71,IF($C$13=2,$AG$71,IF($C$13=3,$AH$71,1)))</f>
        <v>#REF!</v>
      </c>
      <c r="W221" s="1802" t="e">
        <f>((#REF!-$I$4)/1000)*$M$70*(($C$8/70)^$W$70)*IF($C$13=1,$AF$71,IF($C$13=2,$AG$71,IF($C$13=3,$AH$71,1)))</f>
        <v>#REF!</v>
      </c>
      <c r="X221" s="1802" t="e">
        <f>((#REF!-$I$4)/1000)*$M$70*(($C$8/70)^$W$70)*IF($C$13=1,$AF$71,IF($C$13=2,$AG$71,IF($C$13=3,$AH$71,1)))</f>
        <v>#REF!</v>
      </c>
      <c r="Y221" s="1802" t="e">
        <f>((#REF!-$I$4)/1000)*$M$70*(($C$8/70)^$W$70)*IF($C$13=1,$AF$71,IF($C$13=2,$AG$71,IF($C$13=3,$AH$71,1)))</f>
        <v>#REF!</v>
      </c>
      <c r="Z221" s="1802" t="e">
        <f>((#REF!-$I$4)/1000)*$M$70*(($C$8/70)^$W$70)*IF($C$13=1,$AF$71,IF($C$13=2,$AG$71,IF($C$13=3,$AH$71,1)))</f>
        <v>#REF!</v>
      </c>
      <c r="AA221" s="1802" t="e">
        <f>((#REF!-$I$4)/1000)*$M$70*(($C$8/70)^$W$70)*IF($C$13=1,$AF$71,IF($C$13=2,$AG$71,IF($C$13=3,$AH$71,1)))</f>
        <v>#REF!</v>
      </c>
      <c r="AB221" s="1802" t="e">
        <f>((#REF!-$I$4)/1000)*$M$70*(($C$8/70)^$W$70)*IF($C$13=1,$AF$71,IF($C$13=2,$AG$71,IF($C$13=3,$AH$71,1)))</f>
        <v>#REF!</v>
      </c>
      <c r="AC221" s="1802" t="e">
        <f>((#REF!-$I$4)/1000)*$M$70*(($C$8/70)^$W$70)*IF($C$13=1,$AF$71,IF($C$13=2,$AG$71,IF($C$13=3,$AH$71,1)))</f>
        <v>#REF!</v>
      </c>
      <c r="AD221" s="1802" t="e">
        <f>((#REF!-$I$4)/1000)*$M$70*(($C$8/70)^$W$70)*IF($C$13=1,$AF$71,IF($C$13=2,$AG$71,IF($C$13=3,$AH$71,1)))</f>
        <v>#REF!</v>
      </c>
      <c r="AE221" s="1802" t="e">
        <f>((#REF!-$I$4)/1000)*$M$70*(($C$8/70)^$W$70)*IF($C$13=1,$AF$71,IF($C$13=2,$AG$71,IF($C$13=3,$AH$71,1)))</f>
        <v>#REF!</v>
      </c>
      <c r="AF221" s="1802" t="e">
        <f>((#REF!-$I$4)/1000)*$M$70*(($C$8/70)^$W$70)*IF($C$13=1,$AF$71,IF($C$13=2,$AG$71,IF($C$13=3,$AH$71,1)))</f>
        <v>#REF!</v>
      </c>
      <c r="AG221" s="1802" t="e">
        <f>((#REF!-$I$4)/1000)*$M$70*(($C$8/70)^$W$70)*IF($C$13=1,$AF$71,IF($C$13=2,$AG$71,IF($C$13=3,$AH$71,1)))</f>
        <v>#REF!</v>
      </c>
      <c r="AH221" s="1802" t="e">
        <f>((#REF!-$I$4)/1000)*$M$70*(($C$8/70)^$W$70)*IF($C$13=1,$AF$71,IF($C$13=2,$AG$71,IF($C$13=3,$AH$71,1)))</f>
        <v>#REF!</v>
      </c>
      <c r="AI221" s="1802" t="e">
        <f>((#REF!-$I$4)/1000)*$M$70*(($C$8/70)^$W$70)*IF($C$13=1,$AF$71,IF($C$13=2,$AG$71,IF($C$13=3,$AH$71,1)))</f>
        <v>#REF!</v>
      </c>
      <c r="AJ221" s="1802" t="e">
        <f>((#REF!-$I$4)/1000)*$M$70*(($C$8/70)^$W$70)*IF($C$13=1,$AF$71,IF($C$13=2,$AG$71,IF($C$13=3,$AH$71,1)))</f>
        <v>#REF!</v>
      </c>
      <c r="AK221" s="1802" t="e">
        <f>((#REF!-$I$4)/1000)*$M$70*(($C$8/70)^$W$70)*IF($C$13=1,$AF$71,IF($C$13=2,$AG$71,IF($C$13=3,$AH$71,1)))</f>
        <v>#REF!</v>
      </c>
      <c r="AL221" s="1802" t="e">
        <f>((#REF!-$I$4)/1000)*$M$70*(($C$8/70)^$W$70)*IF($C$13=1,$AF$71,IF($C$13=2,$AG$71,IF($C$13=3,$AH$71,1)))</f>
        <v>#REF!</v>
      </c>
      <c r="AM221" s="1802" t="e">
        <f>((#REF!-$I$4)/1000)*$M$70*(($C$8/70)^$W$70)*IF($C$13=1,$AF$71,IF($C$13=2,$AG$71,IF($C$13=3,$AH$71,1)))</f>
        <v>#REF!</v>
      </c>
      <c r="AN221" s="1802" t="e">
        <f>((#REF!-$I$4)/1000)*$M$70*(($C$8/70)^$W$70)*IF($C$13=1,$AF$71,IF($C$13=2,$AG$71,IF($C$13=3,$AH$71,1)))</f>
        <v>#REF!</v>
      </c>
      <c r="AO221" s="1802" t="e">
        <f>((#REF!-$I$4)/1000)*$M$70*(($C$8/70)^$W$70)*IF($C$13=1,$AF$71,IF($C$13=2,$AG$71,IF($C$13=3,$AH$71,1)))</f>
        <v>#REF!</v>
      </c>
      <c r="AP221" s="1802" t="e">
        <f>((#REF!-$I$4)/1000)*$M$70*(($C$8/70)^$W$70)*IF($C$13=1,$AF$71,IF($C$13=2,$AG$71,IF($C$13=3,$AH$71,1)))</f>
        <v>#REF!</v>
      </c>
      <c r="AQ221" s="1802" t="e">
        <f>((#REF!-$I$4)/1000)*$M$70*(($C$8/70)^$W$70)*IF($C$13=1,$AF$71,IF($C$13=2,$AG$71,IF($C$13=3,$AH$71,1)))</f>
        <v>#REF!</v>
      </c>
      <c r="AR221" s="1802" t="e">
        <f>((#REF!-$I$4)/1000)*$M$70*(($C$8/70)^$W$70)*IF($C$13=1,$AF$71,IF($C$13=2,$AG$71,IF($C$13=3,$AH$71,1)))</f>
        <v>#REF!</v>
      </c>
      <c r="AS221" s="1802" t="e">
        <f>((#REF!-$I$4)/1000)*$M$70*(($C$8/70)^$W$70)*IF($C$13=1,$AF$71,IF($C$13=2,$AG$71,IF($C$13=3,$AH$71,1)))</f>
        <v>#REF!</v>
      </c>
      <c r="AT221" s="1802" t="e">
        <f>((#REF!-$I$4)/1000)*$M$70*(($C$8/70)^$W$70)*IF($C$13=1,$AF$71,IF($C$13=2,$AG$71,IF($C$13=3,$AH$71,1)))</f>
        <v>#REF!</v>
      </c>
      <c r="AU221" s="1802" t="e">
        <f>((#REF!-$I$4)/1000)*$M$70*(($C$8/70)^$W$70)*IF($C$13=1,$AF$71,IF($C$13=2,$AG$71,IF($C$13=3,$AH$71,1)))</f>
        <v>#REF!</v>
      </c>
      <c r="AV221" s="1802" t="e">
        <f>((#REF!-$I$4)/1000)*$M$70*(($C$8/70)^$W$70)*IF($C$13=1,$AF$71,IF($C$13=2,$AG$71,IF($C$13=3,$AH$71,1)))</f>
        <v>#REF!</v>
      </c>
      <c r="AW221" s="1802" t="e">
        <f>((#REF!-$I$4)/1000)*$M$70*(($C$8/70)^$W$70)*IF($C$13=1,$AF$71,IF($C$13=2,$AG$71,IF($C$13=3,$AH$71,1)))</f>
        <v>#REF!</v>
      </c>
      <c r="AX221" s="1802" t="e">
        <f>((#REF!-$I$4)/1000)*$M$70*(($C$8/70)^$W$70)*IF($C$13=1,$AF$71,IF($C$13=2,$AG$71,IF($C$13=3,$AH$71,1)))</f>
        <v>#REF!</v>
      </c>
      <c r="AY221" s="1802" t="e">
        <f>((#REF!-$I$4)/1000)*$M$70*(($C$8/70)^$W$70)*IF($C$13=1,$AF$71,IF($C$13=2,$AG$71,IF($C$13=3,$AH$71,1)))</f>
        <v>#REF!</v>
      </c>
      <c r="AZ221" s="1802" t="e">
        <f>((#REF!-$I$4)/1000)*$M$70*(($C$8/70)^$W$70)*IF($C$13=1,$AF$71,IF($C$13=2,$AG$71,IF($C$13=3,$AH$71,1)))</f>
        <v>#REF!</v>
      </c>
      <c r="BA221" s="1802" t="e">
        <f>((#REF!-$I$4)/1000)*$M$70*(($C$8/70)^$W$70)*IF($C$13=1,$AF$71,IF($C$13=2,$AG$71,IF($C$13=3,$AH$71,1)))</f>
        <v>#REF!</v>
      </c>
      <c r="BB221" s="1802" t="e">
        <f>((#REF!-$I$4)/1000)*$M$70*(($C$8/70)^$W$70)*IF($C$13=1,$AF$71,IF($C$13=2,$AG$71,IF($C$13=3,$AH$71,1)))</f>
        <v>#REF!</v>
      </c>
      <c r="BC221" s="1802" t="e">
        <f>((#REF!-$I$4)/1000)*$M$70*(($C$8/70)^$W$70)*IF($C$13=1,$AF$71,IF($C$13=2,$AG$71,IF($C$13=3,$AH$71,1)))</f>
        <v>#REF!</v>
      </c>
      <c r="BD221" s="1802" t="e">
        <f>((#REF!-$I$4)/1000)*$M$70*(($C$8/70)^$W$70)*IF($C$13=1,$AF$71,IF($C$13=2,$AG$71,IF($C$13=3,$AH$71,1)))</f>
        <v>#REF!</v>
      </c>
      <c r="BE221" s="1802" t="e">
        <f>((#REF!-$I$4)/1000)*$M$70*(($C$8/70)^$W$70)*IF($C$13=1,$AF$71,IF($C$13=2,$AG$71,IF($C$13=3,$AH$71,1)))</f>
        <v>#REF!</v>
      </c>
      <c r="BF221" s="1802" t="e">
        <f>((#REF!-$I$4)/1000)*$M$70*(($C$8/70)^$W$70)*IF($C$13=1,$AF$71,IF($C$13=2,$AG$71,IF($C$13=3,$AH$71,1)))</f>
        <v>#REF!</v>
      </c>
      <c r="BG221" s="1802" t="e">
        <f>((#REF!-$I$4)/1000)*$M$70*(($C$8/70)^$W$70)*IF($C$13=1,$AF$71,IF($C$13=2,$AG$71,IF($C$13=3,$AH$71,1)))</f>
        <v>#REF!</v>
      </c>
      <c r="BI221" s="571" t="e">
        <f>#REF!/I221</f>
        <v>#REF!</v>
      </c>
      <c r="BJ221" s="571" t="e">
        <f>#REF!/J221</f>
        <v>#REF!</v>
      </c>
      <c r="BK221" s="571" t="e">
        <f>#REF!/K221</f>
        <v>#REF!</v>
      </c>
      <c r="BL221" s="571" t="e">
        <f>#REF!/L221</f>
        <v>#REF!</v>
      </c>
      <c r="BM221" s="571" t="e">
        <f>#REF!/M221</f>
        <v>#REF!</v>
      </c>
      <c r="BN221" s="571" t="e">
        <f>#REF!/N221</f>
        <v>#REF!</v>
      </c>
      <c r="BO221" s="571" t="e">
        <f>#REF!/O221</f>
        <v>#REF!</v>
      </c>
      <c r="BP221" s="571" t="e">
        <f>#REF!/P221</f>
        <v>#REF!</v>
      </c>
      <c r="BQ221" s="571" t="e">
        <f>#REF!/Q221</f>
        <v>#REF!</v>
      </c>
      <c r="BR221" s="571" t="e">
        <f>#REF!/R221</f>
        <v>#REF!</v>
      </c>
      <c r="BS221" s="571" t="e">
        <f>#REF!/S221</f>
        <v>#REF!</v>
      </c>
      <c r="BT221" s="571" t="e">
        <f>#REF!/T221</f>
        <v>#REF!</v>
      </c>
      <c r="BU221" s="571" t="e">
        <f>#REF!/U221</f>
        <v>#REF!</v>
      </c>
      <c r="BV221" s="571" t="e">
        <f>#REF!/V221</f>
        <v>#REF!</v>
      </c>
      <c r="BW221" s="571" t="e">
        <f>#REF!/W221</f>
        <v>#REF!</v>
      </c>
      <c r="BX221" s="571" t="e">
        <f>#REF!/X221</f>
        <v>#REF!</v>
      </c>
      <c r="BY221" s="571" t="e">
        <f>#REF!/Y221</f>
        <v>#REF!</v>
      </c>
      <c r="BZ221" s="571" t="e">
        <f>#REF!/Z221</f>
        <v>#REF!</v>
      </c>
      <c r="CA221" s="571" t="e">
        <f>#REF!/AA221</f>
        <v>#REF!</v>
      </c>
      <c r="CB221" s="571" t="e">
        <f>#REF!/AB221</f>
        <v>#REF!</v>
      </c>
      <c r="CC221" s="571" t="e">
        <f>#REF!/AC221</f>
        <v>#REF!</v>
      </c>
      <c r="CD221" s="571" t="e">
        <f>#REF!/AD221</f>
        <v>#REF!</v>
      </c>
      <c r="CE221" s="571" t="e">
        <f>#REF!/AE221</f>
        <v>#REF!</v>
      </c>
      <c r="CF221" s="571" t="e">
        <f>#REF!/AF221</f>
        <v>#REF!</v>
      </c>
      <c r="CG221" s="571" t="e">
        <f>#REF!/AG221</f>
        <v>#REF!</v>
      </c>
      <c r="CH221" s="571" t="e">
        <f>#REF!/AH221</f>
        <v>#REF!</v>
      </c>
      <c r="CI221" s="571" t="e">
        <f>#REF!/AI221</f>
        <v>#REF!</v>
      </c>
      <c r="CJ221" s="571" t="e">
        <f>#REF!/AJ221</f>
        <v>#REF!</v>
      </c>
      <c r="CK221" s="571" t="e">
        <f>#REF!/AK221</f>
        <v>#REF!</v>
      </c>
      <c r="CL221" s="571" t="e">
        <f>#REF!/AL221</f>
        <v>#REF!</v>
      </c>
      <c r="CM221" s="571" t="e">
        <f>#REF!/AM221</f>
        <v>#REF!</v>
      </c>
      <c r="CN221" s="571" t="e">
        <f>#REF!/AN221</f>
        <v>#REF!</v>
      </c>
      <c r="CO221" s="571" t="e">
        <f>#REF!/AO221</f>
        <v>#REF!</v>
      </c>
      <c r="CP221" s="571" t="e">
        <f>#REF!/AP221</f>
        <v>#REF!</v>
      </c>
      <c r="CQ221" s="571" t="e">
        <f>#REF!/AQ221</f>
        <v>#REF!</v>
      </c>
      <c r="CR221" s="571" t="e">
        <f>#REF!/AR221</f>
        <v>#REF!</v>
      </c>
      <c r="CS221" s="571" t="e">
        <f>#REF!/AS221</f>
        <v>#REF!</v>
      </c>
      <c r="CT221" s="571" t="e">
        <f>#REF!/AT221</f>
        <v>#REF!</v>
      </c>
      <c r="CU221" s="571" t="e">
        <f>#REF!/AU221</f>
        <v>#REF!</v>
      </c>
      <c r="CV221" s="571" t="e">
        <f>#REF!/AV221</f>
        <v>#REF!</v>
      </c>
      <c r="CW221" s="571" t="e">
        <f>#REF!/AW221</f>
        <v>#REF!</v>
      </c>
      <c r="CX221" s="571" t="e">
        <f>#REF!/AX221</f>
        <v>#REF!</v>
      </c>
      <c r="CY221" s="571" t="e">
        <f>#REF!/AY221</f>
        <v>#REF!</v>
      </c>
      <c r="CZ221" s="571" t="e">
        <f>#REF!/AZ221</f>
        <v>#REF!</v>
      </c>
      <c r="DA221" s="571" t="e">
        <f>#REF!/BA221</f>
        <v>#REF!</v>
      </c>
      <c r="DB221" s="571" t="e">
        <f>#REF!/BB221</f>
        <v>#REF!</v>
      </c>
      <c r="DC221" s="571" t="e">
        <f>#REF!/BC221</f>
        <v>#REF!</v>
      </c>
      <c r="DD221" s="571" t="e">
        <f>#REF!/BD221</f>
        <v>#REF!</v>
      </c>
      <c r="DE221" s="571" t="e">
        <f>#REF!/BE221</f>
        <v>#REF!</v>
      </c>
      <c r="DF221" s="571" t="e">
        <f>#REF!/BF221</f>
        <v>#REF!</v>
      </c>
      <c r="DG221" s="571" t="e">
        <f>#REF!/BG221</f>
        <v>#REF!</v>
      </c>
    </row>
    <row r="222" spans="1:111" hidden="1">
      <c r="B222" s="2947" t="s">
        <v>5729</v>
      </c>
      <c r="C222" s="2948"/>
      <c r="D222" s="1801"/>
      <c r="E222" s="1801"/>
      <c r="F222" s="1801"/>
      <c r="G222" s="1801"/>
      <c r="H222" s="1801"/>
      <c r="I222" s="1802" t="e">
        <f>((#REF!-$I$4)/1000)*$N$70*(($C$8/70)^$X$70)*IF($C$13=1,$AF$69,IF($C$13=2,$AG$69,IF($C$13=3,$AH$69,1)))</f>
        <v>#REF!</v>
      </c>
      <c r="J222" s="1802" t="e">
        <f>((#REF!-$I$4)/1000)*$N$70*(($C$8/70)^$X$70)*IF($C$13=1,$AF$69,IF($C$13=2,$AG$69,IF($C$13=3,$AH$69,1)))</f>
        <v>#REF!</v>
      </c>
      <c r="K222" s="1802" t="e">
        <f>((#REF!-$I$4)/1000)*$N$70*(($C$8/70)^$X$70)*IF($C$13=1,$AF$69,IF($C$13=2,$AG$69,IF($C$13=3,$AH$69,1)))</f>
        <v>#REF!</v>
      </c>
      <c r="L222" s="1802" t="e">
        <f>((#REF!-$I$4)/1000)*$N$70*(($C$8/70)^$X$70)*IF($C$13=1,$AF$69,IF($C$13=2,$AG$69,IF($C$13=3,$AH$69,1)))</f>
        <v>#REF!</v>
      </c>
      <c r="M222" s="1802" t="e">
        <f>((#REF!-$I$4)/1000)*$N$70*(($C$8/70)^$X$70)*IF($C$13=1,$AF$69,IF($C$13=2,$AG$69,IF($C$13=3,$AH$69,1)))</f>
        <v>#REF!</v>
      </c>
      <c r="N222" s="1802" t="e">
        <f>((#REF!-$I$4)/1000)*$N$70*(($C$8/70)^$X$70)*IF($C$13=1,$AF$69,IF($C$13=2,$AG$69,IF($C$13=3,$AH$69,1)))</f>
        <v>#REF!</v>
      </c>
      <c r="O222" s="1802" t="e">
        <f>((#REF!-$I$4)/1000)*$N$70*(($C$8/70)^$X$70)*IF($C$13=1,$AF$69,IF($C$13=2,$AG$69,IF($C$13=3,$AH$69,1)))</f>
        <v>#REF!</v>
      </c>
      <c r="P222" s="1802" t="e">
        <f>((#REF!-$I$4)/1000)*$N$70*(($C$8/70)^$X$70)*IF($C$13=1,$AF$69,IF($C$13=2,$AG$69,IF($C$13=3,$AH$69,1)))</f>
        <v>#REF!</v>
      </c>
      <c r="Q222" s="1802" t="e">
        <f>((#REF!-$I$4)/1000)*$N$70*(($C$8/70)^$X$70)*IF($C$13=1,$AF$69,IF($C$13=2,$AG$69,IF($C$13=3,$AH$69,1)))</f>
        <v>#REF!</v>
      </c>
      <c r="R222" s="1802" t="e">
        <f>((#REF!-$I$4)/1000)*$N$70*(($C$8/70)^$X$70)*IF($C$13=1,$AF$69,IF($C$13=2,$AG$69,IF($C$13=3,$AH$69,1)))</f>
        <v>#REF!</v>
      </c>
      <c r="S222" s="1802" t="e">
        <f>((#REF!-$I$4)/1000)*$N$70*(($C$8/70)^$X$70)*IF($C$13=1,$AF$69,IF($C$13=2,$AG$69,IF($C$13=3,$AH$69,1)))</f>
        <v>#REF!</v>
      </c>
      <c r="T222" s="1802" t="e">
        <f>((#REF!-$I$4)/1000)*$N$70*(($C$8/70)^$X$70)*IF($C$13=1,$AF$69,IF($C$13=2,$AG$69,IF($C$13=3,$AH$69,1)))</f>
        <v>#REF!</v>
      </c>
      <c r="U222" s="1802" t="e">
        <f>((#REF!-$I$4)/1000)*$N$70*(($C$8/70)^$X$70)*IF($C$13=1,$AF$69,IF($C$13=2,$AG$69,IF($C$13=3,$AH$69,1)))</f>
        <v>#REF!</v>
      </c>
      <c r="V222" s="1802" t="e">
        <f>((#REF!-$I$4)/1000)*$N$70*(($C$8/70)^$X$70)*IF($C$13=1,$AF$69,IF($C$13=2,$AG$69,IF($C$13=3,$AH$69,1)))</f>
        <v>#REF!</v>
      </c>
      <c r="W222" s="1802" t="e">
        <f>((#REF!-$I$4)/1000)*$N$70*(($C$8/70)^$X$70)*IF($C$13=1,$AF$69,IF($C$13=2,$AG$69,IF($C$13=3,$AH$69,1)))</f>
        <v>#REF!</v>
      </c>
      <c r="X222" s="1802" t="e">
        <f>((#REF!-$I$4)/1000)*$N$70*(($C$8/70)^$X$70)*IF($C$13=1,$AF$69,IF($C$13=2,$AG$69,IF($C$13=3,$AH$69,1)))</f>
        <v>#REF!</v>
      </c>
      <c r="Y222" s="1802" t="e">
        <f>((#REF!-$I$4)/1000)*$N$70*(($C$8/70)^$X$70)*IF($C$13=1,$AF$69,IF($C$13=2,$AG$69,IF($C$13=3,$AH$69,1)))</f>
        <v>#REF!</v>
      </c>
      <c r="Z222" s="1802" t="e">
        <f>((#REF!-$I$4)/1000)*$N$70*(($C$8/70)^$X$70)*IF($C$13=1,$AF$69,IF($C$13=2,$AG$69,IF($C$13=3,$AH$69,1)))</f>
        <v>#REF!</v>
      </c>
      <c r="AA222" s="1802" t="e">
        <f>((#REF!-$I$4)/1000)*$N$70*(($C$8/70)^$X$70)*IF($C$13=1,$AF$69,IF($C$13=2,$AG$69,IF($C$13=3,$AH$69,1)))</f>
        <v>#REF!</v>
      </c>
      <c r="AB222" s="1802" t="e">
        <f>((#REF!-$I$4)/1000)*$N$70*(($C$8/70)^$X$70)*IF($C$13=1,$AF$69,IF($C$13=2,$AG$69,IF($C$13=3,$AH$69,1)))</f>
        <v>#REF!</v>
      </c>
      <c r="AC222" s="1802" t="e">
        <f>((#REF!-$I$4)/1000)*$N$70*(($C$8/70)^$X$70)*IF($C$13=1,$AF$69,IF($C$13=2,$AG$69,IF($C$13=3,$AH$69,1)))</f>
        <v>#REF!</v>
      </c>
      <c r="AD222" s="1802" t="e">
        <f>((#REF!-$I$4)/1000)*$N$70*(($C$8/70)^$X$70)*IF($C$13=1,$AF$69,IF($C$13=2,$AG$69,IF($C$13=3,$AH$69,1)))</f>
        <v>#REF!</v>
      </c>
      <c r="AE222" s="1802" t="e">
        <f>((#REF!-$I$4)/1000)*$N$70*(($C$8/70)^$X$70)*IF($C$13=1,$AF$69,IF($C$13=2,$AG$69,IF($C$13=3,$AH$69,1)))</f>
        <v>#REF!</v>
      </c>
      <c r="AF222" s="1802" t="e">
        <f>((#REF!-$I$4)/1000)*$N$70*(($C$8/70)^$X$70)*IF($C$13=1,$AF$69,IF($C$13=2,$AG$69,IF($C$13=3,$AH$69,1)))</f>
        <v>#REF!</v>
      </c>
      <c r="AG222" s="1802" t="e">
        <f>((#REF!-$I$4)/1000)*$N$70*(($C$8/70)^$X$70)*IF($C$13=1,$AF$69,IF($C$13=2,$AG$69,IF($C$13=3,$AH$69,1)))</f>
        <v>#REF!</v>
      </c>
      <c r="AH222" s="1802" t="e">
        <f>((#REF!-$I$4)/1000)*$N$70*(($C$8/70)^$X$70)*IF($C$13=1,$AF$69,IF($C$13=2,$AG$69,IF($C$13=3,$AH$69,1)))</f>
        <v>#REF!</v>
      </c>
      <c r="AI222" s="1802" t="e">
        <f>((#REF!-$I$4)/1000)*$N$70*(($C$8/70)^$X$70)*IF($C$13=1,$AF$69,IF($C$13=2,$AG$69,IF($C$13=3,$AH$69,1)))</f>
        <v>#REF!</v>
      </c>
      <c r="AJ222" s="1802" t="e">
        <f>((#REF!-$I$4)/1000)*$N$70*(($C$8/70)^$X$70)*IF($C$13=1,$AF$69,IF($C$13=2,$AG$69,IF($C$13=3,$AH$69,1)))</f>
        <v>#REF!</v>
      </c>
      <c r="AK222" s="1802" t="e">
        <f>((#REF!-$I$4)/1000)*$N$70*(($C$8/70)^$X$70)*IF($C$13=1,$AF$69,IF($C$13=2,$AG$69,IF($C$13=3,$AH$69,1)))</f>
        <v>#REF!</v>
      </c>
      <c r="AL222" s="1802" t="e">
        <f>((#REF!-$I$4)/1000)*$N$70*(($C$8/70)^$X$70)*IF($C$13=1,$AF$69,IF($C$13=2,$AG$69,IF($C$13=3,$AH$69,1)))</f>
        <v>#REF!</v>
      </c>
      <c r="AM222" s="1802" t="e">
        <f>((#REF!-$I$4)/1000)*$N$70*(($C$8/70)^$X$70)*IF($C$13=1,$AF$69,IF($C$13=2,$AG$69,IF($C$13=3,$AH$69,1)))</f>
        <v>#REF!</v>
      </c>
      <c r="AN222" s="1802" t="e">
        <f>((#REF!-$I$4)/1000)*$N$70*(($C$8/70)^$X$70)*IF($C$13=1,$AF$69,IF($C$13=2,$AG$69,IF($C$13=3,$AH$69,1)))</f>
        <v>#REF!</v>
      </c>
      <c r="AO222" s="1802" t="e">
        <f>((#REF!-$I$4)/1000)*$N$70*(($C$8/70)^$X$70)*IF($C$13=1,$AF$69,IF($C$13=2,$AG$69,IF($C$13=3,$AH$69,1)))</f>
        <v>#REF!</v>
      </c>
      <c r="AP222" s="1802" t="e">
        <f>((#REF!-$I$4)/1000)*$N$70*(($C$8/70)^$X$70)*IF($C$13=1,$AF$69,IF($C$13=2,$AG$69,IF($C$13=3,$AH$69,1)))</f>
        <v>#REF!</v>
      </c>
      <c r="AQ222" s="1802" t="e">
        <f>((#REF!-$I$4)/1000)*$N$70*(($C$8/70)^$X$70)*IF($C$13=1,$AF$69,IF($C$13=2,$AG$69,IF($C$13=3,$AH$69,1)))</f>
        <v>#REF!</v>
      </c>
      <c r="AR222" s="1802" t="e">
        <f>((#REF!-$I$4)/1000)*$N$70*(($C$8/70)^$X$70)*IF($C$13=1,$AF$69,IF($C$13=2,$AG$69,IF($C$13=3,$AH$69,1)))</f>
        <v>#REF!</v>
      </c>
      <c r="AS222" s="1802" t="e">
        <f>((#REF!-$I$4)/1000)*$N$70*(($C$8/70)^$X$70)*IF($C$13=1,$AF$69,IF($C$13=2,$AG$69,IF($C$13=3,$AH$69,1)))</f>
        <v>#REF!</v>
      </c>
      <c r="AT222" s="1802" t="e">
        <f>((#REF!-$I$4)/1000)*$N$70*(($C$8/70)^$X$70)*IF($C$13=1,$AF$69,IF($C$13=2,$AG$69,IF($C$13=3,$AH$69,1)))</f>
        <v>#REF!</v>
      </c>
      <c r="AU222" s="1802" t="e">
        <f>((#REF!-$I$4)/1000)*$N$70*(($C$8/70)^$X$70)*IF($C$13=1,$AF$69,IF($C$13=2,$AG$69,IF($C$13=3,$AH$69,1)))</f>
        <v>#REF!</v>
      </c>
      <c r="AV222" s="1802" t="e">
        <f>((#REF!-$I$4)/1000)*$N$70*(($C$8/70)^$X$70)*IF($C$13=1,$AF$69,IF($C$13=2,$AG$69,IF($C$13=3,$AH$69,1)))</f>
        <v>#REF!</v>
      </c>
      <c r="AW222" s="1802" t="e">
        <f>((#REF!-$I$4)/1000)*$N$70*(($C$8/70)^$X$70)*IF($C$13=1,$AF$69,IF($C$13=2,$AG$69,IF($C$13=3,$AH$69,1)))</f>
        <v>#REF!</v>
      </c>
      <c r="AX222" s="1802" t="e">
        <f>((#REF!-$I$4)/1000)*$N$70*(($C$8/70)^$X$70)*IF($C$13=1,$AF$69,IF($C$13=2,$AG$69,IF($C$13=3,$AH$69,1)))</f>
        <v>#REF!</v>
      </c>
      <c r="AY222" s="1802" t="e">
        <f>((#REF!-$I$4)/1000)*$N$70*(($C$8/70)^$X$70)*IF($C$13=1,$AF$69,IF($C$13=2,$AG$69,IF($C$13=3,$AH$69,1)))</f>
        <v>#REF!</v>
      </c>
      <c r="AZ222" s="1802" t="e">
        <f>((#REF!-$I$4)/1000)*$N$70*(($C$8/70)^$X$70)*IF($C$13=1,$AF$69,IF($C$13=2,$AG$69,IF($C$13=3,$AH$69,1)))</f>
        <v>#REF!</v>
      </c>
      <c r="BA222" s="1802" t="e">
        <f>((#REF!-$I$4)/1000)*$N$70*(($C$8/70)^$X$70)*IF($C$13=1,$AF$69,IF($C$13=2,$AG$69,IF($C$13=3,$AH$69,1)))</f>
        <v>#REF!</v>
      </c>
      <c r="BB222" s="1802" t="e">
        <f>((#REF!-$I$4)/1000)*$N$70*(($C$8/70)^$X$70)*IF($C$13=1,$AF$69,IF($C$13=2,$AG$69,IF($C$13=3,$AH$69,1)))</f>
        <v>#REF!</v>
      </c>
      <c r="BC222" s="1802" t="e">
        <f>((#REF!-$I$4)/1000)*$N$70*(($C$8/70)^$X$70)*IF($C$13=1,$AF$69,IF($C$13=2,$AG$69,IF($C$13=3,$AH$69,1)))</f>
        <v>#REF!</v>
      </c>
      <c r="BD222" s="1802" t="e">
        <f>((#REF!-$I$4)/1000)*$N$70*(($C$8/70)^$X$70)*IF($C$13=1,$AF$69,IF($C$13=2,$AG$69,IF($C$13=3,$AH$69,1)))</f>
        <v>#REF!</v>
      </c>
      <c r="BE222" s="1802" t="e">
        <f>((#REF!-$I$4)/1000)*$N$70*(($C$8/70)^$X$70)*IF($C$13=1,$AF$69,IF($C$13=2,$AG$69,IF($C$13=3,$AH$69,1)))</f>
        <v>#REF!</v>
      </c>
      <c r="BF222" s="1802" t="e">
        <f>((#REF!-$I$4)/1000)*$N$70*(($C$8/70)^$X$70)*IF($C$13=1,$AF$69,IF($C$13=2,$AG$69,IF($C$13=3,$AH$69,1)))</f>
        <v>#REF!</v>
      </c>
      <c r="BG222" s="1802" t="e">
        <f>((#REF!-$I$4)/1000)*$N$70*(($C$8/70)^$X$70)*IF($C$13=1,$AF$69,IF($C$13=2,$AG$69,IF($C$13=3,$AH$69,1)))</f>
        <v>#REF!</v>
      </c>
      <c r="BI222" s="571" t="e">
        <f>#REF!/I222</f>
        <v>#REF!</v>
      </c>
      <c r="BJ222" s="571" t="e">
        <f>#REF!/J222</f>
        <v>#REF!</v>
      </c>
      <c r="BK222" s="571" t="e">
        <f>#REF!/K222</f>
        <v>#REF!</v>
      </c>
      <c r="BL222" s="571" t="e">
        <f>#REF!/L222</f>
        <v>#REF!</v>
      </c>
      <c r="BM222" s="571" t="e">
        <f>#REF!/M222</f>
        <v>#REF!</v>
      </c>
      <c r="BN222" s="571" t="e">
        <f>#REF!/N222</f>
        <v>#REF!</v>
      </c>
      <c r="BO222" s="571" t="e">
        <f>#REF!/O222</f>
        <v>#REF!</v>
      </c>
      <c r="BP222" s="571" t="e">
        <f>#REF!/P222</f>
        <v>#REF!</v>
      </c>
      <c r="BQ222" s="571" t="e">
        <f>#REF!/Q222</f>
        <v>#REF!</v>
      </c>
      <c r="BR222" s="571" t="e">
        <f>#REF!/R222</f>
        <v>#REF!</v>
      </c>
      <c r="BS222" s="571" t="e">
        <f>#REF!/S222</f>
        <v>#REF!</v>
      </c>
      <c r="BT222" s="571" t="e">
        <f>#REF!/T222</f>
        <v>#REF!</v>
      </c>
      <c r="BU222" s="571" t="e">
        <f>#REF!/U222</f>
        <v>#REF!</v>
      </c>
      <c r="BV222" s="571" t="e">
        <f>#REF!/V222</f>
        <v>#REF!</v>
      </c>
      <c r="BW222" s="571" t="e">
        <f>#REF!/W222</f>
        <v>#REF!</v>
      </c>
      <c r="BX222" s="571" t="e">
        <f>#REF!/X222</f>
        <v>#REF!</v>
      </c>
      <c r="BY222" s="571" t="e">
        <f>#REF!/Y222</f>
        <v>#REF!</v>
      </c>
      <c r="BZ222" s="571" t="e">
        <f>#REF!/Z222</f>
        <v>#REF!</v>
      </c>
      <c r="CA222" s="571" t="e">
        <f>#REF!/AA222</f>
        <v>#REF!</v>
      </c>
      <c r="CB222" s="571" t="e">
        <f>#REF!/AB222</f>
        <v>#REF!</v>
      </c>
      <c r="CC222" s="571" t="e">
        <f>#REF!/AC222</f>
        <v>#REF!</v>
      </c>
      <c r="CD222" s="571" t="e">
        <f>#REF!/AD222</f>
        <v>#REF!</v>
      </c>
      <c r="CE222" s="571" t="e">
        <f>#REF!/AE222</f>
        <v>#REF!</v>
      </c>
      <c r="CF222" s="571" t="e">
        <f>#REF!/AF222</f>
        <v>#REF!</v>
      </c>
      <c r="CG222" s="571" t="e">
        <f>#REF!/AG222</f>
        <v>#REF!</v>
      </c>
      <c r="CH222" s="571" t="e">
        <f>#REF!/AH222</f>
        <v>#REF!</v>
      </c>
      <c r="CI222" s="571" t="e">
        <f>#REF!/AI222</f>
        <v>#REF!</v>
      </c>
      <c r="CJ222" s="571" t="e">
        <f>#REF!/AJ222</f>
        <v>#REF!</v>
      </c>
      <c r="CK222" s="571" t="e">
        <f>#REF!/AK222</f>
        <v>#REF!</v>
      </c>
      <c r="CL222" s="571" t="e">
        <f>#REF!/AL222</f>
        <v>#REF!</v>
      </c>
      <c r="CM222" s="571" t="e">
        <f>#REF!/AM222</f>
        <v>#REF!</v>
      </c>
      <c r="CN222" s="571" t="e">
        <f>#REF!/AN222</f>
        <v>#REF!</v>
      </c>
      <c r="CO222" s="571" t="e">
        <f>#REF!/AO222</f>
        <v>#REF!</v>
      </c>
      <c r="CP222" s="571" t="e">
        <f>#REF!/AP222</f>
        <v>#REF!</v>
      </c>
      <c r="CQ222" s="571" t="e">
        <f>#REF!/AQ222</f>
        <v>#REF!</v>
      </c>
      <c r="CR222" s="571" t="e">
        <f>#REF!/AR222</f>
        <v>#REF!</v>
      </c>
      <c r="CS222" s="571" t="e">
        <f>#REF!/AS222</f>
        <v>#REF!</v>
      </c>
      <c r="CT222" s="571" t="e">
        <f>#REF!/AT222</f>
        <v>#REF!</v>
      </c>
      <c r="CU222" s="571" t="e">
        <f>#REF!/AU222</f>
        <v>#REF!</v>
      </c>
      <c r="CV222" s="571" t="e">
        <f>#REF!/AV222</f>
        <v>#REF!</v>
      </c>
      <c r="CW222" s="571" t="e">
        <f>#REF!/AW222</f>
        <v>#REF!</v>
      </c>
      <c r="CX222" s="571" t="e">
        <f>#REF!/AX222</f>
        <v>#REF!</v>
      </c>
      <c r="CY222" s="571" t="e">
        <f>#REF!/AY222</f>
        <v>#REF!</v>
      </c>
      <c r="CZ222" s="571" t="e">
        <f>#REF!/AZ222</f>
        <v>#REF!</v>
      </c>
      <c r="DA222" s="571" t="e">
        <f>#REF!/BA222</f>
        <v>#REF!</v>
      </c>
      <c r="DB222" s="571" t="e">
        <f>#REF!/BB222</f>
        <v>#REF!</v>
      </c>
      <c r="DC222" s="571" t="e">
        <f>#REF!/BC222</f>
        <v>#REF!</v>
      </c>
      <c r="DD222" s="571" t="e">
        <f>#REF!/BD222</f>
        <v>#REF!</v>
      </c>
      <c r="DE222" s="571" t="e">
        <f>#REF!/BE222</f>
        <v>#REF!</v>
      </c>
      <c r="DF222" s="571" t="e">
        <f>#REF!/BF222</f>
        <v>#REF!</v>
      </c>
      <c r="DG222" s="571" t="e">
        <f>#REF!/BG222</f>
        <v>#REF!</v>
      </c>
    </row>
    <row r="223" spans="1:111" hidden="1">
      <c r="B223" s="2947" t="s">
        <v>5730</v>
      </c>
      <c r="C223" s="2948"/>
      <c r="D223" s="1801"/>
      <c r="E223" s="1801"/>
      <c r="F223" s="1801"/>
      <c r="G223" s="1801"/>
      <c r="H223" s="1801"/>
      <c r="I223" s="1802" t="e">
        <f>((#REF!-$I$4)/1000)*$P70*(($C$8/70)^$Z$70)*IF($C$13=1,$AF$72,IF($C$13=2,$AG$72,IF($C$13=3,$AH$72,1)))</f>
        <v>#REF!</v>
      </c>
      <c r="J223" s="1802" t="e">
        <f>((#REF!-$I$4)/1000)*$P70*(($C$8/70)^$Z$70)*IF($C$13=1,$AF$72,IF($C$13=2,$AG$72,IF($C$13=3,$AH$72,1)))</f>
        <v>#REF!</v>
      </c>
      <c r="K223" s="1802" t="e">
        <f>((#REF!-$I$4)/1000)*$P70*(($C$8/70)^$Z$70)*IF($C$13=1,$AF$72,IF($C$13=2,$AG$72,IF($C$13=3,$AH$72,1)))</f>
        <v>#REF!</v>
      </c>
      <c r="L223" s="1802" t="e">
        <f>((#REF!-$I$4)/1000)*$P70*(($C$8/70)^$Z$70)*IF($C$13=1,$AF$72,IF($C$13=2,$AG$72,IF($C$13=3,$AH$72,1)))</f>
        <v>#REF!</v>
      </c>
      <c r="M223" s="1802" t="e">
        <f>((#REF!-$I$4)/1000)*$P70*(($C$8/70)^$Z$70)*IF($C$13=1,$AF$72,IF($C$13=2,$AG$72,IF($C$13=3,$AH$72,1)))</f>
        <v>#REF!</v>
      </c>
      <c r="N223" s="1802" t="e">
        <f>((#REF!-$I$4)/1000)*$P70*(($C$8/70)^$Z$70)*IF($C$13=1,$AF$72,IF($C$13=2,$AG$72,IF($C$13=3,$AH$72,1)))</f>
        <v>#REF!</v>
      </c>
      <c r="O223" s="1802" t="e">
        <f>((#REF!-$I$4)/1000)*$P70*(($C$8/70)^$Z$70)*IF($C$13=1,$AF$72,IF($C$13=2,$AG$72,IF($C$13=3,$AH$72,1)))</f>
        <v>#REF!</v>
      </c>
      <c r="P223" s="1802" t="e">
        <f>((#REF!-$I$4)/1000)*$P70*(($C$8/70)^$Z$70)*IF($C$13=1,$AF$72,IF($C$13=2,$AG$72,IF($C$13=3,$AH$72,1)))</f>
        <v>#REF!</v>
      </c>
      <c r="Q223" s="1802" t="e">
        <f>((#REF!-$I$4)/1000)*$P70*(($C$8/70)^$Z$70)*IF($C$13=1,$AF$72,IF($C$13=2,$AG$72,IF($C$13=3,$AH$72,1)))</f>
        <v>#REF!</v>
      </c>
      <c r="R223" s="1802" t="e">
        <f>((#REF!-$I$4)/1000)*$P70*(($C$8/70)^$Z$70)*IF($C$13=1,$AF$72,IF($C$13=2,$AG$72,IF($C$13=3,$AH$72,1)))</f>
        <v>#REF!</v>
      </c>
      <c r="S223" s="1802" t="e">
        <f>((#REF!-$I$4)/1000)*$P70*(($C$8/70)^$Z$70)*IF($C$13=1,$AF$72,IF($C$13=2,$AG$72,IF($C$13=3,$AH$72,1)))</f>
        <v>#REF!</v>
      </c>
      <c r="T223" s="1802" t="e">
        <f>((#REF!-$I$4)/1000)*$P70*(($C$8/70)^$Z$70)*IF($C$13=1,$AF$72,IF($C$13=2,$AG$72,IF($C$13=3,$AH$72,1)))</f>
        <v>#REF!</v>
      </c>
      <c r="U223" s="1802" t="e">
        <f>((#REF!-$I$4)/1000)*$P70*(($C$8/70)^$Z$70)*IF($C$13=1,$AF$72,IF($C$13=2,$AG$72,IF($C$13=3,$AH$72,1)))</f>
        <v>#REF!</v>
      </c>
      <c r="V223" s="1802" t="e">
        <f>((#REF!-$I$4)/1000)*$P70*(($C$8/70)^$Z$70)*IF($C$13=1,$AF$72,IF($C$13=2,$AG$72,IF($C$13=3,$AH$72,1)))</f>
        <v>#REF!</v>
      </c>
      <c r="W223" s="1802" t="e">
        <f>((#REF!-$I$4)/1000)*$P70*(($C$8/70)^$Z$70)*IF($C$13=1,$AF$72,IF($C$13=2,$AG$72,IF($C$13=3,$AH$72,1)))</f>
        <v>#REF!</v>
      </c>
      <c r="X223" s="1802" t="e">
        <f>((#REF!-$I$4)/1000)*$P70*(($C$8/70)^$Z$70)*IF($C$13=1,$AF$72,IF($C$13=2,$AG$72,IF($C$13=3,$AH$72,1)))</f>
        <v>#REF!</v>
      </c>
      <c r="Y223" s="1802" t="e">
        <f>((#REF!-$I$4)/1000)*$P70*(($C$8/70)^$Z$70)*IF($C$13=1,$AF$72,IF($C$13=2,$AG$72,IF($C$13=3,$AH$72,1)))</f>
        <v>#REF!</v>
      </c>
      <c r="Z223" s="1802" t="e">
        <f>((#REF!-$I$4)/1000)*$P70*(($C$8/70)^$Z$70)*IF($C$13=1,$AF$72,IF($C$13=2,$AG$72,IF($C$13=3,$AH$72,1)))</f>
        <v>#REF!</v>
      </c>
      <c r="AA223" s="1802" t="e">
        <f>((#REF!-$I$4)/1000)*$P70*(($C$8/70)^$Z$70)*IF($C$13=1,$AF$72,IF($C$13=2,$AG$72,IF($C$13=3,$AH$72,1)))</f>
        <v>#REF!</v>
      </c>
      <c r="AB223" s="1802" t="e">
        <f>((#REF!-$I$4)/1000)*$P70*(($C$8/70)^$Z$70)*IF($C$13=1,$AF$72,IF($C$13=2,$AG$72,IF($C$13=3,$AH$72,1)))</f>
        <v>#REF!</v>
      </c>
      <c r="AC223" s="1802" t="e">
        <f>((#REF!-$I$4)/1000)*$P70*(($C$8/70)^$Z$70)*IF($C$13=1,$AF$72,IF($C$13=2,$AG$72,IF($C$13=3,$AH$72,1)))</f>
        <v>#REF!</v>
      </c>
      <c r="AD223" s="1802" t="e">
        <f>((#REF!-$I$4)/1000)*$P70*(($C$8/70)^$Z$70)*IF($C$13=1,$AF$72,IF($C$13=2,$AG$72,IF($C$13=3,$AH$72,1)))</f>
        <v>#REF!</v>
      </c>
      <c r="AE223" s="1802" t="e">
        <f>((#REF!-$I$4)/1000)*$P70*(($C$8/70)^$Z$70)*IF($C$13=1,$AF$72,IF($C$13=2,$AG$72,IF($C$13=3,$AH$72,1)))</f>
        <v>#REF!</v>
      </c>
      <c r="AF223" s="1802" t="e">
        <f>((#REF!-$I$4)/1000)*$P70*(($C$8/70)^$Z$70)*IF($C$13=1,$AF$72,IF($C$13=2,$AG$72,IF($C$13=3,$AH$72,1)))</f>
        <v>#REF!</v>
      </c>
      <c r="AG223" s="1802" t="e">
        <f>((#REF!-$I$4)/1000)*$P70*(($C$8/70)^$Z$70)*IF($C$13=1,$AF$72,IF($C$13=2,$AG$72,IF($C$13=3,$AH$72,1)))</f>
        <v>#REF!</v>
      </c>
      <c r="AH223" s="1802" t="e">
        <f>((#REF!-$I$4)/1000)*$P70*(($C$8/70)^$Z$70)*IF($C$13=1,$AF$72,IF($C$13=2,$AG$72,IF($C$13=3,$AH$72,1)))</f>
        <v>#REF!</v>
      </c>
      <c r="AI223" s="1802" t="e">
        <f>((#REF!-$I$4)/1000)*$P70*(($C$8/70)^$Z$70)*IF($C$13=1,$AF$72,IF($C$13=2,$AG$72,IF($C$13=3,$AH$72,1)))</f>
        <v>#REF!</v>
      </c>
      <c r="AJ223" s="1802" t="e">
        <f>((#REF!-$I$4)/1000)*$P70*(($C$8/70)^$Z$70)*IF($C$13=1,$AF$72,IF($C$13=2,$AG$72,IF($C$13=3,$AH$72,1)))</f>
        <v>#REF!</v>
      </c>
      <c r="AK223" s="1802" t="e">
        <f>((#REF!-$I$4)/1000)*$P70*(($C$8/70)^$Z$70)*IF($C$13=1,$AF$72,IF($C$13=2,$AG$72,IF($C$13=3,$AH$72,1)))</f>
        <v>#REF!</v>
      </c>
      <c r="AL223" s="1802" t="e">
        <f>((#REF!-$I$4)/1000)*$P70*(($C$8/70)^$Z$70)*IF($C$13=1,$AF$72,IF($C$13=2,$AG$72,IF($C$13=3,$AH$72,1)))</f>
        <v>#REF!</v>
      </c>
      <c r="AM223" s="1802" t="e">
        <f>((#REF!-$I$4)/1000)*$P70*(($C$8/70)^$Z$70)*IF($C$13=1,$AF$72,IF($C$13=2,$AG$72,IF($C$13=3,$AH$72,1)))</f>
        <v>#REF!</v>
      </c>
      <c r="AN223" s="1802" t="e">
        <f>((#REF!-$I$4)/1000)*$P70*(($C$8/70)^$Z$70)*IF($C$13=1,$AF$72,IF($C$13=2,$AG$72,IF($C$13=3,$AH$72,1)))</f>
        <v>#REF!</v>
      </c>
      <c r="AO223" s="1802" t="e">
        <f>((#REF!-$I$4)/1000)*$P70*(($C$8/70)^$Z$70)*IF($C$13=1,$AF$72,IF($C$13=2,$AG$72,IF($C$13=3,$AH$72,1)))</f>
        <v>#REF!</v>
      </c>
      <c r="AP223" s="1802" t="e">
        <f>((#REF!-$I$4)/1000)*$P70*(($C$8/70)^$Z$70)*IF($C$13=1,$AF$72,IF($C$13=2,$AG$72,IF($C$13=3,$AH$72,1)))</f>
        <v>#REF!</v>
      </c>
      <c r="AQ223" s="1802" t="e">
        <f>((#REF!-$I$4)/1000)*$P70*(($C$8/70)^$Z$70)*IF($C$13=1,$AF$72,IF($C$13=2,$AG$72,IF($C$13=3,$AH$72,1)))</f>
        <v>#REF!</v>
      </c>
      <c r="AR223" s="1802" t="e">
        <f>((#REF!-$I$4)/1000)*$P70*(($C$8/70)^$Z$70)*IF($C$13=1,$AF$72,IF($C$13=2,$AG$72,IF($C$13=3,$AH$72,1)))</f>
        <v>#REF!</v>
      </c>
      <c r="AS223" s="1802" t="e">
        <f>((#REF!-$I$4)/1000)*$P70*(($C$8/70)^$Z$70)*IF($C$13=1,$AF$72,IF($C$13=2,$AG$72,IF($C$13=3,$AH$72,1)))</f>
        <v>#REF!</v>
      </c>
      <c r="AT223" s="1802" t="e">
        <f>((#REF!-$I$4)/1000)*$P70*(($C$8/70)^$Z$70)*IF($C$13=1,$AF$72,IF($C$13=2,$AG$72,IF($C$13=3,$AH$72,1)))</f>
        <v>#REF!</v>
      </c>
      <c r="AU223" s="1802" t="e">
        <f>((#REF!-$I$4)/1000)*$P70*(($C$8/70)^$Z$70)*IF($C$13=1,$AF$72,IF($C$13=2,$AG$72,IF($C$13=3,$AH$72,1)))</f>
        <v>#REF!</v>
      </c>
      <c r="AV223" s="1802" t="e">
        <f>((#REF!-$I$4)/1000)*$P70*(($C$8/70)^$Z$70)*IF($C$13=1,$AF$72,IF($C$13=2,$AG$72,IF($C$13=3,$AH$72,1)))</f>
        <v>#REF!</v>
      </c>
      <c r="AW223" s="1802" t="e">
        <f>((#REF!-$I$4)/1000)*$P70*(($C$8/70)^$Z$70)*IF($C$13=1,$AF$72,IF($C$13=2,$AG$72,IF($C$13=3,$AH$72,1)))</f>
        <v>#REF!</v>
      </c>
      <c r="AX223" s="1802" t="e">
        <f>((#REF!-$I$4)/1000)*$P70*(($C$8/70)^$Z$70)*IF($C$13=1,$AF$72,IF($C$13=2,$AG$72,IF($C$13=3,$AH$72,1)))</f>
        <v>#REF!</v>
      </c>
      <c r="AY223" s="1802" t="e">
        <f>((#REF!-$I$4)/1000)*$P70*(($C$8/70)^$Z$70)*IF($C$13=1,$AF$72,IF($C$13=2,$AG$72,IF($C$13=3,$AH$72,1)))</f>
        <v>#REF!</v>
      </c>
      <c r="AZ223" s="1802" t="e">
        <f>((#REF!-$I$4)/1000)*$P70*(($C$8/70)^$Z$70)*IF($C$13=1,$AF$72,IF($C$13=2,$AG$72,IF($C$13=3,$AH$72,1)))</f>
        <v>#REF!</v>
      </c>
      <c r="BA223" s="1802" t="e">
        <f>((#REF!-$I$4)/1000)*$P70*(($C$8/70)^$Z$70)*IF($C$13=1,$AF$72,IF($C$13=2,$AG$72,IF($C$13=3,$AH$72,1)))</f>
        <v>#REF!</v>
      </c>
      <c r="BB223" s="1802" t="e">
        <f>((#REF!-$I$4)/1000)*$P70*(($C$8/70)^$Z$70)*IF($C$13=1,$AF$72,IF($C$13=2,$AG$72,IF($C$13=3,$AH$72,1)))</f>
        <v>#REF!</v>
      </c>
      <c r="BC223" s="1802" t="e">
        <f>((#REF!-$I$4)/1000)*$P70*(($C$8/70)^$Z$70)*IF($C$13=1,$AF$72,IF($C$13=2,$AG$72,IF($C$13=3,$AH$72,1)))</f>
        <v>#REF!</v>
      </c>
      <c r="BD223" s="1802" t="e">
        <f>((#REF!-$I$4)/1000)*$P70*(($C$8/70)^$Z$70)*IF($C$13=1,$AF$72,IF($C$13=2,$AG$72,IF($C$13=3,$AH$72,1)))</f>
        <v>#REF!</v>
      </c>
      <c r="BE223" s="1802" t="e">
        <f>((#REF!-$I$4)/1000)*$P70*(($C$8/70)^$Z$70)*IF($C$13=1,$AF$72,IF($C$13=2,$AG$72,IF($C$13=3,$AH$72,1)))</f>
        <v>#REF!</v>
      </c>
      <c r="BF223" s="1802" t="e">
        <f>((#REF!-$I$4)/1000)*$P70*(($C$8/70)^$Z$70)*IF($C$13=1,$AF$72,IF($C$13=2,$AG$72,IF($C$13=3,$AH$72,1)))</f>
        <v>#REF!</v>
      </c>
      <c r="BG223" s="1802" t="e">
        <f>((#REF!-$I$4)/1000)*$P70*(($C$8/70)^$Z$70)*IF($C$13=1,$AF$72,IF($C$13=2,$AG$72,IF($C$13=3,$AH$72,1)))</f>
        <v>#REF!</v>
      </c>
      <c r="BI223" s="571" t="e">
        <f t="shared" ref="BI223:BX224" si="221">I231/I223</f>
        <v>#VALUE!</v>
      </c>
      <c r="BJ223" s="571" t="e">
        <f t="shared" si="221"/>
        <v>#REF!</v>
      </c>
      <c r="BK223" s="571" t="e">
        <f t="shared" si="221"/>
        <v>#REF!</v>
      </c>
      <c r="BL223" s="571" t="e">
        <f t="shared" si="221"/>
        <v>#REF!</v>
      </c>
      <c r="BM223" s="571" t="e">
        <f t="shared" si="221"/>
        <v>#REF!</v>
      </c>
      <c r="BN223" s="571" t="e">
        <f t="shared" si="221"/>
        <v>#REF!</v>
      </c>
      <c r="BO223" s="571" t="e">
        <f t="shared" si="221"/>
        <v>#REF!</v>
      </c>
      <c r="BP223" s="571" t="e">
        <f t="shared" si="221"/>
        <v>#REF!</v>
      </c>
      <c r="BQ223" s="571" t="e">
        <f t="shared" si="221"/>
        <v>#REF!</v>
      </c>
      <c r="BR223" s="571" t="e">
        <f t="shared" si="221"/>
        <v>#REF!</v>
      </c>
      <c r="BS223" s="571" t="e">
        <f t="shared" si="221"/>
        <v>#REF!</v>
      </c>
      <c r="BT223" s="571" t="e">
        <f t="shared" si="221"/>
        <v>#REF!</v>
      </c>
      <c r="BU223" s="571" t="e">
        <f t="shared" si="221"/>
        <v>#REF!</v>
      </c>
      <c r="BV223" s="571" t="e">
        <f t="shared" si="221"/>
        <v>#REF!</v>
      </c>
      <c r="BW223" s="571" t="e">
        <f t="shared" si="221"/>
        <v>#REF!</v>
      </c>
      <c r="BX223" s="571" t="e">
        <f t="shared" si="221"/>
        <v>#REF!</v>
      </c>
      <c r="BY223" s="571" t="e">
        <f t="shared" ref="BY223:CN224" si="222">Y231/Y223</f>
        <v>#REF!</v>
      </c>
      <c r="BZ223" s="571" t="e">
        <f t="shared" si="222"/>
        <v>#REF!</v>
      </c>
      <c r="CA223" s="571" t="e">
        <f t="shared" si="222"/>
        <v>#REF!</v>
      </c>
      <c r="CB223" s="571" t="e">
        <f t="shared" si="222"/>
        <v>#REF!</v>
      </c>
      <c r="CC223" s="571" t="e">
        <f t="shared" si="222"/>
        <v>#REF!</v>
      </c>
      <c r="CD223" s="571" t="e">
        <f t="shared" si="222"/>
        <v>#REF!</v>
      </c>
      <c r="CE223" s="571" t="e">
        <f t="shared" si="222"/>
        <v>#REF!</v>
      </c>
      <c r="CF223" s="571" t="e">
        <f t="shared" si="222"/>
        <v>#REF!</v>
      </c>
      <c r="CG223" s="571" t="e">
        <f t="shared" si="222"/>
        <v>#REF!</v>
      </c>
      <c r="CH223" s="571" t="e">
        <f t="shared" si="222"/>
        <v>#REF!</v>
      </c>
      <c r="CI223" s="571" t="e">
        <f t="shared" si="222"/>
        <v>#REF!</v>
      </c>
      <c r="CJ223" s="571" t="e">
        <f t="shared" si="222"/>
        <v>#REF!</v>
      </c>
      <c r="CK223" s="571" t="e">
        <f t="shared" si="222"/>
        <v>#REF!</v>
      </c>
      <c r="CL223" s="571" t="e">
        <f t="shared" si="222"/>
        <v>#REF!</v>
      </c>
      <c r="CM223" s="571" t="e">
        <f t="shared" si="222"/>
        <v>#REF!</v>
      </c>
      <c r="CN223" s="571" t="e">
        <f t="shared" si="222"/>
        <v>#REF!</v>
      </c>
      <c r="CO223" s="571" t="e">
        <f t="shared" ref="CO223:DD224" si="223">AO231/AO223</f>
        <v>#REF!</v>
      </c>
      <c r="CP223" s="571" t="e">
        <f t="shared" si="223"/>
        <v>#REF!</v>
      </c>
      <c r="CQ223" s="571" t="e">
        <f t="shared" si="223"/>
        <v>#REF!</v>
      </c>
      <c r="CR223" s="571" t="e">
        <f t="shared" si="223"/>
        <v>#REF!</v>
      </c>
      <c r="CS223" s="571" t="e">
        <f t="shared" si="223"/>
        <v>#REF!</v>
      </c>
      <c r="CT223" s="571" t="e">
        <f t="shared" si="223"/>
        <v>#REF!</v>
      </c>
      <c r="CU223" s="571" t="e">
        <f t="shared" si="223"/>
        <v>#REF!</v>
      </c>
      <c r="CV223" s="571" t="e">
        <f t="shared" si="223"/>
        <v>#REF!</v>
      </c>
      <c r="CW223" s="571" t="e">
        <f t="shared" si="223"/>
        <v>#REF!</v>
      </c>
      <c r="CX223" s="571" t="e">
        <f t="shared" si="223"/>
        <v>#REF!</v>
      </c>
      <c r="CY223" s="571" t="e">
        <f t="shared" si="223"/>
        <v>#REF!</v>
      </c>
      <c r="CZ223" s="571" t="e">
        <f t="shared" si="223"/>
        <v>#REF!</v>
      </c>
      <c r="DA223" s="571" t="e">
        <f t="shared" si="223"/>
        <v>#REF!</v>
      </c>
      <c r="DB223" s="571" t="e">
        <f t="shared" si="223"/>
        <v>#REF!</v>
      </c>
      <c r="DC223" s="571" t="e">
        <f t="shared" si="223"/>
        <v>#REF!</v>
      </c>
      <c r="DD223" s="571" t="e">
        <f t="shared" si="223"/>
        <v>#REF!</v>
      </c>
      <c r="DE223" s="571" t="e">
        <f t="shared" ref="CW223:DF224" si="224">BE231/BE223</f>
        <v>#REF!</v>
      </c>
      <c r="DF223" s="571" t="e">
        <f t="shared" si="224"/>
        <v>#REF!</v>
      </c>
      <c r="DG223" s="571" t="e">
        <f>BG231/BG223</f>
        <v>#REF!</v>
      </c>
    </row>
    <row r="224" spans="1:111" ht="15.75" hidden="1" thickBot="1">
      <c r="B224" s="2949" t="s">
        <v>5731</v>
      </c>
      <c r="C224" s="2950"/>
      <c r="D224" s="1803"/>
      <c r="E224" s="1803"/>
      <c r="F224" s="1803"/>
      <c r="G224" s="1803"/>
      <c r="H224" s="1803"/>
      <c r="I224" s="1804" t="e">
        <f>((#REF!-$I$4)/1000)*$Q70*(($C$8/70)^$AA$70)*IF($C$13=1,$AF$69,IF($C$13=2,$AG$69,IF($C$13=3,$AH$69,1)))</f>
        <v>#REF!</v>
      </c>
      <c r="J224" s="1804" t="e">
        <f>((#REF!-$I$4)/1000)*$Q70*(($C$8/70)^$AA$70)*IF($C$13=1,$AF$69,IF($C$13=2,$AG$69,IF($C$13=3,$AH$69,1)))</f>
        <v>#REF!</v>
      </c>
      <c r="K224" s="1804" t="e">
        <f>((#REF!-$I$4)/1000)*$Q70*(($C$8/70)^$AA$70)*IF($C$13=1,$AF$69,IF($C$13=2,$AG$69,IF($C$13=3,$AH$69,1)))</f>
        <v>#REF!</v>
      </c>
      <c r="L224" s="1804" t="e">
        <f>((#REF!-$I$4)/1000)*$Q70*(($C$8/70)^$AA$70)*IF($C$13=1,$AF$69,IF($C$13=2,$AG$69,IF($C$13=3,$AH$69,1)))</f>
        <v>#REF!</v>
      </c>
      <c r="M224" s="1804" t="e">
        <f>((#REF!-$I$4)/1000)*$Q70*(($C$8/70)^$AA$70)*IF($C$13=1,$AF$69,IF($C$13=2,$AG$69,IF($C$13=3,$AH$69,1)))</f>
        <v>#REF!</v>
      </c>
      <c r="N224" s="1804" t="e">
        <f>((#REF!-$I$4)/1000)*$Q70*(($C$8/70)^$AA$70)*IF($C$13=1,$AF$69,IF($C$13=2,$AG$69,IF($C$13=3,$AH$69,1)))</f>
        <v>#REF!</v>
      </c>
      <c r="O224" s="1804" t="e">
        <f>((#REF!-$I$4)/1000)*$Q70*(($C$8/70)^$AA$70)*IF($C$13=1,$AF$69,IF($C$13=2,$AG$69,IF($C$13=3,$AH$69,1)))</f>
        <v>#REF!</v>
      </c>
      <c r="P224" s="1804" t="e">
        <f>((#REF!-$I$4)/1000)*$Q70*(($C$8/70)^$AA$70)*IF($C$13=1,$AF$69,IF($C$13=2,$AG$69,IF($C$13=3,$AH$69,1)))</f>
        <v>#REF!</v>
      </c>
      <c r="Q224" s="1804" t="e">
        <f>((#REF!-$I$4)/1000)*$Q70*(($C$8/70)^$AA$70)*IF($C$13=1,$AF$69,IF($C$13=2,$AG$69,IF($C$13=3,$AH$69,1)))</f>
        <v>#REF!</v>
      </c>
      <c r="R224" s="1804" t="e">
        <f>((#REF!-$I$4)/1000)*$Q70*(($C$8/70)^$AA$70)*IF($C$13=1,$AF$69,IF($C$13=2,$AG$69,IF($C$13=3,$AH$69,1)))</f>
        <v>#REF!</v>
      </c>
      <c r="S224" s="1804" t="e">
        <f>((#REF!-$I$4)/1000)*$Q70*(($C$8/70)^$AA$70)*IF($C$13=1,$AF$69,IF($C$13=2,$AG$69,IF($C$13=3,$AH$69,1)))</f>
        <v>#REF!</v>
      </c>
      <c r="T224" s="1804" t="e">
        <f>((#REF!-$I$4)/1000)*$Q70*(($C$8/70)^$AA$70)*IF($C$13=1,$AF$69,IF($C$13=2,$AG$69,IF($C$13=3,$AH$69,1)))</f>
        <v>#REF!</v>
      </c>
      <c r="U224" s="1804" t="e">
        <f>((#REF!-$I$4)/1000)*$Q70*(($C$8/70)^$AA$70)*IF($C$13=1,$AF$69,IF($C$13=2,$AG$69,IF($C$13=3,$AH$69,1)))</f>
        <v>#REF!</v>
      </c>
      <c r="V224" s="1804" t="e">
        <f>((#REF!-$I$4)/1000)*$Q70*(($C$8/70)^$AA$70)*IF($C$13=1,$AF$69,IF($C$13=2,$AG$69,IF($C$13=3,$AH$69,1)))</f>
        <v>#REF!</v>
      </c>
      <c r="W224" s="1804" t="e">
        <f>((#REF!-$I$4)/1000)*$Q70*(($C$8/70)^$AA$70)*IF($C$13=1,$AF$69,IF($C$13=2,$AG$69,IF($C$13=3,$AH$69,1)))</f>
        <v>#REF!</v>
      </c>
      <c r="X224" s="1804" t="e">
        <f>((#REF!-$I$4)/1000)*$Q70*(($C$8/70)^$AA$70)*IF($C$13=1,$AF$69,IF($C$13=2,$AG$69,IF($C$13=3,$AH$69,1)))</f>
        <v>#REF!</v>
      </c>
      <c r="Y224" s="1804" t="e">
        <f>((#REF!-$I$4)/1000)*$Q70*(($C$8/70)^$AA$70)*IF($C$13=1,$AF$69,IF($C$13=2,$AG$69,IF($C$13=3,$AH$69,1)))</f>
        <v>#REF!</v>
      </c>
      <c r="Z224" s="1804" t="e">
        <f>((#REF!-$I$4)/1000)*$Q70*(($C$8/70)^$AA$70)*IF($C$13=1,$AF$69,IF($C$13=2,$AG$69,IF($C$13=3,$AH$69,1)))</f>
        <v>#REF!</v>
      </c>
      <c r="AA224" s="1804" t="e">
        <f>((#REF!-$I$4)/1000)*$Q70*(($C$8/70)^$AA$70)*IF($C$13=1,$AF$69,IF($C$13=2,$AG$69,IF($C$13=3,$AH$69,1)))</f>
        <v>#REF!</v>
      </c>
      <c r="AB224" s="1804" t="e">
        <f>((#REF!-$I$4)/1000)*$Q70*(($C$8/70)^$AA$70)*IF($C$13=1,$AF$69,IF($C$13=2,$AG$69,IF($C$13=3,$AH$69,1)))</f>
        <v>#REF!</v>
      </c>
      <c r="AC224" s="1804" t="e">
        <f>((#REF!-$I$4)/1000)*$Q70*(($C$8/70)^$AA$70)*IF($C$13=1,$AF$69,IF($C$13=2,$AG$69,IF($C$13=3,$AH$69,1)))</f>
        <v>#REF!</v>
      </c>
      <c r="AD224" s="1804" t="e">
        <f>((#REF!-$I$4)/1000)*$Q70*(($C$8/70)^$AA$70)*IF($C$13=1,$AF$69,IF($C$13=2,$AG$69,IF($C$13=3,$AH$69,1)))</f>
        <v>#REF!</v>
      </c>
      <c r="AE224" s="1804" t="e">
        <f>((#REF!-$I$4)/1000)*$Q70*(($C$8/70)^$AA$70)*IF($C$13=1,$AF$69,IF($C$13=2,$AG$69,IF($C$13=3,$AH$69,1)))</f>
        <v>#REF!</v>
      </c>
      <c r="AF224" s="1804" t="e">
        <f>((#REF!-$I$4)/1000)*$Q70*(($C$8/70)^$AA$70)*IF($C$13=1,$AF$69,IF($C$13=2,$AG$69,IF($C$13=3,$AH$69,1)))</f>
        <v>#REF!</v>
      </c>
      <c r="AG224" s="1804" t="e">
        <f>((#REF!-$I$4)/1000)*$Q70*(($C$8/70)^$AA$70)*IF($C$13=1,$AF$69,IF($C$13=2,$AG$69,IF($C$13=3,$AH$69,1)))</f>
        <v>#REF!</v>
      </c>
      <c r="AH224" s="1804" t="e">
        <f>((#REF!-$I$4)/1000)*$Q70*(($C$8/70)^$AA$70)*IF($C$13=1,$AF$69,IF($C$13=2,$AG$69,IF($C$13=3,$AH$69,1)))</f>
        <v>#REF!</v>
      </c>
      <c r="AI224" s="1804" t="e">
        <f>((#REF!-$I$4)/1000)*$Q70*(($C$8/70)^$AA$70)*IF($C$13=1,$AF$69,IF($C$13=2,$AG$69,IF($C$13=3,$AH$69,1)))</f>
        <v>#REF!</v>
      </c>
      <c r="AJ224" s="1804" t="e">
        <f>((#REF!-$I$4)/1000)*$Q70*(($C$8/70)^$AA$70)*IF($C$13=1,$AF$69,IF($C$13=2,$AG$69,IF($C$13=3,$AH$69,1)))</f>
        <v>#REF!</v>
      </c>
      <c r="AK224" s="1804" t="e">
        <f>((#REF!-$I$4)/1000)*$Q70*(($C$8/70)^$AA$70)*IF($C$13=1,$AF$69,IF($C$13=2,$AG$69,IF($C$13=3,$AH$69,1)))</f>
        <v>#REF!</v>
      </c>
      <c r="AL224" s="1804" t="e">
        <f>((#REF!-$I$4)/1000)*$Q70*(($C$8/70)^$AA$70)*IF($C$13=1,$AF$69,IF($C$13=2,$AG$69,IF($C$13=3,$AH$69,1)))</f>
        <v>#REF!</v>
      </c>
      <c r="AM224" s="1804" t="e">
        <f>((#REF!-$I$4)/1000)*$Q70*(($C$8/70)^$AA$70)*IF($C$13=1,$AF$69,IF($C$13=2,$AG$69,IF($C$13=3,$AH$69,1)))</f>
        <v>#REF!</v>
      </c>
      <c r="AN224" s="1804" t="e">
        <f>((#REF!-$I$4)/1000)*$Q70*(($C$8/70)^$AA$70)*IF($C$13=1,$AF$69,IF($C$13=2,$AG$69,IF($C$13=3,$AH$69,1)))</f>
        <v>#REF!</v>
      </c>
      <c r="AO224" s="1804" t="e">
        <f>((#REF!-$I$4)/1000)*$Q70*(($C$8/70)^$AA$70)*IF($C$13=1,$AF$69,IF($C$13=2,$AG$69,IF($C$13=3,$AH$69,1)))</f>
        <v>#REF!</v>
      </c>
      <c r="AP224" s="1804" t="e">
        <f>((#REF!-$I$4)/1000)*$Q70*(($C$8/70)^$AA$70)*IF($C$13=1,$AF$69,IF($C$13=2,$AG$69,IF($C$13=3,$AH$69,1)))</f>
        <v>#REF!</v>
      </c>
      <c r="AQ224" s="1804" t="e">
        <f>((#REF!-$I$4)/1000)*$Q70*(($C$8/70)^$AA$70)*IF($C$13=1,$AF$69,IF($C$13=2,$AG$69,IF($C$13=3,$AH$69,1)))</f>
        <v>#REF!</v>
      </c>
      <c r="AR224" s="1804" t="e">
        <f>((#REF!-$I$4)/1000)*$Q70*(($C$8/70)^$AA$70)*IF($C$13=1,$AF$69,IF($C$13=2,$AG$69,IF($C$13=3,$AH$69,1)))</f>
        <v>#REF!</v>
      </c>
      <c r="AS224" s="1804" t="e">
        <f>((#REF!-$I$4)/1000)*$Q70*(($C$8/70)^$AA$70)*IF($C$13=1,$AF$69,IF($C$13=2,$AG$69,IF($C$13=3,$AH$69,1)))</f>
        <v>#REF!</v>
      </c>
      <c r="AT224" s="1804" t="e">
        <f>((#REF!-$I$4)/1000)*$Q70*(($C$8/70)^$AA$70)*IF($C$13=1,$AF$69,IF($C$13=2,$AG$69,IF($C$13=3,$AH$69,1)))</f>
        <v>#REF!</v>
      </c>
      <c r="AU224" s="1804" t="e">
        <f>((#REF!-$I$4)/1000)*$Q70*(($C$8/70)^$AA$70)*IF($C$13=1,$AF$69,IF($C$13=2,$AG$69,IF($C$13=3,$AH$69,1)))</f>
        <v>#REF!</v>
      </c>
      <c r="AV224" s="1804" t="e">
        <f>((#REF!-$I$4)/1000)*$Q70*(($C$8/70)^$AA$70)*IF($C$13=1,$AF$69,IF($C$13=2,$AG$69,IF($C$13=3,$AH$69,1)))</f>
        <v>#REF!</v>
      </c>
      <c r="AW224" s="1804" t="e">
        <f>((#REF!-$I$4)/1000)*$Q70*(($C$8/70)^$AA$70)*IF($C$13=1,$AF$69,IF($C$13=2,$AG$69,IF($C$13=3,$AH$69,1)))</f>
        <v>#REF!</v>
      </c>
      <c r="AX224" s="1804" t="e">
        <f>((#REF!-$I$4)/1000)*$Q70*(($C$8/70)^$AA$70)*IF($C$13=1,$AF$69,IF($C$13=2,$AG$69,IF($C$13=3,$AH$69,1)))</f>
        <v>#REF!</v>
      </c>
      <c r="AY224" s="1804" t="e">
        <f>((#REF!-$I$4)/1000)*$Q70*(($C$8/70)^$AA$70)*IF($C$13=1,$AF$69,IF($C$13=2,$AG$69,IF($C$13=3,$AH$69,1)))</f>
        <v>#REF!</v>
      </c>
      <c r="AZ224" s="1804" t="e">
        <f>((#REF!-$I$4)/1000)*$Q70*(($C$8/70)^$AA$70)*IF($C$13=1,$AF$69,IF($C$13=2,$AG$69,IF($C$13=3,$AH$69,1)))</f>
        <v>#REF!</v>
      </c>
      <c r="BA224" s="1804" t="e">
        <f>((#REF!-$I$4)/1000)*$Q70*(($C$8/70)^$AA$70)*IF($C$13=1,$AF$69,IF($C$13=2,$AG$69,IF($C$13=3,$AH$69,1)))</f>
        <v>#REF!</v>
      </c>
      <c r="BB224" s="1804" t="e">
        <f>((#REF!-$I$4)/1000)*$Q70*(($C$8/70)^$AA$70)*IF($C$13=1,$AF$69,IF($C$13=2,$AG$69,IF($C$13=3,$AH$69,1)))</f>
        <v>#REF!</v>
      </c>
      <c r="BC224" s="1804" t="e">
        <f>((#REF!-$I$4)/1000)*$Q70*(($C$8/70)^$AA$70)*IF($C$13=1,$AF$69,IF($C$13=2,$AG$69,IF($C$13=3,$AH$69,1)))</f>
        <v>#REF!</v>
      </c>
      <c r="BD224" s="1804" t="e">
        <f>((#REF!-$I$4)/1000)*$Q70*(($C$8/70)^$AA$70)*IF($C$13=1,$AF$69,IF($C$13=2,$AG$69,IF($C$13=3,$AH$69,1)))</f>
        <v>#REF!</v>
      </c>
      <c r="BE224" s="1804" t="e">
        <f>((#REF!-$I$4)/1000)*$Q70*(($C$8/70)^$AA$70)*IF($C$13=1,$AF$69,IF($C$13=2,$AG$69,IF($C$13=3,$AH$69,1)))</f>
        <v>#REF!</v>
      </c>
      <c r="BF224" s="1804" t="e">
        <f>((#REF!-$I$4)/1000)*$Q70*(($C$8/70)^$AA$70)*IF($C$13=1,$AF$69,IF($C$13=2,$AG$69,IF($C$13=3,$AH$69,1)))</f>
        <v>#REF!</v>
      </c>
      <c r="BG224" s="1804" t="e">
        <f>((#REF!-$I$4)/1000)*$Q70*(($C$8/70)^$AA$70)*IF($C$13=1,$AF$69,IF($C$13=2,$AG$69,IF($C$13=3,$AH$69,1)))</f>
        <v>#REF!</v>
      </c>
      <c r="BI224" s="571" t="e">
        <f t="shared" si="221"/>
        <v>#REF!</v>
      </c>
      <c r="BJ224" s="571" t="e">
        <f t="shared" si="221"/>
        <v>#REF!</v>
      </c>
      <c r="BK224" s="571" t="e">
        <f t="shared" si="221"/>
        <v>#REF!</v>
      </c>
      <c r="BL224" s="571" t="e">
        <f t="shared" si="221"/>
        <v>#REF!</v>
      </c>
      <c r="BM224" s="571" t="e">
        <f t="shared" si="221"/>
        <v>#REF!</v>
      </c>
      <c r="BN224" s="571" t="e">
        <f t="shared" si="221"/>
        <v>#REF!</v>
      </c>
      <c r="BO224" s="571" t="e">
        <f t="shared" si="221"/>
        <v>#REF!</v>
      </c>
      <c r="BP224" s="571" t="e">
        <f t="shared" si="221"/>
        <v>#REF!</v>
      </c>
      <c r="BQ224" s="571" t="e">
        <f t="shared" si="221"/>
        <v>#REF!</v>
      </c>
      <c r="BR224" s="571" t="e">
        <f t="shared" si="221"/>
        <v>#REF!</v>
      </c>
      <c r="BS224" s="571" t="e">
        <f t="shared" si="221"/>
        <v>#REF!</v>
      </c>
      <c r="BT224" s="571" t="e">
        <f t="shared" si="221"/>
        <v>#REF!</v>
      </c>
      <c r="BU224" s="571" t="e">
        <f t="shared" si="221"/>
        <v>#REF!</v>
      </c>
      <c r="BV224" s="571" t="e">
        <f t="shared" si="221"/>
        <v>#REF!</v>
      </c>
      <c r="BW224" s="571" t="e">
        <f t="shared" si="221"/>
        <v>#REF!</v>
      </c>
      <c r="BX224" s="571" t="e">
        <f t="shared" si="221"/>
        <v>#REF!</v>
      </c>
      <c r="BY224" s="571" t="e">
        <f t="shared" si="222"/>
        <v>#REF!</v>
      </c>
      <c r="BZ224" s="571" t="e">
        <f t="shared" si="222"/>
        <v>#REF!</v>
      </c>
      <c r="CA224" s="571" t="e">
        <f t="shared" si="222"/>
        <v>#REF!</v>
      </c>
      <c r="CB224" s="571" t="e">
        <f t="shared" si="222"/>
        <v>#REF!</v>
      </c>
      <c r="CC224" s="571" t="e">
        <f t="shared" si="222"/>
        <v>#REF!</v>
      </c>
      <c r="CD224" s="571" t="e">
        <f t="shared" si="222"/>
        <v>#REF!</v>
      </c>
      <c r="CE224" s="571" t="e">
        <f t="shared" si="222"/>
        <v>#REF!</v>
      </c>
      <c r="CF224" s="571" t="e">
        <f t="shared" si="222"/>
        <v>#REF!</v>
      </c>
      <c r="CG224" s="571" t="e">
        <f t="shared" si="222"/>
        <v>#REF!</v>
      </c>
      <c r="CH224" s="571" t="e">
        <f t="shared" si="222"/>
        <v>#REF!</v>
      </c>
      <c r="CI224" s="571" t="e">
        <f t="shared" si="222"/>
        <v>#REF!</v>
      </c>
      <c r="CJ224" s="571" t="e">
        <f t="shared" si="222"/>
        <v>#REF!</v>
      </c>
      <c r="CK224" s="571" t="e">
        <f t="shared" si="222"/>
        <v>#REF!</v>
      </c>
      <c r="CL224" s="571" t="e">
        <f t="shared" si="222"/>
        <v>#REF!</v>
      </c>
      <c r="CM224" s="571" t="e">
        <f t="shared" si="222"/>
        <v>#REF!</v>
      </c>
      <c r="CN224" s="571" t="e">
        <f t="shared" si="222"/>
        <v>#REF!</v>
      </c>
      <c r="CO224" s="571" t="e">
        <f t="shared" si="223"/>
        <v>#REF!</v>
      </c>
      <c r="CP224" s="571" t="e">
        <f t="shared" si="223"/>
        <v>#REF!</v>
      </c>
      <c r="CQ224" s="571" t="e">
        <f t="shared" si="223"/>
        <v>#REF!</v>
      </c>
      <c r="CR224" s="571" t="e">
        <f t="shared" si="223"/>
        <v>#REF!</v>
      </c>
      <c r="CS224" s="571" t="e">
        <f t="shared" si="223"/>
        <v>#REF!</v>
      </c>
      <c r="CT224" s="571" t="e">
        <f t="shared" si="223"/>
        <v>#REF!</v>
      </c>
      <c r="CU224" s="571" t="e">
        <f t="shared" si="223"/>
        <v>#REF!</v>
      </c>
      <c r="CV224" s="571" t="e">
        <f t="shared" si="223"/>
        <v>#REF!</v>
      </c>
      <c r="CW224" s="571" t="e">
        <f t="shared" si="224"/>
        <v>#REF!</v>
      </c>
      <c r="CX224" s="571" t="e">
        <f t="shared" si="224"/>
        <v>#REF!</v>
      </c>
      <c r="CY224" s="571" t="e">
        <f t="shared" si="224"/>
        <v>#REF!</v>
      </c>
      <c r="CZ224" s="571" t="e">
        <f t="shared" si="224"/>
        <v>#REF!</v>
      </c>
      <c r="DA224" s="571" t="e">
        <f t="shared" si="224"/>
        <v>#REF!</v>
      </c>
      <c r="DB224" s="571" t="e">
        <f t="shared" si="224"/>
        <v>#REF!</v>
      </c>
      <c r="DC224" s="571" t="e">
        <f t="shared" si="224"/>
        <v>#REF!</v>
      </c>
      <c r="DD224" s="571" t="e">
        <f t="shared" si="224"/>
        <v>#REF!</v>
      </c>
      <c r="DE224" s="571" t="e">
        <f t="shared" si="224"/>
        <v>#REF!</v>
      </c>
      <c r="DF224" s="571" t="e">
        <f t="shared" si="224"/>
        <v>#REF!</v>
      </c>
      <c r="DG224" s="571" t="e">
        <f>BG232/BG224</f>
        <v>#REF!</v>
      </c>
    </row>
    <row r="225" spans="1:111" hidden="1">
      <c r="B225" s="1805"/>
      <c r="C225" s="1805"/>
      <c r="D225" s="1806"/>
      <c r="E225" s="1806"/>
      <c r="F225" s="1806"/>
      <c r="G225" s="1806"/>
      <c r="H225" s="1806"/>
      <c r="I225" s="1807"/>
      <c r="J225" s="1807"/>
      <c r="K225" s="1807"/>
      <c r="L225" s="1807"/>
      <c r="M225" s="1807"/>
      <c r="N225" s="1807"/>
      <c r="O225" s="1807"/>
      <c r="P225" s="1807"/>
      <c r="Q225" s="1807"/>
      <c r="R225" s="1807"/>
      <c r="S225" s="1807"/>
      <c r="T225" s="1807"/>
      <c r="U225" s="1807"/>
      <c r="V225" s="1807"/>
      <c r="W225" s="1807"/>
      <c r="X225" s="1807"/>
      <c r="Y225" s="1807"/>
      <c r="Z225" s="1807"/>
      <c r="AA225" s="1807"/>
      <c r="AB225" s="1807"/>
      <c r="AC225" s="1807"/>
      <c r="AD225" s="1807"/>
      <c r="AE225" s="1807"/>
      <c r="AF225" s="1807"/>
      <c r="AG225" s="1807"/>
      <c r="AH225" s="1807"/>
      <c r="AI225" s="1807"/>
      <c r="AJ225" s="1807"/>
      <c r="AK225" s="1807"/>
      <c r="AL225" s="1807"/>
      <c r="AM225" s="1807"/>
      <c r="AN225" s="1807"/>
      <c r="AO225" s="1807"/>
      <c r="AP225" s="1807"/>
      <c r="AQ225" s="1807"/>
      <c r="AR225" s="1807"/>
      <c r="AS225" s="1807"/>
      <c r="AT225" s="1807"/>
      <c r="AU225" s="1807"/>
      <c r="AV225" s="1807"/>
      <c r="AW225" s="1807"/>
      <c r="AX225" s="1807"/>
      <c r="AY225" s="1807"/>
      <c r="AZ225" s="1807"/>
      <c r="BA225" s="1807"/>
      <c r="BB225" s="1807"/>
      <c r="BC225" s="1807"/>
      <c r="BD225" s="1807"/>
      <c r="BE225" s="1807"/>
      <c r="BF225" s="1807"/>
      <c r="BG225" s="1807"/>
    </row>
    <row r="226" spans="1:111" ht="15.75" hidden="1" thickBot="1">
      <c r="A226" s="1855"/>
      <c r="B226" s="2951" t="s">
        <v>343</v>
      </c>
      <c r="C226" s="2952"/>
      <c r="D226" s="1808"/>
      <c r="E226" s="2907" t="s">
        <v>192</v>
      </c>
      <c r="F226" s="2909" t="s">
        <v>0</v>
      </c>
      <c r="G226" s="2909" t="s">
        <v>1</v>
      </c>
      <c r="H226" s="2911" t="s">
        <v>153</v>
      </c>
      <c r="I226" s="2944" t="s">
        <v>16</v>
      </c>
      <c r="J226" s="2945"/>
      <c r="K226" s="2945"/>
      <c r="L226" s="2945"/>
      <c r="M226" s="2945"/>
      <c r="N226" s="2945"/>
      <c r="O226" s="2945"/>
      <c r="P226" s="2945"/>
      <c r="Q226" s="2945"/>
      <c r="R226" s="2945"/>
      <c r="S226" s="2945"/>
      <c r="T226" s="2945"/>
      <c r="U226" s="2945"/>
      <c r="V226" s="2945"/>
      <c r="W226" s="2945"/>
      <c r="X226" s="2945"/>
      <c r="Y226" s="2945"/>
      <c r="Z226" s="2945"/>
      <c r="AA226" s="2945"/>
      <c r="AB226" s="2945"/>
      <c r="AC226" s="2945"/>
      <c r="AD226" s="2945"/>
      <c r="AE226" s="2945"/>
      <c r="AF226" s="2945"/>
      <c r="AG226" s="2945"/>
      <c r="AH226" s="2945"/>
      <c r="AI226" s="2945"/>
      <c r="AJ226" s="2945"/>
      <c r="AK226" s="2945"/>
      <c r="AL226" s="2945"/>
      <c r="AM226" s="2945"/>
      <c r="AN226" s="2945"/>
      <c r="AO226" s="2945"/>
      <c r="AP226" s="2945"/>
      <c r="AQ226" s="2945"/>
      <c r="AR226" s="2945"/>
      <c r="AS226" s="2945"/>
      <c r="AT226" s="2945"/>
      <c r="AU226" s="2945"/>
      <c r="AV226" s="2945"/>
      <c r="AW226" s="2945"/>
      <c r="AX226" s="2945"/>
      <c r="AY226" s="2945"/>
      <c r="AZ226" s="2945"/>
      <c r="BA226" s="2945"/>
      <c r="BB226" s="2945"/>
      <c r="BC226" s="2945"/>
      <c r="BD226" s="2945"/>
      <c r="BE226" s="2945"/>
      <c r="BF226" s="2945"/>
      <c r="BG226" s="2946"/>
    </row>
    <row r="227" spans="1:111" ht="15.75" hidden="1" thickBot="1">
      <c r="A227" s="1855"/>
      <c r="B227" s="2953"/>
      <c r="C227" s="2954"/>
      <c r="D227" s="1809"/>
      <c r="E227" s="2908"/>
      <c r="F227" s="2910"/>
      <c r="G227" s="2910"/>
      <c r="H227" s="2912"/>
      <c r="I227" s="1810">
        <v>500</v>
      </c>
      <c r="J227" s="1811">
        <v>550</v>
      </c>
      <c r="K227" s="1812">
        <v>600</v>
      </c>
      <c r="L227" s="1813">
        <v>650</v>
      </c>
      <c r="M227" s="1813">
        <v>700</v>
      </c>
      <c r="N227" s="1813">
        <v>750</v>
      </c>
      <c r="O227" s="1813">
        <v>800</v>
      </c>
      <c r="P227" s="1813">
        <v>850</v>
      </c>
      <c r="Q227" s="1813">
        <v>900</v>
      </c>
      <c r="R227" s="1813">
        <v>950</v>
      </c>
      <c r="S227" s="1813">
        <v>1000</v>
      </c>
      <c r="T227" s="1813">
        <v>1050</v>
      </c>
      <c r="U227" s="1813">
        <v>1100</v>
      </c>
      <c r="V227" s="1813">
        <v>1150</v>
      </c>
      <c r="W227" s="1813">
        <v>1200</v>
      </c>
      <c r="X227" s="1813">
        <v>1250</v>
      </c>
      <c r="Y227" s="1813">
        <v>1300</v>
      </c>
      <c r="Z227" s="1813">
        <v>1350</v>
      </c>
      <c r="AA227" s="1813">
        <v>1400</v>
      </c>
      <c r="AB227" s="1813">
        <v>1450</v>
      </c>
      <c r="AC227" s="1813">
        <v>1500</v>
      </c>
      <c r="AD227" s="1813">
        <v>1550</v>
      </c>
      <c r="AE227" s="1813">
        <v>1600</v>
      </c>
      <c r="AF227" s="1813">
        <v>1650</v>
      </c>
      <c r="AG227" s="1813">
        <v>1700</v>
      </c>
      <c r="AH227" s="1813">
        <v>1750</v>
      </c>
      <c r="AI227" s="1813">
        <v>1800</v>
      </c>
      <c r="AJ227" s="1813">
        <v>1850</v>
      </c>
      <c r="AK227" s="1813">
        <v>1900</v>
      </c>
      <c r="AL227" s="1813">
        <v>1950</v>
      </c>
      <c r="AM227" s="1813">
        <v>2000</v>
      </c>
      <c r="AN227" s="1813">
        <v>2050</v>
      </c>
      <c r="AO227" s="1813">
        <v>2100</v>
      </c>
      <c r="AP227" s="1813">
        <v>2150</v>
      </c>
      <c r="AQ227" s="1813">
        <v>2200</v>
      </c>
      <c r="AR227" s="1813">
        <v>2250</v>
      </c>
      <c r="AS227" s="1813">
        <v>2300</v>
      </c>
      <c r="AT227" s="1813">
        <v>2350</v>
      </c>
      <c r="AU227" s="1813">
        <v>2400</v>
      </c>
      <c r="AV227" s="1813">
        <v>2450</v>
      </c>
      <c r="AW227" s="1813">
        <v>2500</v>
      </c>
      <c r="AX227" s="1813">
        <v>2550</v>
      </c>
      <c r="AY227" s="1813">
        <v>2600</v>
      </c>
      <c r="AZ227" s="1813">
        <v>2650</v>
      </c>
      <c r="BA227" s="1813">
        <v>2700</v>
      </c>
      <c r="BB227" s="1813">
        <v>2750</v>
      </c>
      <c r="BC227" s="1813">
        <v>2800</v>
      </c>
      <c r="BD227" s="1813">
        <v>2850</v>
      </c>
      <c r="BE227" s="1813">
        <v>2900</v>
      </c>
      <c r="BF227" s="1814">
        <v>2950</v>
      </c>
      <c r="BG227" s="1815">
        <v>3000</v>
      </c>
      <c r="BI227" s="1851">
        <v>500</v>
      </c>
      <c r="BJ227" s="632">
        <v>550</v>
      </c>
      <c r="BK227" s="633">
        <v>600</v>
      </c>
      <c r="BL227" s="634">
        <v>650</v>
      </c>
      <c r="BM227" s="634">
        <v>700</v>
      </c>
      <c r="BN227" s="634">
        <v>750</v>
      </c>
      <c r="BO227" s="634">
        <v>800</v>
      </c>
      <c r="BP227" s="634">
        <v>850</v>
      </c>
      <c r="BQ227" s="634">
        <v>900</v>
      </c>
      <c r="BR227" s="634">
        <v>950</v>
      </c>
      <c r="BS227" s="634">
        <v>1000</v>
      </c>
      <c r="BT227" s="634">
        <v>1050</v>
      </c>
      <c r="BU227" s="634">
        <v>1100</v>
      </c>
      <c r="BV227" s="634">
        <v>1150</v>
      </c>
      <c r="BW227" s="634">
        <v>1200</v>
      </c>
      <c r="BX227" s="634">
        <v>1250</v>
      </c>
      <c r="BY227" s="634">
        <v>1300</v>
      </c>
      <c r="BZ227" s="634">
        <v>1350</v>
      </c>
      <c r="CA227" s="634">
        <v>1400</v>
      </c>
      <c r="CB227" s="634">
        <v>1450</v>
      </c>
      <c r="CC227" s="634">
        <v>1500</v>
      </c>
      <c r="CD227" s="634">
        <v>1550</v>
      </c>
      <c r="CE227" s="634">
        <v>1600</v>
      </c>
      <c r="CF227" s="634">
        <v>1650</v>
      </c>
      <c r="CG227" s="634">
        <v>1700</v>
      </c>
      <c r="CH227" s="634">
        <v>1750</v>
      </c>
      <c r="CI227" s="634">
        <v>1800</v>
      </c>
      <c r="CJ227" s="634">
        <v>1850</v>
      </c>
      <c r="CK227" s="634">
        <v>1900</v>
      </c>
      <c r="CL227" s="634">
        <v>1950</v>
      </c>
      <c r="CM227" s="634">
        <v>2000</v>
      </c>
      <c r="CN227" s="634">
        <v>2050</v>
      </c>
      <c r="CO227" s="634">
        <v>2100</v>
      </c>
      <c r="CP227" s="634">
        <v>2150</v>
      </c>
      <c r="CQ227" s="634">
        <v>2200</v>
      </c>
      <c r="CR227" s="634">
        <v>2250</v>
      </c>
      <c r="CS227" s="634">
        <v>2300</v>
      </c>
      <c r="CT227" s="634">
        <v>2350</v>
      </c>
      <c r="CU227" s="634">
        <v>2400</v>
      </c>
      <c r="CV227" s="634">
        <v>2450</v>
      </c>
      <c r="CW227" s="634">
        <v>2500</v>
      </c>
      <c r="CX227" s="634">
        <v>2550</v>
      </c>
      <c r="CY227" s="634">
        <v>2600</v>
      </c>
      <c r="CZ227" s="634">
        <v>2650</v>
      </c>
      <c r="DA227" s="634">
        <v>2700</v>
      </c>
      <c r="DB227" s="634">
        <v>2750</v>
      </c>
      <c r="DC227" s="634">
        <v>2800</v>
      </c>
      <c r="DD227" s="634">
        <v>2850</v>
      </c>
      <c r="DE227" s="634">
        <v>2900</v>
      </c>
      <c r="DF227" s="635">
        <v>2950</v>
      </c>
      <c r="DG227" s="636">
        <v>3000</v>
      </c>
    </row>
    <row r="228" spans="1:111" hidden="1">
      <c r="B228" s="2935" t="s">
        <v>524</v>
      </c>
      <c r="C228" s="2936"/>
      <c r="D228" s="2937"/>
      <c r="E228" s="1816" t="s">
        <v>152</v>
      </c>
      <c r="F228" s="1816">
        <v>130</v>
      </c>
      <c r="G228" s="1816">
        <v>260</v>
      </c>
      <c r="H228" s="1817">
        <v>4</v>
      </c>
      <c r="I228" s="1818">
        <f t="shared" ref="I228:AN228" si="225">((I$227-$I$4)/1000)*$N108*(($C$8/70)^$X$108)*IF($C$13=1,$AF$108,IF($C$13=2,$AG$108,IF($C$13=3,$AH$108,1)))</f>
        <v>733.51004999999998</v>
      </c>
      <c r="J228" s="1818">
        <f t="shared" si="225"/>
        <v>978.01339999999993</v>
      </c>
      <c r="K228" s="1818">
        <f t="shared" si="225"/>
        <v>1222.51675</v>
      </c>
      <c r="L228" s="1818">
        <f t="shared" si="225"/>
        <v>1467.0201</v>
      </c>
      <c r="M228" s="1818">
        <f t="shared" si="225"/>
        <v>1711.5234499999997</v>
      </c>
      <c r="N228" s="1818">
        <f t="shared" si="225"/>
        <v>1956.0267999999999</v>
      </c>
      <c r="O228" s="1818">
        <f t="shared" si="225"/>
        <v>2200.53015</v>
      </c>
      <c r="P228" s="1818">
        <f t="shared" si="225"/>
        <v>2445.0335</v>
      </c>
      <c r="Q228" s="1818">
        <f t="shared" si="225"/>
        <v>2689.5368500000004</v>
      </c>
      <c r="R228" s="1818">
        <f t="shared" si="225"/>
        <v>2934.0401999999999</v>
      </c>
      <c r="S228" s="1818">
        <f t="shared" si="225"/>
        <v>3178.5435499999999</v>
      </c>
      <c r="T228" s="1818">
        <f t="shared" si="225"/>
        <v>3423.0468999999994</v>
      </c>
      <c r="U228" s="1818">
        <f t="shared" si="225"/>
        <v>3667.5502499999998</v>
      </c>
      <c r="V228" s="1818">
        <f t="shared" si="225"/>
        <v>3912.0535999999997</v>
      </c>
      <c r="W228" s="1818">
        <f t="shared" si="225"/>
        <v>4156.5569500000001</v>
      </c>
      <c r="X228" s="1818">
        <f t="shared" si="225"/>
        <v>4401.0603000000001</v>
      </c>
      <c r="Y228" s="1818">
        <f t="shared" si="225"/>
        <v>4645.5636499999991</v>
      </c>
      <c r="Z228" s="1818">
        <f t="shared" si="225"/>
        <v>4890.067</v>
      </c>
      <c r="AA228" s="1818">
        <f t="shared" si="225"/>
        <v>5134.57035</v>
      </c>
      <c r="AB228" s="1818">
        <f t="shared" si="225"/>
        <v>5379.0737000000008</v>
      </c>
      <c r="AC228" s="1818">
        <f t="shared" si="225"/>
        <v>5623.577049999999</v>
      </c>
      <c r="AD228" s="1818">
        <f t="shared" si="225"/>
        <v>5868.0803999999998</v>
      </c>
      <c r="AE228" s="1818">
        <f t="shared" si="225"/>
        <v>6112.5837499999998</v>
      </c>
      <c r="AF228" s="1818">
        <f t="shared" si="225"/>
        <v>6357.0870999999997</v>
      </c>
      <c r="AG228" s="1818">
        <f t="shared" si="225"/>
        <v>6601.5904499999997</v>
      </c>
      <c r="AH228" s="1818">
        <f t="shared" si="225"/>
        <v>6846.0937999999987</v>
      </c>
      <c r="AI228" s="1818">
        <f t="shared" si="225"/>
        <v>7090.5971499999987</v>
      </c>
      <c r="AJ228" s="1818">
        <f t="shared" si="225"/>
        <v>7335.1004999999996</v>
      </c>
      <c r="AK228" s="1818">
        <f t="shared" si="225"/>
        <v>7579.6038499999995</v>
      </c>
      <c r="AL228" s="1818">
        <f t="shared" si="225"/>
        <v>7824.1071999999995</v>
      </c>
      <c r="AM228" s="1818">
        <f t="shared" si="225"/>
        <v>8068.6105499999985</v>
      </c>
      <c r="AN228" s="1818">
        <f t="shared" si="225"/>
        <v>8313.1139000000003</v>
      </c>
      <c r="AO228" s="1818">
        <f t="shared" ref="AO228:BT228" si="226">((AO$227-$I$4)/1000)*$N108*(($C$8/70)^$X$108)*IF($C$13=1,$AF$108,IF($C$13=2,$AG$108,IF($C$13=3,$AH$108,1)))</f>
        <v>8557.6172499999993</v>
      </c>
      <c r="AP228" s="1818">
        <f t="shared" si="226"/>
        <v>8802.1206000000002</v>
      </c>
      <c r="AQ228" s="1818">
        <f t="shared" si="226"/>
        <v>9046.6239499999992</v>
      </c>
      <c r="AR228" s="1818">
        <f t="shared" si="226"/>
        <v>9291.1272999999983</v>
      </c>
      <c r="AS228" s="1818">
        <f t="shared" si="226"/>
        <v>9535.6306499999992</v>
      </c>
      <c r="AT228" s="1818">
        <f t="shared" si="226"/>
        <v>9780.134</v>
      </c>
      <c r="AU228" s="1818">
        <f t="shared" si="226"/>
        <v>10024.637349999999</v>
      </c>
      <c r="AV228" s="1818">
        <f t="shared" si="226"/>
        <v>10269.1407</v>
      </c>
      <c r="AW228" s="1818">
        <f t="shared" si="226"/>
        <v>10513.644049999999</v>
      </c>
      <c r="AX228" s="1818">
        <f t="shared" si="226"/>
        <v>10758.147400000002</v>
      </c>
      <c r="AY228" s="1818">
        <f t="shared" si="226"/>
        <v>11002.650750000001</v>
      </c>
      <c r="AZ228" s="1818">
        <f t="shared" si="226"/>
        <v>11247.154099999998</v>
      </c>
      <c r="BA228" s="1818">
        <f t="shared" si="226"/>
        <v>11491.657450000001</v>
      </c>
      <c r="BB228" s="1818">
        <f t="shared" si="226"/>
        <v>11736.1608</v>
      </c>
      <c r="BC228" s="1818">
        <f t="shared" si="226"/>
        <v>11980.664150000001</v>
      </c>
      <c r="BD228" s="1818">
        <f t="shared" si="226"/>
        <v>12225.1675</v>
      </c>
      <c r="BE228" s="1818">
        <f t="shared" si="226"/>
        <v>12469.670849999999</v>
      </c>
      <c r="BF228" s="1818">
        <f t="shared" si="226"/>
        <v>12714.174199999999</v>
      </c>
      <c r="BG228" s="1819">
        <f t="shared" si="226"/>
        <v>12958.677549999999</v>
      </c>
      <c r="BH228" s="923">
        <f t="shared" si="226"/>
        <v>-1711.5234499999997</v>
      </c>
      <c r="BI228" s="919">
        <f t="shared" si="226"/>
        <v>733.51004999999998</v>
      </c>
      <c r="BJ228" s="919">
        <f t="shared" si="226"/>
        <v>978.01339999999993</v>
      </c>
      <c r="BK228" s="919">
        <f t="shared" si="226"/>
        <v>1222.51675</v>
      </c>
      <c r="BL228" s="919">
        <f t="shared" si="226"/>
        <v>1467.0201</v>
      </c>
      <c r="BM228" s="919">
        <f t="shared" si="226"/>
        <v>1711.5234499999997</v>
      </c>
      <c r="BN228" s="919">
        <f t="shared" si="226"/>
        <v>1956.0267999999999</v>
      </c>
      <c r="BO228" s="919">
        <f t="shared" si="226"/>
        <v>2200.53015</v>
      </c>
      <c r="BP228" s="919">
        <f t="shared" si="226"/>
        <v>2445.0335</v>
      </c>
      <c r="BQ228" s="919">
        <f t="shared" si="226"/>
        <v>2689.5368500000004</v>
      </c>
      <c r="BR228" s="919">
        <f t="shared" si="226"/>
        <v>2934.0401999999999</v>
      </c>
      <c r="BS228" s="919">
        <f t="shared" si="226"/>
        <v>3178.5435499999999</v>
      </c>
      <c r="BT228" s="919">
        <f t="shared" si="226"/>
        <v>3423.0468999999994</v>
      </c>
      <c r="BU228" s="919">
        <f t="shared" ref="BU228:CZ228" si="227">((BU$227-$I$4)/1000)*$N108*(($C$8/70)^$X$108)*IF($C$13=1,$AF$108,IF($C$13=2,$AG$108,IF($C$13=3,$AH$108,1)))</f>
        <v>3667.5502499999998</v>
      </c>
      <c r="BV228" s="919">
        <f t="shared" si="227"/>
        <v>3912.0535999999997</v>
      </c>
      <c r="BW228" s="919">
        <f t="shared" si="227"/>
        <v>4156.5569500000001</v>
      </c>
      <c r="BX228" s="919">
        <f t="shared" si="227"/>
        <v>4401.0603000000001</v>
      </c>
      <c r="BY228" s="919">
        <f t="shared" si="227"/>
        <v>4645.5636499999991</v>
      </c>
      <c r="BZ228" s="919">
        <f t="shared" si="227"/>
        <v>4890.067</v>
      </c>
      <c r="CA228" s="919">
        <f t="shared" si="227"/>
        <v>5134.57035</v>
      </c>
      <c r="CB228" s="919">
        <f t="shared" si="227"/>
        <v>5379.0737000000008</v>
      </c>
      <c r="CC228" s="919">
        <f t="shared" si="227"/>
        <v>5623.577049999999</v>
      </c>
      <c r="CD228" s="919">
        <f t="shared" si="227"/>
        <v>5868.0803999999998</v>
      </c>
      <c r="CE228" s="919">
        <f t="shared" si="227"/>
        <v>6112.5837499999998</v>
      </c>
      <c r="CF228" s="919">
        <f t="shared" si="227"/>
        <v>6357.0870999999997</v>
      </c>
      <c r="CG228" s="919">
        <f t="shared" si="227"/>
        <v>6601.5904499999997</v>
      </c>
      <c r="CH228" s="919">
        <f t="shared" si="227"/>
        <v>6846.0937999999987</v>
      </c>
      <c r="CI228" s="919">
        <f t="shared" si="227"/>
        <v>7090.5971499999987</v>
      </c>
      <c r="CJ228" s="919">
        <f t="shared" si="227"/>
        <v>7335.1004999999996</v>
      </c>
      <c r="CK228" s="919">
        <f t="shared" si="227"/>
        <v>7579.6038499999995</v>
      </c>
      <c r="CL228" s="919">
        <f t="shared" si="227"/>
        <v>7824.1071999999995</v>
      </c>
      <c r="CM228" s="919">
        <f t="shared" si="227"/>
        <v>8068.6105499999985</v>
      </c>
      <c r="CN228" s="919">
        <f t="shared" si="227"/>
        <v>8313.1139000000003</v>
      </c>
      <c r="CO228" s="919">
        <f t="shared" si="227"/>
        <v>8557.6172499999993</v>
      </c>
      <c r="CP228" s="919">
        <f t="shared" si="227"/>
        <v>8802.1206000000002</v>
      </c>
      <c r="CQ228" s="919">
        <f t="shared" si="227"/>
        <v>9046.6239499999992</v>
      </c>
      <c r="CR228" s="919">
        <f t="shared" si="227"/>
        <v>9291.1272999999983</v>
      </c>
      <c r="CS228" s="919">
        <f t="shared" si="227"/>
        <v>9535.6306499999992</v>
      </c>
      <c r="CT228" s="919">
        <f t="shared" si="227"/>
        <v>9780.134</v>
      </c>
      <c r="CU228" s="919">
        <f t="shared" si="227"/>
        <v>10024.637349999999</v>
      </c>
      <c r="CV228" s="919">
        <f t="shared" si="227"/>
        <v>10269.1407</v>
      </c>
      <c r="CW228" s="919">
        <f t="shared" si="227"/>
        <v>10513.644049999999</v>
      </c>
      <c r="CX228" s="919">
        <f t="shared" si="227"/>
        <v>10758.147400000002</v>
      </c>
      <c r="CY228" s="919">
        <f t="shared" si="227"/>
        <v>11002.650750000001</v>
      </c>
      <c r="CZ228" s="919">
        <f t="shared" si="227"/>
        <v>11247.154099999998</v>
      </c>
      <c r="DA228" s="919">
        <f t="shared" ref="DA228:DG228" si="228">((DA$227-$I$4)/1000)*$N108*(($C$8/70)^$X$108)*IF($C$13=1,$AF$108,IF($C$13=2,$AG$108,IF($C$13=3,$AH$108,1)))</f>
        <v>11491.657450000001</v>
      </c>
      <c r="DB228" s="919">
        <f t="shared" si="228"/>
        <v>11736.1608</v>
      </c>
      <c r="DC228" s="919">
        <f t="shared" si="228"/>
        <v>11980.664150000001</v>
      </c>
      <c r="DD228" s="919">
        <f t="shared" si="228"/>
        <v>12225.1675</v>
      </c>
      <c r="DE228" s="919">
        <f t="shared" si="228"/>
        <v>12469.670849999999</v>
      </c>
      <c r="DF228" s="919">
        <f t="shared" si="228"/>
        <v>12714.174199999999</v>
      </c>
      <c r="DG228" s="919">
        <f t="shared" si="228"/>
        <v>12958.677549999999</v>
      </c>
    </row>
    <row r="229" spans="1:111" ht="15.75" hidden="1" thickBot="1">
      <c r="B229" s="2942" t="s">
        <v>525</v>
      </c>
      <c r="C229" s="2943"/>
      <c r="D229" s="2939"/>
      <c r="E229" s="1820" t="s">
        <v>152</v>
      </c>
      <c r="F229" s="1820">
        <v>150</v>
      </c>
      <c r="G229" s="1820">
        <v>300</v>
      </c>
      <c r="H229" s="1821">
        <v>4</v>
      </c>
      <c r="I229" s="1822">
        <f t="shared" ref="I229:AN229" si="229">((I$227-$I$4)/1000)*$P108*(($C$8/70)^$Z$108)*IF($C$13=1,$AF$108,IF($C$13=2,$AG$108,IF($C$13=3,$AH$108,1)))</f>
        <v>836.4706349999999</v>
      </c>
      <c r="J229" s="1822">
        <f t="shared" si="229"/>
        <v>1115.2941800000001</v>
      </c>
      <c r="K229" s="1822">
        <f t="shared" si="229"/>
        <v>1394.1177250000001</v>
      </c>
      <c r="L229" s="1822">
        <f t="shared" si="229"/>
        <v>1672.9412699999998</v>
      </c>
      <c r="M229" s="1822">
        <f t="shared" si="229"/>
        <v>1951.764815</v>
      </c>
      <c r="N229" s="1822">
        <f t="shared" si="229"/>
        <v>2230.5883600000002</v>
      </c>
      <c r="O229" s="1822">
        <f t="shared" si="229"/>
        <v>2509.4119050000004</v>
      </c>
      <c r="P229" s="1822">
        <f t="shared" si="229"/>
        <v>2788.2354500000001</v>
      </c>
      <c r="Q229" s="1822">
        <f t="shared" si="229"/>
        <v>3067.0589950000003</v>
      </c>
      <c r="R229" s="1822">
        <f t="shared" si="229"/>
        <v>3345.8825399999996</v>
      </c>
      <c r="S229" s="1822">
        <f t="shared" si="229"/>
        <v>3624.7060850000003</v>
      </c>
      <c r="T229" s="1822">
        <f t="shared" si="229"/>
        <v>3903.52963</v>
      </c>
      <c r="U229" s="1822">
        <f t="shared" si="229"/>
        <v>4182.3531750000002</v>
      </c>
      <c r="V229" s="1822">
        <f t="shared" si="229"/>
        <v>4461.1767200000004</v>
      </c>
      <c r="W229" s="1822">
        <f t="shared" si="229"/>
        <v>4740.0002649999997</v>
      </c>
      <c r="X229" s="1822">
        <f t="shared" si="229"/>
        <v>5018.8238100000008</v>
      </c>
      <c r="Y229" s="1822">
        <f t="shared" si="229"/>
        <v>5297.6473549999992</v>
      </c>
      <c r="Z229" s="1822">
        <f t="shared" si="229"/>
        <v>5576.4709000000003</v>
      </c>
      <c r="AA229" s="1822">
        <f t="shared" si="229"/>
        <v>5855.2944450000005</v>
      </c>
      <c r="AB229" s="1822">
        <f t="shared" si="229"/>
        <v>6134.1179900000006</v>
      </c>
      <c r="AC229" s="1822">
        <f t="shared" si="229"/>
        <v>6412.9415349999999</v>
      </c>
      <c r="AD229" s="1822">
        <f t="shared" si="229"/>
        <v>6691.7650799999992</v>
      </c>
      <c r="AE229" s="1822">
        <f t="shared" si="229"/>
        <v>6970.5886250000003</v>
      </c>
      <c r="AF229" s="1822">
        <f t="shared" si="229"/>
        <v>7249.4121700000005</v>
      </c>
      <c r="AG229" s="1822">
        <f t="shared" si="229"/>
        <v>7528.2357150000007</v>
      </c>
      <c r="AH229" s="1822">
        <f t="shared" si="229"/>
        <v>7807.05926</v>
      </c>
      <c r="AI229" s="1822">
        <f t="shared" si="229"/>
        <v>8085.8828049999993</v>
      </c>
      <c r="AJ229" s="1822">
        <f t="shared" si="229"/>
        <v>8364.7063500000004</v>
      </c>
      <c r="AK229" s="1822">
        <f t="shared" si="229"/>
        <v>8643.5298950000015</v>
      </c>
      <c r="AL229" s="1822">
        <f t="shared" si="229"/>
        <v>8922.3534400000008</v>
      </c>
      <c r="AM229" s="1822">
        <f t="shared" si="229"/>
        <v>9201.1769850000001</v>
      </c>
      <c r="AN229" s="1822">
        <f t="shared" si="229"/>
        <v>9480.0005299999993</v>
      </c>
      <c r="AO229" s="1822">
        <f t="shared" ref="AO229:BT229" si="230">((AO$227-$I$4)/1000)*$P108*(($C$8/70)^$Z$108)*IF($C$13=1,$AF$108,IF($C$13=2,$AG$108,IF($C$13=3,$AH$108,1)))</f>
        <v>9758.8240750000004</v>
      </c>
      <c r="AP229" s="1822">
        <f t="shared" si="230"/>
        <v>10037.647620000002</v>
      </c>
      <c r="AQ229" s="1822">
        <f t="shared" si="230"/>
        <v>10316.471165000001</v>
      </c>
      <c r="AR229" s="1822">
        <f t="shared" si="230"/>
        <v>10595.294709999998</v>
      </c>
      <c r="AS229" s="1822">
        <f t="shared" si="230"/>
        <v>10874.118254999999</v>
      </c>
      <c r="AT229" s="1822">
        <f t="shared" si="230"/>
        <v>11152.941800000001</v>
      </c>
      <c r="AU229" s="1822">
        <f t="shared" si="230"/>
        <v>11431.765344999998</v>
      </c>
      <c r="AV229" s="1822">
        <f t="shared" si="230"/>
        <v>11710.588890000001</v>
      </c>
      <c r="AW229" s="1822">
        <f t="shared" si="230"/>
        <v>11989.412435</v>
      </c>
      <c r="AX229" s="1822">
        <f t="shared" si="230"/>
        <v>12268.235980000001</v>
      </c>
      <c r="AY229" s="1822">
        <f t="shared" si="230"/>
        <v>12547.059525000002</v>
      </c>
      <c r="AZ229" s="1822">
        <f t="shared" si="230"/>
        <v>12825.88307</v>
      </c>
      <c r="BA229" s="1822">
        <f t="shared" si="230"/>
        <v>13104.706615000001</v>
      </c>
      <c r="BB229" s="1822">
        <f t="shared" si="230"/>
        <v>13383.530159999998</v>
      </c>
      <c r="BC229" s="1822">
        <f t="shared" si="230"/>
        <v>13662.353705000001</v>
      </c>
      <c r="BD229" s="1822">
        <f t="shared" si="230"/>
        <v>13941.177250000001</v>
      </c>
      <c r="BE229" s="1822">
        <f t="shared" si="230"/>
        <v>14220.000794999998</v>
      </c>
      <c r="BF229" s="1822">
        <f t="shared" si="230"/>
        <v>14498.824340000001</v>
      </c>
      <c r="BG229" s="1823">
        <f t="shared" si="230"/>
        <v>14777.647885</v>
      </c>
      <c r="BH229" s="923">
        <f t="shared" si="230"/>
        <v>-1951.764815</v>
      </c>
      <c r="BI229" s="919">
        <f t="shared" si="230"/>
        <v>836.4706349999999</v>
      </c>
      <c r="BJ229" s="919">
        <f t="shared" si="230"/>
        <v>1115.2941800000001</v>
      </c>
      <c r="BK229" s="919">
        <f t="shared" si="230"/>
        <v>1394.1177250000001</v>
      </c>
      <c r="BL229" s="919">
        <f t="shared" si="230"/>
        <v>1672.9412699999998</v>
      </c>
      <c r="BM229" s="919">
        <f t="shared" si="230"/>
        <v>1951.764815</v>
      </c>
      <c r="BN229" s="919">
        <f t="shared" si="230"/>
        <v>2230.5883600000002</v>
      </c>
      <c r="BO229" s="919">
        <f t="shared" si="230"/>
        <v>2509.4119050000004</v>
      </c>
      <c r="BP229" s="919">
        <f t="shared" si="230"/>
        <v>2788.2354500000001</v>
      </c>
      <c r="BQ229" s="919">
        <f t="shared" si="230"/>
        <v>3067.0589950000003</v>
      </c>
      <c r="BR229" s="919">
        <f t="shared" si="230"/>
        <v>3345.8825399999996</v>
      </c>
      <c r="BS229" s="919">
        <f t="shared" si="230"/>
        <v>3624.7060850000003</v>
      </c>
      <c r="BT229" s="919">
        <f t="shared" si="230"/>
        <v>3903.52963</v>
      </c>
      <c r="BU229" s="919">
        <f t="shared" ref="BU229:CZ229" si="231">((BU$227-$I$4)/1000)*$P108*(($C$8/70)^$Z$108)*IF($C$13=1,$AF$108,IF($C$13=2,$AG$108,IF($C$13=3,$AH$108,1)))</f>
        <v>4182.3531750000002</v>
      </c>
      <c r="BV229" s="919">
        <f t="shared" si="231"/>
        <v>4461.1767200000004</v>
      </c>
      <c r="BW229" s="919">
        <f t="shared" si="231"/>
        <v>4740.0002649999997</v>
      </c>
      <c r="BX229" s="919">
        <f t="shared" si="231"/>
        <v>5018.8238100000008</v>
      </c>
      <c r="BY229" s="919">
        <f t="shared" si="231"/>
        <v>5297.6473549999992</v>
      </c>
      <c r="BZ229" s="919">
        <f t="shared" si="231"/>
        <v>5576.4709000000003</v>
      </c>
      <c r="CA229" s="919">
        <f t="shared" si="231"/>
        <v>5855.2944450000005</v>
      </c>
      <c r="CB229" s="919">
        <f t="shared" si="231"/>
        <v>6134.1179900000006</v>
      </c>
      <c r="CC229" s="919">
        <f t="shared" si="231"/>
        <v>6412.9415349999999</v>
      </c>
      <c r="CD229" s="919">
        <f t="shared" si="231"/>
        <v>6691.7650799999992</v>
      </c>
      <c r="CE229" s="919">
        <f t="shared" si="231"/>
        <v>6970.5886250000003</v>
      </c>
      <c r="CF229" s="919">
        <f t="shared" si="231"/>
        <v>7249.4121700000005</v>
      </c>
      <c r="CG229" s="919">
        <f t="shared" si="231"/>
        <v>7528.2357150000007</v>
      </c>
      <c r="CH229" s="919">
        <f t="shared" si="231"/>
        <v>7807.05926</v>
      </c>
      <c r="CI229" s="919">
        <f t="shared" si="231"/>
        <v>8085.8828049999993</v>
      </c>
      <c r="CJ229" s="919">
        <f t="shared" si="231"/>
        <v>8364.7063500000004</v>
      </c>
      <c r="CK229" s="919">
        <f t="shared" si="231"/>
        <v>8643.5298950000015</v>
      </c>
      <c r="CL229" s="919">
        <f t="shared" si="231"/>
        <v>8922.3534400000008</v>
      </c>
      <c r="CM229" s="919">
        <f t="shared" si="231"/>
        <v>9201.1769850000001</v>
      </c>
      <c r="CN229" s="919">
        <f t="shared" si="231"/>
        <v>9480.0005299999993</v>
      </c>
      <c r="CO229" s="919">
        <f t="shared" si="231"/>
        <v>9758.8240750000004</v>
      </c>
      <c r="CP229" s="919">
        <f t="shared" si="231"/>
        <v>10037.647620000002</v>
      </c>
      <c r="CQ229" s="919">
        <f t="shared" si="231"/>
        <v>10316.471165000001</v>
      </c>
      <c r="CR229" s="919">
        <f t="shared" si="231"/>
        <v>10595.294709999998</v>
      </c>
      <c r="CS229" s="919">
        <f t="shared" si="231"/>
        <v>10874.118254999999</v>
      </c>
      <c r="CT229" s="919">
        <f t="shared" si="231"/>
        <v>11152.941800000001</v>
      </c>
      <c r="CU229" s="919">
        <f t="shared" si="231"/>
        <v>11431.765344999998</v>
      </c>
      <c r="CV229" s="919">
        <f t="shared" si="231"/>
        <v>11710.588890000001</v>
      </c>
      <c r="CW229" s="919">
        <f t="shared" si="231"/>
        <v>11989.412435</v>
      </c>
      <c r="CX229" s="919">
        <f t="shared" si="231"/>
        <v>12268.235980000001</v>
      </c>
      <c r="CY229" s="919">
        <f t="shared" si="231"/>
        <v>12547.059525000002</v>
      </c>
      <c r="CZ229" s="919">
        <f t="shared" si="231"/>
        <v>12825.88307</v>
      </c>
      <c r="DA229" s="919">
        <f t="shared" ref="DA229:DG229" si="232">((DA$227-$I$4)/1000)*$P108*(($C$8/70)^$Z$108)*IF($C$13=1,$AF$108,IF($C$13=2,$AG$108,IF($C$13=3,$AH$108,1)))</f>
        <v>13104.706615000001</v>
      </c>
      <c r="DB229" s="919">
        <f t="shared" si="232"/>
        <v>13383.530159999998</v>
      </c>
      <c r="DC229" s="919">
        <f t="shared" si="232"/>
        <v>13662.353705000001</v>
      </c>
      <c r="DD229" s="919">
        <f t="shared" si="232"/>
        <v>13941.177250000001</v>
      </c>
      <c r="DE229" s="919">
        <f t="shared" si="232"/>
        <v>14220.000794999998</v>
      </c>
      <c r="DF229" s="919">
        <f t="shared" si="232"/>
        <v>14498.824340000001</v>
      </c>
      <c r="DG229" s="919">
        <f t="shared" si="232"/>
        <v>14777.647885</v>
      </c>
    </row>
    <row r="230" spans="1:111" hidden="1">
      <c r="B230" s="1805"/>
      <c r="C230" s="1805"/>
      <c r="D230" s="1806"/>
      <c r="E230" s="1806"/>
      <c r="F230" s="1806"/>
      <c r="G230" s="1806"/>
      <c r="H230" s="1806"/>
      <c r="I230" s="1807"/>
      <c r="J230" s="1807"/>
      <c r="K230" s="1807"/>
      <c r="L230" s="1807"/>
      <c r="M230" s="1807"/>
      <c r="N230" s="1807"/>
      <c r="O230" s="1807"/>
      <c r="P230" s="1807"/>
      <c r="Q230" s="1807"/>
      <c r="R230" s="1807"/>
      <c r="S230" s="1807"/>
      <c r="T230" s="1807"/>
      <c r="U230" s="1807"/>
      <c r="V230" s="1807"/>
      <c r="W230" s="1807"/>
      <c r="X230" s="1807"/>
      <c r="Y230" s="1807"/>
      <c r="Z230" s="1807"/>
      <c r="AA230" s="1807"/>
      <c r="AB230" s="1807"/>
      <c r="AC230" s="1807"/>
      <c r="AD230" s="1807"/>
      <c r="AE230" s="1807"/>
      <c r="AF230" s="1807"/>
      <c r="AG230" s="1807"/>
      <c r="AH230" s="1807"/>
      <c r="AI230" s="1807"/>
      <c r="AJ230" s="1807"/>
      <c r="AK230" s="1807"/>
      <c r="AL230" s="1807"/>
      <c r="AM230" s="1807"/>
      <c r="AN230" s="1807"/>
      <c r="AO230" s="1807"/>
      <c r="AP230" s="1807"/>
      <c r="AQ230" s="1807"/>
      <c r="AR230" s="1807"/>
      <c r="AS230" s="1807"/>
      <c r="AT230" s="1807"/>
      <c r="AU230" s="1807"/>
      <c r="AV230" s="1807"/>
      <c r="AW230" s="1807"/>
      <c r="AX230" s="1807"/>
      <c r="AY230" s="1807"/>
      <c r="AZ230" s="1807"/>
      <c r="BA230" s="1807"/>
      <c r="BB230" s="1807"/>
      <c r="BC230" s="1807"/>
      <c r="BD230" s="1807"/>
      <c r="BE230" s="1807"/>
      <c r="BF230" s="1807"/>
      <c r="BG230" s="1807"/>
    </row>
    <row r="231" spans="1:111" ht="21.75" hidden="1" thickBot="1">
      <c r="B231" s="2903" t="s">
        <v>343</v>
      </c>
      <c r="C231" s="2904"/>
      <c r="D231" s="1773"/>
      <c r="E231" s="1824"/>
      <c r="F231" s="1824"/>
      <c r="G231" s="1824"/>
      <c r="H231" s="1824"/>
      <c r="I231" s="2916" t="s">
        <v>16</v>
      </c>
      <c r="J231" s="2917"/>
      <c r="K231" s="2917"/>
      <c r="L231" s="2917"/>
      <c r="M231" s="2917"/>
      <c r="N231" s="2917"/>
      <c r="O231" s="2917"/>
      <c r="P231" s="2917"/>
      <c r="Q231" s="2917"/>
      <c r="R231" s="2917"/>
      <c r="S231" s="2917"/>
      <c r="T231" s="2917"/>
      <c r="U231" s="2917"/>
      <c r="V231" s="2917"/>
      <c r="W231" s="2917"/>
      <c r="X231" s="2917"/>
      <c r="Y231" s="2917"/>
      <c r="Z231" s="2917"/>
      <c r="AA231" s="2917"/>
      <c r="AB231" s="2917"/>
      <c r="AC231" s="2917"/>
      <c r="AD231" s="2917"/>
      <c r="AE231" s="2917"/>
      <c r="AF231" s="2917"/>
      <c r="AG231" s="2917"/>
      <c r="AH231" s="2917"/>
      <c r="AI231" s="2917"/>
      <c r="AJ231" s="2917"/>
      <c r="AK231" s="2917"/>
      <c r="AL231" s="2917"/>
      <c r="AM231" s="2917"/>
      <c r="AN231" s="2917"/>
      <c r="AO231" s="2917"/>
      <c r="AP231" s="2917"/>
      <c r="AQ231" s="2917"/>
      <c r="AR231" s="2917"/>
      <c r="AS231" s="2917"/>
      <c r="AT231" s="2917"/>
      <c r="AU231" s="2917"/>
      <c r="AV231" s="2917"/>
      <c r="AW231" s="2917"/>
      <c r="AX231" s="2917"/>
      <c r="AY231" s="2917"/>
      <c r="AZ231" s="2917"/>
      <c r="BA231" s="2917"/>
      <c r="BB231" s="2917"/>
      <c r="BC231" s="2917"/>
      <c r="BD231" s="2917"/>
      <c r="BE231" s="2917"/>
      <c r="BF231" s="2917"/>
      <c r="BG231" s="2918"/>
    </row>
    <row r="232" spans="1:111" ht="21.75" hidden="1" thickBot="1">
      <c r="B232" s="2905"/>
      <c r="C232" s="2906"/>
      <c r="D232" s="1774"/>
      <c r="E232" s="1825"/>
      <c r="F232" s="1825"/>
      <c r="G232" s="1825"/>
      <c r="H232" s="1825"/>
      <c r="I232" s="1775">
        <v>500</v>
      </c>
      <c r="J232" s="1776">
        <v>550</v>
      </c>
      <c r="K232" s="1777">
        <v>600</v>
      </c>
      <c r="L232" s="1778">
        <v>650</v>
      </c>
      <c r="M232" s="1778">
        <v>700</v>
      </c>
      <c r="N232" s="1778">
        <v>750</v>
      </c>
      <c r="O232" s="1778">
        <v>800</v>
      </c>
      <c r="P232" s="1778">
        <v>850</v>
      </c>
      <c r="Q232" s="1778">
        <v>900</v>
      </c>
      <c r="R232" s="1778">
        <v>950</v>
      </c>
      <c r="S232" s="1778">
        <v>1000</v>
      </c>
      <c r="T232" s="1778">
        <v>1050</v>
      </c>
      <c r="U232" s="1778">
        <v>1100</v>
      </c>
      <c r="V232" s="1778">
        <v>1150</v>
      </c>
      <c r="W232" s="1778">
        <v>1200</v>
      </c>
      <c r="X232" s="1778">
        <v>1250</v>
      </c>
      <c r="Y232" s="1778">
        <v>1300</v>
      </c>
      <c r="Z232" s="1778">
        <v>1350</v>
      </c>
      <c r="AA232" s="1778">
        <v>1400</v>
      </c>
      <c r="AB232" s="1778">
        <v>1450</v>
      </c>
      <c r="AC232" s="1778">
        <v>1500</v>
      </c>
      <c r="AD232" s="1778">
        <v>1550</v>
      </c>
      <c r="AE232" s="1778">
        <v>1600</v>
      </c>
      <c r="AF232" s="1778">
        <v>1650</v>
      </c>
      <c r="AG232" s="1778">
        <v>1700</v>
      </c>
      <c r="AH232" s="1778">
        <v>1750</v>
      </c>
      <c r="AI232" s="1778">
        <v>1800</v>
      </c>
      <c r="AJ232" s="1778">
        <v>1850</v>
      </c>
      <c r="AK232" s="1778">
        <v>1900</v>
      </c>
      <c r="AL232" s="1778">
        <v>1950</v>
      </c>
      <c r="AM232" s="1778">
        <v>2000</v>
      </c>
      <c r="AN232" s="1778">
        <v>2050</v>
      </c>
      <c r="AO232" s="1778">
        <v>2100</v>
      </c>
      <c r="AP232" s="1778">
        <v>2150</v>
      </c>
      <c r="AQ232" s="1778">
        <v>2200</v>
      </c>
      <c r="AR232" s="1778">
        <v>2250</v>
      </c>
      <c r="AS232" s="1778">
        <v>2300</v>
      </c>
      <c r="AT232" s="1778">
        <v>2350</v>
      </c>
      <c r="AU232" s="1778">
        <v>2400</v>
      </c>
      <c r="AV232" s="1778">
        <v>2450</v>
      </c>
      <c r="AW232" s="1778">
        <v>2500</v>
      </c>
      <c r="AX232" s="1778">
        <v>2550</v>
      </c>
      <c r="AY232" s="1778">
        <v>2600</v>
      </c>
      <c r="AZ232" s="1778">
        <v>2650</v>
      </c>
      <c r="BA232" s="1778">
        <v>2700</v>
      </c>
      <c r="BB232" s="1778">
        <v>2750</v>
      </c>
      <c r="BC232" s="1778">
        <v>2800</v>
      </c>
      <c r="BD232" s="1778">
        <v>2850</v>
      </c>
      <c r="BE232" s="1778">
        <v>2900</v>
      </c>
      <c r="BF232" s="1779">
        <v>2950</v>
      </c>
      <c r="BG232" s="1780">
        <v>3000</v>
      </c>
    </row>
    <row r="233" spans="1:111" hidden="1">
      <c r="B233" s="2955" t="s">
        <v>526</v>
      </c>
      <c r="C233" s="2956"/>
      <c r="D233" s="2957"/>
      <c r="E233" s="1826" t="s">
        <v>281</v>
      </c>
      <c r="F233" s="1826">
        <v>75</v>
      </c>
      <c r="G233" s="1826">
        <v>260</v>
      </c>
      <c r="H233" s="1826">
        <v>2</v>
      </c>
      <c r="I233" s="1827">
        <f t="shared" ref="I233:AN233" si="233">((I$232-$I$4)/1000)*$N$118*(($C$8/70)^$X$118)*IF($C$13=1,$AF$117,IF($C$13=2,$AG$117,IF($C$13=3,$AH$117,1)))</f>
        <v>268.90801199999993</v>
      </c>
      <c r="J233" s="1827">
        <f t="shared" si="233"/>
        <v>358.54401599999994</v>
      </c>
      <c r="K233" s="1827">
        <f t="shared" si="233"/>
        <v>448.1800199999999</v>
      </c>
      <c r="L233" s="1827">
        <f t="shared" si="233"/>
        <v>537.81602399999986</v>
      </c>
      <c r="M233" s="1827">
        <f t="shared" si="233"/>
        <v>627.45202799999993</v>
      </c>
      <c r="N233" s="1827">
        <f t="shared" si="233"/>
        <v>717.08803199999988</v>
      </c>
      <c r="O233" s="1827">
        <f t="shared" si="233"/>
        <v>806.72403599999984</v>
      </c>
      <c r="P233" s="1827">
        <f t="shared" si="233"/>
        <v>896.3600399999998</v>
      </c>
      <c r="Q233" s="1827">
        <f t="shared" si="233"/>
        <v>985.99604399999987</v>
      </c>
      <c r="R233" s="1827">
        <f t="shared" si="233"/>
        <v>1075.6320479999997</v>
      </c>
      <c r="S233" s="1827">
        <f t="shared" si="233"/>
        <v>1165.2680519999999</v>
      </c>
      <c r="T233" s="1827">
        <f t="shared" si="233"/>
        <v>1254.9040559999999</v>
      </c>
      <c r="U233" s="1827">
        <f t="shared" si="233"/>
        <v>1344.5400599999998</v>
      </c>
      <c r="V233" s="1827">
        <f t="shared" si="233"/>
        <v>1434.1760639999998</v>
      </c>
      <c r="W233" s="1827">
        <f t="shared" si="233"/>
        <v>1523.8120679999997</v>
      </c>
      <c r="X233" s="1827">
        <f t="shared" si="233"/>
        <v>1613.4480719999997</v>
      </c>
      <c r="Y233" s="1827">
        <f t="shared" si="233"/>
        <v>1703.0840759999996</v>
      </c>
      <c r="Z233" s="1827">
        <f t="shared" si="233"/>
        <v>1792.7200799999996</v>
      </c>
      <c r="AA233" s="1827">
        <f t="shared" si="233"/>
        <v>1882.3560839999998</v>
      </c>
      <c r="AB233" s="1827">
        <f t="shared" si="233"/>
        <v>1971.9920879999997</v>
      </c>
      <c r="AC233" s="1827">
        <f t="shared" si="233"/>
        <v>2061.6280919999995</v>
      </c>
      <c r="AD233" s="1827">
        <f t="shared" si="233"/>
        <v>2151.2640959999994</v>
      </c>
      <c r="AE233" s="1827">
        <f t="shared" si="233"/>
        <v>2240.9000999999998</v>
      </c>
      <c r="AF233" s="1827">
        <f t="shared" si="233"/>
        <v>2330.5361039999998</v>
      </c>
      <c r="AG233" s="1827">
        <f t="shared" si="233"/>
        <v>2420.1721079999998</v>
      </c>
      <c r="AH233" s="1827">
        <f t="shared" si="233"/>
        <v>2509.8081119999997</v>
      </c>
      <c r="AI233" s="1827">
        <f t="shared" si="233"/>
        <v>2599.4441159999992</v>
      </c>
      <c r="AJ233" s="1827">
        <f t="shared" si="233"/>
        <v>2689.0801199999996</v>
      </c>
      <c r="AK233" s="1827">
        <f t="shared" si="233"/>
        <v>2778.7161239999996</v>
      </c>
      <c r="AL233" s="1827">
        <f t="shared" si="233"/>
        <v>2868.3521279999995</v>
      </c>
      <c r="AM233" s="1827">
        <f t="shared" si="233"/>
        <v>2957.9881319999995</v>
      </c>
      <c r="AN233" s="1827">
        <f t="shared" si="233"/>
        <v>3047.6241359999995</v>
      </c>
      <c r="AO233" s="1827">
        <f t="shared" ref="AO233:BT233" si="234">((AO$232-$I$4)/1000)*$N$118*(($C$8/70)^$X$118)*IF($C$13=1,$AF$117,IF($C$13=2,$AG$117,IF($C$13=3,$AH$117,1)))</f>
        <v>3137.2601399999994</v>
      </c>
      <c r="AP233" s="1827">
        <f t="shared" si="234"/>
        <v>3226.8961439999994</v>
      </c>
      <c r="AQ233" s="1827">
        <f t="shared" si="234"/>
        <v>3316.5321479999998</v>
      </c>
      <c r="AR233" s="1827">
        <f t="shared" si="234"/>
        <v>3406.1681519999993</v>
      </c>
      <c r="AS233" s="1827">
        <f t="shared" si="234"/>
        <v>3495.8041559999992</v>
      </c>
      <c r="AT233" s="1827">
        <f t="shared" si="234"/>
        <v>3585.4401599999992</v>
      </c>
      <c r="AU233" s="1827">
        <f t="shared" si="234"/>
        <v>3675.0761639999987</v>
      </c>
      <c r="AV233" s="1827">
        <f t="shared" si="234"/>
        <v>3764.7121679999996</v>
      </c>
      <c r="AW233" s="1827">
        <f t="shared" si="234"/>
        <v>3854.3481719999991</v>
      </c>
      <c r="AX233" s="1827">
        <f t="shared" si="234"/>
        <v>3943.9841759999995</v>
      </c>
      <c r="AY233" s="1827">
        <f t="shared" si="234"/>
        <v>4033.6201799999994</v>
      </c>
      <c r="AZ233" s="1827">
        <f t="shared" si="234"/>
        <v>4123.2561839999989</v>
      </c>
      <c r="BA233" s="1827">
        <f t="shared" si="234"/>
        <v>4212.8921879999989</v>
      </c>
      <c r="BB233" s="1827">
        <f t="shared" si="234"/>
        <v>4302.5281919999989</v>
      </c>
      <c r="BC233" s="1827">
        <f t="shared" si="234"/>
        <v>4392.1641959999997</v>
      </c>
      <c r="BD233" s="1827">
        <f t="shared" si="234"/>
        <v>4481.8001999999997</v>
      </c>
      <c r="BE233" s="1827">
        <f t="shared" si="234"/>
        <v>4571.4362039999987</v>
      </c>
      <c r="BF233" s="1827">
        <f t="shared" si="234"/>
        <v>4661.0722079999996</v>
      </c>
      <c r="BG233" s="1827">
        <f t="shared" si="234"/>
        <v>4750.7082119999995</v>
      </c>
      <c r="BH233" s="804">
        <f t="shared" si="234"/>
        <v>-627.45202799999993</v>
      </c>
      <c r="BI233" s="804">
        <f t="shared" si="234"/>
        <v>-627.45202799999993</v>
      </c>
      <c r="BJ233" s="804">
        <f t="shared" si="234"/>
        <v>-627.45202799999993</v>
      </c>
      <c r="BK233" s="804">
        <f t="shared" si="234"/>
        <v>-627.45202799999993</v>
      </c>
      <c r="BL233" s="804">
        <f t="shared" si="234"/>
        <v>-627.45202799999993</v>
      </c>
      <c r="BM233" s="804">
        <f t="shared" si="234"/>
        <v>-627.45202799999993</v>
      </c>
      <c r="BN233" s="804">
        <f t="shared" si="234"/>
        <v>-627.45202799999993</v>
      </c>
      <c r="BO233" s="804">
        <f t="shared" si="234"/>
        <v>-627.45202799999993</v>
      </c>
      <c r="BP233" s="804">
        <f t="shared" si="234"/>
        <v>-627.45202799999993</v>
      </c>
      <c r="BQ233" s="804">
        <f t="shared" si="234"/>
        <v>-627.45202799999993</v>
      </c>
      <c r="BR233" s="804">
        <f t="shared" si="234"/>
        <v>-627.45202799999993</v>
      </c>
      <c r="BS233" s="804">
        <f t="shared" si="234"/>
        <v>-627.45202799999993</v>
      </c>
      <c r="BT233" s="804">
        <f t="shared" si="234"/>
        <v>-627.45202799999993</v>
      </c>
      <c r="BU233" s="804">
        <f t="shared" ref="BU233:CZ233" si="235">((BU$232-$I$4)/1000)*$N$118*(($C$8/70)^$X$118)*IF($C$13=1,$AF$117,IF($C$13=2,$AG$117,IF($C$13=3,$AH$117,1)))</f>
        <v>-627.45202799999993</v>
      </c>
      <c r="BV233" s="804">
        <f t="shared" si="235"/>
        <v>-627.45202799999993</v>
      </c>
      <c r="BW233" s="804">
        <f t="shared" si="235"/>
        <v>-627.45202799999993</v>
      </c>
      <c r="BX233" s="804">
        <f t="shared" si="235"/>
        <v>-627.45202799999993</v>
      </c>
      <c r="BY233" s="804">
        <f t="shared" si="235"/>
        <v>-627.45202799999993</v>
      </c>
      <c r="BZ233" s="804">
        <f t="shared" si="235"/>
        <v>-627.45202799999993</v>
      </c>
      <c r="CA233" s="804">
        <f t="shared" si="235"/>
        <v>-627.45202799999993</v>
      </c>
      <c r="CB233" s="804">
        <f t="shared" si="235"/>
        <v>-627.45202799999993</v>
      </c>
      <c r="CC233" s="804">
        <f t="shared" si="235"/>
        <v>-627.45202799999993</v>
      </c>
      <c r="CD233" s="804">
        <f t="shared" si="235"/>
        <v>-627.45202799999993</v>
      </c>
      <c r="CE233" s="804">
        <f t="shared" si="235"/>
        <v>-627.45202799999993</v>
      </c>
      <c r="CF233" s="804">
        <f t="shared" si="235"/>
        <v>-627.45202799999993</v>
      </c>
      <c r="CG233" s="804">
        <f t="shared" si="235"/>
        <v>-627.45202799999993</v>
      </c>
      <c r="CH233" s="804">
        <f t="shared" si="235"/>
        <v>-627.45202799999993</v>
      </c>
      <c r="CI233" s="804">
        <f t="shared" si="235"/>
        <v>-627.45202799999993</v>
      </c>
      <c r="CJ233" s="804">
        <f t="shared" si="235"/>
        <v>-627.45202799999993</v>
      </c>
      <c r="CK233" s="804">
        <f t="shared" si="235"/>
        <v>-627.45202799999993</v>
      </c>
      <c r="CL233" s="804">
        <f t="shared" si="235"/>
        <v>-627.45202799999993</v>
      </c>
      <c r="CM233" s="804">
        <f t="shared" si="235"/>
        <v>-627.45202799999993</v>
      </c>
      <c r="CN233" s="804">
        <f t="shared" si="235"/>
        <v>-627.45202799999993</v>
      </c>
      <c r="CO233" s="804">
        <f t="shared" si="235"/>
        <v>-627.45202799999993</v>
      </c>
      <c r="CP233" s="804">
        <f t="shared" si="235"/>
        <v>-627.45202799999993</v>
      </c>
      <c r="CQ233" s="804">
        <f t="shared" si="235"/>
        <v>-627.45202799999993</v>
      </c>
      <c r="CR233" s="804">
        <f t="shared" si="235"/>
        <v>-627.45202799999993</v>
      </c>
      <c r="CS233" s="804">
        <f t="shared" si="235"/>
        <v>-627.45202799999993</v>
      </c>
      <c r="CT233" s="804">
        <f t="shared" si="235"/>
        <v>-627.45202799999993</v>
      </c>
      <c r="CU233" s="804">
        <f t="shared" si="235"/>
        <v>-627.45202799999993</v>
      </c>
      <c r="CV233" s="804">
        <f t="shared" si="235"/>
        <v>-627.45202799999993</v>
      </c>
      <c r="CW233" s="804">
        <f t="shared" si="235"/>
        <v>-627.45202799999993</v>
      </c>
      <c r="CX233" s="804">
        <f t="shared" si="235"/>
        <v>-627.45202799999993</v>
      </c>
      <c r="CY233" s="804">
        <f t="shared" si="235"/>
        <v>-627.45202799999993</v>
      </c>
      <c r="CZ233" s="804">
        <f t="shared" si="235"/>
        <v>-627.45202799999993</v>
      </c>
      <c r="DA233" s="804">
        <f t="shared" ref="DA233:DG233" si="236">((DA$232-$I$4)/1000)*$N$118*(($C$8/70)^$X$118)*IF($C$13=1,$AF$117,IF($C$13=2,$AG$117,IF($C$13=3,$AH$117,1)))</f>
        <v>-627.45202799999993</v>
      </c>
      <c r="DB233" s="804">
        <f t="shared" si="236"/>
        <v>-627.45202799999993</v>
      </c>
      <c r="DC233" s="804">
        <f t="shared" si="236"/>
        <v>-627.45202799999993</v>
      </c>
      <c r="DD233" s="804">
        <f t="shared" si="236"/>
        <v>-627.45202799999993</v>
      </c>
      <c r="DE233" s="804">
        <f t="shared" si="236"/>
        <v>-627.45202799999993</v>
      </c>
      <c r="DF233" s="804">
        <f t="shared" si="236"/>
        <v>-627.45202799999993</v>
      </c>
      <c r="DG233" s="804">
        <f t="shared" si="236"/>
        <v>-627.45202799999993</v>
      </c>
    </row>
    <row r="234" spans="1:111" ht="15.75" hidden="1" customHeight="1">
      <c r="B234" s="2960" t="s">
        <v>329</v>
      </c>
      <c r="C234" s="2961"/>
      <c r="D234" s="2958"/>
      <c r="E234" s="1828"/>
      <c r="F234" s="1828"/>
      <c r="G234" s="1828"/>
      <c r="H234" s="1828"/>
      <c r="I234" s="1829">
        <f t="shared" ref="I234:AN234" si="237">((I$232-$I$4)/1000)*$O$118*(($C$8/70)^$Y$118)*IF($C$13=1,$AF$117,IF($C$13=2,$AG$117,IF($C$13=3,$AH$117,1)))</f>
        <v>297.82285200000001</v>
      </c>
      <c r="J234" s="1829">
        <f t="shared" si="237"/>
        <v>397.09713600000003</v>
      </c>
      <c r="K234" s="1829">
        <f t="shared" si="237"/>
        <v>496.37142</v>
      </c>
      <c r="L234" s="1829">
        <f t="shared" si="237"/>
        <v>595.64570400000002</v>
      </c>
      <c r="M234" s="1829">
        <f t="shared" si="237"/>
        <v>694.91998799999999</v>
      </c>
      <c r="N234" s="1829">
        <f t="shared" si="237"/>
        <v>794.19427200000007</v>
      </c>
      <c r="O234" s="1829">
        <f t="shared" si="237"/>
        <v>893.46855600000004</v>
      </c>
      <c r="P234" s="1829">
        <f t="shared" si="237"/>
        <v>992.74284</v>
      </c>
      <c r="Q234" s="1829">
        <f t="shared" si="237"/>
        <v>1092.0171240000002</v>
      </c>
      <c r="R234" s="1829">
        <f t="shared" si="237"/>
        <v>1191.291408</v>
      </c>
      <c r="S234" s="1829">
        <f t="shared" si="237"/>
        <v>1290.5656920000001</v>
      </c>
      <c r="T234" s="1829">
        <f t="shared" si="237"/>
        <v>1389.839976</v>
      </c>
      <c r="U234" s="1829">
        <f t="shared" si="237"/>
        <v>1489.1142599999998</v>
      </c>
      <c r="V234" s="1829">
        <f t="shared" si="237"/>
        <v>1588.3885440000001</v>
      </c>
      <c r="W234" s="1829">
        <f t="shared" si="237"/>
        <v>1687.6628279999998</v>
      </c>
      <c r="X234" s="1829">
        <f t="shared" si="237"/>
        <v>1786.9371120000001</v>
      </c>
      <c r="Y234" s="1829">
        <f t="shared" si="237"/>
        <v>1886.2113959999997</v>
      </c>
      <c r="Z234" s="1829">
        <f t="shared" si="237"/>
        <v>1985.48568</v>
      </c>
      <c r="AA234" s="1829">
        <f t="shared" si="237"/>
        <v>2084.7599640000003</v>
      </c>
      <c r="AB234" s="1829">
        <f t="shared" si="237"/>
        <v>2184.0342480000004</v>
      </c>
      <c r="AC234" s="1829">
        <f t="shared" si="237"/>
        <v>2283.3085319999996</v>
      </c>
      <c r="AD234" s="1829">
        <f t="shared" si="237"/>
        <v>2382.5828160000001</v>
      </c>
      <c r="AE234" s="1829">
        <f t="shared" si="237"/>
        <v>2481.8571000000002</v>
      </c>
      <c r="AF234" s="1829">
        <f t="shared" si="237"/>
        <v>2581.1313840000003</v>
      </c>
      <c r="AG234" s="1829">
        <f t="shared" si="237"/>
        <v>2680.4056679999999</v>
      </c>
      <c r="AH234" s="1829">
        <f t="shared" si="237"/>
        <v>2779.679952</v>
      </c>
      <c r="AI234" s="1829">
        <f t="shared" si="237"/>
        <v>2878.954236</v>
      </c>
      <c r="AJ234" s="1829">
        <f t="shared" si="237"/>
        <v>2978.2285199999997</v>
      </c>
      <c r="AK234" s="1829">
        <f t="shared" si="237"/>
        <v>3077.5028039999997</v>
      </c>
      <c r="AL234" s="1829">
        <f t="shared" si="237"/>
        <v>3176.7770880000003</v>
      </c>
      <c r="AM234" s="1829">
        <f t="shared" si="237"/>
        <v>3276.0513719999999</v>
      </c>
      <c r="AN234" s="1829">
        <f t="shared" si="237"/>
        <v>3375.3256559999995</v>
      </c>
      <c r="AO234" s="1829">
        <f t="shared" ref="AO234:BT234" si="238">((AO$232-$I$4)/1000)*$O$118*(($C$8/70)^$Y$118)*IF($C$13=1,$AF$117,IF($C$13=2,$AG$117,IF($C$13=3,$AH$117,1)))</f>
        <v>3474.5999400000001</v>
      </c>
      <c r="AP234" s="1829">
        <f t="shared" si="238"/>
        <v>3573.8742240000001</v>
      </c>
      <c r="AQ234" s="1829">
        <f t="shared" si="238"/>
        <v>3673.1485080000002</v>
      </c>
      <c r="AR234" s="1829">
        <f t="shared" si="238"/>
        <v>3772.4227919999994</v>
      </c>
      <c r="AS234" s="1829">
        <f t="shared" si="238"/>
        <v>3871.6970759999999</v>
      </c>
      <c r="AT234" s="1829">
        <f t="shared" si="238"/>
        <v>3970.97136</v>
      </c>
      <c r="AU234" s="1829">
        <f t="shared" si="238"/>
        <v>4070.2456439999992</v>
      </c>
      <c r="AV234" s="1829">
        <f t="shared" si="238"/>
        <v>4169.5199280000006</v>
      </c>
      <c r="AW234" s="1829">
        <f t="shared" si="238"/>
        <v>4268.7942119999998</v>
      </c>
      <c r="AX234" s="1829">
        <f t="shared" si="238"/>
        <v>4368.0684960000008</v>
      </c>
      <c r="AY234" s="1829">
        <f t="shared" si="238"/>
        <v>4467.3427799999999</v>
      </c>
      <c r="AZ234" s="1829">
        <f t="shared" si="238"/>
        <v>4566.6170639999991</v>
      </c>
      <c r="BA234" s="1829">
        <f t="shared" si="238"/>
        <v>4665.8913480000001</v>
      </c>
      <c r="BB234" s="1829">
        <f t="shared" si="238"/>
        <v>4765.1656320000002</v>
      </c>
      <c r="BC234" s="1829">
        <f t="shared" si="238"/>
        <v>4864.4399160000003</v>
      </c>
      <c r="BD234" s="1829">
        <f t="shared" si="238"/>
        <v>4963.7142000000003</v>
      </c>
      <c r="BE234" s="1829">
        <f t="shared" si="238"/>
        <v>5062.9884839999995</v>
      </c>
      <c r="BF234" s="1829">
        <f t="shared" si="238"/>
        <v>5162.2627680000005</v>
      </c>
      <c r="BG234" s="1829">
        <f t="shared" si="238"/>
        <v>5261.5370519999997</v>
      </c>
      <c r="BH234" s="804">
        <f t="shared" si="238"/>
        <v>-694.91998799999999</v>
      </c>
      <c r="BI234" s="804">
        <f t="shared" si="238"/>
        <v>-694.91998799999999</v>
      </c>
      <c r="BJ234" s="804">
        <f t="shared" si="238"/>
        <v>-694.91998799999999</v>
      </c>
      <c r="BK234" s="804">
        <f t="shared" si="238"/>
        <v>-694.91998799999999</v>
      </c>
      <c r="BL234" s="804">
        <f t="shared" si="238"/>
        <v>-694.91998799999999</v>
      </c>
      <c r="BM234" s="804">
        <f t="shared" si="238"/>
        <v>-694.91998799999999</v>
      </c>
      <c r="BN234" s="804">
        <f t="shared" si="238"/>
        <v>-694.91998799999999</v>
      </c>
      <c r="BO234" s="804">
        <f t="shared" si="238"/>
        <v>-694.91998799999999</v>
      </c>
      <c r="BP234" s="804">
        <f t="shared" si="238"/>
        <v>-694.91998799999999</v>
      </c>
      <c r="BQ234" s="804">
        <f t="shared" si="238"/>
        <v>-694.91998799999999</v>
      </c>
      <c r="BR234" s="804">
        <f t="shared" si="238"/>
        <v>-694.91998799999999</v>
      </c>
      <c r="BS234" s="804">
        <f t="shared" si="238"/>
        <v>-694.91998799999999</v>
      </c>
      <c r="BT234" s="804">
        <f t="shared" si="238"/>
        <v>-694.91998799999999</v>
      </c>
      <c r="BU234" s="804">
        <f t="shared" ref="BU234:CZ234" si="239">((BU$232-$I$4)/1000)*$O$118*(($C$8/70)^$Y$118)*IF($C$13=1,$AF$117,IF($C$13=2,$AG$117,IF($C$13=3,$AH$117,1)))</f>
        <v>-694.91998799999999</v>
      </c>
      <c r="BV234" s="804">
        <f t="shared" si="239"/>
        <v>-694.91998799999999</v>
      </c>
      <c r="BW234" s="804">
        <f t="shared" si="239"/>
        <v>-694.91998799999999</v>
      </c>
      <c r="BX234" s="804">
        <f t="shared" si="239"/>
        <v>-694.91998799999999</v>
      </c>
      <c r="BY234" s="804">
        <f t="shared" si="239"/>
        <v>-694.91998799999999</v>
      </c>
      <c r="BZ234" s="804">
        <f t="shared" si="239"/>
        <v>-694.91998799999999</v>
      </c>
      <c r="CA234" s="804">
        <f t="shared" si="239"/>
        <v>-694.91998799999999</v>
      </c>
      <c r="CB234" s="804">
        <f t="shared" si="239"/>
        <v>-694.91998799999999</v>
      </c>
      <c r="CC234" s="804">
        <f t="shared" si="239"/>
        <v>-694.91998799999999</v>
      </c>
      <c r="CD234" s="804">
        <f t="shared" si="239"/>
        <v>-694.91998799999999</v>
      </c>
      <c r="CE234" s="804">
        <f t="shared" si="239"/>
        <v>-694.91998799999999</v>
      </c>
      <c r="CF234" s="804">
        <f t="shared" si="239"/>
        <v>-694.91998799999999</v>
      </c>
      <c r="CG234" s="804">
        <f t="shared" si="239"/>
        <v>-694.91998799999999</v>
      </c>
      <c r="CH234" s="804">
        <f t="shared" si="239"/>
        <v>-694.91998799999999</v>
      </c>
      <c r="CI234" s="804">
        <f t="shared" si="239"/>
        <v>-694.91998799999999</v>
      </c>
      <c r="CJ234" s="804">
        <f t="shared" si="239"/>
        <v>-694.91998799999999</v>
      </c>
      <c r="CK234" s="804">
        <f t="shared" si="239"/>
        <v>-694.91998799999999</v>
      </c>
      <c r="CL234" s="804">
        <f t="shared" si="239"/>
        <v>-694.91998799999999</v>
      </c>
      <c r="CM234" s="804">
        <f t="shared" si="239"/>
        <v>-694.91998799999999</v>
      </c>
      <c r="CN234" s="804">
        <f t="shared" si="239"/>
        <v>-694.91998799999999</v>
      </c>
      <c r="CO234" s="804">
        <f t="shared" si="239"/>
        <v>-694.91998799999999</v>
      </c>
      <c r="CP234" s="804">
        <f t="shared" si="239"/>
        <v>-694.91998799999999</v>
      </c>
      <c r="CQ234" s="804">
        <f t="shared" si="239"/>
        <v>-694.91998799999999</v>
      </c>
      <c r="CR234" s="804">
        <f t="shared" si="239"/>
        <v>-694.91998799999999</v>
      </c>
      <c r="CS234" s="804">
        <f t="shared" si="239"/>
        <v>-694.91998799999999</v>
      </c>
      <c r="CT234" s="804">
        <f t="shared" si="239"/>
        <v>-694.91998799999999</v>
      </c>
      <c r="CU234" s="804">
        <f t="shared" si="239"/>
        <v>-694.91998799999999</v>
      </c>
      <c r="CV234" s="804">
        <f t="shared" si="239"/>
        <v>-694.91998799999999</v>
      </c>
      <c r="CW234" s="804">
        <f t="shared" si="239"/>
        <v>-694.91998799999999</v>
      </c>
      <c r="CX234" s="804">
        <f t="shared" si="239"/>
        <v>-694.91998799999999</v>
      </c>
      <c r="CY234" s="804">
        <f t="shared" si="239"/>
        <v>-694.91998799999999</v>
      </c>
      <c r="CZ234" s="804">
        <f t="shared" si="239"/>
        <v>-694.91998799999999</v>
      </c>
      <c r="DA234" s="804">
        <f t="shared" ref="DA234:DG234" si="240">((DA$232-$I$4)/1000)*$O$118*(($C$8/70)^$Y$118)*IF($C$13=1,$AF$117,IF($C$13=2,$AG$117,IF($C$13=3,$AH$117,1)))</f>
        <v>-694.91998799999999</v>
      </c>
      <c r="DB234" s="804">
        <f t="shared" si="240"/>
        <v>-694.91998799999999</v>
      </c>
      <c r="DC234" s="804">
        <f t="shared" si="240"/>
        <v>-694.91998799999999</v>
      </c>
      <c r="DD234" s="804">
        <f t="shared" si="240"/>
        <v>-694.91998799999999</v>
      </c>
      <c r="DE234" s="804">
        <f t="shared" si="240"/>
        <v>-694.91998799999999</v>
      </c>
      <c r="DF234" s="804">
        <f t="shared" si="240"/>
        <v>-694.91998799999999</v>
      </c>
      <c r="DG234" s="804">
        <f t="shared" si="240"/>
        <v>-694.91998799999999</v>
      </c>
    </row>
    <row r="235" spans="1:111" ht="15.75" hidden="1" customHeight="1">
      <c r="B235" s="2960" t="s">
        <v>330</v>
      </c>
      <c r="C235" s="2961"/>
      <c r="D235" s="2958"/>
      <c r="E235" s="1828"/>
      <c r="F235" s="1828"/>
      <c r="G235" s="1828"/>
      <c r="H235" s="1828"/>
      <c r="I235" s="1829">
        <f t="shared" ref="I235:AN235" si="241">((I$232-$I$4)/1000)*$Q$118*(($C$8/70)^$AA$118)*IF($C$13=1,$AF$117,IF($C$13=2,$AG$117,IF($C$13=3,$AH$117,1)))</f>
        <v>415.4098679999999</v>
      </c>
      <c r="J235" s="1829">
        <f t="shared" si="241"/>
        <v>553.87982399999999</v>
      </c>
      <c r="K235" s="1829">
        <f t="shared" si="241"/>
        <v>692.3497799999999</v>
      </c>
      <c r="L235" s="1829">
        <f t="shared" si="241"/>
        <v>830.81973599999981</v>
      </c>
      <c r="M235" s="1829">
        <f t="shared" si="241"/>
        <v>969.28969199999983</v>
      </c>
      <c r="N235" s="1829">
        <f t="shared" si="241"/>
        <v>1107.759648</v>
      </c>
      <c r="O235" s="1829">
        <f t="shared" si="241"/>
        <v>1246.2296039999999</v>
      </c>
      <c r="P235" s="1829">
        <f t="shared" si="241"/>
        <v>1384.6995599999998</v>
      </c>
      <c r="Q235" s="1829">
        <f t="shared" si="241"/>
        <v>1523.1695159999999</v>
      </c>
      <c r="R235" s="1829">
        <f t="shared" si="241"/>
        <v>1661.6394719999996</v>
      </c>
      <c r="S235" s="1829">
        <f t="shared" si="241"/>
        <v>1800.1094279999998</v>
      </c>
      <c r="T235" s="1829">
        <f t="shared" si="241"/>
        <v>1938.5793839999997</v>
      </c>
      <c r="U235" s="1829">
        <f t="shared" si="241"/>
        <v>2077.04934</v>
      </c>
      <c r="V235" s="1829">
        <f t="shared" si="241"/>
        <v>2215.5192959999999</v>
      </c>
      <c r="W235" s="1829">
        <f t="shared" si="241"/>
        <v>2353.9892519999999</v>
      </c>
      <c r="X235" s="1829">
        <f t="shared" si="241"/>
        <v>2492.4592079999998</v>
      </c>
      <c r="Y235" s="1829">
        <f t="shared" si="241"/>
        <v>2630.9291639999997</v>
      </c>
      <c r="Z235" s="1829">
        <f t="shared" si="241"/>
        <v>2769.3991199999996</v>
      </c>
      <c r="AA235" s="1829">
        <f t="shared" si="241"/>
        <v>2907.8690759999995</v>
      </c>
      <c r="AB235" s="1829">
        <f t="shared" si="241"/>
        <v>3046.3390319999999</v>
      </c>
      <c r="AC235" s="1829">
        <f t="shared" si="241"/>
        <v>3184.8089879999993</v>
      </c>
      <c r="AD235" s="1829">
        <f t="shared" si="241"/>
        <v>3323.2789439999992</v>
      </c>
      <c r="AE235" s="1829">
        <f t="shared" si="241"/>
        <v>3461.7488999999991</v>
      </c>
      <c r="AF235" s="1829">
        <f t="shared" si="241"/>
        <v>3600.2188559999995</v>
      </c>
      <c r="AG235" s="1829">
        <f t="shared" si="241"/>
        <v>3738.6888119999999</v>
      </c>
      <c r="AH235" s="1829">
        <f t="shared" si="241"/>
        <v>3877.1587679999993</v>
      </c>
      <c r="AI235" s="1829">
        <f t="shared" si="241"/>
        <v>4015.6287239999992</v>
      </c>
      <c r="AJ235" s="1829">
        <f t="shared" si="241"/>
        <v>4154.0986800000001</v>
      </c>
      <c r="AK235" s="1829">
        <f t="shared" si="241"/>
        <v>4292.568636</v>
      </c>
      <c r="AL235" s="1829">
        <f t="shared" si="241"/>
        <v>4431.0385919999999</v>
      </c>
      <c r="AM235" s="1829">
        <f t="shared" si="241"/>
        <v>4569.5085479999989</v>
      </c>
      <c r="AN235" s="1829">
        <f t="shared" si="241"/>
        <v>4707.9785039999997</v>
      </c>
      <c r="AO235" s="1829">
        <f t="shared" ref="AO235:BT235" si="242">((AO$232-$I$4)/1000)*$Q$118*(($C$8/70)^$AA$118)*IF($C$13=1,$AF$117,IF($C$13=2,$AG$117,IF($C$13=3,$AH$117,1)))</f>
        <v>4846.4484599999996</v>
      </c>
      <c r="AP235" s="1829">
        <f t="shared" si="242"/>
        <v>4984.9184159999995</v>
      </c>
      <c r="AQ235" s="1829">
        <f t="shared" si="242"/>
        <v>5123.3883719999994</v>
      </c>
      <c r="AR235" s="1829">
        <f t="shared" si="242"/>
        <v>5261.8583279999993</v>
      </c>
      <c r="AS235" s="1829">
        <f t="shared" si="242"/>
        <v>5400.3282839999993</v>
      </c>
      <c r="AT235" s="1829">
        <f t="shared" si="242"/>
        <v>5538.7982399999992</v>
      </c>
      <c r="AU235" s="1829">
        <f t="shared" si="242"/>
        <v>5677.2681959999982</v>
      </c>
      <c r="AV235" s="1829">
        <f t="shared" si="242"/>
        <v>5815.738151999999</v>
      </c>
      <c r="AW235" s="1829">
        <f t="shared" si="242"/>
        <v>5954.2081079999989</v>
      </c>
      <c r="AX235" s="1829">
        <f t="shared" si="242"/>
        <v>6092.6780639999997</v>
      </c>
      <c r="AY235" s="1829">
        <f t="shared" si="242"/>
        <v>6231.1480199999987</v>
      </c>
      <c r="AZ235" s="1829">
        <f t="shared" si="242"/>
        <v>6369.6179759999986</v>
      </c>
      <c r="BA235" s="1829">
        <f t="shared" si="242"/>
        <v>6508.0879319999995</v>
      </c>
      <c r="BB235" s="1829">
        <f t="shared" si="242"/>
        <v>6646.5578879999985</v>
      </c>
      <c r="BC235" s="1829">
        <f t="shared" si="242"/>
        <v>6785.0278439999993</v>
      </c>
      <c r="BD235" s="1829">
        <f t="shared" si="242"/>
        <v>6923.4977999999983</v>
      </c>
      <c r="BE235" s="1829">
        <f t="shared" si="242"/>
        <v>7061.9677559999982</v>
      </c>
      <c r="BF235" s="1829">
        <f t="shared" si="242"/>
        <v>7200.437711999999</v>
      </c>
      <c r="BG235" s="1829">
        <f t="shared" si="242"/>
        <v>7338.9076679999989</v>
      </c>
      <c r="BH235" s="804">
        <f t="shared" si="242"/>
        <v>-969.28969199999983</v>
      </c>
      <c r="BI235" s="804">
        <f t="shared" si="242"/>
        <v>-969.28969199999983</v>
      </c>
      <c r="BJ235" s="804">
        <f t="shared" si="242"/>
        <v>-969.28969199999983</v>
      </c>
      <c r="BK235" s="804">
        <f t="shared" si="242"/>
        <v>-969.28969199999983</v>
      </c>
      <c r="BL235" s="804">
        <f t="shared" si="242"/>
        <v>-969.28969199999983</v>
      </c>
      <c r="BM235" s="804">
        <f t="shared" si="242"/>
        <v>-969.28969199999983</v>
      </c>
      <c r="BN235" s="804">
        <f t="shared" si="242"/>
        <v>-969.28969199999983</v>
      </c>
      <c r="BO235" s="804">
        <f t="shared" si="242"/>
        <v>-969.28969199999983</v>
      </c>
      <c r="BP235" s="804">
        <f t="shared" si="242"/>
        <v>-969.28969199999983</v>
      </c>
      <c r="BQ235" s="804">
        <f t="shared" si="242"/>
        <v>-969.28969199999983</v>
      </c>
      <c r="BR235" s="804">
        <f t="shared" si="242"/>
        <v>-969.28969199999983</v>
      </c>
      <c r="BS235" s="804">
        <f t="shared" si="242"/>
        <v>-969.28969199999983</v>
      </c>
      <c r="BT235" s="804">
        <f t="shared" si="242"/>
        <v>-969.28969199999983</v>
      </c>
      <c r="BU235" s="804">
        <f t="shared" ref="BU235:CZ235" si="243">((BU$232-$I$4)/1000)*$Q$118*(($C$8/70)^$AA$118)*IF($C$13=1,$AF$117,IF($C$13=2,$AG$117,IF($C$13=3,$AH$117,1)))</f>
        <v>-969.28969199999983</v>
      </c>
      <c r="BV235" s="804">
        <f t="shared" si="243"/>
        <v>-969.28969199999983</v>
      </c>
      <c r="BW235" s="804">
        <f t="shared" si="243"/>
        <v>-969.28969199999983</v>
      </c>
      <c r="BX235" s="804">
        <f t="shared" si="243"/>
        <v>-969.28969199999983</v>
      </c>
      <c r="BY235" s="804">
        <f t="shared" si="243"/>
        <v>-969.28969199999983</v>
      </c>
      <c r="BZ235" s="804">
        <f t="shared" si="243"/>
        <v>-969.28969199999983</v>
      </c>
      <c r="CA235" s="804">
        <f t="shared" si="243"/>
        <v>-969.28969199999983</v>
      </c>
      <c r="CB235" s="804">
        <f t="shared" si="243"/>
        <v>-969.28969199999983</v>
      </c>
      <c r="CC235" s="804">
        <f t="shared" si="243"/>
        <v>-969.28969199999983</v>
      </c>
      <c r="CD235" s="804">
        <f t="shared" si="243"/>
        <v>-969.28969199999983</v>
      </c>
      <c r="CE235" s="804">
        <f t="shared" si="243"/>
        <v>-969.28969199999983</v>
      </c>
      <c r="CF235" s="804">
        <f t="shared" si="243"/>
        <v>-969.28969199999983</v>
      </c>
      <c r="CG235" s="804">
        <f t="shared" si="243"/>
        <v>-969.28969199999983</v>
      </c>
      <c r="CH235" s="804">
        <f t="shared" si="243"/>
        <v>-969.28969199999983</v>
      </c>
      <c r="CI235" s="804">
        <f t="shared" si="243"/>
        <v>-969.28969199999983</v>
      </c>
      <c r="CJ235" s="804">
        <f t="shared" si="243"/>
        <v>-969.28969199999983</v>
      </c>
      <c r="CK235" s="804">
        <f t="shared" si="243"/>
        <v>-969.28969199999983</v>
      </c>
      <c r="CL235" s="804">
        <f t="shared" si="243"/>
        <v>-969.28969199999983</v>
      </c>
      <c r="CM235" s="804">
        <f t="shared" si="243"/>
        <v>-969.28969199999983</v>
      </c>
      <c r="CN235" s="804">
        <f t="shared" si="243"/>
        <v>-969.28969199999983</v>
      </c>
      <c r="CO235" s="804">
        <f t="shared" si="243"/>
        <v>-969.28969199999983</v>
      </c>
      <c r="CP235" s="804">
        <f t="shared" si="243"/>
        <v>-969.28969199999983</v>
      </c>
      <c r="CQ235" s="804">
        <f t="shared" si="243"/>
        <v>-969.28969199999983</v>
      </c>
      <c r="CR235" s="804">
        <f t="shared" si="243"/>
        <v>-969.28969199999983</v>
      </c>
      <c r="CS235" s="804">
        <f t="shared" si="243"/>
        <v>-969.28969199999983</v>
      </c>
      <c r="CT235" s="804">
        <f t="shared" si="243"/>
        <v>-969.28969199999983</v>
      </c>
      <c r="CU235" s="804">
        <f t="shared" si="243"/>
        <v>-969.28969199999983</v>
      </c>
      <c r="CV235" s="804">
        <f t="shared" si="243"/>
        <v>-969.28969199999983</v>
      </c>
      <c r="CW235" s="804">
        <f t="shared" si="243"/>
        <v>-969.28969199999983</v>
      </c>
      <c r="CX235" s="804">
        <f t="shared" si="243"/>
        <v>-969.28969199999983</v>
      </c>
      <c r="CY235" s="804">
        <f t="shared" si="243"/>
        <v>-969.28969199999983</v>
      </c>
      <c r="CZ235" s="804">
        <f t="shared" si="243"/>
        <v>-969.28969199999983</v>
      </c>
      <c r="DA235" s="804">
        <f t="shared" ref="DA235:DG235" si="244">((DA$232-$I$4)/1000)*$Q$118*(($C$8/70)^$AA$118)*IF($C$13=1,$AF$117,IF($C$13=2,$AG$117,IF($C$13=3,$AH$117,1)))</f>
        <v>-969.28969199999983</v>
      </c>
      <c r="DB235" s="804">
        <f t="shared" si="244"/>
        <v>-969.28969199999983</v>
      </c>
      <c r="DC235" s="804">
        <f t="shared" si="244"/>
        <v>-969.28969199999983</v>
      </c>
      <c r="DD235" s="804">
        <f t="shared" si="244"/>
        <v>-969.28969199999983</v>
      </c>
      <c r="DE235" s="804">
        <f t="shared" si="244"/>
        <v>-969.28969199999983</v>
      </c>
      <c r="DF235" s="804">
        <f t="shared" si="244"/>
        <v>-969.28969199999983</v>
      </c>
      <c r="DG235" s="804">
        <f t="shared" si="244"/>
        <v>-969.28969199999983</v>
      </c>
    </row>
    <row r="236" spans="1:111" ht="15.75" hidden="1" customHeight="1">
      <c r="B236" s="2962" t="s">
        <v>331</v>
      </c>
      <c r="C236" s="2963"/>
      <c r="D236" s="2958"/>
      <c r="E236" s="1830"/>
      <c r="F236" s="1830"/>
      <c r="G236" s="1830"/>
      <c r="H236" s="1830"/>
      <c r="I236" s="1831">
        <f t="shared" ref="I236:AN236" si="245">((I$232-$I$4)/1000)*$R$118*(($C$8/70)^$AB$118)*IF($C$13=1,$AF$117,IF($C$13=2,$AG$117,IF($C$13=3,$AH$117,1)))</f>
        <v>446.25236399999994</v>
      </c>
      <c r="J236" s="1831">
        <f t="shared" si="245"/>
        <v>595.003152</v>
      </c>
      <c r="K236" s="1831">
        <f t="shared" si="245"/>
        <v>743.75393999999994</v>
      </c>
      <c r="L236" s="1831">
        <f t="shared" si="245"/>
        <v>892.50472799999989</v>
      </c>
      <c r="M236" s="1831">
        <f t="shared" si="245"/>
        <v>1041.2555159999999</v>
      </c>
      <c r="N236" s="1831">
        <f t="shared" si="245"/>
        <v>1190.006304</v>
      </c>
      <c r="O236" s="1831">
        <f t="shared" si="245"/>
        <v>1338.7570919999998</v>
      </c>
      <c r="P236" s="1831">
        <f t="shared" si="245"/>
        <v>1487.5078799999999</v>
      </c>
      <c r="Q236" s="1831">
        <f t="shared" si="245"/>
        <v>1636.2586679999999</v>
      </c>
      <c r="R236" s="1831">
        <f t="shared" si="245"/>
        <v>1785.0094559999998</v>
      </c>
      <c r="S236" s="1831">
        <f t="shared" si="245"/>
        <v>1933.7602440000001</v>
      </c>
      <c r="T236" s="1831">
        <f t="shared" si="245"/>
        <v>2082.5110319999999</v>
      </c>
      <c r="U236" s="1831">
        <f t="shared" si="245"/>
        <v>2231.2618199999997</v>
      </c>
      <c r="V236" s="1831">
        <f t="shared" si="245"/>
        <v>2380.012608</v>
      </c>
      <c r="W236" s="1831">
        <f t="shared" si="245"/>
        <v>2528.7633959999998</v>
      </c>
      <c r="X236" s="1831">
        <f t="shared" si="245"/>
        <v>2677.5141839999997</v>
      </c>
      <c r="Y236" s="1831">
        <f t="shared" si="245"/>
        <v>2826.2649719999995</v>
      </c>
      <c r="Z236" s="1831">
        <f t="shared" si="245"/>
        <v>2975.0157599999998</v>
      </c>
      <c r="AA236" s="1831">
        <f t="shared" si="245"/>
        <v>3123.7665479999996</v>
      </c>
      <c r="AB236" s="1831">
        <f t="shared" si="245"/>
        <v>3272.5173359999999</v>
      </c>
      <c r="AC236" s="1831">
        <f t="shared" si="245"/>
        <v>3421.2681239999993</v>
      </c>
      <c r="AD236" s="1831">
        <f t="shared" si="245"/>
        <v>3570.0189119999995</v>
      </c>
      <c r="AE236" s="1831">
        <f t="shared" si="245"/>
        <v>3718.7696999999994</v>
      </c>
      <c r="AF236" s="1831">
        <f t="shared" si="245"/>
        <v>3867.5204880000001</v>
      </c>
      <c r="AG236" s="1831">
        <f t="shared" si="245"/>
        <v>4016.2712759999995</v>
      </c>
      <c r="AH236" s="1831">
        <f t="shared" si="245"/>
        <v>4165.0220639999998</v>
      </c>
      <c r="AI236" s="1831">
        <f t="shared" si="245"/>
        <v>4313.7728519999991</v>
      </c>
      <c r="AJ236" s="1831">
        <f t="shared" si="245"/>
        <v>4462.5236399999994</v>
      </c>
      <c r="AK236" s="1831">
        <f t="shared" si="245"/>
        <v>4611.2744279999997</v>
      </c>
      <c r="AL236" s="1831">
        <f t="shared" si="245"/>
        <v>4760.025216</v>
      </c>
      <c r="AM236" s="1831">
        <f t="shared" si="245"/>
        <v>4908.7760039999985</v>
      </c>
      <c r="AN236" s="1831">
        <f t="shared" si="245"/>
        <v>5057.5267919999997</v>
      </c>
      <c r="AO236" s="1831">
        <f t="shared" ref="AO236:BT236" si="246">((AO$232-$I$4)/1000)*$R$118*(($C$8/70)^$AB$118)*IF($C$13=1,$AF$117,IF($C$13=2,$AG$117,IF($C$13=3,$AH$117,1)))</f>
        <v>5206.277579999999</v>
      </c>
      <c r="AP236" s="1831">
        <f t="shared" si="246"/>
        <v>5355.0283679999993</v>
      </c>
      <c r="AQ236" s="1831">
        <f t="shared" si="246"/>
        <v>5503.7791559999996</v>
      </c>
      <c r="AR236" s="1831">
        <f t="shared" si="246"/>
        <v>5652.529943999999</v>
      </c>
      <c r="AS236" s="1831">
        <f t="shared" si="246"/>
        <v>5801.2807319999984</v>
      </c>
      <c r="AT236" s="1831">
        <f t="shared" si="246"/>
        <v>5950.0315199999995</v>
      </c>
      <c r="AU236" s="1831">
        <f t="shared" si="246"/>
        <v>6098.7823079999989</v>
      </c>
      <c r="AV236" s="1831">
        <f t="shared" si="246"/>
        <v>6247.5330959999992</v>
      </c>
      <c r="AW236" s="1831">
        <f t="shared" si="246"/>
        <v>6396.2838839999995</v>
      </c>
      <c r="AX236" s="1831">
        <f t="shared" si="246"/>
        <v>6545.0346719999998</v>
      </c>
      <c r="AY236" s="1831">
        <f t="shared" si="246"/>
        <v>6693.7854599999991</v>
      </c>
      <c r="AZ236" s="1831">
        <f t="shared" si="246"/>
        <v>6842.5362479999985</v>
      </c>
      <c r="BA236" s="1831">
        <f t="shared" si="246"/>
        <v>6991.2870359999988</v>
      </c>
      <c r="BB236" s="1831">
        <f t="shared" si="246"/>
        <v>7140.0378239999991</v>
      </c>
      <c r="BC236" s="1831">
        <f t="shared" si="246"/>
        <v>7288.7886120000003</v>
      </c>
      <c r="BD236" s="1831">
        <f t="shared" si="246"/>
        <v>7437.5393999999987</v>
      </c>
      <c r="BE236" s="1831">
        <f t="shared" si="246"/>
        <v>7586.2901879999981</v>
      </c>
      <c r="BF236" s="1831">
        <f t="shared" si="246"/>
        <v>7735.0409760000002</v>
      </c>
      <c r="BG236" s="1831">
        <f t="shared" si="246"/>
        <v>7883.7917639999987</v>
      </c>
      <c r="BH236" s="804">
        <f t="shared" si="246"/>
        <v>-1041.2555159999999</v>
      </c>
      <c r="BI236" s="804">
        <f t="shared" si="246"/>
        <v>-1041.2555159999999</v>
      </c>
      <c r="BJ236" s="804">
        <f t="shared" si="246"/>
        <v>-1041.2555159999999</v>
      </c>
      <c r="BK236" s="804">
        <f t="shared" si="246"/>
        <v>-1041.2555159999999</v>
      </c>
      <c r="BL236" s="804">
        <f t="shared" si="246"/>
        <v>-1041.2555159999999</v>
      </c>
      <c r="BM236" s="804">
        <f t="shared" si="246"/>
        <v>-1041.2555159999999</v>
      </c>
      <c r="BN236" s="804">
        <f t="shared" si="246"/>
        <v>-1041.2555159999999</v>
      </c>
      <c r="BO236" s="804">
        <f t="shared" si="246"/>
        <v>-1041.2555159999999</v>
      </c>
      <c r="BP236" s="804">
        <f t="shared" si="246"/>
        <v>-1041.2555159999999</v>
      </c>
      <c r="BQ236" s="804">
        <f t="shared" si="246"/>
        <v>-1041.2555159999999</v>
      </c>
      <c r="BR236" s="804">
        <f t="shared" si="246"/>
        <v>-1041.2555159999999</v>
      </c>
      <c r="BS236" s="804">
        <f t="shared" si="246"/>
        <v>-1041.2555159999999</v>
      </c>
      <c r="BT236" s="804">
        <f t="shared" si="246"/>
        <v>-1041.2555159999999</v>
      </c>
      <c r="BU236" s="804">
        <f t="shared" ref="BU236:CZ236" si="247">((BU$232-$I$4)/1000)*$R$118*(($C$8/70)^$AB$118)*IF($C$13=1,$AF$117,IF($C$13=2,$AG$117,IF($C$13=3,$AH$117,1)))</f>
        <v>-1041.2555159999999</v>
      </c>
      <c r="BV236" s="804">
        <f t="shared" si="247"/>
        <v>-1041.2555159999999</v>
      </c>
      <c r="BW236" s="804">
        <f t="shared" si="247"/>
        <v>-1041.2555159999999</v>
      </c>
      <c r="BX236" s="804">
        <f t="shared" si="247"/>
        <v>-1041.2555159999999</v>
      </c>
      <c r="BY236" s="804">
        <f t="shared" si="247"/>
        <v>-1041.2555159999999</v>
      </c>
      <c r="BZ236" s="804">
        <f t="shared" si="247"/>
        <v>-1041.2555159999999</v>
      </c>
      <c r="CA236" s="804">
        <f t="shared" si="247"/>
        <v>-1041.2555159999999</v>
      </c>
      <c r="CB236" s="804">
        <f t="shared" si="247"/>
        <v>-1041.2555159999999</v>
      </c>
      <c r="CC236" s="804">
        <f t="shared" si="247"/>
        <v>-1041.2555159999999</v>
      </c>
      <c r="CD236" s="804">
        <f t="shared" si="247"/>
        <v>-1041.2555159999999</v>
      </c>
      <c r="CE236" s="804">
        <f t="shared" si="247"/>
        <v>-1041.2555159999999</v>
      </c>
      <c r="CF236" s="804">
        <f t="shared" si="247"/>
        <v>-1041.2555159999999</v>
      </c>
      <c r="CG236" s="804">
        <f t="shared" si="247"/>
        <v>-1041.2555159999999</v>
      </c>
      <c r="CH236" s="804">
        <f t="shared" si="247"/>
        <v>-1041.2555159999999</v>
      </c>
      <c r="CI236" s="804">
        <f t="shared" si="247"/>
        <v>-1041.2555159999999</v>
      </c>
      <c r="CJ236" s="804">
        <f t="shared" si="247"/>
        <v>-1041.2555159999999</v>
      </c>
      <c r="CK236" s="804">
        <f t="shared" si="247"/>
        <v>-1041.2555159999999</v>
      </c>
      <c r="CL236" s="804">
        <f t="shared" si="247"/>
        <v>-1041.2555159999999</v>
      </c>
      <c r="CM236" s="804">
        <f t="shared" si="247"/>
        <v>-1041.2555159999999</v>
      </c>
      <c r="CN236" s="804">
        <f t="shared" si="247"/>
        <v>-1041.2555159999999</v>
      </c>
      <c r="CO236" s="804">
        <f t="shared" si="247"/>
        <v>-1041.2555159999999</v>
      </c>
      <c r="CP236" s="804">
        <f t="shared" si="247"/>
        <v>-1041.2555159999999</v>
      </c>
      <c r="CQ236" s="804">
        <f t="shared" si="247"/>
        <v>-1041.2555159999999</v>
      </c>
      <c r="CR236" s="804">
        <f t="shared" si="247"/>
        <v>-1041.2555159999999</v>
      </c>
      <c r="CS236" s="804">
        <f t="shared" si="247"/>
        <v>-1041.2555159999999</v>
      </c>
      <c r="CT236" s="804">
        <f t="shared" si="247"/>
        <v>-1041.2555159999999</v>
      </c>
      <c r="CU236" s="804">
        <f t="shared" si="247"/>
        <v>-1041.2555159999999</v>
      </c>
      <c r="CV236" s="804">
        <f t="shared" si="247"/>
        <v>-1041.2555159999999</v>
      </c>
      <c r="CW236" s="804">
        <f t="shared" si="247"/>
        <v>-1041.2555159999999</v>
      </c>
      <c r="CX236" s="804">
        <f t="shared" si="247"/>
        <v>-1041.2555159999999</v>
      </c>
      <c r="CY236" s="804">
        <f t="shared" si="247"/>
        <v>-1041.2555159999999</v>
      </c>
      <c r="CZ236" s="804">
        <f t="shared" si="247"/>
        <v>-1041.2555159999999</v>
      </c>
      <c r="DA236" s="804">
        <f t="shared" ref="DA236:DG236" si="248">((DA$232-$I$4)/1000)*$R$118*(($C$8/70)^$AB$118)*IF($C$13=1,$AF$117,IF($C$13=2,$AG$117,IF($C$13=3,$AH$117,1)))</f>
        <v>-1041.2555159999999</v>
      </c>
      <c r="DB236" s="804">
        <f t="shared" si="248"/>
        <v>-1041.2555159999999</v>
      </c>
      <c r="DC236" s="804">
        <f t="shared" si="248"/>
        <v>-1041.2555159999999</v>
      </c>
      <c r="DD236" s="804">
        <f t="shared" si="248"/>
        <v>-1041.2555159999999</v>
      </c>
      <c r="DE236" s="804">
        <f t="shared" si="248"/>
        <v>-1041.2555159999999</v>
      </c>
      <c r="DF236" s="804">
        <f t="shared" si="248"/>
        <v>-1041.2555159999999</v>
      </c>
      <c r="DG236" s="804">
        <f t="shared" si="248"/>
        <v>-1041.2555159999999</v>
      </c>
    </row>
    <row r="237" spans="1:111" ht="15.75" hidden="1" customHeight="1">
      <c r="B237" s="2964" t="s">
        <v>527</v>
      </c>
      <c r="C237" s="2965"/>
      <c r="D237" s="2958"/>
      <c r="E237" s="1832"/>
      <c r="F237" s="1832"/>
      <c r="G237" s="1832"/>
      <c r="H237" s="1832"/>
      <c r="I237" s="1833">
        <f t="shared" ref="I237:AN237" si="249">((I$232-$I$4)/1000)*$M$119*(($C$8/70)^$W$119)*IF($C$13=1,$AF$118,IF($C$13=2,$AG$118,IF($C$13=3,$AH$118,1)))</f>
        <v>212.48496</v>
      </c>
      <c r="J237" s="1833">
        <f t="shared" si="249"/>
        <v>283.31327999999996</v>
      </c>
      <c r="K237" s="1833">
        <f t="shared" si="249"/>
        <v>354.14159999999998</v>
      </c>
      <c r="L237" s="1833">
        <f t="shared" si="249"/>
        <v>424.96992</v>
      </c>
      <c r="M237" s="1833">
        <f t="shared" si="249"/>
        <v>495.79823999999996</v>
      </c>
      <c r="N237" s="1833">
        <f t="shared" si="249"/>
        <v>566.62655999999993</v>
      </c>
      <c r="O237" s="1833">
        <f t="shared" si="249"/>
        <v>637.45488</v>
      </c>
      <c r="P237" s="1833">
        <f t="shared" si="249"/>
        <v>708.28319999999997</v>
      </c>
      <c r="Q237" s="1833">
        <f t="shared" si="249"/>
        <v>779.11151999999993</v>
      </c>
      <c r="R237" s="1833">
        <f t="shared" si="249"/>
        <v>849.93984</v>
      </c>
      <c r="S237" s="1833">
        <f t="shared" si="249"/>
        <v>920.76815999999997</v>
      </c>
      <c r="T237" s="1833">
        <f t="shared" si="249"/>
        <v>991.59647999999993</v>
      </c>
      <c r="U237" s="1833">
        <f t="shared" si="249"/>
        <v>1062.4248</v>
      </c>
      <c r="V237" s="1833">
        <f t="shared" si="249"/>
        <v>1133.2531199999999</v>
      </c>
      <c r="W237" s="1833">
        <f t="shared" si="249"/>
        <v>1204.0814399999999</v>
      </c>
      <c r="X237" s="1833">
        <f t="shared" si="249"/>
        <v>1274.90976</v>
      </c>
      <c r="Y237" s="1833">
        <f t="shared" si="249"/>
        <v>1345.7380799999999</v>
      </c>
      <c r="Z237" s="1833">
        <f t="shared" si="249"/>
        <v>1416.5663999999999</v>
      </c>
      <c r="AA237" s="1833">
        <f t="shared" si="249"/>
        <v>1487.39472</v>
      </c>
      <c r="AB237" s="1833">
        <f t="shared" si="249"/>
        <v>1558.2230399999999</v>
      </c>
      <c r="AC237" s="1833">
        <f t="shared" si="249"/>
        <v>1629.0513599999997</v>
      </c>
      <c r="AD237" s="1833">
        <f t="shared" si="249"/>
        <v>1699.87968</v>
      </c>
      <c r="AE237" s="1833">
        <f t="shared" si="249"/>
        <v>1770.7079999999999</v>
      </c>
      <c r="AF237" s="1833">
        <f t="shared" si="249"/>
        <v>1841.5363199999999</v>
      </c>
      <c r="AG237" s="1833">
        <f t="shared" si="249"/>
        <v>1912.36464</v>
      </c>
      <c r="AH237" s="1833">
        <f t="shared" si="249"/>
        <v>1983.1929599999999</v>
      </c>
      <c r="AI237" s="1833">
        <f t="shared" si="249"/>
        <v>2054.0212799999999</v>
      </c>
      <c r="AJ237" s="1833">
        <f t="shared" si="249"/>
        <v>2124.8496</v>
      </c>
      <c r="AK237" s="1833">
        <f t="shared" si="249"/>
        <v>2195.6779200000001</v>
      </c>
      <c r="AL237" s="1833">
        <f t="shared" si="249"/>
        <v>2266.5062399999997</v>
      </c>
      <c r="AM237" s="1833">
        <f t="shared" si="249"/>
        <v>2337.3345599999998</v>
      </c>
      <c r="AN237" s="1833">
        <f t="shared" si="249"/>
        <v>2408.1628799999999</v>
      </c>
      <c r="AO237" s="1833">
        <f t="shared" ref="AO237:BT237" si="250">((AO$232-$I$4)/1000)*$M$119*(($C$8/70)^$W$119)*IF($C$13=1,$AF$118,IF($C$13=2,$AG$118,IF($C$13=3,$AH$118,1)))</f>
        <v>2478.9911999999999</v>
      </c>
      <c r="AP237" s="1833">
        <f t="shared" si="250"/>
        <v>2549.81952</v>
      </c>
      <c r="AQ237" s="1833">
        <f t="shared" si="250"/>
        <v>2620.6478399999996</v>
      </c>
      <c r="AR237" s="1833">
        <f t="shared" si="250"/>
        <v>2691.4761599999997</v>
      </c>
      <c r="AS237" s="1833">
        <f t="shared" si="250"/>
        <v>2762.3044800000002</v>
      </c>
      <c r="AT237" s="1833">
        <f t="shared" si="250"/>
        <v>2833.1327999999999</v>
      </c>
      <c r="AU237" s="1833">
        <f t="shared" si="250"/>
        <v>2903.9611199999999</v>
      </c>
      <c r="AV237" s="1833">
        <f t="shared" si="250"/>
        <v>2974.78944</v>
      </c>
      <c r="AW237" s="1833">
        <f t="shared" si="250"/>
        <v>3045.6177600000001</v>
      </c>
      <c r="AX237" s="1833">
        <f t="shared" si="250"/>
        <v>3116.4460799999997</v>
      </c>
      <c r="AY237" s="1833">
        <f t="shared" si="250"/>
        <v>3187.2743999999998</v>
      </c>
      <c r="AZ237" s="1833">
        <f t="shared" si="250"/>
        <v>3258.1027199999994</v>
      </c>
      <c r="BA237" s="1833">
        <f t="shared" si="250"/>
        <v>3328.9310399999999</v>
      </c>
      <c r="BB237" s="1833">
        <f t="shared" si="250"/>
        <v>3399.75936</v>
      </c>
      <c r="BC237" s="1833">
        <f t="shared" si="250"/>
        <v>3470.5876800000001</v>
      </c>
      <c r="BD237" s="1833">
        <f t="shared" si="250"/>
        <v>3541.4159999999997</v>
      </c>
      <c r="BE237" s="1833">
        <f t="shared" si="250"/>
        <v>3612.2443199999993</v>
      </c>
      <c r="BF237" s="1833">
        <f t="shared" si="250"/>
        <v>3683.0726399999999</v>
      </c>
      <c r="BG237" s="1833">
        <f t="shared" si="250"/>
        <v>3753.9009599999999</v>
      </c>
      <c r="BH237" s="804">
        <f t="shared" si="250"/>
        <v>-495.79823999999996</v>
      </c>
      <c r="BI237" s="804">
        <f t="shared" si="250"/>
        <v>-495.79823999999996</v>
      </c>
      <c r="BJ237" s="804">
        <f t="shared" si="250"/>
        <v>-495.79823999999996</v>
      </c>
      <c r="BK237" s="804">
        <f t="shared" si="250"/>
        <v>-495.79823999999996</v>
      </c>
      <c r="BL237" s="804">
        <f t="shared" si="250"/>
        <v>-495.79823999999996</v>
      </c>
      <c r="BM237" s="804">
        <f t="shared" si="250"/>
        <v>-495.79823999999996</v>
      </c>
      <c r="BN237" s="804">
        <f t="shared" si="250"/>
        <v>-495.79823999999996</v>
      </c>
      <c r="BO237" s="804">
        <f t="shared" si="250"/>
        <v>-495.79823999999996</v>
      </c>
      <c r="BP237" s="804">
        <f t="shared" si="250"/>
        <v>-495.79823999999996</v>
      </c>
      <c r="BQ237" s="804">
        <f t="shared" si="250"/>
        <v>-495.79823999999996</v>
      </c>
      <c r="BR237" s="804">
        <f t="shared" si="250"/>
        <v>-495.79823999999996</v>
      </c>
      <c r="BS237" s="804">
        <f t="shared" si="250"/>
        <v>-495.79823999999996</v>
      </c>
      <c r="BT237" s="804">
        <f t="shared" si="250"/>
        <v>-495.79823999999996</v>
      </c>
      <c r="BU237" s="804">
        <f t="shared" ref="BU237:CZ237" si="251">((BU$232-$I$4)/1000)*$M$119*(($C$8/70)^$W$119)*IF($C$13=1,$AF$118,IF($C$13=2,$AG$118,IF($C$13=3,$AH$118,1)))</f>
        <v>-495.79823999999996</v>
      </c>
      <c r="BV237" s="804">
        <f t="shared" si="251"/>
        <v>-495.79823999999996</v>
      </c>
      <c r="BW237" s="804">
        <f t="shared" si="251"/>
        <v>-495.79823999999996</v>
      </c>
      <c r="BX237" s="804">
        <f t="shared" si="251"/>
        <v>-495.79823999999996</v>
      </c>
      <c r="BY237" s="804">
        <f t="shared" si="251"/>
        <v>-495.79823999999996</v>
      </c>
      <c r="BZ237" s="804">
        <f t="shared" si="251"/>
        <v>-495.79823999999996</v>
      </c>
      <c r="CA237" s="804">
        <f t="shared" si="251"/>
        <v>-495.79823999999996</v>
      </c>
      <c r="CB237" s="804">
        <f t="shared" si="251"/>
        <v>-495.79823999999996</v>
      </c>
      <c r="CC237" s="804">
        <f t="shared" si="251"/>
        <v>-495.79823999999996</v>
      </c>
      <c r="CD237" s="804">
        <f t="shared" si="251"/>
        <v>-495.79823999999996</v>
      </c>
      <c r="CE237" s="804">
        <f t="shared" si="251"/>
        <v>-495.79823999999996</v>
      </c>
      <c r="CF237" s="804">
        <f t="shared" si="251"/>
        <v>-495.79823999999996</v>
      </c>
      <c r="CG237" s="804">
        <f t="shared" si="251"/>
        <v>-495.79823999999996</v>
      </c>
      <c r="CH237" s="804">
        <f t="shared" si="251"/>
        <v>-495.79823999999996</v>
      </c>
      <c r="CI237" s="804">
        <f t="shared" si="251"/>
        <v>-495.79823999999996</v>
      </c>
      <c r="CJ237" s="804">
        <f t="shared" si="251"/>
        <v>-495.79823999999996</v>
      </c>
      <c r="CK237" s="804">
        <f t="shared" si="251"/>
        <v>-495.79823999999996</v>
      </c>
      <c r="CL237" s="804">
        <f t="shared" si="251"/>
        <v>-495.79823999999996</v>
      </c>
      <c r="CM237" s="804">
        <f t="shared" si="251"/>
        <v>-495.79823999999996</v>
      </c>
      <c r="CN237" s="804">
        <f t="shared" si="251"/>
        <v>-495.79823999999996</v>
      </c>
      <c r="CO237" s="804">
        <f t="shared" si="251"/>
        <v>-495.79823999999996</v>
      </c>
      <c r="CP237" s="804">
        <f t="shared" si="251"/>
        <v>-495.79823999999996</v>
      </c>
      <c r="CQ237" s="804">
        <f t="shared" si="251"/>
        <v>-495.79823999999996</v>
      </c>
      <c r="CR237" s="804">
        <f t="shared" si="251"/>
        <v>-495.79823999999996</v>
      </c>
      <c r="CS237" s="804">
        <f t="shared" si="251"/>
        <v>-495.79823999999996</v>
      </c>
      <c r="CT237" s="804">
        <f t="shared" si="251"/>
        <v>-495.79823999999996</v>
      </c>
      <c r="CU237" s="804">
        <f t="shared" si="251"/>
        <v>-495.79823999999996</v>
      </c>
      <c r="CV237" s="804">
        <f t="shared" si="251"/>
        <v>-495.79823999999996</v>
      </c>
      <c r="CW237" s="804">
        <f t="shared" si="251"/>
        <v>-495.79823999999996</v>
      </c>
      <c r="CX237" s="804">
        <f t="shared" si="251"/>
        <v>-495.79823999999996</v>
      </c>
      <c r="CY237" s="804">
        <f t="shared" si="251"/>
        <v>-495.79823999999996</v>
      </c>
      <c r="CZ237" s="804">
        <f t="shared" si="251"/>
        <v>-495.79823999999996</v>
      </c>
      <c r="DA237" s="804">
        <f t="shared" ref="DA237:DG237" si="252">((DA$232-$I$4)/1000)*$M$119*(($C$8/70)^$W$119)*IF($C$13=1,$AF$118,IF($C$13=2,$AG$118,IF($C$13=3,$AH$118,1)))</f>
        <v>-495.79823999999996</v>
      </c>
      <c r="DB237" s="804">
        <f t="shared" si="252"/>
        <v>-495.79823999999996</v>
      </c>
      <c r="DC237" s="804">
        <f t="shared" si="252"/>
        <v>-495.79823999999996</v>
      </c>
      <c r="DD237" s="804">
        <f t="shared" si="252"/>
        <v>-495.79823999999996</v>
      </c>
      <c r="DE237" s="804">
        <f t="shared" si="252"/>
        <v>-495.79823999999996</v>
      </c>
      <c r="DF237" s="804">
        <f t="shared" si="252"/>
        <v>-495.79823999999996</v>
      </c>
      <c r="DG237" s="804">
        <f t="shared" si="252"/>
        <v>-495.79823999999996</v>
      </c>
    </row>
    <row r="238" spans="1:111" ht="15.75" hidden="1" thickBot="1">
      <c r="B238" s="2966" t="s">
        <v>528</v>
      </c>
      <c r="C238" s="2967"/>
      <c r="D238" s="2959"/>
      <c r="E238" s="1834" t="s">
        <v>281</v>
      </c>
      <c r="F238" s="1834">
        <v>90</v>
      </c>
      <c r="G238" s="1834">
        <v>260</v>
      </c>
      <c r="H238" s="1834">
        <v>2</v>
      </c>
      <c r="I238" s="1835">
        <f t="shared" ref="I238:AN238" si="253">((I$232-$I$4)/1000)*$N$119*(($C$8/70)^$X$119)*IF($C$13=1,$AF$118,IF($C$13=2,$AG$118,IF($C$13=3,$AH$118,1)))</f>
        <v>281.45548799999995</v>
      </c>
      <c r="J238" s="1835">
        <f t="shared" si="253"/>
        <v>375.27398399999998</v>
      </c>
      <c r="K238" s="1835">
        <f t="shared" si="253"/>
        <v>469.09247999999991</v>
      </c>
      <c r="L238" s="1835">
        <f t="shared" si="253"/>
        <v>562.91097599999989</v>
      </c>
      <c r="M238" s="1835">
        <f t="shared" si="253"/>
        <v>656.72947199999976</v>
      </c>
      <c r="N238" s="1835">
        <f t="shared" si="253"/>
        <v>750.54796799999997</v>
      </c>
      <c r="O238" s="1835">
        <f t="shared" si="253"/>
        <v>844.36646399999984</v>
      </c>
      <c r="P238" s="1835">
        <f t="shared" si="253"/>
        <v>938.18495999999982</v>
      </c>
      <c r="Q238" s="1835">
        <f t="shared" si="253"/>
        <v>1032.0034559999999</v>
      </c>
      <c r="R238" s="1835">
        <f t="shared" si="253"/>
        <v>1125.8219519999998</v>
      </c>
      <c r="S238" s="1835">
        <f t="shared" si="253"/>
        <v>1219.6404479999999</v>
      </c>
      <c r="T238" s="1835">
        <f t="shared" si="253"/>
        <v>1313.4589439999995</v>
      </c>
      <c r="U238" s="1835">
        <f t="shared" si="253"/>
        <v>1407.2774399999996</v>
      </c>
      <c r="V238" s="1835">
        <f t="shared" si="253"/>
        <v>1501.0959359999999</v>
      </c>
      <c r="W238" s="1835">
        <f t="shared" si="253"/>
        <v>1594.9144319999996</v>
      </c>
      <c r="X238" s="1835">
        <f t="shared" si="253"/>
        <v>1688.7329279999997</v>
      </c>
      <c r="Y238" s="1835">
        <f t="shared" si="253"/>
        <v>1782.5514239999995</v>
      </c>
      <c r="Z238" s="1835">
        <f t="shared" si="253"/>
        <v>1876.3699199999996</v>
      </c>
      <c r="AA238" s="1835">
        <f t="shared" si="253"/>
        <v>1970.1884159999997</v>
      </c>
      <c r="AB238" s="1835">
        <f t="shared" si="253"/>
        <v>2064.0069119999998</v>
      </c>
      <c r="AC238" s="1835">
        <f t="shared" si="253"/>
        <v>2157.8254079999992</v>
      </c>
      <c r="AD238" s="1835">
        <f t="shared" si="253"/>
        <v>2251.6439039999996</v>
      </c>
      <c r="AE238" s="1835">
        <f t="shared" si="253"/>
        <v>2345.4623999999999</v>
      </c>
      <c r="AF238" s="1835">
        <f t="shared" si="253"/>
        <v>2439.2808959999998</v>
      </c>
      <c r="AG238" s="1835">
        <f t="shared" si="253"/>
        <v>2533.0993919999996</v>
      </c>
      <c r="AH238" s="1835">
        <f t="shared" si="253"/>
        <v>2626.917887999999</v>
      </c>
      <c r="AI238" s="1835">
        <f t="shared" si="253"/>
        <v>2720.7363839999994</v>
      </c>
      <c r="AJ238" s="1835">
        <f t="shared" si="253"/>
        <v>2814.5548799999992</v>
      </c>
      <c r="AK238" s="1835">
        <f t="shared" si="253"/>
        <v>2908.3733759999996</v>
      </c>
      <c r="AL238" s="1835">
        <f t="shared" si="253"/>
        <v>3002.1918719999999</v>
      </c>
      <c r="AM238" s="1835">
        <f t="shared" si="253"/>
        <v>3096.0103679999993</v>
      </c>
      <c r="AN238" s="1835">
        <f t="shared" si="253"/>
        <v>3189.8288639999992</v>
      </c>
      <c r="AO238" s="1835">
        <f t="shared" ref="AO238:BT238" si="254">((AO$232-$I$4)/1000)*$N$119*(($C$8/70)^$X$119)*IF($C$13=1,$AF$118,IF($C$13=2,$AG$118,IF($C$13=3,$AH$118,1)))</f>
        <v>3283.647359999999</v>
      </c>
      <c r="AP238" s="1835">
        <f t="shared" si="254"/>
        <v>3377.4658559999993</v>
      </c>
      <c r="AQ238" s="1835">
        <f t="shared" si="254"/>
        <v>3471.2843519999992</v>
      </c>
      <c r="AR238" s="1835">
        <f t="shared" si="254"/>
        <v>3565.1028479999991</v>
      </c>
      <c r="AS238" s="1835">
        <f t="shared" si="254"/>
        <v>3658.9213439999994</v>
      </c>
      <c r="AT238" s="1835">
        <f t="shared" si="254"/>
        <v>3752.7398399999993</v>
      </c>
      <c r="AU238" s="1835">
        <f t="shared" si="254"/>
        <v>3846.5583359999987</v>
      </c>
      <c r="AV238" s="1835">
        <f t="shared" si="254"/>
        <v>3940.3768319999995</v>
      </c>
      <c r="AW238" s="1835">
        <f t="shared" si="254"/>
        <v>4034.1953279999993</v>
      </c>
      <c r="AX238" s="1835">
        <f t="shared" si="254"/>
        <v>4128.0138239999997</v>
      </c>
      <c r="AY238" s="1835">
        <f t="shared" si="254"/>
        <v>4221.8323199999995</v>
      </c>
      <c r="AZ238" s="1835">
        <f t="shared" si="254"/>
        <v>4315.6508159999985</v>
      </c>
      <c r="BA238" s="1835">
        <f t="shared" si="254"/>
        <v>4409.4693119999993</v>
      </c>
      <c r="BB238" s="1835">
        <f t="shared" si="254"/>
        <v>4503.2878079999991</v>
      </c>
      <c r="BC238" s="1835">
        <f t="shared" si="254"/>
        <v>4597.106303999999</v>
      </c>
      <c r="BD238" s="1835">
        <f t="shared" si="254"/>
        <v>4690.9247999999998</v>
      </c>
      <c r="BE238" s="1835">
        <f t="shared" si="254"/>
        <v>4784.7432959999987</v>
      </c>
      <c r="BF238" s="1835">
        <f t="shared" si="254"/>
        <v>4878.5617919999995</v>
      </c>
      <c r="BG238" s="1835">
        <f t="shared" si="254"/>
        <v>4972.3802879999994</v>
      </c>
      <c r="BH238" s="804">
        <f t="shared" si="254"/>
        <v>-656.72947199999976</v>
      </c>
      <c r="BI238" s="804">
        <f t="shared" si="254"/>
        <v>-656.72947199999976</v>
      </c>
      <c r="BJ238" s="804">
        <f t="shared" si="254"/>
        <v>-656.72947199999976</v>
      </c>
      <c r="BK238" s="804">
        <f t="shared" si="254"/>
        <v>-656.72947199999976</v>
      </c>
      <c r="BL238" s="804">
        <f t="shared" si="254"/>
        <v>-656.72947199999976</v>
      </c>
      <c r="BM238" s="804">
        <f t="shared" si="254"/>
        <v>-656.72947199999976</v>
      </c>
      <c r="BN238" s="804">
        <f t="shared" si="254"/>
        <v>-656.72947199999976</v>
      </c>
      <c r="BO238" s="804">
        <f t="shared" si="254"/>
        <v>-656.72947199999976</v>
      </c>
      <c r="BP238" s="804">
        <f t="shared" si="254"/>
        <v>-656.72947199999976</v>
      </c>
      <c r="BQ238" s="804">
        <f t="shared" si="254"/>
        <v>-656.72947199999976</v>
      </c>
      <c r="BR238" s="804">
        <f t="shared" si="254"/>
        <v>-656.72947199999976</v>
      </c>
      <c r="BS238" s="804">
        <f t="shared" si="254"/>
        <v>-656.72947199999976</v>
      </c>
      <c r="BT238" s="804">
        <f t="shared" si="254"/>
        <v>-656.72947199999976</v>
      </c>
      <c r="BU238" s="804">
        <f t="shared" ref="BU238:CZ238" si="255">((BU$232-$I$4)/1000)*$N$119*(($C$8/70)^$X$119)*IF($C$13=1,$AF$118,IF($C$13=2,$AG$118,IF($C$13=3,$AH$118,1)))</f>
        <v>-656.72947199999976</v>
      </c>
      <c r="BV238" s="804">
        <f t="shared" si="255"/>
        <v>-656.72947199999976</v>
      </c>
      <c r="BW238" s="804">
        <f t="shared" si="255"/>
        <v>-656.72947199999976</v>
      </c>
      <c r="BX238" s="804">
        <f t="shared" si="255"/>
        <v>-656.72947199999976</v>
      </c>
      <c r="BY238" s="804">
        <f t="shared" si="255"/>
        <v>-656.72947199999976</v>
      </c>
      <c r="BZ238" s="804">
        <f t="shared" si="255"/>
        <v>-656.72947199999976</v>
      </c>
      <c r="CA238" s="804">
        <f t="shared" si="255"/>
        <v>-656.72947199999976</v>
      </c>
      <c r="CB238" s="804">
        <f t="shared" si="255"/>
        <v>-656.72947199999976</v>
      </c>
      <c r="CC238" s="804">
        <f t="shared" si="255"/>
        <v>-656.72947199999976</v>
      </c>
      <c r="CD238" s="804">
        <f t="shared" si="255"/>
        <v>-656.72947199999976</v>
      </c>
      <c r="CE238" s="804">
        <f t="shared" si="255"/>
        <v>-656.72947199999976</v>
      </c>
      <c r="CF238" s="804">
        <f t="shared" si="255"/>
        <v>-656.72947199999976</v>
      </c>
      <c r="CG238" s="804">
        <f t="shared" si="255"/>
        <v>-656.72947199999976</v>
      </c>
      <c r="CH238" s="804">
        <f t="shared" si="255"/>
        <v>-656.72947199999976</v>
      </c>
      <c r="CI238" s="804">
        <f t="shared" si="255"/>
        <v>-656.72947199999976</v>
      </c>
      <c r="CJ238" s="804">
        <f t="shared" si="255"/>
        <v>-656.72947199999976</v>
      </c>
      <c r="CK238" s="804">
        <f t="shared" si="255"/>
        <v>-656.72947199999976</v>
      </c>
      <c r="CL238" s="804">
        <f t="shared" si="255"/>
        <v>-656.72947199999976</v>
      </c>
      <c r="CM238" s="804">
        <f t="shared" si="255"/>
        <v>-656.72947199999976</v>
      </c>
      <c r="CN238" s="804">
        <f t="shared" si="255"/>
        <v>-656.72947199999976</v>
      </c>
      <c r="CO238" s="804">
        <f t="shared" si="255"/>
        <v>-656.72947199999976</v>
      </c>
      <c r="CP238" s="804">
        <f t="shared" si="255"/>
        <v>-656.72947199999976</v>
      </c>
      <c r="CQ238" s="804">
        <f t="shared" si="255"/>
        <v>-656.72947199999976</v>
      </c>
      <c r="CR238" s="804">
        <f t="shared" si="255"/>
        <v>-656.72947199999976</v>
      </c>
      <c r="CS238" s="804">
        <f t="shared" si="255"/>
        <v>-656.72947199999976</v>
      </c>
      <c r="CT238" s="804">
        <f t="shared" si="255"/>
        <v>-656.72947199999976</v>
      </c>
      <c r="CU238" s="804">
        <f t="shared" si="255"/>
        <v>-656.72947199999976</v>
      </c>
      <c r="CV238" s="804">
        <f t="shared" si="255"/>
        <v>-656.72947199999976</v>
      </c>
      <c r="CW238" s="804">
        <f t="shared" si="255"/>
        <v>-656.72947199999976</v>
      </c>
      <c r="CX238" s="804">
        <f t="shared" si="255"/>
        <v>-656.72947199999976</v>
      </c>
      <c r="CY238" s="804">
        <f t="shared" si="255"/>
        <v>-656.72947199999976</v>
      </c>
      <c r="CZ238" s="804">
        <f t="shared" si="255"/>
        <v>-656.72947199999976</v>
      </c>
      <c r="DA238" s="804">
        <f t="shared" ref="DA238:DG238" si="256">((DA$232-$I$4)/1000)*$N$119*(($C$8/70)^$X$119)*IF($C$13=1,$AF$118,IF($C$13=2,$AG$118,IF($C$13=3,$AH$118,1)))</f>
        <v>-656.72947199999976</v>
      </c>
      <c r="DB238" s="804">
        <f t="shared" si="256"/>
        <v>-656.72947199999976</v>
      </c>
      <c r="DC238" s="804">
        <f t="shared" si="256"/>
        <v>-656.72947199999976</v>
      </c>
      <c r="DD238" s="804">
        <f t="shared" si="256"/>
        <v>-656.72947199999976</v>
      </c>
      <c r="DE238" s="804">
        <f t="shared" si="256"/>
        <v>-656.72947199999976</v>
      </c>
      <c r="DF238" s="804">
        <f t="shared" si="256"/>
        <v>-656.72947199999976</v>
      </c>
      <c r="DG238" s="804">
        <f t="shared" si="256"/>
        <v>-656.72947199999976</v>
      </c>
    </row>
    <row r="239" spans="1:111" hidden="1">
      <c r="B239" s="2722" t="s">
        <v>332</v>
      </c>
      <c r="C239" s="2723"/>
      <c r="D239" s="1856"/>
      <c r="E239" s="1856"/>
      <c r="F239" s="1856"/>
      <c r="G239" s="1856"/>
      <c r="H239" s="1856"/>
      <c r="I239" s="938">
        <f t="shared" ref="I239:AN239" si="257">((I$232-$I$4)/1000)*$O$119*(($C$8/70)^$Y$119)*IF($C$13=1,$AF$118,IF($C$13=2,$AG$118,IF($C$13=3,$AH$118,1)))</f>
        <v>326.73916799999995</v>
      </c>
      <c r="J239" s="938">
        <f t="shared" si="257"/>
        <v>435.65222399999999</v>
      </c>
      <c r="K239" s="938">
        <f t="shared" si="257"/>
        <v>544.56527999999992</v>
      </c>
      <c r="L239" s="938">
        <f t="shared" si="257"/>
        <v>653.4783359999999</v>
      </c>
      <c r="M239" s="938">
        <f t="shared" si="257"/>
        <v>762.39139199999988</v>
      </c>
      <c r="N239" s="938">
        <f t="shared" si="257"/>
        <v>871.30444799999998</v>
      </c>
      <c r="O239" s="938">
        <f t="shared" si="257"/>
        <v>980.21750399999996</v>
      </c>
      <c r="P239" s="938">
        <f t="shared" si="257"/>
        <v>1089.1305599999998</v>
      </c>
      <c r="Q239" s="938">
        <f t="shared" si="257"/>
        <v>1198.0436159999999</v>
      </c>
      <c r="R239" s="938">
        <f t="shared" si="257"/>
        <v>1306.9566719999998</v>
      </c>
      <c r="S239" s="938">
        <f t="shared" si="257"/>
        <v>1415.8697279999999</v>
      </c>
      <c r="T239" s="938">
        <f t="shared" si="257"/>
        <v>1524.7827839999998</v>
      </c>
      <c r="U239" s="938">
        <f t="shared" si="257"/>
        <v>1633.6958399999996</v>
      </c>
      <c r="V239" s="938">
        <f t="shared" si="257"/>
        <v>1742.608896</v>
      </c>
      <c r="W239" s="938">
        <f t="shared" si="257"/>
        <v>1851.5219519999998</v>
      </c>
      <c r="X239" s="938">
        <f t="shared" si="257"/>
        <v>1960.4350079999999</v>
      </c>
      <c r="Y239" s="938">
        <f t="shared" si="257"/>
        <v>2069.3480639999998</v>
      </c>
      <c r="Z239" s="938">
        <f t="shared" si="257"/>
        <v>2178.2611199999997</v>
      </c>
      <c r="AA239" s="938">
        <f t="shared" si="257"/>
        <v>2287.174176</v>
      </c>
      <c r="AB239" s="938">
        <f t="shared" si="257"/>
        <v>2396.0872319999999</v>
      </c>
      <c r="AC239" s="938">
        <f t="shared" si="257"/>
        <v>2505.0002879999997</v>
      </c>
      <c r="AD239" s="938">
        <f t="shared" si="257"/>
        <v>2613.9133439999996</v>
      </c>
      <c r="AE239" s="938">
        <f t="shared" si="257"/>
        <v>2722.8263999999999</v>
      </c>
      <c r="AF239" s="938">
        <f t="shared" si="257"/>
        <v>2831.7394559999998</v>
      </c>
      <c r="AG239" s="938">
        <f t="shared" si="257"/>
        <v>2940.6525119999997</v>
      </c>
      <c r="AH239" s="938">
        <f t="shared" si="257"/>
        <v>3049.5655679999995</v>
      </c>
      <c r="AI239" s="938">
        <f t="shared" si="257"/>
        <v>3158.4786239999994</v>
      </c>
      <c r="AJ239" s="938">
        <f t="shared" si="257"/>
        <v>3267.3916799999993</v>
      </c>
      <c r="AK239" s="938">
        <f t="shared" si="257"/>
        <v>3376.304736</v>
      </c>
      <c r="AL239" s="938">
        <f t="shared" si="257"/>
        <v>3485.2177919999999</v>
      </c>
      <c r="AM239" s="938">
        <f t="shared" si="257"/>
        <v>3594.1308479999998</v>
      </c>
      <c r="AN239" s="938">
        <f t="shared" si="257"/>
        <v>3703.0439039999997</v>
      </c>
      <c r="AO239" s="938">
        <f t="shared" ref="AO239:BT239" si="258">((AO$232-$I$4)/1000)*$O$119*(($C$8/70)^$Y$119)*IF($C$13=1,$AF$118,IF($C$13=2,$AG$118,IF($C$13=3,$AH$118,1)))</f>
        <v>3811.9569599999995</v>
      </c>
      <c r="AP239" s="938">
        <f t="shared" si="258"/>
        <v>3920.8700159999999</v>
      </c>
      <c r="AQ239" s="938">
        <f t="shared" si="258"/>
        <v>4029.7830719999997</v>
      </c>
      <c r="AR239" s="938">
        <f t="shared" si="258"/>
        <v>4138.6961279999996</v>
      </c>
      <c r="AS239" s="938">
        <f t="shared" si="258"/>
        <v>4247.6091839999999</v>
      </c>
      <c r="AT239" s="938">
        <f t="shared" si="258"/>
        <v>4356.5222399999993</v>
      </c>
      <c r="AU239" s="938">
        <f t="shared" si="258"/>
        <v>4465.4352959999987</v>
      </c>
      <c r="AV239" s="938">
        <f t="shared" si="258"/>
        <v>4574.348352</v>
      </c>
      <c r="AW239" s="938">
        <f t="shared" si="258"/>
        <v>4683.2614079999994</v>
      </c>
      <c r="AX239" s="938">
        <f t="shared" si="258"/>
        <v>4792.1744639999997</v>
      </c>
      <c r="AY239" s="938">
        <f t="shared" si="258"/>
        <v>4901.08752</v>
      </c>
      <c r="AZ239" s="938">
        <f t="shared" si="258"/>
        <v>5010.0005759999995</v>
      </c>
      <c r="BA239" s="938">
        <f t="shared" si="258"/>
        <v>5118.9136319999998</v>
      </c>
      <c r="BB239" s="938">
        <f t="shared" si="258"/>
        <v>5227.8266879999992</v>
      </c>
      <c r="BC239" s="938">
        <f t="shared" si="258"/>
        <v>5336.7397440000004</v>
      </c>
      <c r="BD239" s="938">
        <f t="shared" si="258"/>
        <v>5445.6527999999998</v>
      </c>
      <c r="BE239" s="938">
        <f t="shared" si="258"/>
        <v>5554.5658559999993</v>
      </c>
      <c r="BF239" s="938">
        <f t="shared" si="258"/>
        <v>5663.4789119999996</v>
      </c>
      <c r="BG239" s="938">
        <f t="shared" si="258"/>
        <v>5772.391967999999</v>
      </c>
      <c r="BH239" s="804">
        <f t="shared" si="258"/>
        <v>-762.39139199999988</v>
      </c>
      <c r="BI239" s="804">
        <f t="shared" si="258"/>
        <v>-762.39139199999988</v>
      </c>
      <c r="BJ239" s="804">
        <f t="shared" si="258"/>
        <v>-762.39139199999988</v>
      </c>
      <c r="BK239" s="804">
        <f t="shared" si="258"/>
        <v>-762.39139199999988</v>
      </c>
      <c r="BL239" s="804">
        <f t="shared" si="258"/>
        <v>-762.39139199999988</v>
      </c>
      <c r="BM239" s="804">
        <f t="shared" si="258"/>
        <v>-762.39139199999988</v>
      </c>
      <c r="BN239" s="804">
        <f t="shared" si="258"/>
        <v>-762.39139199999988</v>
      </c>
      <c r="BO239" s="804">
        <f t="shared" si="258"/>
        <v>-762.39139199999988</v>
      </c>
      <c r="BP239" s="804">
        <f t="shared" si="258"/>
        <v>-762.39139199999988</v>
      </c>
      <c r="BQ239" s="804">
        <f t="shared" si="258"/>
        <v>-762.39139199999988</v>
      </c>
      <c r="BR239" s="804">
        <f t="shared" si="258"/>
        <v>-762.39139199999988</v>
      </c>
      <c r="BS239" s="804">
        <f t="shared" si="258"/>
        <v>-762.39139199999988</v>
      </c>
      <c r="BT239" s="804">
        <f t="shared" si="258"/>
        <v>-762.39139199999988</v>
      </c>
      <c r="BU239" s="804">
        <f t="shared" ref="BU239:CZ239" si="259">((BU$232-$I$4)/1000)*$O$119*(($C$8/70)^$Y$119)*IF($C$13=1,$AF$118,IF($C$13=2,$AG$118,IF($C$13=3,$AH$118,1)))</f>
        <v>-762.39139199999988</v>
      </c>
      <c r="BV239" s="804">
        <f t="shared" si="259"/>
        <v>-762.39139199999988</v>
      </c>
      <c r="BW239" s="804">
        <f t="shared" si="259"/>
        <v>-762.39139199999988</v>
      </c>
      <c r="BX239" s="804">
        <f t="shared" si="259"/>
        <v>-762.39139199999988</v>
      </c>
      <c r="BY239" s="804">
        <f t="shared" si="259"/>
        <v>-762.39139199999988</v>
      </c>
      <c r="BZ239" s="804">
        <f t="shared" si="259"/>
        <v>-762.39139199999988</v>
      </c>
      <c r="CA239" s="804">
        <f t="shared" si="259"/>
        <v>-762.39139199999988</v>
      </c>
      <c r="CB239" s="804">
        <f t="shared" si="259"/>
        <v>-762.39139199999988</v>
      </c>
      <c r="CC239" s="804">
        <f t="shared" si="259"/>
        <v>-762.39139199999988</v>
      </c>
      <c r="CD239" s="804">
        <f t="shared" si="259"/>
        <v>-762.39139199999988</v>
      </c>
      <c r="CE239" s="804">
        <f t="shared" si="259"/>
        <v>-762.39139199999988</v>
      </c>
      <c r="CF239" s="804">
        <f t="shared" si="259"/>
        <v>-762.39139199999988</v>
      </c>
      <c r="CG239" s="804">
        <f t="shared" si="259"/>
        <v>-762.39139199999988</v>
      </c>
      <c r="CH239" s="804">
        <f t="shared" si="259"/>
        <v>-762.39139199999988</v>
      </c>
      <c r="CI239" s="804">
        <f t="shared" si="259"/>
        <v>-762.39139199999988</v>
      </c>
      <c r="CJ239" s="804">
        <f t="shared" si="259"/>
        <v>-762.39139199999988</v>
      </c>
      <c r="CK239" s="804">
        <f t="shared" si="259"/>
        <v>-762.39139199999988</v>
      </c>
      <c r="CL239" s="804">
        <f t="shared" si="259"/>
        <v>-762.39139199999988</v>
      </c>
      <c r="CM239" s="804">
        <f t="shared" si="259"/>
        <v>-762.39139199999988</v>
      </c>
      <c r="CN239" s="804">
        <f t="shared" si="259"/>
        <v>-762.39139199999988</v>
      </c>
      <c r="CO239" s="804">
        <f t="shared" si="259"/>
        <v>-762.39139199999988</v>
      </c>
      <c r="CP239" s="804">
        <f t="shared" si="259"/>
        <v>-762.39139199999988</v>
      </c>
      <c r="CQ239" s="804">
        <f t="shared" si="259"/>
        <v>-762.39139199999988</v>
      </c>
      <c r="CR239" s="804">
        <f t="shared" si="259"/>
        <v>-762.39139199999988</v>
      </c>
      <c r="CS239" s="804">
        <f t="shared" si="259"/>
        <v>-762.39139199999988</v>
      </c>
      <c r="CT239" s="804">
        <f t="shared" si="259"/>
        <v>-762.39139199999988</v>
      </c>
      <c r="CU239" s="804">
        <f t="shared" si="259"/>
        <v>-762.39139199999988</v>
      </c>
      <c r="CV239" s="804">
        <f t="shared" si="259"/>
        <v>-762.39139199999988</v>
      </c>
      <c r="CW239" s="804">
        <f t="shared" si="259"/>
        <v>-762.39139199999988</v>
      </c>
      <c r="CX239" s="804">
        <f t="shared" si="259"/>
        <v>-762.39139199999988</v>
      </c>
      <c r="CY239" s="804">
        <f t="shared" si="259"/>
        <v>-762.39139199999988</v>
      </c>
      <c r="CZ239" s="804">
        <f t="shared" si="259"/>
        <v>-762.39139199999988</v>
      </c>
      <c r="DA239" s="804">
        <f t="shared" ref="DA239:DG239" si="260">((DA$232-$I$4)/1000)*$O$119*(($C$8/70)^$Y$119)*IF($C$13=1,$AF$118,IF($C$13=2,$AG$118,IF($C$13=3,$AH$118,1)))</f>
        <v>-762.39139199999988</v>
      </c>
      <c r="DB239" s="804">
        <f t="shared" si="260"/>
        <v>-762.39139199999988</v>
      </c>
      <c r="DC239" s="804">
        <f t="shared" si="260"/>
        <v>-762.39139199999988</v>
      </c>
      <c r="DD239" s="804">
        <f t="shared" si="260"/>
        <v>-762.39139199999988</v>
      </c>
      <c r="DE239" s="804">
        <f t="shared" si="260"/>
        <v>-762.39139199999988</v>
      </c>
      <c r="DF239" s="804">
        <f t="shared" si="260"/>
        <v>-762.39139199999988</v>
      </c>
      <c r="DG239" s="804">
        <f t="shared" si="260"/>
        <v>-762.39139199999988</v>
      </c>
    </row>
    <row r="240" spans="1:111" ht="15.75" hidden="1" thickBot="1">
      <c r="B240" s="2712" t="s">
        <v>333</v>
      </c>
      <c r="C240" s="2713"/>
      <c r="D240" s="1854"/>
      <c r="E240" s="1854"/>
      <c r="F240" s="1854"/>
      <c r="G240" s="1854"/>
      <c r="H240" s="1854"/>
      <c r="I240" s="618">
        <f t="shared" ref="I240:AN240" si="261">((I$232-$I$4)/1000)*$Q$119*(($C$8/70)^$AA$119)*IF($C$13=1,$AF$118,IF($C$13=2,$AG$118,IF($C$13=3,$AH$118,1)))</f>
        <v>405.46310399999993</v>
      </c>
      <c r="J240" s="618">
        <f t="shared" si="261"/>
        <v>540.61747199999991</v>
      </c>
      <c r="K240" s="618">
        <f t="shared" si="261"/>
        <v>675.77183999999977</v>
      </c>
      <c r="L240" s="618">
        <f t="shared" si="261"/>
        <v>810.92620799999986</v>
      </c>
      <c r="M240" s="618">
        <f t="shared" si="261"/>
        <v>946.08057599999961</v>
      </c>
      <c r="N240" s="618">
        <f t="shared" si="261"/>
        <v>1081.2349439999998</v>
      </c>
      <c r="O240" s="618">
        <f t="shared" si="261"/>
        <v>1216.3893119999998</v>
      </c>
      <c r="P240" s="618">
        <f t="shared" si="261"/>
        <v>1351.5436799999995</v>
      </c>
      <c r="Q240" s="618">
        <f t="shared" si="261"/>
        <v>1486.6980479999997</v>
      </c>
      <c r="R240" s="618">
        <f t="shared" si="261"/>
        <v>1621.8524159999997</v>
      </c>
      <c r="S240" s="618">
        <f t="shared" si="261"/>
        <v>1757.0067839999995</v>
      </c>
      <c r="T240" s="618">
        <f t="shared" si="261"/>
        <v>1892.1611519999992</v>
      </c>
      <c r="U240" s="618">
        <f t="shared" si="261"/>
        <v>2027.3155199999994</v>
      </c>
      <c r="V240" s="618">
        <f t="shared" si="261"/>
        <v>2162.4698879999996</v>
      </c>
      <c r="W240" s="618">
        <f t="shared" si="261"/>
        <v>2297.6242559999996</v>
      </c>
      <c r="X240" s="618">
        <f t="shared" si="261"/>
        <v>2432.7786239999996</v>
      </c>
      <c r="Y240" s="618">
        <f t="shared" si="261"/>
        <v>2567.9329919999991</v>
      </c>
      <c r="Z240" s="618">
        <f t="shared" si="261"/>
        <v>2703.0873599999991</v>
      </c>
      <c r="AA240" s="618">
        <f t="shared" si="261"/>
        <v>2838.2417279999995</v>
      </c>
      <c r="AB240" s="618">
        <f t="shared" si="261"/>
        <v>2973.3960959999995</v>
      </c>
      <c r="AC240" s="618">
        <f t="shared" si="261"/>
        <v>3108.550463999999</v>
      </c>
      <c r="AD240" s="618">
        <f t="shared" si="261"/>
        <v>3243.7048319999994</v>
      </c>
      <c r="AE240" s="618">
        <f t="shared" si="261"/>
        <v>3378.8591999999994</v>
      </c>
      <c r="AF240" s="618">
        <f t="shared" si="261"/>
        <v>3514.0135679999989</v>
      </c>
      <c r="AG240" s="618">
        <f t="shared" si="261"/>
        <v>3649.1679359999989</v>
      </c>
      <c r="AH240" s="618">
        <f t="shared" si="261"/>
        <v>3784.3223039999984</v>
      </c>
      <c r="AI240" s="618">
        <f t="shared" si="261"/>
        <v>3919.4766719999989</v>
      </c>
      <c r="AJ240" s="618">
        <f t="shared" si="261"/>
        <v>4054.6310399999988</v>
      </c>
      <c r="AK240" s="618">
        <f t="shared" si="261"/>
        <v>4189.7854079999988</v>
      </c>
      <c r="AL240" s="618">
        <f t="shared" si="261"/>
        <v>4324.9397759999993</v>
      </c>
      <c r="AM240" s="618">
        <f t="shared" si="261"/>
        <v>4460.0941439999988</v>
      </c>
      <c r="AN240" s="618">
        <f t="shared" si="261"/>
        <v>4595.2485119999992</v>
      </c>
      <c r="AO240" s="618">
        <f t="shared" ref="AO240:BT240" si="262">((AO$232-$I$4)/1000)*$Q$119*(($C$8/70)^$AA$119)*IF($C$13=1,$AF$118,IF($C$13=2,$AG$118,IF($C$13=3,$AH$118,1)))</f>
        <v>4730.4028799999987</v>
      </c>
      <c r="AP240" s="618">
        <f t="shared" si="262"/>
        <v>4865.5572479999992</v>
      </c>
      <c r="AQ240" s="618">
        <f t="shared" si="262"/>
        <v>5000.7116159999987</v>
      </c>
      <c r="AR240" s="618">
        <f t="shared" si="262"/>
        <v>5135.8659839999982</v>
      </c>
      <c r="AS240" s="618">
        <f t="shared" si="262"/>
        <v>5271.0203519999986</v>
      </c>
      <c r="AT240" s="618">
        <f t="shared" si="262"/>
        <v>5406.1747199999982</v>
      </c>
      <c r="AU240" s="618">
        <f t="shared" si="262"/>
        <v>5541.3290879999977</v>
      </c>
      <c r="AV240" s="618">
        <f t="shared" si="262"/>
        <v>5676.483455999999</v>
      </c>
      <c r="AW240" s="618">
        <f t="shared" si="262"/>
        <v>5811.6378239999985</v>
      </c>
      <c r="AX240" s="618">
        <f t="shared" si="262"/>
        <v>5946.792191999999</v>
      </c>
      <c r="AY240" s="618">
        <f t="shared" si="262"/>
        <v>6081.9465599999985</v>
      </c>
      <c r="AZ240" s="618">
        <f t="shared" si="262"/>
        <v>6217.100927999998</v>
      </c>
      <c r="BA240" s="618">
        <f t="shared" si="262"/>
        <v>6352.2552959999985</v>
      </c>
      <c r="BB240" s="618">
        <f t="shared" si="262"/>
        <v>6487.4096639999989</v>
      </c>
      <c r="BC240" s="618">
        <f t="shared" si="262"/>
        <v>6622.5640319999993</v>
      </c>
      <c r="BD240" s="618">
        <f t="shared" si="262"/>
        <v>6757.7183999999988</v>
      </c>
      <c r="BE240" s="618">
        <f t="shared" si="262"/>
        <v>6892.8727679999974</v>
      </c>
      <c r="BF240" s="618">
        <f t="shared" si="262"/>
        <v>7028.0271359999979</v>
      </c>
      <c r="BG240" s="618">
        <f t="shared" si="262"/>
        <v>7163.1815039999974</v>
      </c>
      <c r="BH240" s="804">
        <f t="shared" si="262"/>
        <v>-946.08057599999961</v>
      </c>
      <c r="BI240" s="804">
        <f t="shared" si="262"/>
        <v>-946.08057599999961</v>
      </c>
      <c r="BJ240" s="804">
        <f t="shared" si="262"/>
        <v>-946.08057599999961</v>
      </c>
      <c r="BK240" s="804">
        <f t="shared" si="262"/>
        <v>-946.08057599999961</v>
      </c>
      <c r="BL240" s="804">
        <f t="shared" si="262"/>
        <v>-946.08057599999961</v>
      </c>
      <c r="BM240" s="804">
        <f t="shared" si="262"/>
        <v>-946.08057599999961</v>
      </c>
      <c r="BN240" s="804">
        <f t="shared" si="262"/>
        <v>-946.08057599999961</v>
      </c>
      <c r="BO240" s="804">
        <f t="shared" si="262"/>
        <v>-946.08057599999961</v>
      </c>
      <c r="BP240" s="804">
        <f t="shared" si="262"/>
        <v>-946.08057599999961</v>
      </c>
      <c r="BQ240" s="804">
        <f t="shared" si="262"/>
        <v>-946.08057599999961</v>
      </c>
      <c r="BR240" s="804">
        <f t="shared" si="262"/>
        <v>-946.08057599999961</v>
      </c>
      <c r="BS240" s="804">
        <f t="shared" si="262"/>
        <v>-946.08057599999961</v>
      </c>
      <c r="BT240" s="804">
        <f t="shared" si="262"/>
        <v>-946.08057599999961</v>
      </c>
      <c r="BU240" s="804">
        <f t="shared" ref="BU240:CZ240" si="263">((BU$232-$I$4)/1000)*$Q$119*(($C$8/70)^$AA$119)*IF($C$13=1,$AF$118,IF($C$13=2,$AG$118,IF($C$13=3,$AH$118,1)))</f>
        <v>-946.08057599999961</v>
      </c>
      <c r="BV240" s="804">
        <f t="shared" si="263"/>
        <v>-946.08057599999961</v>
      </c>
      <c r="BW240" s="804">
        <f t="shared" si="263"/>
        <v>-946.08057599999961</v>
      </c>
      <c r="BX240" s="804">
        <f t="shared" si="263"/>
        <v>-946.08057599999961</v>
      </c>
      <c r="BY240" s="804">
        <f t="shared" si="263"/>
        <v>-946.08057599999961</v>
      </c>
      <c r="BZ240" s="804">
        <f t="shared" si="263"/>
        <v>-946.08057599999961</v>
      </c>
      <c r="CA240" s="804">
        <f t="shared" si="263"/>
        <v>-946.08057599999961</v>
      </c>
      <c r="CB240" s="804">
        <f t="shared" si="263"/>
        <v>-946.08057599999961</v>
      </c>
      <c r="CC240" s="804">
        <f t="shared" si="263"/>
        <v>-946.08057599999961</v>
      </c>
      <c r="CD240" s="804">
        <f t="shared" si="263"/>
        <v>-946.08057599999961</v>
      </c>
      <c r="CE240" s="804">
        <f t="shared" si="263"/>
        <v>-946.08057599999961</v>
      </c>
      <c r="CF240" s="804">
        <f t="shared" si="263"/>
        <v>-946.08057599999961</v>
      </c>
      <c r="CG240" s="804">
        <f t="shared" si="263"/>
        <v>-946.08057599999961</v>
      </c>
      <c r="CH240" s="804">
        <f t="shared" si="263"/>
        <v>-946.08057599999961</v>
      </c>
      <c r="CI240" s="804">
        <f t="shared" si="263"/>
        <v>-946.08057599999961</v>
      </c>
      <c r="CJ240" s="804">
        <f t="shared" si="263"/>
        <v>-946.08057599999961</v>
      </c>
      <c r="CK240" s="804">
        <f t="shared" si="263"/>
        <v>-946.08057599999961</v>
      </c>
      <c r="CL240" s="804">
        <f t="shared" si="263"/>
        <v>-946.08057599999961</v>
      </c>
      <c r="CM240" s="804">
        <f t="shared" si="263"/>
        <v>-946.08057599999961</v>
      </c>
      <c r="CN240" s="804">
        <f t="shared" si="263"/>
        <v>-946.08057599999961</v>
      </c>
      <c r="CO240" s="804">
        <f t="shared" si="263"/>
        <v>-946.08057599999961</v>
      </c>
      <c r="CP240" s="804">
        <f t="shared" si="263"/>
        <v>-946.08057599999961</v>
      </c>
      <c r="CQ240" s="804">
        <f t="shared" si="263"/>
        <v>-946.08057599999961</v>
      </c>
      <c r="CR240" s="804">
        <f t="shared" si="263"/>
        <v>-946.08057599999961</v>
      </c>
      <c r="CS240" s="804">
        <f t="shared" si="263"/>
        <v>-946.08057599999961</v>
      </c>
      <c r="CT240" s="804">
        <f t="shared" si="263"/>
        <v>-946.08057599999961</v>
      </c>
      <c r="CU240" s="804">
        <f t="shared" si="263"/>
        <v>-946.08057599999961</v>
      </c>
      <c r="CV240" s="804">
        <f t="shared" si="263"/>
        <v>-946.08057599999961</v>
      </c>
      <c r="CW240" s="804">
        <f t="shared" si="263"/>
        <v>-946.08057599999961</v>
      </c>
      <c r="CX240" s="804">
        <f t="shared" si="263"/>
        <v>-946.08057599999961</v>
      </c>
      <c r="CY240" s="804">
        <f t="shared" si="263"/>
        <v>-946.08057599999961</v>
      </c>
      <c r="CZ240" s="804">
        <f t="shared" si="263"/>
        <v>-946.08057599999961</v>
      </c>
      <c r="DA240" s="804">
        <f t="shared" ref="DA240:DG240" si="264">((DA$232-$I$4)/1000)*$Q$119*(($C$8/70)^$AA$119)*IF($C$13=1,$AF$118,IF($C$13=2,$AG$118,IF($C$13=3,$AH$118,1)))</f>
        <v>-946.08057599999961</v>
      </c>
      <c r="DB240" s="804">
        <f t="shared" si="264"/>
        <v>-946.08057599999961</v>
      </c>
      <c r="DC240" s="804">
        <f t="shared" si="264"/>
        <v>-946.08057599999961</v>
      </c>
      <c r="DD240" s="804">
        <f t="shared" si="264"/>
        <v>-946.08057599999961</v>
      </c>
      <c r="DE240" s="804">
        <f t="shared" si="264"/>
        <v>-946.08057599999961</v>
      </c>
      <c r="DF240" s="804">
        <f t="shared" si="264"/>
        <v>-946.08057599999961</v>
      </c>
      <c r="DG240" s="804">
        <f t="shared" si="264"/>
        <v>-946.08057599999961</v>
      </c>
    </row>
    <row r="241" spans="2:111" hidden="1">
      <c r="B241" s="2724" t="s">
        <v>334</v>
      </c>
      <c r="C241" s="2725"/>
      <c r="D241" s="1857"/>
      <c r="E241" s="1857"/>
      <c r="F241" s="1857"/>
      <c r="G241" s="1857"/>
      <c r="H241" s="1857"/>
      <c r="I241" s="804">
        <f t="shared" ref="I241:AN241" si="265">((I$232-$I$4)/1000)*$M$120*(($C$8/70)^$W$120)*IF($C$13=1,$AF$119,IF($C$13=2,$AG$119,IF($C$13=3,$AH$119,1)))</f>
        <v>278.33070169157037</v>
      </c>
      <c r="J241" s="804">
        <f t="shared" si="265"/>
        <v>371.1076022554272</v>
      </c>
      <c r="K241" s="804">
        <f t="shared" si="265"/>
        <v>463.88450281928397</v>
      </c>
      <c r="L241" s="804">
        <f t="shared" si="265"/>
        <v>556.66140338314074</v>
      </c>
      <c r="M241" s="804">
        <f t="shared" si="265"/>
        <v>649.43830394699751</v>
      </c>
      <c r="N241" s="804">
        <f t="shared" si="265"/>
        <v>742.21520451085439</v>
      </c>
      <c r="O241" s="804">
        <f t="shared" si="265"/>
        <v>834.99210507471116</v>
      </c>
      <c r="P241" s="804">
        <f t="shared" si="265"/>
        <v>927.76900563856793</v>
      </c>
      <c r="Q241" s="804">
        <f t="shared" si="265"/>
        <v>1020.5459062024248</v>
      </c>
      <c r="R241" s="804">
        <f t="shared" si="265"/>
        <v>1113.3228067662815</v>
      </c>
      <c r="S241" s="804">
        <f t="shared" si="265"/>
        <v>1206.0997073301385</v>
      </c>
      <c r="T241" s="804">
        <f t="shared" si="265"/>
        <v>1298.876607893995</v>
      </c>
      <c r="U241" s="804">
        <f t="shared" si="265"/>
        <v>1391.653508457852</v>
      </c>
      <c r="V241" s="804">
        <f t="shared" si="265"/>
        <v>1484.4304090217088</v>
      </c>
      <c r="W241" s="804">
        <f t="shared" si="265"/>
        <v>1577.2073095855653</v>
      </c>
      <c r="X241" s="804">
        <f t="shared" si="265"/>
        <v>1669.9842101494223</v>
      </c>
      <c r="Y241" s="804">
        <f t="shared" si="265"/>
        <v>1762.7611107132789</v>
      </c>
      <c r="Z241" s="804">
        <f t="shared" si="265"/>
        <v>1855.5380112771359</v>
      </c>
      <c r="AA241" s="804">
        <f t="shared" si="265"/>
        <v>1948.3149118409929</v>
      </c>
      <c r="AB241" s="804">
        <f t="shared" si="265"/>
        <v>2041.0918124048496</v>
      </c>
      <c r="AC241" s="804">
        <f t="shared" si="265"/>
        <v>2133.8687129687059</v>
      </c>
      <c r="AD241" s="804">
        <f t="shared" si="265"/>
        <v>2226.6456135325629</v>
      </c>
      <c r="AE241" s="804">
        <f t="shared" si="265"/>
        <v>2319.4225140964199</v>
      </c>
      <c r="AF241" s="804">
        <f t="shared" si="265"/>
        <v>2412.1994146602769</v>
      </c>
      <c r="AG241" s="804">
        <f t="shared" si="265"/>
        <v>2504.9763152241335</v>
      </c>
      <c r="AH241" s="804">
        <f t="shared" si="265"/>
        <v>2597.75321578799</v>
      </c>
      <c r="AI241" s="804">
        <f t="shared" si="265"/>
        <v>2690.5301163518466</v>
      </c>
      <c r="AJ241" s="804">
        <f t="shared" si="265"/>
        <v>2783.307016915704</v>
      </c>
      <c r="AK241" s="804">
        <f t="shared" si="265"/>
        <v>2876.0839174795606</v>
      </c>
      <c r="AL241" s="804">
        <f t="shared" si="265"/>
        <v>2968.8608180434176</v>
      </c>
      <c r="AM241" s="804">
        <f t="shared" si="265"/>
        <v>3061.6377186072741</v>
      </c>
      <c r="AN241" s="804">
        <f t="shared" si="265"/>
        <v>3154.4146191711307</v>
      </c>
      <c r="AO241" s="804">
        <f t="shared" ref="AO241:BT241" si="266">((AO$232-$I$4)/1000)*$M$120*(($C$8/70)^$W$120)*IF($C$13=1,$AF$119,IF($C$13=2,$AG$119,IF($C$13=3,$AH$119,1)))</f>
        <v>3247.1915197349877</v>
      </c>
      <c r="AP241" s="804">
        <f t="shared" si="266"/>
        <v>3339.9684202988446</v>
      </c>
      <c r="AQ241" s="804">
        <f t="shared" si="266"/>
        <v>3432.7453208627016</v>
      </c>
      <c r="AR241" s="804">
        <f t="shared" si="266"/>
        <v>3525.5222214265577</v>
      </c>
      <c r="AS241" s="804">
        <f t="shared" si="266"/>
        <v>3618.2991219904152</v>
      </c>
      <c r="AT241" s="804">
        <f t="shared" si="266"/>
        <v>3711.0760225542717</v>
      </c>
      <c r="AU241" s="804">
        <f t="shared" si="266"/>
        <v>3803.8529231181283</v>
      </c>
      <c r="AV241" s="804">
        <f t="shared" si="266"/>
        <v>3896.6298236819857</v>
      </c>
      <c r="AW241" s="804">
        <f t="shared" si="266"/>
        <v>3989.4067242458418</v>
      </c>
      <c r="AX241" s="804">
        <f t="shared" si="266"/>
        <v>4082.1836248096993</v>
      </c>
      <c r="AY241" s="804">
        <f t="shared" si="266"/>
        <v>4174.9605253735563</v>
      </c>
      <c r="AZ241" s="804">
        <f t="shared" si="266"/>
        <v>4267.7374259374119</v>
      </c>
      <c r="BA241" s="804">
        <f t="shared" si="266"/>
        <v>4360.5143265012694</v>
      </c>
      <c r="BB241" s="804">
        <f t="shared" si="266"/>
        <v>4453.2912270651259</v>
      </c>
      <c r="BC241" s="804">
        <f t="shared" si="266"/>
        <v>4546.0681276289833</v>
      </c>
      <c r="BD241" s="804">
        <f t="shared" si="266"/>
        <v>4638.8450281928399</v>
      </c>
      <c r="BE241" s="804">
        <f t="shared" si="266"/>
        <v>4731.6219287566964</v>
      </c>
      <c r="BF241" s="804">
        <f t="shared" si="266"/>
        <v>4824.3988293205539</v>
      </c>
      <c r="BG241" s="804">
        <f t="shared" si="266"/>
        <v>4917.1757298844095</v>
      </c>
      <c r="BH241" s="804">
        <f t="shared" si="266"/>
        <v>-649.43830394699751</v>
      </c>
      <c r="BI241" s="804">
        <f t="shared" si="266"/>
        <v>-649.43830394699751</v>
      </c>
      <c r="BJ241" s="804">
        <f t="shared" si="266"/>
        <v>-649.43830394699751</v>
      </c>
      <c r="BK241" s="804">
        <f t="shared" si="266"/>
        <v>-649.43830394699751</v>
      </c>
      <c r="BL241" s="804">
        <f t="shared" si="266"/>
        <v>-649.43830394699751</v>
      </c>
      <c r="BM241" s="804">
        <f t="shared" si="266"/>
        <v>-649.43830394699751</v>
      </c>
      <c r="BN241" s="804">
        <f t="shared" si="266"/>
        <v>-649.43830394699751</v>
      </c>
      <c r="BO241" s="804">
        <f t="shared" si="266"/>
        <v>-649.43830394699751</v>
      </c>
      <c r="BP241" s="804">
        <f t="shared" si="266"/>
        <v>-649.43830394699751</v>
      </c>
      <c r="BQ241" s="804">
        <f t="shared" si="266"/>
        <v>-649.43830394699751</v>
      </c>
      <c r="BR241" s="804">
        <f t="shared" si="266"/>
        <v>-649.43830394699751</v>
      </c>
      <c r="BS241" s="804">
        <f t="shared" si="266"/>
        <v>-649.43830394699751</v>
      </c>
      <c r="BT241" s="804">
        <f t="shared" si="266"/>
        <v>-649.43830394699751</v>
      </c>
      <c r="BU241" s="804">
        <f t="shared" ref="BU241:CZ241" si="267">((BU$232-$I$4)/1000)*$M$120*(($C$8/70)^$W$120)*IF($C$13=1,$AF$119,IF($C$13=2,$AG$119,IF($C$13=3,$AH$119,1)))</f>
        <v>-649.43830394699751</v>
      </c>
      <c r="BV241" s="804">
        <f t="shared" si="267"/>
        <v>-649.43830394699751</v>
      </c>
      <c r="BW241" s="804">
        <f t="shared" si="267"/>
        <v>-649.43830394699751</v>
      </c>
      <c r="BX241" s="804">
        <f t="shared" si="267"/>
        <v>-649.43830394699751</v>
      </c>
      <c r="BY241" s="804">
        <f t="shared" si="267"/>
        <v>-649.43830394699751</v>
      </c>
      <c r="BZ241" s="804">
        <f t="shared" si="267"/>
        <v>-649.43830394699751</v>
      </c>
      <c r="CA241" s="804">
        <f t="shared" si="267"/>
        <v>-649.43830394699751</v>
      </c>
      <c r="CB241" s="804">
        <f t="shared" si="267"/>
        <v>-649.43830394699751</v>
      </c>
      <c r="CC241" s="804">
        <f t="shared" si="267"/>
        <v>-649.43830394699751</v>
      </c>
      <c r="CD241" s="804">
        <f t="shared" si="267"/>
        <v>-649.43830394699751</v>
      </c>
      <c r="CE241" s="804">
        <f t="shared" si="267"/>
        <v>-649.43830394699751</v>
      </c>
      <c r="CF241" s="804">
        <f t="shared" si="267"/>
        <v>-649.43830394699751</v>
      </c>
      <c r="CG241" s="804">
        <f t="shared" si="267"/>
        <v>-649.43830394699751</v>
      </c>
      <c r="CH241" s="804">
        <f t="shared" si="267"/>
        <v>-649.43830394699751</v>
      </c>
      <c r="CI241" s="804">
        <f t="shared" si="267"/>
        <v>-649.43830394699751</v>
      </c>
      <c r="CJ241" s="804">
        <f t="shared" si="267"/>
        <v>-649.43830394699751</v>
      </c>
      <c r="CK241" s="804">
        <f t="shared" si="267"/>
        <v>-649.43830394699751</v>
      </c>
      <c r="CL241" s="804">
        <f t="shared" si="267"/>
        <v>-649.43830394699751</v>
      </c>
      <c r="CM241" s="804">
        <f t="shared" si="267"/>
        <v>-649.43830394699751</v>
      </c>
      <c r="CN241" s="804">
        <f t="shared" si="267"/>
        <v>-649.43830394699751</v>
      </c>
      <c r="CO241" s="804">
        <f t="shared" si="267"/>
        <v>-649.43830394699751</v>
      </c>
      <c r="CP241" s="804">
        <f t="shared" si="267"/>
        <v>-649.43830394699751</v>
      </c>
      <c r="CQ241" s="804">
        <f t="shared" si="267"/>
        <v>-649.43830394699751</v>
      </c>
      <c r="CR241" s="804">
        <f t="shared" si="267"/>
        <v>-649.43830394699751</v>
      </c>
      <c r="CS241" s="804">
        <f t="shared" si="267"/>
        <v>-649.43830394699751</v>
      </c>
      <c r="CT241" s="804">
        <f t="shared" si="267"/>
        <v>-649.43830394699751</v>
      </c>
      <c r="CU241" s="804">
        <f t="shared" si="267"/>
        <v>-649.43830394699751</v>
      </c>
      <c r="CV241" s="804">
        <f t="shared" si="267"/>
        <v>-649.43830394699751</v>
      </c>
      <c r="CW241" s="804">
        <f t="shared" si="267"/>
        <v>-649.43830394699751</v>
      </c>
      <c r="CX241" s="804">
        <f t="shared" si="267"/>
        <v>-649.43830394699751</v>
      </c>
      <c r="CY241" s="804">
        <f t="shared" si="267"/>
        <v>-649.43830394699751</v>
      </c>
      <c r="CZ241" s="804">
        <f t="shared" si="267"/>
        <v>-649.43830394699751</v>
      </c>
      <c r="DA241" s="804">
        <f t="shared" ref="DA241:DG241" si="268">((DA$232-$I$4)/1000)*$M$120*(($C$8/70)^$W$120)*IF($C$13=1,$AF$119,IF($C$13=2,$AG$119,IF($C$13=3,$AH$119,1)))</f>
        <v>-649.43830394699751</v>
      </c>
      <c r="DB241" s="804">
        <f t="shared" si="268"/>
        <v>-649.43830394699751</v>
      </c>
      <c r="DC241" s="804">
        <f t="shared" si="268"/>
        <v>-649.43830394699751</v>
      </c>
      <c r="DD241" s="804">
        <f t="shared" si="268"/>
        <v>-649.43830394699751</v>
      </c>
      <c r="DE241" s="804">
        <f t="shared" si="268"/>
        <v>-649.43830394699751</v>
      </c>
      <c r="DF241" s="804">
        <f t="shared" si="268"/>
        <v>-649.43830394699751</v>
      </c>
      <c r="DG241" s="804">
        <f t="shared" si="268"/>
        <v>-649.43830394699751</v>
      </c>
    </row>
    <row r="242" spans="2:111" hidden="1">
      <c r="B242" s="2726" t="s">
        <v>335</v>
      </c>
      <c r="C242" s="2727"/>
      <c r="D242" s="1853"/>
      <c r="E242" s="1853"/>
      <c r="F242" s="1853"/>
      <c r="G242" s="1853"/>
      <c r="H242" s="1853"/>
      <c r="I242" s="651">
        <f t="shared" ref="I242:AN242" si="269">((I$232-$I$4)/1000)*$N$120*(($C$8/70)^$X$120)*IF($C$13=1,$AF$119,IF($C$13=2,$AG$119,IF($C$13=3,$AH$119,1)))</f>
        <v>292.88637</v>
      </c>
      <c r="J242" s="651">
        <f t="shared" si="269"/>
        <v>390.51515999999998</v>
      </c>
      <c r="K242" s="651">
        <f t="shared" si="269"/>
        <v>488.14394999999996</v>
      </c>
      <c r="L242" s="651">
        <f t="shared" si="269"/>
        <v>585.77274</v>
      </c>
      <c r="M242" s="651">
        <f t="shared" si="269"/>
        <v>683.40152999999987</v>
      </c>
      <c r="N242" s="651">
        <f t="shared" si="269"/>
        <v>781.03031999999996</v>
      </c>
      <c r="O242" s="651">
        <f t="shared" si="269"/>
        <v>878.65910999999994</v>
      </c>
      <c r="P242" s="651">
        <f t="shared" si="269"/>
        <v>976.28789999999992</v>
      </c>
      <c r="Q242" s="651">
        <f t="shared" si="269"/>
        <v>1073.91669</v>
      </c>
      <c r="R242" s="651">
        <f t="shared" si="269"/>
        <v>1171.54548</v>
      </c>
      <c r="S242" s="651">
        <f t="shared" si="269"/>
        <v>1269.17427</v>
      </c>
      <c r="T242" s="651">
        <f t="shared" si="269"/>
        <v>1366.8030599999997</v>
      </c>
      <c r="U242" s="651">
        <f t="shared" si="269"/>
        <v>1464.4318499999999</v>
      </c>
      <c r="V242" s="651">
        <f t="shared" si="269"/>
        <v>1562.0606399999999</v>
      </c>
      <c r="W242" s="651">
        <f t="shared" si="269"/>
        <v>1659.6894299999999</v>
      </c>
      <c r="X242" s="651">
        <f t="shared" si="269"/>
        <v>1757.3182199999999</v>
      </c>
      <c r="Y242" s="651">
        <f t="shared" si="269"/>
        <v>1854.9470099999999</v>
      </c>
      <c r="Z242" s="651">
        <f t="shared" si="269"/>
        <v>1952.5757999999998</v>
      </c>
      <c r="AA242" s="651">
        <f t="shared" si="269"/>
        <v>2050.2045899999998</v>
      </c>
      <c r="AB242" s="651">
        <f t="shared" si="269"/>
        <v>2147.83338</v>
      </c>
      <c r="AC242" s="651">
        <f t="shared" si="269"/>
        <v>2245.4621699999998</v>
      </c>
      <c r="AD242" s="651">
        <f t="shared" si="269"/>
        <v>2343.09096</v>
      </c>
      <c r="AE242" s="651">
        <f t="shared" si="269"/>
        <v>2440.7197499999997</v>
      </c>
      <c r="AF242" s="651">
        <f t="shared" si="269"/>
        <v>2538.34854</v>
      </c>
      <c r="AG242" s="651">
        <f t="shared" si="269"/>
        <v>2635.9773300000002</v>
      </c>
      <c r="AH242" s="651">
        <f t="shared" si="269"/>
        <v>2733.6061199999995</v>
      </c>
      <c r="AI242" s="651">
        <f t="shared" si="269"/>
        <v>2831.2349100000001</v>
      </c>
      <c r="AJ242" s="651">
        <f t="shared" si="269"/>
        <v>2928.8636999999999</v>
      </c>
      <c r="AK242" s="651">
        <f t="shared" si="269"/>
        <v>3026.4924900000001</v>
      </c>
      <c r="AL242" s="651">
        <f t="shared" si="269"/>
        <v>3124.1212799999998</v>
      </c>
      <c r="AM242" s="651">
        <f t="shared" si="269"/>
        <v>3221.7500700000001</v>
      </c>
      <c r="AN242" s="651">
        <f t="shared" si="269"/>
        <v>3319.3788599999998</v>
      </c>
      <c r="AO242" s="651">
        <f t="shared" ref="AO242:BT242" si="270">((AO$232-$I$4)/1000)*$N$120*(($C$8/70)^$X$120)*IF($C$13=1,$AF$119,IF($C$13=2,$AG$119,IF($C$13=3,$AH$119,1)))</f>
        <v>3417.00765</v>
      </c>
      <c r="AP242" s="651">
        <f t="shared" si="270"/>
        <v>3514.6364399999998</v>
      </c>
      <c r="AQ242" s="651">
        <f t="shared" si="270"/>
        <v>3612.26523</v>
      </c>
      <c r="AR242" s="651">
        <f t="shared" si="270"/>
        <v>3709.8940199999997</v>
      </c>
      <c r="AS242" s="651">
        <f t="shared" si="270"/>
        <v>3807.5228099999999</v>
      </c>
      <c r="AT242" s="651">
        <f t="shared" si="270"/>
        <v>3905.1515999999997</v>
      </c>
      <c r="AU242" s="651">
        <f t="shared" si="270"/>
        <v>4002.7803899999994</v>
      </c>
      <c r="AV242" s="651">
        <f t="shared" si="270"/>
        <v>4100.4091799999997</v>
      </c>
      <c r="AW242" s="651">
        <f t="shared" si="270"/>
        <v>4198.0379699999994</v>
      </c>
      <c r="AX242" s="651">
        <f t="shared" si="270"/>
        <v>4295.6667600000001</v>
      </c>
      <c r="AY242" s="651">
        <f t="shared" si="270"/>
        <v>4393.2955499999998</v>
      </c>
      <c r="AZ242" s="651">
        <f t="shared" si="270"/>
        <v>4490.9243399999996</v>
      </c>
      <c r="BA242" s="651">
        <f t="shared" si="270"/>
        <v>4588.5531299999993</v>
      </c>
      <c r="BB242" s="651">
        <f t="shared" si="270"/>
        <v>4686.18192</v>
      </c>
      <c r="BC242" s="651">
        <f t="shared" si="270"/>
        <v>4783.8107099999997</v>
      </c>
      <c r="BD242" s="651">
        <f t="shared" si="270"/>
        <v>4881.4394999999995</v>
      </c>
      <c r="BE242" s="651">
        <f t="shared" si="270"/>
        <v>4979.0682899999993</v>
      </c>
      <c r="BF242" s="651">
        <f t="shared" si="270"/>
        <v>5076.6970799999999</v>
      </c>
      <c r="BG242" s="651">
        <f t="shared" si="270"/>
        <v>5174.3258699999997</v>
      </c>
      <c r="BH242" s="804">
        <f t="shared" si="270"/>
        <v>-683.40152999999987</v>
      </c>
      <c r="BI242" s="804">
        <f t="shared" si="270"/>
        <v>-683.40152999999987</v>
      </c>
      <c r="BJ242" s="804">
        <f t="shared" si="270"/>
        <v>-683.40152999999987</v>
      </c>
      <c r="BK242" s="804">
        <f t="shared" si="270"/>
        <v>-683.40152999999987</v>
      </c>
      <c r="BL242" s="804">
        <f t="shared" si="270"/>
        <v>-683.40152999999987</v>
      </c>
      <c r="BM242" s="804">
        <f t="shared" si="270"/>
        <v>-683.40152999999987</v>
      </c>
      <c r="BN242" s="804">
        <f t="shared" si="270"/>
        <v>-683.40152999999987</v>
      </c>
      <c r="BO242" s="804">
        <f t="shared" si="270"/>
        <v>-683.40152999999987</v>
      </c>
      <c r="BP242" s="804">
        <f t="shared" si="270"/>
        <v>-683.40152999999987</v>
      </c>
      <c r="BQ242" s="804">
        <f t="shared" si="270"/>
        <v>-683.40152999999987</v>
      </c>
      <c r="BR242" s="804">
        <f t="shared" si="270"/>
        <v>-683.40152999999987</v>
      </c>
      <c r="BS242" s="804">
        <f t="shared" si="270"/>
        <v>-683.40152999999987</v>
      </c>
      <c r="BT242" s="804">
        <f t="shared" si="270"/>
        <v>-683.40152999999987</v>
      </c>
      <c r="BU242" s="804">
        <f t="shared" ref="BU242:CZ242" si="271">((BU$232-$I$4)/1000)*$N$120*(($C$8/70)^$X$120)*IF($C$13=1,$AF$119,IF($C$13=2,$AG$119,IF($C$13=3,$AH$119,1)))</f>
        <v>-683.40152999999987</v>
      </c>
      <c r="BV242" s="804">
        <f t="shared" si="271"/>
        <v>-683.40152999999987</v>
      </c>
      <c r="BW242" s="804">
        <f t="shared" si="271"/>
        <v>-683.40152999999987</v>
      </c>
      <c r="BX242" s="804">
        <f t="shared" si="271"/>
        <v>-683.40152999999987</v>
      </c>
      <c r="BY242" s="804">
        <f t="shared" si="271"/>
        <v>-683.40152999999987</v>
      </c>
      <c r="BZ242" s="804">
        <f t="shared" si="271"/>
        <v>-683.40152999999987</v>
      </c>
      <c r="CA242" s="804">
        <f t="shared" si="271"/>
        <v>-683.40152999999987</v>
      </c>
      <c r="CB242" s="804">
        <f t="shared" si="271"/>
        <v>-683.40152999999987</v>
      </c>
      <c r="CC242" s="804">
        <f t="shared" si="271"/>
        <v>-683.40152999999987</v>
      </c>
      <c r="CD242" s="804">
        <f t="shared" si="271"/>
        <v>-683.40152999999987</v>
      </c>
      <c r="CE242" s="804">
        <f t="shared" si="271"/>
        <v>-683.40152999999987</v>
      </c>
      <c r="CF242" s="804">
        <f t="shared" si="271"/>
        <v>-683.40152999999987</v>
      </c>
      <c r="CG242" s="804">
        <f t="shared" si="271"/>
        <v>-683.40152999999987</v>
      </c>
      <c r="CH242" s="804">
        <f t="shared" si="271"/>
        <v>-683.40152999999987</v>
      </c>
      <c r="CI242" s="804">
        <f t="shared" si="271"/>
        <v>-683.40152999999987</v>
      </c>
      <c r="CJ242" s="804">
        <f t="shared" si="271"/>
        <v>-683.40152999999987</v>
      </c>
      <c r="CK242" s="804">
        <f t="shared" si="271"/>
        <v>-683.40152999999987</v>
      </c>
      <c r="CL242" s="804">
        <f t="shared" si="271"/>
        <v>-683.40152999999987</v>
      </c>
      <c r="CM242" s="804">
        <f t="shared" si="271"/>
        <v>-683.40152999999987</v>
      </c>
      <c r="CN242" s="804">
        <f t="shared" si="271"/>
        <v>-683.40152999999987</v>
      </c>
      <c r="CO242" s="804">
        <f t="shared" si="271"/>
        <v>-683.40152999999987</v>
      </c>
      <c r="CP242" s="804">
        <f t="shared" si="271"/>
        <v>-683.40152999999987</v>
      </c>
      <c r="CQ242" s="804">
        <f t="shared" si="271"/>
        <v>-683.40152999999987</v>
      </c>
      <c r="CR242" s="804">
        <f t="shared" si="271"/>
        <v>-683.40152999999987</v>
      </c>
      <c r="CS242" s="804">
        <f t="shared" si="271"/>
        <v>-683.40152999999987</v>
      </c>
      <c r="CT242" s="804">
        <f t="shared" si="271"/>
        <v>-683.40152999999987</v>
      </c>
      <c r="CU242" s="804">
        <f t="shared" si="271"/>
        <v>-683.40152999999987</v>
      </c>
      <c r="CV242" s="804">
        <f t="shared" si="271"/>
        <v>-683.40152999999987</v>
      </c>
      <c r="CW242" s="804">
        <f t="shared" si="271"/>
        <v>-683.40152999999987</v>
      </c>
      <c r="CX242" s="804">
        <f t="shared" si="271"/>
        <v>-683.40152999999987</v>
      </c>
      <c r="CY242" s="804">
        <f t="shared" si="271"/>
        <v>-683.40152999999987</v>
      </c>
      <c r="CZ242" s="804">
        <f t="shared" si="271"/>
        <v>-683.40152999999987</v>
      </c>
      <c r="DA242" s="804">
        <f t="shared" ref="DA242:DG242" si="272">((DA$232-$I$4)/1000)*$N$120*(($C$8/70)^$X$120)*IF($C$13=1,$AF$119,IF($C$13=2,$AG$119,IF($C$13=3,$AH$119,1)))</f>
        <v>-683.40152999999987</v>
      </c>
      <c r="DB242" s="804">
        <f t="shared" si="272"/>
        <v>-683.40152999999987</v>
      </c>
      <c r="DC242" s="804">
        <f t="shared" si="272"/>
        <v>-683.40152999999987</v>
      </c>
      <c r="DD242" s="804">
        <f t="shared" si="272"/>
        <v>-683.40152999999987</v>
      </c>
      <c r="DE242" s="804">
        <f t="shared" si="272"/>
        <v>-683.40152999999987</v>
      </c>
      <c r="DF242" s="804">
        <f t="shared" si="272"/>
        <v>-683.40152999999987</v>
      </c>
      <c r="DG242" s="804">
        <f t="shared" si="272"/>
        <v>-683.40152999999987</v>
      </c>
    </row>
    <row r="243" spans="2:111" hidden="1">
      <c r="B243" s="2726" t="s">
        <v>336</v>
      </c>
      <c r="C243" s="2727"/>
      <c r="D243" s="1853"/>
      <c r="E243" s="1853"/>
      <c r="F243" s="1853"/>
      <c r="G243" s="1853"/>
      <c r="H243" s="1853"/>
      <c r="I243" s="651">
        <f t="shared" ref="I243:AN243" si="273">((I$232-$I$4)/1000)*$O$120*(($C$8/70)^$Y$120)*IF($C$13=1,$AF$119,IF($C$13=2,$AG$119,IF($C$13=3,$AH$119,1)))</f>
        <v>323.81225999999998</v>
      </c>
      <c r="J243" s="651">
        <f t="shared" si="273"/>
        <v>431.74968000000001</v>
      </c>
      <c r="K243" s="651">
        <f t="shared" si="273"/>
        <v>539.68709999999999</v>
      </c>
      <c r="L243" s="651">
        <f t="shared" si="273"/>
        <v>647.62451999999996</v>
      </c>
      <c r="M243" s="651">
        <f t="shared" si="273"/>
        <v>755.56193999999982</v>
      </c>
      <c r="N243" s="651">
        <f t="shared" si="273"/>
        <v>863.49936000000002</v>
      </c>
      <c r="O243" s="651">
        <f t="shared" si="273"/>
        <v>971.43677999999989</v>
      </c>
      <c r="P243" s="651">
        <f t="shared" si="273"/>
        <v>1079.3742</v>
      </c>
      <c r="Q243" s="651">
        <f t="shared" si="273"/>
        <v>1187.3116199999999</v>
      </c>
      <c r="R243" s="651">
        <f t="shared" si="273"/>
        <v>1295.2490399999999</v>
      </c>
      <c r="S243" s="651">
        <f t="shared" si="273"/>
        <v>1403.1864599999999</v>
      </c>
      <c r="T243" s="651">
        <f t="shared" si="273"/>
        <v>1511.1238799999996</v>
      </c>
      <c r="U243" s="651">
        <f t="shared" si="273"/>
        <v>1619.0612999999998</v>
      </c>
      <c r="V243" s="651">
        <f t="shared" si="273"/>
        <v>1726.99872</v>
      </c>
      <c r="W243" s="651">
        <f t="shared" si="273"/>
        <v>1834.9361399999998</v>
      </c>
      <c r="X243" s="651">
        <f t="shared" si="273"/>
        <v>1942.8735599999998</v>
      </c>
      <c r="Y243" s="651">
        <f t="shared" si="273"/>
        <v>2050.8109799999997</v>
      </c>
      <c r="Z243" s="651">
        <f t="shared" si="273"/>
        <v>2158.7483999999999</v>
      </c>
      <c r="AA243" s="651">
        <f t="shared" si="273"/>
        <v>2266.6858199999997</v>
      </c>
      <c r="AB243" s="651">
        <f t="shared" si="273"/>
        <v>2374.6232399999999</v>
      </c>
      <c r="AC243" s="651">
        <f t="shared" si="273"/>
        <v>2482.5606599999996</v>
      </c>
      <c r="AD243" s="651">
        <f t="shared" si="273"/>
        <v>2590.4980799999998</v>
      </c>
      <c r="AE243" s="651">
        <f t="shared" si="273"/>
        <v>2698.4355</v>
      </c>
      <c r="AF243" s="651">
        <f t="shared" si="273"/>
        <v>2806.3729199999998</v>
      </c>
      <c r="AG243" s="651">
        <f t="shared" si="273"/>
        <v>2914.31034</v>
      </c>
      <c r="AH243" s="651">
        <f t="shared" si="273"/>
        <v>3022.2477599999993</v>
      </c>
      <c r="AI243" s="651">
        <f t="shared" si="273"/>
        <v>3130.1851799999995</v>
      </c>
      <c r="AJ243" s="651">
        <f t="shared" si="273"/>
        <v>3238.1225999999997</v>
      </c>
      <c r="AK243" s="651">
        <f t="shared" si="273"/>
        <v>3346.0600199999999</v>
      </c>
      <c r="AL243" s="651">
        <f t="shared" si="273"/>
        <v>3453.9974400000001</v>
      </c>
      <c r="AM243" s="651">
        <f t="shared" si="273"/>
        <v>3561.9348599999994</v>
      </c>
      <c r="AN243" s="651">
        <f t="shared" si="273"/>
        <v>3669.8722799999996</v>
      </c>
      <c r="AO243" s="651">
        <f t="shared" ref="AO243:BT243" si="274">((AO$232-$I$4)/1000)*$O$120*(($C$8/70)^$Y$120)*IF($C$13=1,$AF$119,IF($C$13=2,$AG$119,IF($C$13=3,$AH$119,1)))</f>
        <v>3777.8096999999998</v>
      </c>
      <c r="AP243" s="651">
        <f t="shared" si="274"/>
        <v>3885.7471199999995</v>
      </c>
      <c r="AQ243" s="651">
        <f t="shared" si="274"/>
        <v>3993.6845399999997</v>
      </c>
      <c r="AR243" s="651">
        <f t="shared" si="274"/>
        <v>4101.6219599999995</v>
      </c>
      <c r="AS243" s="651">
        <f t="shared" si="274"/>
        <v>4209.5593799999997</v>
      </c>
      <c r="AT243" s="651">
        <f t="shared" si="274"/>
        <v>4317.4967999999999</v>
      </c>
      <c r="AU243" s="651">
        <f t="shared" si="274"/>
        <v>4425.4342199999992</v>
      </c>
      <c r="AV243" s="651">
        <f t="shared" si="274"/>
        <v>4533.3716399999994</v>
      </c>
      <c r="AW243" s="651">
        <f t="shared" si="274"/>
        <v>4641.3090599999996</v>
      </c>
      <c r="AX243" s="651">
        <f t="shared" si="274"/>
        <v>4749.2464799999998</v>
      </c>
      <c r="AY243" s="651">
        <f t="shared" si="274"/>
        <v>4857.1839</v>
      </c>
      <c r="AZ243" s="651">
        <f t="shared" si="274"/>
        <v>4965.1213199999993</v>
      </c>
      <c r="BA243" s="651">
        <f t="shared" si="274"/>
        <v>5073.0587399999995</v>
      </c>
      <c r="BB243" s="651">
        <f t="shared" si="274"/>
        <v>5180.9961599999997</v>
      </c>
      <c r="BC243" s="651">
        <f t="shared" si="274"/>
        <v>5288.9335799999999</v>
      </c>
      <c r="BD243" s="651">
        <f t="shared" si="274"/>
        <v>5396.8710000000001</v>
      </c>
      <c r="BE243" s="651">
        <f t="shared" si="274"/>
        <v>5504.8084199999985</v>
      </c>
      <c r="BF243" s="651">
        <f t="shared" si="274"/>
        <v>5612.7458399999996</v>
      </c>
      <c r="BG243" s="651">
        <f t="shared" si="274"/>
        <v>5720.6832599999998</v>
      </c>
      <c r="BH243" s="804">
        <f t="shared" si="274"/>
        <v>-755.56193999999982</v>
      </c>
      <c r="BI243" s="804">
        <f t="shared" si="274"/>
        <v>-755.56193999999982</v>
      </c>
      <c r="BJ243" s="804">
        <f t="shared" si="274"/>
        <v>-755.56193999999982</v>
      </c>
      <c r="BK243" s="804">
        <f t="shared" si="274"/>
        <v>-755.56193999999982</v>
      </c>
      <c r="BL243" s="804">
        <f t="shared" si="274"/>
        <v>-755.56193999999982</v>
      </c>
      <c r="BM243" s="804">
        <f t="shared" si="274"/>
        <v>-755.56193999999982</v>
      </c>
      <c r="BN243" s="804">
        <f t="shared" si="274"/>
        <v>-755.56193999999982</v>
      </c>
      <c r="BO243" s="804">
        <f t="shared" si="274"/>
        <v>-755.56193999999982</v>
      </c>
      <c r="BP243" s="804">
        <f t="shared" si="274"/>
        <v>-755.56193999999982</v>
      </c>
      <c r="BQ243" s="804">
        <f t="shared" si="274"/>
        <v>-755.56193999999982</v>
      </c>
      <c r="BR243" s="804">
        <f t="shared" si="274"/>
        <v>-755.56193999999982</v>
      </c>
      <c r="BS243" s="804">
        <f t="shared" si="274"/>
        <v>-755.56193999999982</v>
      </c>
      <c r="BT243" s="804">
        <f t="shared" si="274"/>
        <v>-755.56193999999982</v>
      </c>
      <c r="BU243" s="804">
        <f t="shared" ref="BU243:CZ243" si="275">((BU$232-$I$4)/1000)*$O$120*(($C$8/70)^$Y$120)*IF($C$13=1,$AF$119,IF($C$13=2,$AG$119,IF($C$13=3,$AH$119,1)))</f>
        <v>-755.56193999999982</v>
      </c>
      <c r="BV243" s="804">
        <f t="shared" si="275"/>
        <v>-755.56193999999982</v>
      </c>
      <c r="BW243" s="804">
        <f t="shared" si="275"/>
        <v>-755.56193999999982</v>
      </c>
      <c r="BX243" s="804">
        <f t="shared" si="275"/>
        <v>-755.56193999999982</v>
      </c>
      <c r="BY243" s="804">
        <f t="shared" si="275"/>
        <v>-755.56193999999982</v>
      </c>
      <c r="BZ243" s="804">
        <f t="shared" si="275"/>
        <v>-755.56193999999982</v>
      </c>
      <c r="CA243" s="804">
        <f t="shared" si="275"/>
        <v>-755.56193999999982</v>
      </c>
      <c r="CB243" s="804">
        <f t="shared" si="275"/>
        <v>-755.56193999999982</v>
      </c>
      <c r="CC243" s="804">
        <f t="shared" si="275"/>
        <v>-755.56193999999982</v>
      </c>
      <c r="CD243" s="804">
        <f t="shared" si="275"/>
        <v>-755.56193999999982</v>
      </c>
      <c r="CE243" s="804">
        <f t="shared" si="275"/>
        <v>-755.56193999999982</v>
      </c>
      <c r="CF243" s="804">
        <f t="shared" si="275"/>
        <v>-755.56193999999982</v>
      </c>
      <c r="CG243" s="804">
        <f t="shared" si="275"/>
        <v>-755.56193999999982</v>
      </c>
      <c r="CH243" s="804">
        <f t="shared" si="275"/>
        <v>-755.56193999999982</v>
      </c>
      <c r="CI243" s="804">
        <f t="shared" si="275"/>
        <v>-755.56193999999982</v>
      </c>
      <c r="CJ243" s="804">
        <f t="shared" si="275"/>
        <v>-755.56193999999982</v>
      </c>
      <c r="CK243" s="804">
        <f t="shared" si="275"/>
        <v>-755.56193999999982</v>
      </c>
      <c r="CL243" s="804">
        <f t="shared" si="275"/>
        <v>-755.56193999999982</v>
      </c>
      <c r="CM243" s="804">
        <f t="shared" si="275"/>
        <v>-755.56193999999982</v>
      </c>
      <c r="CN243" s="804">
        <f t="shared" si="275"/>
        <v>-755.56193999999982</v>
      </c>
      <c r="CO243" s="804">
        <f t="shared" si="275"/>
        <v>-755.56193999999982</v>
      </c>
      <c r="CP243" s="804">
        <f t="shared" si="275"/>
        <v>-755.56193999999982</v>
      </c>
      <c r="CQ243" s="804">
        <f t="shared" si="275"/>
        <v>-755.56193999999982</v>
      </c>
      <c r="CR243" s="804">
        <f t="shared" si="275"/>
        <v>-755.56193999999982</v>
      </c>
      <c r="CS243" s="804">
        <f t="shared" si="275"/>
        <v>-755.56193999999982</v>
      </c>
      <c r="CT243" s="804">
        <f t="shared" si="275"/>
        <v>-755.56193999999982</v>
      </c>
      <c r="CU243" s="804">
        <f t="shared" si="275"/>
        <v>-755.56193999999982</v>
      </c>
      <c r="CV243" s="804">
        <f t="shared" si="275"/>
        <v>-755.56193999999982</v>
      </c>
      <c r="CW243" s="804">
        <f t="shared" si="275"/>
        <v>-755.56193999999982</v>
      </c>
      <c r="CX243" s="804">
        <f t="shared" si="275"/>
        <v>-755.56193999999982</v>
      </c>
      <c r="CY243" s="804">
        <f t="shared" si="275"/>
        <v>-755.56193999999982</v>
      </c>
      <c r="CZ243" s="804">
        <f t="shared" si="275"/>
        <v>-755.56193999999982</v>
      </c>
      <c r="DA243" s="804">
        <f t="shared" ref="DA243:DG243" si="276">((DA$232-$I$4)/1000)*$O$120*(($C$8/70)^$Y$120)*IF($C$13=1,$AF$119,IF($C$13=2,$AG$119,IF($C$13=3,$AH$119,1)))</f>
        <v>-755.56193999999982</v>
      </c>
      <c r="DB243" s="804">
        <f t="shared" si="276"/>
        <v>-755.56193999999982</v>
      </c>
      <c r="DC243" s="804">
        <f t="shared" si="276"/>
        <v>-755.56193999999982</v>
      </c>
      <c r="DD243" s="804">
        <f t="shared" si="276"/>
        <v>-755.56193999999982</v>
      </c>
      <c r="DE243" s="804">
        <f t="shared" si="276"/>
        <v>-755.56193999999982</v>
      </c>
      <c r="DF243" s="804">
        <f t="shared" si="276"/>
        <v>-755.56193999999982</v>
      </c>
      <c r="DG243" s="804">
        <f t="shared" si="276"/>
        <v>-755.56193999999982</v>
      </c>
    </row>
    <row r="244" spans="2:111" ht="15.75" hidden="1" thickBot="1">
      <c r="B244" s="2712" t="s">
        <v>337</v>
      </c>
      <c r="C244" s="2713"/>
      <c r="D244" s="1854"/>
      <c r="E244" s="1854"/>
      <c r="F244" s="1854"/>
      <c r="G244" s="1854"/>
      <c r="H244" s="1854"/>
      <c r="I244" s="618">
        <f t="shared" ref="I244:AN244" si="277">((I$232-$I$4)/1000)*$Q$120*(($C$8/70)^$AA$120)*IF($C$13=1,$AF$119,IF($C$13=2,$AG$119,IF($C$13=3,$AH$119,1)))</f>
        <v>520.47841216323661</v>
      </c>
      <c r="J244" s="618">
        <f t="shared" si="277"/>
        <v>693.97121621764893</v>
      </c>
      <c r="K244" s="618">
        <f t="shared" si="277"/>
        <v>867.46402027206102</v>
      </c>
      <c r="L244" s="618">
        <f t="shared" si="277"/>
        <v>1040.9568243264732</v>
      </c>
      <c r="M244" s="618">
        <f t="shared" si="277"/>
        <v>1214.4496283808853</v>
      </c>
      <c r="N244" s="618">
        <f t="shared" si="277"/>
        <v>1387.9424324352979</v>
      </c>
      <c r="O244" s="618">
        <f t="shared" si="277"/>
        <v>1561.4352364897097</v>
      </c>
      <c r="P244" s="618">
        <f t="shared" si="277"/>
        <v>1734.928040544122</v>
      </c>
      <c r="Q244" s="618">
        <f t="shared" si="277"/>
        <v>1908.4208445985344</v>
      </c>
      <c r="R244" s="618">
        <f t="shared" si="277"/>
        <v>2081.9136486529464</v>
      </c>
      <c r="S244" s="618">
        <f t="shared" si="277"/>
        <v>2255.4064527073588</v>
      </c>
      <c r="T244" s="618">
        <f t="shared" si="277"/>
        <v>2428.8992567617706</v>
      </c>
      <c r="U244" s="618">
        <f t="shared" si="277"/>
        <v>2602.3920608161829</v>
      </c>
      <c r="V244" s="618">
        <f t="shared" si="277"/>
        <v>2775.8848648705957</v>
      </c>
      <c r="W244" s="618">
        <f t="shared" si="277"/>
        <v>2949.3776689250076</v>
      </c>
      <c r="X244" s="618">
        <f t="shared" si="277"/>
        <v>3122.8704729794194</v>
      </c>
      <c r="Y244" s="618">
        <f t="shared" si="277"/>
        <v>3296.3632770338313</v>
      </c>
      <c r="Z244" s="618">
        <f t="shared" si="277"/>
        <v>3469.8560810882441</v>
      </c>
      <c r="AA244" s="618">
        <f t="shared" si="277"/>
        <v>3643.3488851426564</v>
      </c>
      <c r="AB244" s="618">
        <f t="shared" si="277"/>
        <v>3816.8416891970687</v>
      </c>
      <c r="AC244" s="618">
        <f t="shared" si="277"/>
        <v>3990.3344932514806</v>
      </c>
      <c r="AD244" s="618">
        <f t="shared" si="277"/>
        <v>4163.8272973058929</v>
      </c>
      <c r="AE244" s="618">
        <f t="shared" si="277"/>
        <v>4337.3201013603048</v>
      </c>
      <c r="AF244" s="618">
        <f t="shared" si="277"/>
        <v>4510.8129054147175</v>
      </c>
      <c r="AG244" s="618">
        <f t="shared" si="277"/>
        <v>4684.3057094691294</v>
      </c>
      <c r="AH244" s="618">
        <f t="shared" si="277"/>
        <v>4857.7985135235413</v>
      </c>
      <c r="AI244" s="618">
        <f t="shared" si="277"/>
        <v>5031.2913175779531</v>
      </c>
      <c r="AJ244" s="618">
        <f t="shared" si="277"/>
        <v>5204.7841216323659</v>
      </c>
      <c r="AK244" s="618">
        <f t="shared" si="277"/>
        <v>5378.2769256867787</v>
      </c>
      <c r="AL244" s="618">
        <f t="shared" si="277"/>
        <v>5551.7697297411914</v>
      </c>
      <c r="AM244" s="618">
        <f t="shared" si="277"/>
        <v>5725.2625337956024</v>
      </c>
      <c r="AN244" s="618">
        <f t="shared" si="277"/>
        <v>5898.7553378500152</v>
      </c>
      <c r="AO244" s="618">
        <f t="shared" ref="AO244:BT244" si="278">((AO$232-$I$4)/1000)*$Q$120*(($C$8/70)^$AA$120)*IF($C$13=1,$AF$119,IF($C$13=2,$AG$119,IF($C$13=3,$AH$119,1)))</f>
        <v>6072.2481419044261</v>
      </c>
      <c r="AP244" s="618">
        <f t="shared" si="278"/>
        <v>6245.7409459588389</v>
      </c>
      <c r="AQ244" s="618">
        <f t="shared" si="278"/>
        <v>6419.2337500132517</v>
      </c>
      <c r="AR244" s="618">
        <f t="shared" si="278"/>
        <v>6592.7265540676626</v>
      </c>
      <c r="AS244" s="618">
        <f t="shared" si="278"/>
        <v>6766.2193581220754</v>
      </c>
      <c r="AT244" s="618">
        <f t="shared" si="278"/>
        <v>6939.7121621764882</v>
      </c>
      <c r="AU244" s="618">
        <f t="shared" si="278"/>
        <v>7113.2049662308991</v>
      </c>
      <c r="AV244" s="618">
        <f t="shared" si="278"/>
        <v>7286.6977702853128</v>
      </c>
      <c r="AW244" s="618">
        <f t="shared" si="278"/>
        <v>7460.1905743397247</v>
      </c>
      <c r="AX244" s="618">
        <f t="shared" si="278"/>
        <v>7633.6833783941374</v>
      </c>
      <c r="AY244" s="618">
        <f t="shared" si="278"/>
        <v>7807.1761824485493</v>
      </c>
      <c r="AZ244" s="618">
        <f t="shared" si="278"/>
        <v>7980.6689865029612</v>
      </c>
      <c r="BA244" s="618">
        <f t="shared" si="278"/>
        <v>8154.1617905573739</v>
      </c>
      <c r="BB244" s="618">
        <f t="shared" si="278"/>
        <v>8327.6545946117858</v>
      </c>
      <c r="BC244" s="618">
        <f t="shared" si="278"/>
        <v>8501.1473986661986</v>
      </c>
      <c r="BD244" s="618">
        <f t="shared" si="278"/>
        <v>8674.6402027206095</v>
      </c>
      <c r="BE244" s="618">
        <f t="shared" si="278"/>
        <v>8848.1330067750223</v>
      </c>
      <c r="BF244" s="618">
        <f t="shared" si="278"/>
        <v>9021.6258108294351</v>
      </c>
      <c r="BG244" s="618">
        <f t="shared" si="278"/>
        <v>9195.118614883846</v>
      </c>
      <c r="BH244" s="804">
        <f t="shared" si="278"/>
        <v>-1214.4496283808853</v>
      </c>
      <c r="BI244" s="804">
        <f t="shared" si="278"/>
        <v>-1214.4496283808853</v>
      </c>
      <c r="BJ244" s="804">
        <f t="shared" si="278"/>
        <v>-1214.4496283808853</v>
      </c>
      <c r="BK244" s="804">
        <f t="shared" si="278"/>
        <v>-1214.4496283808853</v>
      </c>
      <c r="BL244" s="804">
        <f t="shared" si="278"/>
        <v>-1214.4496283808853</v>
      </c>
      <c r="BM244" s="804">
        <f t="shared" si="278"/>
        <v>-1214.4496283808853</v>
      </c>
      <c r="BN244" s="804">
        <f t="shared" si="278"/>
        <v>-1214.4496283808853</v>
      </c>
      <c r="BO244" s="804">
        <f t="shared" si="278"/>
        <v>-1214.4496283808853</v>
      </c>
      <c r="BP244" s="804">
        <f t="shared" si="278"/>
        <v>-1214.4496283808853</v>
      </c>
      <c r="BQ244" s="804">
        <f t="shared" si="278"/>
        <v>-1214.4496283808853</v>
      </c>
      <c r="BR244" s="804">
        <f t="shared" si="278"/>
        <v>-1214.4496283808853</v>
      </c>
      <c r="BS244" s="804">
        <f t="shared" si="278"/>
        <v>-1214.4496283808853</v>
      </c>
      <c r="BT244" s="804">
        <f t="shared" si="278"/>
        <v>-1214.4496283808853</v>
      </c>
      <c r="BU244" s="804">
        <f t="shared" ref="BU244:CZ244" si="279">((BU$232-$I$4)/1000)*$Q$120*(($C$8/70)^$AA$120)*IF($C$13=1,$AF$119,IF($C$13=2,$AG$119,IF($C$13=3,$AH$119,1)))</f>
        <v>-1214.4496283808853</v>
      </c>
      <c r="BV244" s="804">
        <f t="shared" si="279"/>
        <v>-1214.4496283808853</v>
      </c>
      <c r="BW244" s="804">
        <f t="shared" si="279"/>
        <v>-1214.4496283808853</v>
      </c>
      <c r="BX244" s="804">
        <f t="shared" si="279"/>
        <v>-1214.4496283808853</v>
      </c>
      <c r="BY244" s="804">
        <f t="shared" si="279"/>
        <v>-1214.4496283808853</v>
      </c>
      <c r="BZ244" s="804">
        <f t="shared" si="279"/>
        <v>-1214.4496283808853</v>
      </c>
      <c r="CA244" s="804">
        <f t="shared" si="279"/>
        <v>-1214.4496283808853</v>
      </c>
      <c r="CB244" s="804">
        <f t="shared" si="279"/>
        <v>-1214.4496283808853</v>
      </c>
      <c r="CC244" s="804">
        <f t="shared" si="279"/>
        <v>-1214.4496283808853</v>
      </c>
      <c r="CD244" s="804">
        <f t="shared" si="279"/>
        <v>-1214.4496283808853</v>
      </c>
      <c r="CE244" s="804">
        <f t="shared" si="279"/>
        <v>-1214.4496283808853</v>
      </c>
      <c r="CF244" s="804">
        <f t="shared" si="279"/>
        <v>-1214.4496283808853</v>
      </c>
      <c r="CG244" s="804">
        <f t="shared" si="279"/>
        <v>-1214.4496283808853</v>
      </c>
      <c r="CH244" s="804">
        <f t="shared" si="279"/>
        <v>-1214.4496283808853</v>
      </c>
      <c r="CI244" s="804">
        <f t="shared" si="279"/>
        <v>-1214.4496283808853</v>
      </c>
      <c r="CJ244" s="804">
        <f t="shared" si="279"/>
        <v>-1214.4496283808853</v>
      </c>
      <c r="CK244" s="804">
        <f t="shared" si="279"/>
        <v>-1214.4496283808853</v>
      </c>
      <c r="CL244" s="804">
        <f t="shared" si="279"/>
        <v>-1214.4496283808853</v>
      </c>
      <c r="CM244" s="804">
        <f t="shared" si="279"/>
        <v>-1214.4496283808853</v>
      </c>
      <c r="CN244" s="804">
        <f t="shared" si="279"/>
        <v>-1214.4496283808853</v>
      </c>
      <c r="CO244" s="804">
        <f t="shared" si="279"/>
        <v>-1214.4496283808853</v>
      </c>
      <c r="CP244" s="804">
        <f t="shared" si="279"/>
        <v>-1214.4496283808853</v>
      </c>
      <c r="CQ244" s="804">
        <f t="shared" si="279"/>
        <v>-1214.4496283808853</v>
      </c>
      <c r="CR244" s="804">
        <f t="shared" si="279"/>
        <v>-1214.4496283808853</v>
      </c>
      <c r="CS244" s="804">
        <f t="shared" si="279"/>
        <v>-1214.4496283808853</v>
      </c>
      <c r="CT244" s="804">
        <f t="shared" si="279"/>
        <v>-1214.4496283808853</v>
      </c>
      <c r="CU244" s="804">
        <f t="shared" si="279"/>
        <v>-1214.4496283808853</v>
      </c>
      <c r="CV244" s="804">
        <f t="shared" si="279"/>
        <v>-1214.4496283808853</v>
      </c>
      <c r="CW244" s="804">
        <f t="shared" si="279"/>
        <v>-1214.4496283808853</v>
      </c>
      <c r="CX244" s="804">
        <f t="shared" si="279"/>
        <v>-1214.4496283808853</v>
      </c>
      <c r="CY244" s="804">
        <f t="shared" si="279"/>
        <v>-1214.4496283808853</v>
      </c>
      <c r="CZ244" s="804">
        <f t="shared" si="279"/>
        <v>-1214.4496283808853</v>
      </c>
      <c r="DA244" s="804">
        <f t="shared" ref="DA244:DG244" si="280">((DA$232-$I$4)/1000)*$Q$120*(($C$8/70)^$AA$120)*IF($C$13=1,$AF$119,IF($C$13=2,$AG$119,IF($C$13=3,$AH$119,1)))</f>
        <v>-1214.4496283808853</v>
      </c>
      <c r="DB244" s="804">
        <f t="shared" si="280"/>
        <v>-1214.4496283808853</v>
      </c>
      <c r="DC244" s="804">
        <f t="shared" si="280"/>
        <v>-1214.4496283808853</v>
      </c>
      <c r="DD244" s="804">
        <f t="shared" si="280"/>
        <v>-1214.4496283808853</v>
      </c>
      <c r="DE244" s="804">
        <f t="shared" si="280"/>
        <v>-1214.4496283808853</v>
      </c>
      <c r="DF244" s="804">
        <f t="shared" si="280"/>
        <v>-1214.4496283808853</v>
      </c>
      <c r="DG244" s="804">
        <f t="shared" si="280"/>
        <v>-1214.4496283808853</v>
      </c>
    </row>
    <row r="245" spans="2:111" hidden="1">
      <c r="B245" s="2724" t="s">
        <v>338</v>
      </c>
      <c r="C245" s="2725"/>
      <c r="D245" s="1857"/>
      <c r="E245" s="1857"/>
      <c r="F245" s="1857"/>
      <c r="G245" s="1857"/>
      <c r="H245" s="1857"/>
      <c r="I245" s="804">
        <f t="shared" ref="I245:AN245" si="281">((I$232-$I$4)/1000)*$L$121*(($C$8/70)^$V$121)*IF($C$13=1,$AF$121,IF($C$13=2,$AG$121,IF($C$13=3,$AH$121,1)))</f>
        <v>209.56985999999995</v>
      </c>
      <c r="J245" s="804">
        <f t="shared" si="281"/>
        <v>279.42647999999991</v>
      </c>
      <c r="K245" s="804">
        <f t="shared" si="281"/>
        <v>349.28309999999993</v>
      </c>
      <c r="L245" s="804">
        <f t="shared" si="281"/>
        <v>419.1397199999999</v>
      </c>
      <c r="M245" s="804">
        <f t="shared" si="281"/>
        <v>488.99633999999986</v>
      </c>
      <c r="N245" s="804">
        <f t="shared" si="281"/>
        <v>558.85295999999983</v>
      </c>
      <c r="O245" s="804">
        <f t="shared" si="281"/>
        <v>628.70957999999985</v>
      </c>
      <c r="P245" s="804">
        <f t="shared" si="281"/>
        <v>698.56619999999987</v>
      </c>
      <c r="Q245" s="804">
        <f t="shared" si="281"/>
        <v>768.42281999999989</v>
      </c>
      <c r="R245" s="804">
        <f t="shared" si="281"/>
        <v>838.27943999999979</v>
      </c>
      <c r="S245" s="804">
        <f t="shared" si="281"/>
        <v>908.13605999999982</v>
      </c>
      <c r="T245" s="804">
        <f t="shared" si="281"/>
        <v>977.99267999999972</v>
      </c>
      <c r="U245" s="804">
        <f t="shared" si="281"/>
        <v>1047.8492999999999</v>
      </c>
      <c r="V245" s="804">
        <f t="shared" si="281"/>
        <v>1117.7059199999997</v>
      </c>
      <c r="W245" s="804">
        <f t="shared" si="281"/>
        <v>1187.5625399999999</v>
      </c>
      <c r="X245" s="804">
        <f t="shared" si="281"/>
        <v>1257.4191599999997</v>
      </c>
      <c r="Y245" s="804">
        <f t="shared" si="281"/>
        <v>1327.2757799999995</v>
      </c>
      <c r="Z245" s="804">
        <f t="shared" si="281"/>
        <v>1397.1323999999997</v>
      </c>
      <c r="AA245" s="804">
        <f t="shared" si="281"/>
        <v>1466.9890199999998</v>
      </c>
      <c r="AB245" s="804">
        <f t="shared" si="281"/>
        <v>1536.8456399999998</v>
      </c>
      <c r="AC245" s="804">
        <f t="shared" si="281"/>
        <v>1606.7022599999996</v>
      </c>
      <c r="AD245" s="804">
        <f t="shared" si="281"/>
        <v>1676.5588799999996</v>
      </c>
      <c r="AE245" s="804">
        <f t="shared" si="281"/>
        <v>1746.4154999999996</v>
      </c>
      <c r="AF245" s="804">
        <f t="shared" si="281"/>
        <v>1816.2721199999996</v>
      </c>
      <c r="AG245" s="804">
        <f t="shared" si="281"/>
        <v>1886.1287399999999</v>
      </c>
      <c r="AH245" s="804">
        <f t="shared" si="281"/>
        <v>1955.9853599999994</v>
      </c>
      <c r="AI245" s="804">
        <f t="shared" si="281"/>
        <v>2025.8419799999992</v>
      </c>
      <c r="AJ245" s="804">
        <f t="shared" si="281"/>
        <v>2095.6985999999997</v>
      </c>
      <c r="AK245" s="804">
        <f t="shared" si="281"/>
        <v>2165.5552199999997</v>
      </c>
      <c r="AL245" s="804">
        <f t="shared" si="281"/>
        <v>2235.4118399999993</v>
      </c>
      <c r="AM245" s="804">
        <f t="shared" si="281"/>
        <v>2305.2684599999993</v>
      </c>
      <c r="AN245" s="804">
        <f t="shared" si="281"/>
        <v>2375.1250799999998</v>
      </c>
      <c r="AO245" s="804">
        <f t="shared" ref="AO245:BT245" si="282">((AO$232-$I$4)/1000)*$L$121*(($C$8/70)^$V$121)*IF($C$13=1,$AF$121,IF($C$13=2,$AG$121,IF($C$13=3,$AH$121,1)))</f>
        <v>2444.9816999999994</v>
      </c>
      <c r="AP245" s="804">
        <f t="shared" si="282"/>
        <v>2514.8383199999994</v>
      </c>
      <c r="AQ245" s="804">
        <f t="shared" si="282"/>
        <v>2584.6949399999999</v>
      </c>
      <c r="AR245" s="804">
        <f t="shared" si="282"/>
        <v>2654.551559999999</v>
      </c>
      <c r="AS245" s="804">
        <f t="shared" si="282"/>
        <v>2724.4081799999994</v>
      </c>
      <c r="AT245" s="804">
        <f t="shared" si="282"/>
        <v>2794.2647999999995</v>
      </c>
      <c r="AU245" s="804">
        <f t="shared" si="282"/>
        <v>2864.1214199999995</v>
      </c>
      <c r="AV245" s="804">
        <f t="shared" si="282"/>
        <v>2933.9780399999995</v>
      </c>
      <c r="AW245" s="804">
        <f t="shared" si="282"/>
        <v>3003.8346599999991</v>
      </c>
      <c r="AX245" s="804">
        <f t="shared" si="282"/>
        <v>3073.6912799999996</v>
      </c>
      <c r="AY245" s="804">
        <f t="shared" si="282"/>
        <v>3143.5478999999991</v>
      </c>
      <c r="AZ245" s="804">
        <f t="shared" si="282"/>
        <v>3213.4045199999991</v>
      </c>
      <c r="BA245" s="804">
        <f t="shared" si="282"/>
        <v>3283.2611399999996</v>
      </c>
      <c r="BB245" s="804">
        <f t="shared" si="282"/>
        <v>3353.1177599999992</v>
      </c>
      <c r="BC245" s="804">
        <f t="shared" si="282"/>
        <v>3422.9743799999997</v>
      </c>
      <c r="BD245" s="804">
        <f t="shared" si="282"/>
        <v>3492.8309999999992</v>
      </c>
      <c r="BE245" s="804">
        <f t="shared" si="282"/>
        <v>3562.6876199999992</v>
      </c>
      <c r="BF245" s="804">
        <f t="shared" si="282"/>
        <v>3632.5442399999993</v>
      </c>
      <c r="BG245" s="804">
        <f t="shared" si="282"/>
        <v>3702.4008599999993</v>
      </c>
      <c r="BH245" s="804">
        <f t="shared" si="282"/>
        <v>-488.99633999999986</v>
      </c>
      <c r="BI245" s="804">
        <f t="shared" si="282"/>
        <v>-488.99633999999986</v>
      </c>
      <c r="BJ245" s="804">
        <f t="shared" si="282"/>
        <v>-488.99633999999986</v>
      </c>
      <c r="BK245" s="804">
        <f t="shared" si="282"/>
        <v>-488.99633999999986</v>
      </c>
      <c r="BL245" s="804">
        <f t="shared" si="282"/>
        <v>-488.99633999999986</v>
      </c>
      <c r="BM245" s="804">
        <f t="shared" si="282"/>
        <v>-488.99633999999986</v>
      </c>
      <c r="BN245" s="804">
        <f t="shared" si="282"/>
        <v>-488.99633999999986</v>
      </c>
      <c r="BO245" s="804">
        <f t="shared" si="282"/>
        <v>-488.99633999999986</v>
      </c>
      <c r="BP245" s="804">
        <f t="shared" si="282"/>
        <v>-488.99633999999986</v>
      </c>
      <c r="BQ245" s="804">
        <f t="shared" si="282"/>
        <v>-488.99633999999986</v>
      </c>
      <c r="BR245" s="804">
        <f t="shared" si="282"/>
        <v>-488.99633999999986</v>
      </c>
      <c r="BS245" s="804">
        <f t="shared" si="282"/>
        <v>-488.99633999999986</v>
      </c>
      <c r="BT245" s="804">
        <f t="shared" si="282"/>
        <v>-488.99633999999986</v>
      </c>
      <c r="BU245" s="804">
        <f t="shared" ref="BU245:CZ245" si="283">((BU$232-$I$4)/1000)*$L$121*(($C$8/70)^$V$121)*IF($C$13=1,$AF$121,IF($C$13=2,$AG$121,IF($C$13=3,$AH$121,1)))</f>
        <v>-488.99633999999986</v>
      </c>
      <c r="BV245" s="804">
        <f t="shared" si="283"/>
        <v>-488.99633999999986</v>
      </c>
      <c r="BW245" s="804">
        <f t="shared" si="283"/>
        <v>-488.99633999999986</v>
      </c>
      <c r="BX245" s="804">
        <f t="shared" si="283"/>
        <v>-488.99633999999986</v>
      </c>
      <c r="BY245" s="804">
        <f t="shared" si="283"/>
        <v>-488.99633999999986</v>
      </c>
      <c r="BZ245" s="804">
        <f t="shared" si="283"/>
        <v>-488.99633999999986</v>
      </c>
      <c r="CA245" s="804">
        <f t="shared" si="283"/>
        <v>-488.99633999999986</v>
      </c>
      <c r="CB245" s="804">
        <f t="shared" si="283"/>
        <v>-488.99633999999986</v>
      </c>
      <c r="CC245" s="804">
        <f t="shared" si="283"/>
        <v>-488.99633999999986</v>
      </c>
      <c r="CD245" s="804">
        <f t="shared" si="283"/>
        <v>-488.99633999999986</v>
      </c>
      <c r="CE245" s="804">
        <f t="shared" si="283"/>
        <v>-488.99633999999986</v>
      </c>
      <c r="CF245" s="804">
        <f t="shared" si="283"/>
        <v>-488.99633999999986</v>
      </c>
      <c r="CG245" s="804">
        <f t="shared" si="283"/>
        <v>-488.99633999999986</v>
      </c>
      <c r="CH245" s="804">
        <f t="shared" si="283"/>
        <v>-488.99633999999986</v>
      </c>
      <c r="CI245" s="804">
        <f t="shared" si="283"/>
        <v>-488.99633999999986</v>
      </c>
      <c r="CJ245" s="804">
        <f t="shared" si="283"/>
        <v>-488.99633999999986</v>
      </c>
      <c r="CK245" s="804">
        <f t="shared" si="283"/>
        <v>-488.99633999999986</v>
      </c>
      <c r="CL245" s="804">
        <f t="shared" si="283"/>
        <v>-488.99633999999986</v>
      </c>
      <c r="CM245" s="804">
        <f t="shared" si="283"/>
        <v>-488.99633999999986</v>
      </c>
      <c r="CN245" s="804">
        <f t="shared" si="283"/>
        <v>-488.99633999999986</v>
      </c>
      <c r="CO245" s="804">
        <f t="shared" si="283"/>
        <v>-488.99633999999986</v>
      </c>
      <c r="CP245" s="804">
        <f t="shared" si="283"/>
        <v>-488.99633999999986</v>
      </c>
      <c r="CQ245" s="804">
        <f t="shared" si="283"/>
        <v>-488.99633999999986</v>
      </c>
      <c r="CR245" s="804">
        <f t="shared" si="283"/>
        <v>-488.99633999999986</v>
      </c>
      <c r="CS245" s="804">
        <f t="shared" si="283"/>
        <v>-488.99633999999986</v>
      </c>
      <c r="CT245" s="804">
        <f t="shared" si="283"/>
        <v>-488.99633999999986</v>
      </c>
      <c r="CU245" s="804">
        <f t="shared" si="283"/>
        <v>-488.99633999999986</v>
      </c>
      <c r="CV245" s="804">
        <f t="shared" si="283"/>
        <v>-488.99633999999986</v>
      </c>
      <c r="CW245" s="804">
        <f t="shared" si="283"/>
        <v>-488.99633999999986</v>
      </c>
      <c r="CX245" s="804">
        <f t="shared" si="283"/>
        <v>-488.99633999999986</v>
      </c>
      <c r="CY245" s="804">
        <f t="shared" si="283"/>
        <v>-488.99633999999986</v>
      </c>
      <c r="CZ245" s="804">
        <f t="shared" si="283"/>
        <v>-488.99633999999986</v>
      </c>
      <c r="DA245" s="804">
        <f t="shared" ref="DA245:DG245" si="284">((DA$232-$I$4)/1000)*$L$121*(($C$8/70)^$V$121)*IF($C$13=1,$AF$121,IF($C$13=2,$AG$121,IF($C$13=3,$AH$121,1)))</f>
        <v>-488.99633999999986</v>
      </c>
      <c r="DB245" s="804">
        <f t="shared" si="284"/>
        <v>-488.99633999999986</v>
      </c>
      <c r="DC245" s="804">
        <f t="shared" si="284"/>
        <v>-488.99633999999986</v>
      </c>
      <c r="DD245" s="804">
        <f t="shared" si="284"/>
        <v>-488.99633999999986</v>
      </c>
      <c r="DE245" s="804">
        <f t="shared" si="284"/>
        <v>-488.99633999999986</v>
      </c>
      <c r="DF245" s="804">
        <f t="shared" si="284"/>
        <v>-488.99633999999986</v>
      </c>
      <c r="DG245" s="804">
        <f t="shared" si="284"/>
        <v>-488.99633999999986</v>
      </c>
    </row>
    <row r="246" spans="2:111" hidden="1">
      <c r="B246" s="2726" t="s">
        <v>339</v>
      </c>
      <c r="C246" s="2727"/>
      <c r="D246" s="1853"/>
      <c r="E246" s="1853"/>
      <c r="F246" s="1853"/>
      <c r="G246" s="1853"/>
      <c r="H246" s="1853"/>
      <c r="I246" s="651">
        <f t="shared" ref="I246:AN246" si="285">((I$232-$I$4)/1000)*$M$121*(($C$8/70)^$W$121)*IF($C$13=1,$AF$122,IF($C$13=2,$AG$122,IF($C$13=3,$AH$122,1)))</f>
        <v>247.95914400000001</v>
      </c>
      <c r="J246" s="651">
        <f t="shared" si="285"/>
        <v>330.61219200000005</v>
      </c>
      <c r="K246" s="651">
        <f t="shared" si="285"/>
        <v>413.26524000000001</v>
      </c>
      <c r="L246" s="651">
        <f t="shared" si="285"/>
        <v>495.91828800000002</v>
      </c>
      <c r="M246" s="651">
        <f t="shared" si="285"/>
        <v>578.57133599999997</v>
      </c>
      <c r="N246" s="651">
        <f t="shared" si="285"/>
        <v>661.2243840000001</v>
      </c>
      <c r="O246" s="651">
        <f t="shared" si="285"/>
        <v>743.87743200000011</v>
      </c>
      <c r="P246" s="651">
        <f t="shared" si="285"/>
        <v>826.53048000000001</v>
      </c>
      <c r="Q246" s="651">
        <f t="shared" si="285"/>
        <v>909.18352800000014</v>
      </c>
      <c r="R246" s="651">
        <f t="shared" si="285"/>
        <v>991.83657600000004</v>
      </c>
      <c r="S246" s="651">
        <f t="shared" si="285"/>
        <v>1074.4896240000003</v>
      </c>
      <c r="T246" s="651">
        <f t="shared" si="285"/>
        <v>1157.1426719999999</v>
      </c>
      <c r="U246" s="651">
        <f t="shared" si="285"/>
        <v>1239.7957200000001</v>
      </c>
      <c r="V246" s="651">
        <f t="shared" si="285"/>
        <v>1322.4487680000002</v>
      </c>
      <c r="W246" s="651">
        <f t="shared" si="285"/>
        <v>1405.1018160000001</v>
      </c>
      <c r="X246" s="651">
        <f t="shared" si="285"/>
        <v>1487.7548640000002</v>
      </c>
      <c r="Y246" s="651">
        <f t="shared" si="285"/>
        <v>1570.4079119999999</v>
      </c>
      <c r="Z246" s="651">
        <f t="shared" si="285"/>
        <v>1653.06096</v>
      </c>
      <c r="AA246" s="651">
        <f t="shared" si="285"/>
        <v>1735.7140080000001</v>
      </c>
      <c r="AB246" s="651">
        <f t="shared" si="285"/>
        <v>1818.3670560000003</v>
      </c>
      <c r="AC246" s="651">
        <f t="shared" si="285"/>
        <v>1901.0201040000002</v>
      </c>
      <c r="AD246" s="651">
        <f t="shared" si="285"/>
        <v>1983.6731520000001</v>
      </c>
      <c r="AE246" s="651">
        <f t="shared" si="285"/>
        <v>2066.3262000000004</v>
      </c>
      <c r="AF246" s="651">
        <f t="shared" si="285"/>
        <v>2148.9792480000006</v>
      </c>
      <c r="AG246" s="651">
        <f t="shared" si="285"/>
        <v>2231.6322960000002</v>
      </c>
      <c r="AH246" s="651">
        <f t="shared" si="285"/>
        <v>2314.2853439999999</v>
      </c>
      <c r="AI246" s="651">
        <f t="shared" si="285"/>
        <v>2396.938392</v>
      </c>
      <c r="AJ246" s="651">
        <f t="shared" si="285"/>
        <v>2479.5914400000001</v>
      </c>
      <c r="AK246" s="651">
        <f t="shared" si="285"/>
        <v>2562.2444880000003</v>
      </c>
      <c r="AL246" s="651">
        <f t="shared" si="285"/>
        <v>2644.8975360000004</v>
      </c>
      <c r="AM246" s="651">
        <f t="shared" si="285"/>
        <v>2727.5505840000001</v>
      </c>
      <c r="AN246" s="651">
        <f t="shared" si="285"/>
        <v>2810.2036320000002</v>
      </c>
      <c r="AO246" s="651">
        <f t="shared" ref="AO246:BT246" si="286">((AO$232-$I$4)/1000)*$M$121*(($C$8/70)^$W$121)*IF($C$13=1,$AF$122,IF($C$13=2,$AG$122,IF($C$13=3,$AH$122,1)))</f>
        <v>2892.8566800000003</v>
      </c>
      <c r="AP246" s="651">
        <f t="shared" si="286"/>
        <v>2975.5097280000005</v>
      </c>
      <c r="AQ246" s="651">
        <f t="shared" si="286"/>
        <v>3058.1627760000006</v>
      </c>
      <c r="AR246" s="651">
        <f t="shared" si="286"/>
        <v>3140.8158239999998</v>
      </c>
      <c r="AS246" s="651">
        <f t="shared" si="286"/>
        <v>3223.4688719999999</v>
      </c>
      <c r="AT246" s="651">
        <f t="shared" si="286"/>
        <v>3306.12192</v>
      </c>
      <c r="AU246" s="651">
        <f t="shared" si="286"/>
        <v>3388.7749679999997</v>
      </c>
      <c r="AV246" s="651">
        <f t="shared" si="286"/>
        <v>3471.4280160000003</v>
      </c>
      <c r="AW246" s="651">
        <f t="shared" si="286"/>
        <v>3554.081064</v>
      </c>
      <c r="AX246" s="651">
        <f t="shared" si="286"/>
        <v>3636.7341120000006</v>
      </c>
      <c r="AY246" s="651">
        <f t="shared" si="286"/>
        <v>3719.3871600000002</v>
      </c>
      <c r="AZ246" s="651">
        <f t="shared" si="286"/>
        <v>3802.0402080000003</v>
      </c>
      <c r="BA246" s="651">
        <f t="shared" si="286"/>
        <v>3884.6932560000009</v>
      </c>
      <c r="BB246" s="651">
        <f t="shared" si="286"/>
        <v>3967.3463040000001</v>
      </c>
      <c r="BC246" s="651">
        <f t="shared" si="286"/>
        <v>4049.9993520000007</v>
      </c>
      <c r="BD246" s="651">
        <f t="shared" si="286"/>
        <v>4132.6524000000009</v>
      </c>
      <c r="BE246" s="651">
        <f t="shared" si="286"/>
        <v>4215.3054480000001</v>
      </c>
      <c r="BF246" s="651">
        <f t="shared" si="286"/>
        <v>4297.9584960000011</v>
      </c>
      <c r="BG246" s="651">
        <f t="shared" si="286"/>
        <v>4380.6115440000003</v>
      </c>
      <c r="BH246" s="804">
        <f t="shared" si="286"/>
        <v>-578.57133599999997</v>
      </c>
      <c r="BI246" s="804">
        <f t="shared" si="286"/>
        <v>-578.57133599999997</v>
      </c>
      <c r="BJ246" s="804">
        <f t="shared" si="286"/>
        <v>-578.57133599999997</v>
      </c>
      <c r="BK246" s="804">
        <f t="shared" si="286"/>
        <v>-578.57133599999997</v>
      </c>
      <c r="BL246" s="804">
        <f t="shared" si="286"/>
        <v>-578.57133599999997</v>
      </c>
      <c r="BM246" s="804">
        <f t="shared" si="286"/>
        <v>-578.57133599999997</v>
      </c>
      <c r="BN246" s="804">
        <f t="shared" si="286"/>
        <v>-578.57133599999997</v>
      </c>
      <c r="BO246" s="804">
        <f t="shared" si="286"/>
        <v>-578.57133599999997</v>
      </c>
      <c r="BP246" s="804">
        <f t="shared" si="286"/>
        <v>-578.57133599999997</v>
      </c>
      <c r="BQ246" s="804">
        <f t="shared" si="286"/>
        <v>-578.57133599999997</v>
      </c>
      <c r="BR246" s="804">
        <f t="shared" si="286"/>
        <v>-578.57133599999997</v>
      </c>
      <c r="BS246" s="804">
        <f t="shared" si="286"/>
        <v>-578.57133599999997</v>
      </c>
      <c r="BT246" s="804">
        <f t="shared" si="286"/>
        <v>-578.57133599999997</v>
      </c>
      <c r="BU246" s="804">
        <f t="shared" ref="BU246:CZ246" si="287">((BU$232-$I$4)/1000)*$M$121*(($C$8/70)^$W$121)*IF($C$13=1,$AF$122,IF($C$13=2,$AG$122,IF($C$13=3,$AH$122,1)))</f>
        <v>-578.57133599999997</v>
      </c>
      <c r="BV246" s="804">
        <f t="shared" si="287"/>
        <v>-578.57133599999997</v>
      </c>
      <c r="BW246" s="804">
        <f t="shared" si="287"/>
        <v>-578.57133599999997</v>
      </c>
      <c r="BX246" s="804">
        <f t="shared" si="287"/>
        <v>-578.57133599999997</v>
      </c>
      <c r="BY246" s="804">
        <f t="shared" si="287"/>
        <v>-578.57133599999997</v>
      </c>
      <c r="BZ246" s="804">
        <f t="shared" si="287"/>
        <v>-578.57133599999997</v>
      </c>
      <c r="CA246" s="804">
        <f t="shared" si="287"/>
        <v>-578.57133599999997</v>
      </c>
      <c r="CB246" s="804">
        <f t="shared" si="287"/>
        <v>-578.57133599999997</v>
      </c>
      <c r="CC246" s="804">
        <f t="shared" si="287"/>
        <v>-578.57133599999997</v>
      </c>
      <c r="CD246" s="804">
        <f t="shared" si="287"/>
        <v>-578.57133599999997</v>
      </c>
      <c r="CE246" s="804">
        <f t="shared" si="287"/>
        <v>-578.57133599999997</v>
      </c>
      <c r="CF246" s="804">
        <f t="shared" si="287"/>
        <v>-578.57133599999997</v>
      </c>
      <c r="CG246" s="804">
        <f t="shared" si="287"/>
        <v>-578.57133599999997</v>
      </c>
      <c r="CH246" s="804">
        <f t="shared" si="287"/>
        <v>-578.57133599999997</v>
      </c>
      <c r="CI246" s="804">
        <f t="shared" si="287"/>
        <v>-578.57133599999997</v>
      </c>
      <c r="CJ246" s="804">
        <f t="shared" si="287"/>
        <v>-578.57133599999997</v>
      </c>
      <c r="CK246" s="804">
        <f t="shared" si="287"/>
        <v>-578.57133599999997</v>
      </c>
      <c r="CL246" s="804">
        <f t="shared" si="287"/>
        <v>-578.57133599999997</v>
      </c>
      <c r="CM246" s="804">
        <f t="shared" si="287"/>
        <v>-578.57133599999997</v>
      </c>
      <c r="CN246" s="804">
        <f t="shared" si="287"/>
        <v>-578.57133599999997</v>
      </c>
      <c r="CO246" s="804">
        <f t="shared" si="287"/>
        <v>-578.57133599999997</v>
      </c>
      <c r="CP246" s="804">
        <f t="shared" si="287"/>
        <v>-578.57133599999997</v>
      </c>
      <c r="CQ246" s="804">
        <f t="shared" si="287"/>
        <v>-578.57133599999997</v>
      </c>
      <c r="CR246" s="804">
        <f t="shared" si="287"/>
        <v>-578.57133599999997</v>
      </c>
      <c r="CS246" s="804">
        <f t="shared" si="287"/>
        <v>-578.57133599999997</v>
      </c>
      <c r="CT246" s="804">
        <f t="shared" si="287"/>
        <v>-578.57133599999997</v>
      </c>
      <c r="CU246" s="804">
        <f t="shared" si="287"/>
        <v>-578.57133599999997</v>
      </c>
      <c r="CV246" s="804">
        <f t="shared" si="287"/>
        <v>-578.57133599999997</v>
      </c>
      <c r="CW246" s="804">
        <f t="shared" si="287"/>
        <v>-578.57133599999997</v>
      </c>
      <c r="CX246" s="804">
        <f t="shared" si="287"/>
        <v>-578.57133599999997</v>
      </c>
      <c r="CY246" s="804">
        <f t="shared" si="287"/>
        <v>-578.57133599999997</v>
      </c>
      <c r="CZ246" s="804">
        <f t="shared" si="287"/>
        <v>-578.57133599999997</v>
      </c>
      <c r="DA246" s="804">
        <f t="shared" ref="DA246:DG246" si="288">((DA$232-$I$4)/1000)*$M$121*(($C$8/70)^$W$121)*IF($C$13=1,$AF$122,IF($C$13=2,$AG$122,IF($C$13=3,$AH$122,1)))</f>
        <v>-578.57133599999997</v>
      </c>
      <c r="DB246" s="804">
        <f t="shared" si="288"/>
        <v>-578.57133599999997</v>
      </c>
      <c r="DC246" s="804">
        <f t="shared" si="288"/>
        <v>-578.57133599999997</v>
      </c>
      <c r="DD246" s="804">
        <f t="shared" si="288"/>
        <v>-578.57133599999997</v>
      </c>
      <c r="DE246" s="804">
        <f t="shared" si="288"/>
        <v>-578.57133599999997</v>
      </c>
      <c r="DF246" s="804">
        <f t="shared" si="288"/>
        <v>-578.57133599999997</v>
      </c>
      <c r="DG246" s="804">
        <f t="shared" si="288"/>
        <v>-578.57133599999997</v>
      </c>
    </row>
    <row r="247" spans="2:111" hidden="1">
      <c r="B247" s="2726" t="s">
        <v>340</v>
      </c>
      <c r="C247" s="2727"/>
      <c r="D247" s="1853"/>
      <c r="E247" s="1853"/>
      <c r="F247" s="1853"/>
      <c r="G247" s="1853"/>
      <c r="H247" s="1853"/>
      <c r="I247" s="651">
        <f t="shared" ref="I247:AN247" si="289">((I$232-$I$4)/1000)*$N$121*(($C$8/70)^$X$121)*IF($C$13=1,$AF$120,IF($C$13=2,$AG$120,IF($C$13=3,$AH$120,1)))</f>
        <v>555.2106839999999</v>
      </c>
      <c r="J247" s="651">
        <f t="shared" si="289"/>
        <v>740.28091199999994</v>
      </c>
      <c r="K247" s="651">
        <f t="shared" si="289"/>
        <v>925.35113999999987</v>
      </c>
      <c r="L247" s="651">
        <f t="shared" si="289"/>
        <v>1110.4213679999998</v>
      </c>
      <c r="M247" s="651">
        <f t="shared" si="289"/>
        <v>1295.4915959999996</v>
      </c>
      <c r="N247" s="651">
        <f t="shared" si="289"/>
        <v>1480.5618239999999</v>
      </c>
      <c r="O247" s="651">
        <f t="shared" si="289"/>
        <v>1665.6320519999997</v>
      </c>
      <c r="P247" s="651">
        <f t="shared" si="289"/>
        <v>1850.7022799999997</v>
      </c>
      <c r="Q247" s="651">
        <f t="shared" si="289"/>
        <v>2035.7725079999998</v>
      </c>
      <c r="R247" s="651">
        <f t="shared" si="289"/>
        <v>2220.8427359999996</v>
      </c>
      <c r="S247" s="651">
        <f t="shared" si="289"/>
        <v>2405.9129639999996</v>
      </c>
      <c r="T247" s="651">
        <f t="shared" si="289"/>
        <v>2590.9831919999992</v>
      </c>
      <c r="U247" s="651">
        <f t="shared" si="289"/>
        <v>2776.0534199999997</v>
      </c>
      <c r="V247" s="651">
        <f t="shared" si="289"/>
        <v>2961.1236479999998</v>
      </c>
      <c r="W247" s="651">
        <f t="shared" si="289"/>
        <v>3146.1938759999994</v>
      </c>
      <c r="X247" s="651">
        <f t="shared" si="289"/>
        <v>3331.2641039999994</v>
      </c>
      <c r="Y247" s="651">
        <f t="shared" si="289"/>
        <v>3516.334331999999</v>
      </c>
      <c r="Z247" s="651">
        <f t="shared" si="289"/>
        <v>3701.4045599999995</v>
      </c>
      <c r="AA247" s="651">
        <f t="shared" si="289"/>
        <v>3886.4747879999995</v>
      </c>
      <c r="AB247" s="651">
        <f t="shared" si="289"/>
        <v>4071.5450159999996</v>
      </c>
      <c r="AC247" s="651">
        <f t="shared" si="289"/>
        <v>4256.6152439999996</v>
      </c>
      <c r="AD247" s="651">
        <f t="shared" si="289"/>
        <v>4441.6854719999992</v>
      </c>
      <c r="AE247" s="651">
        <f t="shared" si="289"/>
        <v>4626.7556999999988</v>
      </c>
      <c r="AF247" s="651">
        <f t="shared" si="289"/>
        <v>4811.8259279999993</v>
      </c>
      <c r="AG247" s="651">
        <f t="shared" si="289"/>
        <v>4996.8961559999989</v>
      </c>
      <c r="AH247" s="651">
        <f t="shared" si="289"/>
        <v>5181.9663839999985</v>
      </c>
      <c r="AI247" s="651">
        <f t="shared" si="289"/>
        <v>5367.036611999999</v>
      </c>
      <c r="AJ247" s="651">
        <f t="shared" si="289"/>
        <v>5552.1068399999995</v>
      </c>
      <c r="AK247" s="651">
        <f t="shared" si="289"/>
        <v>5737.1770679999991</v>
      </c>
      <c r="AL247" s="651">
        <f t="shared" si="289"/>
        <v>5922.2472959999996</v>
      </c>
      <c r="AM247" s="651">
        <f t="shared" si="289"/>
        <v>6107.3175239999991</v>
      </c>
      <c r="AN247" s="651">
        <f t="shared" si="289"/>
        <v>6292.3877519999987</v>
      </c>
      <c r="AO247" s="651">
        <f t="shared" ref="AO247:BT247" si="290">((AO$232-$I$4)/1000)*$N$121*(($C$8/70)^$X$121)*IF($C$13=1,$AF$120,IF($C$13=2,$AG$120,IF($C$13=3,$AH$120,1)))</f>
        <v>6477.4579799999992</v>
      </c>
      <c r="AP247" s="651">
        <f t="shared" si="290"/>
        <v>6662.5282079999988</v>
      </c>
      <c r="AQ247" s="651">
        <f t="shared" si="290"/>
        <v>6847.5984359999993</v>
      </c>
      <c r="AR247" s="651">
        <f t="shared" si="290"/>
        <v>7032.668663999998</v>
      </c>
      <c r="AS247" s="651">
        <f t="shared" si="290"/>
        <v>7217.7388919999985</v>
      </c>
      <c r="AT247" s="651">
        <f t="shared" si="290"/>
        <v>7402.809119999999</v>
      </c>
      <c r="AU247" s="651">
        <f t="shared" si="290"/>
        <v>7587.8793479999977</v>
      </c>
      <c r="AV247" s="651">
        <f t="shared" si="290"/>
        <v>7772.9495759999991</v>
      </c>
      <c r="AW247" s="651">
        <f t="shared" si="290"/>
        <v>7958.0198039999987</v>
      </c>
      <c r="AX247" s="651">
        <f t="shared" si="290"/>
        <v>8143.0900319999992</v>
      </c>
      <c r="AY247" s="651">
        <f t="shared" si="290"/>
        <v>8328.1602599999987</v>
      </c>
      <c r="AZ247" s="651">
        <f t="shared" si="290"/>
        <v>8513.2304879999992</v>
      </c>
      <c r="BA247" s="651">
        <f t="shared" si="290"/>
        <v>8698.3007159999979</v>
      </c>
      <c r="BB247" s="651">
        <f t="shared" si="290"/>
        <v>8883.3709439999984</v>
      </c>
      <c r="BC247" s="651">
        <f t="shared" si="290"/>
        <v>9068.4411719999989</v>
      </c>
      <c r="BD247" s="651">
        <f t="shared" si="290"/>
        <v>9253.5113999999976</v>
      </c>
      <c r="BE247" s="651">
        <f t="shared" si="290"/>
        <v>9438.5816279999981</v>
      </c>
      <c r="BF247" s="651">
        <f t="shared" si="290"/>
        <v>9623.6518559999986</v>
      </c>
      <c r="BG247" s="651">
        <f t="shared" si="290"/>
        <v>9808.7220839999991</v>
      </c>
      <c r="BH247" s="804">
        <f t="shared" si="290"/>
        <v>-1295.4915959999996</v>
      </c>
      <c r="BI247" s="804">
        <f t="shared" si="290"/>
        <v>-1295.4915959999996</v>
      </c>
      <c r="BJ247" s="804">
        <f t="shared" si="290"/>
        <v>-1295.4915959999996</v>
      </c>
      <c r="BK247" s="804">
        <f t="shared" si="290"/>
        <v>-1295.4915959999996</v>
      </c>
      <c r="BL247" s="804">
        <f t="shared" si="290"/>
        <v>-1295.4915959999996</v>
      </c>
      <c r="BM247" s="804">
        <f t="shared" si="290"/>
        <v>-1295.4915959999996</v>
      </c>
      <c r="BN247" s="804">
        <f t="shared" si="290"/>
        <v>-1295.4915959999996</v>
      </c>
      <c r="BO247" s="804">
        <f t="shared" si="290"/>
        <v>-1295.4915959999996</v>
      </c>
      <c r="BP247" s="804">
        <f t="shared" si="290"/>
        <v>-1295.4915959999996</v>
      </c>
      <c r="BQ247" s="804">
        <f t="shared" si="290"/>
        <v>-1295.4915959999996</v>
      </c>
      <c r="BR247" s="804">
        <f t="shared" si="290"/>
        <v>-1295.4915959999996</v>
      </c>
      <c r="BS247" s="804">
        <f t="shared" si="290"/>
        <v>-1295.4915959999996</v>
      </c>
      <c r="BT247" s="804">
        <f t="shared" si="290"/>
        <v>-1295.4915959999996</v>
      </c>
      <c r="BU247" s="804">
        <f t="shared" ref="BU247:CZ247" si="291">((BU$232-$I$4)/1000)*$N$121*(($C$8/70)^$X$121)*IF($C$13=1,$AF$120,IF($C$13=2,$AG$120,IF($C$13=3,$AH$120,1)))</f>
        <v>-1295.4915959999996</v>
      </c>
      <c r="BV247" s="804">
        <f t="shared" si="291"/>
        <v>-1295.4915959999996</v>
      </c>
      <c r="BW247" s="804">
        <f t="shared" si="291"/>
        <v>-1295.4915959999996</v>
      </c>
      <c r="BX247" s="804">
        <f t="shared" si="291"/>
        <v>-1295.4915959999996</v>
      </c>
      <c r="BY247" s="804">
        <f t="shared" si="291"/>
        <v>-1295.4915959999996</v>
      </c>
      <c r="BZ247" s="804">
        <f t="shared" si="291"/>
        <v>-1295.4915959999996</v>
      </c>
      <c r="CA247" s="804">
        <f t="shared" si="291"/>
        <v>-1295.4915959999996</v>
      </c>
      <c r="CB247" s="804">
        <f t="shared" si="291"/>
        <v>-1295.4915959999996</v>
      </c>
      <c r="CC247" s="804">
        <f t="shared" si="291"/>
        <v>-1295.4915959999996</v>
      </c>
      <c r="CD247" s="804">
        <f t="shared" si="291"/>
        <v>-1295.4915959999996</v>
      </c>
      <c r="CE247" s="804">
        <f t="shared" si="291"/>
        <v>-1295.4915959999996</v>
      </c>
      <c r="CF247" s="804">
        <f t="shared" si="291"/>
        <v>-1295.4915959999996</v>
      </c>
      <c r="CG247" s="804">
        <f t="shared" si="291"/>
        <v>-1295.4915959999996</v>
      </c>
      <c r="CH247" s="804">
        <f t="shared" si="291"/>
        <v>-1295.4915959999996</v>
      </c>
      <c r="CI247" s="804">
        <f t="shared" si="291"/>
        <v>-1295.4915959999996</v>
      </c>
      <c r="CJ247" s="804">
        <f t="shared" si="291"/>
        <v>-1295.4915959999996</v>
      </c>
      <c r="CK247" s="804">
        <f t="shared" si="291"/>
        <v>-1295.4915959999996</v>
      </c>
      <c r="CL247" s="804">
        <f t="shared" si="291"/>
        <v>-1295.4915959999996</v>
      </c>
      <c r="CM247" s="804">
        <f t="shared" si="291"/>
        <v>-1295.4915959999996</v>
      </c>
      <c r="CN247" s="804">
        <f t="shared" si="291"/>
        <v>-1295.4915959999996</v>
      </c>
      <c r="CO247" s="804">
        <f t="shared" si="291"/>
        <v>-1295.4915959999996</v>
      </c>
      <c r="CP247" s="804">
        <f t="shared" si="291"/>
        <v>-1295.4915959999996</v>
      </c>
      <c r="CQ247" s="804">
        <f t="shared" si="291"/>
        <v>-1295.4915959999996</v>
      </c>
      <c r="CR247" s="804">
        <f t="shared" si="291"/>
        <v>-1295.4915959999996</v>
      </c>
      <c r="CS247" s="804">
        <f t="shared" si="291"/>
        <v>-1295.4915959999996</v>
      </c>
      <c r="CT247" s="804">
        <f t="shared" si="291"/>
        <v>-1295.4915959999996</v>
      </c>
      <c r="CU247" s="804">
        <f t="shared" si="291"/>
        <v>-1295.4915959999996</v>
      </c>
      <c r="CV247" s="804">
        <f t="shared" si="291"/>
        <v>-1295.4915959999996</v>
      </c>
      <c r="CW247" s="804">
        <f t="shared" si="291"/>
        <v>-1295.4915959999996</v>
      </c>
      <c r="CX247" s="804">
        <f t="shared" si="291"/>
        <v>-1295.4915959999996</v>
      </c>
      <c r="CY247" s="804">
        <f t="shared" si="291"/>
        <v>-1295.4915959999996</v>
      </c>
      <c r="CZ247" s="804">
        <f t="shared" si="291"/>
        <v>-1295.4915959999996</v>
      </c>
      <c r="DA247" s="804">
        <f t="shared" ref="DA247:DG247" si="292">((DA$232-$I$4)/1000)*$N$121*(($C$8/70)^$X$121)*IF($C$13=1,$AF$120,IF($C$13=2,$AG$120,IF($C$13=3,$AH$120,1)))</f>
        <v>-1295.4915959999996</v>
      </c>
      <c r="DB247" s="804">
        <f t="shared" si="292"/>
        <v>-1295.4915959999996</v>
      </c>
      <c r="DC247" s="804">
        <f t="shared" si="292"/>
        <v>-1295.4915959999996</v>
      </c>
      <c r="DD247" s="804">
        <f t="shared" si="292"/>
        <v>-1295.4915959999996</v>
      </c>
      <c r="DE247" s="804">
        <f t="shared" si="292"/>
        <v>-1295.4915959999996</v>
      </c>
      <c r="DF247" s="804">
        <f t="shared" si="292"/>
        <v>-1295.4915959999996</v>
      </c>
      <c r="DG247" s="804">
        <f t="shared" si="292"/>
        <v>-1295.4915959999996</v>
      </c>
    </row>
    <row r="248" spans="2:111" hidden="1">
      <c r="B248" s="2726" t="s">
        <v>341</v>
      </c>
      <c r="C248" s="2727"/>
      <c r="D248" s="1853"/>
      <c r="E248" s="1853"/>
      <c r="F248" s="1853"/>
      <c r="G248" s="1853"/>
      <c r="H248" s="1853"/>
      <c r="I248" s="651">
        <f t="shared" ref="I248:AN248" si="293">((I$232-$I$4)/1000)*$P$121*(($C$8/70)^$Z$121)*IF($C$13=1,$AF$123,IF($C$13=2,$AG$123,IF($C$13=3,$AH$123,1)))</f>
        <v>540.55990799999995</v>
      </c>
      <c r="J248" s="651">
        <f t="shared" si="293"/>
        <v>720.74654399999997</v>
      </c>
      <c r="K248" s="651">
        <f t="shared" si="293"/>
        <v>900.93317999999988</v>
      </c>
      <c r="L248" s="651">
        <f t="shared" si="293"/>
        <v>1081.1198159999999</v>
      </c>
      <c r="M248" s="651">
        <f t="shared" si="293"/>
        <v>1261.3064519999998</v>
      </c>
      <c r="N248" s="651">
        <f t="shared" si="293"/>
        <v>1441.4930879999999</v>
      </c>
      <c r="O248" s="651">
        <f t="shared" si="293"/>
        <v>1621.6797239999999</v>
      </c>
      <c r="P248" s="651">
        <f t="shared" si="293"/>
        <v>1801.8663599999998</v>
      </c>
      <c r="Q248" s="651">
        <f t="shared" si="293"/>
        <v>1982.0529959999999</v>
      </c>
      <c r="R248" s="651">
        <f t="shared" si="293"/>
        <v>2162.2396319999998</v>
      </c>
      <c r="S248" s="651">
        <f t="shared" si="293"/>
        <v>2342.4262679999997</v>
      </c>
      <c r="T248" s="651">
        <f t="shared" si="293"/>
        <v>2522.6129039999996</v>
      </c>
      <c r="U248" s="651">
        <f t="shared" si="293"/>
        <v>2702.7995399999995</v>
      </c>
      <c r="V248" s="651">
        <f t="shared" si="293"/>
        <v>2882.9861759999999</v>
      </c>
      <c r="W248" s="651">
        <f t="shared" si="293"/>
        <v>3063.1728119999993</v>
      </c>
      <c r="X248" s="651">
        <f t="shared" si="293"/>
        <v>3243.3594479999997</v>
      </c>
      <c r="Y248" s="651">
        <f t="shared" si="293"/>
        <v>3423.5460839999996</v>
      </c>
      <c r="Z248" s="651">
        <f t="shared" si="293"/>
        <v>3603.7327199999995</v>
      </c>
      <c r="AA248" s="651">
        <f t="shared" si="293"/>
        <v>3783.9193559999994</v>
      </c>
      <c r="AB248" s="651">
        <f t="shared" si="293"/>
        <v>3964.1059919999998</v>
      </c>
      <c r="AC248" s="651">
        <f t="shared" si="293"/>
        <v>4144.2926279999992</v>
      </c>
      <c r="AD248" s="651">
        <f t="shared" si="293"/>
        <v>4324.4792639999996</v>
      </c>
      <c r="AE248" s="651">
        <f t="shared" si="293"/>
        <v>4504.6659</v>
      </c>
      <c r="AF248" s="651">
        <f t="shared" si="293"/>
        <v>4684.8525359999994</v>
      </c>
      <c r="AG248" s="651">
        <f t="shared" si="293"/>
        <v>4865.0391719999998</v>
      </c>
      <c r="AH248" s="651">
        <f t="shared" si="293"/>
        <v>5045.2258079999992</v>
      </c>
      <c r="AI248" s="651">
        <f t="shared" si="293"/>
        <v>5225.4124439999996</v>
      </c>
      <c r="AJ248" s="651">
        <f t="shared" si="293"/>
        <v>5405.599079999999</v>
      </c>
      <c r="AK248" s="651">
        <f t="shared" si="293"/>
        <v>5585.7857159999994</v>
      </c>
      <c r="AL248" s="651">
        <f t="shared" si="293"/>
        <v>5765.9723519999998</v>
      </c>
      <c r="AM248" s="651">
        <f t="shared" si="293"/>
        <v>5946.1589879999992</v>
      </c>
      <c r="AN248" s="651">
        <f t="shared" si="293"/>
        <v>6126.3456239999987</v>
      </c>
      <c r="AO248" s="651">
        <f t="shared" ref="AO248:BT248" si="294">((AO$232-$I$4)/1000)*$P$121*(($C$8/70)^$Z$121)*IF($C$13=1,$AF$123,IF($C$13=2,$AG$123,IF($C$13=3,$AH$123,1)))</f>
        <v>6306.532259999999</v>
      </c>
      <c r="AP248" s="651">
        <f t="shared" si="294"/>
        <v>6486.7188959999994</v>
      </c>
      <c r="AQ248" s="651">
        <f t="shared" si="294"/>
        <v>6666.9055319999998</v>
      </c>
      <c r="AR248" s="651">
        <f t="shared" si="294"/>
        <v>6847.0921679999992</v>
      </c>
      <c r="AS248" s="651">
        <f t="shared" si="294"/>
        <v>7027.2788039999987</v>
      </c>
      <c r="AT248" s="651">
        <f t="shared" si="294"/>
        <v>7207.465439999999</v>
      </c>
      <c r="AU248" s="651">
        <f t="shared" si="294"/>
        <v>7387.6520759999985</v>
      </c>
      <c r="AV248" s="651">
        <f t="shared" si="294"/>
        <v>7567.8387119999988</v>
      </c>
      <c r="AW248" s="651">
        <f t="shared" si="294"/>
        <v>7748.0253479999983</v>
      </c>
      <c r="AX248" s="651">
        <f t="shared" si="294"/>
        <v>7928.2119839999996</v>
      </c>
      <c r="AY248" s="651">
        <f t="shared" si="294"/>
        <v>8108.398619999999</v>
      </c>
      <c r="AZ248" s="651">
        <f t="shared" si="294"/>
        <v>8288.5852559999985</v>
      </c>
      <c r="BA248" s="651">
        <f t="shared" si="294"/>
        <v>8468.7718919999988</v>
      </c>
      <c r="BB248" s="651">
        <f t="shared" si="294"/>
        <v>8648.9585279999992</v>
      </c>
      <c r="BC248" s="651">
        <f t="shared" si="294"/>
        <v>8829.1451639999996</v>
      </c>
      <c r="BD248" s="651">
        <f t="shared" si="294"/>
        <v>9009.3317999999999</v>
      </c>
      <c r="BE248" s="651">
        <f t="shared" si="294"/>
        <v>9189.5184359999985</v>
      </c>
      <c r="BF248" s="651">
        <f t="shared" si="294"/>
        <v>9369.7050719999988</v>
      </c>
      <c r="BG248" s="651">
        <f t="shared" si="294"/>
        <v>9549.8917079999992</v>
      </c>
      <c r="BH248" s="804">
        <f t="shared" si="294"/>
        <v>-1261.3064519999998</v>
      </c>
      <c r="BI248" s="804">
        <f t="shared" si="294"/>
        <v>-1261.3064519999998</v>
      </c>
      <c r="BJ248" s="804">
        <f t="shared" si="294"/>
        <v>-1261.3064519999998</v>
      </c>
      <c r="BK248" s="804">
        <f t="shared" si="294"/>
        <v>-1261.3064519999998</v>
      </c>
      <c r="BL248" s="804">
        <f t="shared" si="294"/>
        <v>-1261.3064519999998</v>
      </c>
      <c r="BM248" s="804">
        <f t="shared" si="294"/>
        <v>-1261.3064519999998</v>
      </c>
      <c r="BN248" s="804">
        <f t="shared" si="294"/>
        <v>-1261.3064519999998</v>
      </c>
      <c r="BO248" s="804">
        <f t="shared" si="294"/>
        <v>-1261.3064519999998</v>
      </c>
      <c r="BP248" s="804">
        <f t="shared" si="294"/>
        <v>-1261.3064519999998</v>
      </c>
      <c r="BQ248" s="804">
        <f t="shared" si="294"/>
        <v>-1261.3064519999998</v>
      </c>
      <c r="BR248" s="804">
        <f t="shared" si="294"/>
        <v>-1261.3064519999998</v>
      </c>
      <c r="BS248" s="804">
        <f t="shared" si="294"/>
        <v>-1261.3064519999998</v>
      </c>
      <c r="BT248" s="804">
        <f t="shared" si="294"/>
        <v>-1261.3064519999998</v>
      </c>
      <c r="BU248" s="804">
        <f t="shared" ref="BU248:CZ248" si="295">((BU$232-$I$4)/1000)*$P$121*(($C$8/70)^$Z$121)*IF($C$13=1,$AF$123,IF($C$13=2,$AG$123,IF($C$13=3,$AH$123,1)))</f>
        <v>-1261.3064519999998</v>
      </c>
      <c r="BV248" s="804">
        <f t="shared" si="295"/>
        <v>-1261.3064519999998</v>
      </c>
      <c r="BW248" s="804">
        <f t="shared" si="295"/>
        <v>-1261.3064519999998</v>
      </c>
      <c r="BX248" s="804">
        <f t="shared" si="295"/>
        <v>-1261.3064519999998</v>
      </c>
      <c r="BY248" s="804">
        <f t="shared" si="295"/>
        <v>-1261.3064519999998</v>
      </c>
      <c r="BZ248" s="804">
        <f t="shared" si="295"/>
        <v>-1261.3064519999998</v>
      </c>
      <c r="CA248" s="804">
        <f t="shared" si="295"/>
        <v>-1261.3064519999998</v>
      </c>
      <c r="CB248" s="804">
        <f t="shared" si="295"/>
        <v>-1261.3064519999998</v>
      </c>
      <c r="CC248" s="804">
        <f t="shared" si="295"/>
        <v>-1261.3064519999998</v>
      </c>
      <c r="CD248" s="804">
        <f t="shared" si="295"/>
        <v>-1261.3064519999998</v>
      </c>
      <c r="CE248" s="804">
        <f t="shared" si="295"/>
        <v>-1261.3064519999998</v>
      </c>
      <c r="CF248" s="804">
        <f t="shared" si="295"/>
        <v>-1261.3064519999998</v>
      </c>
      <c r="CG248" s="804">
        <f t="shared" si="295"/>
        <v>-1261.3064519999998</v>
      </c>
      <c r="CH248" s="804">
        <f t="shared" si="295"/>
        <v>-1261.3064519999998</v>
      </c>
      <c r="CI248" s="804">
        <f t="shared" si="295"/>
        <v>-1261.3064519999998</v>
      </c>
      <c r="CJ248" s="804">
        <f t="shared" si="295"/>
        <v>-1261.3064519999998</v>
      </c>
      <c r="CK248" s="804">
        <f t="shared" si="295"/>
        <v>-1261.3064519999998</v>
      </c>
      <c r="CL248" s="804">
        <f t="shared" si="295"/>
        <v>-1261.3064519999998</v>
      </c>
      <c r="CM248" s="804">
        <f t="shared" si="295"/>
        <v>-1261.3064519999998</v>
      </c>
      <c r="CN248" s="804">
        <f t="shared" si="295"/>
        <v>-1261.3064519999998</v>
      </c>
      <c r="CO248" s="804">
        <f t="shared" si="295"/>
        <v>-1261.3064519999998</v>
      </c>
      <c r="CP248" s="804">
        <f t="shared" si="295"/>
        <v>-1261.3064519999998</v>
      </c>
      <c r="CQ248" s="804">
        <f t="shared" si="295"/>
        <v>-1261.3064519999998</v>
      </c>
      <c r="CR248" s="804">
        <f t="shared" si="295"/>
        <v>-1261.3064519999998</v>
      </c>
      <c r="CS248" s="804">
        <f t="shared" si="295"/>
        <v>-1261.3064519999998</v>
      </c>
      <c r="CT248" s="804">
        <f t="shared" si="295"/>
        <v>-1261.3064519999998</v>
      </c>
      <c r="CU248" s="804">
        <f t="shared" si="295"/>
        <v>-1261.3064519999998</v>
      </c>
      <c r="CV248" s="804">
        <f t="shared" si="295"/>
        <v>-1261.3064519999998</v>
      </c>
      <c r="CW248" s="804">
        <f t="shared" si="295"/>
        <v>-1261.3064519999998</v>
      </c>
      <c r="CX248" s="804">
        <f t="shared" si="295"/>
        <v>-1261.3064519999998</v>
      </c>
      <c r="CY248" s="804">
        <f t="shared" si="295"/>
        <v>-1261.3064519999998</v>
      </c>
      <c r="CZ248" s="804">
        <f t="shared" si="295"/>
        <v>-1261.3064519999998</v>
      </c>
      <c r="DA248" s="804">
        <f t="shared" ref="DA248:DG248" si="296">((DA$232-$I$4)/1000)*$P$121*(($C$8/70)^$Z$121)*IF($C$13=1,$AF$123,IF($C$13=2,$AG$123,IF($C$13=3,$AH$123,1)))</f>
        <v>-1261.3064519999998</v>
      </c>
      <c r="DB248" s="804">
        <f t="shared" si="296"/>
        <v>-1261.3064519999998</v>
      </c>
      <c r="DC248" s="804">
        <f t="shared" si="296"/>
        <v>-1261.3064519999998</v>
      </c>
      <c r="DD248" s="804">
        <f t="shared" si="296"/>
        <v>-1261.3064519999998</v>
      </c>
      <c r="DE248" s="804">
        <f t="shared" si="296"/>
        <v>-1261.3064519999998</v>
      </c>
      <c r="DF248" s="804">
        <f t="shared" si="296"/>
        <v>-1261.3064519999998</v>
      </c>
      <c r="DG248" s="804">
        <f t="shared" si="296"/>
        <v>-1261.3064519999998</v>
      </c>
    </row>
    <row r="249" spans="2:111" ht="15.75" hidden="1" thickBot="1">
      <c r="B249" s="2712" t="s">
        <v>342</v>
      </c>
      <c r="C249" s="2713"/>
      <c r="D249" s="1854"/>
      <c r="E249" s="1854"/>
      <c r="F249" s="1854"/>
      <c r="G249" s="1854"/>
      <c r="H249" s="1854"/>
      <c r="I249" s="618">
        <f t="shared" ref="I249:AN249" si="297">((I$232-$I$4)/1000)*$Q$121*(($C$8/70)^$AA$121)*IF($C$13=1,$AF$120,IF($C$13=2,$AG$120,IF($C$13=3,$AH$120,1)))</f>
        <v>700.01661599999977</v>
      </c>
      <c r="J249" s="618">
        <f t="shared" si="297"/>
        <v>933.35548799999992</v>
      </c>
      <c r="K249" s="618">
        <f t="shared" si="297"/>
        <v>1166.6943599999997</v>
      </c>
      <c r="L249" s="618">
        <f t="shared" si="297"/>
        <v>1400.0332319999995</v>
      </c>
      <c r="M249" s="618">
        <f t="shared" si="297"/>
        <v>1633.3721039999996</v>
      </c>
      <c r="N249" s="618">
        <f t="shared" si="297"/>
        <v>1866.7109759999998</v>
      </c>
      <c r="O249" s="618">
        <f t="shared" si="297"/>
        <v>2100.0498479999997</v>
      </c>
      <c r="P249" s="618">
        <f t="shared" si="297"/>
        <v>2333.3887199999995</v>
      </c>
      <c r="Q249" s="618">
        <f t="shared" si="297"/>
        <v>2566.7275919999993</v>
      </c>
      <c r="R249" s="618">
        <f t="shared" si="297"/>
        <v>2800.0664639999991</v>
      </c>
      <c r="S249" s="618">
        <f t="shared" si="297"/>
        <v>3033.4053359999994</v>
      </c>
      <c r="T249" s="618">
        <f t="shared" si="297"/>
        <v>3266.7442079999992</v>
      </c>
      <c r="U249" s="618">
        <f t="shared" si="297"/>
        <v>3500.0830799999994</v>
      </c>
      <c r="V249" s="618">
        <f t="shared" si="297"/>
        <v>3733.4219519999997</v>
      </c>
      <c r="W249" s="618">
        <f t="shared" si="297"/>
        <v>3966.7608239999986</v>
      </c>
      <c r="X249" s="618">
        <f t="shared" si="297"/>
        <v>4200.0996959999993</v>
      </c>
      <c r="Y249" s="618">
        <f t="shared" si="297"/>
        <v>4433.4385679999987</v>
      </c>
      <c r="Z249" s="618">
        <f t="shared" si="297"/>
        <v>4666.7774399999989</v>
      </c>
      <c r="AA249" s="618">
        <f t="shared" si="297"/>
        <v>4900.1163119999992</v>
      </c>
      <c r="AB249" s="618">
        <f t="shared" si="297"/>
        <v>5133.4551839999986</v>
      </c>
      <c r="AC249" s="618">
        <f t="shared" si="297"/>
        <v>5366.7940559999979</v>
      </c>
      <c r="AD249" s="618">
        <f t="shared" si="297"/>
        <v>5600.1329279999982</v>
      </c>
      <c r="AE249" s="618">
        <f t="shared" si="297"/>
        <v>5833.4717999999984</v>
      </c>
      <c r="AF249" s="618">
        <f t="shared" si="297"/>
        <v>6066.8106719999987</v>
      </c>
      <c r="AG249" s="618">
        <f t="shared" si="297"/>
        <v>6300.149543999999</v>
      </c>
      <c r="AH249" s="618">
        <f t="shared" si="297"/>
        <v>6533.4884159999983</v>
      </c>
      <c r="AI249" s="618">
        <f t="shared" si="297"/>
        <v>6766.8272879999986</v>
      </c>
      <c r="AJ249" s="618">
        <f t="shared" si="297"/>
        <v>7000.1661599999989</v>
      </c>
      <c r="AK249" s="618">
        <f t="shared" si="297"/>
        <v>7233.5050319999991</v>
      </c>
      <c r="AL249" s="618">
        <f t="shared" si="297"/>
        <v>7466.8439039999994</v>
      </c>
      <c r="AM249" s="618">
        <f t="shared" si="297"/>
        <v>7700.1827759999987</v>
      </c>
      <c r="AN249" s="618">
        <f t="shared" si="297"/>
        <v>7933.5216479999972</v>
      </c>
      <c r="AO249" s="618">
        <f t="shared" ref="AO249:BT249" si="298">((AO$232-$I$4)/1000)*$Q$121*(($C$8/70)^$AA$121)*IF($C$13=1,$AF$120,IF($C$13=2,$AG$120,IF($C$13=3,$AH$120,1)))</f>
        <v>8166.8605199999975</v>
      </c>
      <c r="AP249" s="618">
        <f t="shared" si="298"/>
        <v>8400.1993919999986</v>
      </c>
      <c r="AQ249" s="618">
        <f t="shared" si="298"/>
        <v>8633.5382639999989</v>
      </c>
      <c r="AR249" s="618">
        <f t="shared" si="298"/>
        <v>8866.8771359999973</v>
      </c>
      <c r="AS249" s="618">
        <f t="shared" si="298"/>
        <v>9100.2160079999976</v>
      </c>
      <c r="AT249" s="618">
        <f t="shared" si="298"/>
        <v>9333.5548799999979</v>
      </c>
      <c r="AU249" s="618">
        <f t="shared" si="298"/>
        <v>9566.8937519999963</v>
      </c>
      <c r="AV249" s="618">
        <f t="shared" si="298"/>
        <v>9800.2326239999984</v>
      </c>
      <c r="AW249" s="618">
        <f t="shared" si="298"/>
        <v>10033.571495999997</v>
      </c>
      <c r="AX249" s="618">
        <f t="shared" si="298"/>
        <v>10266.910367999997</v>
      </c>
      <c r="AY249" s="618">
        <f t="shared" si="298"/>
        <v>10500.249239999997</v>
      </c>
      <c r="AZ249" s="618">
        <f t="shared" si="298"/>
        <v>10733.588111999996</v>
      </c>
      <c r="BA249" s="618">
        <f t="shared" si="298"/>
        <v>10966.926983999998</v>
      </c>
      <c r="BB249" s="618">
        <f t="shared" si="298"/>
        <v>11200.265855999996</v>
      </c>
      <c r="BC249" s="618">
        <f t="shared" si="298"/>
        <v>11433.604727999998</v>
      </c>
      <c r="BD249" s="618">
        <f t="shared" si="298"/>
        <v>11666.943599999997</v>
      </c>
      <c r="BE249" s="618">
        <f t="shared" si="298"/>
        <v>11900.282471999995</v>
      </c>
      <c r="BF249" s="618">
        <f t="shared" si="298"/>
        <v>12133.621343999997</v>
      </c>
      <c r="BG249" s="618">
        <f t="shared" si="298"/>
        <v>12366.960215999996</v>
      </c>
      <c r="BH249" s="804">
        <f t="shared" si="298"/>
        <v>-1633.3721039999996</v>
      </c>
      <c r="BI249" s="804">
        <f t="shared" si="298"/>
        <v>-1633.3721039999996</v>
      </c>
      <c r="BJ249" s="804">
        <f t="shared" si="298"/>
        <v>-1633.3721039999996</v>
      </c>
      <c r="BK249" s="804">
        <f t="shared" si="298"/>
        <v>-1633.3721039999996</v>
      </c>
      <c r="BL249" s="804">
        <f t="shared" si="298"/>
        <v>-1633.3721039999996</v>
      </c>
      <c r="BM249" s="804">
        <f t="shared" si="298"/>
        <v>-1633.3721039999996</v>
      </c>
      <c r="BN249" s="804">
        <f t="shared" si="298"/>
        <v>-1633.3721039999996</v>
      </c>
      <c r="BO249" s="804">
        <f t="shared" si="298"/>
        <v>-1633.3721039999996</v>
      </c>
      <c r="BP249" s="804">
        <f t="shared" si="298"/>
        <v>-1633.3721039999996</v>
      </c>
      <c r="BQ249" s="804">
        <f t="shared" si="298"/>
        <v>-1633.3721039999996</v>
      </c>
      <c r="BR249" s="804">
        <f t="shared" si="298"/>
        <v>-1633.3721039999996</v>
      </c>
      <c r="BS249" s="804">
        <f t="shared" si="298"/>
        <v>-1633.3721039999996</v>
      </c>
      <c r="BT249" s="804">
        <f t="shared" si="298"/>
        <v>-1633.3721039999996</v>
      </c>
      <c r="BU249" s="804">
        <f t="shared" ref="BU249:CZ249" si="299">((BU$232-$I$4)/1000)*$Q$121*(($C$8/70)^$AA$121)*IF($C$13=1,$AF$120,IF($C$13=2,$AG$120,IF($C$13=3,$AH$120,1)))</f>
        <v>-1633.3721039999996</v>
      </c>
      <c r="BV249" s="804">
        <f t="shared" si="299"/>
        <v>-1633.3721039999996</v>
      </c>
      <c r="BW249" s="804">
        <f t="shared" si="299"/>
        <v>-1633.3721039999996</v>
      </c>
      <c r="BX249" s="804">
        <f t="shared" si="299"/>
        <v>-1633.3721039999996</v>
      </c>
      <c r="BY249" s="804">
        <f t="shared" si="299"/>
        <v>-1633.3721039999996</v>
      </c>
      <c r="BZ249" s="804">
        <f t="shared" si="299"/>
        <v>-1633.3721039999996</v>
      </c>
      <c r="CA249" s="804">
        <f t="shared" si="299"/>
        <v>-1633.3721039999996</v>
      </c>
      <c r="CB249" s="804">
        <f t="shared" si="299"/>
        <v>-1633.3721039999996</v>
      </c>
      <c r="CC249" s="804">
        <f t="shared" si="299"/>
        <v>-1633.3721039999996</v>
      </c>
      <c r="CD249" s="804">
        <f t="shared" si="299"/>
        <v>-1633.3721039999996</v>
      </c>
      <c r="CE249" s="804">
        <f t="shared" si="299"/>
        <v>-1633.3721039999996</v>
      </c>
      <c r="CF249" s="804">
        <f t="shared" si="299"/>
        <v>-1633.3721039999996</v>
      </c>
      <c r="CG249" s="804">
        <f t="shared" si="299"/>
        <v>-1633.3721039999996</v>
      </c>
      <c r="CH249" s="804">
        <f t="shared" si="299"/>
        <v>-1633.3721039999996</v>
      </c>
      <c r="CI249" s="804">
        <f t="shared" si="299"/>
        <v>-1633.3721039999996</v>
      </c>
      <c r="CJ249" s="804">
        <f t="shared" si="299"/>
        <v>-1633.3721039999996</v>
      </c>
      <c r="CK249" s="804">
        <f t="shared" si="299"/>
        <v>-1633.3721039999996</v>
      </c>
      <c r="CL249" s="804">
        <f t="shared" si="299"/>
        <v>-1633.3721039999996</v>
      </c>
      <c r="CM249" s="804">
        <f t="shared" si="299"/>
        <v>-1633.3721039999996</v>
      </c>
      <c r="CN249" s="804">
        <f t="shared" si="299"/>
        <v>-1633.3721039999996</v>
      </c>
      <c r="CO249" s="804">
        <f t="shared" si="299"/>
        <v>-1633.3721039999996</v>
      </c>
      <c r="CP249" s="804">
        <f t="shared" si="299"/>
        <v>-1633.3721039999996</v>
      </c>
      <c r="CQ249" s="804">
        <f t="shared" si="299"/>
        <v>-1633.3721039999996</v>
      </c>
      <c r="CR249" s="804">
        <f t="shared" si="299"/>
        <v>-1633.3721039999996</v>
      </c>
      <c r="CS249" s="804">
        <f t="shared" si="299"/>
        <v>-1633.3721039999996</v>
      </c>
      <c r="CT249" s="804">
        <f t="shared" si="299"/>
        <v>-1633.3721039999996</v>
      </c>
      <c r="CU249" s="804">
        <f t="shared" si="299"/>
        <v>-1633.3721039999996</v>
      </c>
      <c r="CV249" s="804">
        <f t="shared" si="299"/>
        <v>-1633.3721039999996</v>
      </c>
      <c r="CW249" s="804">
        <f t="shared" si="299"/>
        <v>-1633.3721039999996</v>
      </c>
      <c r="CX249" s="804">
        <f t="shared" si="299"/>
        <v>-1633.3721039999996</v>
      </c>
      <c r="CY249" s="804">
        <f t="shared" si="299"/>
        <v>-1633.3721039999996</v>
      </c>
      <c r="CZ249" s="804">
        <f t="shared" si="299"/>
        <v>-1633.3721039999996</v>
      </c>
      <c r="DA249" s="804">
        <f t="shared" ref="DA249:DG249" si="300">((DA$232-$I$4)/1000)*$Q$121*(($C$8/70)^$AA$121)*IF($C$13=1,$AF$120,IF($C$13=2,$AG$120,IF($C$13=3,$AH$120,1)))</f>
        <v>-1633.3721039999996</v>
      </c>
      <c r="DB249" s="804">
        <f t="shared" si="300"/>
        <v>-1633.3721039999996</v>
      </c>
      <c r="DC249" s="804">
        <f t="shared" si="300"/>
        <v>-1633.3721039999996</v>
      </c>
      <c r="DD249" s="804">
        <f t="shared" si="300"/>
        <v>-1633.3721039999996</v>
      </c>
      <c r="DE249" s="804">
        <f t="shared" si="300"/>
        <v>-1633.3721039999996</v>
      </c>
      <c r="DF249" s="804">
        <f t="shared" si="300"/>
        <v>-1633.3721039999996</v>
      </c>
      <c r="DG249" s="804">
        <f t="shared" si="300"/>
        <v>-1633.3721039999996</v>
      </c>
    </row>
  </sheetData>
  <sheetProtection algorithmName="SHA-512" hashValue="swfRumRVdlv4Yzt5tIbXEe+iDhvbbJib4t0wWy4Fw9qd3CDGuhpRAAzUluzyM9K2zAUuqN80NBUEhEo0QqWyHg==" saltValue="Fytr0jwkjXcV5kurQAFxBg==" spinCount="100000" sheet="1" objects="1" scenarios="1"/>
  <mergeCells count="250">
    <mergeCell ref="B245:C245"/>
    <mergeCell ref="B246:C246"/>
    <mergeCell ref="B247:C247"/>
    <mergeCell ref="B248:C248"/>
    <mergeCell ref="B249:C249"/>
    <mergeCell ref="B239:C239"/>
    <mergeCell ref="B240:C240"/>
    <mergeCell ref="B241:C241"/>
    <mergeCell ref="B242:C242"/>
    <mergeCell ref="B243:C243"/>
    <mergeCell ref="B244:C244"/>
    <mergeCell ref="B231:C232"/>
    <mergeCell ref="I231:BG231"/>
    <mergeCell ref="B233:C233"/>
    <mergeCell ref="D233:D238"/>
    <mergeCell ref="B234:C234"/>
    <mergeCell ref="B235:C235"/>
    <mergeCell ref="B236:C236"/>
    <mergeCell ref="B237:C237"/>
    <mergeCell ref="B238:C238"/>
    <mergeCell ref="F226:F227"/>
    <mergeCell ref="G226:G227"/>
    <mergeCell ref="H226:H227"/>
    <mergeCell ref="I226:BG226"/>
    <mergeCell ref="B228:C228"/>
    <mergeCell ref="D228:D229"/>
    <mergeCell ref="B229:C229"/>
    <mergeCell ref="B221:C221"/>
    <mergeCell ref="B222:C222"/>
    <mergeCell ref="B223:C223"/>
    <mergeCell ref="B224:C224"/>
    <mergeCell ref="B226:C227"/>
    <mergeCell ref="E226:E227"/>
    <mergeCell ref="B216:C216"/>
    <mergeCell ref="B217:C217"/>
    <mergeCell ref="D217:D220"/>
    <mergeCell ref="B218:C218"/>
    <mergeCell ref="B219:C219"/>
    <mergeCell ref="B220:C220"/>
    <mergeCell ref="A209:A220"/>
    <mergeCell ref="B209:C209"/>
    <mergeCell ref="D209:D212"/>
    <mergeCell ref="B210:C210"/>
    <mergeCell ref="B211:C211"/>
    <mergeCell ref="B212:C212"/>
    <mergeCell ref="B213:C213"/>
    <mergeCell ref="D213:D216"/>
    <mergeCell ref="B214:C214"/>
    <mergeCell ref="B215:C215"/>
    <mergeCell ref="B207:C208"/>
    <mergeCell ref="E207:E208"/>
    <mergeCell ref="F207:F208"/>
    <mergeCell ref="G207:G208"/>
    <mergeCell ref="H207:H208"/>
    <mergeCell ref="I207:BG207"/>
    <mergeCell ref="B200:C200"/>
    <mergeCell ref="B201:C201"/>
    <mergeCell ref="B202:C202"/>
    <mergeCell ref="D202:D205"/>
    <mergeCell ref="B203:C203"/>
    <mergeCell ref="B204:C204"/>
    <mergeCell ref="B205:C205"/>
    <mergeCell ref="I192:BG192"/>
    <mergeCell ref="A194:A205"/>
    <mergeCell ref="B194:C194"/>
    <mergeCell ref="D194:D197"/>
    <mergeCell ref="B195:C195"/>
    <mergeCell ref="B196:C196"/>
    <mergeCell ref="B197:C197"/>
    <mergeCell ref="B198:C198"/>
    <mergeCell ref="D198:D201"/>
    <mergeCell ref="B199:C199"/>
    <mergeCell ref="B191:C191"/>
    <mergeCell ref="B192:C193"/>
    <mergeCell ref="E192:E193"/>
    <mergeCell ref="F192:F193"/>
    <mergeCell ref="G192:G193"/>
    <mergeCell ref="H192:H193"/>
    <mergeCell ref="B182:C182"/>
    <mergeCell ref="D182:D190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73:C173"/>
    <mergeCell ref="D173:D181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65:C165"/>
    <mergeCell ref="D165:D172"/>
    <mergeCell ref="B166:C166"/>
    <mergeCell ref="B167:C167"/>
    <mergeCell ref="B168:C168"/>
    <mergeCell ref="B169:C169"/>
    <mergeCell ref="B170:C170"/>
    <mergeCell ref="B171:C171"/>
    <mergeCell ref="B172:C172"/>
    <mergeCell ref="B157:C157"/>
    <mergeCell ref="D157:D164"/>
    <mergeCell ref="B158:C158"/>
    <mergeCell ref="B159:C159"/>
    <mergeCell ref="B160:C160"/>
    <mergeCell ref="B161:C161"/>
    <mergeCell ref="B162:C162"/>
    <mergeCell ref="B163:C163"/>
    <mergeCell ref="B164:C164"/>
    <mergeCell ref="AG136:AP136"/>
    <mergeCell ref="AQ136:AZ136"/>
    <mergeCell ref="B149:C149"/>
    <mergeCell ref="D149:D152"/>
    <mergeCell ref="B150:C150"/>
    <mergeCell ref="B151:C151"/>
    <mergeCell ref="B152:C152"/>
    <mergeCell ref="B153:C153"/>
    <mergeCell ref="D153:D156"/>
    <mergeCell ref="B154:C154"/>
    <mergeCell ref="B155:C155"/>
    <mergeCell ref="B156:C156"/>
    <mergeCell ref="BA136:BG136"/>
    <mergeCell ref="I137:BG137"/>
    <mergeCell ref="A141:A188"/>
    <mergeCell ref="B141:C141"/>
    <mergeCell ref="D141:D142"/>
    <mergeCell ref="B142:C142"/>
    <mergeCell ref="B143:C143"/>
    <mergeCell ref="B133:B134"/>
    <mergeCell ref="K134:BI134"/>
    <mergeCell ref="B135:C135"/>
    <mergeCell ref="B136:C138"/>
    <mergeCell ref="D136:D138"/>
    <mergeCell ref="E136:E138"/>
    <mergeCell ref="F136:F138"/>
    <mergeCell ref="G136:G138"/>
    <mergeCell ref="H136:H138"/>
    <mergeCell ref="K136:V136"/>
    <mergeCell ref="B144:C144"/>
    <mergeCell ref="B145:C145"/>
    <mergeCell ref="D145:D146"/>
    <mergeCell ref="B146:C146"/>
    <mergeCell ref="B147:C147"/>
    <mergeCell ref="B148:C148"/>
    <mergeCell ref="W136:AF136"/>
    <mergeCell ref="V116:V117"/>
    <mergeCell ref="W116:W117"/>
    <mergeCell ref="X116:X117"/>
    <mergeCell ref="Y116:Z116"/>
    <mergeCell ref="AA116:AA117"/>
    <mergeCell ref="AB116:AC116"/>
    <mergeCell ref="AE100:AH100"/>
    <mergeCell ref="K115:S115"/>
    <mergeCell ref="U115:AC115"/>
    <mergeCell ref="AE115:AH115"/>
    <mergeCell ref="L116:L117"/>
    <mergeCell ref="M116:M117"/>
    <mergeCell ref="N116:N117"/>
    <mergeCell ref="O116:P116"/>
    <mergeCell ref="Q116:Q117"/>
    <mergeCell ref="R116:S116"/>
    <mergeCell ref="V100:V101"/>
    <mergeCell ref="W100:W101"/>
    <mergeCell ref="X100:X101"/>
    <mergeCell ref="Y100:Z100"/>
    <mergeCell ref="AA100:AA101"/>
    <mergeCell ref="AB100:AC100"/>
    <mergeCell ref="AE80:AH80"/>
    <mergeCell ref="K98:AC98"/>
    <mergeCell ref="K99:S99"/>
    <mergeCell ref="U99:AC99"/>
    <mergeCell ref="L100:L101"/>
    <mergeCell ref="M100:M101"/>
    <mergeCell ref="N100:N101"/>
    <mergeCell ref="O100:P100"/>
    <mergeCell ref="Q100:Q101"/>
    <mergeCell ref="R100:S100"/>
    <mergeCell ref="V80:V81"/>
    <mergeCell ref="W80:W81"/>
    <mergeCell ref="X80:X81"/>
    <mergeCell ref="Y80:Z80"/>
    <mergeCell ref="AA80:AA81"/>
    <mergeCell ref="AB80:AC80"/>
    <mergeCell ref="K78:AC78"/>
    <mergeCell ref="K79:S79"/>
    <mergeCell ref="U79:AC79"/>
    <mergeCell ref="L80:L81"/>
    <mergeCell ref="M80:M81"/>
    <mergeCell ref="N80:N81"/>
    <mergeCell ref="O80:P80"/>
    <mergeCell ref="Q80:Q81"/>
    <mergeCell ref="R80:S80"/>
    <mergeCell ref="AG43:AJ43"/>
    <mergeCell ref="K59:AC59"/>
    <mergeCell ref="K60:S60"/>
    <mergeCell ref="U60:AC60"/>
    <mergeCell ref="L61:L62"/>
    <mergeCell ref="M61:M62"/>
    <mergeCell ref="N61:N62"/>
    <mergeCell ref="O61:P61"/>
    <mergeCell ref="Q61:Q62"/>
    <mergeCell ref="R61:S61"/>
    <mergeCell ref="W43:W44"/>
    <mergeCell ref="X43:X44"/>
    <mergeCell ref="Y43:Y44"/>
    <mergeCell ref="Z43:AA43"/>
    <mergeCell ref="AB43:AC43"/>
    <mergeCell ref="AD43:AE43"/>
    <mergeCell ref="AE61:AH61"/>
    <mergeCell ref="V61:V62"/>
    <mergeCell ref="W61:W62"/>
    <mergeCell ref="X61:X62"/>
    <mergeCell ref="Y61:Z61"/>
    <mergeCell ref="AA61:AA62"/>
    <mergeCell ref="AB61:AC61"/>
    <mergeCell ref="L43:L44"/>
    <mergeCell ref="M43:M44"/>
    <mergeCell ref="N43:N44"/>
    <mergeCell ref="O43:P43"/>
    <mergeCell ref="Q43:R43"/>
    <mergeCell ref="S43:T43"/>
    <mergeCell ref="W26:W27"/>
    <mergeCell ref="X26:X27"/>
    <mergeCell ref="Y26:Y27"/>
    <mergeCell ref="L26:L27"/>
    <mergeCell ref="M26:M27"/>
    <mergeCell ref="N26:N27"/>
    <mergeCell ref="O26:P26"/>
    <mergeCell ref="Q26:R26"/>
    <mergeCell ref="S26:T26"/>
    <mergeCell ref="K1:AF3"/>
    <mergeCell ref="T17:T19"/>
    <mergeCell ref="U17:Y17"/>
    <mergeCell ref="U18:Y18"/>
    <mergeCell ref="K25:T25"/>
    <mergeCell ref="V25:AE25"/>
    <mergeCell ref="AG26:AJ26"/>
    <mergeCell ref="K41:AE41"/>
    <mergeCell ref="K42:T42"/>
    <mergeCell ref="V42:AE42"/>
    <mergeCell ref="Z26:AA26"/>
    <mergeCell ref="AB26:AC26"/>
    <mergeCell ref="AD26:AE26"/>
  </mergeCells>
  <conditionalFormatting sqref="BH182:BI184 BH185:DG187 BH188:BI188 I230:BG230 BH157:DG157 BH158:BI168 BH170:BI170 BH169:DG169 BH173:BI177 BH178:DG179 BH181:DG181 K157:BG170 K181:BG190 K173:BG179">
    <cfRule type="cellIs" dxfId="55" priority="37" operator="between">
      <formula>$K$11</formula>
      <formula>$K$12</formula>
    </cfRule>
  </conditionalFormatting>
  <conditionalFormatting sqref="I209:BG212">
    <cfRule type="cellIs" dxfId="54" priority="36" operator="between">
      <formula>$K$11</formula>
      <formula>$K$12</formula>
    </cfRule>
  </conditionalFormatting>
  <conditionalFormatting sqref="I213:BG216">
    <cfRule type="cellIs" dxfId="53" priority="35" operator="between">
      <formula>$K$11</formula>
      <formula>$K$12</formula>
    </cfRule>
  </conditionalFormatting>
  <conditionalFormatting sqref="I217:BG220">
    <cfRule type="cellIs" dxfId="52" priority="34" operator="between">
      <formula>$K$11</formula>
      <formula>$K$12</formula>
    </cfRule>
  </conditionalFormatting>
  <conditionalFormatting sqref="I221:BG225">
    <cfRule type="cellIs" dxfId="51" priority="33" operator="between">
      <formula>$K$11</formula>
      <formula>$K$12</formula>
    </cfRule>
  </conditionalFormatting>
  <conditionalFormatting sqref="K149:BI152">
    <cfRule type="cellIs" dxfId="50" priority="32" operator="between">
      <formula>$K$11</formula>
      <formula>$K$12</formula>
    </cfRule>
  </conditionalFormatting>
  <conditionalFormatting sqref="K145:BI148">
    <cfRule type="cellIs" dxfId="49" priority="31" operator="between">
      <formula>$K$11</formula>
      <formula>$K$12</formula>
    </cfRule>
  </conditionalFormatting>
  <conditionalFormatting sqref="K141:BI144">
    <cfRule type="cellIs" dxfId="48" priority="30" operator="between">
      <formula>$K$11</formula>
      <formula>$K$12</formula>
    </cfRule>
  </conditionalFormatting>
  <conditionalFormatting sqref="K153:BI156">
    <cfRule type="cellIs" dxfId="47" priority="29" operator="between">
      <formula>$K$11</formula>
      <formula>$K$12</formula>
    </cfRule>
  </conditionalFormatting>
  <conditionalFormatting sqref="I233:DG249">
    <cfRule type="cellIs" dxfId="46" priority="28" operator="between">
      <formula>$K$11</formula>
      <formula>$K$12</formula>
    </cfRule>
  </conditionalFormatting>
  <conditionalFormatting sqref="I228:DG229">
    <cfRule type="cellIs" dxfId="45" priority="27" operator="between">
      <formula>$K$11</formula>
      <formula>$K$12</formula>
    </cfRule>
  </conditionalFormatting>
  <conditionalFormatting sqref="I194:BG197">
    <cfRule type="cellIs" dxfId="44" priority="26" operator="between">
      <formula>$K$11</formula>
      <formula>$K$12</formula>
    </cfRule>
  </conditionalFormatting>
  <conditionalFormatting sqref="I198:BG201">
    <cfRule type="cellIs" dxfId="43" priority="25" operator="between">
      <formula>$K$11</formula>
      <formula>$K$12</formula>
    </cfRule>
  </conditionalFormatting>
  <conditionalFormatting sqref="I202:BG205">
    <cfRule type="cellIs" dxfId="42" priority="24" operator="between">
      <formula>$K$11</formula>
      <formula>$K$12</formula>
    </cfRule>
  </conditionalFormatting>
  <conditionalFormatting sqref="K180:DG180">
    <cfRule type="cellIs" dxfId="41" priority="23" operator="between">
      <formula>$K$11</formula>
      <formula>$K$12</formula>
    </cfRule>
  </conditionalFormatting>
  <conditionalFormatting sqref="BH189:DG190">
    <cfRule type="cellIs" dxfId="40" priority="22" operator="between">
      <formula>$K$11</formula>
      <formula>$K$12</formula>
    </cfRule>
  </conditionalFormatting>
  <conditionalFormatting sqref="K171:DG172">
    <cfRule type="cellIs" dxfId="39" priority="21" operator="between">
      <formula>$K$11</formula>
      <formula>$K$12</formula>
    </cfRule>
  </conditionalFormatting>
  <conditionalFormatting sqref="K165:V181">
    <cfRule type="expression" dxfId="38" priority="38">
      <formula>$U$21&gt;$C$15</formula>
    </cfRule>
  </conditionalFormatting>
  <conditionalFormatting sqref="W165:AF172">
    <cfRule type="expression" dxfId="37" priority="39">
      <formula>$V$21&gt;$C$15</formula>
    </cfRule>
  </conditionalFormatting>
  <conditionalFormatting sqref="AG165:AP172">
    <cfRule type="expression" dxfId="36" priority="40">
      <formula>$W$21&gt;$C$15</formula>
    </cfRule>
  </conditionalFormatting>
  <conditionalFormatting sqref="AQ165:AZ172">
    <cfRule type="expression" dxfId="35" priority="41">
      <formula>$X$21&gt;$C$15</formula>
    </cfRule>
  </conditionalFormatting>
  <conditionalFormatting sqref="BA165:BG172">
    <cfRule type="expression" dxfId="34" priority="42">
      <formula>$Y$21&gt;$C$15</formula>
    </cfRule>
  </conditionalFormatting>
  <conditionalFormatting sqref="W173:AF181">
    <cfRule type="expression" dxfId="33" priority="43">
      <formula>$V$22&gt;$C$15</formula>
    </cfRule>
  </conditionalFormatting>
  <conditionalFormatting sqref="AG173:AP181">
    <cfRule type="expression" dxfId="32" priority="44">
      <formula>$W$22&gt;$C$15</formula>
    </cfRule>
  </conditionalFormatting>
  <conditionalFormatting sqref="AQ173:AZ181">
    <cfRule type="expression" dxfId="31" priority="45">
      <formula>$X$22&gt;$C$15</formula>
    </cfRule>
  </conditionalFormatting>
  <conditionalFormatting sqref="BA173:BG181">
    <cfRule type="expression" dxfId="30" priority="46">
      <formula>$Y$22&gt;$C$15</formula>
    </cfRule>
  </conditionalFormatting>
  <conditionalFormatting sqref="W182:AF190">
    <cfRule type="expression" dxfId="29" priority="47">
      <formula>$V$23&gt;$C$15</formula>
    </cfRule>
  </conditionalFormatting>
  <conditionalFormatting sqref="AG182:AP190">
    <cfRule type="expression" dxfId="28" priority="48">
      <formula>$W$23&gt;$C$15</formula>
    </cfRule>
  </conditionalFormatting>
  <conditionalFormatting sqref="AQ182:AZ190">
    <cfRule type="expression" dxfId="27" priority="49">
      <formula>$X$23&gt;$C$15</formula>
    </cfRule>
  </conditionalFormatting>
  <conditionalFormatting sqref="BA182:BG190">
    <cfRule type="expression" dxfId="26" priority="50">
      <formula>$Y$23&gt;$C$15</formula>
    </cfRule>
  </conditionalFormatting>
  <conditionalFormatting sqref="K157:V164">
    <cfRule type="expression" dxfId="25" priority="51">
      <formula>$U$20&gt;$C$15</formula>
    </cfRule>
  </conditionalFormatting>
  <conditionalFormatting sqref="W157:AF164">
    <cfRule type="expression" dxfId="24" priority="52">
      <formula>$V$20&gt;$C$15</formula>
    </cfRule>
  </conditionalFormatting>
  <conditionalFormatting sqref="AG157:AP164">
    <cfRule type="expression" dxfId="23" priority="53">
      <formula>$W$20&gt;$C$15</formula>
    </cfRule>
  </conditionalFormatting>
  <conditionalFormatting sqref="AQ157:AZ164">
    <cfRule type="expression" dxfId="22" priority="54">
      <formula>$X$20&gt;$C$15</formula>
    </cfRule>
  </conditionalFormatting>
  <conditionalFormatting sqref="BA157:BG164">
    <cfRule type="expression" dxfId="21" priority="55">
      <formula>$Y$20&gt;$C$15</formula>
    </cfRule>
  </conditionalFormatting>
  <conditionalFormatting sqref="K182:V190">
    <cfRule type="expression" dxfId="20" priority="56">
      <formula>$U$23&gt;$C$15</formula>
    </cfRule>
  </conditionalFormatting>
  <conditionalFormatting sqref="U20">
    <cfRule type="expression" dxfId="19" priority="20">
      <formula>$U$20&gt;$C$15</formula>
    </cfRule>
  </conditionalFormatting>
  <conditionalFormatting sqref="V20">
    <cfRule type="expression" dxfId="18" priority="19">
      <formula>$V$20&gt;$C$15</formula>
    </cfRule>
  </conditionalFormatting>
  <conditionalFormatting sqref="W20">
    <cfRule type="expression" dxfId="17" priority="18">
      <formula>$W$20&gt;$C$15</formula>
    </cfRule>
  </conditionalFormatting>
  <conditionalFormatting sqref="X20">
    <cfRule type="expression" dxfId="16" priority="17">
      <formula>$X$20&gt;$C$15</formula>
    </cfRule>
  </conditionalFormatting>
  <conditionalFormatting sqref="Y20">
    <cfRule type="expression" dxfId="15" priority="16">
      <formula>$Y$20&gt;$C$15</formula>
    </cfRule>
  </conditionalFormatting>
  <conditionalFormatting sqref="U21">
    <cfRule type="expression" dxfId="14" priority="15">
      <formula>$U$21&gt;$C$15</formula>
    </cfRule>
  </conditionalFormatting>
  <conditionalFormatting sqref="V21">
    <cfRule type="expression" dxfId="13" priority="14">
      <formula>$V$21&gt;$C$15</formula>
    </cfRule>
  </conditionalFormatting>
  <conditionalFormatting sqref="W21">
    <cfRule type="expression" dxfId="12" priority="13">
      <formula>$W$21&gt;$C$15</formula>
    </cfRule>
  </conditionalFormatting>
  <conditionalFormatting sqref="X21">
    <cfRule type="expression" dxfId="11" priority="12">
      <formula>$X$21&gt;$C$15</formula>
    </cfRule>
  </conditionalFormatting>
  <conditionalFormatting sqref="Y21">
    <cfRule type="expression" dxfId="10" priority="11">
      <formula>$Y$21&gt;$C$15</formula>
    </cfRule>
  </conditionalFormatting>
  <conditionalFormatting sqref="U22">
    <cfRule type="expression" dxfId="9" priority="10">
      <formula>$U$22&gt;$C$15</formula>
    </cfRule>
  </conditionalFormatting>
  <conditionalFormatting sqref="V22">
    <cfRule type="expression" dxfId="8" priority="9">
      <formula>$V$22&gt;$C$15</formula>
    </cfRule>
  </conditionalFormatting>
  <conditionalFormatting sqref="W22">
    <cfRule type="expression" dxfId="7" priority="8">
      <formula>$W$22&gt;$C$15</formula>
    </cfRule>
  </conditionalFormatting>
  <conditionalFormatting sqref="X22">
    <cfRule type="expression" dxfId="6" priority="7">
      <formula>$X$22&gt;$C$15</formula>
    </cfRule>
  </conditionalFormatting>
  <conditionalFormatting sqref="Y22">
    <cfRule type="expression" dxfId="5" priority="6">
      <formula>$Y$22&gt;$C$15</formula>
    </cfRule>
  </conditionalFormatting>
  <conditionalFormatting sqref="U23">
    <cfRule type="expression" dxfId="4" priority="5">
      <formula>$U$23&gt;$C$15</formula>
    </cfRule>
  </conditionalFormatting>
  <conditionalFormatting sqref="V23">
    <cfRule type="expression" dxfId="3" priority="4">
      <formula>$V$23&gt;$C$15</formula>
    </cfRule>
  </conditionalFormatting>
  <conditionalFormatting sqref="W23">
    <cfRule type="expression" dxfId="2" priority="3">
      <formula>$W$23&gt;$C$15</formula>
    </cfRule>
  </conditionalFormatting>
  <conditionalFormatting sqref="X23">
    <cfRule type="expression" dxfId="1" priority="2">
      <formula>$X$23&gt;$C$15</formula>
    </cfRule>
  </conditionalFormatting>
  <conditionalFormatting sqref="Y23">
    <cfRule type="expression" dxfId="0" priority="1">
      <formula>$Y$23&gt;$C$15</formula>
    </cfRule>
  </conditionalFormatting>
  <dataValidations count="1">
    <dataValidation type="list" allowBlank="1" showInputMessage="1" showErrorMessage="1" sqref="C13 E13:H14" xr:uid="{BECF5278-0BA9-4276-B3A1-D6C99695A72E}">
      <formula1>$AG$27:$AJ$27</formula1>
    </dataValidation>
  </dataValidations>
  <hyperlinks>
    <hyperlink ref="A1:J1" location="Главная!A1" display="Вернуться на главную страницу" xr:uid="{29904952-57E4-4CC9-A09E-DD2A1E00C6CA}"/>
    <hyperlink ref="B141:C144" location="'65 ВЕНТ 24В'!R1C1" display="ВКВ.065.260.ХХХ.2ТГ" xr:uid="{F1E4062D-A397-4BA0-A6A7-30198A4B85FB}"/>
    <hyperlink ref="B145:C148" location="'70 ВЕНТ 24В'!R1C1" display="ВКВ.070.260.ХХХ.2ТГ" xr:uid="{7AD827B4-A282-459D-89DD-2246A4F5B59F}"/>
    <hyperlink ref="B149:C152" location="'75 ВЕНТ 24В'!R1C1" display="ВКВ.075.260.ХХХ.2ТГ" xr:uid="{E1CBF07A-D0A9-451E-B66F-CC5575CE6ACE}"/>
    <hyperlink ref="B153:C156" location="'80 ВЕНТ 24В'!R1C1" display="ВКВ.080.260.ХХХ.2ТГ" xr:uid="{526B20CB-122E-44AD-97E7-4BC02143376E}"/>
    <hyperlink ref="B166:C170" location="'110 ВЕНТ 24В'!R1C1" display="ВКВ.110.200.ХХХ.2ТГ" xr:uid="{BB670E25-0833-4DF6-9C4D-F08F03B0452C}"/>
    <hyperlink ref="B182:C188" location="'150 ВЕНТ 24В'!R1C1" display="ВКВ.150.160.ХХХ.2ТВ" xr:uid="{86765CE4-9171-46BF-83C5-A797C937188F}"/>
    <hyperlink ref="B213:C216" location="'ВКВ.МАХ.110 ВЕНТ'!R1C1" display="ВКВ.МАХ.110.260.ХХХ.2ТГ" xr:uid="{A8301C1F-7F67-4D4F-BEB1-5826CEA9B847}"/>
    <hyperlink ref="B217:C220" location="'ВКВ.МАХ.150 ВЕНТ'!R1C1" display="ВКВ.МАХ.150.200.ХХХ.2ТГ" xr:uid="{E187DC79-44EC-42EB-8E87-9A311CC55036}"/>
    <hyperlink ref="B233:C233" location="ВКВ.ЭКО.75!R1C1" display="ВКВ.ЭКОНОМ.075.260.ХХХ.2ТГ" xr:uid="{7D072E08-C84A-4F28-A1C3-BD0ADC13A830}"/>
    <hyperlink ref="B238:C238" location="ВКВ.ЭКО.90!R1C1" display="ВКВ.ЭКОНОМ.090.260.ХХХ.2ТГ" xr:uid="{0B4FCA2F-D761-4B8C-A68C-D8D18E49C22D}"/>
    <hyperlink ref="B228:C229" location="ВКВТХ!R1C1" display="ВКВТХ.130.260.ХХХ.4ТК" xr:uid="{FCC4A70E-BFBD-4698-B8FF-06BA4C920206}"/>
    <hyperlink ref="B194:C197" location="'90 ВЕНТ.МАХ 24В'!A1" display="ВКВ.МАХ.090.260.ХХХ.2ТГ" xr:uid="{02C499D6-ABDF-4BE5-BB8C-ED3EE46BA659}"/>
    <hyperlink ref="B198:C201" location="'110 ВЕНТ.МАХ 24В'!A1" display="ВКВ.МАХ.110.260.ХХХ.2ТГ" xr:uid="{C19B091A-CEE4-4D42-9EDB-819A5787BE03}"/>
    <hyperlink ref="B202:C205" location="'150 ВЕНТ.МАХ 24В'!A1" display="ВКВ.МАХ.150.200.ХХХ.2ТГ" xr:uid="{2B2D5EE3-5DBC-4F89-83FC-DE4B21F0FB2E}"/>
    <hyperlink ref="B209:C212" location="'ВКВ.МАХ.90 ВЕНТ'!R1C1" display="ВКВ.МАХ.090.260.ХХХ.2ТГ" xr:uid="{FDB0F353-CBD2-42EE-B7F8-9F8ED83CC395}"/>
    <hyperlink ref="B190:C190" location="'150 ВЕНТ 24В'!R1C1" display="ВКВ.150.160.ХХХ.2ТВ" xr:uid="{859A4BEC-EA29-40D7-8E04-3F194F0F319E}"/>
    <hyperlink ref="B171:C171" location="'110 ВЕНТ 24В'!R1C1" display="ВКВ.110.200.ХХХ.2ТГ" xr:uid="{3A2972A8-3F34-425E-B612-5C6620CACFC1}"/>
    <hyperlink ref="B187:C187" location="'150 ВЕНТ 24В'!R1C1" display="ВКВ.150.160.ХХХ.2ТВ" xr:uid="{FD270B95-1742-452C-B9FB-4F1627F55E8F}"/>
    <hyperlink ref="B189:C189" location="'150 ВЕНТ 24В'!R1C1" display="ВКВ.150.160.ХХХ.2ТВ" xr:uid="{2CE2153B-03C8-4067-9B65-4C05BC981EF1}"/>
    <hyperlink ref="B165:C165" location="'110 ВЕНТ 24В'!R1C1" display="ВКВ.110.200.ХХХ.2ТГ" xr:uid="{76BA1F63-6406-4FE5-A088-64B7835C62EB}"/>
    <hyperlink ref="B169:C169" location="'110 ВЕНТ 24В'!R1C1" display="ВКВ.110.200.ХХХ.2ТГ" xr:uid="{889A5C3D-3065-4E2B-8E24-C7F5A03370A6}"/>
    <hyperlink ref="B172:C172" location="'110 ВЕНТ 24В'!R1C1" display="ВКВ.110.200.ХХХ.2ТГ" xr:uid="{560B8A7B-5CA3-4654-9B98-CE9B6FA12C37}"/>
    <hyperlink ref="B186:C186" location="'150 ВЕНТ 24В'!R1C1" display="ВКВ.150.160.ХХХ.2ТВ" xr:uid="{00F6E956-2531-4559-AEBE-1245B0F3D989}"/>
    <hyperlink ref="B157:C164" location="'90'!R1C1" display="ВК.090.160.ХХХ.2ТГ" xr:uid="{24F2B4BD-4399-48DB-948F-2B13467A7A5F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0">
    <tabColor rgb="FF3366FF"/>
  </sheetPr>
  <dimension ref="A1:U106"/>
  <sheetViews>
    <sheetView zoomScale="70" zoomScaleNormal="70" workbookViewId="0">
      <pane ySplit="6" topLeftCell="A7" activePane="bottomLeft" state="frozen"/>
      <selection pane="bottomLeft" activeCell="W11" sqref="W11"/>
    </sheetView>
  </sheetViews>
  <sheetFormatPr defaultRowHeight="15"/>
  <cols>
    <col min="1" max="1" width="5.5703125" style="65" customWidth="1"/>
    <col min="2" max="2" width="6" style="65" customWidth="1"/>
    <col min="3" max="3" width="3" style="65" customWidth="1"/>
    <col min="4" max="4" width="6" style="65" customWidth="1"/>
    <col min="5" max="5" width="3" style="65" customWidth="1"/>
    <col min="6" max="6" width="7.7109375" style="65" customWidth="1"/>
    <col min="7" max="7" width="3" style="65" customWidth="1"/>
    <col min="8" max="8" width="6" style="65" customWidth="1"/>
    <col min="9" max="9" width="8.140625" style="65" customWidth="1"/>
    <col min="10" max="12" width="11.28515625" style="65" customWidth="1"/>
    <col min="13" max="13" width="15.5703125" style="65" customWidth="1"/>
    <col min="14" max="14" width="19.140625" style="65" customWidth="1"/>
    <col min="15" max="16" width="27.7109375" style="65" customWidth="1"/>
    <col min="17" max="17" width="26.28515625" style="65" customWidth="1"/>
    <col min="18" max="19" width="27.7109375" style="65" customWidth="1"/>
    <col min="20" max="20" width="9.140625" style="65"/>
    <col min="21" max="21" width="27.140625" style="65" customWidth="1"/>
    <col min="22" max="16384" width="9.140625" style="65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ht="16.5" customHeight="1">
      <c r="A2" s="895" t="s">
        <v>345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ht="13.5" customHeight="1" thickBot="1">
      <c r="B3" s="16"/>
      <c r="C3" s="16"/>
      <c r="D3" s="16"/>
      <c r="E3" s="16"/>
      <c r="F3" s="100"/>
      <c r="G3" s="16"/>
      <c r="H3" s="16"/>
      <c r="I3" s="1132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ht="69" customHeight="1">
      <c r="A4" s="2989" t="s">
        <v>8</v>
      </c>
      <c r="B4" s="2990"/>
      <c r="C4" s="2990"/>
      <c r="D4" s="2990"/>
      <c r="E4" s="2990"/>
      <c r="F4" s="2990"/>
      <c r="G4" s="2990"/>
      <c r="H4" s="2990"/>
      <c r="I4" s="2991"/>
      <c r="J4" s="2998" t="s">
        <v>78</v>
      </c>
      <c r="K4" s="2999"/>
      <c r="L4" s="2999"/>
      <c r="M4" s="3000"/>
      <c r="N4" s="3004" t="s">
        <v>77</v>
      </c>
      <c r="O4" s="2977" t="s">
        <v>144</v>
      </c>
      <c r="P4" s="3008" t="s">
        <v>151</v>
      </c>
      <c r="Q4" s="2977" t="s">
        <v>123</v>
      </c>
      <c r="R4" s="2979" t="s">
        <v>5750</v>
      </c>
      <c r="S4" s="2981" t="s">
        <v>5751</v>
      </c>
    </row>
    <row r="5" spans="1:21" ht="72" customHeight="1" thickBot="1">
      <c r="A5" s="2992"/>
      <c r="B5" s="2993"/>
      <c r="C5" s="2993"/>
      <c r="D5" s="2993"/>
      <c r="E5" s="2993"/>
      <c r="F5" s="2993"/>
      <c r="G5" s="2993"/>
      <c r="H5" s="2993"/>
      <c r="I5" s="2994"/>
      <c r="J5" s="3001"/>
      <c r="K5" s="3002"/>
      <c r="L5" s="3002"/>
      <c r="M5" s="3003"/>
      <c r="N5" s="3005"/>
      <c r="O5" s="3007"/>
      <c r="P5" s="3009"/>
      <c r="Q5" s="2978"/>
      <c r="R5" s="2980"/>
      <c r="S5" s="2982"/>
    </row>
    <row r="6" spans="1:21" ht="61.5" customHeight="1" thickBot="1">
      <c r="A6" s="2995"/>
      <c r="B6" s="2996"/>
      <c r="C6" s="2996"/>
      <c r="D6" s="2996"/>
      <c r="E6" s="2996"/>
      <c r="F6" s="2996"/>
      <c r="G6" s="2996"/>
      <c r="H6" s="2996"/>
      <c r="I6" s="2997"/>
      <c r="J6" s="235" t="s">
        <v>0</v>
      </c>
      <c r="K6" s="240" t="s">
        <v>1</v>
      </c>
      <c r="L6" s="240" t="s">
        <v>2</v>
      </c>
      <c r="M6" s="206" t="s">
        <v>75</v>
      </c>
      <c r="N6" s="3006"/>
      <c r="O6" s="2983" t="s">
        <v>141</v>
      </c>
      <c r="P6" s="2984"/>
      <c r="Q6" s="2984"/>
      <c r="R6" s="2984"/>
      <c r="S6" s="2985"/>
    </row>
    <row r="7" spans="1:21" ht="30" customHeight="1" thickBot="1">
      <c r="A7" s="2986" t="s">
        <v>131</v>
      </c>
      <c r="B7" s="2987"/>
      <c r="C7" s="2987"/>
      <c r="D7" s="2987"/>
      <c r="E7" s="2987"/>
      <c r="F7" s="2987"/>
      <c r="G7" s="2987"/>
      <c r="H7" s="2987"/>
      <c r="I7" s="2987"/>
      <c r="J7" s="2987"/>
      <c r="K7" s="2987"/>
      <c r="L7" s="2987"/>
      <c r="M7" s="2987"/>
      <c r="N7" s="2987"/>
      <c r="O7" s="2987"/>
      <c r="P7" s="2987"/>
      <c r="Q7" s="2987"/>
      <c r="R7" s="2987"/>
      <c r="S7" s="2988"/>
    </row>
    <row r="8" spans="1:21" ht="22.5" customHeight="1" thickBot="1">
      <c r="A8" s="2968" t="s">
        <v>468</v>
      </c>
      <c r="B8" s="2969"/>
      <c r="C8" s="2969"/>
      <c r="D8" s="2969"/>
      <c r="E8" s="2969"/>
      <c r="F8" s="2969"/>
      <c r="G8" s="2969"/>
      <c r="H8" s="2969"/>
      <c r="I8" s="2969"/>
      <c r="J8" s="2969"/>
      <c r="K8" s="2969"/>
      <c r="L8" s="2969"/>
      <c r="M8" s="2969"/>
      <c r="N8" s="2969"/>
      <c r="O8" s="2969"/>
      <c r="P8" s="2969"/>
      <c r="Q8" s="2969"/>
      <c r="R8" s="2969"/>
      <c r="S8" s="2970"/>
    </row>
    <row r="9" spans="1:21" ht="16.5" customHeight="1" thickBot="1">
      <c r="A9" s="2971" t="s">
        <v>7665</v>
      </c>
      <c r="B9" s="2972"/>
      <c r="C9" s="2972"/>
      <c r="D9" s="2972"/>
      <c r="E9" s="2972"/>
      <c r="F9" s="2972"/>
      <c r="G9" s="2972"/>
      <c r="H9" s="2972"/>
      <c r="I9" s="2972"/>
      <c r="J9" s="2972"/>
      <c r="K9" s="2972"/>
      <c r="L9" s="2972"/>
      <c r="M9" s="2972"/>
      <c r="N9" s="2972"/>
      <c r="O9" s="2972"/>
      <c r="P9" s="2972"/>
      <c r="Q9" s="2972"/>
      <c r="R9" s="2972"/>
      <c r="S9" s="2973"/>
    </row>
    <row r="10" spans="1:21" ht="16.5" customHeight="1" thickBot="1">
      <c r="A10" s="2974" t="s">
        <v>112</v>
      </c>
      <c r="B10" s="2975"/>
      <c r="C10" s="2975"/>
      <c r="D10" s="2975"/>
      <c r="E10" s="2975"/>
      <c r="F10" s="2975"/>
      <c r="G10" s="2975"/>
      <c r="H10" s="2975"/>
      <c r="I10" s="2975"/>
      <c r="J10" s="2975"/>
      <c r="K10" s="2975"/>
      <c r="L10" s="2975"/>
      <c r="M10" s="2975"/>
      <c r="N10" s="2975"/>
      <c r="O10" s="2975"/>
      <c r="P10" s="2975"/>
      <c r="Q10" s="2975"/>
      <c r="R10" s="2975"/>
      <c r="S10" s="2976"/>
      <c r="U10" s="7" t="s">
        <v>5770</v>
      </c>
    </row>
    <row r="11" spans="1:21" ht="16.5" customHeight="1" thickBot="1">
      <c r="A11" s="207" t="s">
        <v>10</v>
      </c>
      <c r="B11" s="211">
        <f t="shared" ref="B11:B57" si="0">J11</f>
        <v>65</v>
      </c>
      <c r="C11" s="211" t="s">
        <v>3</v>
      </c>
      <c r="D11" s="211">
        <f t="shared" ref="D11:D57" si="1">K11</f>
        <v>260</v>
      </c>
      <c r="E11" s="211" t="s">
        <v>3</v>
      </c>
      <c r="F11" s="209">
        <f t="shared" ref="F11:F57" si="2">L11</f>
        <v>700</v>
      </c>
      <c r="G11" s="211" t="s">
        <v>3</v>
      </c>
      <c r="H11" s="208">
        <v>2</v>
      </c>
      <c r="I11" s="210" t="s">
        <v>529</v>
      </c>
      <c r="J11" s="103">
        <v>65</v>
      </c>
      <c r="K11" s="66">
        <v>260</v>
      </c>
      <c r="L11" s="66">
        <v>700</v>
      </c>
      <c r="M11" s="164">
        <v>6.4063739953846426</v>
      </c>
      <c r="N11" s="78">
        <v>706.26612420000004</v>
      </c>
      <c r="O11" s="113">
        <v>27970.364190606248</v>
      </c>
      <c r="P11" s="113">
        <v>29748.749229971665</v>
      </c>
      <c r="Q11" s="110">
        <v>6666.0130428891625</v>
      </c>
      <c r="R11" s="113">
        <v>34636.377233495412</v>
      </c>
      <c r="S11" s="113">
        <v>36414.762272860826</v>
      </c>
      <c r="U11" s="7" t="s">
        <v>5771</v>
      </c>
    </row>
    <row r="12" spans="1:21" ht="16.5" customHeight="1" thickBot="1">
      <c r="A12" s="207" t="s">
        <v>10</v>
      </c>
      <c r="B12" s="211">
        <f t="shared" si="0"/>
        <v>65</v>
      </c>
      <c r="C12" s="211" t="s">
        <v>3</v>
      </c>
      <c r="D12" s="211">
        <f t="shared" si="1"/>
        <v>260</v>
      </c>
      <c r="E12" s="211" t="s">
        <v>3</v>
      </c>
      <c r="F12" s="209">
        <f t="shared" si="2"/>
        <v>750</v>
      </c>
      <c r="G12" s="211" t="s">
        <v>3</v>
      </c>
      <c r="H12" s="208">
        <v>2</v>
      </c>
      <c r="I12" s="210" t="s">
        <v>529</v>
      </c>
      <c r="J12" s="103">
        <v>65</v>
      </c>
      <c r="K12" s="66">
        <v>260</v>
      </c>
      <c r="L12" s="66">
        <v>750</v>
      </c>
      <c r="M12" s="164">
        <v>6.9149796352235704</v>
      </c>
      <c r="N12" s="78">
        <v>807.16128479999998</v>
      </c>
      <c r="O12" s="113">
        <v>29635.136351680248</v>
      </c>
      <c r="P12" s="113">
        <v>31490.104804884118</v>
      </c>
      <c r="Q12" s="110">
        <v>7137.0046701333404</v>
      </c>
      <c r="R12" s="113">
        <v>36772.141021813586</v>
      </c>
      <c r="S12" s="113">
        <v>38627.10947501746</v>
      </c>
      <c r="U12" s="7" t="s">
        <v>5772</v>
      </c>
    </row>
    <row r="13" spans="1:21" ht="16.5" customHeight="1" thickBot="1">
      <c r="A13" s="207" t="s">
        <v>10</v>
      </c>
      <c r="B13" s="211">
        <f t="shared" si="0"/>
        <v>65</v>
      </c>
      <c r="C13" s="211" t="s">
        <v>3</v>
      </c>
      <c r="D13" s="211">
        <f t="shared" si="1"/>
        <v>260</v>
      </c>
      <c r="E13" s="211" t="s">
        <v>3</v>
      </c>
      <c r="F13" s="209">
        <f t="shared" si="2"/>
        <v>800</v>
      </c>
      <c r="G13" s="211" t="s">
        <v>3</v>
      </c>
      <c r="H13" s="208">
        <v>2</v>
      </c>
      <c r="I13" s="210" t="s">
        <v>529</v>
      </c>
      <c r="J13" s="103">
        <v>65</v>
      </c>
      <c r="K13" s="66">
        <v>260</v>
      </c>
      <c r="L13" s="66">
        <v>800</v>
      </c>
      <c r="M13" s="164">
        <v>7.3045852750625002</v>
      </c>
      <c r="N13" s="78">
        <v>908.05644540000003</v>
      </c>
      <c r="O13" s="113">
        <v>31299.908382679809</v>
      </c>
      <c r="P13" s="113">
        <v>33231.460509871024</v>
      </c>
      <c r="Q13" s="110">
        <v>7607.9961443487855</v>
      </c>
      <c r="R13" s="113">
        <v>38907.904527028593</v>
      </c>
      <c r="S13" s="113">
        <v>40839.456654219808</v>
      </c>
      <c r="U13" s="7" t="s">
        <v>5773</v>
      </c>
    </row>
    <row r="14" spans="1:21" ht="16.5" customHeight="1" thickBot="1">
      <c r="A14" s="207" t="s">
        <v>10</v>
      </c>
      <c r="B14" s="211">
        <f t="shared" si="0"/>
        <v>65</v>
      </c>
      <c r="C14" s="211" t="s">
        <v>3</v>
      </c>
      <c r="D14" s="211">
        <f t="shared" si="1"/>
        <v>260</v>
      </c>
      <c r="E14" s="211" t="s">
        <v>3</v>
      </c>
      <c r="F14" s="209">
        <f t="shared" si="2"/>
        <v>850</v>
      </c>
      <c r="G14" s="211" t="s">
        <v>3</v>
      </c>
      <c r="H14" s="208">
        <v>2</v>
      </c>
      <c r="I14" s="210" t="s">
        <v>529</v>
      </c>
      <c r="J14" s="103">
        <v>65</v>
      </c>
      <c r="K14" s="66">
        <v>260</v>
      </c>
      <c r="L14" s="66">
        <v>850</v>
      </c>
      <c r="M14" s="164">
        <v>7.6941909149014283</v>
      </c>
      <c r="N14" s="78">
        <v>1008.951606</v>
      </c>
      <c r="O14" s="113">
        <v>32964.680413679358</v>
      </c>
      <c r="P14" s="113">
        <v>34972.816084783473</v>
      </c>
      <c r="Q14" s="110">
        <v>8078.9877715929815</v>
      </c>
      <c r="R14" s="113">
        <v>41043.668185272341</v>
      </c>
      <c r="S14" s="113">
        <v>43051.803856376457</v>
      </c>
      <c r="U14" s="7" t="s">
        <v>5774</v>
      </c>
    </row>
    <row r="15" spans="1:21" ht="16.5" customHeight="1" thickBot="1">
      <c r="A15" s="207" t="s">
        <v>10</v>
      </c>
      <c r="B15" s="211">
        <f t="shared" si="0"/>
        <v>65</v>
      </c>
      <c r="C15" s="211" t="s">
        <v>3</v>
      </c>
      <c r="D15" s="211">
        <f t="shared" si="1"/>
        <v>260</v>
      </c>
      <c r="E15" s="211" t="s">
        <v>3</v>
      </c>
      <c r="F15" s="209">
        <f t="shared" si="2"/>
        <v>900</v>
      </c>
      <c r="G15" s="211" t="s">
        <v>3</v>
      </c>
      <c r="H15" s="208">
        <v>2</v>
      </c>
      <c r="I15" s="210" t="s">
        <v>529</v>
      </c>
      <c r="J15" s="103">
        <v>65</v>
      </c>
      <c r="K15" s="66">
        <v>260</v>
      </c>
      <c r="L15" s="66">
        <v>900</v>
      </c>
      <c r="M15" s="164">
        <v>8.1217965547403583</v>
      </c>
      <c r="N15" s="78">
        <v>1109.8467666000001</v>
      </c>
      <c r="O15" s="113">
        <v>34629.452444678915</v>
      </c>
      <c r="P15" s="113">
        <v>36714.171789770378</v>
      </c>
      <c r="Q15" s="110">
        <v>8549.9793988371766</v>
      </c>
      <c r="R15" s="113">
        <v>43179.431843516089</v>
      </c>
      <c r="S15" s="113">
        <v>45264.151188607553</v>
      </c>
      <c r="U15" s="7" t="s">
        <v>5775</v>
      </c>
    </row>
    <row r="16" spans="1:21" s="7" customFormat="1" ht="16.5" customHeight="1" thickBot="1">
      <c r="A16" s="207" t="s">
        <v>10</v>
      </c>
      <c r="B16" s="211">
        <f t="shared" si="0"/>
        <v>65</v>
      </c>
      <c r="C16" s="211" t="s">
        <v>3</v>
      </c>
      <c r="D16" s="211">
        <f t="shared" si="1"/>
        <v>260</v>
      </c>
      <c r="E16" s="211" t="s">
        <v>3</v>
      </c>
      <c r="F16" s="209">
        <f t="shared" si="2"/>
        <v>950</v>
      </c>
      <c r="G16" s="211" t="s">
        <v>3</v>
      </c>
      <c r="H16" s="208">
        <v>2</v>
      </c>
      <c r="I16" s="210" t="s">
        <v>529</v>
      </c>
      <c r="J16" s="103">
        <v>65</v>
      </c>
      <c r="K16" s="66">
        <v>260</v>
      </c>
      <c r="L16" s="66">
        <v>950</v>
      </c>
      <c r="M16" s="164">
        <v>8.5804021945792854</v>
      </c>
      <c r="N16" s="78">
        <v>1210.7419272</v>
      </c>
      <c r="O16" s="113">
        <v>36294.224475678471</v>
      </c>
      <c r="P16" s="113">
        <v>38455.527364682835</v>
      </c>
      <c r="Q16" s="110">
        <v>9020.9708730526054</v>
      </c>
      <c r="R16" s="113">
        <v>45315.195348731075</v>
      </c>
      <c r="S16" s="113">
        <v>47476.498237735439</v>
      </c>
      <c r="U16" s="7" t="s">
        <v>5776</v>
      </c>
    </row>
    <row r="17" spans="1:21" s="7" customFormat="1" ht="16.5" customHeight="1" thickBot="1">
      <c r="A17" s="207" t="s">
        <v>10</v>
      </c>
      <c r="B17" s="211">
        <f t="shared" si="0"/>
        <v>65</v>
      </c>
      <c r="C17" s="211" t="s">
        <v>3</v>
      </c>
      <c r="D17" s="211">
        <f t="shared" si="1"/>
        <v>260</v>
      </c>
      <c r="E17" s="211" t="s">
        <v>3</v>
      </c>
      <c r="F17" s="209">
        <f t="shared" si="2"/>
        <v>1000</v>
      </c>
      <c r="G17" s="211" t="s">
        <v>3</v>
      </c>
      <c r="H17" s="208">
        <v>2</v>
      </c>
      <c r="I17" s="210" t="s">
        <v>529</v>
      </c>
      <c r="J17" s="103">
        <v>65</v>
      </c>
      <c r="K17" s="66">
        <v>260</v>
      </c>
      <c r="L17" s="66">
        <v>1000</v>
      </c>
      <c r="M17" s="164">
        <v>8.9700078344182153</v>
      </c>
      <c r="N17" s="78">
        <v>1311.6370878</v>
      </c>
      <c r="O17" s="113">
        <v>37855.30258567298</v>
      </c>
      <c r="P17" s="113">
        <v>40099.794979626029</v>
      </c>
      <c r="Q17" s="110">
        <v>9491.9625002968005</v>
      </c>
      <c r="R17" s="113">
        <v>47347.265085969782</v>
      </c>
      <c r="S17" s="113">
        <v>49591.757479922831</v>
      </c>
      <c r="U17" s="7" t="s">
        <v>5777</v>
      </c>
    </row>
    <row r="18" spans="1:21" s="7" customFormat="1" ht="16.5" customHeight="1" thickBot="1">
      <c r="A18" s="207" t="s">
        <v>10</v>
      </c>
      <c r="B18" s="211">
        <f t="shared" si="0"/>
        <v>65</v>
      </c>
      <c r="C18" s="211" t="s">
        <v>3</v>
      </c>
      <c r="D18" s="211">
        <f t="shared" si="1"/>
        <v>260</v>
      </c>
      <c r="E18" s="211" t="s">
        <v>3</v>
      </c>
      <c r="F18" s="209">
        <f t="shared" si="2"/>
        <v>1050</v>
      </c>
      <c r="G18" s="211" t="s">
        <v>3</v>
      </c>
      <c r="H18" s="208">
        <v>2</v>
      </c>
      <c r="I18" s="210" t="s">
        <v>529</v>
      </c>
      <c r="J18" s="103">
        <v>65</v>
      </c>
      <c r="K18" s="66">
        <v>260</v>
      </c>
      <c r="L18" s="66">
        <v>1050</v>
      </c>
      <c r="M18" s="164">
        <v>9.3596134742571415</v>
      </c>
      <c r="N18" s="78">
        <v>1412.5322484000001</v>
      </c>
      <c r="O18" s="113">
        <v>39766.347825393277</v>
      </c>
      <c r="P18" s="113">
        <v>42071.734833429509</v>
      </c>
      <c r="Q18" s="110">
        <v>9962.9539745122293</v>
      </c>
      <c r="R18" s="113">
        <v>49729.301799905508</v>
      </c>
      <c r="S18" s="113">
        <v>52034.68880794174</v>
      </c>
      <c r="U18" s="7" t="s">
        <v>5778</v>
      </c>
    </row>
    <row r="19" spans="1:21" s="7" customFormat="1" ht="16.5" customHeight="1" thickBot="1">
      <c r="A19" s="207" t="s">
        <v>10</v>
      </c>
      <c r="B19" s="208">
        <f t="shared" si="0"/>
        <v>65</v>
      </c>
      <c r="C19" s="208" t="s">
        <v>3</v>
      </c>
      <c r="D19" s="208">
        <f t="shared" si="1"/>
        <v>260</v>
      </c>
      <c r="E19" s="208" t="s">
        <v>3</v>
      </c>
      <c r="F19" s="209">
        <f t="shared" si="2"/>
        <v>1100</v>
      </c>
      <c r="G19" s="208" t="s">
        <v>3</v>
      </c>
      <c r="H19" s="208">
        <v>2</v>
      </c>
      <c r="I19" s="210" t="s">
        <v>529</v>
      </c>
      <c r="J19" s="103">
        <v>65</v>
      </c>
      <c r="K19" s="66">
        <v>260</v>
      </c>
      <c r="L19" s="66">
        <v>1100</v>
      </c>
      <c r="M19" s="164">
        <v>9.7492191140960713</v>
      </c>
      <c r="N19" s="78">
        <v>1513.4274090000001</v>
      </c>
      <c r="O19" s="113">
        <v>41431.119856392834</v>
      </c>
      <c r="P19" s="113">
        <v>43813.090408341959</v>
      </c>
      <c r="Q19" s="110">
        <v>10433.945601756424</v>
      </c>
      <c r="R19" s="113">
        <v>51865.065458149256</v>
      </c>
      <c r="S19" s="113">
        <v>54247.036010098382</v>
      </c>
      <c r="U19" s="7" t="s">
        <v>5779</v>
      </c>
    </row>
    <row r="20" spans="1:21" s="7" customFormat="1" ht="16.5" customHeight="1" thickBot="1">
      <c r="A20" s="207" t="s">
        <v>10</v>
      </c>
      <c r="B20" s="211">
        <f t="shared" si="0"/>
        <v>65</v>
      </c>
      <c r="C20" s="211" t="s">
        <v>3</v>
      </c>
      <c r="D20" s="211">
        <f t="shared" si="1"/>
        <v>260</v>
      </c>
      <c r="E20" s="211" t="s">
        <v>3</v>
      </c>
      <c r="F20" s="209">
        <f t="shared" si="2"/>
        <v>1150</v>
      </c>
      <c r="G20" s="211" t="s">
        <v>3</v>
      </c>
      <c r="H20" s="208">
        <v>2</v>
      </c>
      <c r="I20" s="210" t="s">
        <v>529</v>
      </c>
      <c r="J20" s="103">
        <v>65</v>
      </c>
      <c r="K20" s="66">
        <v>260</v>
      </c>
      <c r="L20" s="66">
        <v>1150</v>
      </c>
      <c r="M20" s="164">
        <v>10.138824753934999</v>
      </c>
      <c r="N20" s="78">
        <v>1614.3225696</v>
      </c>
      <c r="O20" s="113">
        <v>42272.568614109507</v>
      </c>
      <c r="P20" s="113">
        <v>44783.573150886485</v>
      </c>
      <c r="Q20" s="110">
        <v>10904.937229000619</v>
      </c>
      <c r="R20" s="113">
        <v>53177.505843110128</v>
      </c>
      <c r="S20" s="113">
        <v>55688.510379887106</v>
      </c>
      <c r="U20" s="7" t="s">
        <v>5780</v>
      </c>
    </row>
    <row r="21" spans="1:21" s="7" customFormat="1" ht="16.5" customHeight="1" thickBot="1">
      <c r="A21" s="207" t="s">
        <v>10</v>
      </c>
      <c r="B21" s="211">
        <f t="shared" si="0"/>
        <v>65</v>
      </c>
      <c r="C21" s="211" t="s">
        <v>3</v>
      </c>
      <c r="D21" s="211">
        <f t="shared" si="1"/>
        <v>260</v>
      </c>
      <c r="E21" s="211" t="s">
        <v>3</v>
      </c>
      <c r="F21" s="209">
        <f t="shared" si="2"/>
        <v>1200</v>
      </c>
      <c r="G21" s="211" t="s">
        <v>3</v>
      </c>
      <c r="H21" s="208">
        <v>2</v>
      </c>
      <c r="I21" s="210" t="s">
        <v>529</v>
      </c>
      <c r="J21" s="103">
        <v>65</v>
      </c>
      <c r="K21" s="66">
        <v>260</v>
      </c>
      <c r="L21" s="66">
        <v>1200</v>
      </c>
      <c r="M21" s="164">
        <v>10.743680393773928</v>
      </c>
      <c r="N21" s="78">
        <v>1715.2177301999998</v>
      </c>
      <c r="O21" s="113">
        <v>43152.318704254736</v>
      </c>
      <c r="P21" s="113">
        <v>45789.917289319783</v>
      </c>
      <c r="Q21" s="110">
        <v>11375.92870321605</v>
      </c>
      <c r="R21" s="113">
        <v>54528.247407470786</v>
      </c>
      <c r="S21" s="113">
        <v>57165.845992535833</v>
      </c>
      <c r="U21" s="7" t="s">
        <v>5781</v>
      </c>
    </row>
    <row r="22" spans="1:21" s="7" customFormat="1" ht="16.5" customHeight="1" thickBot="1">
      <c r="A22" s="207" t="s">
        <v>10</v>
      </c>
      <c r="B22" s="211">
        <f t="shared" si="0"/>
        <v>65</v>
      </c>
      <c r="C22" s="211" t="s">
        <v>3</v>
      </c>
      <c r="D22" s="211">
        <f t="shared" si="1"/>
        <v>260</v>
      </c>
      <c r="E22" s="211" t="s">
        <v>3</v>
      </c>
      <c r="F22" s="209">
        <f t="shared" si="2"/>
        <v>1250</v>
      </c>
      <c r="G22" s="211" t="s">
        <v>3</v>
      </c>
      <c r="H22" s="208">
        <v>2</v>
      </c>
      <c r="I22" s="210" t="s">
        <v>529</v>
      </c>
      <c r="J22" s="103">
        <v>65</v>
      </c>
      <c r="K22" s="66">
        <v>260</v>
      </c>
      <c r="L22" s="66">
        <v>1250</v>
      </c>
      <c r="M22" s="164">
        <v>11.133286033612857</v>
      </c>
      <c r="N22" s="78">
        <v>1816.1128908000001</v>
      </c>
      <c r="O22" s="113">
        <v>43993.243131862015</v>
      </c>
      <c r="P22" s="113">
        <v>46759.909130888656</v>
      </c>
      <c r="Q22" s="110">
        <v>11846.920330460245</v>
      </c>
      <c r="R22" s="113">
        <v>55840.163462322264</v>
      </c>
      <c r="S22" s="113">
        <v>58606.829461348898</v>
      </c>
      <c r="U22" s="7" t="s">
        <v>5782</v>
      </c>
    </row>
    <row r="23" spans="1:21" s="7" customFormat="1" ht="16.5" customHeight="1" thickBot="1">
      <c r="A23" s="207" t="s">
        <v>10</v>
      </c>
      <c r="B23" s="211">
        <f t="shared" si="0"/>
        <v>65</v>
      </c>
      <c r="C23" s="211" t="s">
        <v>3</v>
      </c>
      <c r="D23" s="211">
        <f t="shared" si="1"/>
        <v>260</v>
      </c>
      <c r="E23" s="211" t="s">
        <v>3</v>
      </c>
      <c r="F23" s="209">
        <f t="shared" si="2"/>
        <v>1300</v>
      </c>
      <c r="G23" s="211" t="s">
        <v>3</v>
      </c>
      <c r="H23" s="208">
        <v>2</v>
      </c>
      <c r="I23" s="210" t="s">
        <v>529</v>
      </c>
      <c r="J23" s="103">
        <v>65</v>
      </c>
      <c r="K23" s="66">
        <v>260</v>
      </c>
      <c r="L23" s="66">
        <v>1300</v>
      </c>
      <c r="M23" s="164">
        <v>11.584891673451786</v>
      </c>
      <c r="N23" s="78">
        <v>1917.0080513999999</v>
      </c>
      <c r="O23" s="113">
        <v>47507.26567330223</v>
      </c>
      <c r="P23" s="113">
        <v>50232.707306851917</v>
      </c>
      <c r="Q23" s="110">
        <v>12317.911804675674</v>
      </c>
      <c r="R23" s="113">
        <v>59825.177477977908</v>
      </c>
      <c r="S23" s="113">
        <v>62550.619111527587</v>
      </c>
      <c r="U23" s="7" t="s">
        <v>5783</v>
      </c>
    </row>
    <row r="24" spans="1:21" s="7" customFormat="1" ht="16.5" customHeight="1" thickBot="1">
      <c r="A24" s="207" t="s">
        <v>10</v>
      </c>
      <c r="B24" s="211">
        <f t="shared" si="0"/>
        <v>65</v>
      </c>
      <c r="C24" s="211" t="s">
        <v>3</v>
      </c>
      <c r="D24" s="211">
        <f t="shared" si="1"/>
        <v>260</v>
      </c>
      <c r="E24" s="211" t="s">
        <v>3</v>
      </c>
      <c r="F24" s="209">
        <f t="shared" si="2"/>
        <v>1350</v>
      </c>
      <c r="G24" s="211" t="s">
        <v>3</v>
      </c>
      <c r="H24" s="208">
        <v>2</v>
      </c>
      <c r="I24" s="210" t="s">
        <v>529</v>
      </c>
      <c r="J24" s="103">
        <v>65</v>
      </c>
      <c r="K24" s="66">
        <v>260</v>
      </c>
      <c r="L24" s="66">
        <v>1350</v>
      </c>
      <c r="M24" s="164">
        <v>11.974497313290714</v>
      </c>
      <c r="N24" s="78">
        <v>2017.9032119999999</v>
      </c>
      <c r="O24" s="113">
        <v>48620.359181579435</v>
      </c>
      <c r="P24" s="113">
        <v>51457.529565007135</v>
      </c>
      <c r="Q24" s="110">
        <v>12788.903431919871</v>
      </c>
      <c r="R24" s="113">
        <v>61409.262613499304</v>
      </c>
      <c r="S24" s="113">
        <v>64246.432996927004</v>
      </c>
      <c r="U24" s="7" t="s">
        <v>5784</v>
      </c>
    </row>
    <row r="25" spans="1:21" s="7" customFormat="1" ht="16.5" customHeight="1" thickBot="1">
      <c r="A25" s="207" t="s">
        <v>10</v>
      </c>
      <c r="B25" s="211">
        <f t="shared" si="0"/>
        <v>65</v>
      </c>
      <c r="C25" s="211" t="s">
        <v>3</v>
      </c>
      <c r="D25" s="211">
        <f t="shared" si="1"/>
        <v>260</v>
      </c>
      <c r="E25" s="211" t="s">
        <v>3</v>
      </c>
      <c r="F25" s="209">
        <f t="shared" si="2"/>
        <v>1400</v>
      </c>
      <c r="G25" s="211" t="s">
        <v>3</v>
      </c>
      <c r="H25" s="208">
        <v>2</v>
      </c>
      <c r="I25" s="210" t="s">
        <v>529</v>
      </c>
      <c r="J25" s="103">
        <v>65</v>
      </c>
      <c r="K25" s="66">
        <v>260</v>
      </c>
      <c r="L25" s="66">
        <v>1400</v>
      </c>
      <c r="M25" s="164">
        <v>12.364102953129642</v>
      </c>
      <c r="N25" s="78">
        <v>2118.7983726000002</v>
      </c>
      <c r="O25" s="113">
        <v>50089.900648996998</v>
      </c>
      <c r="P25" s="113">
        <v>53016.091905057292</v>
      </c>
      <c r="Q25" s="110">
        <v>13259.895059164062</v>
      </c>
      <c r="R25" s="113">
        <v>63349.795708161058</v>
      </c>
      <c r="S25" s="113">
        <v>66275.98696422136</v>
      </c>
      <c r="U25" s="7" t="s">
        <v>5785</v>
      </c>
    </row>
    <row r="26" spans="1:21" s="7" customFormat="1" ht="16.5" customHeight="1" thickBot="1">
      <c r="A26" s="207" t="s">
        <v>10</v>
      </c>
      <c r="B26" s="211">
        <f t="shared" si="0"/>
        <v>65</v>
      </c>
      <c r="C26" s="211" t="s">
        <v>3</v>
      </c>
      <c r="D26" s="211">
        <f t="shared" si="1"/>
        <v>260</v>
      </c>
      <c r="E26" s="211" t="s">
        <v>3</v>
      </c>
      <c r="F26" s="209">
        <f t="shared" si="2"/>
        <v>1450</v>
      </c>
      <c r="G26" s="211" t="s">
        <v>3</v>
      </c>
      <c r="H26" s="208">
        <v>2</v>
      </c>
      <c r="I26" s="210" t="s">
        <v>529</v>
      </c>
      <c r="J26" s="103">
        <v>65</v>
      </c>
      <c r="K26" s="66">
        <v>260</v>
      </c>
      <c r="L26" s="66">
        <v>1450</v>
      </c>
      <c r="M26" s="164">
        <v>12.753708592968572</v>
      </c>
      <c r="N26" s="78">
        <v>2219.6935332000003</v>
      </c>
      <c r="O26" s="113">
        <v>51202.994157274203</v>
      </c>
      <c r="P26" s="113">
        <v>54240.91416321251</v>
      </c>
      <c r="Q26" s="110">
        <v>13730.886533379495</v>
      </c>
      <c r="R26" s="113">
        <v>64933.880690653699</v>
      </c>
      <c r="S26" s="113">
        <v>67971.800696592007</v>
      </c>
      <c r="U26" s="7" t="s">
        <v>5786</v>
      </c>
    </row>
    <row r="27" spans="1:21" s="7" customFormat="1" ht="16.5" customHeight="1" thickBot="1">
      <c r="A27" s="207" t="s">
        <v>10</v>
      </c>
      <c r="B27" s="211">
        <f t="shared" si="0"/>
        <v>65</v>
      </c>
      <c r="C27" s="211" t="s">
        <v>3</v>
      </c>
      <c r="D27" s="211">
        <f t="shared" si="1"/>
        <v>260</v>
      </c>
      <c r="E27" s="211" t="s">
        <v>3</v>
      </c>
      <c r="F27" s="209">
        <f t="shared" si="2"/>
        <v>1500</v>
      </c>
      <c r="G27" s="211" t="s">
        <v>3</v>
      </c>
      <c r="H27" s="208">
        <v>2</v>
      </c>
      <c r="I27" s="210" t="s">
        <v>529</v>
      </c>
      <c r="J27" s="103">
        <v>65</v>
      </c>
      <c r="K27" s="66">
        <v>260</v>
      </c>
      <c r="L27" s="66">
        <v>1500</v>
      </c>
      <c r="M27" s="164">
        <v>13.710078421607498</v>
      </c>
      <c r="N27" s="78">
        <v>2320.5886937999999</v>
      </c>
      <c r="O27" s="113">
        <v>52816.502546643729</v>
      </c>
      <c r="P27" s="113">
        <v>56051.31976009658</v>
      </c>
      <c r="Q27" s="110">
        <v>14201.87816062369</v>
      </c>
      <c r="R27" s="113">
        <v>67018.380707267424</v>
      </c>
      <c r="S27" s="113">
        <v>70253.197920720268</v>
      </c>
      <c r="U27" s="7" t="s">
        <v>5787</v>
      </c>
    </row>
    <row r="28" spans="1:21" s="7" customFormat="1" ht="16.5" customHeight="1" thickBot="1">
      <c r="A28" s="207" t="s">
        <v>10</v>
      </c>
      <c r="B28" s="211">
        <f t="shared" si="0"/>
        <v>65</v>
      </c>
      <c r="C28" s="211" t="s">
        <v>3</v>
      </c>
      <c r="D28" s="211">
        <f t="shared" si="1"/>
        <v>260</v>
      </c>
      <c r="E28" s="211" t="s">
        <v>3</v>
      </c>
      <c r="F28" s="209">
        <f t="shared" si="2"/>
        <v>1550</v>
      </c>
      <c r="G28" s="211" t="s">
        <v>3</v>
      </c>
      <c r="H28" s="208">
        <v>2</v>
      </c>
      <c r="I28" s="210" t="s">
        <v>529</v>
      </c>
      <c r="J28" s="103">
        <v>65</v>
      </c>
      <c r="K28" s="66">
        <v>260</v>
      </c>
      <c r="L28" s="66">
        <v>1550</v>
      </c>
      <c r="M28" s="164">
        <v>14.168684061446427</v>
      </c>
      <c r="N28" s="78">
        <v>2421.4838543999999</v>
      </c>
      <c r="O28" s="113">
        <v>53929.596054921072</v>
      </c>
      <c r="P28" s="113">
        <v>57276.141888177342</v>
      </c>
      <c r="Q28" s="110">
        <v>14672.869634839117</v>
      </c>
      <c r="R28" s="113">
        <v>68602.465689760196</v>
      </c>
      <c r="S28" s="113">
        <v>71949.011523016467</v>
      </c>
      <c r="U28" s="7" t="s">
        <v>5788</v>
      </c>
    </row>
    <row r="29" spans="1:21" s="7" customFormat="1" ht="16.5" customHeight="1" thickBot="1">
      <c r="A29" s="207" t="s">
        <v>10</v>
      </c>
      <c r="B29" s="208">
        <f t="shared" si="0"/>
        <v>65</v>
      </c>
      <c r="C29" s="208" t="s">
        <v>3</v>
      </c>
      <c r="D29" s="208">
        <f t="shared" si="1"/>
        <v>260</v>
      </c>
      <c r="E29" s="208" t="s">
        <v>3</v>
      </c>
      <c r="F29" s="209">
        <f t="shared" si="2"/>
        <v>1600</v>
      </c>
      <c r="G29" s="208" t="s">
        <v>3</v>
      </c>
      <c r="H29" s="208">
        <v>2</v>
      </c>
      <c r="I29" s="210" t="s">
        <v>529</v>
      </c>
      <c r="J29" s="103">
        <v>65</v>
      </c>
      <c r="K29" s="66">
        <v>260</v>
      </c>
      <c r="L29" s="66">
        <v>1600</v>
      </c>
      <c r="M29" s="164">
        <v>14.558289701285355</v>
      </c>
      <c r="N29" s="78">
        <v>2522.379015</v>
      </c>
      <c r="O29" s="113">
        <v>57163.874630074861</v>
      </c>
      <c r="P29" s="113">
        <v>60487.017598297491</v>
      </c>
      <c r="Q29" s="110">
        <v>15143.861262083314</v>
      </c>
      <c r="R29" s="113">
        <v>72307.735892158176</v>
      </c>
      <c r="S29" s="113">
        <v>75630.878860380806</v>
      </c>
      <c r="U29" s="7" t="s">
        <v>5789</v>
      </c>
    </row>
    <row r="30" spans="1:21" s="7" customFormat="1" ht="16.5" customHeight="1" thickBot="1">
      <c r="A30" s="207" t="s">
        <v>10</v>
      </c>
      <c r="B30" s="211">
        <f t="shared" si="0"/>
        <v>65</v>
      </c>
      <c r="C30" s="211" t="s">
        <v>3</v>
      </c>
      <c r="D30" s="211">
        <f t="shared" si="1"/>
        <v>260</v>
      </c>
      <c r="E30" s="211" t="s">
        <v>3</v>
      </c>
      <c r="F30" s="209">
        <f t="shared" si="2"/>
        <v>1650</v>
      </c>
      <c r="G30" s="211" t="s">
        <v>3</v>
      </c>
      <c r="H30" s="208">
        <v>2</v>
      </c>
      <c r="I30" s="210" t="s">
        <v>529</v>
      </c>
      <c r="J30" s="103">
        <v>65</v>
      </c>
      <c r="K30" s="66">
        <v>260</v>
      </c>
      <c r="L30" s="66">
        <v>1650</v>
      </c>
      <c r="M30" s="164">
        <v>14.985895341124285</v>
      </c>
      <c r="N30" s="78">
        <v>2623.2741756</v>
      </c>
      <c r="O30" s="113">
        <v>60673.116805390033</v>
      </c>
      <c r="P30" s="113">
        <v>63955.339912423988</v>
      </c>
      <c r="Q30" s="110">
        <v>15614.852889327509</v>
      </c>
      <c r="R30" s="113">
        <v>76287.96969471754</v>
      </c>
      <c r="S30" s="113">
        <v>79570.192801751502</v>
      </c>
      <c r="U30" s="7" t="s">
        <v>5790</v>
      </c>
    </row>
    <row r="31" spans="1:21" s="7" customFormat="1" ht="16.5" customHeight="1" thickBot="1">
      <c r="A31" s="207" t="s">
        <v>10</v>
      </c>
      <c r="B31" s="211">
        <f t="shared" si="0"/>
        <v>65</v>
      </c>
      <c r="C31" s="211" t="s">
        <v>3</v>
      </c>
      <c r="D31" s="211">
        <f t="shared" si="1"/>
        <v>260</v>
      </c>
      <c r="E31" s="211" t="s">
        <v>3</v>
      </c>
      <c r="F31" s="209">
        <f t="shared" si="2"/>
        <v>1700</v>
      </c>
      <c r="G31" s="211" t="s">
        <v>3</v>
      </c>
      <c r="H31" s="208">
        <v>2</v>
      </c>
      <c r="I31" s="210" t="s">
        <v>529</v>
      </c>
      <c r="J31" s="103">
        <v>65</v>
      </c>
      <c r="K31" s="66">
        <v>260</v>
      </c>
      <c r="L31" s="66">
        <v>1700</v>
      </c>
      <c r="M31" s="164">
        <v>15.375500980963213</v>
      </c>
      <c r="N31" s="78">
        <v>2724.1693362000001</v>
      </c>
      <c r="O31" s="113">
        <v>61562.599586208707</v>
      </c>
      <c r="P31" s="113">
        <v>64970.796676625883</v>
      </c>
      <c r="Q31" s="110">
        <v>16085.844363542936</v>
      </c>
      <c r="R31" s="113">
        <v>77648.443949751643</v>
      </c>
      <c r="S31" s="113">
        <v>81056.641040168819</v>
      </c>
      <c r="U31" s="7" t="s">
        <v>5791</v>
      </c>
    </row>
    <row r="32" spans="1:21" s="7" customFormat="1" ht="16.5" customHeight="1" thickBot="1">
      <c r="A32" s="207" t="s">
        <v>10</v>
      </c>
      <c r="B32" s="211">
        <f t="shared" si="0"/>
        <v>65</v>
      </c>
      <c r="C32" s="211" t="s">
        <v>3</v>
      </c>
      <c r="D32" s="211">
        <f t="shared" si="1"/>
        <v>260</v>
      </c>
      <c r="E32" s="211" t="s">
        <v>3</v>
      </c>
      <c r="F32" s="209">
        <f t="shared" si="2"/>
        <v>1750</v>
      </c>
      <c r="G32" s="211" t="s">
        <v>3</v>
      </c>
      <c r="H32" s="208">
        <v>2</v>
      </c>
      <c r="I32" s="210" t="s">
        <v>529</v>
      </c>
      <c r="J32" s="103">
        <v>65</v>
      </c>
      <c r="K32" s="66">
        <v>260</v>
      </c>
      <c r="L32" s="66">
        <v>1750</v>
      </c>
      <c r="M32" s="164">
        <v>15.76510662080214</v>
      </c>
      <c r="N32" s="78">
        <v>2825.0644968000001</v>
      </c>
      <c r="O32" s="113">
        <v>62369.074706160303</v>
      </c>
      <c r="P32" s="113">
        <v>65908.533956739935</v>
      </c>
      <c r="Q32" s="110">
        <v>16556.835990787131</v>
      </c>
      <c r="R32" s="113">
        <v>78925.910696947438</v>
      </c>
      <c r="S32" s="113">
        <v>82465.36994752707</v>
      </c>
      <c r="U32" s="7" t="s">
        <v>5792</v>
      </c>
    </row>
    <row r="33" spans="1:21" s="7" customFormat="1" ht="16.5" customHeight="1" thickBot="1">
      <c r="A33" s="207" t="s">
        <v>10</v>
      </c>
      <c r="B33" s="211">
        <f t="shared" si="0"/>
        <v>65</v>
      </c>
      <c r="C33" s="211" t="s">
        <v>3</v>
      </c>
      <c r="D33" s="211">
        <f t="shared" si="1"/>
        <v>260</v>
      </c>
      <c r="E33" s="211" t="s">
        <v>3</v>
      </c>
      <c r="F33" s="209">
        <f t="shared" si="2"/>
        <v>1800</v>
      </c>
      <c r="G33" s="211" t="s">
        <v>3</v>
      </c>
      <c r="H33" s="208">
        <v>2</v>
      </c>
      <c r="I33" s="210" t="s">
        <v>529</v>
      </c>
      <c r="J33" s="103">
        <v>65</v>
      </c>
      <c r="K33" s="66">
        <v>260</v>
      </c>
      <c r="L33" s="66">
        <v>1800</v>
      </c>
      <c r="M33" s="164">
        <v>16.223712260641072</v>
      </c>
      <c r="N33" s="78">
        <v>2925.9596573999997</v>
      </c>
      <c r="O33" s="113">
        <v>63259.316861620158</v>
      </c>
      <c r="P33" s="113">
        <v>66924.70157781303</v>
      </c>
      <c r="Q33" s="110">
        <v>17027.827465002563</v>
      </c>
      <c r="R33" s="113">
        <v>80287.144326622714</v>
      </c>
      <c r="S33" s="113">
        <v>83952.529042815586</v>
      </c>
      <c r="U33" s="7" t="s">
        <v>5793</v>
      </c>
    </row>
    <row r="34" spans="1:21" s="7" customFormat="1" ht="16.5" customHeight="1" thickBot="1">
      <c r="A34" s="207" t="s">
        <v>10</v>
      </c>
      <c r="B34" s="211">
        <f t="shared" si="0"/>
        <v>65</v>
      </c>
      <c r="C34" s="211" t="s">
        <v>3</v>
      </c>
      <c r="D34" s="211">
        <f t="shared" si="1"/>
        <v>260</v>
      </c>
      <c r="E34" s="211" t="s">
        <v>3</v>
      </c>
      <c r="F34" s="209">
        <f t="shared" si="2"/>
        <v>1850</v>
      </c>
      <c r="G34" s="211" t="s">
        <v>3</v>
      </c>
      <c r="H34" s="208">
        <v>2</v>
      </c>
      <c r="I34" s="210" t="s">
        <v>529</v>
      </c>
      <c r="J34" s="103">
        <v>65</v>
      </c>
      <c r="K34" s="66">
        <v>260</v>
      </c>
      <c r="L34" s="66">
        <v>1850</v>
      </c>
      <c r="M34" s="164">
        <v>16.67531790048</v>
      </c>
      <c r="N34" s="78">
        <v>3026.8548180000003</v>
      </c>
      <c r="O34" s="113">
        <v>64149.506467002073</v>
      </c>
      <c r="P34" s="113">
        <v>67940.820160818344</v>
      </c>
      <c r="Q34" s="110">
        <v>17498.819092246758</v>
      </c>
      <c r="R34" s="113">
        <v>81648.325559248828</v>
      </c>
      <c r="S34" s="113">
        <v>85439.639253065106</v>
      </c>
      <c r="U34" s="7" t="s">
        <v>5794</v>
      </c>
    </row>
    <row r="35" spans="1:21" s="7" customFormat="1" ht="16.5" customHeight="1" thickBot="1">
      <c r="A35" s="207" t="s">
        <v>10</v>
      </c>
      <c r="B35" s="211">
        <f t="shared" si="0"/>
        <v>65</v>
      </c>
      <c r="C35" s="211" t="s">
        <v>3</v>
      </c>
      <c r="D35" s="211">
        <f t="shared" si="1"/>
        <v>260</v>
      </c>
      <c r="E35" s="211" t="s">
        <v>3</v>
      </c>
      <c r="F35" s="209">
        <f t="shared" si="2"/>
        <v>1900</v>
      </c>
      <c r="G35" s="211" t="s">
        <v>3</v>
      </c>
      <c r="H35" s="208">
        <v>2</v>
      </c>
      <c r="I35" s="210" t="s">
        <v>529</v>
      </c>
      <c r="J35" s="103">
        <v>65</v>
      </c>
      <c r="K35" s="66">
        <v>260</v>
      </c>
      <c r="L35" s="66">
        <v>1900</v>
      </c>
      <c r="M35" s="164">
        <v>17.064923540318929</v>
      </c>
      <c r="N35" s="78">
        <v>3127.7499786000003</v>
      </c>
      <c r="O35" s="113">
        <v>65230.505405398377</v>
      </c>
      <c r="P35" s="113">
        <v>69135.592359303351</v>
      </c>
      <c r="Q35" s="110">
        <v>17969.810719490953</v>
      </c>
      <c r="R35" s="113">
        <v>83200.31612488933</v>
      </c>
      <c r="S35" s="113">
        <v>87105.403078794305</v>
      </c>
      <c r="U35" s="7" t="s">
        <v>5795</v>
      </c>
    </row>
    <row r="36" spans="1:21" s="7" customFormat="1" ht="16.5" customHeight="1" thickBot="1">
      <c r="A36" s="207" t="s">
        <v>10</v>
      </c>
      <c r="B36" s="211">
        <f t="shared" si="0"/>
        <v>65</v>
      </c>
      <c r="C36" s="211" t="s">
        <v>3</v>
      </c>
      <c r="D36" s="211">
        <f t="shared" si="1"/>
        <v>260</v>
      </c>
      <c r="E36" s="211" t="s">
        <v>3</v>
      </c>
      <c r="F36" s="209">
        <f t="shared" si="2"/>
        <v>1950</v>
      </c>
      <c r="G36" s="211" t="s">
        <v>3</v>
      </c>
      <c r="H36" s="208">
        <v>2</v>
      </c>
      <c r="I36" s="210" t="s">
        <v>529</v>
      </c>
      <c r="J36" s="103">
        <v>65</v>
      </c>
      <c r="K36" s="66">
        <v>260</v>
      </c>
      <c r="L36" s="66">
        <v>1950</v>
      </c>
      <c r="M36" s="164">
        <v>17.607779180157859</v>
      </c>
      <c r="N36" s="78">
        <v>3228.6451391999999</v>
      </c>
      <c r="O36" s="113">
        <v>66485.033676302599</v>
      </c>
      <c r="P36" s="113">
        <v>70492.839122909398</v>
      </c>
      <c r="Q36" s="110">
        <v>18440.802193706382</v>
      </c>
      <c r="R36" s="113">
        <v>84925.835870008974</v>
      </c>
      <c r="S36" s="113">
        <v>88933.641316615773</v>
      </c>
      <c r="U36" s="7" t="s">
        <v>5796</v>
      </c>
    </row>
    <row r="37" spans="1:21" s="7" customFormat="1" ht="16.5" customHeight="1" thickBot="1">
      <c r="A37" s="207" t="s">
        <v>10</v>
      </c>
      <c r="B37" s="211">
        <f t="shared" si="0"/>
        <v>65</v>
      </c>
      <c r="C37" s="211" t="s">
        <v>3</v>
      </c>
      <c r="D37" s="211">
        <f t="shared" si="1"/>
        <v>260</v>
      </c>
      <c r="E37" s="211" t="s">
        <v>3</v>
      </c>
      <c r="F37" s="209">
        <f t="shared" si="2"/>
        <v>2000</v>
      </c>
      <c r="G37" s="211" t="s">
        <v>3</v>
      </c>
      <c r="H37" s="208">
        <v>2</v>
      </c>
      <c r="I37" s="210" t="s">
        <v>529</v>
      </c>
      <c r="J37" s="103">
        <v>65</v>
      </c>
      <c r="K37" s="66">
        <v>260</v>
      </c>
      <c r="L37" s="66">
        <v>2000</v>
      </c>
      <c r="M37" s="164">
        <v>18.088947219996786</v>
      </c>
      <c r="N37" s="78">
        <v>3329.5402998</v>
      </c>
      <c r="O37" s="113">
        <v>67600.070496868138</v>
      </c>
      <c r="P37" s="113">
        <v>71926.861160168177</v>
      </c>
      <c r="Q37" s="110">
        <v>18911.793820950577</v>
      </c>
      <c r="R37" s="113">
        <v>86511.864317818719</v>
      </c>
      <c r="S37" s="113">
        <v>90838.654981118758</v>
      </c>
      <c r="U37" s="7" t="s">
        <v>5797</v>
      </c>
    </row>
    <row r="38" spans="1:21" s="7" customFormat="1" ht="16.5" customHeight="1" thickBot="1">
      <c r="A38" s="207" t="s">
        <v>10</v>
      </c>
      <c r="B38" s="211">
        <f t="shared" si="0"/>
        <v>65</v>
      </c>
      <c r="C38" s="211" t="s">
        <v>3</v>
      </c>
      <c r="D38" s="211">
        <f t="shared" si="1"/>
        <v>260</v>
      </c>
      <c r="E38" s="211" t="s">
        <v>3</v>
      </c>
      <c r="F38" s="209">
        <f t="shared" si="2"/>
        <v>2050</v>
      </c>
      <c r="G38" s="211" t="s">
        <v>3</v>
      </c>
      <c r="H38" s="208">
        <v>2</v>
      </c>
      <c r="I38" s="210" t="s">
        <v>529</v>
      </c>
      <c r="J38" s="103">
        <v>65</v>
      </c>
      <c r="K38" s="66">
        <v>260</v>
      </c>
      <c r="L38" s="66">
        <v>2050</v>
      </c>
      <c r="M38" s="164">
        <v>18.478552859835716</v>
      </c>
      <c r="N38" s="78">
        <v>3430.4354603999996</v>
      </c>
      <c r="O38" s="113">
        <v>70827.187823157568</v>
      </c>
      <c r="P38" s="113">
        <v>75131.031662446912</v>
      </c>
      <c r="Q38" s="110">
        <v>19382.785295166006</v>
      </c>
      <c r="R38" s="113">
        <v>90209.973118323571</v>
      </c>
      <c r="S38" s="113">
        <v>94513.816957612915</v>
      </c>
      <c r="U38" s="7" t="s">
        <v>5798</v>
      </c>
    </row>
    <row r="39" spans="1:21" s="7" customFormat="1" ht="16.5" customHeight="1" thickBot="1">
      <c r="A39" s="207" t="s">
        <v>10</v>
      </c>
      <c r="B39" s="208">
        <f t="shared" si="0"/>
        <v>65</v>
      </c>
      <c r="C39" s="208" t="s">
        <v>3</v>
      </c>
      <c r="D39" s="208">
        <f t="shared" si="1"/>
        <v>260</v>
      </c>
      <c r="E39" s="208" t="s">
        <v>3</v>
      </c>
      <c r="F39" s="209">
        <f t="shared" si="2"/>
        <v>2100</v>
      </c>
      <c r="G39" s="208" t="s">
        <v>3</v>
      </c>
      <c r="H39" s="208">
        <v>2</v>
      </c>
      <c r="I39" s="210" t="s">
        <v>529</v>
      </c>
      <c r="J39" s="103">
        <v>65</v>
      </c>
      <c r="K39" s="66">
        <v>260</v>
      </c>
      <c r="L39" s="66">
        <v>2100</v>
      </c>
      <c r="M39" s="164">
        <v>18.868158499674642</v>
      </c>
      <c r="N39" s="78">
        <v>3531.3306210000001</v>
      </c>
      <c r="O39" s="113">
        <v>71784.880995370811</v>
      </c>
      <c r="P39" s="113">
        <v>76210.353420880318</v>
      </c>
      <c r="Q39" s="110">
        <v>19853.776922410201</v>
      </c>
      <c r="R39" s="113">
        <v>91638.657917781005</v>
      </c>
      <c r="S39" s="113">
        <v>96064.130343290512</v>
      </c>
      <c r="U39" s="7" t="s">
        <v>5799</v>
      </c>
    </row>
    <row r="40" spans="1:21" s="7" customFormat="1" ht="16.5" customHeight="1" thickBot="1">
      <c r="A40" s="207" t="s">
        <v>10</v>
      </c>
      <c r="B40" s="211">
        <f t="shared" si="0"/>
        <v>65</v>
      </c>
      <c r="C40" s="211" t="s">
        <v>3</v>
      </c>
      <c r="D40" s="211">
        <f t="shared" si="1"/>
        <v>260</v>
      </c>
      <c r="E40" s="211" t="s">
        <v>3</v>
      </c>
      <c r="F40" s="209">
        <f t="shared" si="2"/>
        <v>2150</v>
      </c>
      <c r="G40" s="211" t="s">
        <v>3</v>
      </c>
      <c r="H40" s="208">
        <v>2</v>
      </c>
      <c r="I40" s="210" t="s">
        <v>529</v>
      </c>
      <c r="J40" s="103">
        <v>65</v>
      </c>
      <c r="K40" s="66">
        <v>260</v>
      </c>
      <c r="L40" s="66">
        <v>2150</v>
      </c>
      <c r="M40" s="164">
        <v>19.381764139513571</v>
      </c>
      <c r="N40" s="78">
        <v>3632.2257816000001</v>
      </c>
      <c r="O40" s="113">
        <v>72903.477043121442</v>
      </c>
      <c r="P40" s="113">
        <v>77440.327667865116</v>
      </c>
      <c r="Q40" s="110">
        <v>20324.768396625634</v>
      </c>
      <c r="R40" s="113">
        <v>93228.245439747072</v>
      </c>
      <c r="S40" s="113">
        <v>97765.096064490746</v>
      </c>
      <c r="U40" s="7" t="s">
        <v>5800</v>
      </c>
    </row>
    <row r="41" spans="1:21" s="7" customFormat="1" ht="16.5" customHeight="1" thickBot="1">
      <c r="A41" s="207" t="s">
        <v>10</v>
      </c>
      <c r="B41" s="211">
        <f t="shared" si="0"/>
        <v>65</v>
      </c>
      <c r="C41" s="211" t="s">
        <v>3</v>
      </c>
      <c r="D41" s="211">
        <f t="shared" si="1"/>
        <v>260</v>
      </c>
      <c r="E41" s="211" t="s">
        <v>3</v>
      </c>
      <c r="F41" s="209">
        <f t="shared" si="2"/>
        <v>2200</v>
      </c>
      <c r="G41" s="211" t="s">
        <v>3</v>
      </c>
      <c r="H41" s="208">
        <v>2</v>
      </c>
      <c r="I41" s="210" t="s">
        <v>529</v>
      </c>
      <c r="J41" s="103">
        <v>65</v>
      </c>
      <c r="K41" s="66">
        <v>260</v>
      </c>
      <c r="L41" s="66">
        <v>2200</v>
      </c>
      <c r="M41" s="164">
        <v>19.771369779352497</v>
      </c>
      <c r="N41" s="78">
        <v>3733.1209421999997</v>
      </c>
      <c r="O41" s="113">
        <v>74022.020670868587</v>
      </c>
      <c r="P41" s="113">
        <v>78670.252746707934</v>
      </c>
      <c r="Q41" s="110">
        <v>20795.760023869829</v>
      </c>
      <c r="R41" s="113">
        <v>94817.780694738409</v>
      </c>
      <c r="S41" s="113">
        <v>99466.01277057777</v>
      </c>
      <c r="U41" s="7" t="s">
        <v>5801</v>
      </c>
    </row>
    <row r="42" spans="1:21" s="7" customFormat="1" ht="16.5" customHeight="1" thickBot="1">
      <c r="A42" s="207" t="s">
        <v>10</v>
      </c>
      <c r="B42" s="211">
        <f t="shared" si="0"/>
        <v>65</v>
      </c>
      <c r="C42" s="211" t="s">
        <v>3</v>
      </c>
      <c r="D42" s="211">
        <f t="shared" si="1"/>
        <v>260</v>
      </c>
      <c r="E42" s="211" t="s">
        <v>3</v>
      </c>
      <c r="F42" s="209">
        <f t="shared" si="2"/>
        <v>2250</v>
      </c>
      <c r="G42" s="211" t="s">
        <v>3</v>
      </c>
      <c r="H42" s="208">
        <v>2</v>
      </c>
      <c r="I42" s="210" t="s">
        <v>529</v>
      </c>
      <c r="J42" s="103">
        <v>65</v>
      </c>
      <c r="K42" s="66">
        <v>260</v>
      </c>
      <c r="L42" s="66">
        <v>2250</v>
      </c>
      <c r="M42" s="164">
        <v>20.160975419191431</v>
      </c>
      <c r="N42" s="78">
        <v>3834.0161027999998</v>
      </c>
      <c r="O42" s="113">
        <v>75488.940487739208</v>
      </c>
      <c r="P42" s="113">
        <v>80226.360451805434</v>
      </c>
      <c r="Q42" s="110">
        <v>21266.75165111402</v>
      </c>
      <c r="R42" s="113">
        <v>96755.692138853221</v>
      </c>
      <c r="S42" s="113">
        <v>101493.11210291946</v>
      </c>
      <c r="U42" s="7" t="s">
        <v>5802</v>
      </c>
    </row>
    <row r="43" spans="1:21" s="7" customFormat="1" ht="16.5" customHeight="1" thickBot="1">
      <c r="A43" s="207" t="s">
        <v>10</v>
      </c>
      <c r="B43" s="211">
        <f t="shared" si="0"/>
        <v>65</v>
      </c>
      <c r="C43" s="211" t="s">
        <v>3</v>
      </c>
      <c r="D43" s="211">
        <f t="shared" si="1"/>
        <v>260</v>
      </c>
      <c r="E43" s="211" t="s">
        <v>3</v>
      </c>
      <c r="F43" s="209">
        <f t="shared" si="2"/>
        <v>2300</v>
      </c>
      <c r="G43" s="211" t="s">
        <v>3</v>
      </c>
      <c r="H43" s="208">
        <v>2</v>
      </c>
      <c r="I43" s="210" t="s">
        <v>529</v>
      </c>
      <c r="J43" s="103">
        <v>65</v>
      </c>
      <c r="K43" s="66">
        <v>260</v>
      </c>
      <c r="L43" s="66">
        <v>2300</v>
      </c>
      <c r="M43" s="164">
        <v>20.55058105903036</v>
      </c>
      <c r="N43" s="78">
        <v>3934.9112634000003</v>
      </c>
      <c r="O43" s="113">
        <v>76342.717181562839</v>
      </c>
      <c r="P43" s="113">
        <v>81208.38574092566</v>
      </c>
      <c r="Q43" s="110">
        <v>21737.743125329449</v>
      </c>
      <c r="R43" s="113">
        <v>98080.460306892288</v>
      </c>
      <c r="S43" s="113">
        <v>102946.12886625511</v>
      </c>
      <c r="U43" s="7" t="s">
        <v>5803</v>
      </c>
    </row>
    <row r="44" spans="1:21" s="7" customFormat="1" ht="16.5" customHeight="1" thickBot="1">
      <c r="A44" s="207" t="s">
        <v>10</v>
      </c>
      <c r="B44" s="211">
        <f t="shared" si="0"/>
        <v>65</v>
      </c>
      <c r="C44" s="211" t="s">
        <v>3</v>
      </c>
      <c r="D44" s="211">
        <f t="shared" si="1"/>
        <v>260</v>
      </c>
      <c r="E44" s="211" t="s">
        <v>3</v>
      </c>
      <c r="F44" s="209">
        <f t="shared" si="2"/>
        <v>2350</v>
      </c>
      <c r="G44" s="211" t="s">
        <v>3</v>
      </c>
      <c r="H44" s="208">
        <v>2</v>
      </c>
      <c r="I44" s="210" t="s">
        <v>529</v>
      </c>
      <c r="J44" s="103">
        <v>65</v>
      </c>
      <c r="K44" s="66">
        <v>260</v>
      </c>
      <c r="L44" s="66">
        <v>2350</v>
      </c>
      <c r="M44" s="164">
        <v>20.940186698869287</v>
      </c>
      <c r="N44" s="78">
        <v>4035.8064239999999</v>
      </c>
      <c r="O44" s="113">
        <v>77196.441455382985</v>
      </c>
      <c r="P44" s="113">
        <v>82190.361991978119</v>
      </c>
      <c r="Q44" s="110">
        <v>22208.734752573648</v>
      </c>
      <c r="R44" s="113">
        <v>99405.176207956625</v>
      </c>
      <c r="S44" s="113">
        <v>104399.09674455176</v>
      </c>
      <c r="U44" s="7" t="s">
        <v>5804</v>
      </c>
    </row>
    <row r="45" spans="1:21" s="7" customFormat="1" ht="16.5" customHeight="1" thickBot="1">
      <c r="A45" s="207" t="s">
        <v>10</v>
      </c>
      <c r="B45" s="211">
        <f t="shared" si="0"/>
        <v>65</v>
      </c>
      <c r="C45" s="211" t="s">
        <v>3</v>
      </c>
      <c r="D45" s="211">
        <f t="shared" si="1"/>
        <v>260</v>
      </c>
      <c r="E45" s="211" t="s">
        <v>3</v>
      </c>
      <c r="F45" s="209">
        <f t="shared" si="2"/>
        <v>2400</v>
      </c>
      <c r="G45" s="211" t="s">
        <v>3</v>
      </c>
      <c r="H45" s="208">
        <v>2</v>
      </c>
      <c r="I45" s="210" t="s">
        <v>529</v>
      </c>
      <c r="J45" s="103">
        <v>65</v>
      </c>
      <c r="K45" s="66">
        <v>260</v>
      </c>
      <c r="L45" s="66">
        <v>2400</v>
      </c>
      <c r="M45" s="164">
        <v>21.329792338708213</v>
      </c>
      <c r="N45" s="78">
        <v>4136.7015845999995</v>
      </c>
      <c r="O45" s="113">
        <v>78050.113309199631</v>
      </c>
      <c r="P45" s="113">
        <v>83172.289204962784</v>
      </c>
      <c r="Q45" s="110">
        <v>22679.726226789073</v>
      </c>
      <c r="R45" s="113">
        <v>100729.83953598871</v>
      </c>
      <c r="S45" s="113">
        <v>105852.01543175186</v>
      </c>
      <c r="U45" s="7" t="s">
        <v>5805</v>
      </c>
    </row>
    <row r="46" spans="1:21" s="7" customFormat="1" ht="16.5" customHeight="1" thickBot="1">
      <c r="A46" s="207" t="s">
        <v>10</v>
      </c>
      <c r="B46" s="211">
        <f t="shared" si="0"/>
        <v>65</v>
      </c>
      <c r="C46" s="211" t="s">
        <v>3</v>
      </c>
      <c r="D46" s="211">
        <f t="shared" si="1"/>
        <v>260</v>
      </c>
      <c r="E46" s="211" t="s">
        <v>3</v>
      </c>
      <c r="F46" s="209">
        <f t="shared" si="2"/>
        <v>2450</v>
      </c>
      <c r="G46" s="211" t="s">
        <v>3</v>
      </c>
      <c r="H46" s="208">
        <v>2</v>
      </c>
      <c r="I46" s="210" t="s">
        <v>529</v>
      </c>
      <c r="J46" s="103">
        <v>65</v>
      </c>
      <c r="K46" s="66">
        <v>260</v>
      </c>
      <c r="L46" s="66">
        <v>2450</v>
      </c>
      <c r="M46" s="164">
        <v>22.40016216734714</v>
      </c>
      <c r="N46" s="78">
        <v>4237.5967452000004</v>
      </c>
      <c r="O46" s="113">
        <v>79404.14762410523</v>
      </c>
      <c r="P46" s="113">
        <v>84739.750848682976</v>
      </c>
      <c r="Q46" s="110">
        <v>23150.717854033268</v>
      </c>
      <c r="R46" s="113">
        <v>102554.8654781385</v>
      </c>
      <c r="S46" s="113">
        <v>107890.46870271624</v>
      </c>
      <c r="U46" s="7" t="s">
        <v>5806</v>
      </c>
    </row>
    <row r="47" spans="1:21" s="7" customFormat="1" ht="16.5" customHeight="1" thickBot="1">
      <c r="A47" s="207" t="s">
        <v>10</v>
      </c>
      <c r="B47" s="211">
        <f t="shared" si="0"/>
        <v>65</v>
      </c>
      <c r="C47" s="211" t="s">
        <v>3</v>
      </c>
      <c r="D47" s="211">
        <f t="shared" si="1"/>
        <v>260</v>
      </c>
      <c r="E47" s="211" t="s">
        <v>3</v>
      </c>
      <c r="F47" s="209">
        <f t="shared" si="2"/>
        <v>2500</v>
      </c>
      <c r="G47" s="211" t="s">
        <v>3</v>
      </c>
      <c r="H47" s="208">
        <v>2</v>
      </c>
      <c r="I47" s="210" t="s">
        <v>529</v>
      </c>
      <c r="J47" s="103">
        <v>65</v>
      </c>
      <c r="K47" s="66">
        <v>260</v>
      </c>
      <c r="L47" s="66">
        <v>2500</v>
      </c>
      <c r="M47" s="164">
        <v>22.806767807186073</v>
      </c>
      <c r="N47" s="78">
        <v>4338.4919058000005</v>
      </c>
      <c r="O47" s="113">
        <v>80257.714637914905</v>
      </c>
      <c r="P47" s="113">
        <v>85721.579855457632</v>
      </c>
      <c r="Q47" s="110">
        <v>23621.709481277463</v>
      </c>
      <c r="R47" s="113">
        <v>103879.42411919236</v>
      </c>
      <c r="S47" s="113">
        <v>109343.28933673509</v>
      </c>
      <c r="U47" s="7" t="s">
        <v>5807</v>
      </c>
    </row>
    <row r="48" spans="1:21" ht="16.5" customHeight="1" thickBot="1">
      <c r="A48" s="207" t="s">
        <v>10</v>
      </c>
      <c r="B48" s="211">
        <f t="shared" si="0"/>
        <v>65</v>
      </c>
      <c r="C48" s="211" t="s">
        <v>3</v>
      </c>
      <c r="D48" s="211">
        <f t="shared" si="1"/>
        <v>260</v>
      </c>
      <c r="E48" s="211" t="s">
        <v>3</v>
      </c>
      <c r="F48" s="209">
        <f t="shared" si="2"/>
        <v>2550</v>
      </c>
      <c r="G48" s="211" t="s">
        <v>3</v>
      </c>
      <c r="H48" s="208">
        <v>2</v>
      </c>
      <c r="I48" s="210" t="s">
        <v>529</v>
      </c>
      <c r="J48" s="103">
        <v>65</v>
      </c>
      <c r="K48" s="66">
        <v>260</v>
      </c>
      <c r="L48" s="66">
        <v>2550</v>
      </c>
      <c r="M48" s="164">
        <v>23.196373447025</v>
      </c>
      <c r="N48" s="78">
        <v>4439.3870664000005</v>
      </c>
      <c r="O48" s="113">
        <v>84702.055272969737</v>
      </c>
      <c r="P48" s="113">
        <v>90065.429522772974</v>
      </c>
      <c r="Q48" s="110">
        <v>24092.700955492892</v>
      </c>
      <c r="R48" s="113">
        <v>108794.75622846263</v>
      </c>
      <c r="S48" s="113">
        <v>114158.13047826587</v>
      </c>
      <c r="U48" s="7" t="s">
        <v>5808</v>
      </c>
    </row>
    <row r="49" spans="1:21" ht="16.5" customHeight="1" thickBot="1">
      <c r="A49" s="207" t="s">
        <v>10</v>
      </c>
      <c r="B49" s="208">
        <f t="shared" si="0"/>
        <v>65</v>
      </c>
      <c r="C49" s="208" t="s">
        <v>3</v>
      </c>
      <c r="D49" s="208">
        <f t="shared" si="1"/>
        <v>260</v>
      </c>
      <c r="E49" s="208" t="s">
        <v>3</v>
      </c>
      <c r="F49" s="209">
        <f t="shared" si="2"/>
        <v>2600</v>
      </c>
      <c r="G49" s="208" t="s">
        <v>3</v>
      </c>
      <c r="H49" s="208">
        <v>2</v>
      </c>
      <c r="I49" s="210" t="s">
        <v>529</v>
      </c>
      <c r="J49" s="103">
        <v>65</v>
      </c>
      <c r="K49" s="66">
        <v>260</v>
      </c>
      <c r="L49" s="66">
        <v>2600</v>
      </c>
      <c r="M49" s="164">
        <v>23.585979086863929</v>
      </c>
      <c r="N49" s="78">
        <v>4540.2822269999997</v>
      </c>
      <c r="O49" s="113">
        <v>85850.47531099584</v>
      </c>
      <c r="P49" s="113">
        <v>91323.327762537039</v>
      </c>
      <c r="Q49" s="110">
        <v>24563.692582737087</v>
      </c>
      <c r="R49" s="113">
        <v>110414.16789373293</v>
      </c>
      <c r="S49" s="113">
        <v>115887.02034527413</v>
      </c>
      <c r="U49" s="7" t="s">
        <v>5809</v>
      </c>
    </row>
    <row r="50" spans="1:21" ht="16.5" customHeight="1" thickBot="1">
      <c r="A50" s="207" t="s">
        <v>10</v>
      </c>
      <c r="B50" s="211">
        <f t="shared" si="0"/>
        <v>65</v>
      </c>
      <c r="C50" s="211" t="s">
        <v>3</v>
      </c>
      <c r="D50" s="211">
        <f t="shared" si="1"/>
        <v>260</v>
      </c>
      <c r="E50" s="211" t="s">
        <v>3</v>
      </c>
      <c r="F50" s="209">
        <f t="shared" si="2"/>
        <v>2650</v>
      </c>
      <c r="G50" s="211" t="s">
        <v>3</v>
      </c>
      <c r="H50" s="208">
        <v>2</v>
      </c>
      <c r="I50" s="210" t="s">
        <v>529</v>
      </c>
      <c r="J50" s="103">
        <v>65</v>
      </c>
      <c r="K50" s="66">
        <v>260</v>
      </c>
      <c r="L50" s="66">
        <v>2650</v>
      </c>
      <c r="M50" s="164">
        <v>24.082584726702862</v>
      </c>
      <c r="N50" s="78">
        <v>4641.1773875999997</v>
      </c>
      <c r="O50" s="113">
        <v>86529.519743794663</v>
      </c>
      <c r="P50" s="113">
        <v>92141.75230194506</v>
      </c>
      <c r="Q50" s="110">
        <v>25034.684056952519</v>
      </c>
      <c r="R50" s="113">
        <v>111564.20380074719</v>
      </c>
      <c r="S50" s="113">
        <v>117176.43635889758</v>
      </c>
      <c r="U50" s="7" t="s">
        <v>5810</v>
      </c>
    </row>
    <row r="51" spans="1:21" ht="16.5" customHeight="1" thickBot="1">
      <c r="A51" s="207" t="s">
        <v>10</v>
      </c>
      <c r="B51" s="211">
        <f t="shared" si="0"/>
        <v>65</v>
      </c>
      <c r="C51" s="211" t="s">
        <v>3</v>
      </c>
      <c r="D51" s="211">
        <f t="shared" si="1"/>
        <v>260</v>
      </c>
      <c r="E51" s="211" t="s">
        <v>3</v>
      </c>
      <c r="F51" s="209">
        <f t="shared" si="2"/>
        <v>2700</v>
      </c>
      <c r="G51" s="211" t="s">
        <v>3</v>
      </c>
      <c r="H51" s="208">
        <v>2</v>
      </c>
      <c r="I51" s="210" t="s">
        <v>529</v>
      </c>
      <c r="J51" s="103">
        <v>65</v>
      </c>
      <c r="K51" s="66">
        <v>260</v>
      </c>
      <c r="L51" s="66">
        <v>2700</v>
      </c>
      <c r="M51" s="164">
        <v>24.511440366541791</v>
      </c>
      <c r="N51" s="78">
        <v>4742.0725482000007</v>
      </c>
      <c r="O51" s="113">
        <v>87247.075319110474</v>
      </c>
      <c r="P51" s="113">
        <v>92996.234519587422</v>
      </c>
      <c r="Q51" s="110">
        <v>25505.675684196711</v>
      </c>
      <c r="R51" s="113">
        <v>112752.75100330719</v>
      </c>
      <c r="S51" s="113">
        <v>118501.91020378414</v>
      </c>
      <c r="U51" s="7" t="s">
        <v>5811</v>
      </c>
    </row>
    <row r="52" spans="1:21" ht="16.5" customHeight="1" thickBot="1">
      <c r="A52" s="207" t="s">
        <v>10</v>
      </c>
      <c r="B52" s="211">
        <f t="shared" si="0"/>
        <v>65</v>
      </c>
      <c r="C52" s="211" t="s">
        <v>3</v>
      </c>
      <c r="D52" s="211">
        <f t="shared" si="1"/>
        <v>260</v>
      </c>
      <c r="E52" s="211" t="s">
        <v>3</v>
      </c>
      <c r="F52" s="209">
        <f t="shared" si="2"/>
        <v>2750</v>
      </c>
      <c r="G52" s="211" t="s">
        <v>3</v>
      </c>
      <c r="H52" s="208">
        <v>2</v>
      </c>
      <c r="I52" s="210" t="s">
        <v>529</v>
      </c>
      <c r="J52" s="103">
        <v>65</v>
      </c>
      <c r="K52" s="66">
        <v>260</v>
      </c>
      <c r="L52" s="66">
        <v>2750</v>
      </c>
      <c r="M52" s="164">
        <v>24.901046006380717</v>
      </c>
      <c r="N52" s="78">
        <v>4842.9677087999999</v>
      </c>
      <c r="O52" s="113">
        <v>88015.12683665019</v>
      </c>
      <c r="P52" s="113">
        <v>93897.995938296372</v>
      </c>
      <c r="Q52" s="110">
        <v>25976.667311440906</v>
      </c>
      <c r="R52" s="113">
        <v>113991.7941480911</v>
      </c>
      <c r="S52" s="113">
        <v>119874.66324973728</v>
      </c>
      <c r="U52" s="7" t="s">
        <v>5812</v>
      </c>
    </row>
    <row r="53" spans="1:21" ht="16.5" customHeight="1" thickBot="1">
      <c r="A53" s="207" t="s">
        <v>10</v>
      </c>
      <c r="B53" s="211">
        <f t="shared" si="0"/>
        <v>65</v>
      </c>
      <c r="C53" s="211" t="s">
        <v>3</v>
      </c>
      <c r="D53" s="211">
        <f t="shared" si="1"/>
        <v>260</v>
      </c>
      <c r="E53" s="211" t="s">
        <v>3</v>
      </c>
      <c r="F53" s="209">
        <f t="shared" si="2"/>
        <v>2800</v>
      </c>
      <c r="G53" s="211" t="s">
        <v>3</v>
      </c>
      <c r="H53" s="208">
        <v>2</v>
      </c>
      <c r="I53" s="210" t="s">
        <v>529</v>
      </c>
      <c r="J53" s="103">
        <v>65</v>
      </c>
      <c r="K53" s="66">
        <v>260</v>
      </c>
      <c r="L53" s="66">
        <v>2800</v>
      </c>
      <c r="M53" s="164">
        <v>25.290651646219644</v>
      </c>
      <c r="N53" s="78">
        <v>4943.8628694000008</v>
      </c>
      <c r="O53" s="113">
        <v>88692.825779334526</v>
      </c>
      <c r="P53" s="113">
        <v>94715.160706652692</v>
      </c>
      <c r="Q53" s="110">
        <v>26447.658785656335</v>
      </c>
      <c r="R53" s="113">
        <v>115140.48456499085</v>
      </c>
      <c r="S53" s="113">
        <v>121162.81949230903</v>
      </c>
      <c r="U53" s="7" t="s">
        <v>5813</v>
      </c>
    </row>
    <row r="54" spans="1:21" ht="16.5" customHeight="1" thickBot="1">
      <c r="A54" s="207" t="s">
        <v>10</v>
      </c>
      <c r="B54" s="211">
        <f t="shared" si="0"/>
        <v>65</v>
      </c>
      <c r="C54" s="211" t="s">
        <v>3</v>
      </c>
      <c r="D54" s="211">
        <f t="shared" si="1"/>
        <v>260</v>
      </c>
      <c r="E54" s="211" t="s">
        <v>3</v>
      </c>
      <c r="F54" s="209">
        <f t="shared" si="2"/>
        <v>2850</v>
      </c>
      <c r="G54" s="211" t="s">
        <v>3</v>
      </c>
      <c r="H54" s="208">
        <v>2</v>
      </c>
      <c r="I54" s="210" t="s">
        <v>529</v>
      </c>
      <c r="J54" s="103">
        <v>65</v>
      </c>
      <c r="K54" s="66">
        <v>260</v>
      </c>
      <c r="L54" s="66">
        <v>2850</v>
      </c>
      <c r="M54" s="164">
        <v>25.680257286058573</v>
      </c>
      <c r="N54" s="78">
        <v>5044.75803</v>
      </c>
      <c r="O54" s="113">
        <v>89370.472302015376</v>
      </c>
      <c r="P54" s="113">
        <v>95532.27630686677</v>
      </c>
      <c r="Q54" s="110">
        <v>26918.65041290053</v>
      </c>
      <c r="R54" s="113">
        <v>116289.12271491591</v>
      </c>
      <c r="S54" s="113">
        <v>122450.9267197673</v>
      </c>
      <c r="U54" s="7" t="s">
        <v>5814</v>
      </c>
    </row>
    <row r="55" spans="1:21" ht="16.5" customHeight="1" thickBot="1">
      <c r="A55" s="207" t="s">
        <v>10</v>
      </c>
      <c r="B55" s="211">
        <f t="shared" si="0"/>
        <v>65</v>
      </c>
      <c r="C55" s="211" t="s">
        <v>3</v>
      </c>
      <c r="D55" s="211">
        <f t="shared" si="1"/>
        <v>260</v>
      </c>
      <c r="E55" s="211" t="s">
        <v>3</v>
      </c>
      <c r="F55" s="209">
        <f t="shared" si="2"/>
        <v>2900</v>
      </c>
      <c r="G55" s="211" t="s">
        <v>3</v>
      </c>
      <c r="H55" s="208">
        <v>2</v>
      </c>
      <c r="I55" s="210" t="s">
        <v>529</v>
      </c>
      <c r="J55" s="103">
        <v>65</v>
      </c>
      <c r="K55" s="66">
        <v>260</v>
      </c>
      <c r="L55" s="66">
        <v>2900</v>
      </c>
      <c r="M55" s="164">
        <v>26.245862925897498</v>
      </c>
      <c r="N55" s="78">
        <v>5145.6531905999991</v>
      </c>
      <c r="O55" s="113">
        <v>90048.066404692727</v>
      </c>
      <c r="P55" s="113">
        <v>96349.342869013053</v>
      </c>
      <c r="Q55" s="110">
        <v>27389.641887115966</v>
      </c>
      <c r="R55" s="113">
        <v>117437.7082918087</v>
      </c>
      <c r="S55" s="113">
        <v>123738.98475612902</v>
      </c>
      <c r="U55" s="7" t="s">
        <v>5815</v>
      </c>
    </row>
    <row r="56" spans="1:21" ht="16.5" customHeight="1" thickBot="1">
      <c r="A56" s="207" t="s">
        <v>10</v>
      </c>
      <c r="B56" s="211">
        <f t="shared" si="0"/>
        <v>65</v>
      </c>
      <c r="C56" s="211" t="s">
        <v>3</v>
      </c>
      <c r="D56" s="211">
        <f t="shared" si="1"/>
        <v>260</v>
      </c>
      <c r="E56" s="211" t="s">
        <v>3</v>
      </c>
      <c r="F56" s="209">
        <f t="shared" si="2"/>
        <v>2950</v>
      </c>
      <c r="G56" s="211" t="s">
        <v>3</v>
      </c>
      <c r="H56" s="208">
        <v>2</v>
      </c>
      <c r="I56" s="210" t="s">
        <v>529</v>
      </c>
      <c r="J56" s="103">
        <v>65</v>
      </c>
      <c r="K56" s="66">
        <v>260</v>
      </c>
      <c r="L56" s="66">
        <v>2950</v>
      </c>
      <c r="M56" s="164">
        <v>26.635468565736431</v>
      </c>
      <c r="N56" s="78">
        <v>5246.5483512000001</v>
      </c>
      <c r="O56" s="113">
        <v>90725.608087366592</v>
      </c>
      <c r="P56" s="113">
        <v>97166.360393091571</v>
      </c>
      <c r="Q56" s="110">
        <v>27860.633514360161</v>
      </c>
      <c r="R56" s="113">
        <v>118586.24160172675</v>
      </c>
      <c r="S56" s="113">
        <v>125026.99390745173</v>
      </c>
      <c r="U56" s="7" t="s">
        <v>5816</v>
      </c>
    </row>
    <row r="57" spans="1:21" ht="22.5" customHeight="1" thickBot="1">
      <c r="A57" s="212" t="s">
        <v>10</v>
      </c>
      <c r="B57" s="213">
        <f t="shared" si="0"/>
        <v>65</v>
      </c>
      <c r="C57" s="213" t="s">
        <v>3</v>
      </c>
      <c r="D57" s="213">
        <f t="shared" si="1"/>
        <v>260</v>
      </c>
      <c r="E57" s="213" t="s">
        <v>3</v>
      </c>
      <c r="F57" s="214">
        <f t="shared" si="2"/>
        <v>3000</v>
      </c>
      <c r="G57" s="213" t="s">
        <v>3</v>
      </c>
      <c r="H57" s="215">
        <v>2</v>
      </c>
      <c r="I57" s="210" t="s">
        <v>529</v>
      </c>
      <c r="J57" s="287">
        <v>65</v>
      </c>
      <c r="K57" s="266">
        <v>260</v>
      </c>
      <c r="L57" s="266">
        <v>3000</v>
      </c>
      <c r="M57" s="249">
        <v>27.025074205575358</v>
      </c>
      <c r="N57" s="250">
        <v>5347.4435118000001</v>
      </c>
      <c r="O57" s="251">
        <v>93274.449330635456</v>
      </c>
      <c r="P57" s="251">
        <v>99735.465024460282</v>
      </c>
      <c r="Q57" s="252">
        <v>28331.625141604356</v>
      </c>
      <c r="R57" s="251">
        <v>121606.07447223981</v>
      </c>
      <c r="S57" s="251">
        <v>128067.09016606463</v>
      </c>
      <c r="U57" s="7"/>
    </row>
    <row r="58" spans="1:21" ht="19.5" thickBot="1">
      <c r="A58" s="2968" t="s">
        <v>43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69"/>
      <c r="R58" s="2969"/>
      <c r="S58" s="2970"/>
      <c r="U58" s="7"/>
    </row>
    <row r="59" spans="1:21" ht="16.5" thickBot="1">
      <c r="A59" s="2974" t="s">
        <v>112</v>
      </c>
      <c r="B59" s="2975"/>
      <c r="C59" s="2975"/>
      <c r="D59" s="2975"/>
      <c r="E59" s="2975"/>
      <c r="F59" s="2975"/>
      <c r="G59" s="2975"/>
      <c r="H59" s="2975"/>
      <c r="I59" s="2975"/>
      <c r="J59" s="2975"/>
      <c r="K59" s="2975"/>
      <c r="L59" s="2975"/>
      <c r="M59" s="2975"/>
      <c r="N59" s="2975"/>
      <c r="O59" s="2975"/>
      <c r="P59" s="2975"/>
      <c r="Q59" s="2975"/>
      <c r="R59" s="2975"/>
      <c r="S59" s="2976"/>
      <c r="U59" s="7" t="s">
        <v>5817</v>
      </c>
    </row>
    <row r="60" spans="1:21" ht="16.5" thickBot="1">
      <c r="A60" s="207" t="s">
        <v>10</v>
      </c>
      <c r="B60" s="208">
        <f t="shared" ref="B60:B106" si="3">J60</f>
        <v>65</v>
      </c>
      <c r="C60" s="208" t="s">
        <v>3</v>
      </c>
      <c r="D60" s="208">
        <f t="shared" ref="D60:D106" si="4">K60</f>
        <v>300</v>
      </c>
      <c r="E60" s="208" t="s">
        <v>3</v>
      </c>
      <c r="F60" s="209">
        <f t="shared" ref="F60:F106" si="5">L60</f>
        <v>700</v>
      </c>
      <c r="G60" s="208" t="s">
        <v>3</v>
      </c>
      <c r="H60" s="208">
        <v>2</v>
      </c>
      <c r="I60" s="210" t="s">
        <v>529</v>
      </c>
      <c r="J60" s="286">
        <v>65</v>
      </c>
      <c r="K60" s="271">
        <v>300</v>
      </c>
      <c r="L60" s="271">
        <v>700</v>
      </c>
      <c r="M60" s="245">
        <v>6.9780320962417859</v>
      </c>
      <c r="N60" s="246">
        <v>782.20871819999991</v>
      </c>
      <c r="O60" s="247">
        <v>28428.462080838741</v>
      </c>
      <c r="P60" s="247">
        <v>30560.297253487148</v>
      </c>
      <c r="Q60" s="248">
        <v>7473.0062570279561</v>
      </c>
      <c r="R60" s="247">
        <v>35901.468337866696</v>
      </c>
      <c r="S60" s="247">
        <v>38033.303510515107</v>
      </c>
      <c r="U60" s="7" t="s">
        <v>5818</v>
      </c>
    </row>
    <row r="61" spans="1:21" ht="16.5" thickBot="1">
      <c r="A61" s="207" t="s">
        <v>10</v>
      </c>
      <c r="B61" s="211">
        <f t="shared" si="3"/>
        <v>65</v>
      </c>
      <c r="C61" s="211" t="s">
        <v>3</v>
      </c>
      <c r="D61" s="211">
        <f t="shared" si="4"/>
        <v>300</v>
      </c>
      <c r="E61" s="211" t="s">
        <v>3</v>
      </c>
      <c r="F61" s="209">
        <f t="shared" si="5"/>
        <v>750</v>
      </c>
      <c r="G61" s="211" t="s">
        <v>3</v>
      </c>
      <c r="H61" s="208">
        <v>2</v>
      </c>
      <c r="I61" s="210" t="s">
        <v>529</v>
      </c>
      <c r="J61" s="103">
        <v>65</v>
      </c>
      <c r="K61" s="66">
        <v>300</v>
      </c>
      <c r="L61" s="66">
        <v>750</v>
      </c>
      <c r="M61" s="164">
        <v>7.5198613146521414</v>
      </c>
      <c r="N61" s="78">
        <v>893.95282080000004</v>
      </c>
      <c r="O61" s="113">
        <v>30110.154326415086</v>
      </c>
      <c r="P61" s="113">
        <v>32337.31768179388</v>
      </c>
      <c r="Q61" s="110">
        <v>8000.8821959307124</v>
      </c>
      <c r="R61" s="113">
        <v>38111.036522345799</v>
      </c>
      <c r="S61" s="113">
        <v>40338.19987772459</v>
      </c>
      <c r="U61" s="7" t="s">
        <v>5819</v>
      </c>
    </row>
    <row r="62" spans="1:21" ht="16.5" thickBot="1">
      <c r="A62" s="207" t="s">
        <v>10</v>
      </c>
      <c r="B62" s="211">
        <f t="shared" si="3"/>
        <v>65</v>
      </c>
      <c r="C62" s="211" t="s">
        <v>3</v>
      </c>
      <c r="D62" s="211">
        <f t="shared" si="4"/>
        <v>300</v>
      </c>
      <c r="E62" s="211" t="s">
        <v>3</v>
      </c>
      <c r="F62" s="209">
        <f t="shared" si="5"/>
        <v>800</v>
      </c>
      <c r="G62" s="211" t="s">
        <v>3</v>
      </c>
      <c r="H62" s="208">
        <v>2</v>
      </c>
      <c r="I62" s="210" t="s">
        <v>529</v>
      </c>
      <c r="J62" s="103">
        <v>65</v>
      </c>
      <c r="K62" s="66">
        <v>300</v>
      </c>
      <c r="L62" s="66">
        <v>800</v>
      </c>
      <c r="M62" s="164">
        <v>7.9426905330624997</v>
      </c>
      <c r="N62" s="78">
        <v>1005.6969234000002</v>
      </c>
      <c r="O62" s="113">
        <v>31791.846702065883</v>
      </c>
      <c r="P62" s="113">
        <v>34114.338110100616</v>
      </c>
      <c r="Q62" s="110">
        <v>8528.7579818047016</v>
      </c>
      <c r="R62" s="113">
        <v>40320.604683870581</v>
      </c>
      <c r="S62" s="113">
        <v>42643.096091905318</v>
      </c>
      <c r="U62" s="7" t="s">
        <v>5820</v>
      </c>
    </row>
    <row r="63" spans="1:21" ht="16.5" thickBot="1">
      <c r="A63" s="207" t="s">
        <v>10</v>
      </c>
      <c r="B63" s="211">
        <f t="shared" si="3"/>
        <v>65</v>
      </c>
      <c r="C63" s="211" t="s">
        <v>3</v>
      </c>
      <c r="D63" s="211">
        <f t="shared" si="4"/>
        <v>300</v>
      </c>
      <c r="E63" s="211" t="s">
        <v>3</v>
      </c>
      <c r="F63" s="209">
        <f t="shared" si="5"/>
        <v>850</v>
      </c>
      <c r="G63" s="211" t="s">
        <v>3</v>
      </c>
      <c r="H63" s="208">
        <v>2</v>
      </c>
      <c r="I63" s="210" t="s">
        <v>529</v>
      </c>
      <c r="J63" s="103">
        <v>65</v>
      </c>
      <c r="K63" s="66">
        <v>300</v>
      </c>
      <c r="L63" s="66">
        <v>850</v>
      </c>
      <c r="M63" s="164">
        <v>8.3655197514728563</v>
      </c>
      <c r="N63" s="78">
        <v>1117.441026</v>
      </c>
      <c r="O63" s="113">
        <v>33473.539077716683</v>
      </c>
      <c r="P63" s="113">
        <v>35891.358538407345</v>
      </c>
      <c r="Q63" s="110">
        <v>9056.6339207074561</v>
      </c>
      <c r="R63" s="113">
        <v>42530.172998424139</v>
      </c>
      <c r="S63" s="113">
        <v>44947.992459114801</v>
      </c>
      <c r="U63" s="7" t="s">
        <v>5821</v>
      </c>
    </row>
    <row r="64" spans="1:21" ht="16.5" thickBot="1">
      <c r="A64" s="207" t="s">
        <v>10</v>
      </c>
      <c r="B64" s="211">
        <f t="shared" si="3"/>
        <v>65</v>
      </c>
      <c r="C64" s="211" t="s">
        <v>3</v>
      </c>
      <c r="D64" s="211">
        <f t="shared" si="4"/>
        <v>300</v>
      </c>
      <c r="E64" s="211" t="s">
        <v>3</v>
      </c>
      <c r="F64" s="209">
        <f t="shared" si="5"/>
        <v>900</v>
      </c>
      <c r="G64" s="211" t="s">
        <v>3</v>
      </c>
      <c r="H64" s="208">
        <v>2</v>
      </c>
      <c r="I64" s="210" t="s">
        <v>529</v>
      </c>
      <c r="J64" s="103">
        <v>65</v>
      </c>
      <c r="K64" s="66">
        <v>300</v>
      </c>
      <c r="L64" s="66">
        <v>900</v>
      </c>
      <c r="M64" s="164">
        <v>8.8263489698832149</v>
      </c>
      <c r="N64" s="78">
        <v>1229.1851286000001</v>
      </c>
      <c r="O64" s="113">
        <v>35155.231323293025</v>
      </c>
      <c r="P64" s="113">
        <v>37668.378836639626</v>
      </c>
      <c r="Q64" s="110">
        <v>9584.509706581448</v>
      </c>
      <c r="R64" s="113">
        <v>44739.741029874473</v>
      </c>
      <c r="S64" s="113">
        <v>47252.888543221074</v>
      </c>
      <c r="U64" s="7" t="s">
        <v>5822</v>
      </c>
    </row>
    <row r="65" spans="1:21" ht="16.5" thickBot="1">
      <c r="A65" s="207" t="s">
        <v>10</v>
      </c>
      <c r="B65" s="211">
        <f t="shared" si="3"/>
        <v>65</v>
      </c>
      <c r="C65" s="211" t="s">
        <v>3</v>
      </c>
      <c r="D65" s="211">
        <f t="shared" si="4"/>
        <v>300</v>
      </c>
      <c r="E65" s="211" t="s">
        <v>3</v>
      </c>
      <c r="F65" s="209">
        <f t="shared" si="5"/>
        <v>950</v>
      </c>
      <c r="G65" s="211" t="s">
        <v>3</v>
      </c>
      <c r="H65" s="208">
        <v>2</v>
      </c>
      <c r="I65" s="210" t="s">
        <v>529</v>
      </c>
      <c r="J65" s="103">
        <v>65</v>
      </c>
      <c r="K65" s="66">
        <v>300</v>
      </c>
      <c r="L65" s="66">
        <v>950</v>
      </c>
      <c r="M65" s="164">
        <v>9.3181781882935724</v>
      </c>
      <c r="N65" s="78">
        <v>1340.9292312</v>
      </c>
      <c r="O65" s="113">
        <v>36836.923698943821</v>
      </c>
      <c r="P65" s="113">
        <v>39445.399264946362</v>
      </c>
      <c r="Q65" s="110">
        <v>10112.385645484203</v>
      </c>
      <c r="R65" s="113">
        <v>46949.309344428024</v>
      </c>
      <c r="S65" s="113">
        <v>49557.784910430564</v>
      </c>
      <c r="U65" s="7" t="s">
        <v>5823</v>
      </c>
    </row>
    <row r="66" spans="1:21" ht="16.5" thickBot="1">
      <c r="A66" s="207" t="s">
        <v>10</v>
      </c>
      <c r="B66" s="211">
        <f t="shared" si="3"/>
        <v>65</v>
      </c>
      <c r="C66" s="211" t="s">
        <v>3</v>
      </c>
      <c r="D66" s="211">
        <f t="shared" si="4"/>
        <v>300</v>
      </c>
      <c r="E66" s="211" t="s">
        <v>3</v>
      </c>
      <c r="F66" s="209">
        <f t="shared" si="5"/>
        <v>1000</v>
      </c>
      <c r="G66" s="211" t="s">
        <v>3</v>
      </c>
      <c r="H66" s="208">
        <v>2</v>
      </c>
      <c r="I66" s="210" t="s">
        <v>529</v>
      </c>
      <c r="J66" s="103">
        <v>65</v>
      </c>
      <c r="K66" s="66">
        <v>300</v>
      </c>
      <c r="L66" s="66">
        <v>1000</v>
      </c>
      <c r="M66" s="164">
        <v>9.7410074067039272</v>
      </c>
      <c r="N66" s="78">
        <v>1452.6733338000001</v>
      </c>
      <c r="O66" s="113">
        <v>38414.922023515122</v>
      </c>
      <c r="P66" s="113">
        <v>41125.331603209386</v>
      </c>
      <c r="Q66" s="110">
        <v>10640.261431358193</v>
      </c>
      <c r="R66" s="113">
        <v>49055.183454873317</v>
      </c>
      <c r="S66" s="113">
        <v>51765.593034567581</v>
      </c>
      <c r="U66" s="7" t="s">
        <v>5824</v>
      </c>
    </row>
    <row r="67" spans="1:21" ht="16.5" thickBot="1">
      <c r="A67" s="207" t="s">
        <v>10</v>
      </c>
      <c r="B67" s="211">
        <f t="shared" si="3"/>
        <v>65</v>
      </c>
      <c r="C67" s="211" t="s">
        <v>3</v>
      </c>
      <c r="D67" s="211">
        <f t="shared" si="4"/>
        <v>300</v>
      </c>
      <c r="E67" s="211" t="s">
        <v>3</v>
      </c>
      <c r="F67" s="209">
        <f t="shared" si="5"/>
        <v>1050</v>
      </c>
      <c r="G67" s="211" t="s">
        <v>3</v>
      </c>
      <c r="H67" s="208">
        <v>2</v>
      </c>
      <c r="I67" s="210" t="s">
        <v>529</v>
      </c>
      <c r="J67" s="103">
        <v>65</v>
      </c>
      <c r="K67" s="66">
        <v>300</v>
      </c>
      <c r="L67" s="66">
        <v>1050</v>
      </c>
      <c r="M67" s="164">
        <v>10.163836625114286</v>
      </c>
      <c r="N67" s="78">
        <v>1564.4174363999998</v>
      </c>
      <c r="O67" s="113">
        <v>40342.887477812219</v>
      </c>
      <c r="P67" s="113">
        <v>43132.936180332697</v>
      </c>
      <c r="Q67" s="110">
        <v>11168.137370260947</v>
      </c>
      <c r="R67" s="113">
        <v>51511.024848073168</v>
      </c>
      <c r="S67" s="113">
        <v>54301.073550593646</v>
      </c>
      <c r="U67" s="7" t="s">
        <v>5825</v>
      </c>
    </row>
    <row r="68" spans="1:21" ht="16.5" thickBot="1">
      <c r="A68" s="207" t="s">
        <v>10</v>
      </c>
      <c r="B68" s="208">
        <f t="shared" si="3"/>
        <v>65</v>
      </c>
      <c r="C68" s="208" t="s">
        <v>3</v>
      </c>
      <c r="D68" s="208">
        <f t="shared" si="4"/>
        <v>300</v>
      </c>
      <c r="E68" s="208" t="s">
        <v>3</v>
      </c>
      <c r="F68" s="209">
        <f t="shared" si="5"/>
        <v>1100</v>
      </c>
      <c r="G68" s="208" t="s">
        <v>3</v>
      </c>
      <c r="H68" s="208">
        <v>2</v>
      </c>
      <c r="I68" s="210" t="s">
        <v>529</v>
      </c>
      <c r="J68" s="103">
        <v>65</v>
      </c>
      <c r="K68" s="66">
        <v>300</v>
      </c>
      <c r="L68" s="66">
        <v>1100</v>
      </c>
      <c r="M68" s="164">
        <v>10.586665843524642</v>
      </c>
      <c r="N68" s="78">
        <v>1676.1615390000002</v>
      </c>
      <c r="O68" s="113">
        <v>42024.579853463016</v>
      </c>
      <c r="P68" s="113">
        <v>44909.956478564978</v>
      </c>
      <c r="Q68" s="110">
        <v>11696.013156134937</v>
      </c>
      <c r="R68" s="113">
        <v>53720.593009597957</v>
      </c>
      <c r="S68" s="113">
        <v>56605.969634699912</v>
      </c>
      <c r="U68" s="7" t="s">
        <v>5826</v>
      </c>
    </row>
    <row r="69" spans="1:21" ht="16.5" thickBot="1">
      <c r="A69" s="207" t="s">
        <v>10</v>
      </c>
      <c r="B69" s="211">
        <f t="shared" si="3"/>
        <v>65</v>
      </c>
      <c r="C69" s="211" t="s">
        <v>3</v>
      </c>
      <c r="D69" s="211">
        <f t="shared" si="4"/>
        <v>300</v>
      </c>
      <c r="E69" s="211" t="s">
        <v>3</v>
      </c>
      <c r="F69" s="209">
        <f t="shared" si="5"/>
        <v>1150</v>
      </c>
      <c r="G69" s="211" t="s">
        <v>3</v>
      </c>
      <c r="H69" s="208">
        <v>2</v>
      </c>
      <c r="I69" s="210" t="s">
        <v>529</v>
      </c>
      <c r="J69" s="103">
        <v>65</v>
      </c>
      <c r="K69" s="66">
        <v>300</v>
      </c>
      <c r="L69" s="66">
        <v>1150</v>
      </c>
      <c r="M69" s="164">
        <v>11.009495061934999</v>
      </c>
      <c r="N69" s="78">
        <v>1787.9056416000001</v>
      </c>
      <c r="O69" s="113">
        <v>42882.948825756481</v>
      </c>
      <c r="P69" s="113">
        <v>45916.104074503783</v>
      </c>
      <c r="Q69" s="110">
        <v>12223.889095037694</v>
      </c>
      <c r="R69" s="113">
        <v>55106.837920794176</v>
      </c>
      <c r="S69" s="113">
        <v>58139.993169541478</v>
      </c>
      <c r="U69" s="7" t="s">
        <v>5827</v>
      </c>
    </row>
    <row r="70" spans="1:21" ht="16.5" thickBot="1">
      <c r="A70" s="207" t="s">
        <v>10</v>
      </c>
      <c r="B70" s="211">
        <f t="shared" si="3"/>
        <v>65</v>
      </c>
      <c r="C70" s="211" t="s">
        <v>3</v>
      </c>
      <c r="D70" s="211">
        <f t="shared" si="4"/>
        <v>300</v>
      </c>
      <c r="E70" s="211" t="s">
        <v>3</v>
      </c>
      <c r="F70" s="209">
        <f t="shared" si="5"/>
        <v>1200</v>
      </c>
      <c r="G70" s="211" t="s">
        <v>3</v>
      </c>
      <c r="H70" s="208">
        <v>2</v>
      </c>
      <c r="I70" s="210" t="s">
        <v>529</v>
      </c>
      <c r="J70" s="103">
        <v>65</v>
      </c>
      <c r="K70" s="66">
        <v>300</v>
      </c>
      <c r="L70" s="66">
        <v>1200</v>
      </c>
      <c r="M70" s="164">
        <v>11.647574280345356</v>
      </c>
      <c r="N70" s="78">
        <v>1899.6497442</v>
      </c>
      <c r="O70" s="113">
        <v>43779.619390627391</v>
      </c>
      <c r="P70" s="113">
        <v>46958.112936256905</v>
      </c>
      <c r="Q70" s="110">
        <v>12751.764880911684</v>
      </c>
      <c r="R70" s="113">
        <v>56531.384271539078</v>
      </c>
      <c r="S70" s="113">
        <v>59709.877817168584</v>
      </c>
      <c r="U70" s="7" t="s">
        <v>5828</v>
      </c>
    </row>
    <row r="71" spans="1:21" ht="16.5" thickBot="1">
      <c r="A71" s="207" t="s">
        <v>10</v>
      </c>
      <c r="B71" s="211">
        <f t="shared" si="3"/>
        <v>65</v>
      </c>
      <c r="C71" s="211" t="s">
        <v>3</v>
      </c>
      <c r="D71" s="211">
        <f t="shared" si="4"/>
        <v>300</v>
      </c>
      <c r="E71" s="211" t="s">
        <v>3</v>
      </c>
      <c r="F71" s="209">
        <f t="shared" si="5"/>
        <v>1250</v>
      </c>
      <c r="G71" s="211" t="s">
        <v>3</v>
      </c>
      <c r="H71" s="208">
        <v>2</v>
      </c>
      <c r="I71" s="210" t="s">
        <v>529</v>
      </c>
      <c r="J71" s="103">
        <v>65</v>
      </c>
      <c r="K71" s="66">
        <v>300</v>
      </c>
      <c r="L71" s="66">
        <v>1250</v>
      </c>
      <c r="M71" s="164">
        <v>12.070403498755713</v>
      </c>
      <c r="N71" s="78">
        <v>2011.3938468000003</v>
      </c>
      <c r="O71" s="113">
        <v>44637.464032811476</v>
      </c>
      <c r="P71" s="113">
        <v>47963.769501145609</v>
      </c>
      <c r="Q71" s="110">
        <v>13279.64081981444</v>
      </c>
      <c r="R71" s="113">
        <v>57917.104852625918</v>
      </c>
      <c r="S71" s="113">
        <v>61243.410320960051</v>
      </c>
      <c r="U71" s="7" t="s">
        <v>5829</v>
      </c>
    </row>
    <row r="72" spans="1:21" ht="16.5" thickBot="1">
      <c r="A72" s="207" t="s">
        <v>10</v>
      </c>
      <c r="B72" s="211">
        <f t="shared" si="3"/>
        <v>65</v>
      </c>
      <c r="C72" s="211" t="s">
        <v>3</v>
      </c>
      <c r="D72" s="211">
        <f t="shared" si="4"/>
        <v>300</v>
      </c>
      <c r="E72" s="211" t="s">
        <v>3</v>
      </c>
      <c r="F72" s="209">
        <f t="shared" si="5"/>
        <v>1300</v>
      </c>
      <c r="G72" s="211" t="s">
        <v>3</v>
      </c>
      <c r="H72" s="208">
        <v>2</v>
      </c>
      <c r="I72" s="210" t="s">
        <v>529</v>
      </c>
      <c r="J72" s="103">
        <v>65</v>
      </c>
      <c r="K72" s="66">
        <v>300</v>
      </c>
      <c r="L72" s="66">
        <v>1300</v>
      </c>
      <c r="M72" s="164">
        <v>12.555232717166069</v>
      </c>
      <c r="N72" s="78">
        <v>2123.1379493999998</v>
      </c>
      <c r="O72" s="113">
        <v>48168.406788828477</v>
      </c>
      <c r="P72" s="113">
        <v>51472.232530503148</v>
      </c>
      <c r="Q72" s="110">
        <v>13807.516605688428</v>
      </c>
      <c r="R72" s="113">
        <v>61975.923394516903</v>
      </c>
      <c r="S72" s="113">
        <v>65279.749136191575</v>
      </c>
      <c r="U72" s="7" t="s">
        <v>5830</v>
      </c>
    </row>
    <row r="73" spans="1:21" ht="16.5" thickBot="1">
      <c r="A73" s="207" t="s">
        <v>10</v>
      </c>
      <c r="B73" s="211">
        <f t="shared" si="3"/>
        <v>65</v>
      </c>
      <c r="C73" s="211" t="s">
        <v>3</v>
      </c>
      <c r="D73" s="211">
        <f t="shared" si="4"/>
        <v>300</v>
      </c>
      <c r="E73" s="211" t="s">
        <v>3</v>
      </c>
      <c r="F73" s="209">
        <f t="shared" si="5"/>
        <v>1350</v>
      </c>
      <c r="G73" s="211" t="s">
        <v>3</v>
      </c>
      <c r="H73" s="208">
        <v>2</v>
      </c>
      <c r="I73" s="210" t="s">
        <v>529</v>
      </c>
      <c r="J73" s="103">
        <v>65</v>
      </c>
      <c r="K73" s="66">
        <v>300</v>
      </c>
      <c r="L73" s="66">
        <v>1350</v>
      </c>
      <c r="M73" s="164">
        <v>12.978061935576427</v>
      </c>
      <c r="N73" s="78">
        <v>2234.8820519999999</v>
      </c>
      <c r="O73" s="113">
        <v>49298.420511682474</v>
      </c>
      <c r="P73" s="113">
        <v>52732.719381903742</v>
      </c>
      <c r="Q73" s="110">
        <v>14335.392544591185</v>
      </c>
      <c r="R73" s="113">
        <v>63633.813056273662</v>
      </c>
      <c r="S73" s="113">
        <v>67068.111926494923</v>
      </c>
      <c r="U73" s="7" t="s">
        <v>5831</v>
      </c>
    </row>
    <row r="74" spans="1:21" ht="16.5" thickBot="1">
      <c r="A74" s="207" t="s">
        <v>10</v>
      </c>
      <c r="B74" s="211">
        <f t="shared" si="3"/>
        <v>65</v>
      </c>
      <c r="C74" s="211" t="s">
        <v>3</v>
      </c>
      <c r="D74" s="211">
        <f t="shared" si="4"/>
        <v>300</v>
      </c>
      <c r="E74" s="211" t="s">
        <v>3</v>
      </c>
      <c r="F74" s="209">
        <f t="shared" si="5"/>
        <v>1400</v>
      </c>
      <c r="G74" s="211" t="s">
        <v>3</v>
      </c>
      <c r="H74" s="208">
        <v>2</v>
      </c>
      <c r="I74" s="210" t="s">
        <v>529</v>
      </c>
      <c r="J74" s="103">
        <v>65</v>
      </c>
      <c r="K74" s="66">
        <v>300</v>
      </c>
      <c r="L74" s="66">
        <v>1400</v>
      </c>
      <c r="M74" s="164">
        <v>13.400891153986786</v>
      </c>
      <c r="N74" s="78">
        <v>2346.6261546000005</v>
      </c>
      <c r="O74" s="113">
        <v>50784.88232375127</v>
      </c>
      <c r="P74" s="113">
        <v>54326.946575348185</v>
      </c>
      <c r="Q74" s="110">
        <v>14863.268330465173</v>
      </c>
      <c r="R74" s="113">
        <v>65648.150654216442</v>
      </c>
      <c r="S74" s="113">
        <v>69190.214905813365</v>
      </c>
      <c r="U74" s="7" t="s">
        <v>5832</v>
      </c>
    </row>
    <row r="75" spans="1:21" ht="16.5" thickBot="1">
      <c r="A75" s="207" t="s">
        <v>10</v>
      </c>
      <c r="B75" s="211">
        <f t="shared" si="3"/>
        <v>65</v>
      </c>
      <c r="C75" s="211" t="s">
        <v>3</v>
      </c>
      <c r="D75" s="211">
        <f t="shared" si="4"/>
        <v>300</v>
      </c>
      <c r="E75" s="211" t="s">
        <v>3</v>
      </c>
      <c r="F75" s="209">
        <f t="shared" si="5"/>
        <v>1450</v>
      </c>
      <c r="G75" s="211" t="s">
        <v>3</v>
      </c>
      <c r="H75" s="208">
        <v>2</v>
      </c>
      <c r="I75" s="210" t="s">
        <v>529</v>
      </c>
      <c r="J75" s="103">
        <v>65</v>
      </c>
      <c r="K75" s="66">
        <v>300</v>
      </c>
      <c r="L75" s="66">
        <v>1450</v>
      </c>
      <c r="M75" s="164">
        <v>13.82372037239714</v>
      </c>
      <c r="N75" s="78">
        <v>2458.3702572000002</v>
      </c>
      <c r="O75" s="113">
        <v>51914.896176679722</v>
      </c>
      <c r="P75" s="113">
        <v>55587.433426748772</v>
      </c>
      <c r="Q75" s="110">
        <v>15391.144269367929</v>
      </c>
      <c r="R75" s="113">
        <v>67306.040446047657</v>
      </c>
      <c r="S75" s="113">
        <v>70978.577696116699</v>
      </c>
      <c r="U75" s="7" t="s">
        <v>5833</v>
      </c>
    </row>
    <row r="76" spans="1:21" ht="16.5" thickBot="1">
      <c r="A76" s="207" t="s">
        <v>10</v>
      </c>
      <c r="B76" s="211">
        <f t="shared" si="3"/>
        <v>65</v>
      </c>
      <c r="C76" s="211" t="s">
        <v>3</v>
      </c>
      <c r="D76" s="211">
        <f t="shared" si="4"/>
        <v>300</v>
      </c>
      <c r="E76" s="211" t="s">
        <v>3</v>
      </c>
      <c r="F76" s="209">
        <f t="shared" si="5"/>
        <v>1500</v>
      </c>
      <c r="G76" s="211" t="s">
        <v>3</v>
      </c>
      <c r="H76" s="208">
        <v>2</v>
      </c>
      <c r="I76" s="210" t="s">
        <v>529</v>
      </c>
      <c r="J76" s="103">
        <v>65</v>
      </c>
      <c r="K76" s="66">
        <v>300</v>
      </c>
      <c r="L76" s="66">
        <v>1500</v>
      </c>
      <c r="M76" s="164">
        <v>14.8341144836075</v>
      </c>
      <c r="N76" s="78">
        <v>2570.1143597999999</v>
      </c>
      <c r="O76" s="113">
        <v>53621.258992882889</v>
      </c>
      <c r="P76" s="113">
        <v>57522.30310279633</v>
      </c>
      <c r="Q76" s="110">
        <v>15919.020055241919</v>
      </c>
      <c r="R76" s="113">
        <v>69540.279048124808</v>
      </c>
      <c r="S76" s="113">
        <v>73441.323158038256</v>
      </c>
      <c r="U76" s="7" t="s">
        <v>5834</v>
      </c>
    </row>
    <row r="77" spans="1:21" ht="16.5" thickBot="1">
      <c r="A77" s="207" t="s">
        <v>10</v>
      </c>
      <c r="B77" s="211">
        <f t="shared" si="3"/>
        <v>65</v>
      </c>
      <c r="C77" s="211" t="s">
        <v>3</v>
      </c>
      <c r="D77" s="211">
        <f t="shared" si="4"/>
        <v>300</v>
      </c>
      <c r="E77" s="211" t="s">
        <v>3</v>
      </c>
      <c r="F77" s="209">
        <f t="shared" si="5"/>
        <v>1550</v>
      </c>
      <c r="G77" s="211" t="s">
        <v>3</v>
      </c>
      <c r="H77" s="208">
        <v>2</v>
      </c>
      <c r="I77" s="210" t="s">
        <v>529</v>
      </c>
      <c r="J77" s="103">
        <v>65</v>
      </c>
      <c r="K77" s="66">
        <v>300</v>
      </c>
      <c r="L77" s="66">
        <v>1550</v>
      </c>
      <c r="M77" s="164">
        <v>15.325943702017856</v>
      </c>
      <c r="N77" s="78">
        <v>2681.8584624</v>
      </c>
      <c r="O77" s="113">
        <v>54751.272845811342</v>
      </c>
      <c r="P77" s="113">
        <v>58782.789954196924</v>
      </c>
      <c r="Q77" s="110">
        <v>16446.895994144674</v>
      </c>
      <c r="R77" s="113">
        <v>71198.168839956023</v>
      </c>
      <c r="S77" s="113">
        <v>75229.68594834159</v>
      </c>
      <c r="U77" s="7" t="s">
        <v>5835</v>
      </c>
    </row>
    <row r="78" spans="1:21" ht="16.5" thickBot="1">
      <c r="A78" s="207" t="s">
        <v>10</v>
      </c>
      <c r="B78" s="208">
        <f t="shared" si="3"/>
        <v>65</v>
      </c>
      <c r="C78" s="208" t="s">
        <v>3</v>
      </c>
      <c r="D78" s="208">
        <f t="shared" si="4"/>
        <v>300</v>
      </c>
      <c r="E78" s="208" t="s">
        <v>3</v>
      </c>
      <c r="F78" s="209">
        <f t="shared" si="5"/>
        <v>1600</v>
      </c>
      <c r="G78" s="208" t="s">
        <v>3</v>
      </c>
      <c r="H78" s="208">
        <v>2</v>
      </c>
      <c r="I78" s="210" t="s">
        <v>529</v>
      </c>
      <c r="J78" s="103">
        <v>65</v>
      </c>
      <c r="K78" s="66">
        <v>300</v>
      </c>
      <c r="L78" s="66">
        <v>1600</v>
      </c>
      <c r="M78" s="164">
        <v>15.748772920428213</v>
      </c>
      <c r="N78" s="78">
        <v>2793.6025650000001</v>
      </c>
      <c r="O78" s="113">
        <v>58002.471635541922</v>
      </c>
      <c r="P78" s="113">
        <v>62029.330387636903</v>
      </c>
      <c r="Q78" s="110">
        <v>16974.771780018662</v>
      </c>
      <c r="R78" s="113">
        <v>74977.243415560588</v>
      </c>
      <c r="S78" s="113">
        <v>79004.102167655568</v>
      </c>
      <c r="U78" s="7" t="s">
        <v>5836</v>
      </c>
    </row>
    <row r="79" spans="1:21" ht="16.5" thickBot="1">
      <c r="A79" s="207" t="s">
        <v>10</v>
      </c>
      <c r="B79" s="211">
        <f t="shared" si="3"/>
        <v>65</v>
      </c>
      <c r="C79" s="211" t="s">
        <v>3</v>
      </c>
      <c r="D79" s="211">
        <f t="shared" si="4"/>
        <v>300</v>
      </c>
      <c r="E79" s="211" t="s">
        <v>3</v>
      </c>
      <c r="F79" s="209">
        <f t="shared" si="5"/>
        <v>1650</v>
      </c>
      <c r="G79" s="211" t="s">
        <v>3</v>
      </c>
      <c r="H79" s="208">
        <v>2</v>
      </c>
      <c r="I79" s="210" t="s">
        <v>529</v>
      </c>
      <c r="J79" s="103">
        <v>65</v>
      </c>
      <c r="K79" s="66">
        <v>300</v>
      </c>
      <c r="L79" s="66">
        <v>1650</v>
      </c>
      <c r="M79" s="164">
        <v>16.209602138838569</v>
      </c>
      <c r="N79" s="78">
        <v>2905.3466676000003</v>
      </c>
      <c r="O79" s="113">
        <v>61528.634025433887</v>
      </c>
      <c r="P79" s="113">
        <v>65533.317555157679</v>
      </c>
      <c r="Q79" s="110">
        <v>17502.64771892142</v>
      </c>
      <c r="R79" s="113">
        <v>79031.281744355307</v>
      </c>
      <c r="S79" s="113">
        <v>83035.965274079092</v>
      </c>
      <c r="U79" s="7" t="s">
        <v>5837</v>
      </c>
    </row>
    <row r="80" spans="1:21" ht="16.5" thickBot="1">
      <c r="A80" s="207" t="s">
        <v>10</v>
      </c>
      <c r="B80" s="211">
        <f t="shared" si="3"/>
        <v>65</v>
      </c>
      <c r="C80" s="211" t="s">
        <v>3</v>
      </c>
      <c r="D80" s="211">
        <f t="shared" si="4"/>
        <v>300</v>
      </c>
      <c r="E80" s="211" t="s">
        <v>3</v>
      </c>
      <c r="F80" s="209">
        <f t="shared" si="5"/>
        <v>1700</v>
      </c>
      <c r="G80" s="211" t="s">
        <v>3</v>
      </c>
      <c r="H80" s="208">
        <v>2</v>
      </c>
      <c r="I80" s="210" t="s">
        <v>529</v>
      </c>
      <c r="J80" s="103">
        <v>65</v>
      </c>
      <c r="K80" s="66">
        <v>300</v>
      </c>
      <c r="L80" s="66">
        <v>1700</v>
      </c>
      <c r="M80" s="164">
        <v>16.63243135724893</v>
      </c>
      <c r="N80" s="78">
        <v>3017.0907702000004</v>
      </c>
      <c r="O80" s="113">
        <v>62435.037150903809</v>
      </c>
      <c r="P80" s="113">
        <v>66584.439042679413</v>
      </c>
      <c r="Q80" s="110">
        <v>18030.523504795408</v>
      </c>
      <c r="R80" s="113">
        <v>80465.560655699213</v>
      </c>
      <c r="S80" s="113">
        <v>84614.962547474817</v>
      </c>
      <c r="U80" s="7" t="s">
        <v>5838</v>
      </c>
    </row>
    <row r="81" spans="1:21" ht="16.5" thickBot="1">
      <c r="A81" s="207" t="s">
        <v>10</v>
      </c>
      <c r="B81" s="211">
        <f t="shared" si="3"/>
        <v>65</v>
      </c>
      <c r="C81" s="211" t="s">
        <v>3</v>
      </c>
      <c r="D81" s="211">
        <f t="shared" si="4"/>
        <v>300</v>
      </c>
      <c r="E81" s="211" t="s">
        <v>3</v>
      </c>
      <c r="F81" s="209">
        <f t="shared" si="5"/>
        <v>1750</v>
      </c>
      <c r="G81" s="211" t="s">
        <v>3</v>
      </c>
      <c r="H81" s="208">
        <v>2</v>
      </c>
      <c r="I81" s="210" t="s">
        <v>529</v>
      </c>
      <c r="J81" s="103">
        <v>65</v>
      </c>
      <c r="K81" s="66">
        <v>300</v>
      </c>
      <c r="L81" s="66">
        <v>1750</v>
      </c>
      <c r="M81" s="164">
        <v>17.055260575659286</v>
      </c>
      <c r="N81" s="78">
        <v>3128.8348727999996</v>
      </c>
      <c r="O81" s="113">
        <v>63258.432615506637</v>
      </c>
      <c r="P81" s="113">
        <v>67557.841046113273</v>
      </c>
      <c r="Q81" s="110">
        <v>18558.399443698163</v>
      </c>
      <c r="R81" s="113">
        <v>81816.832059204797</v>
      </c>
      <c r="S81" s="113">
        <v>86116.240489811433</v>
      </c>
      <c r="U81" s="7" t="s">
        <v>5839</v>
      </c>
    </row>
    <row r="82" spans="1:21" ht="16.5" thickBot="1">
      <c r="A82" s="207" t="s">
        <v>10</v>
      </c>
      <c r="B82" s="211">
        <f t="shared" si="3"/>
        <v>65</v>
      </c>
      <c r="C82" s="211" t="s">
        <v>3</v>
      </c>
      <c r="D82" s="211">
        <f t="shared" si="4"/>
        <v>300</v>
      </c>
      <c r="E82" s="211" t="s">
        <v>3</v>
      </c>
      <c r="F82" s="209">
        <f t="shared" si="5"/>
        <v>1800</v>
      </c>
      <c r="G82" s="211" t="s">
        <v>3</v>
      </c>
      <c r="H82" s="208">
        <v>2</v>
      </c>
      <c r="I82" s="210" t="s">
        <v>529</v>
      </c>
      <c r="J82" s="103">
        <v>65</v>
      </c>
      <c r="K82" s="66">
        <v>300</v>
      </c>
      <c r="L82" s="66">
        <v>1800</v>
      </c>
      <c r="M82" s="164">
        <v>17.547089794069645</v>
      </c>
      <c r="N82" s="78">
        <v>3240.5789754000002</v>
      </c>
      <c r="O82" s="113">
        <v>64165.594985543285</v>
      </c>
      <c r="P82" s="113">
        <v>68609.673390506214</v>
      </c>
      <c r="Q82" s="110">
        <v>19086.275229572155</v>
      </c>
      <c r="R82" s="113">
        <v>83251.870215115443</v>
      </c>
      <c r="S82" s="113">
        <v>87695.948620078372</v>
      </c>
      <c r="U82" s="7" t="s">
        <v>5840</v>
      </c>
    </row>
    <row r="83" spans="1:21" ht="16.5" thickBot="1">
      <c r="A83" s="207" t="s">
        <v>10</v>
      </c>
      <c r="B83" s="211">
        <f t="shared" si="3"/>
        <v>65</v>
      </c>
      <c r="C83" s="211" t="s">
        <v>3</v>
      </c>
      <c r="D83" s="211">
        <f t="shared" si="4"/>
        <v>300</v>
      </c>
      <c r="E83" s="211" t="s">
        <v>3</v>
      </c>
      <c r="F83" s="209">
        <f t="shared" si="5"/>
        <v>1850</v>
      </c>
      <c r="G83" s="211" t="s">
        <v>3</v>
      </c>
      <c r="H83" s="208">
        <v>2</v>
      </c>
      <c r="I83" s="210" t="s">
        <v>529</v>
      </c>
      <c r="J83" s="103">
        <v>65</v>
      </c>
      <c r="K83" s="66">
        <v>300</v>
      </c>
      <c r="L83" s="66">
        <v>1850</v>
      </c>
      <c r="M83" s="164">
        <v>18.03191901248</v>
      </c>
      <c r="N83" s="78">
        <v>3352.3230780000004</v>
      </c>
      <c r="O83" s="113">
        <v>65072.704935576447</v>
      </c>
      <c r="P83" s="113">
        <v>69661.456696831345</v>
      </c>
      <c r="Q83" s="110">
        <v>19614.151168474909</v>
      </c>
      <c r="R83" s="113">
        <v>84686.85610405136</v>
      </c>
      <c r="S83" s="113">
        <v>89275.607865306258</v>
      </c>
      <c r="U83" s="7" t="s">
        <v>5841</v>
      </c>
    </row>
    <row r="84" spans="1:21" ht="16.5" thickBot="1">
      <c r="A84" s="207" t="s">
        <v>10</v>
      </c>
      <c r="B84" s="211">
        <f t="shared" si="3"/>
        <v>65</v>
      </c>
      <c r="C84" s="211" t="s">
        <v>3</v>
      </c>
      <c r="D84" s="211">
        <f t="shared" si="4"/>
        <v>300</v>
      </c>
      <c r="E84" s="211" t="s">
        <v>3</v>
      </c>
      <c r="F84" s="209">
        <f t="shared" si="5"/>
        <v>1900</v>
      </c>
      <c r="G84" s="211" t="s">
        <v>3</v>
      </c>
      <c r="H84" s="208">
        <v>2</v>
      </c>
      <c r="I84" s="210" t="s">
        <v>529</v>
      </c>
      <c r="J84" s="103">
        <v>65</v>
      </c>
      <c r="K84" s="66">
        <v>300</v>
      </c>
      <c r="L84" s="66">
        <v>1900</v>
      </c>
      <c r="M84" s="164">
        <v>18.454748230890356</v>
      </c>
      <c r="N84" s="78">
        <v>3464.0671806000005</v>
      </c>
      <c r="O84" s="113">
        <v>66170.624088549535</v>
      </c>
      <c r="P84" s="113">
        <v>70891.893618636197</v>
      </c>
      <c r="Q84" s="110">
        <v>20142.026954348901</v>
      </c>
      <c r="R84" s="113">
        <v>86312.651042898433</v>
      </c>
      <c r="S84" s="113">
        <v>91033.920572985095</v>
      </c>
      <c r="U84" s="7" t="s">
        <v>5842</v>
      </c>
    </row>
    <row r="85" spans="1:21" ht="16.5" thickBot="1">
      <c r="A85" s="207" t="s">
        <v>10</v>
      </c>
      <c r="B85" s="211">
        <f t="shared" si="3"/>
        <v>65</v>
      </c>
      <c r="C85" s="211" t="s">
        <v>3</v>
      </c>
      <c r="D85" s="211">
        <f t="shared" si="4"/>
        <v>300</v>
      </c>
      <c r="E85" s="211" t="s">
        <v>3</v>
      </c>
      <c r="F85" s="209">
        <f t="shared" si="5"/>
        <v>1950</v>
      </c>
      <c r="G85" s="211" t="s">
        <v>3</v>
      </c>
      <c r="H85" s="208">
        <v>2</v>
      </c>
      <c r="I85" s="210" t="s">
        <v>529</v>
      </c>
      <c r="J85" s="103">
        <v>65</v>
      </c>
      <c r="K85" s="66">
        <v>300</v>
      </c>
      <c r="L85" s="66">
        <v>1950</v>
      </c>
      <c r="M85" s="164">
        <v>19.030827449300716</v>
      </c>
      <c r="N85" s="78">
        <v>3575.8112832000002</v>
      </c>
      <c r="O85" s="113">
        <v>67442.072704105012</v>
      </c>
      <c r="P85" s="113">
        <v>72284.805235636522</v>
      </c>
      <c r="Q85" s="110">
        <v>20669.902893251656</v>
      </c>
      <c r="R85" s="113">
        <v>88111.975597356664</v>
      </c>
      <c r="S85" s="113">
        <v>92954.708128888175</v>
      </c>
      <c r="U85" s="7" t="s">
        <v>5843</v>
      </c>
    </row>
    <row r="86" spans="1:21" ht="16.5" thickBot="1">
      <c r="A86" s="207" t="s">
        <v>10</v>
      </c>
      <c r="B86" s="211">
        <f t="shared" si="3"/>
        <v>65</v>
      </c>
      <c r="C86" s="211" t="s">
        <v>3</v>
      </c>
      <c r="D86" s="211">
        <f t="shared" si="4"/>
        <v>300</v>
      </c>
      <c r="E86" s="211" t="s">
        <v>3</v>
      </c>
      <c r="F86" s="209">
        <f t="shared" si="5"/>
        <v>2000</v>
      </c>
      <c r="G86" s="211" t="s">
        <v>3</v>
      </c>
      <c r="H86" s="208">
        <v>2</v>
      </c>
      <c r="I86" s="210" t="s">
        <v>529</v>
      </c>
      <c r="J86" s="103">
        <v>65</v>
      </c>
      <c r="K86" s="66">
        <v>300</v>
      </c>
      <c r="L86" s="66">
        <v>2000</v>
      </c>
      <c r="M86" s="164">
        <v>19.545219067711074</v>
      </c>
      <c r="N86" s="78">
        <v>3687.5553857999998</v>
      </c>
      <c r="O86" s="113">
        <v>68574.029869321792</v>
      </c>
      <c r="P86" s="113">
        <v>73754.491996215118</v>
      </c>
      <c r="Q86" s="110">
        <v>21197.778679125648</v>
      </c>
      <c r="R86" s="113">
        <v>89771.808548447443</v>
      </c>
      <c r="S86" s="113">
        <v>94952.270675340769</v>
      </c>
      <c r="U86" s="7" t="s">
        <v>5844</v>
      </c>
    </row>
    <row r="87" spans="1:21" ht="16.5" thickBot="1">
      <c r="A87" s="207" t="s">
        <v>10</v>
      </c>
      <c r="B87" s="211">
        <f t="shared" si="3"/>
        <v>65</v>
      </c>
      <c r="C87" s="211" t="s">
        <v>3</v>
      </c>
      <c r="D87" s="211">
        <f t="shared" si="4"/>
        <v>300</v>
      </c>
      <c r="E87" s="211" t="s">
        <v>3</v>
      </c>
      <c r="F87" s="209">
        <f t="shared" si="5"/>
        <v>2050</v>
      </c>
      <c r="G87" s="211" t="s">
        <v>3</v>
      </c>
      <c r="H87" s="208">
        <v>2</v>
      </c>
      <c r="I87" s="210" t="s">
        <v>529</v>
      </c>
      <c r="J87" s="103">
        <v>65</v>
      </c>
      <c r="K87" s="66">
        <v>300</v>
      </c>
      <c r="L87" s="66">
        <v>2050</v>
      </c>
      <c r="M87" s="164">
        <v>19.968048286121427</v>
      </c>
      <c r="N87" s="78">
        <v>3799.2994884</v>
      </c>
      <c r="O87" s="113">
        <v>71818.067280113552</v>
      </c>
      <c r="P87" s="113">
        <v>76994.327221813684</v>
      </c>
      <c r="Q87" s="110">
        <v>21725.654618028402</v>
      </c>
      <c r="R87" s="113">
        <v>93543.721898141957</v>
      </c>
      <c r="S87" s="113">
        <v>98719.98183984209</v>
      </c>
      <c r="U87" s="7" t="s">
        <v>5845</v>
      </c>
    </row>
    <row r="88" spans="1:21" ht="16.5" thickBot="1">
      <c r="A88" s="207" t="s">
        <v>10</v>
      </c>
      <c r="B88" s="208">
        <f t="shared" si="3"/>
        <v>65</v>
      </c>
      <c r="C88" s="208" t="s">
        <v>3</v>
      </c>
      <c r="D88" s="208">
        <f t="shared" si="4"/>
        <v>300</v>
      </c>
      <c r="E88" s="208" t="s">
        <v>3</v>
      </c>
      <c r="F88" s="209">
        <f t="shared" si="5"/>
        <v>2100</v>
      </c>
      <c r="G88" s="208" t="s">
        <v>3</v>
      </c>
      <c r="H88" s="208">
        <v>2</v>
      </c>
      <c r="I88" s="210" t="s">
        <v>529</v>
      </c>
      <c r="J88" s="103">
        <v>65</v>
      </c>
      <c r="K88" s="66">
        <v>300</v>
      </c>
      <c r="L88" s="66">
        <v>2100</v>
      </c>
      <c r="M88" s="164">
        <v>20.390877504531787</v>
      </c>
      <c r="N88" s="78">
        <v>3911.0435910000001</v>
      </c>
      <c r="O88" s="113">
        <v>72792.680796978049</v>
      </c>
      <c r="P88" s="113">
        <v>78109.313703566921</v>
      </c>
      <c r="Q88" s="110">
        <v>22253.53040390239</v>
      </c>
      <c r="R88" s="113">
        <v>95046.21120088044</v>
      </c>
      <c r="S88" s="113">
        <v>100362.84410746931</v>
      </c>
      <c r="U88" s="7" t="s">
        <v>5846</v>
      </c>
    </row>
    <row r="89" spans="1:21" ht="16.5" thickBot="1">
      <c r="A89" s="207" t="s">
        <v>10</v>
      </c>
      <c r="B89" s="211">
        <f t="shared" si="3"/>
        <v>65</v>
      </c>
      <c r="C89" s="211" t="s">
        <v>3</v>
      </c>
      <c r="D89" s="211">
        <f t="shared" si="4"/>
        <v>300</v>
      </c>
      <c r="E89" s="211" t="s">
        <v>3</v>
      </c>
      <c r="F89" s="209">
        <f t="shared" si="5"/>
        <v>2150</v>
      </c>
      <c r="G89" s="211" t="s">
        <v>3</v>
      </c>
      <c r="H89" s="208">
        <v>2</v>
      </c>
      <c r="I89" s="210" t="s">
        <v>529</v>
      </c>
      <c r="J89" s="103">
        <v>65</v>
      </c>
      <c r="K89" s="66">
        <v>300</v>
      </c>
      <c r="L89" s="66">
        <v>2150</v>
      </c>
      <c r="M89" s="164">
        <v>20.937706722942146</v>
      </c>
      <c r="N89" s="78">
        <v>4022.7876936000007</v>
      </c>
      <c r="O89" s="113">
        <v>73928.19718937992</v>
      </c>
      <c r="P89" s="113">
        <v>79374.952673871681</v>
      </c>
      <c r="Q89" s="110">
        <v>22781.406342805149</v>
      </c>
      <c r="R89" s="113">
        <v>96709.603532185065</v>
      </c>
      <c r="S89" s="113">
        <v>102156.35901667683</v>
      </c>
      <c r="U89" s="7" t="s">
        <v>5847</v>
      </c>
    </row>
    <row r="90" spans="1:21" ht="16.5" thickBot="1">
      <c r="A90" s="207" t="s">
        <v>10</v>
      </c>
      <c r="B90" s="211">
        <f t="shared" si="3"/>
        <v>65</v>
      </c>
      <c r="C90" s="211" t="s">
        <v>3</v>
      </c>
      <c r="D90" s="211">
        <f t="shared" si="4"/>
        <v>300</v>
      </c>
      <c r="E90" s="211" t="s">
        <v>3</v>
      </c>
      <c r="F90" s="209">
        <f t="shared" si="5"/>
        <v>2200</v>
      </c>
      <c r="G90" s="211" t="s">
        <v>3</v>
      </c>
      <c r="H90" s="208">
        <v>2</v>
      </c>
      <c r="I90" s="210" t="s">
        <v>529</v>
      </c>
      <c r="J90" s="103">
        <v>65</v>
      </c>
      <c r="K90" s="66">
        <v>300</v>
      </c>
      <c r="L90" s="66">
        <v>2200</v>
      </c>
      <c r="M90" s="164">
        <v>21.360535941352499</v>
      </c>
      <c r="N90" s="78">
        <v>4134.5317961999999</v>
      </c>
      <c r="O90" s="113">
        <v>75063.661161778291</v>
      </c>
      <c r="P90" s="113">
        <v>80640.542606108647</v>
      </c>
      <c r="Q90" s="110">
        <v>23309.282128679137</v>
      </c>
      <c r="R90" s="113">
        <v>98372.943290457421</v>
      </c>
      <c r="S90" s="113">
        <v>103949.82473478778</v>
      </c>
      <c r="U90" s="7" t="s">
        <v>5848</v>
      </c>
    </row>
    <row r="91" spans="1:21" ht="16.5" thickBot="1">
      <c r="A91" s="207" t="s">
        <v>10</v>
      </c>
      <c r="B91" s="211">
        <f t="shared" si="3"/>
        <v>65</v>
      </c>
      <c r="C91" s="211" t="s">
        <v>3</v>
      </c>
      <c r="D91" s="211">
        <f t="shared" si="4"/>
        <v>300</v>
      </c>
      <c r="E91" s="211" t="s">
        <v>3</v>
      </c>
      <c r="F91" s="209">
        <f t="shared" si="5"/>
        <v>2250</v>
      </c>
      <c r="G91" s="211" t="s">
        <v>3</v>
      </c>
      <c r="H91" s="208">
        <v>2</v>
      </c>
      <c r="I91" s="210" t="s">
        <v>529</v>
      </c>
      <c r="J91" s="103">
        <v>65</v>
      </c>
      <c r="K91" s="66">
        <v>300</v>
      </c>
      <c r="L91" s="66">
        <v>2250</v>
      </c>
      <c r="M91" s="164">
        <v>21.783365159762862</v>
      </c>
      <c r="N91" s="78">
        <v>4246.2758987999996</v>
      </c>
      <c r="O91" s="113">
        <v>76547.501193225704</v>
      </c>
      <c r="P91" s="113">
        <v>82232.315034525964</v>
      </c>
      <c r="Q91" s="110">
        <v>23837.158067581891</v>
      </c>
      <c r="R91" s="113">
        <v>100384.65926080759</v>
      </c>
      <c r="S91" s="113">
        <v>106069.47310210785</v>
      </c>
      <c r="U91" s="7" t="s">
        <v>5849</v>
      </c>
    </row>
    <row r="92" spans="1:21" ht="16.5" thickBot="1">
      <c r="A92" s="207" t="s">
        <v>10</v>
      </c>
      <c r="B92" s="211">
        <f t="shared" si="3"/>
        <v>65</v>
      </c>
      <c r="C92" s="211" t="s">
        <v>3</v>
      </c>
      <c r="D92" s="211">
        <f t="shared" si="4"/>
        <v>300</v>
      </c>
      <c r="E92" s="211" t="s">
        <v>3</v>
      </c>
      <c r="F92" s="209">
        <f t="shared" si="5"/>
        <v>2300</v>
      </c>
      <c r="G92" s="211" t="s">
        <v>3</v>
      </c>
      <c r="H92" s="208">
        <v>2</v>
      </c>
      <c r="I92" s="210" t="s">
        <v>529</v>
      </c>
      <c r="J92" s="103">
        <v>65</v>
      </c>
      <c r="K92" s="66">
        <v>300</v>
      </c>
      <c r="L92" s="66">
        <v>2300</v>
      </c>
      <c r="M92" s="164">
        <v>22.206194378173215</v>
      </c>
      <c r="N92" s="78">
        <v>4358.0200014000002</v>
      </c>
      <c r="O92" s="113">
        <v>77418.198101626142</v>
      </c>
      <c r="P92" s="113">
        <v>83250.005046966035</v>
      </c>
      <c r="Q92" s="110">
        <v>24365.03385345588</v>
      </c>
      <c r="R92" s="113">
        <v>101783.23195508202</v>
      </c>
      <c r="S92" s="113">
        <v>107615.03890042192</v>
      </c>
      <c r="U92" s="7" t="s">
        <v>5850</v>
      </c>
    </row>
    <row r="93" spans="1:21" ht="16.5" thickBot="1">
      <c r="A93" s="207" t="s">
        <v>10</v>
      </c>
      <c r="B93" s="211">
        <f t="shared" si="3"/>
        <v>65</v>
      </c>
      <c r="C93" s="211" t="s">
        <v>3</v>
      </c>
      <c r="D93" s="211">
        <f t="shared" si="4"/>
        <v>300</v>
      </c>
      <c r="E93" s="211" t="s">
        <v>3</v>
      </c>
      <c r="F93" s="209">
        <f t="shared" si="5"/>
        <v>2350</v>
      </c>
      <c r="G93" s="211" t="s">
        <v>3</v>
      </c>
      <c r="H93" s="208">
        <v>2</v>
      </c>
      <c r="I93" s="210" t="s">
        <v>529</v>
      </c>
      <c r="J93" s="103">
        <v>65</v>
      </c>
      <c r="K93" s="66">
        <v>300</v>
      </c>
      <c r="L93" s="66">
        <v>2350</v>
      </c>
      <c r="M93" s="164">
        <v>22.629023596583576</v>
      </c>
      <c r="N93" s="78">
        <v>4469.7641039999999</v>
      </c>
      <c r="O93" s="113">
        <v>78288.842720097527</v>
      </c>
      <c r="P93" s="113">
        <v>84267.646151412773</v>
      </c>
      <c r="Q93" s="110">
        <v>24892.909792358638</v>
      </c>
      <c r="R93" s="113">
        <v>103181.75251245617</v>
      </c>
      <c r="S93" s="113">
        <v>109160.55594377141</v>
      </c>
      <c r="U93" s="7" t="s">
        <v>5851</v>
      </c>
    </row>
    <row r="94" spans="1:21" ht="16.5" thickBot="1">
      <c r="A94" s="207" t="s">
        <v>10</v>
      </c>
      <c r="B94" s="211">
        <f t="shared" si="3"/>
        <v>65</v>
      </c>
      <c r="C94" s="211" t="s">
        <v>3</v>
      </c>
      <c r="D94" s="211">
        <f t="shared" si="4"/>
        <v>300</v>
      </c>
      <c r="E94" s="211" t="s">
        <v>3</v>
      </c>
      <c r="F94" s="209">
        <f t="shared" si="5"/>
        <v>2400</v>
      </c>
      <c r="G94" s="211" t="s">
        <v>3</v>
      </c>
      <c r="H94" s="208">
        <v>2</v>
      </c>
      <c r="I94" s="210" t="s">
        <v>529</v>
      </c>
      <c r="J94" s="103">
        <v>65</v>
      </c>
      <c r="K94" s="66">
        <v>300</v>
      </c>
      <c r="L94" s="66">
        <v>2400</v>
      </c>
      <c r="M94" s="164">
        <v>23.051852814993929</v>
      </c>
      <c r="N94" s="78">
        <v>4581.5082065999995</v>
      </c>
      <c r="O94" s="113">
        <v>79159.434788490966</v>
      </c>
      <c r="P94" s="113">
        <v>85285.238087717255</v>
      </c>
      <c r="Q94" s="110">
        <v>25420.78557823263</v>
      </c>
      <c r="R94" s="113">
        <v>104580.2203667236</v>
      </c>
      <c r="S94" s="113">
        <v>110706.02366594988</v>
      </c>
      <c r="U94" s="7" t="s">
        <v>5852</v>
      </c>
    </row>
    <row r="95" spans="1:21" ht="16.5" thickBot="1">
      <c r="A95" s="207" t="s">
        <v>10</v>
      </c>
      <c r="B95" s="211">
        <f t="shared" si="3"/>
        <v>65</v>
      </c>
      <c r="C95" s="211" t="s">
        <v>3</v>
      </c>
      <c r="D95" s="211">
        <f t="shared" si="4"/>
        <v>300</v>
      </c>
      <c r="E95" s="211" t="s">
        <v>3</v>
      </c>
      <c r="F95" s="209">
        <f t="shared" si="5"/>
        <v>2450</v>
      </c>
      <c r="G95" s="211" t="s">
        <v>3</v>
      </c>
      <c r="H95" s="208">
        <v>2</v>
      </c>
      <c r="I95" s="210" t="s">
        <v>529</v>
      </c>
      <c r="J95" s="103">
        <v>65</v>
      </c>
      <c r="K95" s="66">
        <v>300</v>
      </c>
      <c r="L95" s="66">
        <v>2450</v>
      </c>
      <c r="M95" s="164">
        <v>24.176246926204286</v>
      </c>
      <c r="N95" s="78">
        <v>4693.252309200001</v>
      </c>
      <c r="O95" s="113">
        <v>80606.323660304522</v>
      </c>
      <c r="P95" s="113">
        <v>86977.163550452038</v>
      </c>
      <c r="Q95" s="110">
        <v>25948.661517135381</v>
      </c>
      <c r="R95" s="113">
        <v>106554.9851774399</v>
      </c>
      <c r="S95" s="113">
        <v>112925.82506758742</v>
      </c>
      <c r="U95" s="7" t="s">
        <v>5853</v>
      </c>
    </row>
    <row r="96" spans="1:21" ht="16.5" thickBot="1">
      <c r="A96" s="207" t="s">
        <v>10</v>
      </c>
      <c r="B96" s="211">
        <f t="shared" si="3"/>
        <v>65</v>
      </c>
      <c r="C96" s="211" t="s">
        <v>3</v>
      </c>
      <c r="D96" s="211">
        <f t="shared" si="4"/>
        <v>300</v>
      </c>
      <c r="E96" s="211" t="s">
        <v>3</v>
      </c>
      <c r="F96" s="209">
        <f t="shared" si="5"/>
        <v>2500</v>
      </c>
      <c r="G96" s="211" t="s">
        <v>3</v>
      </c>
      <c r="H96" s="208">
        <v>2</v>
      </c>
      <c r="I96" s="210" t="s">
        <v>529</v>
      </c>
      <c r="J96" s="103">
        <v>65</v>
      </c>
      <c r="K96" s="66">
        <v>300</v>
      </c>
      <c r="L96" s="66">
        <v>2500</v>
      </c>
      <c r="M96" s="164">
        <v>24.616076144614645</v>
      </c>
      <c r="N96" s="78">
        <v>4804.9964118000007</v>
      </c>
      <c r="O96" s="113">
        <v>81476.810888690976</v>
      </c>
      <c r="P96" s="113">
        <v>87994.657280546526</v>
      </c>
      <c r="Q96" s="110">
        <v>26476.537303009372</v>
      </c>
      <c r="R96" s="113">
        <v>107953.34819170035</v>
      </c>
      <c r="S96" s="113">
        <v>114471.1945835559</v>
      </c>
      <c r="U96" s="7" t="s">
        <v>5854</v>
      </c>
    </row>
    <row r="97" spans="1:21" ht="16.5" thickBot="1">
      <c r="A97" s="207" t="s">
        <v>10</v>
      </c>
      <c r="B97" s="211">
        <f t="shared" si="3"/>
        <v>65</v>
      </c>
      <c r="C97" s="211" t="s">
        <v>3</v>
      </c>
      <c r="D97" s="211">
        <f t="shared" si="4"/>
        <v>300</v>
      </c>
      <c r="E97" s="211" t="s">
        <v>3</v>
      </c>
      <c r="F97" s="209">
        <f t="shared" si="5"/>
        <v>2550</v>
      </c>
      <c r="G97" s="211" t="s">
        <v>3</v>
      </c>
      <c r="H97" s="208">
        <v>2</v>
      </c>
      <c r="I97" s="210" t="s">
        <v>529</v>
      </c>
      <c r="J97" s="103">
        <v>65</v>
      </c>
      <c r="K97" s="66">
        <v>300</v>
      </c>
      <c r="L97" s="66">
        <v>2550</v>
      </c>
      <c r="M97" s="164">
        <v>25.038905363025002</v>
      </c>
      <c r="N97" s="78">
        <v>4916.7405144000004</v>
      </c>
      <c r="O97" s="113">
        <v>85938.071868397048</v>
      </c>
      <c r="P97" s="113">
        <v>92374.171801256161</v>
      </c>
      <c r="Q97" s="110">
        <v>27004.413241912127</v>
      </c>
      <c r="R97" s="113">
        <v>112942.48511030918</v>
      </c>
      <c r="S97" s="113">
        <v>119378.58504316829</v>
      </c>
      <c r="U97" s="7" t="s">
        <v>5855</v>
      </c>
    </row>
    <row r="98" spans="1:21" ht="16.5" thickBot="1">
      <c r="A98" s="207" t="s">
        <v>10</v>
      </c>
      <c r="B98" s="208">
        <f t="shared" si="3"/>
        <v>65</v>
      </c>
      <c r="C98" s="208" t="s">
        <v>3</v>
      </c>
      <c r="D98" s="208">
        <f t="shared" si="4"/>
        <v>300</v>
      </c>
      <c r="E98" s="208" t="s">
        <v>3</v>
      </c>
      <c r="F98" s="209">
        <f t="shared" si="5"/>
        <v>2600</v>
      </c>
      <c r="G98" s="208" t="s">
        <v>3</v>
      </c>
      <c r="H98" s="208">
        <v>2</v>
      </c>
      <c r="I98" s="210" t="s">
        <v>529</v>
      </c>
      <c r="J98" s="103">
        <v>65</v>
      </c>
      <c r="K98" s="66">
        <v>300</v>
      </c>
      <c r="L98" s="66">
        <v>2600</v>
      </c>
      <c r="M98" s="164">
        <v>25.461734581435358</v>
      </c>
      <c r="N98" s="78">
        <v>5028.4846170000001</v>
      </c>
      <c r="O98" s="113">
        <v>87103.412120999972</v>
      </c>
      <c r="P98" s="113">
        <v>93667.734764340043</v>
      </c>
      <c r="Q98" s="110">
        <v>27532.289027786119</v>
      </c>
      <c r="R98" s="113">
        <v>114635.70114878609</v>
      </c>
      <c r="S98" s="113">
        <v>121200.02379212616</v>
      </c>
      <c r="U98" s="7" t="s">
        <v>5856</v>
      </c>
    </row>
    <row r="99" spans="1:21" ht="16.5" thickBot="1">
      <c r="A99" s="207" t="s">
        <v>10</v>
      </c>
      <c r="B99" s="211">
        <f t="shared" si="3"/>
        <v>65</v>
      </c>
      <c r="C99" s="211" t="s">
        <v>3</v>
      </c>
      <c r="D99" s="211">
        <f t="shared" si="4"/>
        <v>300</v>
      </c>
      <c r="E99" s="211" t="s">
        <v>3</v>
      </c>
      <c r="F99" s="209">
        <f t="shared" si="5"/>
        <v>2650</v>
      </c>
      <c r="G99" s="211" t="s">
        <v>3</v>
      </c>
      <c r="H99" s="208">
        <v>2</v>
      </c>
      <c r="I99" s="210" t="s">
        <v>529</v>
      </c>
      <c r="J99" s="103">
        <v>65</v>
      </c>
      <c r="K99" s="66">
        <v>300</v>
      </c>
      <c r="L99" s="66">
        <v>2650</v>
      </c>
      <c r="M99" s="164">
        <v>25.991563799845721</v>
      </c>
      <c r="N99" s="78">
        <v>5140.2287195999997</v>
      </c>
      <c r="O99" s="113">
        <v>87799.376898450035</v>
      </c>
      <c r="P99" s="113">
        <v>94521.82402706788</v>
      </c>
      <c r="Q99" s="110">
        <v>28060.164966688873</v>
      </c>
      <c r="R99" s="113">
        <v>115859.5418651389</v>
      </c>
      <c r="S99" s="113">
        <v>122581.98899375675</v>
      </c>
      <c r="U99" s="7" t="s">
        <v>5857</v>
      </c>
    </row>
    <row r="100" spans="1:21" ht="16.5" thickBot="1">
      <c r="A100" s="207" t="s">
        <v>10</v>
      </c>
      <c r="B100" s="211">
        <f t="shared" si="3"/>
        <v>65</v>
      </c>
      <c r="C100" s="211" t="s">
        <v>3</v>
      </c>
      <c r="D100" s="211">
        <f t="shared" si="4"/>
        <v>300</v>
      </c>
      <c r="E100" s="211" t="s">
        <v>3</v>
      </c>
      <c r="F100" s="209">
        <f t="shared" si="5"/>
        <v>2700</v>
      </c>
      <c r="G100" s="211" t="s">
        <v>3</v>
      </c>
      <c r="H100" s="208">
        <v>2</v>
      </c>
      <c r="I100" s="210" t="s">
        <v>529</v>
      </c>
      <c r="J100" s="103">
        <v>65</v>
      </c>
      <c r="K100" s="66">
        <v>300</v>
      </c>
      <c r="L100" s="66">
        <v>2700</v>
      </c>
      <c r="M100" s="164">
        <v>26.453643018256074</v>
      </c>
      <c r="N100" s="78">
        <v>5251.9728222000003</v>
      </c>
      <c r="O100" s="113">
        <v>88533.852688342624</v>
      </c>
      <c r="P100" s="113">
        <v>95411.971098104535</v>
      </c>
      <c r="Q100" s="110">
        <v>28588.040752562865</v>
      </c>
      <c r="R100" s="113">
        <v>117121.89344090549</v>
      </c>
      <c r="S100" s="113">
        <v>124000.0118506674</v>
      </c>
      <c r="U100" s="7" t="s">
        <v>5858</v>
      </c>
    </row>
    <row r="101" spans="1:21" ht="16.5" thickBot="1">
      <c r="A101" s="207" t="s">
        <v>10</v>
      </c>
      <c r="B101" s="211">
        <f t="shared" si="3"/>
        <v>65</v>
      </c>
      <c r="C101" s="211" t="s">
        <v>3</v>
      </c>
      <c r="D101" s="211">
        <f t="shared" si="4"/>
        <v>300</v>
      </c>
      <c r="E101" s="211" t="s">
        <v>3</v>
      </c>
      <c r="F101" s="209">
        <f t="shared" si="5"/>
        <v>2750</v>
      </c>
      <c r="G101" s="211" t="s">
        <v>3</v>
      </c>
      <c r="H101" s="208">
        <v>2</v>
      </c>
      <c r="I101" s="210" t="s">
        <v>529</v>
      </c>
      <c r="J101" s="103">
        <v>65</v>
      </c>
      <c r="K101" s="66">
        <v>300</v>
      </c>
      <c r="L101" s="66">
        <v>2750</v>
      </c>
      <c r="M101" s="164">
        <v>26.87647223666643</v>
      </c>
      <c r="N101" s="78">
        <v>5363.7169248</v>
      </c>
      <c r="O101" s="113">
        <v>89318.824550533565</v>
      </c>
      <c r="P101" s="113">
        <v>96349.397240133316</v>
      </c>
      <c r="Q101" s="110">
        <v>29115.916691465467</v>
      </c>
      <c r="R101" s="113">
        <v>118434.74124199903</v>
      </c>
      <c r="S101" s="113">
        <v>125465.31393159878</v>
      </c>
      <c r="U101" s="7" t="s">
        <v>5859</v>
      </c>
    </row>
    <row r="102" spans="1:21" ht="16.5" thickBot="1">
      <c r="A102" s="207" t="s">
        <v>10</v>
      </c>
      <c r="B102" s="211">
        <f t="shared" si="3"/>
        <v>65</v>
      </c>
      <c r="C102" s="211" t="s">
        <v>3</v>
      </c>
      <c r="D102" s="211">
        <f t="shared" si="4"/>
        <v>300</v>
      </c>
      <c r="E102" s="211" t="s">
        <v>3</v>
      </c>
      <c r="F102" s="209">
        <f t="shared" si="5"/>
        <v>2800</v>
      </c>
      <c r="G102" s="211" t="s">
        <v>3</v>
      </c>
      <c r="H102" s="208">
        <v>2</v>
      </c>
      <c r="I102" s="210" t="s">
        <v>529</v>
      </c>
      <c r="J102" s="103">
        <v>65</v>
      </c>
      <c r="K102" s="66">
        <v>300</v>
      </c>
      <c r="L102" s="66">
        <v>2800</v>
      </c>
      <c r="M102" s="164">
        <v>27.29930145507679</v>
      </c>
      <c r="N102" s="78">
        <v>5475.4610274000006</v>
      </c>
      <c r="O102" s="113">
        <v>90013.443707794708</v>
      </c>
      <c r="P102" s="113">
        <v>97202.226731809467</v>
      </c>
      <c r="Q102" s="110">
        <v>29643.792630368374</v>
      </c>
      <c r="R102" s="113">
        <v>119657.23633816309</v>
      </c>
      <c r="S102" s="113">
        <v>126846.01936217785</v>
      </c>
      <c r="U102" s="7" t="s">
        <v>5860</v>
      </c>
    </row>
    <row r="103" spans="1:21" ht="16.5" thickBot="1">
      <c r="A103" s="207" t="s">
        <v>10</v>
      </c>
      <c r="B103" s="211">
        <f t="shared" si="3"/>
        <v>65</v>
      </c>
      <c r="C103" s="211" t="s">
        <v>3</v>
      </c>
      <c r="D103" s="211">
        <f t="shared" si="4"/>
        <v>300</v>
      </c>
      <c r="E103" s="211" t="s">
        <v>3</v>
      </c>
      <c r="F103" s="209">
        <f t="shared" si="5"/>
        <v>2850</v>
      </c>
      <c r="G103" s="211" t="s">
        <v>3</v>
      </c>
      <c r="H103" s="208">
        <v>2</v>
      </c>
      <c r="I103" s="210" t="s">
        <v>529</v>
      </c>
      <c r="J103" s="103">
        <v>65</v>
      </c>
      <c r="K103" s="66">
        <v>300</v>
      </c>
      <c r="L103" s="66">
        <v>2850</v>
      </c>
      <c r="M103" s="164">
        <v>27.722130673487143</v>
      </c>
      <c r="N103" s="78">
        <v>5587.2051300000003</v>
      </c>
      <c r="O103" s="113">
        <v>90708.010575126798</v>
      </c>
      <c r="P103" s="113">
        <v>98055.007185417824</v>
      </c>
      <c r="Q103" s="110">
        <v>30171.668416242363</v>
      </c>
      <c r="R103" s="113">
        <v>120879.67899136916</v>
      </c>
      <c r="S103" s="113">
        <v>128226.67560166019</v>
      </c>
      <c r="U103" s="7" t="s">
        <v>5861</v>
      </c>
    </row>
    <row r="104" spans="1:21" ht="16.5" thickBot="1">
      <c r="A104" s="207" t="s">
        <v>10</v>
      </c>
      <c r="B104" s="211">
        <f t="shared" si="3"/>
        <v>65</v>
      </c>
      <c r="C104" s="211" t="s">
        <v>3</v>
      </c>
      <c r="D104" s="211">
        <f t="shared" si="4"/>
        <v>300</v>
      </c>
      <c r="E104" s="211" t="s">
        <v>3</v>
      </c>
      <c r="F104" s="209">
        <f t="shared" si="5"/>
        <v>2900</v>
      </c>
      <c r="G104" s="211" t="s">
        <v>3</v>
      </c>
      <c r="H104" s="208">
        <v>2</v>
      </c>
      <c r="I104" s="210" t="s">
        <v>529</v>
      </c>
      <c r="J104" s="103">
        <v>65</v>
      </c>
      <c r="K104" s="66">
        <v>300</v>
      </c>
      <c r="L104" s="66">
        <v>2900</v>
      </c>
      <c r="M104" s="164">
        <v>28.320959891897498</v>
      </c>
      <c r="N104" s="78">
        <v>5698.9492326</v>
      </c>
      <c r="O104" s="113">
        <v>91402.524892380941</v>
      </c>
      <c r="P104" s="113">
        <v>98907.738470883938</v>
      </c>
      <c r="Q104" s="110">
        <v>30699.544355145121</v>
      </c>
      <c r="R104" s="113">
        <v>122102.06924752606</v>
      </c>
      <c r="S104" s="113">
        <v>129607.28282602906</v>
      </c>
      <c r="U104" s="7" t="s">
        <v>5862</v>
      </c>
    </row>
    <row r="105" spans="1:21" ht="16.5" thickBot="1">
      <c r="A105" s="207" t="s">
        <v>10</v>
      </c>
      <c r="B105" s="211">
        <f t="shared" si="3"/>
        <v>65</v>
      </c>
      <c r="C105" s="211" t="s">
        <v>3</v>
      </c>
      <c r="D105" s="211">
        <f t="shared" si="4"/>
        <v>300</v>
      </c>
      <c r="E105" s="211" t="s">
        <v>3</v>
      </c>
      <c r="F105" s="209">
        <f t="shared" si="5"/>
        <v>2950</v>
      </c>
      <c r="G105" s="211" t="s">
        <v>3</v>
      </c>
      <c r="H105" s="208">
        <v>2</v>
      </c>
      <c r="I105" s="210" t="s">
        <v>529</v>
      </c>
      <c r="J105" s="103">
        <v>65</v>
      </c>
      <c r="K105" s="66">
        <v>300</v>
      </c>
      <c r="L105" s="66">
        <v>2950</v>
      </c>
      <c r="M105" s="164">
        <v>28.743789110307858</v>
      </c>
      <c r="N105" s="78">
        <v>5810.6933352000005</v>
      </c>
      <c r="O105" s="113">
        <v>92096.986919706047</v>
      </c>
      <c r="P105" s="113">
        <v>99760.420718282287</v>
      </c>
      <c r="Q105" s="110">
        <v>31227.420141019105</v>
      </c>
      <c r="R105" s="113">
        <v>123324.40706072515</v>
      </c>
      <c r="S105" s="113">
        <v>130987.84085930139</v>
      </c>
      <c r="U105" s="7" t="s">
        <v>5863</v>
      </c>
    </row>
    <row r="106" spans="1:21" ht="16.5" thickBot="1">
      <c r="A106" s="207" t="s">
        <v>10</v>
      </c>
      <c r="B106" s="211">
        <f t="shared" si="3"/>
        <v>65</v>
      </c>
      <c r="C106" s="211" t="s">
        <v>3</v>
      </c>
      <c r="D106" s="211">
        <f t="shared" si="4"/>
        <v>300</v>
      </c>
      <c r="E106" s="211" t="s">
        <v>3</v>
      </c>
      <c r="F106" s="209">
        <f t="shared" si="5"/>
        <v>3000</v>
      </c>
      <c r="G106" s="211" t="s">
        <v>3</v>
      </c>
      <c r="H106" s="208">
        <v>2</v>
      </c>
      <c r="I106" s="210" t="s">
        <v>529</v>
      </c>
      <c r="J106" s="125">
        <v>65</v>
      </c>
      <c r="K106" s="126">
        <v>300</v>
      </c>
      <c r="L106" s="126">
        <v>3000</v>
      </c>
      <c r="M106" s="171">
        <v>29.166618328718215</v>
      </c>
      <c r="N106" s="127">
        <v>5922.4374378000002</v>
      </c>
      <c r="O106" s="128">
        <v>94662.748507626151</v>
      </c>
      <c r="P106" s="128">
        <v>102365.19007297083</v>
      </c>
      <c r="Q106" s="136">
        <v>31755.296079921864</v>
      </c>
      <c r="R106" s="128">
        <v>126418.04458754801</v>
      </c>
      <c r="S106" s="128">
        <v>134120.4861528927</v>
      </c>
    </row>
  </sheetData>
  <mergeCells count="15">
    <mergeCell ref="A8:S8"/>
    <mergeCell ref="A9:S9"/>
    <mergeCell ref="A58:S58"/>
    <mergeCell ref="A59:S59"/>
    <mergeCell ref="Q4:Q5"/>
    <mergeCell ref="R4:R5"/>
    <mergeCell ref="S4:S5"/>
    <mergeCell ref="O6:S6"/>
    <mergeCell ref="A7:S7"/>
    <mergeCell ref="A4:I6"/>
    <mergeCell ref="J4:M5"/>
    <mergeCell ref="N4:N6"/>
    <mergeCell ref="O4:O5"/>
    <mergeCell ref="P4:P5"/>
    <mergeCell ref="A10:S10"/>
  </mergeCells>
  <hyperlinks>
    <hyperlink ref="A1:I1" location="Главная!A1" display="Вернуться на главную страницу" xr:uid="{00000000-0004-0000-0700-000000000000}"/>
    <hyperlink ref="A2" location="'Калькулятор теплоотдач ВКВ'!R1C1" display="Вернуться Калькулятор теплоотдач ВКВ" xr:uid="{00000000-0004-0000-07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1">
    <tabColor rgb="FF3366FF"/>
  </sheetPr>
  <dimension ref="A1:U106"/>
  <sheetViews>
    <sheetView zoomScale="70" zoomScaleNormal="70" workbookViewId="0">
      <pane ySplit="6" topLeftCell="A7" activePane="bottomLeft" state="frozen"/>
      <selection pane="bottomLeft" activeCell="A9" sqref="A9:S10"/>
    </sheetView>
  </sheetViews>
  <sheetFormatPr defaultRowHeight="15"/>
  <cols>
    <col min="1" max="1" width="5.5703125" style="65" customWidth="1"/>
    <col min="2" max="2" width="6" style="65" customWidth="1"/>
    <col min="3" max="3" width="3" style="65" customWidth="1"/>
    <col min="4" max="4" width="6" style="65" customWidth="1"/>
    <col min="5" max="5" width="3" style="65" customWidth="1"/>
    <col min="6" max="6" width="7.7109375" style="65" customWidth="1"/>
    <col min="7" max="7" width="3" style="65" customWidth="1"/>
    <col min="8" max="8" width="6" style="65" customWidth="1"/>
    <col min="9" max="9" width="8.140625" style="65" customWidth="1"/>
    <col min="10" max="12" width="11.28515625" style="65" customWidth="1"/>
    <col min="13" max="13" width="15.5703125" style="65" customWidth="1"/>
    <col min="14" max="14" width="19.140625" style="65" customWidth="1"/>
    <col min="15" max="16" width="27.7109375" style="65" customWidth="1"/>
    <col min="17" max="17" width="26.28515625" style="65" customWidth="1"/>
    <col min="18" max="19" width="27.7109375" style="65" customWidth="1"/>
    <col min="20" max="20" width="9.140625" style="65"/>
    <col min="21" max="21" width="25.85546875" style="65" customWidth="1"/>
    <col min="22" max="16384" width="9.140625" style="65"/>
  </cols>
  <sheetData>
    <row r="1" spans="1:21" ht="15.75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ht="16.5" customHeight="1">
      <c r="A2" s="895" t="s">
        <v>345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ht="13.5" customHeight="1" thickBot="1">
      <c r="A3" s="16"/>
      <c r="B3" s="16"/>
      <c r="C3" s="16"/>
      <c r="D3" s="16"/>
      <c r="E3" s="16"/>
      <c r="F3" s="100"/>
      <c r="G3" s="16"/>
      <c r="H3" s="16"/>
      <c r="I3" s="1132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ht="69" customHeight="1">
      <c r="A4" s="2989" t="s">
        <v>8</v>
      </c>
      <c r="B4" s="2990"/>
      <c r="C4" s="2990"/>
      <c r="D4" s="2990"/>
      <c r="E4" s="2990"/>
      <c r="F4" s="2990"/>
      <c r="G4" s="2990"/>
      <c r="H4" s="2990"/>
      <c r="I4" s="2991"/>
      <c r="J4" s="2998" t="s">
        <v>78</v>
      </c>
      <c r="K4" s="2999"/>
      <c r="L4" s="2999"/>
      <c r="M4" s="3000"/>
      <c r="N4" s="3004" t="s">
        <v>77</v>
      </c>
      <c r="O4" s="2977" t="s">
        <v>144</v>
      </c>
      <c r="P4" s="3008" t="s">
        <v>151</v>
      </c>
      <c r="Q4" s="2977" t="s">
        <v>123</v>
      </c>
      <c r="R4" s="2979" t="s">
        <v>5750</v>
      </c>
      <c r="S4" s="2981" t="s">
        <v>5751</v>
      </c>
    </row>
    <row r="5" spans="1:21" ht="72" customHeight="1" thickBot="1">
      <c r="A5" s="2992"/>
      <c r="B5" s="2993"/>
      <c r="C5" s="2993"/>
      <c r="D5" s="2993"/>
      <c r="E5" s="2993"/>
      <c r="F5" s="2993"/>
      <c r="G5" s="2993"/>
      <c r="H5" s="2993"/>
      <c r="I5" s="2994"/>
      <c r="J5" s="3001"/>
      <c r="K5" s="3002"/>
      <c r="L5" s="3002"/>
      <c r="M5" s="3003"/>
      <c r="N5" s="3005"/>
      <c r="O5" s="3007"/>
      <c r="P5" s="3009"/>
      <c r="Q5" s="2978"/>
      <c r="R5" s="2980"/>
      <c r="S5" s="2982"/>
    </row>
    <row r="6" spans="1:21" ht="61.5" customHeight="1" thickBot="1">
      <c r="A6" s="2995"/>
      <c r="B6" s="2996"/>
      <c r="C6" s="2996"/>
      <c r="D6" s="2996"/>
      <c r="E6" s="2996"/>
      <c r="F6" s="2996"/>
      <c r="G6" s="2996"/>
      <c r="H6" s="2996"/>
      <c r="I6" s="2997"/>
      <c r="J6" s="235" t="s">
        <v>0</v>
      </c>
      <c r="K6" s="240" t="s">
        <v>1</v>
      </c>
      <c r="L6" s="240" t="s">
        <v>2</v>
      </c>
      <c r="M6" s="206" t="s">
        <v>75</v>
      </c>
      <c r="N6" s="3006"/>
      <c r="O6" s="2983" t="s">
        <v>141</v>
      </c>
      <c r="P6" s="2984"/>
      <c r="Q6" s="2984"/>
      <c r="R6" s="2984"/>
      <c r="S6" s="2985"/>
    </row>
    <row r="7" spans="1:21" ht="30" customHeight="1" thickBot="1">
      <c r="A7" s="2986" t="s">
        <v>131</v>
      </c>
      <c r="B7" s="2987"/>
      <c r="C7" s="2987"/>
      <c r="D7" s="2987"/>
      <c r="E7" s="2987"/>
      <c r="F7" s="2987"/>
      <c r="G7" s="2987"/>
      <c r="H7" s="2987"/>
      <c r="I7" s="2987"/>
      <c r="J7" s="2987"/>
      <c r="K7" s="2987"/>
      <c r="L7" s="2987"/>
      <c r="M7" s="2987"/>
      <c r="N7" s="2987"/>
      <c r="O7" s="2987"/>
      <c r="P7" s="2987"/>
      <c r="Q7" s="2987"/>
      <c r="R7" s="2987"/>
      <c r="S7" s="2988"/>
    </row>
    <row r="8" spans="1:21" ht="22.5" customHeight="1" thickBot="1">
      <c r="A8" s="2968" t="s">
        <v>468</v>
      </c>
      <c r="B8" s="2969"/>
      <c r="C8" s="2969"/>
      <c r="D8" s="2969"/>
      <c r="E8" s="2969"/>
      <c r="F8" s="2969"/>
      <c r="G8" s="2969"/>
      <c r="H8" s="2969"/>
      <c r="I8" s="2969"/>
      <c r="J8" s="2969"/>
      <c r="K8" s="2969"/>
      <c r="L8" s="2969"/>
      <c r="M8" s="2969"/>
      <c r="N8" s="2969"/>
      <c r="O8" s="2969"/>
      <c r="P8" s="2969"/>
      <c r="Q8" s="2969"/>
      <c r="R8" s="2969"/>
      <c r="S8" s="2970"/>
    </row>
    <row r="9" spans="1:21" ht="16.5" customHeight="1" thickBot="1">
      <c r="A9" s="2971" t="s">
        <v>7665</v>
      </c>
      <c r="B9" s="2972"/>
      <c r="C9" s="2972"/>
      <c r="D9" s="2972"/>
      <c r="E9" s="2972"/>
      <c r="F9" s="2972"/>
      <c r="G9" s="2972"/>
      <c r="H9" s="2972"/>
      <c r="I9" s="2972"/>
      <c r="J9" s="2972"/>
      <c r="K9" s="2972"/>
      <c r="L9" s="2972"/>
      <c r="M9" s="2972"/>
      <c r="N9" s="2972"/>
      <c r="O9" s="2972"/>
      <c r="P9" s="2972"/>
      <c r="Q9" s="2972"/>
      <c r="R9" s="2972"/>
      <c r="S9" s="2973"/>
    </row>
    <row r="10" spans="1:21" ht="16.5" thickBot="1">
      <c r="A10" s="2974" t="s">
        <v>112</v>
      </c>
      <c r="B10" s="2975"/>
      <c r="C10" s="2975"/>
      <c r="D10" s="2975"/>
      <c r="E10" s="2975"/>
      <c r="F10" s="2975"/>
      <c r="G10" s="2975"/>
      <c r="H10" s="2975"/>
      <c r="I10" s="2975"/>
      <c r="J10" s="2975"/>
      <c r="K10" s="2975"/>
      <c r="L10" s="2975"/>
      <c r="M10" s="2975"/>
      <c r="N10" s="2975"/>
      <c r="O10" s="2975"/>
      <c r="P10" s="2975"/>
      <c r="Q10" s="2975"/>
      <c r="R10" s="2975"/>
      <c r="S10" s="2976"/>
      <c r="U10" s="7" t="s">
        <v>5864</v>
      </c>
    </row>
    <row r="11" spans="1:21" ht="16.5" thickBot="1">
      <c r="A11" s="207" t="s">
        <v>10</v>
      </c>
      <c r="B11" s="211">
        <f t="shared" ref="B11:B57" si="0">J11</f>
        <v>70</v>
      </c>
      <c r="C11" s="211" t="s">
        <v>3</v>
      </c>
      <c r="D11" s="211">
        <f t="shared" ref="D11:D57" si="1">K11</f>
        <v>260</v>
      </c>
      <c r="E11" s="211" t="s">
        <v>3</v>
      </c>
      <c r="F11" s="209">
        <f t="shared" ref="F11:F57" si="2">L11</f>
        <v>700</v>
      </c>
      <c r="G11" s="211" t="s">
        <v>3</v>
      </c>
      <c r="H11" s="208">
        <v>2</v>
      </c>
      <c r="I11" s="210" t="s">
        <v>529</v>
      </c>
      <c r="J11" s="103">
        <v>70</v>
      </c>
      <c r="K11" s="66">
        <v>260</v>
      </c>
      <c r="L11" s="66">
        <v>700</v>
      </c>
      <c r="M11" s="164">
        <v>6.4825890748846424</v>
      </c>
      <c r="N11" s="78">
        <v>868.09979201399995</v>
      </c>
      <c r="O11" s="113">
        <v>27970.364190606248</v>
      </c>
      <c r="P11" s="113">
        <v>29748.749229971665</v>
      </c>
      <c r="Q11" s="110">
        <v>6666.0130428891625</v>
      </c>
      <c r="R11" s="113">
        <v>34636.377233495412</v>
      </c>
      <c r="S11" s="113">
        <v>36414.762272860826</v>
      </c>
      <c r="U11" s="7" t="s">
        <v>5865</v>
      </c>
    </row>
    <row r="12" spans="1:21" ht="16.5" thickBot="1">
      <c r="A12" s="207" t="s">
        <v>10</v>
      </c>
      <c r="B12" s="211">
        <f t="shared" si="0"/>
        <v>70</v>
      </c>
      <c r="C12" s="211" t="s">
        <v>3</v>
      </c>
      <c r="D12" s="211">
        <f t="shared" si="1"/>
        <v>260</v>
      </c>
      <c r="E12" s="211" t="s">
        <v>3</v>
      </c>
      <c r="F12" s="209">
        <f t="shared" si="2"/>
        <v>750</v>
      </c>
      <c r="G12" s="211" t="s">
        <v>3</v>
      </c>
      <c r="H12" s="208">
        <v>2</v>
      </c>
      <c r="I12" s="210" t="s">
        <v>529</v>
      </c>
      <c r="J12" s="103">
        <v>70</v>
      </c>
      <c r="K12" s="66">
        <v>260</v>
      </c>
      <c r="L12" s="66">
        <v>750</v>
      </c>
      <c r="M12" s="164">
        <v>6.9952573522235717</v>
      </c>
      <c r="N12" s="78">
        <v>992.11404801600008</v>
      </c>
      <c r="O12" s="113">
        <v>29635.136351680248</v>
      </c>
      <c r="P12" s="113">
        <v>31490.104804884118</v>
      </c>
      <c r="Q12" s="110">
        <v>7137.0046701333404</v>
      </c>
      <c r="R12" s="113">
        <v>36772.141021813586</v>
      </c>
      <c r="S12" s="113">
        <v>38627.10947501746</v>
      </c>
      <c r="U12" s="7" t="s">
        <v>5866</v>
      </c>
    </row>
    <row r="13" spans="1:21" ht="16.5" thickBot="1">
      <c r="A13" s="207" t="s">
        <v>10</v>
      </c>
      <c r="B13" s="211">
        <f t="shared" si="0"/>
        <v>70</v>
      </c>
      <c r="C13" s="211" t="s">
        <v>3</v>
      </c>
      <c r="D13" s="211">
        <f t="shared" si="1"/>
        <v>260</v>
      </c>
      <c r="E13" s="211" t="s">
        <v>3</v>
      </c>
      <c r="F13" s="209">
        <f t="shared" si="2"/>
        <v>800</v>
      </c>
      <c r="G13" s="211" t="s">
        <v>3</v>
      </c>
      <c r="H13" s="208">
        <v>2</v>
      </c>
      <c r="I13" s="210" t="s">
        <v>529</v>
      </c>
      <c r="J13" s="103">
        <v>70</v>
      </c>
      <c r="K13" s="66">
        <v>260</v>
      </c>
      <c r="L13" s="66">
        <v>800</v>
      </c>
      <c r="M13" s="164">
        <v>7.3889256295625003</v>
      </c>
      <c r="N13" s="78">
        <v>1116.1283040180001</v>
      </c>
      <c r="O13" s="113">
        <v>31299.908382679809</v>
      </c>
      <c r="P13" s="113">
        <v>33231.460509871024</v>
      </c>
      <c r="Q13" s="110">
        <v>7607.9961443487855</v>
      </c>
      <c r="R13" s="113">
        <v>38907.904527028593</v>
      </c>
      <c r="S13" s="113">
        <v>40839.456654219808</v>
      </c>
      <c r="U13" s="7" t="s">
        <v>5867</v>
      </c>
    </row>
    <row r="14" spans="1:21" ht="16.5" thickBot="1">
      <c r="A14" s="207" t="s">
        <v>10</v>
      </c>
      <c r="B14" s="211">
        <f t="shared" si="0"/>
        <v>70</v>
      </c>
      <c r="C14" s="211" t="s">
        <v>3</v>
      </c>
      <c r="D14" s="211">
        <f t="shared" si="1"/>
        <v>260</v>
      </c>
      <c r="E14" s="211" t="s">
        <v>3</v>
      </c>
      <c r="F14" s="209">
        <f t="shared" si="2"/>
        <v>850</v>
      </c>
      <c r="G14" s="211" t="s">
        <v>3</v>
      </c>
      <c r="H14" s="208">
        <v>2</v>
      </c>
      <c r="I14" s="210" t="s">
        <v>529</v>
      </c>
      <c r="J14" s="103">
        <v>70</v>
      </c>
      <c r="K14" s="66">
        <v>260</v>
      </c>
      <c r="L14" s="66">
        <v>850</v>
      </c>
      <c r="M14" s="164">
        <v>7.7825939069014289</v>
      </c>
      <c r="N14" s="78">
        <v>1240.14256002</v>
      </c>
      <c r="O14" s="113">
        <v>32964.680413679358</v>
      </c>
      <c r="P14" s="113">
        <v>34972.816084783473</v>
      </c>
      <c r="Q14" s="110">
        <v>8078.9877715929815</v>
      </c>
      <c r="R14" s="113">
        <v>41043.668185272341</v>
      </c>
      <c r="S14" s="113">
        <v>43051.803856376457</v>
      </c>
      <c r="U14" s="7" t="s">
        <v>5868</v>
      </c>
    </row>
    <row r="15" spans="1:21" ht="16.5" thickBot="1">
      <c r="A15" s="207" t="s">
        <v>10</v>
      </c>
      <c r="B15" s="211">
        <f t="shared" si="0"/>
        <v>70</v>
      </c>
      <c r="C15" s="211" t="s">
        <v>3</v>
      </c>
      <c r="D15" s="211">
        <f t="shared" si="1"/>
        <v>260</v>
      </c>
      <c r="E15" s="211" t="s">
        <v>3</v>
      </c>
      <c r="F15" s="209">
        <f t="shared" si="2"/>
        <v>900</v>
      </c>
      <c r="G15" s="211" t="s">
        <v>3</v>
      </c>
      <c r="H15" s="208">
        <v>2</v>
      </c>
      <c r="I15" s="210" t="s">
        <v>529</v>
      </c>
      <c r="J15" s="103">
        <v>70</v>
      </c>
      <c r="K15" s="66">
        <v>260</v>
      </c>
      <c r="L15" s="66">
        <v>900</v>
      </c>
      <c r="M15" s="164">
        <v>8.2142621842403578</v>
      </c>
      <c r="N15" s="78">
        <v>1364.1568160220002</v>
      </c>
      <c r="O15" s="113">
        <v>34629.452444678915</v>
      </c>
      <c r="P15" s="113">
        <v>36714.171789770378</v>
      </c>
      <c r="Q15" s="110">
        <v>8549.9793988371766</v>
      </c>
      <c r="R15" s="113">
        <v>43179.431843516089</v>
      </c>
      <c r="S15" s="113">
        <v>45264.151188607553</v>
      </c>
      <c r="U15" s="7" t="s">
        <v>5869</v>
      </c>
    </row>
    <row r="16" spans="1:21" ht="16.5" thickBot="1">
      <c r="A16" s="207" t="s">
        <v>10</v>
      </c>
      <c r="B16" s="211">
        <f t="shared" si="0"/>
        <v>70</v>
      </c>
      <c r="C16" s="211" t="s">
        <v>3</v>
      </c>
      <c r="D16" s="211">
        <f t="shared" si="1"/>
        <v>260</v>
      </c>
      <c r="E16" s="211" t="s">
        <v>3</v>
      </c>
      <c r="F16" s="209">
        <f t="shared" si="2"/>
        <v>950</v>
      </c>
      <c r="G16" s="211" t="s">
        <v>3</v>
      </c>
      <c r="H16" s="208">
        <v>2</v>
      </c>
      <c r="I16" s="210" t="s">
        <v>529</v>
      </c>
      <c r="J16" s="103">
        <v>70</v>
      </c>
      <c r="K16" s="66">
        <v>260</v>
      </c>
      <c r="L16" s="66">
        <v>950</v>
      </c>
      <c r="M16" s="164">
        <v>8.6769304615792855</v>
      </c>
      <c r="N16" s="78">
        <v>1488.1710720240001</v>
      </c>
      <c r="O16" s="113">
        <v>36294.224475678471</v>
      </c>
      <c r="P16" s="113">
        <v>38455.527364682835</v>
      </c>
      <c r="Q16" s="110">
        <v>9020.9708730526054</v>
      </c>
      <c r="R16" s="113">
        <v>45315.195348731075</v>
      </c>
      <c r="S16" s="113">
        <v>47476.498237735439</v>
      </c>
      <c r="U16" s="7" t="s">
        <v>5870</v>
      </c>
    </row>
    <row r="17" spans="1:21" ht="16.5" thickBot="1">
      <c r="A17" s="207" t="s">
        <v>10</v>
      </c>
      <c r="B17" s="211">
        <f t="shared" si="0"/>
        <v>70</v>
      </c>
      <c r="C17" s="211" t="s">
        <v>3</v>
      </c>
      <c r="D17" s="211">
        <f t="shared" si="1"/>
        <v>260</v>
      </c>
      <c r="E17" s="211" t="s">
        <v>3</v>
      </c>
      <c r="F17" s="209">
        <f t="shared" si="2"/>
        <v>1000</v>
      </c>
      <c r="G17" s="211" t="s">
        <v>3</v>
      </c>
      <c r="H17" s="208">
        <v>2</v>
      </c>
      <c r="I17" s="210" t="s">
        <v>529</v>
      </c>
      <c r="J17" s="103">
        <v>70</v>
      </c>
      <c r="K17" s="66">
        <v>260</v>
      </c>
      <c r="L17" s="66">
        <v>1000</v>
      </c>
      <c r="M17" s="164">
        <v>9.0705987389182141</v>
      </c>
      <c r="N17" s="78">
        <v>1612.1853280260002</v>
      </c>
      <c r="O17" s="113">
        <v>37855.30258567298</v>
      </c>
      <c r="P17" s="113">
        <v>40099.794979626029</v>
      </c>
      <c r="Q17" s="110">
        <v>9491.9625002968005</v>
      </c>
      <c r="R17" s="113">
        <v>47347.265085969782</v>
      </c>
      <c r="S17" s="113">
        <v>49591.757479922831</v>
      </c>
      <c r="U17" s="7" t="s">
        <v>5871</v>
      </c>
    </row>
    <row r="18" spans="1:21" ht="16.5" thickBot="1">
      <c r="A18" s="207" t="s">
        <v>10</v>
      </c>
      <c r="B18" s="211">
        <f t="shared" si="0"/>
        <v>70</v>
      </c>
      <c r="C18" s="211" t="s">
        <v>3</v>
      </c>
      <c r="D18" s="211">
        <f t="shared" si="1"/>
        <v>260</v>
      </c>
      <c r="E18" s="211" t="s">
        <v>3</v>
      </c>
      <c r="F18" s="209">
        <f t="shared" si="2"/>
        <v>1050</v>
      </c>
      <c r="G18" s="211" t="s">
        <v>3</v>
      </c>
      <c r="H18" s="208">
        <v>2</v>
      </c>
      <c r="I18" s="210" t="s">
        <v>529</v>
      </c>
      <c r="J18" s="103">
        <v>70</v>
      </c>
      <c r="K18" s="66">
        <v>260</v>
      </c>
      <c r="L18" s="66">
        <v>1050</v>
      </c>
      <c r="M18" s="164">
        <v>9.4642670162571427</v>
      </c>
      <c r="N18" s="78">
        <v>1736.1995840279999</v>
      </c>
      <c r="O18" s="113">
        <v>39766.347825393277</v>
      </c>
      <c r="P18" s="113">
        <v>42071.734833429509</v>
      </c>
      <c r="Q18" s="110">
        <v>9962.9539745122293</v>
      </c>
      <c r="R18" s="113">
        <v>49729.301799905508</v>
      </c>
      <c r="S18" s="113">
        <v>52034.68880794174</v>
      </c>
      <c r="U18" s="7" t="s">
        <v>5872</v>
      </c>
    </row>
    <row r="19" spans="1:21" ht="16.5" thickBot="1">
      <c r="A19" s="207" t="s">
        <v>10</v>
      </c>
      <c r="B19" s="208">
        <f t="shared" si="0"/>
        <v>70</v>
      </c>
      <c r="C19" s="208" t="s">
        <v>3</v>
      </c>
      <c r="D19" s="208">
        <f t="shared" si="1"/>
        <v>260</v>
      </c>
      <c r="E19" s="208" t="s">
        <v>3</v>
      </c>
      <c r="F19" s="209">
        <f t="shared" si="2"/>
        <v>1100</v>
      </c>
      <c r="G19" s="208" t="s">
        <v>3</v>
      </c>
      <c r="H19" s="208">
        <v>2</v>
      </c>
      <c r="I19" s="210" t="s">
        <v>529</v>
      </c>
      <c r="J19" s="103">
        <v>70</v>
      </c>
      <c r="K19" s="66">
        <v>260</v>
      </c>
      <c r="L19" s="66">
        <v>1100</v>
      </c>
      <c r="M19" s="164">
        <v>9.8579352935960713</v>
      </c>
      <c r="N19" s="78">
        <v>1860.2138400300003</v>
      </c>
      <c r="O19" s="113">
        <v>41431.119856392834</v>
      </c>
      <c r="P19" s="113">
        <v>43813.090408341959</v>
      </c>
      <c r="Q19" s="110">
        <v>10433.945601756424</v>
      </c>
      <c r="R19" s="113">
        <v>51865.065458149256</v>
      </c>
      <c r="S19" s="113">
        <v>54247.036010098382</v>
      </c>
      <c r="U19" s="7" t="s">
        <v>5873</v>
      </c>
    </row>
    <row r="20" spans="1:21" ht="16.5" thickBot="1">
      <c r="A20" s="207" t="s">
        <v>10</v>
      </c>
      <c r="B20" s="211">
        <f t="shared" si="0"/>
        <v>70</v>
      </c>
      <c r="C20" s="211" t="s">
        <v>3</v>
      </c>
      <c r="D20" s="211">
        <f t="shared" si="1"/>
        <v>260</v>
      </c>
      <c r="E20" s="211" t="s">
        <v>3</v>
      </c>
      <c r="F20" s="209">
        <f t="shared" si="2"/>
        <v>1150</v>
      </c>
      <c r="G20" s="211" t="s">
        <v>3</v>
      </c>
      <c r="H20" s="208">
        <v>2</v>
      </c>
      <c r="I20" s="210" t="s">
        <v>529</v>
      </c>
      <c r="J20" s="103">
        <v>70</v>
      </c>
      <c r="K20" s="66">
        <v>260</v>
      </c>
      <c r="L20" s="66">
        <v>1150</v>
      </c>
      <c r="M20" s="164">
        <v>10.251603570935</v>
      </c>
      <c r="N20" s="78">
        <v>1984.2280960320002</v>
      </c>
      <c r="O20" s="113">
        <v>42272.568614109507</v>
      </c>
      <c r="P20" s="113">
        <v>44783.573150886485</v>
      </c>
      <c r="Q20" s="110">
        <v>10904.937229000619</v>
      </c>
      <c r="R20" s="113">
        <v>53177.505843110128</v>
      </c>
      <c r="S20" s="113">
        <v>55688.510379887106</v>
      </c>
      <c r="U20" s="7" t="s">
        <v>5874</v>
      </c>
    </row>
    <row r="21" spans="1:21" ht="16.5" thickBot="1">
      <c r="A21" s="207" t="s">
        <v>10</v>
      </c>
      <c r="B21" s="211">
        <f t="shared" si="0"/>
        <v>70</v>
      </c>
      <c r="C21" s="211" t="s">
        <v>3</v>
      </c>
      <c r="D21" s="211">
        <f t="shared" si="1"/>
        <v>260</v>
      </c>
      <c r="E21" s="211" t="s">
        <v>3</v>
      </c>
      <c r="F21" s="209">
        <f t="shared" si="2"/>
        <v>1200</v>
      </c>
      <c r="G21" s="211" t="s">
        <v>3</v>
      </c>
      <c r="H21" s="208">
        <v>2</v>
      </c>
      <c r="I21" s="210" t="s">
        <v>529</v>
      </c>
      <c r="J21" s="103">
        <v>70</v>
      </c>
      <c r="K21" s="66">
        <v>260</v>
      </c>
      <c r="L21" s="66">
        <v>1200</v>
      </c>
      <c r="M21" s="164">
        <v>10.86052184827393</v>
      </c>
      <c r="N21" s="78">
        <v>2108.2423520339999</v>
      </c>
      <c r="O21" s="113">
        <v>43152.318704254736</v>
      </c>
      <c r="P21" s="113">
        <v>45789.917289319783</v>
      </c>
      <c r="Q21" s="110">
        <v>11375.92870321605</v>
      </c>
      <c r="R21" s="113">
        <v>54528.247407470786</v>
      </c>
      <c r="S21" s="113">
        <v>57165.845992535833</v>
      </c>
      <c r="U21" s="7" t="s">
        <v>5875</v>
      </c>
    </row>
    <row r="22" spans="1:21" ht="16.5" thickBot="1">
      <c r="A22" s="207" t="s">
        <v>10</v>
      </c>
      <c r="B22" s="211">
        <f t="shared" si="0"/>
        <v>70</v>
      </c>
      <c r="C22" s="211" t="s">
        <v>3</v>
      </c>
      <c r="D22" s="211">
        <f t="shared" si="1"/>
        <v>260</v>
      </c>
      <c r="E22" s="211" t="s">
        <v>3</v>
      </c>
      <c r="F22" s="209">
        <f t="shared" si="2"/>
        <v>1250</v>
      </c>
      <c r="G22" s="211" t="s">
        <v>3</v>
      </c>
      <c r="H22" s="208">
        <v>2</v>
      </c>
      <c r="I22" s="210" t="s">
        <v>529</v>
      </c>
      <c r="J22" s="103">
        <v>70</v>
      </c>
      <c r="K22" s="66">
        <v>260</v>
      </c>
      <c r="L22" s="66">
        <v>1250</v>
      </c>
      <c r="M22" s="164">
        <v>11.254190125612858</v>
      </c>
      <c r="N22" s="78">
        <v>2232.2566080360002</v>
      </c>
      <c r="O22" s="113">
        <v>43993.243131862015</v>
      </c>
      <c r="P22" s="113">
        <v>46759.909130888656</v>
      </c>
      <c r="Q22" s="110">
        <v>11846.920330460245</v>
      </c>
      <c r="R22" s="113">
        <v>55840.163462322264</v>
      </c>
      <c r="S22" s="113">
        <v>58606.829461348898</v>
      </c>
      <c r="U22" s="7" t="s">
        <v>5876</v>
      </c>
    </row>
    <row r="23" spans="1:21" ht="16.5" thickBot="1">
      <c r="A23" s="207" t="s">
        <v>10</v>
      </c>
      <c r="B23" s="211">
        <f t="shared" si="0"/>
        <v>70</v>
      </c>
      <c r="C23" s="211" t="s">
        <v>3</v>
      </c>
      <c r="D23" s="211">
        <f t="shared" si="1"/>
        <v>260</v>
      </c>
      <c r="E23" s="211" t="s">
        <v>3</v>
      </c>
      <c r="F23" s="209">
        <f t="shared" si="2"/>
        <v>1300</v>
      </c>
      <c r="G23" s="211" t="s">
        <v>3</v>
      </c>
      <c r="H23" s="208">
        <v>2</v>
      </c>
      <c r="I23" s="210" t="s">
        <v>529</v>
      </c>
      <c r="J23" s="103">
        <v>70</v>
      </c>
      <c r="K23" s="66">
        <v>260</v>
      </c>
      <c r="L23" s="66">
        <v>1300</v>
      </c>
      <c r="M23" s="164">
        <v>11.709858402951786</v>
      </c>
      <c r="N23" s="78">
        <v>2356.2708640379997</v>
      </c>
      <c r="O23" s="113">
        <v>47507.26567330223</v>
      </c>
      <c r="P23" s="113">
        <v>50232.707306851917</v>
      </c>
      <c r="Q23" s="110">
        <v>12317.911804675674</v>
      </c>
      <c r="R23" s="113">
        <v>59825.177477977908</v>
      </c>
      <c r="S23" s="113">
        <v>62550.619111527587</v>
      </c>
      <c r="U23" s="7" t="s">
        <v>5877</v>
      </c>
    </row>
    <row r="24" spans="1:21" ht="16.5" thickBot="1">
      <c r="A24" s="207" t="s">
        <v>10</v>
      </c>
      <c r="B24" s="211">
        <f t="shared" si="0"/>
        <v>70</v>
      </c>
      <c r="C24" s="211" t="s">
        <v>3</v>
      </c>
      <c r="D24" s="211">
        <f t="shared" si="1"/>
        <v>260</v>
      </c>
      <c r="E24" s="211" t="s">
        <v>3</v>
      </c>
      <c r="F24" s="209">
        <f t="shared" si="2"/>
        <v>1350</v>
      </c>
      <c r="G24" s="211" t="s">
        <v>3</v>
      </c>
      <c r="H24" s="208">
        <v>2</v>
      </c>
      <c r="I24" s="210" t="s">
        <v>529</v>
      </c>
      <c r="J24" s="103">
        <v>70</v>
      </c>
      <c r="K24" s="66">
        <v>260</v>
      </c>
      <c r="L24" s="66">
        <v>1350</v>
      </c>
      <c r="M24" s="164">
        <v>12.103526680290713</v>
      </c>
      <c r="N24" s="78">
        <v>2480.28512004</v>
      </c>
      <c r="O24" s="113">
        <v>48620.359181579435</v>
      </c>
      <c r="P24" s="113">
        <v>51457.529565007135</v>
      </c>
      <c r="Q24" s="110">
        <v>12788.903431919871</v>
      </c>
      <c r="R24" s="113">
        <v>61409.262613499304</v>
      </c>
      <c r="S24" s="113">
        <v>64246.432996927004</v>
      </c>
      <c r="U24" s="7" t="s">
        <v>5878</v>
      </c>
    </row>
    <row r="25" spans="1:21" ht="16.5" thickBot="1">
      <c r="A25" s="207" t="s">
        <v>10</v>
      </c>
      <c r="B25" s="211">
        <f t="shared" si="0"/>
        <v>70</v>
      </c>
      <c r="C25" s="211" t="s">
        <v>3</v>
      </c>
      <c r="D25" s="211">
        <f t="shared" si="1"/>
        <v>260</v>
      </c>
      <c r="E25" s="211" t="s">
        <v>3</v>
      </c>
      <c r="F25" s="209">
        <f t="shared" si="2"/>
        <v>1400</v>
      </c>
      <c r="G25" s="211" t="s">
        <v>3</v>
      </c>
      <c r="H25" s="208">
        <v>2</v>
      </c>
      <c r="I25" s="210" t="s">
        <v>529</v>
      </c>
      <c r="J25" s="103">
        <v>70</v>
      </c>
      <c r="K25" s="66">
        <v>260</v>
      </c>
      <c r="L25" s="66">
        <v>1400</v>
      </c>
      <c r="M25" s="164">
        <v>12.497194957629642</v>
      </c>
      <c r="N25" s="78">
        <v>2604.2993760420004</v>
      </c>
      <c r="O25" s="113">
        <v>50089.900648996998</v>
      </c>
      <c r="P25" s="113">
        <v>53016.091905057292</v>
      </c>
      <c r="Q25" s="110">
        <v>13259.895059164062</v>
      </c>
      <c r="R25" s="113">
        <v>63349.795708161058</v>
      </c>
      <c r="S25" s="113">
        <v>66275.98696422136</v>
      </c>
      <c r="U25" s="7" t="s">
        <v>5879</v>
      </c>
    </row>
    <row r="26" spans="1:21" ht="16.5" thickBot="1">
      <c r="A26" s="207" t="s">
        <v>10</v>
      </c>
      <c r="B26" s="211">
        <f t="shared" si="0"/>
        <v>70</v>
      </c>
      <c r="C26" s="211" t="s">
        <v>3</v>
      </c>
      <c r="D26" s="211">
        <f t="shared" si="1"/>
        <v>260</v>
      </c>
      <c r="E26" s="211" t="s">
        <v>3</v>
      </c>
      <c r="F26" s="209">
        <f t="shared" si="2"/>
        <v>1450</v>
      </c>
      <c r="G26" s="211" t="s">
        <v>3</v>
      </c>
      <c r="H26" s="208">
        <v>2</v>
      </c>
      <c r="I26" s="210" t="s">
        <v>529</v>
      </c>
      <c r="J26" s="103">
        <v>70</v>
      </c>
      <c r="K26" s="66">
        <v>260</v>
      </c>
      <c r="L26" s="66">
        <v>1450</v>
      </c>
      <c r="M26" s="164">
        <v>12.89086323496857</v>
      </c>
      <c r="N26" s="78">
        <v>2728.3136320440003</v>
      </c>
      <c r="O26" s="113">
        <v>51202.994157274203</v>
      </c>
      <c r="P26" s="113">
        <v>54240.91416321251</v>
      </c>
      <c r="Q26" s="110">
        <v>13730.886533379495</v>
      </c>
      <c r="R26" s="113">
        <v>64933.880690653699</v>
      </c>
      <c r="S26" s="113">
        <v>67971.800696592007</v>
      </c>
      <c r="U26" s="7" t="s">
        <v>5880</v>
      </c>
    </row>
    <row r="27" spans="1:21" ht="16.5" thickBot="1">
      <c r="A27" s="207" t="s">
        <v>10</v>
      </c>
      <c r="B27" s="211">
        <f t="shared" si="0"/>
        <v>70</v>
      </c>
      <c r="C27" s="211" t="s">
        <v>3</v>
      </c>
      <c r="D27" s="211">
        <f t="shared" si="1"/>
        <v>260</v>
      </c>
      <c r="E27" s="211" t="s">
        <v>3</v>
      </c>
      <c r="F27" s="209">
        <f t="shared" si="2"/>
        <v>1500</v>
      </c>
      <c r="G27" s="211" t="s">
        <v>3</v>
      </c>
      <c r="H27" s="208">
        <v>2</v>
      </c>
      <c r="I27" s="210" t="s">
        <v>529</v>
      </c>
      <c r="J27" s="103">
        <v>70</v>
      </c>
      <c r="K27" s="66">
        <v>260</v>
      </c>
      <c r="L27" s="66">
        <v>1500</v>
      </c>
      <c r="M27" s="164">
        <v>13.8512957011075</v>
      </c>
      <c r="N27" s="78">
        <v>2852.3278880459998</v>
      </c>
      <c r="O27" s="113">
        <v>52816.502546643729</v>
      </c>
      <c r="P27" s="113">
        <v>56051.31976009658</v>
      </c>
      <c r="Q27" s="110">
        <v>14201.87816062369</v>
      </c>
      <c r="R27" s="113">
        <v>67018.380707267424</v>
      </c>
      <c r="S27" s="113">
        <v>70253.197920720268</v>
      </c>
      <c r="U27" s="7" t="s">
        <v>5881</v>
      </c>
    </row>
    <row r="28" spans="1:21" ht="16.5" thickBot="1">
      <c r="A28" s="207" t="s">
        <v>10</v>
      </c>
      <c r="B28" s="211">
        <f t="shared" si="0"/>
        <v>70</v>
      </c>
      <c r="C28" s="211" t="s">
        <v>3</v>
      </c>
      <c r="D28" s="211">
        <f t="shared" si="1"/>
        <v>260</v>
      </c>
      <c r="E28" s="211" t="s">
        <v>3</v>
      </c>
      <c r="F28" s="209">
        <f t="shared" si="2"/>
        <v>1550</v>
      </c>
      <c r="G28" s="211" t="s">
        <v>3</v>
      </c>
      <c r="H28" s="208">
        <v>2</v>
      </c>
      <c r="I28" s="210" t="s">
        <v>529</v>
      </c>
      <c r="J28" s="103">
        <v>70</v>
      </c>
      <c r="K28" s="66">
        <v>260</v>
      </c>
      <c r="L28" s="66">
        <v>1550</v>
      </c>
      <c r="M28" s="164">
        <v>14.313963978446429</v>
      </c>
      <c r="N28" s="78">
        <v>2976.3421440480001</v>
      </c>
      <c r="O28" s="113">
        <v>53929.596054921072</v>
      </c>
      <c r="P28" s="113">
        <v>57276.141888177342</v>
      </c>
      <c r="Q28" s="110">
        <v>14672.869634839117</v>
      </c>
      <c r="R28" s="113">
        <v>68602.465689760196</v>
      </c>
      <c r="S28" s="113">
        <v>71949.011523016467</v>
      </c>
      <c r="U28" s="7" t="s">
        <v>5882</v>
      </c>
    </row>
    <row r="29" spans="1:21" ht="16.5" thickBot="1">
      <c r="A29" s="207" t="s">
        <v>10</v>
      </c>
      <c r="B29" s="208">
        <f t="shared" si="0"/>
        <v>70</v>
      </c>
      <c r="C29" s="208" t="s">
        <v>3</v>
      </c>
      <c r="D29" s="208">
        <f t="shared" si="1"/>
        <v>260</v>
      </c>
      <c r="E29" s="208" t="s">
        <v>3</v>
      </c>
      <c r="F29" s="209">
        <f t="shared" si="2"/>
        <v>1600</v>
      </c>
      <c r="G29" s="208" t="s">
        <v>3</v>
      </c>
      <c r="H29" s="208">
        <v>2</v>
      </c>
      <c r="I29" s="210" t="s">
        <v>529</v>
      </c>
      <c r="J29" s="103">
        <v>70</v>
      </c>
      <c r="K29" s="66">
        <v>260</v>
      </c>
      <c r="L29" s="66">
        <v>1600</v>
      </c>
      <c r="M29" s="164">
        <v>14.707632255785356</v>
      </c>
      <c r="N29" s="78">
        <v>3100.35640005</v>
      </c>
      <c r="O29" s="113">
        <v>57163.874630074861</v>
      </c>
      <c r="P29" s="113">
        <v>60487.017598297491</v>
      </c>
      <c r="Q29" s="110">
        <v>15143.861262083314</v>
      </c>
      <c r="R29" s="113">
        <v>72307.735892158176</v>
      </c>
      <c r="S29" s="113">
        <v>75630.878860380806</v>
      </c>
      <c r="U29" s="7" t="s">
        <v>5883</v>
      </c>
    </row>
    <row r="30" spans="1:21" ht="16.5" thickBot="1">
      <c r="A30" s="207" t="s">
        <v>10</v>
      </c>
      <c r="B30" s="211">
        <f t="shared" si="0"/>
        <v>70</v>
      </c>
      <c r="C30" s="211" t="s">
        <v>3</v>
      </c>
      <c r="D30" s="211">
        <f t="shared" si="1"/>
        <v>260</v>
      </c>
      <c r="E30" s="211" t="s">
        <v>3</v>
      </c>
      <c r="F30" s="209">
        <f t="shared" si="2"/>
        <v>1650</v>
      </c>
      <c r="G30" s="211" t="s">
        <v>3</v>
      </c>
      <c r="H30" s="208">
        <v>2</v>
      </c>
      <c r="I30" s="210" t="s">
        <v>529</v>
      </c>
      <c r="J30" s="103">
        <v>70</v>
      </c>
      <c r="K30" s="66">
        <v>260</v>
      </c>
      <c r="L30" s="66">
        <v>1650</v>
      </c>
      <c r="M30" s="164">
        <v>15.139300533124285</v>
      </c>
      <c r="N30" s="78">
        <v>3224.3706560520004</v>
      </c>
      <c r="O30" s="113">
        <v>60673.116805390033</v>
      </c>
      <c r="P30" s="113">
        <v>63955.339912423988</v>
      </c>
      <c r="Q30" s="110">
        <v>15614.852889327509</v>
      </c>
      <c r="R30" s="113">
        <v>76287.96969471754</v>
      </c>
      <c r="S30" s="113">
        <v>79570.192801751502</v>
      </c>
      <c r="U30" s="7" t="s">
        <v>5884</v>
      </c>
    </row>
    <row r="31" spans="1:21" ht="16.5" thickBot="1">
      <c r="A31" s="207" t="s">
        <v>10</v>
      </c>
      <c r="B31" s="211">
        <f t="shared" si="0"/>
        <v>70</v>
      </c>
      <c r="C31" s="211" t="s">
        <v>3</v>
      </c>
      <c r="D31" s="211">
        <f t="shared" si="1"/>
        <v>260</v>
      </c>
      <c r="E31" s="211" t="s">
        <v>3</v>
      </c>
      <c r="F31" s="209">
        <f t="shared" si="2"/>
        <v>1700</v>
      </c>
      <c r="G31" s="211" t="s">
        <v>3</v>
      </c>
      <c r="H31" s="208">
        <v>2</v>
      </c>
      <c r="I31" s="210" t="s">
        <v>529</v>
      </c>
      <c r="J31" s="103">
        <v>70</v>
      </c>
      <c r="K31" s="66">
        <v>260</v>
      </c>
      <c r="L31" s="66">
        <v>1700</v>
      </c>
      <c r="M31" s="164">
        <v>15.532968810463215</v>
      </c>
      <c r="N31" s="78">
        <v>3348.3849120540003</v>
      </c>
      <c r="O31" s="113">
        <v>61562.599586208707</v>
      </c>
      <c r="P31" s="113">
        <v>64970.796676625883</v>
      </c>
      <c r="Q31" s="110">
        <v>16085.844363542936</v>
      </c>
      <c r="R31" s="113">
        <v>77648.443949751643</v>
      </c>
      <c r="S31" s="113">
        <v>81056.641040168819</v>
      </c>
      <c r="U31" s="7" t="s">
        <v>5885</v>
      </c>
    </row>
    <row r="32" spans="1:21" ht="16.5" thickBot="1">
      <c r="A32" s="207" t="s">
        <v>10</v>
      </c>
      <c r="B32" s="211">
        <f t="shared" si="0"/>
        <v>70</v>
      </c>
      <c r="C32" s="211" t="s">
        <v>3</v>
      </c>
      <c r="D32" s="211">
        <f t="shared" si="1"/>
        <v>260</v>
      </c>
      <c r="E32" s="211" t="s">
        <v>3</v>
      </c>
      <c r="F32" s="209">
        <f t="shared" si="2"/>
        <v>1750</v>
      </c>
      <c r="G32" s="211" t="s">
        <v>3</v>
      </c>
      <c r="H32" s="208">
        <v>2</v>
      </c>
      <c r="I32" s="210" t="s">
        <v>529</v>
      </c>
      <c r="J32" s="103">
        <v>70</v>
      </c>
      <c r="K32" s="66">
        <v>260</v>
      </c>
      <c r="L32" s="66">
        <v>1750</v>
      </c>
      <c r="M32" s="164">
        <v>15.926637087802142</v>
      </c>
      <c r="N32" s="78">
        <v>3472.3991680559998</v>
      </c>
      <c r="O32" s="113">
        <v>62369.074706160303</v>
      </c>
      <c r="P32" s="113">
        <v>65908.533956739935</v>
      </c>
      <c r="Q32" s="110">
        <v>16556.835990787131</v>
      </c>
      <c r="R32" s="113">
        <v>78925.910696947438</v>
      </c>
      <c r="S32" s="113">
        <v>82465.36994752707</v>
      </c>
      <c r="U32" s="7" t="s">
        <v>5886</v>
      </c>
    </row>
    <row r="33" spans="1:21" ht="16.5" thickBot="1">
      <c r="A33" s="207" t="s">
        <v>10</v>
      </c>
      <c r="B33" s="211">
        <f t="shared" si="0"/>
        <v>70</v>
      </c>
      <c r="C33" s="211" t="s">
        <v>3</v>
      </c>
      <c r="D33" s="211">
        <f t="shared" si="1"/>
        <v>260</v>
      </c>
      <c r="E33" s="211" t="s">
        <v>3</v>
      </c>
      <c r="F33" s="209">
        <f t="shared" si="2"/>
        <v>1800</v>
      </c>
      <c r="G33" s="211" t="s">
        <v>3</v>
      </c>
      <c r="H33" s="208">
        <v>2</v>
      </c>
      <c r="I33" s="210" t="s">
        <v>529</v>
      </c>
      <c r="J33" s="103">
        <v>70</v>
      </c>
      <c r="K33" s="66">
        <v>260</v>
      </c>
      <c r="L33" s="66">
        <v>1800</v>
      </c>
      <c r="M33" s="164">
        <v>16.389305365141073</v>
      </c>
      <c r="N33" s="78">
        <v>3596.4134240580001</v>
      </c>
      <c r="O33" s="113">
        <v>63259.316861620158</v>
      </c>
      <c r="P33" s="113">
        <v>66924.70157781303</v>
      </c>
      <c r="Q33" s="110">
        <v>17027.827465002563</v>
      </c>
      <c r="R33" s="113">
        <v>80287.144326622714</v>
      </c>
      <c r="S33" s="113">
        <v>83952.529042815586</v>
      </c>
      <c r="U33" s="7" t="s">
        <v>5887</v>
      </c>
    </row>
    <row r="34" spans="1:21" ht="16.5" thickBot="1">
      <c r="A34" s="207" t="s">
        <v>10</v>
      </c>
      <c r="B34" s="211">
        <f t="shared" si="0"/>
        <v>70</v>
      </c>
      <c r="C34" s="211" t="s">
        <v>3</v>
      </c>
      <c r="D34" s="211">
        <f t="shared" si="1"/>
        <v>260</v>
      </c>
      <c r="E34" s="211" t="s">
        <v>3</v>
      </c>
      <c r="F34" s="209">
        <f t="shared" si="2"/>
        <v>1850</v>
      </c>
      <c r="G34" s="211" t="s">
        <v>3</v>
      </c>
      <c r="H34" s="208">
        <v>2</v>
      </c>
      <c r="I34" s="210" t="s">
        <v>529</v>
      </c>
      <c r="J34" s="103">
        <v>70</v>
      </c>
      <c r="K34" s="66">
        <v>260</v>
      </c>
      <c r="L34" s="66">
        <v>1850</v>
      </c>
      <c r="M34" s="164">
        <v>16.844973642479999</v>
      </c>
      <c r="N34" s="78">
        <v>3720.4276800600005</v>
      </c>
      <c r="O34" s="113">
        <v>64149.506467002073</v>
      </c>
      <c r="P34" s="113">
        <v>67940.820160818344</v>
      </c>
      <c r="Q34" s="110">
        <v>17498.819092246758</v>
      </c>
      <c r="R34" s="113">
        <v>81648.325559248828</v>
      </c>
      <c r="S34" s="113">
        <v>85439.639253065106</v>
      </c>
      <c r="U34" s="7" t="s">
        <v>5888</v>
      </c>
    </row>
    <row r="35" spans="1:21" ht="16.5" thickBot="1">
      <c r="A35" s="207" t="s">
        <v>10</v>
      </c>
      <c r="B35" s="211">
        <f t="shared" si="0"/>
        <v>70</v>
      </c>
      <c r="C35" s="211" t="s">
        <v>3</v>
      </c>
      <c r="D35" s="211">
        <f t="shared" si="1"/>
        <v>260</v>
      </c>
      <c r="E35" s="211" t="s">
        <v>3</v>
      </c>
      <c r="F35" s="209">
        <f t="shared" si="2"/>
        <v>1900</v>
      </c>
      <c r="G35" s="211" t="s">
        <v>3</v>
      </c>
      <c r="H35" s="208">
        <v>2</v>
      </c>
      <c r="I35" s="210" t="s">
        <v>529</v>
      </c>
      <c r="J35" s="103">
        <v>70</v>
      </c>
      <c r="K35" s="66">
        <v>260</v>
      </c>
      <c r="L35" s="66">
        <v>1900</v>
      </c>
      <c r="M35" s="164">
        <v>17.238641919818928</v>
      </c>
      <c r="N35" s="78">
        <v>3844.4419360620009</v>
      </c>
      <c r="O35" s="113">
        <v>65230.505405398377</v>
      </c>
      <c r="P35" s="113">
        <v>69135.592359303351</v>
      </c>
      <c r="Q35" s="110">
        <v>17969.810719490953</v>
      </c>
      <c r="R35" s="113">
        <v>83200.31612488933</v>
      </c>
      <c r="S35" s="113">
        <v>87105.403078794305</v>
      </c>
      <c r="U35" s="7" t="s">
        <v>5889</v>
      </c>
    </row>
    <row r="36" spans="1:21" ht="16.5" thickBot="1">
      <c r="A36" s="207" t="s">
        <v>10</v>
      </c>
      <c r="B36" s="211">
        <f t="shared" si="0"/>
        <v>70</v>
      </c>
      <c r="C36" s="211" t="s">
        <v>3</v>
      </c>
      <c r="D36" s="211">
        <f t="shared" si="1"/>
        <v>260</v>
      </c>
      <c r="E36" s="211" t="s">
        <v>3</v>
      </c>
      <c r="F36" s="209">
        <f t="shared" si="2"/>
        <v>1950</v>
      </c>
      <c r="G36" s="211" t="s">
        <v>3</v>
      </c>
      <c r="H36" s="208">
        <v>2</v>
      </c>
      <c r="I36" s="210" t="s">
        <v>529</v>
      </c>
      <c r="J36" s="103">
        <v>70</v>
      </c>
      <c r="K36" s="66">
        <v>260</v>
      </c>
      <c r="L36" s="66">
        <v>1950</v>
      </c>
      <c r="M36" s="164">
        <v>17.78556019715786</v>
      </c>
      <c r="N36" s="78">
        <v>3968.4561920640003</v>
      </c>
      <c r="O36" s="113">
        <v>66485.033676302599</v>
      </c>
      <c r="P36" s="113">
        <v>70492.839122909398</v>
      </c>
      <c r="Q36" s="110">
        <v>18440.802193706382</v>
      </c>
      <c r="R36" s="113">
        <v>84925.835870008974</v>
      </c>
      <c r="S36" s="113">
        <v>88933.641316615773</v>
      </c>
      <c r="U36" s="7" t="s">
        <v>5890</v>
      </c>
    </row>
    <row r="37" spans="1:21" ht="16.5" thickBot="1">
      <c r="A37" s="207" t="s">
        <v>10</v>
      </c>
      <c r="B37" s="211">
        <f t="shared" si="0"/>
        <v>70</v>
      </c>
      <c r="C37" s="211" t="s">
        <v>3</v>
      </c>
      <c r="D37" s="211">
        <f t="shared" si="1"/>
        <v>260</v>
      </c>
      <c r="E37" s="211" t="s">
        <v>3</v>
      </c>
      <c r="F37" s="209">
        <f t="shared" si="2"/>
        <v>2000</v>
      </c>
      <c r="G37" s="211" t="s">
        <v>3</v>
      </c>
      <c r="H37" s="208">
        <v>2</v>
      </c>
      <c r="I37" s="210" t="s">
        <v>529</v>
      </c>
      <c r="J37" s="103">
        <v>70</v>
      </c>
      <c r="K37" s="66">
        <v>260</v>
      </c>
      <c r="L37" s="66">
        <v>2000</v>
      </c>
      <c r="M37" s="164">
        <v>18.270790874496786</v>
      </c>
      <c r="N37" s="78">
        <v>4092.4704480659998</v>
      </c>
      <c r="O37" s="113">
        <v>67600.070496868138</v>
      </c>
      <c r="P37" s="113">
        <v>71926.861160168177</v>
      </c>
      <c r="Q37" s="110">
        <v>18911.793820950577</v>
      </c>
      <c r="R37" s="113">
        <v>86511.864317818719</v>
      </c>
      <c r="S37" s="113">
        <v>90838.654981118758</v>
      </c>
      <c r="U37" s="7" t="s">
        <v>5891</v>
      </c>
    </row>
    <row r="38" spans="1:21" ht="16.5" thickBot="1">
      <c r="A38" s="207" t="s">
        <v>10</v>
      </c>
      <c r="B38" s="211">
        <f t="shared" si="0"/>
        <v>70</v>
      </c>
      <c r="C38" s="211" t="s">
        <v>3</v>
      </c>
      <c r="D38" s="211">
        <f t="shared" si="1"/>
        <v>260</v>
      </c>
      <c r="E38" s="211" t="s">
        <v>3</v>
      </c>
      <c r="F38" s="209">
        <f t="shared" si="2"/>
        <v>2050</v>
      </c>
      <c r="G38" s="211" t="s">
        <v>3</v>
      </c>
      <c r="H38" s="208">
        <v>2</v>
      </c>
      <c r="I38" s="210" t="s">
        <v>529</v>
      </c>
      <c r="J38" s="103">
        <v>70</v>
      </c>
      <c r="K38" s="66">
        <v>260</v>
      </c>
      <c r="L38" s="66">
        <v>2050</v>
      </c>
      <c r="M38" s="164">
        <v>18.664459151835715</v>
      </c>
      <c r="N38" s="78">
        <v>4216.4847040679997</v>
      </c>
      <c r="O38" s="113">
        <v>70827.187823157568</v>
      </c>
      <c r="P38" s="113">
        <v>75131.031662446912</v>
      </c>
      <c r="Q38" s="110">
        <v>19382.785295166006</v>
      </c>
      <c r="R38" s="113">
        <v>90209.973118323571</v>
      </c>
      <c r="S38" s="113">
        <v>94513.816957612915</v>
      </c>
      <c r="U38" s="7" t="s">
        <v>5892</v>
      </c>
    </row>
    <row r="39" spans="1:21" ht="16.5" thickBot="1">
      <c r="A39" s="207" t="s">
        <v>10</v>
      </c>
      <c r="B39" s="208">
        <f t="shared" si="0"/>
        <v>70</v>
      </c>
      <c r="C39" s="208" t="s">
        <v>3</v>
      </c>
      <c r="D39" s="208">
        <f t="shared" si="1"/>
        <v>260</v>
      </c>
      <c r="E39" s="208" t="s">
        <v>3</v>
      </c>
      <c r="F39" s="209">
        <f t="shared" si="2"/>
        <v>2100</v>
      </c>
      <c r="G39" s="208" t="s">
        <v>3</v>
      </c>
      <c r="H39" s="208">
        <v>2</v>
      </c>
      <c r="I39" s="210" t="s">
        <v>529</v>
      </c>
      <c r="J39" s="103">
        <v>70</v>
      </c>
      <c r="K39" s="66">
        <v>260</v>
      </c>
      <c r="L39" s="66">
        <v>2100</v>
      </c>
      <c r="M39" s="164">
        <v>19.058127429174643</v>
      </c>
      <c r="N39" s="78">
        <v>4340.4989600700001</v>
      </c>
      <c r="O39" s="113">
        <v>71784.880995370811</v>
      </c>
      <c r="P39" s="113">
        <v>76210.353420880318</v>
      </c>
      <c r="Q39" s="110">
        <v>19853.776922410201</v>
      </c>
      <c r="R39" s="113">
        <v>91638.657917781005</v>
      </c>
      <c r="S39" s="113">
        <v>96064.130343290512</v>
      </c>
      <c r="U39" s="7" t="s">
        <v>5893</v>
      </c>
    </row>
    <row r="40" spans="1:21" ht="16.5" thickBot="1">
      <c r="A40" s="207" t="s">
        <v>10</v>
      </c>
      <c r="B40" s="211">
        <f t="shared" si="0"/>
        <v>70</v>
      </c>
      <c r="C40" s="211" t="s">
        <v>3</v>
      </c>
      <c r="D40" s="211">
        <f t="shared" si="1"/>
        <v>260</v>
      </c>
      <c r="E40" s="211" t="s">
        <v>3</v>
      </c>
      <c r="F40" s="209">
        <f t="shared" si="2"/>
        <v>2150</v>
      </c>
      <c r="G40" s="211" t="s">
        <v>3</v>
      </c>
      <c r="H40" s="208">
        <v>2</v>
      </c>
      <c r="I40" s="210" t="s">
        <v>529</v>
      </c>
      <c r="J40" s="103">
        <v>70</v>
      </c>
      <c r="K40" s="66">
        <v>260</v>
      </c>
      <c r="L40" s="66">
        <v>2150</v>
      </c>
      <c r="M40" s="164">
        <v>19.575795706513571</v>
      </c>
      <c r="N40" s="78">
        <v>4464.5132160720004</v>
      </c>
      <c r="O40" s="113">
        <v>72903.477043121442</v>
      </c>
      <c r="P40" s="113">
        <v>77440.327667865116</v>
      </c>
      <c r="Q40" s="110">
        <v>20324.768396625634</v>
      </c>
      <c r="R40" s="113">
        <v>93228.245439747072</v>
      </c>
      <c r="S40" s="113">
        <v>97765.096064490746</v>
      </c>
      <c r="U40" s="7" t="s">
        <v>5894</v>
      </c>
    </row>
    <row r="41" spans="1:21" ht="16.5" thickBot="1">
      <c r="A41" s="207" t="s">
        <v>10</v>
      </c>
      <c r="B41" s="211">
        <f t="shared" si="0"/>
        <v>70</v>
      </c>
      <c r="C41" s="211" t="s">
        <v>3</v>
      </c>
      <c r="D41" s="211">
        <f t="shared" si="1"/>
        <v>260</v>
      </c>
      <c r="E41" s="211" t="s">
        <v>3</v>
      </c>
      <c r="F41" s="209">
        <f t="shared" si="2"/>
        <v>2200</v>
      </c>
      <c r="G41" s="211" t="s">
        <v>3</v>
      </c>
      <c r="H41" s="208">
        <v>2</v>
      </c>
      <c r="I41" s="210" t="s">
        <v>529</v>
      </c>
      <c r="J41" s="103">
        <v>70</v>
      </c>
      <c r="K41" s="66">
        <v>260</v>
      </c>
      <c r="L41" s="66">
        <v>2200</v>
      </c>
      <c r="M41" s="164">
        <v>19.969463983852499</v>
      </c>
      <c r="N41" s="78">
        <v>4588.5274720739999</v>
      </c>
      <c r="O41" s="113">
        <v>74022.020670868587</v>
      </c>
      <c r="P41" s="113">
        <v>78670.252746707934</v>
      </c>
      <c r="Q41" s="110">
        <v>20795.760023869829</v>
      </c>
      <c r="R41" s="113">
        <v>94817.780694738409</v>
      </c>
      <c r="S41" s="113">
        <v>99466.01277057777</v>
      </c>
      <c r="U41" s="7" t="s">
        <v>5895</v>
      </c>
    </row>
    <row r="42" spans="1:21" ht="16.5" thickBot="1">
      <c r="A42" s="207" t="s">
        <v>10</v>
      </c>
      <c r="B42" s="211">
        <f t="shared" si="0"/>
        <v>70</v>
      </c>
      <c r="C42" s="211" t="s">
        <v>3</v>
      </c>
      <c r="D42" s="211">
        <f t="shared" si="1"/>
        <v>260</v>
      </c>
      <c r="E42" s="211" t="s">
        <v>3</v>
      </c>
      <c r="F42" s="209">
        <f t="shared" si="2"/>
        <v>2250</v>
      </c>
      <c r="G42" s="211" t="s">
        <v>3</v>
      </c>
      <c r="H42" s="208">
        <v>2</v>
      </c>
      <c r="I42" s="210" t="s">
        <v>529</v>
      </c>
      <c r="J42" s="103">
        <v>70</v>
      </c>
      <c r="K42" s="66">
        <v>260</v>
      </c>
      <c r="L42" s="66">
        <v>2250</v>
      </c>
      <c r="M42" s="164">
        <v>20.363132261191431</v>
      </c>
      <c r="N42" s="78">
        <v>4712.5417280759993</v>
      </c>
      <c r="O42" s="113">
        <v>75488.940487739208</v>
      </c>
      <c r="P42" s="113">
        <v>80226.360451805434</v>
      </c>
      <c r="Q42" s="110">
        <v>21266.75165111402</v>
      </c>
      <c r="R42" s="113">
        <v>96755.692138853221</v>
      </c>
      <c r="S42" s="113">
        <v>101493.11210291946</v>
      </c>
      <c r="U42" s="7" t="s">
        <v>5896</v>
      </c>
    </row>
    <row r="43" spans="1:21" ht="16.5" thickBot="1">
      <c r="A43" s="207" t="s">
        <v>10</v>
      </c>
      <c r="B43" s="211">
        <f t="shared" si="0"/>
        <v>70</v>
      </c>
      <c r="C43" s="211" t="s">
        <v>3</v>
      </c>
      <c r="D43" s="211">
        <f t="shared" si="1"/>
        <v>260</v>
      </c>
      <c r="E43" s="211" t="s">
        <v>3</v>
      </c>
      <c r="F43" s="209">
        <f t="shared" si="2"/>
        <v>2300</v>
      </c>
      <c r="G43" s="211" t="s">
        <v>3</v>
      </c>
      <c r="H43" s="208">
        <v>2</v>
      </c>
      <c r="I43" s="210" t="s">
        <v>529</v>
      </c>
      <c r="J43" s="103">
        <v>70</v>
      </c>
      <c r="K43" s="66">
        <v>260</v>
      </c>
      <c r="L43" s="66">
        <v>2300</v>
      </c>
      <c r="M43" s="164">
        <v>20.756800538530356</v>
      </c>
      <c r="N43" s="78">
        <v>4836.5559840779997</v>
      </c>
      <c r="O43" s="113">
        <v>76342.717181562839</v>
      </c>
      <c r="P43" s="113">
        <v>81208.38574092566</v>
      </c>
      <c r="Q43" s="110">
        <v>21737.743125329449</v>
      </c>
      <c r="R43" s="113">
        <v>98080.460306892288</v>
      </c>
      <c r="S43" s="113">
        <v>102946.12886625511</v>
      </c>
      <c r="U43" s="7" t="s">
        <v>5897</v>
      </c>
    </row>
    <row r="44" spans="1:21" ht="16.5" thickBot="1">
      <c r="A44" s="207" t="s">
        <v>10</v>
      </c>
      <c r="B44" s="211">
        <f t="shared" si="0"/>
        <v>70</v>
      </c>
      <c r="C44" s="211" t="s">
        <v>3</v>
      </c>
      <c r="D44" s="211">
        <f t="shared" si="1"/>
        <v>260</v>
      </c>
      <c r="E44" s="211" t="s">
        <v>3</v>
      </c>
      <c r="F44" s="209">
        <f t="shared" si="2"/>
        <v>2350</v>
      </c>
      <c r="G44" s="211" t="s">
        <v>3</v>
      </c>
      <c r="H44" s="208">
        <v>2</v>
      </c>
      <c r="I44" s="210" t="s">
        <v>529</v>
      </c>
      <c r="J44" s="103">
        <v>70</v>
      </c>
      <c r="K44" s="66">
        <v>260</v>
      </c>
      <c r="L44" s="66">
        <v>2350</v>
      </c>
      <c r="M44" s="164">
        <v>21.150468815869289</v>
      </c>
      <c r="N44" s="78">
        <v>4960.5702400800001</v>
      </c>
      <c r="O44" s="113">
        <v>77196.441455382985</v>
      </c>
      <c r="P44" s="113">
        <v>82190.361991978119</v>
      </c>
      <c r="Q44" s="110">
        <v>22208.734752573648</v>
      </c>
      <c r="R44" s="113">
        <v>99405.176207956625</v>
      </c>
      <c r="S44" s="113">
        <v>104399.09674455176</v>
      </c>
      <c r="U44" s="7" t="s">
        <v>5898</v>
      </c>
    </row>
    <row r="45" spans="1:21" ht="16.5" thickBot="1">
      <c r="A45" s="207" t="s">
        <v>10</v>
      </c>
      <c r="B45" s="211">
        <f t="shared" si="0"/>
        <v>70</v>
      </c>
      <c r="C45" s="211" t="s">
        <v>3</v>
      </c>
      <c r="D45" s="211">
        <f t="shared" si="1"/>
        <v>260</v>
      </c>
      <c r="E45" s="211" t="s">
        <v>3</v>
      </c>
      <c r="F45" s="209">
        <f t="shared" si="2"/>
        <v>2400</v>
      </c>
      <c r="G45" s="211" t="s">
        <v>3</v>
      </c>
      <c r="H45" s="208">
        <v>2</v>
      </c>
      <c r="I45" s="210" t="s">
        <v>529</v>
      </c>
      <c r="J45" s="103">
        <v>70</v>
      </c>
      <c r="K45" s="66">
        <v>260</v>
      </c>
      <c r="L45" s="66">
        <v>2400</v>
      </c>
      <c r="M45" s="164">
        <v>21.544137093208214</v>
      </c>
      <c r="N45" s="78">
        <v>5084.5844960819995</v>
      </c>
      <c r="O45" s="113">
        <v>78050.113309199631</v>
      </c>
      <c r="P45" s="113">
        <v>83172.289204962784</v>
      </c>
      <c r="Q45" s="110">
        <v>22679.726226789073</v>
      </c>
      <c r="R45" s="113">
        <v>100729.83953598871</v>
      </c>
      <c r="S45" s="113">
        <v>105852.01543175186</v>
      </c>
      <c r="U45" s="7" t="s">
        <v>5899</v>
      </c>
    </row>
    <row r="46" spans="1:21" ht="16.5" thickBot="1">
      <c r="A46" s="207" t="s">
        <v>10</v>
      </c>
      <c r="B46" s="211">
        <f t="shared" si="0"/>
        <v>70</v>
      </c>
      <c r="C46" s="211" t="s">
        <v>3</v>
      </c>
      <c r="D46" s="211">
        <f t="shared" si="1"/>
        <v>260</v>
      </c>
      <c r="E46" s="211" t="s">
        <v>3</v>
      </c>
      <c r="F46" s="209">
        <f t="shared" si="2"/>
        <v>2450</v>
      </c>
      <c r="G46" s="211" t="s">
        <v>3</v>
      </c>
      <c r="H46" s="208">
        <v>2</v>
      </c>
      <c r="I46" s="210" t="s">
        <v>529</v>
      </c>
      <c r="J46" s="103">
        <v>70</v>
      </c>
      <c r="K46" s="66">
        <v>260</v>
      </c>
      <c r="L46" s="66">
        <v>2450</v>
      </c>
      <c r="M46" s="164">
        <v>22.618569559347144</v>
      </c>
      <c r="N46" s="78">
        <v>5208.5987520840008</v>
      </c>
      <c r="O46" s="113">
        <v>79404.14762410523</v>
      </c>
      <c r="P46" s="113">
        <v>84739.750848682976</v>
      </c>
      <c r="Q46" s="110">
        <v>23150.717854033268</v>
      </c>
      <c r="R46" s="113">
        <v>102554.8654781385</v>
      </c>
      <c r="S46" s="113">
        <v>107890.46870271624</v>
      </c>
      <c r="U46" s="7" t="s">
        <v>5900</v>
      </c>
    </row>
    <row r="47" spans="1:21" ht="16.5" thickBot="1">
      <c r="A47" s="207" t="s">
        <v>10</v>
      </c>
      <c r="B47" s="211">
        <f t="shared" si="0"/>
        <v>70</v>
      </c>
      <c r="C47" s="211" t="s">
        <v>3</v>
      </c>
      <c r="D47" s="211">
        <f t="shared" si="1"/>
        <v>260</v>
      </c>
      <c r="E47" s="211" t="s">
        <v>3</v>
      </c>
      <c r="F47" s="209">
        <f t="shared" si="2"/>
        <v>2500</v>
      </c>
      <c r="G47" s="211" t="s">
        <v>3</v>
      </c>
      <c r="H47" s="208">
        <v>2</v>
      </c>
      <c r="I47" s="210" t="s">
        <v>529</v>
      </c>
      <c r="J47" s="103">
        <v>70</v>
      </c>
      <c r="K47" s="66">
        <v>260</v>
      </c>
      <c r="L47" s="66">
        <v>2500</v>
      </c>
      <c r="M47" s="164">
        <v>23.029237836686072</v>
      </c>
      <c r="N47" s="78">
        <v>5332.6130080860003</v>
      </c>
      <c r="O47" s="113">
        <v>80257.714637914905</v>
      </c>
      <c r="P47" s="113">
        <v>85721.579855457632</v>
      </c>
      <c r="Q47" s="110">
        <v>23621.709481277463</v>
      </c>
      <c r="R47" s="113">
        <v>103879.42411919236</v>
      </c>
      <c r="S47" s="113">
        <v>109343.28933673509</v>
      </c>
      <c r="U47" s="7" t="s">
        <v>5901</v>
      </c>
    </row>
    <row r="48" spans="1:21" ht="16.5" thickBot="1">
      <c r="A48" s="207" t="s">
        <v>10</v>
      </c>
      <c r="B48" s="211">
        <f t="shared" si="0"/>
        <v>70</v>
      </c>
      <c r="C48" s="211" t="s">
        <v>3</v>
      </c>
      <c r="D48" s="211">
        <f t="shared" si="1"/>
        <v>260</v>
      </c>
      <c r="E48" s="211" t="s">
        <v>3</v>
      </c>
      <c r="F48" s="209">
        <f t="shared" si="2"/>
        <v>2550</v>
      </c>
      <c r="G48" s="211" t="s">
        <v>3</v>
      </c>
      <c r="H48" s="208">
        <v>2</v>
      </c>
      <c r="I48" s="210" t="s">
        <v>529</v>
      </c>
      <c r="J48" s="103">
        <v>70</v>
      </c>
      <c r="K48" s="66">
        <v>260</v>
      </c>
      <c r="L48" s="66">
        <v>2550</v>
      </c>
      <c r="M48" s="164">
        <v>23.422906114025</v>
      </c>
      <c r="N48" s="78">
        <v>5456.6272640880006</v>
      </c>
      <c r="O48" s="113">
        <v>84702.055272969737</v>
      </c>
      <c r="P48" s="113">
        <v>90065.429522772974</v>
      </c>
      <c r="Q48" s="110">
        <v>24092.700955492892</v>
      </c>
      <c r="R48" s="113">
        <v>108794.75622846263</v>
      </c>
      <c r="S48" s="113">
        <v>114158.13047826587</v>
      </c>
      <c r="U48" s="7" t="s">
        <v>5902</v>
      </c>
    </row>
    <row r="49" spans="1:21" ht="16.5" thickBot="1">
      <c r="A49" s="207" t="s">
        <v>10</v>
      </c>
      <c r="B49" s="208">
        <f t="shared" si="0"/>
        <v>70</v>
      </c>
      <c r="C49" s="208" t="s">
        <v>3</v>
      </c>
      <c r="D49" s="208">
        <f t="shared" si="1"/>
        <v>260</v>
      </c>
      <c r="E49" s="208" t="s">
        <v>3</v>
      </c>
      <c r="F49" s="209">
        <f t="shared" si="2"/>
        <v>2600</v>
      </c>
      <c r="G49" s="208" t="s">
        <v>3</v>
      </c>
      <c r="H49" s="208">
        <v>2</v>
      </c>
      <c r="I49" s="210" t="s">
        <v>529</v>
      </c>
      <c r="J49" s="103">
        <v>70</v>
      </c>
      <c r="K49" s="66">
        <v>260</v>
      </c>
      <c r="L49" s="66">
        <v>2600</v>
      </c>
      <c r="M49" s="164">
        <v>23.816574391363929</v>
      </c>
      <c r="N49" s="78">
        <v>5580.6415200900001</v>
      </c>
      <c r="O49" s="113">
        <v>85850.47531099584</v>
      </c>
      <c r="P49" s="113">
        <v>91323.327762537039</v>
      </c>
      <c r="Q49" s="110">
        <v>24563.692582737087</v>
      </c>
      <c r="R49" s="113">
        <v>110414.16789373293</v>
      </c>
      <c r="S49" s="113">
        <v>115887.02034527413</v>
      </c>
      <c r="U49" s="7" t="s">
        <v>5903</v>
      </c>
    </row>
    <row r="50" spans="1:21" ht="16.5" thickBot="1">
      <c r="A50" s="207" t="s">
        <v>10</v>
      </c>
      <c r="B50" s="211">
        <f t="shared" si="0"/>
        <v>70</v>
      </c>
      <c r="C50" s="211" t="s">
        <v>3</v>
      </c>
      <c r="D50" s="211">
        <f t="shared" si="1"/>
        <v>260</v>
      </c>
      <c r="E50" s="211" t="s">
        <v>3</v>
      </c>
      <c r="F50" s="209">
        <f t="shared" si="2"/>
        <v>2650</v>
      </c>
      <c r="G50" s="211" t="s">
        <v>3</v>
      </c>
      <c r="H50" s="208">
        <v>2</v>
      </c>
      <c r="I50" s="210" t="s">
        <v>529</v>
      </c>
      <c r="J50" s="103">
        <v>70</v>
      </c>
      <c r="K50" s="66">
        <v>260</v>
      </c>
      <c r="L50" s="66">
        <v>2650</v>
      </c>
      <c r="M50" s="164">
        <v>24.31724266870286</v>
      </c>
      <c r="N50" s="78">
        <v>5704.6557760919995</v>
      </c>
      <c r="O50" s="113">
        <v>86529.519743794663</v>
      </c>
      <c r="P50" s="113">
        <v>92141.75230194506</v>
      </c>
      <c r="Q50" s="110">
        <v>25034.684056952519</v>
      </c>
      <c r="R50" s="113">
        <v>111564.20380074719</v>
      </c>
      <c r="S50" s="113">
        <v>117176.43635889758</v>
      </c>
      <c r="U50" s="7" t="s">
        <v>5904</v>
      </c>
    </row>
    <row r="51" spans="1:21" ht="16.5" thickBot="1">
      <c r="A51" s="207" t="s">
        <v>10</v>
      </c>
      <c r="B51" s="211">
        <f t="shared" si="0"/>
        <v>70</v>
      </c>
      <c r="C51" s="211" t="s">
        <v>3</v>
      </c>
      <c r="D51" s="211">
        <f t="shared" si="1"/>
        <v>260</v>
      </c>
      <c r="E51" s="211" t="s">
        <v>3</v>
      </c>
      <c r="F51" s="209">
        <f t="shared" si="2"/>
        <v>2700</v>
      </c>
      <c r="G51" s="211" t="s">
        <v>3</v>
      </c>
      <c r="H51" s="208">
        <v>2</v>
      </c>
      <c r="I51" s="210" t="s">
        <v>529</v>
      </c>
      <c r="J51" s="103">
        <v>70</v>
      </c>
      <c r="K51" s="66">
        <v>260</v>
      </c>
      <c r="L51" s="66">
        <v>2700</v>
      </c>
      <c r="M51" s="164">
        <v>24.750160946041788</v>
      </c>
      <c r="N51" s="78">
        <v>5828.6700320940008</v>
      </c>
      <c r="O51" s="113">
        <v>87247.075319110474</v>
      </c>
      <c r="P51" s="113">
        <v>92996.234519587422</v>
      </c>
      <c r="Q51" s="110">
        <v>25505.675684196711</v>
      </c>
      <c r="R51" s="113">
        <v>112752.75100330719</v>
      </c>
      <c r="S51" s="113">
        <v>118501.91020378414</v>
      </c>
      <c r="U51" s="7" t="s">
        <v>5905</v>
      </c>
    </row>
    <row r="52" spans="1:21" ht="16.5" thickBot="1">
      <c r="A52" s="207" t="s">
        <v>10</v>
      </c>
      <c r="B52" s="211">
        <f t="shared" si="0"/>
        <v>70</v>
      </c>
      <c r="C52" s="211" t="s">
        <v>3</v>
      </c>
      <c r="D52" s="211">
        <f t="shared" si="1"/>
        <v>260</v>
      </c>
      <c r="E52" s="211" t="s">
        <v>3</v>
      </c>
      <c r="F52" s="209">
        <f t="shared" si="2"/>
        <v>2750</v>
      </c>
      <c r="G52" s="211" t="s">
        <v>3</v>
      </c>
      <c r="H52" s="208">
        <v>2</v>
      </c>
      <c r="I52" s="210" t="s">
        <v>529</v>
      </c>
      <c r="J52" s="103">
        <v>70</v>
      </c>
      <c r="K52" s="66">
        <v>260</v>
      </c>
      <c r="L52" s="66">
        <v>2750</v>
      </c>
      <c r="M52" s="164">
        <v>25.143829223380717</v>
      </c>
      <c r="N52" s="78">
        <v>5952.6842880960003</v>
      </c>
      <c r="O52" s="113">
        <v>88015.12683665019</v>
      </c>
      <c r="P52" s="113">
        <v>93897.995938296372</v>
      </c>
      <c r="Q52" s="110">
        <v>25976.667311440906</v>
      </c>
      <c r="R52" s="113">
        <v>113991.7941480911</v>
      </c>
      <c r="S52" s="113">
        <v>119874.66324973728</v>
      </c>
      <c r="U52" s="7" t="s">
        <v>5906</v>
      </c>
    </row>
    <row r="53" spans="1:21" ht="16.5" thickBot="1">
      <c r="A53" s="207" t="s">
        <v>10</v>
      </c>
      <c r="B53" s="211">
        <f t="shared" si="0"/>
        <v>70</v>
      </c>
      <c r="C53" s="211" t="s">
        <v>3</v>
      </c>
      <c r="D53" s="211">
        <f t="shared" si="1"/>
        <v>260</v>
      </c>
      <c r="E53" s="211" t="s">
        <v>3</v>
      </c>
      <c r="F53" s="209">
        <f t="shared" si="2"/>
        <v>2800</v>
      </c>
      <c r="G53" s="211" t="s">
        <v>3</v>
      </c>
      <c r="H53" s="208">
        <v>2</v>
      </c>
      <c r="I53" s="210" t="s">
        <v>529</v>
      </c>
      <c r="J53" s="103">
        <v>70</v>
      </c>
      <c r="K53" s="66">
        <v>260</v>
      </c>
      <c r="L53" s="66">
        <v>2800</v>
      </c>
      <c r="M53" s="164">
        <v>25.537497500719645</v>
      </c>
      <c r="N53" s="78">
        <v>6076.6985440980006</v>
      </c>
      <c r="O53" s="113">
        <v>88692.825779334526</v>
      </c>
      <c r="P53" s="113">
        <v>94715.160706652692</v>
      </c>
      <c r="Q53" s="110">
        <v>26447.658785656335</v>
      </c>
      <c r="R53" s="113">
        <v>115140.48456499085</v>
      </c>
      <c r="S53" s="113">
        <v>121162.81949230903</v>
      </c>
      <c r="U53" s="7" t="s">
        <v>5907</v>
      </c>
    </row>
    <row r="54" spans="1:21" ht="16.5" thickBot="1">
      <c r="A54" s="207" t="s">
        <v>10</v>
      </c>
      <c r="B54" s="211">
        <f t="shared" si="0"/>
        <v>70</v>
      </c>
      <c r="C54" s="211" t="s">
        <v>3</v>
      </c>
      <c r="D54" s="211">
        <f t="shared" si="1"/>
        <v>260</v>
      </c>
      <c r="E54" s="211" t="s">
        <v>3</v>
      </c>
      <c r="F54" s="209">
        <f t="shared" si="2"/>
        <v>2850</v>
      </c>
      <c r="G54" s="211" t="s">
        <v>3</v>
      </c>
      <c r="H54" s="208">
        <v>2</v>
      </c>
      <c r="I54" s="210" t="s">
        <v>529</v>
      </c>
      <c r="J54" s="103">
        <v>70</v>
      </c>
      <c r="K54" s="66">
        <v>260</v>
      </c>
      <c r="L54" s="66">
        <v>2850</v>
      </c>
      <c r="M54" s="164">
        <v>25.931165778058578</v>
      </c>
      <c r="N54" s="78">
        <v>6200.7128001000001</v>
      </c>
      <c r="O54" s="113">
        <v>89370.472302015376</v>
      </c>
      <c r="P54" s="113">
        <v>95532.27630686677</v>
      </c>
      <c r="Q54" s="110">
        <v>26918.65041290053</v>
      </c>
      <c r="R54" s="113">
        <v>116289.12271491591</v>
      </c>
      <c r="S54" s="113">
        <v>122450.9267197673</v>
      </c>
      <c r="U54" s="7" t="s">
        <v>5908</v>
      </c>
    </row>
    <row r="55" spans="1:21" ht="16.5" thickBot="1">
      <c r="A55" s="207" t="s">
        <v>10</v>
      </c>
      <c r="B55" s="211">
        <f t="shared" si="0"/>
        <v>70</v>
      </c>
      <c r="C55" s="211" t="s">
        <v>3</v>
      </c>
      <c r="D55" s="211">
        <f t="shared" si="1"/>
        <v>260</v>
      </c>
      <c r="E55" s="211" t="s">
        <v>3</v>
      </c>
      <c r="F55" s="209">
        <f t="shared" si="2"/>
        <v>2900</v>
      </c>
      <c r="G55" s="211" t="s">
        <v>3</v>
      </c>
      <c r="H55" s="208">
        <v>2</v>
      </c>
      <c r="I55" s="210" t="s">
        <v>529</v>
      </c>
      <c r="J55" s="103">
        <v>70</v>
      </c>
      <c r="K55" s="66">
        <v>260</v>
      </c>
      <c r="L55" s="66">
        <v>2900</v>
      </c>
      <c r="M55" s="164">
        <v>26.500834055397497</v>
      </c>
      <c r="N55" s="78">
        <v>6324.7270561019996</v>
      </c>
      <c r="O55" s="113">
        <v>90048.066404692727</v>
      </c>
      <c r="P55" s="113">
        <v>96349.342869013053</v>
      </c>
      <c r="Q55" s="110">
        <v>27389.641887115966</v>
      </c>
      <c r="R55" s="113">
        <v>117437.7082918087</v>
      </c>
      <c r="S55" s="113">
        <v>123738.98475612902</v>
      </c>
      <c r="U55" s="7" t="s">
        <v>5909</v>
      </c>
    </row>
    <row r="56" spans="1:21" ht="16.5" thickBot="1">
      <c r="A56" s="207" t="s">
        <v>10</v>
      </c>
      <c r="B56" s="211">
        <f t="shared" si="0"/>
        <v>70</v>
      </c>
      <c r="C56" s="211" t="s">
        <v>3</v>
      </c>
      <c r="D56" s="211">
        <f t="shared" si="1"/>
        <v>260</v>
      </c>
      <c r="E56" s="211" t="s">
        <v>3</v>
      </c>
      <c r="F56" s="209">
        <f t="shared" si="2"/>
        <v>2950</v>
      </c>
      <c r="G56" s="211" t="s">
        <v>3</v>
      </c>
      <c r="H56" s="208">
        <v>2</v>
      </c>
      <c r="I56" s="210" t="s">
        <v>529</v>
      </c>
      <c r="J56" s="103">
        <v>70</v>
      </c>
      <c r="K56" s="66">
        <v>260</v>
      </c>
      <c r="L56" s="66">
        <v>2950</v>
      </c>
      <c r="M56" s="164">
        <v>26.89450233273643</v>
      </c>
      <c r="N56" s="78">
        <v>6448.7413121040008</v>
      </c>
      <c r="O56" s="113">
        <v>90725.608087366592</v>
      </c>
      <c r="P56" s="113">
        <v>97166.360393091571</v>
      </c>
      <c r="Q56" s="110">
        <v>27860.633514360161</v>
      </c>
      <c r="R56" s="113">
        <v>118586.24160172675</v>
      </c>
      <c r="S56" s="113">
        <v>125026.99390745173</v>
      </c>
      <c r="U56" s="7" t="s">
        <v>5910</v>
      </c>
    </row>
    <row r="57" spans="1:21" ht="22.5" customHeight="1" thickBot="1">
      <c r="A57" s="212" t="s">
        <v>10</v>
      </c>
      <c r="B57" s="213">
        <f t="shared" si="0"/>
        <v>70</v>
      </c>
      <c r="C57" s="213" t="s">
        <v>3</v>
      </c>
      <c r="D57" s="213">
        <f t="shared" si="1"/>
        <v>260</v>
      </c>
      <c r="E57" s="213" t="s">
        <v>3</v>
      </c>
      <c r="F57" s="214">
        <f t="shared" si="2"/>
        <v>3000</v>
      </c>
      <c r="G57" s="213" t="s">
        <v>3</v>
      </c>
      <c r="H57" s="215">
        <v>2</v>
      </c>
      <c r="I57" s="210" t="s">
        <v>529</v>
      </c>
      <c r="J57" s="287">
        <v>70</v>
      </c>
      <c r="K57" s="266">
        <v>260</v>
      </c>
      <c r="L57" s="266">
        <v>3000</v>
      </c>
      <c r="M57" s="249">
        <v>27.288170610075362</v>
      </c>
      <c r="N57" s="250">
        <v>6572.7555681060003</v>
      </c>
      <c r="O57" s="251">
        <v>93274.449330635456</v>
      </c>
      <c r="P57" s="251">
        <v>99735.465024460282</v>
      </c>
      <c r="Q57" s="252">
        <v>28331.625141604356</v>
      </c>
      <c r="R57" s="251">
        <v>121606.07447223981</v>
      </c>
      <c r="S57" s="251">
        <v>128067.09016606463</v>
      </c>
      <c r="U57" s="7"/>
    </row>
    <row r="58" spans="1:21" ht="19.5" thickBot="1">
      <c r="A58" s="2968" t="s">
        <v>43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69"/>
      <c r="R58" s="2969"/>
      <c r="S58" s="2970"/>
      <c r="U58" s="7"/>
    </row>
    <row r="59" spans="1:21" ht="16.5" thickBot="1">
      <c r="A59" s="2974" t="s">
        <v>112</v>
      </c>
      <c r="B59" s="2975"/>
      <c r="C59" s="2975"/>
      <c r="D59" s="2975"/>
      <c r="E59" s="2975"/>
      <c r="F59" s="2975"/>
      <c r="G59" s="2975"/>
      <c r="H59" s="2975"/>
      <c r="I59" s="2975"/>
      <c r="J59" s="2975"/>
      <c r="K59" s="2975"/>
      <c r="L59" s="2975"/>
      <c r="M59" s="2975"/>
      <c r="N59" s="2975"/>
      <c r="O59" s="2975"/>
      <c r="P59" s="2975"/>
      <c r="Q59" s="2975"/>
      <c r="R59" s="2975"/>
      <c r="S59" s="2976"/>
      <c r="U59" s="7" t="s">
        <v>5911</v>
      </c>
    </row>
    <row r="60" spans="1:21" ht="16.5" thickBot="1">
      <c r="A60" s="207" t="s">
        <v>10</v>
      </c>
      <c r="B60" s="208">
        <f t="shared" ref="B60:B106" si="3">J60</f>
        <v>70</v>
      </c>
      <c r="C60" s="208" t="s">
        <v>3</v>
      </c>
      <c r="D60" s="208">
        <f t="shared" ref="D60:D106" si="4">K60</f>
        <v>300</v>
      </c>
      <c r="E60" s="208" t="s">
        <v>3</v>
      </c>
      <c r="F60" s="209">
        <f t="shared" ref="F60:F106" si="5">L60</f>
        <v>700</v>
      </c>
      <c r="G60" s="208" t="s">
        <v>3</v>
      </c>
      <c r="H60" s="208">
        <v>2</v>
      </c>
      <c r="I60" s="210" t="s">
        <v>529</v>
      </c>
      <c r="J60" s="286">
        <v>70</v>
      </c>
      <c r="K60" s="271">
        <v>300</v>
      </c>
      <c r="L60" s="271">
        <v>700</v>
      </c>
      <c r="M60" s="245">
        <v>7.0574972857417855</v>
      </c>
      <c r="N60" s="246">
        <v>959.76250297199999</v>
      </c>
      <c r="O60" s="247">
        <v>28428.462080838741</v>
      </c>
      <c r="P60" s="247">
        <v>30560.297253487148</v>
      </c>
      <c r="Q60" s="248">
        <v>7473.0062570279561</v>
      </c>
      <c r="R60" s="247">
        <v>35901.468337866696</v>
      </c>
      <c r="S60" s="247">
        <v>38033.303510515107</v>
      </c>
      <c r="U60" s="7" t="s">
        <v>5912</v>
      </c>
    </row>
    <row r="61" spans="1:21" ht="16.5" thickBot="1">
      <c r="A61" s="207" t="s">
        <v>10</v>
      </c>
      <c r="B61" s="211">
        <f t="shared" si="3"/>
        <v>70</v>
      </c>
      <c r="C61" s="211" t="s">
        <v>3</v>
      </c>
      <c r="D61" s="211">
        <f t="shared" si="4"/>
        <v>300</v>
      </c>
      <c r="E61" s="211" t="s">
        <v>3</v>
      </c>
      <c r="F61" s="209">
        <f t="shared" si="5"/>
        <v>750</v>
      </c>
      <c r="G61" s="211" t="s">
        <v>3</v>
      </c>
      <c r="H61" s="208">
        <v>2</v>
      </c>
      <c r="I61" s="210" t="s">
        <v>529</v>
      </c>
      <c r="J61" s="103">
        <v>70</v>
      </c>
      <c r="K61" s="66">
        <v>300</v>
      </c>
      <c r="L61" s="66">
        <v>750</v>
      </c>
      <c r="M61" s="164">
        <v>7.6033891416521424</v>
      </c>
      <c r="N61" s="78">
        <v>1096.8714319680003</v>
      </c>
      <c r="O61" s="113">
        <v>30110.154326415086</v>
      </c>
      <c r="P61" s="113">
        <v>32337.31768179388</v>
      </c>
      <c r="Q61" s="110">
        <v>8000.8821959307124</v>
      </c>
      <c r="R61" s="113">
        <v>38111.036522345799</v>
      </c>
      <c r="S61" s="113">
        <v>40338.19987772459</v>
      </c>
      <c r="U61" s="7" t="s">
        <v>5913</v>
      </c>
    </row>
    <row r="62" spans="1:21" ht="16.5" thickBot="1">
      <c r="A62" s="207" t="s">
        <v>10</v>
      </c>
      <c r="B62" s="211">
        <f t="shared" si="3"/>
        <v>70</v>
      </c>
      <c r="C62" s="211" t="s">
        <v>3</v>
      </c>
      <c r="D62" s="211">
        <f t="shared" si="4"/>
        <v>300</v>
      </c>
      <c r="E62" s="211" t="s">
        <v>3</v>
      </c>
      <c r="F62" s="209">
        <f t="shared" si="5"/>
        <v>800</v>
      </c>
      <c r="G62" s="211" t="s">
        <v>3</v>
      </c>
      <c r="H62" s="208">
        <v>2</v>
      </c>
      <c r="I62" s="210" t="s">
        <v>529</v>
      </c>
      <c r="J62" s="103">
        <v>70</v>
      </c>
      <c r="K62" s="66">
        <v>300</v>
      </c>
      <c r="L62" s="66">
        <v>800</v>
      </c>
      <c r="M62" s="164">
        <v>8.0302809975624996</v>
      </c>
      <c r="N62" s="78">
        <v>1233.9803609640001</v>
      </c>
      <c r="O62" s="113">
        <v>31791.846702065883</v>
      </c>
      <c r="P62" s="113">
        <v>34114.338110100616</v>
      </c>
      <c r="Q62" s="110">
        <v>8528.7579818047016</v>
      </c>
      <c r="R62" s="113">
        <v>40320.604683870581</v>
      </c>
      <c r="S62" s="113">
        <v>42643.096091905318</v>
      </c>
      <c r="U62" s="7" t="s">
        <v>5914</v>
      </c>
    </row>
    <row r="63" spans="1:21" ht="16.5" thickBot="1">
      <c r="A63" s="207" t="s">
        <v>10</v>
      </c>
      <c r="B63" s="211">
        <f t="shared" si="3"/>
        <v>70</v>
      </c>
      <c r="C63" s="211" t="s">
        <v>3</v>
      </c>
      <c r="D63" s="211">
        <f t="shared" si="4"/>
        <v>300</v>
      </c>
      <c r="E63" s="211" t="s">
        <v>3</v>
      </c>
      <c r="F63" s="209">
        <f t="shared" si="5"/>
        <v>850</v>
      </c>
      <c r="G63" s="211" t="s">
        <v>3</v>
      </c>
      <c r="H63" s="208">
        <v>2</v>
      </c>
      <c r="I63" s="210" t="s">
        <v>529</v>
      </c>
      <c r="J63" s="103">
        <v>70</v>
      </c>
      <c r="K63" s="66">
        <v>300</v>
      </c>
      <c r="L63" s="66">
        <v>850</v>
      </c>
      <c r="M63" s="164">
        <v>8.4571728534728567</v>
      </c>
      <c r="N63" s="78">
        <v>1371.0892899600001</v>
      </c>
      <c r="O63" s="113">
        <v>33473.539077716683</v>
      </c>
      <c r="P63" s="113">
        <v>35891.358538407345</v>
      </c>
      <c r="Q63" s="110">
        <v>9056.6339207074561</v>
      </c>
      <c r="R63" s="113">
        <v>42530.172998424139</v>
      </c>
      <c r="S63" s="113">
        <v>44947.992459114801</v>
      </c>
      <c r="U63" s="7" t="s">
        <v>5915</v>
      </c>
    </row>
    <row r="64" spans="1:21" ht="16.5" thickBot="1">
      <c r="A64" s="207" t="s">
        <v>10</v>
      </c>
      <c r="B64" s="211">
        <f t="shared" si="3"/>
        <v>70</v>
      </c>
      <c r="C64" s="211" t="s">
        <v>3</v>
      </c>
      <c r="D64" s="211">
        <f t="shared" si="4"/>
        <v>300</v>
      </c>
      <c r="E64" s="211" t="s">
        <v>3</v>
      </c>
      <c r="F64" s="209">
        <f t="shared" si="5"/>
        <v>900</v>
      </c>
      <c r="G64" s="211" t="s">
        <v>3</v>
      </c>
      <c r="H64" s="208">
        <v>2</v>
      </c>
      <c r="I64" s="210" t="s">
        <v>529</v>
      </c>
      <c r="J64" s="103">
        <v>70</v>
      </c>
      <c r="K64" s="66">
        <v>300</v>
      </c>
      <c r="L64" s="66">
        <v>900</v>
      </c>
      <c r="M64" s="164">
        <v>8.9220647093832142</v>
      </c>
      <c r="N64" s="78">
        <v>1508.1982189560001</v>
      </c>
      <c r="O64" s="113">
        <v>35155.231323293025</v>
      </c>
      <c r="P64" s="113">
        <v>37668.378836639626</v>
      </c>
      <c r="Q64" s="110">
        <v>9584.509706581448</v>
      </c>
      <c r="R64" s="113">
        <v>44739.741029874473</v>
      </c>
      <c r="S64" s="113">
        <v>47252.888543221074</v>
      </c>
      <c r="U64" s="7" t="s">
        <v>5916</v>
      </c>
    </row>
    <row r="65" spans="1:21" ht="16.5" thickBot="1">
      <c r="A65" s="207" t="s">
        <v>10</v>
      </c>
      <c r="B65" s="211">
        <f t="shared" si="3"/>
        <v>70</v>
      </c>
      <c r="C65" s="211" t="s">
        <v>3</v>
      </c>
      <c r="D65" s="211">
        <f t="shared" si="4"/>
        <v>300</v>
      </c>
      <c r="E65" s="211" t="s">
        <v>3</v>
      </c>
      <c r="F65" s="209">
        <f t="shared" si="5"/>
        <v>950</v>
      </c>
      <c r="G65" s="211" t="s">
        <v>3</v>
      </c>
      <c r="H65" s="208">
        <v>2</v>
      </c>
      <c r="I65" s="210" t="s">
        <v>529</v>
      </c>
      <c r="J65" s="103">
        <v>70</v>
      </c>
      <c r="K65" s="66">
        <v>300</v>
      </c>
      <c r="L65" s="66">
        <v>950</v>
      </c>
      <c r="M65" s="164">
        <v>9.4179565652935722</v>
      </c>
      <c r="N65" s="78">
        <v>1645.3071479520002</v>
      </c>
      <c r="O65" s="113">
        <v>36836.923698943821</v>
      </c>
      <c r="P65" s="113">
        <v>39445.399264946362</v>
      </c>
      <c r="Q65" s="110">
        <v>10112.385645484203</v>
      </c>
      <c r="R65" s="113">
        <v>46949.309344428024</v>
      </c>
      <c r="S65" s="113">
        <v>49557.784910430564</v>
      </c>
      <c r="U65" s="7" t="s">
        <v>5917</v>
      </c>
    </row>
    <row r="66" spans="1:21" ht="16.5" thickBot="1">
      <c r="A66" s="207" t="s">
        <v>10</v>
      </c>
      <c r="B66" s="211">
        <f t="shared" si="3"/>
        <v>70</v>
      </c>
      <c r="C66" s="211" t="s">
        <v>3</v>
      </c>
      <c r="D66" s="211">
        <f t="shared" si="4"/>
        <v>300</v>
      </c>
      <c r="E66" s="211" t="s">
        <v>3</v>
      </c>
      <c r="F66" s="209">
        <f t="shared" si="5"/>
        <v>1000</v>
      </c>
      <c r="G66" s="211" t="s">
        <v>3</v>
      </c>
      <c r="H66" s="208">
        <v>2</v>
      </c>
      <c r="I66" s="210" t="s">
        <v>529</v>
      </c>
      <c r="J66" s="103">
        <v>70</v>
      </c>
      <c r="K66" s="66">
        <v>300</v>
      </c>
      <c r="L66" s="66">
        <v>1000</v>
      </c>
      <c r="M66" s="164">
        <v>9.8448484212039293</v>
      </c>
      <c r="N66" s="78">
        <v>1782.4160769480002</v>
      </c>
      <c r="O66" s="113">
        <v>38414.922023515122</v>
      </c>
      <c r="P66" s="113">
        <v>41125.331603209386</v>
      </c>
      <c r="Q66" s="110">
        <v>10640.261431358193</v>
      </c>
      <c r="R66" s="113">
        <v>49055.183454873317</v>
      </c>
      <c r="S66" s="113">
        <v>51765.593034567581</v>
      </c>
      <c r="U66" s="7" t="s">
        <v>5918</v>
      </c>
    </row>
    <row r="67" spans="1:21" ht="16.5" thickBot="1">
      <c r="A67" s="207" t="s">
        <v>10</v>
      </c>
      <c r="B67" s="211">
        <f t="shared" si="3"/>
        <v>70</v>
      </c>
      <c r="C67" s="211" t="s">
        <v>3</v>
      </c>
      <c r="D67" s="211">
        <f t="shared" si="4"/>
        <v>300</v>
      </c>
      <c r="E67" s="211" t="s">
        <v>3</v>
      </c>
      <c r="F67" s="209">
        <f t="shared" si="5"/>
        <v>1050</v>
      </c>
      <c r="G67" s="211" t="s">
        <v>3</v>
      </c>
      <c r="H67" s="208">
        <v>2</v>
      </c>
      <c r="I67" s="210" t="s">
        <v>529</v>
      </c>
      <c r="J67" s="103">
        <v>70</v>
      </c>
      <c r="K67" s="66">
        <v>300</v>
      </c>
      <c r="L67" s="66">
        <v>1050</v>
      </c>
      <c r="M67" s="164">
        <v>10.271740277114286</v>
      </c>
      <c r="N67" s="78">
        <v>1919.525005944</v>
      </c>
      <c r="O67" s="113">
        <v>40342.887477812219</v>
      </c>
      <c r="P67" s="113">
        <v>43132.936180332697</v>
      </c>
      <c r="Q67" s="110">
        <v>11168.137370260947</v>
      </c>
      <c r="R67" s="113">
        <v>51511.024848073168</v>
      </c>
      <c r="S67" s="113">
        <v>54301.073550593646</v>
      </c>
      <c r="U67" s="7" t="s">
        <v>5919</v>
      </c>
    </row>
    <row r="68" spans="1:21" ht="16.5" thickBot="1">
      <c r="A68" s="207" t="s">
        <v>10</v>
      </c>
      <c r="B68" s="208">
        <f t="shared" si="3"/>
        <v>70</v>
      </c>
      <c r="C68" s="208" t="s">
        <v>3</v>
      </c>
      <c r="D68" s="208">
        <f t="shared" si="4"/>
        <v>300</v>
      </c>
      <c r="E68" s="208" t="s">
        <v>3</v>
      </c>
      <c r="F68" s="209">
        <f t="shared" si="5"/>
        <v>1100</v>
      </c>
      <c r="G68" s="208" t="s">
        <v>3</v>
      </c>
      <c r="H68" s="208">
        <v>2</v>
      </c>
      <c r="I68" s="210" t="s">
        <v>529</v>
      </c>
      <c r="J68" s="103">
        <v>70</v>
      </c>
      <c r="K68" s="66">
        <v>300</v>
      </c>
      <c r="L68" s="66">
        <v>1100</v>
      </c>
      <c r="M68" s="164">
        <v>10.698632133024642</v>
      </c>
      <c r="N68" s="78">
        <v>2056.63393494</v>
      </c>
      <c r="O68" s="113">
        <v>42024.579853463016</v>
      </c>
      <c r="P68" s="113">
        <v>44909.956478564978</v>
      </c>
      <c r="Q68" s="110">
        <v>11696.013156134937</v>
      </c>
      <c r="R68" s="113">
        <v>53720.593009597957</v>
      </c>
      <c r="S68" s="113">
        <v>56605.969634699912</v>
      </c>
      <c r="U68" s="7" t="s">
        <v>5920</v>
      </c>
    </row>
    <row r="69" spans="1:21" ht="16.5" thickBot="1">
      <c r="A69" s="207" t="s">
        <v>10</v>
      </c>
      <c r="B69" s="211">
        <f t="shared" si="3"/>
        <v>70</v>
      </c>
      <c r="C69" s="211" t="s">
        <v>3</v>
      </c>
      <c r="D69" s="211">
        <f t="shared" si="4"/>
        <v>300</v>
      </c>
      <c r="E69" s="211" t="s">
        <v>3</v>
      </c>
      <c r="F69" s="209">
        <f t="shared" si="5"/>
        <v>1150</v>
      </c>
      <c r="G69" s="211" t="s">
        <v>3</v>
      </c>
      <c r="H69" s="208">
        <v>2</v>
      </c>
      <c r="I69" s="210" t="s">
        <v>529</v>
      </c>
      <c r="J69" s="103">
        <v>70</v>
      </c>
      <c r="K69" s="66">
        <v>300</v>
      </c>
      <c r="L69" s="66">
        <v>1150</v>
      </c>
      <c r="M69" s="164">
        <v>11.125523988934999</v>
      </c>
      <c r="N69" s="78">
        <v>2193.7428639360005</v>
      </c>
      <c r="O69" s="113">
        <v>42882.948825756481</v>
      </c>
      <c r="P69" s="113">
        <v>45916.104074503783</v>
      </c>
      <c r="Q69" s="110">
        <v>12223.889095037694</v>
      </c>
      <c r="R69" s="113">
        <v>55106.837920794176</v>
      </c>
      <c r="S69" s="113">
        <v>58139.993169541478</v>
      </c>
      <c r="U69" s="7" t="s">
        <v>5921</v>
      </c>
    </row>
    <row r="70" spans="1:21" ht="16.5" thickBot="1">
      <c r="A70" s="207" t="s">
        <v>10</v>
      </c>
      <c r="B70" s="211">
        <f t="shared" si="3"/>
        <v>70</v>
      </c>
      <c r="C70" s="211" t="s">
        <v>3</v>
      </c>
      <c r="D70" s="211">
        <f t="shared" si="4"/>
        <v>300</v>
      </c>
      <c r="E70" s="211" t="s">
        <v>3</v>
      </c>
      <c r="F70" s="209">
        <f t="shared" si="5"/>
        <v>1200</v>
      </c>
      <c r="G70" s="211" t="s">
        <v>3</v>
      </c>
      <c r="H70" s="208">
        <v>2</v>
      </c>
      <c r="I70" s="210" t="s">
        <v>529</v>
      </c>
      <c r="J70" s="103">
        <v>70</v>
      </c>
      <c r="K70" s="66">
        <v>300</v>
      </c>
      <c r="L70" s="66">
        <v>1200</v>
      </c>
      <c r="M70" s="164">
        <v>11.767665844845357</v>
      </c>
      <c r="N70" s="78">
        <v>2330.8517929320001</v>
      </c>
      <c r="O70" s="113">
        <v>43779.619390627391</v>
      </c>
      <c r="P70" s="113">
        <v>46958.112936256905</v>
      </c>
      <c r="Q70" s="110">
        <v>12751.764880911684</v>
      </c>
      <c r="R70" s="113">
        <v>56531.384271539078</v>
      </c>
      <c r="S70" s="113">
        <v>59709.877817168584</v>
      </c>
      <c r="U70" s="7" t="s">
        <v>5922</v>
      </c>
    </row>
    <row r="71" spans="1:21" ht="16.5" thickBot="1">
      <c r="A71" s="207" t="s">
        <v>10</v>
      </c>
      <c r="B71" s="211">
        <f t="shared" si="3"/>
        <v>70</v>
      </c>
      <c r="C71" s="211" t="s">
        <v>3</v>
      </c>
      <c r="D71" s="211">
        <f t="shared" si="4"/>
        <v>300</v>
      </c>
      <c r="E71" s="211" t="s">
        <v>3</v>
      </c>
      <c r="F71" s="209">
        <f t="shared" si="5"/>
        <v>1250</v>
      </c>
      <c r="G71" s="211" t="s">
        <v>3</v>
      </c>
      <c r="H71" s="208">
        <v>2</v>
      </c>
      <c r="I71" s="210" t="s">
        <v>529</v>
      </c>
      <c r="J71" s="103">
        <v>70</v>
      </c>
      <c r="K71" s="66">
        <v>300</v>
      </c>
      <c r="L71" s="66">
        <v>1250</v>
      </c>
      <c r="M71" s="164">
        <v>12.194557700755714</v>
      </c>
      <c r="N71" s="78">
        <v>2467.9607219280001</v>
      </c>
      <c r="O71" s="113">
        <v>44637.464032811476</v>
      </c>
      <c r="P71" s="113">
        <v>47963.769501145609</v>
      </c>
      <c r="Q71" s="110">
        <v>13279.64081981444</v>
      </c>
      <c r="R71" s="113">
        <v>57917.104852625918</v>
      </c>
      <c r="S71" s="113">
        <v>61243.410320960051</v>
      </c>
      <c r="U71" s="7" t="s">
        <v>5923</v>
      </c>
    </row>
    <row r="72" spans="1:21" ht="16.5" thickBot="1">
      <c r="A72" s="207" t="s">
        <v>10</v>
      </c>
      <c r="B72" s="211">
        <f t="shared" si="3"/>
        <v>70</v>
      </c>
      <c r="C72" s="211" t="s">
        <v>3</v>
      </c>
      <c r="D72" s="211">
        <f t="shared" si="4"/>
        <v>300</v>
      </c>
      <c r="E72" s="211" t="s">
        <v>3</v>
      </c>
      <c r="F72" s="209">
        <f t="shared" si="5"/>
        <v>1300</v>
      </c>
      <c r="G72" s="211" t="s">
        <v>3</v>
      </c>
      <c r="H72" s="208">
        <v>2</v>
      </c>
      <c r="I72" s="210" t="s">
        <v>529</v>
      </c>
      <c r="J72" s="103">
        <v>70</v>
      </c>
      <c r="K72" s="66">
        <v>300</v>
      </c>
      <c r="L72" s="66">
        <v>1300</v>
      </c>
      <c r="M72" s="164">
        <v>12.683449556666069</v>
      </c>
      <c r="N72" s="78">
        <v>2605.0696509240001</v>
      </c>
      <c r="O72" s="113">
        <v>48168.406788828477</v>
      </c>
      <c r="P72" s="113">
        <v>51472.232530503148</v>
      </c>
      <c r="Q72" s="110">
        <v>13807.516605688428</v>
      </c>
      <c r="R72" s="113">
        <v>61975.923394516903</v>
      </c>
      <c r="S72" s="113">
        <v>65279.749136191575</v>
      </c>
      <c r="U72" s="7" t="s">
        <v>5924</v>
      </c>
    </row>
    <row r="73" spans="1:21" ht="16.5" thickBot="1">
      <c r="A73" s="207" t="s">
        <v>10</v>
      </c>
      <c r="B73" s="211">
        <f t="shared" si="3"/>
        <v>70</v>
      </c>
      <c r="C73" s="211" t="s">
        <v>3</v>
      </c>
      <c r="D73" s="211">
        <f t="shared" si="4"/>
        <v>300</v>
      </c>
      <c r="E73" s="211" t="s">
        <v>3</v>
      </c>
      <c r="F73" s="209">
        <f t="shared" si="5"/>
        <v>1350</v>
      </c>
      <c r="G73" s="211" t="s">
        <v>3</v>
      </c>
      <c r="H73" s="208">
        <v>2</v>
      </c>
      <c r="I73" s="210" t="s">
        <v>529</v>
      </c>
      <c r="J73" s="103">
        <v>70</v>
      </c>
      <c r="K73" s="66">
        <v>300</v>
      </c>
      <c r="L73" s="66">
        <v>1350</v>
      </c>
      <c r="M73" s="164">
        <v>13.110341412576428</v>
      </c>
      <c r="N73" s="78">
        <v>2742.1785799200002</v>
      </c>
      <c r="O73" s="113">
        <v>49298.420511682474</v>
      </c>
      <c r="P73" s="113">
        <v>52732.719381903742</v>
      </c>
      <c r="Q73" s="110">
        <v>14335.392544591185</v>
      </c>
      <c r="R73" s="113">
        <v>63633.813056273662</v>
      </c>
      <c r="S73" s="113">
        <v>67068.111926494923</v>
      </c>
      <c r="U73" s="7" t="s">
        <v>5925</v>
      </c>
    </row>
    <row r="74" spans="1:21" ht="16.5" thickBot="1">
      <c r="A74" s="207" t="s">
        <v>10</v>
      </c>
      <c r="B74" s="211">
        <f t="shared" si="3"/>
        <v>70</v>
      </c>
      <c r="C74" s="211" t="s">
        <v>3</v>
      </c>
      <c r="D74" s="211">
        <f t="shared" si="4"/>
        <v>300</v>
      </c>
      <c r="E74" s="211" t="s">
        <v>3</v>
      </c>
      <c r="F74" s="209">
        <f t="shared" si="5"/>
        <v>1400</v>
      </c>
      <c r="G74" s="211" t="s">
        <v>3</v>
      </c>
      <c r="H74" s="208">
        <v>2</v>
      </c>
      <c r="I74" s="210" t="s">
        <v>529</v>
      </c>
      <c r="J74" s="103">
        <v>70</v>
      </c>
      <c r="K74" s="66">
        <v>300</v>
      </c>
      <c r="L74" s="66">
        <v>1400</v>
      </c>
      <c r="M74" s="164">
        <v>13.537233268486787</v>
      </c>
      <c r="N74" s="78">
        <v>2879.2875089160002</v>
      </c>
      <c r="O74" s="113">
        <v>50784.88232375127</v>
      </c>
      <c r="P74" s="113">
        <v>54326.946575348185</v>
      </c>
      <c r="Q74" s="110">
        <v>14863.268330465173</v>
      </c>
      <c r="R74" s="113">
        <v>65648.150654216442</v>
      </c>
      <c r="S74" s="113">
        <v>69190.214905813365</v>
      </c>
      <c r="U74" s="7" t="s">
        <v>5926</v>
      </c>
    </row>
    <row r="75" spans="1:21" ht="16.5" thickBot="1">
      <c r="A75" s="207" t="s">
        <v>10</v>
      </c>
      <c r="B75" s="211">
        <f t="shared" si="3"/>
        <v>70</v>
      </c>
      <c r="C75" s="211" t="s">
        <v>3</v>
      </c>
      <c r="D75" s="211">
        <f t="shared" si="4"/>
        <v>300</v>
      </c>
      <c r="E75" s="211" t="s">
        <v>3</v>
      </c>
      <c r="F75" s="209">
        <f t="shared" si="5"/>
        <v>1450</v>
      </c>
      <c r="G75" s="211" t="s">
        <v>3</v>
      </c>
      <c r="H75" s="208">
        <v>2</v>
      </c>
      <c r="I75" s="210" t="s">
        <v>529</v>
      </c>
      <c r="J75" s="103">
        <v>70</v>
      </c>
      <c r="K75" s="66">
        <v>300</v>
      </c>
      <c r="L75" s="66">
        <v>1450</v>
      </c>
      <c r="M75" s="164">
        <v>13.964125124397142</v>
      </c>
      <c r="N75" s="78">
        <v>3016.3964379120002</v>
      </c>
      <c r="O75" s="113">
        <v>51914.896176679722</v>
      </c>
      <c r="P75" s="113">
        <v>55587.433426748772</v>
      </c>
      <c r="Q75" s="110">
        <v>15391.144269367929</v>
      </c>
      <c r="R75" s="113">
        <v>67306.040446047657</v>
      </c>
      <c r="S75" s="113">
        <v>70978.577696116699</v>
      </c>
      <c r="U75" s="7" t="s">
        <v>5927</v>
      </c>
    </row>
    <row r="76" spans="1:21" ht="16.5" thickBot="1">
      <c r="A76" s="207" t="s">
        <v>10</v>
      </c>
      <c r="B76" s="211">
        <f t="shared" si="3"/>
        <v>70</v>
      </c>
      <c r="C76" s="211" t="s">
        <v>3</v>
      </c>
      <c r="D76" s="211">
        <f t="shared" si="4"/>
        <v>300</v>
      </c>
      <c r="E76" s="211" t="s">
        <v>3</v>
      </c>
      <c r="F76" s="209">
        <f t="shared" si="5"/>
        <v>1500</v>
      </c>
      <c r="G76" s="211" t="s">
        <v>3</v>
      </c>
      <c r="H76" s="208">
        <v>2</v>
      </c>
      <c r="I76" s="210" t="s">
        <v>529</v>
      </c>
      <c r="J76" s="103">
        <v>70</v>
      </c>
      <c r="K76" s="66">
        <v>300</v>
      </c>
      <c r="L76" s="66">
        <v>1500</v>
      </c>
      <c r="M76" s="164">
        <v>14.978581873107501</v>
      </c>
      <c r="N76" s="78">
        <v>3153.5053669080003</v>
      </c>
      <c r="O76" s="113">
        <v>53621.258992882889</v>
      </c>
      <c r="P76" s="113">
        <v>57522.30310279633</v>
      </c>
      <c r="Q76" s="110">
        <v>15919.020055241919</v>
      </c>
      <c r="R76" s="113">
        <v>69540.279048124808</v>
      </c>
      <c r="S76" s="113">
        <v>73441.323158038256</v>
      </c>
      <c r="U76" s="7" t="s">
        <v>5928</v>
      </c>
    </row>
    <row r="77" spans="1:21" ht="16.5" thickBot="1">
      <c r="A77" s="207" t="s">
        <v>10</v>
      </c>
      <c r="B77" s="211">
        <f t="shared" si="3"/>
        <v>70</v>
      </c>
      <c r="C77" s="211" t="s">
        <v>3</v>
      </c>
      <c r="D77" s="211">
        <f t="shared" si="4"/>
        <v>300</v>
      </c>
      <c r="E77" s="211" t="s">
        <v>3</v>
      </c>
      <c r="F77" s="209">
        <f t="shared" si="5"/>
        <v>1550</v>
      </c>
      <c r="G77" s="211" t="s">
        <v>3</v>
      </c>
      <c r="H77" s="208">
        <v>2</v>
      </c>
      <c r="I77" s="210" t="s">
        <v>529</v>
      </c>
      <c r="J77" s="103">
        <v>70</v>
      </c>
      <c r="K77" s="66">
        <v>300</v>
      </c>
      <c r="L77" s="66">
        <v>1550</v>
      </c>
      <c r="M77" s="164">
        <v>15.474473729017857</v>
      </c>
      <c r="N77" s="78">
        <v>3290.6142959040003</v>
      </c>
      <c r="O77" s="113">
        <v>54751.272845811342</v>
      </c>
      <c r="P77" s="113">
        <v>58782.789954196924</v>
      </c>
      <c r="Q77" s="110">
        <v>16446.895994144674</v>
      </c>
      <c r="R77" s="113">
        <v>71198.168839956023</v>
      </c>
      <c r="S77" s="113">
        <v>75229.68594834159</v>
      </c>
      <c r="U77" s="7" t="s">
        <v>5929</v>
      </c>
    </row>
    <row r="78" spans="1:21" ht="16.5" thickBot="1">
      <c r="A78" s="207" t="s">
        <v>10</v>
      </c>
      <c r="B78" s="208">
        <f t="shared" si="3"/>
        <v>70</v>
      </c>
      <c r="C78" s="208" t="s">
        <v>3</v>
      </c>
      <c r="D78" s="208">
        <f t="shared" si="4"/>
        <v>300</v>
      </c>
      <c r="E78" s="208" t="s">
        <v>3</v>
      </c>
      <c r="F78" s="209">
        <f t="shared" si="5"/>
        <v>1600</v>
      </c>
      <c r="G78" s="208" t="s">
        <v>3</v>
      </c>
      <c r="H78" s="208">
        <v>2</v>
      </c>
      <c r="I78" s="210" t="s">
        <v>529</v>
      </c>
      <c r="J78" s="103">
        <v>70</v>
      </c>
      <c r="K78" s="66">
        <v>300</v>
      </c>
      <c r="L78" s="66">
        <v>1600</v>
      </c>
      <c r="M78" s="164">
        <v>15.901365584928215</v>
      </c>
      <c r="N78" s="78">
        <v>3427.7232249000003</v>
      </c>
      <c r="O78" s="113">
        <v>58002.471635541922</v>
      </c>
      <c r="P78" s="113">
        <v>62029.330387636903</v>
      </c>
      <c r="Q78" s="110">
        <v>16974.771780018662</v>
      </c>
      <c r="R78" s="113">
        <v>74977.243415560588</v>
      </c>
      <c r="S78" s="113">
        <v>79004.102167655568</v>
      </c>
      <c r="U78" s="7" t="s">
        <v>5930</v>
      </c>
    </row>
    <row r="79" spans="1:21" ht="16.5" thickBot="1">
      <c r="A79" s="207" t="s">
        <v>10</v>
      </c>
      <c r="B79" s="211">
        <f t="shared" si="3"/>
        <v>70</v>
      </c>
      <c r="C79" s="211" t="s">
        <v>3</v>
      </c>
      <c r="D79" s="211">
        <f t="shared" si="4"/>
        <v>300</v>
      </c>
      <c r="E79" s="211" t="s">
        <v>3</v>
      </c>
      <c r="F79" s="209">
        <f t="shared" si="5"/>
        <v>1650</v>
      </c>
      <c r="G79" s="211" t="s">
        <v>3</v>
      </c>
      <c r="H79" s="208">
        <v>2</v>
      </c>
      <c r="I79" s="210" t="s">
        <v>529</v>
      </c>
      <c r="J79" s="103">
        <v>70</v>
      </c>
      <c r="K79" s="66">
        <v>300</v>
      </c>
      <c r="L79" s="66">
        <v>1650</v>
      </c>
      <c r="M79" s="164">
        <v>16.36625744083857</v>
      </c>
      <c r="N79" s="78">
        <v>3564.8321538960004</v>
      </c>
      <c r="O79" s="113">
        <v>61528.634025433887</v>
      </c>
      <c r="P79" s="113">
        <v>65533.317555157679</v>
      </c>
      <c r="Q79" s="110">
        <v>17502.64771892142</v>
      </c>
      <c r="R79" s="113">
        <v>79031.281744355307</v>
      </c>
      <c r="S79" s="113">
        <v>83035.965274079092</v>
      </c>
      <c r="U79" s="7" t="s">
        <v>5931</v>
      </c>
    </row>
    <row r="80" spans="1:21" ht="16.5" thickBot="1">
      <c r="A80" s="207" t="s">
        <v>10</v>
      </c>
      <c r="B80" s="211">
        <f t="shared" si="3"/>
        <v>70</v>
      </c>
      <c r="C80" s="211" t="s">
        <v>3</v>
      </c>
      <c r="D80" s="211">
        <f t="shared" si="4"/>
        <v>300</v>
      </c>
      <c r="E80" s="211" t="s">
        <v>3</v>
      </c>
      <c r="F80" s="209">
        <f t="shared" si="5"/>
        <v>1700</v>
      </c>
      <c r="G80" s="211" t="s">
        <v>3</v>
      </c>
      <c r="H80" s="208">
        <v>2</v>
      </c>
      <c r="I80" s="210" t="s">
        <v>529</v>
      </c>
      <c r="J80" s="103">
        <v>70</v>
      </c>
      <c r="K80" s="66">
        <v>300</v>
      </c>
      <c r="L80" s="66">
        <v>1700</v>
      </c>
      <c r="M80" s="164">
        <v>16.793149296748929</v>
      </c>
      <c r="N80" s="78">
        <v>3701.9410828920004</v>
      </c>
      <c r="O80" s="113">
        <v>62435.037150903809</v>
      </c>
      <c r="P80" s="113">
        <v>66584.439042679413</v>
      </c>
      <c r="Q80" s="110">
        <v>18030.523504795408</v>
      </c>
      <c r="R80" s="113">
        <v>80465.560655699213</v>
      </c>
      <c r="S80" s="113">
        <v>84614.962547474817</v>
      </c>
      <c r="U80" s="7" t="s">
        <v>5932</v>
      </c>
    </row>
    <row r="81" spans="1:21" ht="16.5" thickBot="1">
      <c r="A81" s="207" t="s">
        <v>10</v>
      </c>
      <c r="B81" s="211">
        <f t="shared" si="3"/>
        <v>70</v>
      </c>
      <c r="C81" s="211" t="s">
        <v>3</v>
      </c>
      <c r="D81" s="211">
        <f t="shared" si="4"/>
        <v>300</v>
      </c>
      <c r="E81" s="211" t="s">
        <v>3</v>
      </c>
      <c r="F81" s="209">
        <f t="shared" si="5"/>
        <v>1750</v>
      </c>
      <c r="G81" s="211" t="s">
        <v>3</v>
      </c>
      <c r="H81" s="208">
        <v>2</v>
      </c>
      <c r="I81" s="210" t="s">
        <v>529</v>
      </c>
      <c r="J81" s="103">
        <v>70</v>
      </c>
      <c r="K81" s="66">
        <v>300</v>
      </c>
      <c r="L81" s="66">
        <v>1750</v>
      </c>
      <c r="M81" s="164">
        <v>17.220041152659284</v>
      </c>
      <c r="N81" s="78">
        <v>3839.050011888</v>
      </c>
      <c r="O81" s="113">
        <v>63258.432615506637</v>
      </c>
      <c r="P81" s="113">
        <v>67557.841046113273</v>
      </c>
      <c r="Q81" s="110">
        <v>18558.399443698163</v>
      </c>
      <c r="R81" s="113">
        <v>81816.832059204797</v>
      </c>
      <c r="S81" s="113">
        <v>86116.240489811433</v>
      </c>
      <c r="U81" s="7" t="s">
        <v>5933</v>
      </c>
    </row>
    <row r="82" spans="1:21" ht="16.5" thickBot="1">
      <c r="A82" s="207" t="s">
        <v>10</v>
      </c>
      <c r="B82" s="211">
        <f t="shared" si="3"/>
        <v>70</v>
      </c>
      <c r="C82" s="211" t="s">
        <v>3</v>
      </c>
      <c r="D82" s="211">
        <f t="shared" si="4"/>
        <v>300</v>
      </c>
      <c r="E82" s="211" t="s">
        <v>3</v>
      </c>
      <c r="F82" s="209">
        <f t="shared" si="5"/>
        <v>1800</v>
      </c>
      <c r="G82" s="211" t="s">
        <v>3</v>
      </c>
      <c r="H82" s="208">
        <v>2</v>
      </c>
      <c r="I82" s="210" t="s">
        <v>529</v>
      </c>
      <c r="J82" s="103">
        <v>70</v>
      </c>
      <c r="K82" s="66">
        <v>300</v>
      </c>
      <c r="L82" s="66">
        <v>1800</v>
      </c>
      <c r="M82" s="164">
        <v>17.715933008569646</v>
      </c>
      <c r="N82" s="78">
        <v>3976.158940884</v>
      </c>
      <c r="O82" s="113">
        <v>64165.594985543285</v>
      </c>
      <c r="P82" s="113">
        <v>68609.673390506214</v>
      </c>
      <c r="Q82" s="110">
        <v>19086.275229572155</v>
      </c>
      <c r="R82" s="113">
        <v>83251.870215115443</v>
      </c>
      <c r="S82" s="113">
        <v>87695.948620078372</v>
      </c>
      <c r="U82" s="7" t="s">
        <v>5934</v>
      </c>
    </row>
    <row r="83" spans="1:21" ht="16.5" thickBot="1">
      <c r="A83" s="207" t="s">
        <v>10</v>
      </c>
      <c r="B83" s="211">
        <f t="shared" si="3"/>
        <v>70</v>
      </c>
      <c r="C83" s="211" t="s">
        <v>3</v>
      </c>
      <c r="D83" s="211">
        <f t="shared" si="4"/>
        <v>300</v>
      </c>
      <c r="E83" s="211" t="s">
        <v>3</v>
      </c>
      <c r="F83" s="209">
        <f t="shared" si="5"/>
        <v>1850</v>
      </c>
      <c r="G83" s="211" t="s">
        <v>3</v>
      </c>
      <c r="H83" s="208">
        <v>2</v>
      </c>
      <c r="I83" s="210" t="s">
        <v>529</v>
      </c>
      <c r="J83" s="103">
        <v>70</v>
      </c>
      <c r="K83" s="66">
        <v>300</v>
      </c>
      <c r="L83" s="66">
        <v>1850</v>
      </c>
      <c r="M83" s="164">
        <v>18.204824864480003</v>
      </c>
      <c r="N83" s="78">
        <v>4113.26786988</v>
      </c>
      <c r="O83" s="113">
        <v>65072.704935576447</v>
      </c>
      <c r="P83" s="113">
        <v>69661.456696831345</v>
      </c>
      <c r="Q83" s="110">
        <v>19614.151168474909</v>
      </c>
      <c r="R83" s="113">
        <v>84686.85610405136</v>
      </c>
      <c r="S83" s="113">
        <v>89275.607865306258</v>
      </c>
      <c r="U83" s="7" t="s">
        <v>5935</v>
      </c>
    </row>
    <row r="84" spans="1:21" ht="16.5" thickBot="1">
      <c r="A84" s="207" t="s">
        <v>10</v>
      </c>
      <c r="B84" s="211">
        <f t="shared" si="3"/>
        <v>70</v>
      </c>
      <c r="C84" s="211" t="s">
        <v>3</v>
      </c>
      <c r="D84" s="211">
        <f t="shared" si="4"/>
        <v>300</v>
      </c>
      <c r="E84" s="211" t="s">
        <v>3</v>
      </c>
      <c r="F84" s="209">
        <f t="shared" si="5"/>
        <v>1900</v>
      </c>
      <c r="G84" s="211" t="s">
        <v>3</v>
      </c>
      <c r="H84" s="208">
        <v>2</v>
      </c>
      <c r="I84" s="210" t="s">
        <v>529</v>
      </c>
      <c r="J84" s="103">
        <v>70</v>
      </c>
      <c r="K84" s="66">
        <v>300</v>
      </c>
      <c r="L84" s="66">
        <v>1900</v>
      </c>
      <c r="M84" s="164">
        <v>18.631716720390358</v>
      </c>
      <c r="N84" s="78">
        <v>4250.376798876001</v>
      </c>
      <c r="O84" s="113">
        <v>66170.624088549535</v>
      </c>
      <c r="P84" s="113">
        <v>70891.893618636197</v>
      </c>
      <c r="Q84" s="110">
        <v>20142.026954348901</v>
      </c>
      <c r="R84" s="113">
        <v>86312.651042898433</v>
      </c>
      <c r="S84" s="113">
        <v>91033.920572985095</v>
      </c>
      <c r="U84" s="7" t="s">
        <v>5936</v>
      </c>
    </row>
    <row r="85" spans="1:21" ht="16.5" thickBot="1">
      <c r="A85" s="207" t="s">
        <v>10</v>
      </c>
      <c r="B85" s="211">
        <f t="shared" si="3"/>
        <v>70</v>
      </c>
      <c r="C85" s="211" t="s">
        <v>3</v>
      </c>
      <c r="D85" s="211">
        <f t="shared" si="4"/>
        <v>300</v>
      </c>
      <c r="E85" s="211" t="s">
        <v>3</v>
      </c>
      <c r="F85" s="209">
        <f t="shared" si="5"/>
        <v>1950</v>
      </c>
      <c r="G85" s="211" t="s">
        <v>3</v>
      </c>
      <c r="H85" s="208">
        <v>2</v>
      </c>
      <c r="I85" s="210" t="s">
        <v>529</v>
      </c>
      <c r="J85" s="103">
        <v>70</v>
      </c>
      <c r="K85" s="66">
        <v>300</v>
      </c>
      <c r="L85" s="66">
        <v>1950</v>
      </c>
      <c r="M85" s="164">
        <v>19.211858576300713</v>
      </c>
      <c r="N85" s="78">
        <v>4387.485727872001</v>
      </c>
      <c r="O85" s="113">
        <v>67442.072704105012</v>
      </c>
      <c r="P85" s="113">
        <v>72284.805235636522</v>
      </c>
      <c r="Q85" s="110">
        <v>20669.902893251656</v>
      </c>
      <c r="R85" s="113">
        <v>88111.975597356664</v>
      </c>
      <c r="S85" s="113">
        <v>92954.708128888175</v>
      </c>
      <c r="U85" s="7" t="s">
        <v>5937</v>
      </c>
    </row>
    <row r="86" spans="1:21" ht="16.5" thickBot="1">
      <c r="A86" s="207" t="s">
        <v>10</v>
      </c>
      <c r="B86" s="211">
        <f t="shared" si="3"/>
        <v>70</v>
      </c>
      <c r="C86" s="211" t="s">
        <v>3</v>
      </c>
      <c r="D86" s="211">
        <f t="shared" si="4"/>
        <v>300</v>
      </c>
      <c r="E86" s="211" t="s">
        <v>3</v>
      </c>
      <c r="F86" s="209">
        <f t="shared" si="5"/>
        <v>2000</v>
      </c>
      <c r="G86" s="211" t="s">
        <v>3</v>
      </c>
      <c r="H86" s="208">
        <v>2</v>
      </c>
      <c r="I86" s="210" t="s">
        <v>529</v>
      </c>
      <c r="J86" s="103">
        <v>70</v>
      </c>
      <c r="K86" s="66">
        <v>300</v>
      </c>
      <c r="L86" s="66">
        <v>2000</v>
      </c>
      <c r="M86" s="164">
        <v>19.730312832211073</v>
      </c>
      <c r="N86" s="78">
        <v>4524.5946568680001</v>
      </c>
      <c r="O86" s="113">
        <v>68574.029869321792</v>
      </c>
      <c r="P86" s="113">
        <v>73754.491996215118</v>
      </c>
      <c r="Q86" s="110">
        <v>21197.778679125648</v>
      </c>
      <c r="R86" s="113">
        <v>89771.808548447443</v>
      </c>
      <c r="S86" s="113">
        <v>94952.270675340769</v>
      </c>
      <c r="U86" s="7" t="s">
        <v>5938</v>
      </c>
    </row>
    <row r="87" spans="1:21" ht="16.5" thickBot="1">
      <c r="A87" s="207" t="s">
        <v>10</v>
      </c>
      <c r="B87" s="211">
        <f t="shared" si="3"/>
        <v>70</v>
      </c>
      <c r="C87" s="211" t="s">
        <v>3</v>
      </c>
      <c r="D87" s="211">
        <f t="shared" si="4"/>
        <v>300</v>
      </c>
      <c r="E87" s="211" t="s">
        <v>3</v>
      </c>
      <c r="F87" s="209">
        <f t="shared" si="5"/>
        <v>2050</v>
      </c>
      <c r="G87" s="211" t="s">
        <v>3</v>
      </c>
      <c r="H87" s="208">
        <v>2</v>
      </c>
      <c r="I87" s="210" t="s">
        <v>529</v>
      </c>
      <c r="J87" s="103">
        <v>70</v>
      </c>
      <c r="K87" s="66">
        <v>300</v>
      </c>
      <c r="L87" s="66">
        <v>2050</v>
      </c>
      <c r="M87" s="164">
        <v>20.157204688121425</v>
      </c>
      <c r="N87" s="78">
        <v>4661.7035858640002</v>
      </c>
      <c r="O87" s="113">
        <v>71818.067280113552</v>
      </c>
      <c r="P87" s="113">
        <v>76994.327221813684</v>
      </c>
      <c r="Q87" s="110">
        <v>21725.654618028402</v>
      </c>
      <c r="R87" s="113">
        <v>93543.721898141957</v>
      </c>
      <c r="S87" s="113">
        <v>98719.98183984209</v>
      </c>
      <c r="U87" s="7" t="s">
        <v>5939</v>
      </c>
    </row>
    <row r="88" spans="1:21" ht="16.5" thickBot="1">
      <c r="A88" s="207" t="s">
        <v>10</v>
      </c>
      <c r="B88" s="208">
        <f t="shared" si="3"/>
        <v>70</v>
      </c>
      <c r="C88" s="208" t="s">
        <v>3</v>
      </c>
      <c r="D88" s="208">
        <f t="shared" si="4"/>
        <v>300</v>
      </c>
      <c r="E88" s="208" t="s">
        <v>3</v>
      </c>
      <c r="F88" s="209">
        <f t="shared" si="5"/>
        <v>2100</v>
      </c>
      <c r="G88" s="208" t="s">
        <v>3</v>
      </c>
      <c r="H88" s="208">
        <v>2</v>
      </c>
      <c r="I88" s="210" t="s">
        <v>529</v>
      </c>
      <c r="J88" s="103">
        <v>70</v>
      </c>
      <c r="K88" s="66">
        <v>300</v>
      </c>
      <c r="L88" s="66">
        <v>2100</v>
      </c>
      <c r="M88" s="164">
        <v>20.584096544031787</v>
      </c>
      <c r="N88" s="78">
        <v>4798.8125148600002</v>
      </c>
      <c r="O88" s="113">
        <v>72792.680796978049</v>
      </c>
      <c r="P88" s="113">
        <v>78109.313703566921</v>
      </c>
      <c r="Q88" s="110">
        <v>22253.53040390239</v>
      </c>
      <c r="R88" s="113">
        <v>95046.21120088044</v>
      </c>
      <c r="S88" s="113">
        <v>100362.84410746931</v>
      </c>
      <c r="U88" s="7" t="s">
        <v>5940</v>
      </c>
    </row>
    <row r="89" spans="1:21" ht="16.5" thickBot="1">
      <c r="A89" s="207" t="s">
        <v>10</v>
      </c>
      <c r="B89" s="211">
        <f t="shared" si="3"/>
        <v>70</v>
      </c>
      <c r="C89" s="211" t="s">
        <v>3</v>
      </c>
      <c r="D89" s="211">
        <f t="shared" si="4"/>
        <v>300</v>
      </c>
      <c r="E89" s="211" t="s">
        <v>3</v>
      </c>
      <c r="F89" s="209">
        <f t="shared" si="5"/>
        <v>2150</v>
      </c>
      <c r="G89" s="211" t="s">
        <v>3</v>
      </c>
      <c r="H89" s="208">
        <v>2</v>
      </c>
      <c r="I89" s="210" t="s">
        <v>529</v>
      </c>
      <c r="J89" s="103">
        <v>70</v>
      </c>
      <c r="K89" s="66">
        <v>300</v>
      </c>
      <c r="L89" s="66">
        <v>2150</v>
      </c>
      <c r="M89" s="164">
        <v>21.134988399942145</v>
      </c>
      <c r="N89" s="78">
        <v>4935.9214438560002</v>
      </c>
      <c r="O89" s="113">
        <v>73928.19718937992</v>
      </c>
      <c r="P89" s="113">
        <v>79374.952673871681</v>
      </c>
      <c r="Q89" s="110">
        <v>22781.406342805149</v>
      </c>
      <c r="R89" s="113">
        <v>96709.603532185065</v>
      </c>
      <c r="S89" s="113">
        <v>102156.35901667683</v>
      </c>
      <c r="U89" s="7" t="s">
        <v>5941</v>
      </c>
    </row>
    <row r="90" spans="1:21" ht="16.5" thickBot="1">
      <c r="A90" s="207" t="s">
        <v>10</v>
      </c>
      <c r="B90" s="211">
        <f t="shared" si="3"/>
        <v>70</v>
      </c>
      <c r="C90" s="211" t="s">
        <v>3</v>
      </c>
      <c r="D90" s="211">
        <f t="shared" si="4"/>
        <v>300</v>
      </c>
      <c r="E90" s="211" t="s">
        <v>3</v>
      </c>
      <c r="F90" s="209">
        <f t="shared" si="5"/>
        <v>2200</v>
      </c>
      <c r="G90" s="211" t="s">
        <v>3</v>
      </c>
      <c r="H90" s="208">
        <v>2</v>
      </c>
      <c r="I90" s="210" t="s">
        <v>529</v>
      </c>
      <c r="J90" s="103">
        <v>70</v>
      </c>
      <c r="K90" s="66">
        <v>300</v>
      </c>
      <c r="L90" s="66">
        <v>2200</v>
      </c>
      <c r="M90" s="164">
        <v>21.5618802558525</v>
      </c>
      <c r="N90" s="78">
        <v>5073.0303728520003</v>
      </c>
      <c r="O90" s="113">
        <v>75063.661161778291</v>
      </c>
      <c r="P90" s="113">
        <v>80640.542606108647</v>
      </c>
      <c r="Q90" s="110">
        <v>23309.282128679137</v>
      </c>
      <c r="R90" s="113">
        <v>98372.943290457421</v>
      </c>
      <c r="S90" s="113">
        <v>103949.82473478778</v>
      </c>
      <c r="U90" s="7" t="s">
        <v>5942</v>
      </c>
    </row>
    <row r="91" spans="1:21" ht="16.5" thickBot="1">
      <c r="A91" s="207" t="s">
        <v>10</v>
      </c>
      <c r="B91" s="211">
        <f t="shared" si="3"/>
        <v>70</v>
      </c>
      <c r="C91" s="211" t="s">
        <v>3</v>
      </c>
      <c r="D91" s="211">
        <f t="shared" si="4"/>
        <v>300</v>
      </c>
      <c r="E91" s="211" t="s">
        <v>3</v>
      </c>
      <c r="F91" s="209">
        <f t="shared" si="5"/>
        <v>2250</v>
      </c>
      <c r="G91" s="211" t="s">
        <v>3</v>
      </c>
      <c r="H91" s="208">
        <v>2</v>
      </c>
      <c r="I91" s="210" t="s">
        <v>529</v>
      </c>
      <c r="J91" s="103">
        <v>70</v>
      </c>
      <c r="K91" s="66">
        <v>300</v>
      </c>
      <c r="L91" s="66">
        <v>2250</v>
      </c>
      <c r="M91" s="164">
        <v>21.988772111762863</v>
      </c>
      <c r="N91" s="78">
        <v>5210.1393018480003</v>
      </c>
      <c r="O91" s="113">
        <v>76547.501193225704</v>
      </c>
      <c r="P91" s="113">
        <v>82232.315034525964</v>
      </c>
      <c r="Q91" s="110">
        <v>23837.158067581891</v>
      </c>
      <c r="R91" s="113">
        <v>100384.65926080759</v>
      </c>
      <c r="S91" s="113">
        <v>106069.47310210785</v>
      </c>
      <c r="U91" s="7" t="s">
        <v>5943</v>
      </c>
    </row>
    <row r="92" spans="1:21" ht="16.5" thickBot="1">
      <c r="A92" s="207" t="s">
        <v>10</v>
      </c>
      <c r="B92" s="211">
        <f t="shared" si="3"/>
        <v>70</v>
      </c>
      <c r="C92" s="211" t="s">
        <v>3</v>
      </c>
      <c r="D92" s="211">
        <f t="shared" si="4"/>
        <v>300</v>
      </c>
      <c r="E92" s="211" t="s">
        <v>3</v>
      </c>
      <c r="F92" s="209">
        <f t="shared" si="5"/>
        <v>2300</v>
      </c>
      <c r="G92" s="211" t="s">
        <v>3</v>
      </c>
      <c r="H92" s="208">
        <v>2</v>
      </c>
      <c r="I92" s="210" t="s">
        <v>529</v>
      </c>
      <c r="J92" s="103">
        <v>70</v>
      </c>
      <c r="K92" s="66">
        <v>300</v>
      </c>
      <c r="L92" s="66">
        <v>2300</v>
      </c>
      <c r="M92" s="164">
        <v>22.415663967673215</v>
      </c>
      <c r="N92" s="78">
        <v>5347.2482308440003</v>
      </c>
      <c r="O92" s="113">
        <v>77418.198101626142</v>
      </c>
      <c r="P92" s="113">
        <v>83250.005046966035</v>
      </c>
      <c r="Q92" s="110">
        <v>24365.03385345588</v>
      </c>
      <c r="R92" s="113">
        <v>101783.23195508202</v>
      </c>
      <c r="S92" s="113">
        <v>107615.03890042192</v>
      </c>
      <c r="U92" s="7" t="s">
        <v>5944</v>
      </c>
    </row>
    <row r="93" spans="1:21" ht="16.5" thickBot="1">
      <c r="A93" s="207" t="s">
        <v>10</v>
      </c>
      <c r="B93" s="211">
        <f t="shared" si="3"/>
        <v>70</v>
      </c>
      <c r="C93" s="211" t="s">
        <v>3</v>
      </c>
      <c r="D93" s="211">
        <f t="shared" si="4"/>
        <v>300</v>
      </c>
      <c r="E93" s="211" t="s">
        <v>3</v>
      </c>
      <c r="F93" s="209">
        <f t="shared" si="5"/>
        <v>2350</v>
      </c>
      <c r="G93" s="211" t="s">
        <v>3</v>
      </c>
      <c r="H93" s="208">
        <v>2</v>
      </c>
      <c r="I93" s="210" t="s">
        <v>529</v>
      </c>
      <c r="J93" s="103">
        <v>70</v>
      </c>
      <c r="K93" s="66">
        <v>300</v>
      </c>
      <c r="L93" s="66">
        <v>2350</v>
      </c>
      <c r="M93" s="164">
        <v>22.842555823583574</v>
      </c>
      <c r="N93" s="78">
        <v>5484.3571598400003</v>
      </c>
      <c r="O93" s="113">
        <v>78288.842720097527</v>
      </c>
      <c r="P93" s="113">
        <v>84267.646151412773</v>
      </c>
      <c r="Q93" s="110">
        <v>24892.909792358638</v>
      </c>
      <c r="R93" s="113">
        <v>103181.75251245617</v>
      </c>
      <c r="S93" s="113">
        <v>109160.55594377141</v>
      </c>
      <c r="U93" s="7" t="s">
        <v>5945</v>
      </c>
    </row>
    <row r="94" spans="1:21" ht="16.5" thickBot="1">
      <c r="A94" s="207" t="s">
        <v>10</v>
      </c>
      <c r="B94" s="211">
        <f t="shared" si="3"/>
        <v>70</v>
      </c>
      <c r="C94" s="211" t="s">
        <v>3</v>
      </c>
      <c r="D94" s="211">
        <f t="shared" si="4"/>
        <v>300</v>
      </c>
      <c r="E94" s="211" t="s">
        <v>3</v>
      </c>
      <c r="F94" s="209">
        <f t="shared" si="5"/>
        <v>2400</v>
      </c>
      <c r="G94" s="211" t="s">
        <v>3</v>
      </c>
      <c r="H94" s="208">
        <v>2</v>
      </c>
      <c r="I94" s="210" t="s">
        <v>529</v>
      </c>
      <c r="J94" s="103">
        <v>70</v>
      </c>
      <c r="K94" s="66">
        <v>300</v>
      </c>
      <c r="L94" s="66">
        <v>2400</v>
      </c>
      <c r="M94" s="164">
        <v>23.269447679493929</v>
      </c>
      <c r="N94" s="78">
        <v>5621.4660888359995</v>
      </c>
      <c r="O94" s="113">
        <v>79159.434788490966</v>
      </c>
      <c r="P94" s="113">
        <v>85285.238087717255</v>
      </c>
      <c r="Q94" s="110">
        <v>25420.78557823263</v>
      </c>
      <c r="R94" s="113">
        <v>104580.2203667236</v>
      </c>
      <c r="S94" s="113">
        <v>110706.02366594988</v>
      </c>
      <c r="U94" s="7" t="s">
        <v>5946</v>
      </c>
    </row>
    <row r="95" spans="1:21" ht="16.5" thickBot="1">
      <c r="A95" s="207" t="s">
        <v>10</v>
      </c>
      <c r="B95" s="211">
        <f t="shared" si="3"/>
        <v>70</v>
      </c>
      <c r="C95" s="211" t="s">
        <v>3</v>
      </c>
      <c r="D95" s="211">
        <f t="shared" si="4"/>
        <v>300</v>
      </c>
      <c r="E95" s="211" t="s">
        <v>3</v>
      </c>
      <c r="F95" s="209">
        <f t="shared" si="5"/>
        <v>2450</v>
      </c>
      <c r="G95" s="211" t="s">
        <v>3</v>
      </c>
      <c r="H95" s="208">
        <v>2</v>
      </c>
      <c r="I95" s="210" t="s">
        <v>529</v>
      </c>
      <c r="J95" s="103">
        <v>70</v>
      </c>
      <c r="K95" s="66">
        <v>300</v>
      </c>
      <c r="L95" s="66">
        <v>2450</v>
      </c>
      <c r="M95" s="164">
        <v>24.397904428204285</v>
      </c>
      <c r="N95" s="78">
        <v>5758.5750178320004</v>
      </c>
      <c r="O95" s="113">
        <v>80606.323660304522</v>
      </c>
      <c r="P95" s="113">
        <v>86977.163550452038</v>
      </c>
      <c r="Q95" s="110">
        <v>25948.661517135381</v>
      </c>
      <c r="R95" s="113">
        <v>106554.9851774399</v>
      </c>
      <c r="S95" s="113">
        <v>112925.82506758742</v>
      </c>
      <c r="U95" s="7" t="s">
        <v>5947</v>
      </c>
    </row>
    <row r="96" spans="1:21" ht="16.5" thickBot="1">
      <c r="A96" s="207" t="s">
        <v>10</v>
      </c>
      <c r="B96" s="211">
        <f t="shared" si="3"/>
        <v>70</v>
      </c>
      <c r="C96" s="211" t="s">
        <v>3</v>
      </c>
      <c r="D96" s="211">
        <f t="shared" si="4"/>
        <v>300</v>
      </c>
      <c r="E96" s="211" t="s">
        <v>3</v>
      </c>
      <c r="F96" s="209">
        <f t="shared" si="5"/>
        <v>2500</v>
      </c>
      <c r="G96" s="211" t="s">
        <v>3</v>
      </c>
      <c r="H96" s="208">
        <v>2</v>
      </c>
      <c r="I96" s="210" t="s">
        <v>529</v>
      </c>
      <c r="J96" s="103">
        <v>70</v>
      </c>
      <c r="K96" s="66">
        <v>300</v>
      </c>
      <c r="L96" s="66">
        <v>2500</v>
      </c>
      <c r="M96" s="164">
        <v>24.841796284114643</v>
      </c>
      <c r="N96" s="78">
        <v>5895.6839468280004</v>
      </c>
      <c r="O96" s="113">
        <v>81476.810888690976</v>
      </c>
      <c r="P96" s="113">
        <v>87994.657280546526</v>
      </c>
      <c r="Q96" s="110">
        <v>26476.537303009372</v>
      </c>
      <c r="R96" s="113">
        <v>107953.34819170035</v>
      </c>
      <c r="S96" s="113">
        <v>114471.1945835559</v>
      </c>
      <c r="U96" s="7" t="s">
        <v>5948</v>
      </c>
    </row>
    <row r="97" spans="1:21" ht="16.5" thickBot="1">
      <c r="A97" s="207" t="s">
        <v>10</v>
      </c>
      <c r="B97" s="211">
        <f t="shared" si="3"/>
        <v>70</v>
      </c>
      <c r="C97" s="211" t="s">
        <v>3</v>
      </c>
      <c r="D97" s="211">
        <f t="shared" si="4"/>
        <v>300</v>
      </c>
      <c r="E97" s="211" t="s">
        <v>3</v>
      </c>
      <c r="F97" s="209">
        <f t="shared" si="5"/>
        <v>2550</v>
      </c>
      <c r="G97" s="211" t="s">
        <v>3</v>
      </c>
      <c r="H97" s="208">
        <v>2</v>
      </c>
      <c r="I97" s="210" t="s">
        <v>529</v>
      </c>
      <c r="J97" s="103">
        <v>70</v>
      </c>
      <c r="K97" s="66">
        <v>300</v>
      </c>
      <c r="L97" s="66">
        <v>2550</v>
      </c>
      <c r="M97" s="164">
        <v>25.268688140025002</v>
      </c>
      <c r="N97" s="78">
        <v>6032.7928758240005</v>
      </c>
      <c r="O97" s="113">
        <v>85938.071868397048</v>
      </c>
      <c r="P97" s="113">
        <v>92374.171801256161</v>
      </c>
      <c r="Q97" s="110">
        <v>27004.413241912127</v>
      </c>
      <c r="R97" s="113">
        <v>112942.48511030918</v>
      </c>
      <c r="S97" s="113">
        <v>119378.58504316829</v>
      </c>
      <c r="U97" s="7" t="s">
        <v>5949</v>
      </c>
    </row>
    <row r="98" spans="1:21" ht="16.5" thickBot="1">
      <c r="A98" s="207" t="s">
        <v>10</v>
      </c>
      <c r="B98" s="208">
        <f t="shared" si="3"/>
        <v>70</v>
      </c>
      <c r="C98" s="208" t="s">
        <v>3</v>
      </c>
      <c r="D98" s="208">
        <f t="shared" si="4"/>
        <v>300</v>
      </c>
      <c r="E98" s="208" t="s">
        <v>3</v>
      </c>
      <c r="F98" s="209">
        <f t="shared" si="5"/>
        <v>2600</v>
      </c>
      <c r="G98" s="208" t="s">
        <v>3</v>
      </c>
      <c r="H98" s="208">
        <v>2</v>
      </c>
      <c r="I98" s="210" t="s">
        <v>529</v>
      </c>
      <c r="J98" s="103">
        <v>70</v>
      </c>
      <c r="K98" s="66">
        <v>300</v>
      </c>
      <c r="L98" s="66">
        <v>2600</v>
      </c>
      <c r="M98" s="164">
        <v>25.695579995935361</v>
      </c>
      <c r="N98" s="78">
        <v>6169.9018048200005</v>
      </c>
      <c r="O98" s="113">
        <v>87103.412120999972</v>
      </c>
      <c r="P98" s="113">
        <v>93667.734764340043</v>
      </c>
      <c r="Q98" s="110">
        <v>27532.289027786119</v>
      </c>
      <c r="R98" s="113">
        <v>114635.70114878609</v>
      </c>
      <c r="S98" s="113">
        <v>121200.02379212616</v>
      </c>
      <c r="U98" s="7" t="s">
        <v>5950</v>
      </c>
    </row>
    <row r="99" spans="1:21" ht="16.5" thickBot="1">
      <c r="A99" s="207" t="s">
        <v>10</v>
      </c>
      <c r="B99" s="211">
        <f t="shared" si="3"/>
        <v>70</v>
      </c>
      <c r="C99" s="211" t="s">
        <v>3</v>
      </c>
      <c r="D99" s="211">
        <f t="shared" si="4"/>
        <v>300</v>
      </c>
      <c r="E99" s="211" t="s">
        <v>3</v>
      </c>
      <c r="F99" s="209">
        <f t="shared" si="5"/>
        <v>2650</v>
      </c>
      <c r="G99" s="211" t="s">
        <v>3</v>
      </c>
      <c r="H99" s="208">
        <v>2</v>
      </c>
      <c r="I99" s="210" t="s">
        <v>529</v>
      </c>
      <c r="J99" s="103">
        <v>70</v>
      </c>
      <c r="K99" s="66">
        <v>300</v>
      </c>
      <c r="L99" s="66">
        <v>2650</v>
      </c>
      <c r="M99" s="164">
        <v>26.229471851845716</v>
      </c>
      <c r="N99" s="78">
        <v>6307.0107338160005</v>
      </c>
      <c r="O99" s="113">
        <v>87799.376898450035</v>
      </c>
      <c r="P99" s="113">
        <v>94521.82402706788</v>
      </c>
      <c r="Q99" s="110">
        <v>28060.164966688873</v>
      </c>
      <c r="R99" s="113">
        <v>115859.5418651389</v>
      </c>
      <c r="S99" s="113">
        <v>122581.98899375675</v>
      </c>
      <c r="U99" s="7" t="s">
        <v>5951</v>
      </c>
    </row>
    <row r="100" spans="1:21" ht="16.5" thickBot="1">
      <c r="A100" s="207" t="s">
        <v>10</v>
      </c>
      <c r="B100" s="211">
        <f t="shared" si="3"/>
        <v>70</v>
      </c>
      <c r="C100" s="211" t="s">
        <v>3</v>
      </c>
      <c r="D100" s="211">
        <f t="shared" si="4"/>
        <v>300</v>
      </c>
      <c r="E100" s="211" t="s">
        <v>3</v>
      </c>
      <c r="F100" s="209">
        <f t="shared" si="5"/>
        <v>2700</v>
      </c>
      <c r="G100" s="211" t="s">
        <v>3</v>
      </c>
      <c r="H100" s="208">
        <v>2</v>
      </c>
      <c r="I100" s="210" t="s">
        <v>529</v>
      </c>
      <c r="J100" s="103">
        <v>70</v>
      </c>
      <c r="K100" s="66">
        <v>300</v>
      </c>
      <c r="L100" s="66">
        <v>2700</v>
      </c>
      <c r="M100" s="164">
        <v>26.695613707756074</v>
      </c>
      <c r="N100" s="78">
        <v>6444.1196628120006</v>
      </c>
      <c r="O100" s="113">
        <v>88533.852688342624</v>
      </c>
      <c r="P100" s="113">
        <v>95411.971098104535</v>
      </c>
      <c r="Q100" s="110">
        <v>28588.040752562865</v>
      </c>
      <c r="R100" s="113">
        <v>117121.89344090549</v>
      </c>
      <c r="S100" s="113">
        <v>124000.0118506674</v>
      </c>
      <c r="U100" s="7" t="s">
        <v>5952</v>
      </c>
    </row>
    <row r="101" spans="1:21" ht="16.5" thickBot="1">
      <c r="A101" s="207" t="s">
        <v>10</v>
      </c>
      <c r="B101" s="211">
        <f t="shared" si="3"/>
        <v>70</v>
      </c>
      <c r="C101" s="211" t="s">
        <v>3</v>
      </c>
      <c r="D101" s="211">
        <f t="shared" si="4"/>
        <v>300</v>
      </c>
      <c r="E101" s="211" t="s">
        <v>3</v>
      </c>
      <c r="F101" s="209">
        <f t="shared" si="5"/>
        <v>2750</v>
      </c>
      <c r="G101" s="211" t="s">
        <v>3</v>
      </c>
      <c r="H101" s="208">
        <v>2</v>
      </c>
      <c r="I101" s="210" t="s">
        <v>529</v>
      </c>
      <c r="J101" s="103">
        <v>70</v>
      </c>
      <c r="K101" s="66">
        <v>300</v>
      </c>
      <c r="L101" s="66">
        <v>2750</v>
      </c>
      <c r="M101" s="164">
        <v>27.122505563666429</v>
      </c>
      <c r="N101" s="78">
        <v>6581.2285918080006</v>
      </c>
      <c r="O101" s="113">
        <v>89318.824550533565</v>
      </c>
      <c r="P101" s="113">
        <v>96349.397240133316</v>
      </c>
      <c r="Q101" s="110">
        <v>29115.916691465467</v>
      </c>
      <c r="R101" s="113">
        <v>118434.74124199903</v>
      </c>
      <c r="S101" s="113">
        <v>125465.31393159878</v>
      </c>
      <c r="U101" s="7" t="s">
        <v>5953</v>
      </c>
    </row>
    <row r="102" spans="1:21" ht="16.5" thickBot="1">
      <c r="A102" s="207" t="s">
        <v>10</v>
      </c>
      <c r="B102" s="211">
        <f t="shared" si="3"/>
        <v>70</v>
      </c>
      <c r="C102" s="211" t="s">
        <v>3</v>
      </c>
      <c r="D102" s="211">
        <f t="shared" si="4"/>
        <v>300</v>
      </c>
      <c r="E102" s="211" t="s">
        <v>3</v>
      </c>
      <c r="F102" s="209">
        <f t="shared" si="5"/>
        <v>2800</v>
      </c>
      <c r="G102" s="211" t="s">
        <v>3</v>
      </c>
      <c r="H102" s="208">
        <v>2</v>
      </c>
      <c r="I102" s="210" t="s">
        <v>529</v>
      </c>
      <c r="J102" s="103">
        <v>70</v>
      </c>
      <c r="K102" s="66">
        <v>300</v>
      </c>
      <c r="L102" s="66">
        <v>2800</v>
      </c>
      <c r="M102" s="164">
        <v>27.549397419576792</v>
      </c>
      <c r="N102" s="78">
        <v>6718.3375208040006</v>
      </c>
      <c r="O102" s="113">
        <v>90013.443707794708</v>
      </c>
      <c r="P102" s="113">
        <v>97202.226731809467</v>
      </c>
      <c r="Q102" s="110">
        <v>29643.792630368374</v>
      </c>
      <c r="R102" s="113">
        <v>119657.23633816309</v>
      </c>
      <c r="S102" s="113">
        <v>126846.01936217785</v>
      </c>
      <c r="U102" s="7" t="s">
        <v>5954</v>
      </c>
    </row>
    <row r="103" spans="1:21" ht="16.5" thickBot="1">
      <c r="A103" s="207" t="s">
        <v>10</v>
      </c>
      <c r="B103" s="211">
        <f t="shared" si="3"/>
        <v>70</v>
      </c>
      <c r="C103" s="211" t="s">
        <v>3</v>
      </c>
      <c r="D103" s="211">
        <f t="shared" si="4"/>
        <v>300</v>
      </c>
      <c r="E103" s="211" t="s">
        <v>3</v>
      </c>
      <c r="F103" s="209">
        <f t="shared" si="5"/>
        <v>2850</v>
      </c>
      <c r="G103" s="211" t="s">
        <v>3</v>
      </c>
      <c r="H103" s="208">
        <v>2</v>
      </c>
      <c r="I103" s="210" t="s">
        <v>529</v>
      </c>
      <c r="J103" s="103">
        <v>70</v>
      </c>
      <c r="K103" s="66">
        <v>300</v>
      </c>
      <c r="L103" s="66">
        <v>2850</v>
      </c>
      <c r="M103" s="164">
        <v>27.976289275487144</v>
      </c>
      <c r="N103" s="78">
        <v>6855.4464498000007</v>
      </c>
      <c r="O103" s="113">
        <v>90708.010575126798</v>
      </c>
      <c r="P103" s="113">
        <v>98055.007185417824</v>
      </c>
      <c r="Q103" s="110">
        <v>30171.668416242363</v>
      </c>
      <c r="R103" s="113">
        <v>120879.67899136916</v>
      </c>
      <c r="S103" s="113">
        <v>128226.67560166019</v>
      </c>
      <c r="U103" s="7" t="s">
        <v>5955</v>
      </c>
    </row>
    <row r="104" spans="1:21" ht="16.5" thickBot="1">
      <c r="A104" s="207" t="s">
        <v>10</v>
      </c>
      <c r="B104" s="211">
        <f t="shared" si="3"/>
        <v>70</v>
      </c>
      <c r="C104" s="211" t="s">
        <v>3</v>
      </c>
      <c r="D104" s="211">
        <f t="shared" si="4"/>
        <v>300</v>
      </c>
      <c r="E104" s="211" t="s">
        <v>3</v>
      </c>
      <c r="F104" s="209">
        <f t="shared" si="5"/>
        <v>2900</v>
      </c>
      <c r="G104" s="211" t="s">
        <v>3</v>
      </c>
      <c r="H104" s="208">
        <v>2</v>
      </c>
      <c r="I104" s="210" t="s">
        <v>529</v>
      </c>
      <c r="J104" s="103">
        <v>70</v>
      </c>
      <c r="K104" s="66">
        <v>300</v>
      </c>
      <c r="L104" s="66">
        <v>2900</v>
      </c>
      <c r="M104" s="164">
        <v>28.579181131397501</v>
      </c>
      <c r="N104" s="78">
        <v>6992.5553787959998</v>
      </c>
      <c r="O104" s="113">
        <v>91402.524892380941</v>
      </c>
      <c r="P104" s="113">
        <v>98907.738470883938</v>
      </c>
      <c r="Q104" s="110">
        <v>30699.544355145121</v>
      </c>
      <c r="R104" s="113">
        <v>122102.06924752606</v>
      </c>
      <c r="S104" s="113">
        <v>129607.28282602906</v>
      </c>
      <c r="U104" s="7" t="s">
        <v>5956</v>
      </c>
    </row>
    <row r="105" spans="1:21" ht="16.5" thickBot="1">
      <c r="A105" s="207" t="s">
        <v>10</v>
      </c>
      <c r="B105" s="211">
        <f t="shared" si="3"/>
        <v>70</v>
      </c>
      <c r="C105" s="211" t="s">
        <v>3</v>
      </c>
      <c r="D105" s="211">
        <f t="shared" si="4"/>
        <v>300</v>
      </c>
      <c r="E105" s="211" t="s">
        <v>3</v>
      </c>
      <c r="F105" s="209">
        <f t="shared" si="5"/>
        <v>2950</v>
      </c>
      <c r="G105" s="211" t="s">
        <v>3</v>
      </c>
      <c r="H105" s="208">
        <v>2</v>
      </c>
      <c r="I105" s="210" t="s">
        <v>529</v>
      </c>
      <c r="J105" s="103">
        <v>70</v>
      </c>
      <c r="K105" s="66">
        <v>300</v>
      </c>
      <c r="L105" s="66">
        <v>2950</v>
      </c>
      <c r="M105" s="164">
        <v>29.00607298730786</v>
      </c>
      <c r="N105" s="78">
        <v>7129.6643077920007</v>
      </c>
      <c r="O105" s="113">
        <v>92096.986919706047</v>
      </c>
      <c r="P105" s="113">
        <v>99760.420718282287</v>
      </c>
      <c r="Q105" s="110">
        <v>31227.420141019105</v>
      </c>
      <c r="R105" s="113">
        <v>123324.40706072515</v>
      </c>
      <c r="S105" s="113">
        <v>130987.84085930139</v>
      </c>
      <c r="U105" s="7" t="s">
        <v>5957</v>
      </c>
    </row>
    <row r="106" spans="1:21" ht="16.5" thickBot="1">
      <c r="A106" s="207" t="s">
        <v>10</v>
      </c>
      <c r="B106" s="211">
        <f t="shared" si="3"/>
        <v>70</v>
      </c>
      <c r="C106" s="211" t="s">
        <v>3</v>
      </c>
      <c r="D106" s="211">
        <f t="shared" si="4"/>
        <v>300</v>
      </c>
      <c r="E106" s="211" t="s">
        <v>3</v>
      </c>
      <c r="F106" s="209">
        <f t="shared" si="5"/>
        <v>3000</v>
      </c>
      <c r="G106" s="211" t="s">
        <v>3</v>
      </c>
      <c r="H106" s="208">
        <v>2</v>
      </c>
      <c r="I106" s="210" t="s">
        <v>529</v>
      </c>
      <c r="J106" s="125">
        <v>70</v>
      </c>
      <c r="K106" s="126">
        <v>300</v>
      </c>
      <c r="L106" s="126">
        <v>3000</v>
      </c>
      <c r="M106" s="171">
        <v>29.432964843218215</v>
      </c>
      <c r="N106" s="127">
        <v>7266.7732367880008</v>
      </c>
      <c r="O106" s="128">
        <v>94662.748507626151</v>
      </c>
      <c r="P106" s="128">
        <v>102365.19007297083</v>
      </c>
      <c r="Q106" s="136">
        <v>31755.296079921864</v>
      </c>
      <c r="R106" s="128">
        <v>126418.04458754801</v>
      </c>
      <c r="S106" s="128">
        <v>134120.4861528927</v>
      </c>
    </row>
  </sheetData>
  <mergeCells count="15">
    <mergeCell ref="Q4:Q5"/>
    <mergeCell ref="R4:R5"/>
    <mergeCell ref="S4:S5"/>
    <mergeCell ref="O6:S6"/>
    <mergeCell ref="A4:I6"/>
    <mergeCell ref="J4:M5"/>
    <mergeCell ref="N4:N6"/>
    <mergeCell ref="O4:O5"/>
    <mergeCell ref="P4:P5"/>
    <mergeCell ref="A59:S59"/>
    <mergeCell ref="A7:S7"/>
    <mergeCell ref="A8:S8"/>
    <mergeCell ref="A9:S9"/>
    <mergeCell ref="A58:S58"/>
    <mergeCell ref="A10:S10"/>
  </mergeCells>
  <hyperlinks>
    <hyperlink ref="A1:I1" location="Главная!A1" display="Вернуться на главную страницу" xr:uid="{00000000-0004-0000-0800-000000000000}"/>
    <hyperlink ref="A2" location="'Калькулятор теплоотдач ВКВ'!R1C1" display="Вернуться Калькулятор теплоотдач ВКВ" xr:uid="{00000000-0004-0000-08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2">
    <tabColor rgb="FF3366FF"/>
  </sheetPr>
  <dimension ref="A1:U303"/>
  <sheetViews>
    <sheetView zoomScale="70" zoomScaleNormal="70" workbookViewId="0">
      <pane ySplit="6" topLeftCell="A7" activePane="bottomLeft" state="frozen"/>
      <selection pane="bottomLeft" activeCell="X7" sqref="X7"/>
    </sheetView>
  </sheetViews>
  <sheetFormatPr defaultRowHeight="15.75"/>
  <cols>
    <col min="1" max="1" width="5.570312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8.140625" style="7" customWidth="1"/>
    <col min="10" max="10" width="11.28515625" style="7" customWidth="1"/>
    <col min="11" max="12" width="11.28515625" style="87" customWidth="1"/>
    <col min="13" max="13" width="15.5703125" style="1" customWidth="1"/>
    <col min="14" max="14" width="19.140625" style="7" customWidth="1"/>
    <col min="15" max="16" width="27.7109375" style="112" customWidth="1"/>
    <col min="17" max="17" width="26.28515625" style="107" customWidth="1"/>
    <col min="18" max="19" width="27.7109375" style="112" customWidth="1"/>
    <col min="20" max="20" width="9.140625" style="65"/>
    <col min="21" max="21" width="26.140625" style="65" customWidth="1"/>
    <col min="22" max="16384" width="9.140625" style="65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0"/>
      <c r="O1" s="107"/>
      <c r="P1" s="107"/>
      <c r="R1" s="107"/>
      <c r="S1" s="107"/>
    </row>
    <row r="2" spans="1:21">
      <c r="A2" s="895" t="s">
        <v>345</v>
      </c>
      <c r="B2" s="1121"/>
      <c r="C2" s="1121"/>
      <c r="D2" s="1121"/>
      <c r="E2" s="1121"/>
      <c r="F2" s="88"/>
      <c r="G2" s="1121"/>
      <c r="H2" s="1121"/>
      <c r="I2" s="1121"/>
      <c r="M2" s="140"/>
      <c r="O2" s="107"/>
      <c r="P2" s="107"/>
      <c r="R2" s="107"/>
      <c r="S2" s="107"/>
    </row>
    <row r="3" spans="1:21" ht="13.5" customHeight="1" thickBot="1">
      <c r="A3" s="16"/>
      <c r="B3" s="16"/>
      <c r="C3" s="16"/>
      <c r="D3" s="16"/>
      <c r="E3" s="16"/>
      <c r="F3" s="100"/>
      <c r="G3" s="16"/>
      <c r="H3" s="16"/>
      <c r="I3" s="1132"/>
      <c r="J3" s="16"/>
      <c r="K3" s="99"/>
      <c r="L3" s="99"/>
      <c r="M3" s="140"/>
      <c r="O3" s="106"/>
      <c r="P3" s="106"/>
      <c r="R3" s="107"/>
      <c r="S3" s="107"/>
    </row>
    <row r="4" spans="1:21" ht="69" customHeight="1">
      <c r="A4" s="2989" t="s">
        <v>8</v>
      </c>
      <c r="B4" s="2990"/>
      <c r="C4" s="2990"/>
      <c r="D4" s="2990"/>
      <c r="E4" s="2990"/>
      <c r="F4" s="2990"/>
      <c r="G4" s="2990"/>
      <c r="H4" s="2990"/>
      <c r="I4" s="2991"/>
      <c r="J4" s="2998" t="s">
        <v>78</v>
      </c>
      <c r="K4" s="2999"/>
      <c r="L4" s="2999"/>
      <c r="M4" s="3000"/>
      <c r="N4" s="3004" t="s">
        <v>77</v>
      </c>
      <c r="O4" s="2977" t="s">
        <v>145</v>
      </c>
      <c r="P4" s="3013" t="s">
        <v>146</v>
      </c>
      <c r="Q4" s="2977" t="s">
        <v>64</v>
      </c>
      <c r="R4" s="2979" t="s">
        <v>5752</v>
      </c>
      <c r="S4" s="2981" t="s">
        <v>5753</v>
      </c>
    </row>
    <row r="5" spans="1:21" ht="72" customHeight="1" thickBot="1">
      <c r="A5" s="2992"/>
      <c r="B5" s="2993"/>
      <c r="C5" s="2993"/>
      <c r="D5" s="2993"/>
      <c r="E5" s="2993"/>
      <c r="F5" s="2993"/>
      <c r="G5" s="2993"/>
      <c r="H5" s="2993"/>
      <c r="I5" s="2994"/>
      <c r="J5" s="3001"/>
      <c r="K5" s="3002"/>
      <c r="L5" s="3002"/>
      <c r="M5" s="3003"/>
      <c r="N5" s="3005"/>
      <c r="O5" s="3007"/>
      <c r="P5" s="3014"/>
      <c r="Q5" s="2978"/>
      <c r="R5" s="2980"/>
      <c r="S5" s="2982"/>
    </row>
    <row r="6" spans="1:21" ht="61.5" customHeight="1" thickBot="1">
      <c r="A6" s="2995"/>
      <c r="B6" s="2996"/>
      <c r="C6" s="2996"/>
      <c r="D6" s="2996"/>
      <c r="E6" s="2996"/>
      <c r="F6" s="2996"/>
      <c r="G6" s="2996"/>
      <c r="H6" s="2996"/>
      <c r="I6" s="2997"/>
      <c r="J6" s="235" t="s">
        <v>0</v>
      </c>
      <c r="K6" s="240" t="s">
        <v>1</v>
      </c>
      <c r="L6" s="240" t="s">
        <v>2</v>
      </c>
      <c r="M6" s="206" t="s">
        <v>75</v>
      </c>
      <c r="N6" s="3006"/>
      <c r="O6" s="2983" t="s">
        <v>141</v>
      </c>
      <c r="P6" s="2984"/>
      <c r="Q6" s="2984"/>
      <c r="R6" s="2984"/>
      <c r="S6" s="2985"/>
    </row>
    <row r="7" spans="1:21" ht="30" customHeight="1" thickBot="1">
      <c r="A7" s="2986" t="s">
        <v>131</v>
      </c>
      <c r="B7" s="2987"/>
      <c r="C7" s="2987"/>
      <c r="D7" s="2987"/>
      <c r="E7" s="2987"/>
      <c r="F7" s="2987"/>
      <c r="G7" s="2987"/>
      <c r="H7" s="2987"/>
      <c r="I7" s="2987"/>
      <c r="J7" s="2987"/>
      <c r="K7" s="2987"/>
      <c r="L7" s="2987"/>
      <c r="M7" s="2987"/>
      <c r="N7" s="2987"/>
      <c r="O7" s="2987"/>
      <c r="P7" s="2987"/>
      <c r="Q7" s="2987"/>
      <c r="R7" s="2987"/>
      <c r="S7" s="2988"/>
    </row>
    <row r="8" spans="1:21" ht="22.5" customHeight="1" thickBot="1">
      <c r="A8" s="2968" t="s">
        <v>468</v>
      </c>
      <c r="B8" s="2969"/>
      <c r="C8" s="2969"/>
      <c r="D8" s="2969"/>
      <c r="E8" s="2969"/>
      <c r="F8" s="2969"/>
      <c r="G8" s="2969"/>
      <c r="H8" s="2969"/>
      <c r="I8" s="2969"/>
      <c r="J8" s="2969"/>
      <c r="K8" s="2969"/>
      <c r="L8" s="2969"/>
      <c r="M8" s="2969"/>
      <c r="N8" s="2969"/>
      <c r="O8" s="2969"/>
      <c r="P8" s="2969"/>
      <c r="Q8" s="2969"/>
      <c r="R8" s="2969"/>
      <c r="S8" s="2970"/>
    </row>
    <row r="9" spans="1:21" ht="16.5" customHeight="1" thickBot="1">
      <c r="A9" s="2974" t="s">
        <v>112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5"/>
      <c r="R9" s="2975"/>
      <c r="S9" s="2976"/>
    </row>
    <row r="10" spans="1:21" ht="16.5" customHeight="1" thickBot="1">
      <c r="A10" s="207" t="s">
        <v>10</v>
      </c>
      <c r="B10" s="211">
        <f t="shared" ref="B10:B56" si="0">J10</f>
        <v>75</v>
      </c>
      <c r="C10" s="211" t="s">
        <v>3</v>
      </c>
      <c r="D10" s="211">
        <f t="shared" ref="D10:D56" si="1">K10</f>
        <v>260</v>
      </c>
      <c r="E10" s="211" t="s">
        <v>3</v>
      </c>
      <c r="F10" s="209">
        <f t="shared" ref="F10:F56" si="2">L10</f>
        <v>700</v>
      </c>
      <c r="G10" s="211" t="s">
        <v>3</v>
      </c>
      <c r="H10" s="208">
        <v>2</v>
      </c>
      <c r="I10" s="210" t="s">
        <v>529</v>
      </c>
      <c r="J10" s="103">
        <v>75</v>
      </c>
      <c r="K10" s="66">
        <v>260</v>
      </c>
      <c r="L10" s="66">
        <v>700</v>
      </c>
      <c r="M10" s="164">
        <v>7.1199406807485524</v>
      </c>
      <c r="N10" s="78">
        <v>994.74102000000005</v>
      </c>
      <c r="O10" s="124">
        <v>27970.364190606248</v>
      </c>
      <c r="P10" s="124">
        <v>29748.749229971665</v>
      </c>
      <c r="Q10" s="110">
        <v>9406.5237862097401</v>
      </c>
      <c r="R10" s="113">
        <v>37376.88797681599</v>
      </c>
      <c r="S10" s="113">
        <v>39155.273016181403</v>
      </c>
      <c r="U10" s="7" t="s">
        <v>5958</v>
      </c>
    </row>
    <row r="11" spans="1:21" ht="16.5" customHeight="1" thickBot="1">
      <c r="A11" s="207" t="s">
        <v>10</v>
      </c>
      <c r="B11" s="211">
        <f t="shared" si="0"/>
        <v>75</v>
      </c>
      <c r="C11" s="211" t="s">
        <v>3</v>
      </c>
      <c r="D11" s="211">
        <f t="shared" si="1"/>
        <v>260</v>
      </c>
      <c r="E11" s="211" t="s">
        <v>3</v>
      </c>
      <c r="F11" s="209">
        <f t="shared" si="2"/>
        <v>750</v>
      </c>
      <c r="G11" s="211" t="s">
        <v>3</v>
      </c>
      <c r="H11" s="208">
        <v>2</v>
      </c>
      <c r="I11" s="210" t="s">
        <v>529</v>
      </c>
      <c r="J11" s="103">
        <v>75</v>
      </c>
      <c r="K11" s="66">
        <v>260</v>
      </c>
      <c r="L11" s="66">
        <v>750</v>
      </c>
      <c r="M11" s="164">
        <v>7.5279324491213151</v>
      </c>
      <c r="N11" s="78">
        <v>1136.8468800000001</v>
      </c>
      <c r="O11" s="113">
        <v>29635.136351680248</v>
      </c>
      <c r="P11" s="113">
        <v>31490.104804884118</v>
      </c>
      <c r="Q11" s="110">
        <v>9876.9793536897032</v>
      </c>
      <c r="R11" s="113">
        <v>39512.11570536995</v>
      </c>
      <c r="S11" s="113">
        <v>41367.084158573824</v>
      </c>
      <c r="U11" s="7" t="s">
        <v>5959</v>
      </c>
    </row>
    <row r="12" spans="1:21" ht="16.5" customHeight="1" thickBot="1">
      <c r="A12" s="207" t="s">
        <v>10</v>
      </c>
      <c r="B12" s="211">
        <f t="shared" si="0"/>
        <v>75</v>
      </c>
      <c r="C12" s="211" t="s">
        <v>3</v>
      </c>
      <c r="D12" s="211">
        <f t="shared" si="1"/>
        <v>260</v>
      </c>
      <c r="E12" s="211" t="s">
        <v>3</v>
      </c>
      <c r="F12" s="209">
        <f t="shared" si="2"/>
        <v>800</v>
      </c>
      <c r="G12" s="211" t="s">
        <v>3</v>
      </c>
      <c r="H12" s="208">
        <v>2</v>
      </c>
      <c r="I12" s="210" t="s">
        <v>529</v>
      </c>
      <c r="J12" s="103">
        <v>75</v>
      </c>
      <c r="K12" s="66">
        <v>260</v>
      </c>
      <c r="L12" s="66">
        <v>800</v>
      </c>
      <c r="M12" s="164">
        <v>7.9359242174940778</v>
      </c>
      <c r="N12" s="78">
        <v>1278.9527400000002</v>
      </c>
      <c r="O12" s="113">
        <v>31299.908382679809</v>
      </c>
      <c r="P12" s="113">
        <v>33231.460509871024</v>
      </c>
      <c r="Q12" s="110">
        <v>10347.434921169664</v>
      </c>
      <c r="R12" s="113">
        <v>41647.34330384947</v>
      </c>
      <c r="S12" s="113">
        <v>43578.895431040684</v>
      </c>
      <c r="U12" s="7" t="s">
        <v>5960</v>
      </c>
    </row>
    <row r="13" spans="1:21" ht="16.5" customHeight="1" thickBot="1">
      <c r="A13" s="207" t="s">
        <v>10</v>
      </c>
      <c r="B13" s="211">
        <f t="shared" si="0"/>
        <v>75</v>
      </c>
      <c r="C13" s="211" t="s">
        <v>3</v>
      </c>
      <c r="D13" s="211">
        <f t="shared" si="1"/>
        <v>260</v>
      </c>
      <c r="E13" s="211" t="s">
        <v>3</v>
      </c>
      <c r="F13" s="209">
        <f t="shared" si="2"/>
        <v>850</v>
      </c>
      <c r="G13" s="211" t="s">
        <v>3</v>
      </c>
      <c r="H13" s="208">
        <v>2</v>
      </c>
      <c r="I13" s="210" t="s">
        <v>529</v>
      </c>
      <c r="J13" s="103">
        <v>75</v>
      </c>
      <c r="K13" s="66">
        <v>260</v>
      </c>
      <c r="L13" s="66">
        <v>850</v>
      </c>
      <c r="M13" s="164">
        <v>8.3609559858668412</v>
      </c>
      <c r="N13" s="78">
        <v>1421.0586000000001</v>
      </c>
      <c r="O13" s="113">
        <v>32964.680413679358</v>
      </c>
      <c r="P13" s="113">
        <v>34972.816084783473</v>
      </c>
      <c r="Q13" s="110">
        <v>11069.224626433395</v>
      </c>
      <c r="R13" s="113">
        <v>44033.905040112753</v>
      </c>
      <c r="S13" s="113">
        <v>46042.040711216869</v>
      </c>
      <c r="U13" s="7" t="s">
        <v>5961</v>
      </c>
    </row>
    <row r="14" spans="1:21" ht="16.5" customHeight="1" thickBot="1">
      <c r="A14" s="207" t="s">
        <v>10</v>
      </c>
      <c r="B14" s="211">
        <f t="shared" si="0"/>
        <v>75</v>
      </c>
      <c r="C14" s="211" t="s">
        <v>3</v>
      </c>
      <c r="D14" s="211">
        <f t="shared" si="1"/>
        <v>260</v>
      </c>
      <c r="E14" s="211" t="s">
        <v>3</v>
      </c>
      <c r="F14" s="209">
        <f t="shared" si="2"/>
        <v>900</v>
      </c>
      <c r="G14" s="211" t="s">
        <v>3</v>
      </c>
      <c r="H14" s="208">
        <v>2</v>
      </c>
      <c r="I14" s="210" t="s">
        <v>529</v>
      </c>
      <c r="J14" s="103">
        <v>75</v>
      </c>
      <c r="K14" s="66">
        <v>260</v>
      </c>
      <c r="L14" s="66">
        <v>900</v>
      </c>
      <c r="M14" s="164">
        <v>8.8069477542396051</v>
      </c>
      <c r="N14" s="78">
        <v>1563.1644600000002</v>
      </c>
      <c r="O14" s="113">
        <v>34629.452444678915</v>
      </c>
      <c r="P14" s="113">
        <v>36714.171789770378</v>
      </c>
      <c r="Q14" s="110">
        <v>11539.680193913358</v>
      </c>
      <c r="R14" s="113">
        <v>46169.132638592273</v>
      </c>
      <c r="S14" s="113">
        <v>48253.851983683737</v>
      </c>
      <c r="U14" s="7" t="s">
        <v>5962</v>
      </c>
    </row>
    <row r="15" spans="1:21" ht="16.5" customHeight="1" thickBot="1">
      <c r="A15" s="207" t="s">
        <v>10</v>
      </c>
      <c r="B15" s="211">
        <f t="shared" si="0"/>
        <v>75</v>
      </c>
      <c r="C15" s="211" t="s">
        <v>3</v>
      </c>
      <c r="D15" s="211">
        <f t="shared" si="1"/>
        <v>260</v>
      </c>
      <c r="E15" s="211" t="s">
        <v>3</v>
      </c>
      <c r="F15" s="209">
        <f t="shared" si="2"/>
        <v>950</v>
      </c>
      <c r="G15" s="211" t="s">
        <v>3</v>
      </c>
      <c r="H15" s="208">
        <v>2</v>
      </c>
      <c r="I15" s="210" t="s">
        <v>529</v>
      </c>
      <c r="J15" s="103">
        <v>75</v>
      </c>
      <c r="K15" s="66">
        <v>260</v>
      </c>
      <c r="L15" s="66">
        <v>950</v>
      </c>
      <c r="M15" s="164">
        <v>9.3009795226123693</v>
      </c>
      <c r="N15" s="78">
        <v>1705.2703200000001</v>
      </c>
      <c r="O15" s="113">
        <v>36294.224475678471</v>
      </c>
      <c r="P15" s="113">
        <v>38455.527364682835</v>
      </c>
      <c r="Q15" s="110">
        <v>12261.469899177091</v>
      </c>
      <c r="R15" s="113">
        <v>48555.694374855564</v>
      </c>
      <c r="S15" s="113">
        <v>50716.997263859928</v>
      </c>
      <c r="U15" s="7" t="s">
        <v>5963</v>
      </c>
    </row>
    <row r="16" spans="1:21" s="7" customFormat="1" ht="16.5" customHeight="1" thickBot="1">
      <c r="A16" s="207" t="s">
        <v>10</v>
      </c>
      <c r="B16" s="211">
        <f t="shared" si="0"/>
        <v>75</v>
      </c>
      <c r="C16" s="211" t="s">
        <v>3</v>
      </c>
      <c r="D16" s="211">
        <f t="shared" si="1"/>
        <v>260</v>
      </c>
      <c r="E16" s="211" t="s">
        <v>3</v>
      </c>
      <c r="F16" s="209">
        <f t="shared" si="2"/>
        <v>1000</v>
      </c>
      <c r="G16" s="211" t="s">
        <v>3</v>
      </c>
      <c r="H16" s="208">
        <v>2</v>
      </c>
      <c r="I16" s="210" t="s">
        <v>529</v>
      </c>
      <c r="J16" s="103">
        <v>75</v>
      </c>
      <c r="K16" s="66">
        <v>260</v>
      </c>
      <c r="L16" s="66">
        <v>1000</v>
      </c>
      <c r="M16" s="164">
        <v>9.7089712909851329</v>
      </c>
      <c r="N16" s="78">
        <v>1847.3761800000002</v>
      </c>
      <c r="O16" s="113">
        <v>37855.30258567298</v>
      </c>
      <c r="P16" s="113">
        <v>40099.794979626029</v>
      </c>
      <c r="Q16" s="110">
        <v>12731.925466657052</v>
      </c>
      <c r="R16" s="113">
        <v>50587.228052330029</v>
      </c>
      <c r="S16" s="113">
        <v>52831.720446283085</v>
      </c>
      <c r="U16" s="7" t="s">
        <v>5964</v>
      </c>
    </row>
    <row r="17" spans="1:21" s="7" customFormat="1" ht="16.5" customHeight="1" thickBot="1">
      <c r="A17" s="207" t="s">
        <v>10</v>
      </c>
      <c r="B17" s="211">
        <f t="shared" si="0"/>
        <v>75</v>
      </c>
      <c r="C17" s="211" t="s">
        <v>3</v>
      </c>
      <c r="D17" s="211">
        <f t="shared" si="1"/>
        <v>260</v>
      </c>
      <c r="E17" s="211" t="s">
        <v>3</v>
      </c>
      <c r="F17" s="209">
        <f t="shared" si="2"/>
        <v>1050</v>
      </c>
      <c r="G17" s="211" t="s">
        <v>3</v>
      </c>
      <c r="H17" s="208">
        <v>2</v>
      </c>
      <c r="I17" s="210" t="s">
        <v>529</v>
      </c>
      <c r="J17" s="103">
        <v>75</v>
      </c>
      <c r="K17" s="66">
        <v>260</v>
      </c>
      <c r="L17" s="66">
        <v>1050</v>
      </c>
      <c r="M17" s="164">
        <v>10.134003059357894</v>
      </c>
      <c r="N17" s="78">
        <v>1989.4820400000001</v>
      </c>
      <c r="O17" s="113">
        <v>39766.347825393277</v>
      </c>
      <c r="P17" s="113">
        <v>42071.734833429509</v>
      </c>
      <c r="Q17" s="110">
        <v>13453.71501889202</v>
      </c>
      <c r="R17" s="113">
        <v>53220.062844285298</v>
      </c>
      <c r="S17" s="113">
        <v>55525.44985232153</v>
      </c>
      <c r="U17" s="7" t="s">
        <v>5965</v>
      </c>
    </row>
    <row r="18" spans="1:21" s="7" customFormat="1" ht="16.5" customHeight="1" thickBot="1">
      <c r="A18" s="207" t="s">
        <v>10</v>
      </c>
      <c r="B18" s="208">
        <f t="shared" si="0"/>
        <v>75</v>
      </c>
      <c r="C18" s="208" t="s">
        <v>3</v>
      </c>
      <c r="D18" s="208">
        <f t="shared" si="1"/>
        <v>260</v>
      </c>
      <c r="E18" s="208" t="s">
        <v>3</v>
      </c>
      <c r="F18" s="209">
        <f t="shared" si="2"/>
        <v>1100</v>
      </c>
      <c r="G18" s="208" t="s">
        <v>3</v>
      </c>
      <c r="H18" s="208">
        <v>2</v>
      </c>
      <c r="I18" s="210" t="s">
        <v>529</v>
      </c>
      <c r="J18" s="103">
        <v>75</v>
      </c>
      <c r="K18" s="66">
        <v>260</v>
      </c>
      <c r="L18" s="66">
        <v>1100</v>
      </c>
      <c r="M18" s="164">
        <v>10.541994827730658</v>
      </c>
      <c r="N18" s="78">
        <v>2131.5879</v>
      </c>
      <c r="O18" s="113">
        <v>41431.119856392834</v>
      </c>
      <c r="P18" s="113">
        <v>43813.090408341959</v>
      </c>
      <c r="Q18" s="110">
        <v>13924.170586371982</v>
      </c>
      <c r="R18" s="113">
        <v>55355.290442764817</v>
      </c>
      <c r="S18" s="113">
        <v>57737.260994713943</v>
      </c>
      <c r="U18" s="7" t="s">
        <v>5966</v>
      </c>
    </row>
    <row r="19" spans="1:21" s="7" customFormat="1" ht="16.5" customHeight="1" thickBot="1">
      <c r="A19" s="207" t="s">
        <v>10</v>
      </c>
      <c r="B19" s="211">
        <f t="shared" si="0"/>
        <v>75</v>
      </c>
      <c r="C19" s="211" t="s">
        <v>3</v>
      </c>
      <c r="D19" s="211">
        <f t="shared" si="1"/>
        <v>260</v>
      </c>
      <c r="E19" s="211" t="s">
        <v>3</v>
      </c>
      <c r="F19" s="209">
        <f t="shared" si="2"/>
        <v>1150</v>
      </c>
      <c r="G19" s="211" t="s">
        <v>3</v>
      </c>
      <c r="H19" s="208">
        <v>2</v>
      </c>
      <c r="I19" s="210" t="s">
        <v>529</v>
      </c>
      <c r="J19" s="103">
        <v>75</v>
      </c>
      <c r="K19" s="66">
        <v>260</v>
      </c>
      <c r="L19" s="66">
        <v>1150</v>
      </c>
      <c r="M19" s="164">
        <v>10.94998659610342</v>
      </c>
      <c r="N19" s="78">
        <v>2273.6937600000001</v>
      </c>
      <c r="O19" s="113">
        <v>42272.568614109507</v>
      </c>
      <c r="P19" s="113">
        <v>44783.573150886485</v>
      </c>
      <c r="Q19" s="110">
        <v>14394.626153851941</v>
      </c>
      <c r="R19" s="113">
        <v>56667.194767961446</v>
      </c>
      <c r="S19" s="113">
        <v>59178.199304738424</v>
      </c>
      <c r="U19" s="7" t="s">
        <v>5967</v>
      </c>
    </row>
    <row r="20" spans="1:21" s="7" customFormat="1" ht="16.5" customHeight="1" thickBot="1">
      <c r="A20" s="207" t="s">
        <v>10</v>
      </c>
      <c r="B20" s="211">
        <f t="shared" si="0"/>
        <v>75</v>
      </c>
      <c r="C20" s="211" t="s">
        <v>3</v>
      </c>
      <c r="D20" s="211">
        <f t="shared" si="1"/>
        <v>260</v>
      </c>
      <c r="E20" s="211" t="s">
        <v>3</v>
      </c>
      <c r="F20" s="209">
        <f t="shared" si="2"/>
        <v>1200</v>
      </c>
      <c r="G20" s="211" t="s">
        <v>3</v>
      </c>
      <c r="H20" s="208">
        <v>2</v>
      </c>
      <c r="I20" s="210" t="s">
        <v>529</v>
      </c>
      <c r="J20" s="103">
        <v>75</v>
      </c>
      <c r="K20" s="66">
        <v>260</v>
      </c>
      <c r="L20" s="66">
        <v>1200</v>
      </c>
      <c r="M20" s="164">
        <v>11.590268364476184</v>
      </c>
      <c r="N20" s="78">
        <v>2415.7996200000002</v>
      </c>
      <c r="O20" s="113">
        <v>43152.318704254736</v>
      </c>
      <c r="P20" s="113">
        <v>45789.917289319783</v>
      </c>
      <c r="Q20" s="110">
        <v>15116.415859115676</v>
      </c>
      <c r="R20" s="113">
        <v>58268.73456337041</v>
      </c>
      <c r="S20" s="113">
        <v>60906.333148435457</v>
      </c>
      <c r="U20" s="7" t="s">
        <v>5968</v>
      </c>
    </row>
    <row r="21" spans="1:21" s="7" customFormat="1" ht="16.5" customHeight="1" thickBot="1">
      <c r="A21" s="207" t="s">
        <v>10</v>
      </c>
      <c r="B21" s="211">
        <f t="shared" si="0"/>
        <v>75</v>
      </c>
      <c r="C21" s="211" t="s">
        <v>3</v>
      </c>
      <c r="D21" s="211">
        <f t="shared" si="1"/>
        <v>260</v>
      </c>
      <c r="E21" s="211" t="s">
        <v>3</v>
      </c>
      <c r="F21" s="209">
        <f t="shared" si="2"/>
        <v>1250</v>
      </c>
      <c r="G21" s="211" t="s">
        <v>3</v>
      </c>
      <c r="H21" s="208">
        <v>2</v>
      </c>
      <c r="I21" s="210" t="s">
        <v>529</v>
      </c>
      <c r="J21" s="103">
        <v>75</v>
      </c>
      <c r="K21" s="66">
        <v>260</v>
      </c>
      <c r="L21" s="66">
        <v>1250</v>
      </c>
      <c r="M21" s="164">
        <v>11.998260132848948</v>
      </c>
      <c r="N21" s="78">
        <v>2557.9054800000004</v>
      </c>
      <c r="O21" s="113">
        <v>43993.243131862015</v>
      </c>
      <c r="P21" s="113">
        <v>46759.909130888656</v>
      </c>
      <c r="Q21" s="110">
        <v>15586.871426595639</v>
      </c>
      <c r="R21" s="113">
        <v>59580.114558457652</v>
      </c>
      <c r="S21" s="113">
        <v>62346.780557484293</v>
      </c>
      <c r="U21" s="7" t="s">
        <v>5969</v>
      </c>
    </row>
    <row r="22" spans="1:21" s="7" customFormat="1" ht="16.5" customHeight="1" thickBot="1">
      <c r="A22" s="207" t="s">
        <v>10</v>
      </c>
      <c r="B22" s="211">
        <f t="shared" si="0"/>
        <v>75</v>
      </c>
      <c r="C22" s="211" t="s">
        <v>3</v>
      </c>
      <c r="D22" s="211">
        <f t="shared" si="1"/>
        <v>260</v>
      </c>
      <c r="E22" s="211" t="s">
        <v>3</v>
      </c>
      <c r="F22" s="209">
        <f t="shared" si="2"/>
        <v>1300</v>
      </c>
      <c r="G22" s="211" t="s">
        <v>3</v>
      </c>
      <c r="H22" s="208">
        <v>2</v>
      </c>
      <c r="I22" s="210" t="s">
        <v>529</v>
      </c>
      <c r="J22" s="103">
        <v>75</v>
      </c>
      <c r="K22" s="66">
        <v>260</v>
      </c>
      <c r="L22" s="66">
        <v>1300</v>
      </c>
      <c r="M22" s="164">
        <v>12.485291901221711</v>
      </c>
      <c r="N22" s="78">
        <v>2700.01134</v>
      </c>
      <c r="O22" s="113">
        <v>47507.26567330223</v>
      </c>
      <c r="P22" s="113">
        <v>50232.707306851917</v>
      </c>
      <c r="Q22" s="110">
        <v>16308.66113185937</v>
      </c>
      <c r="R22" s="113">
        <v>63815.926805161602</v>
      </c>
      <c r="S22" s="113">
        <v>66541.368438711288</v>
      </c>
      <c r="U22" s="7" t="s">
        <v>5970</v>
      </c>
    </row>
    <row r="23" spans="1:21" s="7" customFormat="1" ht="16.5" customHeight="1" thickBot="1">
      <c r="A23" s="207" t="s">
        <v>10</v>
      </c>
      <c r="B23" s="211">
        <f t="shared" si="0"/>
        <v>75</v>
      </c>
      <c r="C23" s="211" t="s">
        <v>3</v>
      </c>
      <c r="D23" s="211">
        <f t="shared" si="1"/>
        <v>260</v>
      </c>
      <c r="E23" s="211" t="s">
        <v>3</v>
      </c>
      <c r="F23" s="209">
        <f t="shared" si="2"/>
        <v>1350</v>
      </c>
      <c r="G23" s="211" t="s">
        <v>3</v>
      </c>
      <c r="H23" s="208">
        <v>2</v>
      </c>
      <c r="I23" s="210" t="s">
        <v>529</v>
      </c>
      <c r="J23" s="103">
        <v>75</v>
      </c>
      <c r="K23" s="66">
        <v>260</v>
      </c>
      <c r="L23" s="66">
        <v>1350</v>
      </c>
      <c r="M23" s="164">
        <v>12.893283669594476</v>
      </c>
      <c r="N23" s="78">
        <v>2842.1172000000001</v>
      </c>
      <c r="O23" s="113">
        <v>48620.359181579435</v>
      </c>
      <c r="P23" s="113">
        <v>51457.529565007135</v>
      </c>
      <c r="Q23" s="110">
        <v>16779.116699339331</v>
      </c>
      <c r="R23" s="113">
        <v>65399.475880918762</v>
      </c>
      <c r="S23" s="113">
        <v>68236.646264346462</v>
      </c>
      <c r="U23" s="7" t="s">
        <v>5971</v>
      </c>
    </row>
    <row r="24" spans="1:21" s="7" customFormat="1" ht="16.5" customHeight="1" thickBot="1">
      <c r="A24" s="207" t="s">
        <v>10</v>
      </c>
      <c r="B24" s="211">
        <f t="shared" si="0"/>
        <v>75</v>
      </c>
      <c r="C24" s="211" t="s">
        <v>3</v>
      </c>
      <c r="D24" s="211">
        <f t="shared" si="1"/>
        <v>260</v>
      </c>
      <c r="E24" s="211" t="s">
        <v>3</v>
      </c>
      <c r="F24" s="209">
        <f t="shared" si="2"/>
        <v>1400</v>
      </c>
      <c r="G24" s="211" t="s">
        <v>3</v>
      </c>
      <c r="H24" s="208">
        <v>2</v>
      </c>
      <c r="I24" s="210" t="s">
        <v>529</v>
      </c>
      <c r="J24" s="103">
        <v>75</v>
      </c>
      <c r="K24" s="66">
        <v>260</v>
      </c>
      <c r="L24" s="66">
        <v>1400</v>
      </c>
      <c r="M24" s="164">
        <v>13.318315437967236</v>
      </c>
      <c r="N24" s="78">
        <v>2984.2230600000003</v>
      </c>
      <c r="O24" s="113">
        <v>50089.900648996998</v>
      </c>
      <c r="P24" s="113">
        <v>53016.091905057292</v>
      </c>
      <c r="Q24" s="110">
        <v>17500.906404603062</v>
      </c>
      <c r="R24" s="113">
        <v>67590.80705360006</v>
      </c>
      <c r="S24" s="113">
        <v>70516.998309660354</v>
      </c>
      <c r="U24" s="7" t="s">
        <v>5972</v>
      </c>
    </row>
    <row r="25" spans="1:21" s="7" customFormat="1" ht="16.5" customHeight="1" thickBot="1">
      <c r="A25" s="207" t="s">
        <v>10</v>
      </c>
      <c r="B25" s="211">
        <f t="shared" si="0"/>
        <v>75</v>
      </c>
      <c r="C25" s="211" t="s">
        <v>3</v>
      </c>
      <c r="D25" s="211">
        <f t="shared" si="1"/>
        <v>260</v>
      </c>
      <c r="E25" s="211" t="s">
        <v>3</v>
      </c>
      <c r="F25" s="209">
        <f t="shared" si="2"/>
        <v>1450</v>
      </c>
      <c r="G25" s="211" t="s">
        <v>3</v>
      </c>
      <c r="H25" s="208">
        <v>2</v>
      </c>
      <c r="I25" s="210" t="s">
        <v>529</v>
      </c>
      <c r="J25" s="103">
        <v>75</v>
      </c>
      <c r="K25" s="66">
        <v>260</v>
      </c>
      <c r="L25" s="66">
        <v>1450</v>
      </c>
      <c r="M25" s="164">
        <v>13.72630720634</v>
      </c>
      <c r="N25" s="78">
        <v>3126.3289200000004</v>
      </c>
      <c r="O25" s="113">
        <v>51202.994157274203</v>
      </c>
      <c r="P25" s="113">
        <v>54240.91416321251</v>
      </c>
      <c r="Q25" s="110">
        <v>17971.361972083025</v>
      </c>
      <c r="R25" s="113">
        <v>69174.356129357227</v>
      </c>
      <c r="S25" s="113">
        <v>72212.276135295542</v>
      </c>
      <c r="U25" s="7" t="s">
        <v>5973</v>
      </c>
    </row>
    <row r="26" spans="1:21" s="7" customFormat="1" ht="16.5" customHeight="1" thickBot="1">
      <c r="A26" s="207" t="s">
        <v>10</v>
      </c>
      <c r="B26" s="211">
        <f t="shared" si="0"/>
        <v>75</v>
      </c>
      <c r="C26" s="211" t="s">
        <v>3</v>
      </c>
      <c r="D26" s="211">
        <f t="shared" si="1"/>
        <v>260</v>
      </c>
      <c r="E26" s="211" t="s">
        <v>3</v>
      </c>
      <c r="F26" s="209">
        <f t="shared" si="2"/>
        <v>1500</v>
      </c>
      <c r="G26" s="211" t="s">
        <v>3</v>
      </c>
      <c r="H26" s="208">
        <v>2</v>
      </c>
      <c r="I26" s="210" t="s">
        <v>529</v>
      </c>
      <c r="J26" s="103">
        <v>75</v>
      </c>
      <c r="K26" s="66">
        <v>260</v>
      </c>
      <c r="L26" s="66">
        <v>1500</v>
      </c>
      <c r="M26" s="164">
        <v>14.718103163512763</v>
      </c>
      <c r="N26" s="78">
        <v>3268.43478</v>
      </c>
      <c r="O26" s="113">
        <v>52816.502546643729</v>
      </c>
      <c r="P26" s="113">
        <v>56051.31976009658</v>
      </c>
      <c r="Q26" s="110">
        <v>18693.151677346756</v>
      </c>
      <c r="R26" s="113">
        <v>71509.654223990481</v>
      </c>
      <c r="S26" s="113">
        <v>74744.471437443339</v>
      </c>
      <c r="U26" s="7" t="s">
        <v>5974</v>
      </c>
    </row>
    <row r="27" spans="1:21" s="7" customFormat="1" ht="16.5" customHeight="1" thickBot="1">
      <c r="A27" s="207" t="s">
        <v>10</v>
      </c>
      <c r="B27" s="211">
        <f t="shared" si="0"/>
        <v>75</v>
      </c>
      <c r="C27" s="211" t="s">
        <v>3</v>
      </c>
      <c r="D27" s="211">
        <f t="shared" si="1"/>
        <v>260</v>
      </c>
      <c r="E27" s="211" t="s">
        <v>3</v>
      </c>
      <c r="F27" s="209">
        <f t="shared" si="2"/>
        <v>1550</v>
      </c>
      <c r="G27" s="211" t="s">
        <v>3</v>
      </c>
      <c r="H27" s="208">
        <v>2</v>
      </c>
      <c r="I27" s="210" t="s">
        <v>529</v>
      </c>
      <c r="J27" s="103">
        <v>75</v>
      </c>
      <c r="K27" s="66">
        <v>260</v>
      </c>
      <c r="L27" s="66">
        <v>1550</v>
      </c>
      <c r="M27" s="164">
        <v>15.195094931885528</v>
      </c>
      <c r="N27" s="78">
        <v>3410.5406400000002</v>
      </c>
      <c r="O27" s="113">
        <v>53929.596054921072</v>
      </c>
      <c r="P27" s="113">
        <v>57276.141888177342</v>
      </c>
      <c r="Q27" s="110">
        <v>19163.607244826719</v>
      </c>
      <c r="R27" s="113">
        <v>73093.203299747795</v>
      </c>
      <c r="S27" s="113">
        <v>76439.749133004065</v>
      </c>
      <c r="U27" s="7" t="s">
        <v>5975</v>
      </c>
    </row>
    <row r="28" spans="1:21" s="7" customFormat="1" ht="16.5" customHeight="1" thickBot="1">
      <c r="A28" s="207" t="s">
        <v>10</v>
      </c>
      <c r="B28" s="208">
        <f t="shared" si="0"/>
        <v>75</v>
      </c>
      <c r="C28" s="208" t="s">
        <v>3</v>
      </c>
      <c r="D28" s="208">
        <f t="shared" si="1"/>
        <v>260</v>
      </c>
      <c r="E28" s="208" t="s">
        <v>3</v>
      </c>
      <c r="F28" s="209">
        <f t="shared" si="2"/>
        <v>1600</v>
      </c>
      <c r="G28" s="208" t="s">
        <v>3</v>
      </c>
      <c r="H28" s="208">
        <v>2</v>
      </c>
      <c r="I28" s="210" t="s">
        <v>529</v>
      </c>
      <c r="J28" s="103">
        <v>75</v>
      </c>
      <c r="K28" s="66">
        <v>260</v>
      </c>
      <c r="L28" s="66">
        <v>1600</v>
      </c>
      <c r="M28" s="164">
        <v>15.60308670025829</v>
      </c>
      <c r="N28" s="78">
        <v>3552.6464999999998</v>
      </c>
      <c r="O28" s="113">
        <v>57163.874630074861</v>
      </c>
      <c r="P28" s="113">
        <v>60487.017598297491</v>
      </c>
      <c r="Q28" s="110">
        <v>19634.062812306682</v>
      </c>
      <c r="R28" s="113">
        <v>76797.937442381546</v>
      </c>
      <c r="S28" s="113">
        <v>80121.080410604176</v>
      </c>
      <c r="U28" s="7" t="s">
        <v>5976</v>
      </c>
    </row>
    <row r="29" spans="1:21" s="7" customFormat="1" ht="16.5" customHeight="1" thickBot="1">
      <c r="A29" s="207" t="s">
        <v>10</v>
      </c>
      <c r="B29" s="211">
        <f t="shared" si="0"/>
        <v>75</v>
      </c>
      <c r="C29" s="211" t="s">
        <v>3</v>
      </c>
      <c r="D29" s="211">
        <f t="shared" si="1"/>
        <v>260</v>
      </c>
      <c r="E29" s="211" t="s">
        <v>3</v>
      </c>
      <c r="F29" s="209">
        <f t="shared" si="2"/>
        <v>1650</v>
      </c>
      <c r="G29" s="211" t="s">
        <v>3</v>
      </c>
      <c r="H29" s="208">
        <v>2</v>
      </c>
      <c r="I29" s="210" t="s">
        <v>529</v>
      </c>
      <c r="J29" s="103">
        <v>75</v>
      </c>
      <c r="K29" s="66">
        <v>260</v>
      </c>
      <c r="L29" s="66">
        <v>1650</v>
      </c>
      <c r="M29" s="164">
        <v>16.066118468631053</v>
      </c>
      <c r="N29" s="78">
        <v>3694.7523600000004</v>
      </c>
      <c r="O29" s="113">
        <v>60673.116805390033</v>
      </c>
      <c r="P29" s="113">
        <v>63955.339912423988</v>
      </c>
      <c r="Q29" s="110">
        <v>20355.852364541646</v>
      </c>
      <c r="R29" s="113">
        <v>81028.969169931675</v>
      </c>
      <c r="S29" s="113">
        <v>84311.192276965638</v>
      </c>
      <c r="U29" s="7" t="s">
        <v>5977</v>
      </c>
    </row>
    <row r="30" spans="1:21" s="7" customFormat="1" ht="16.5" customHeight="1" thickBot="1">
      <c r="A30" s="207" t="s">
        <v>10</v>
      </c>
      <c r="B30" s="211">
        <f t="shared" si="0"/>
        <v>75</v>
      </c>
      <c r="C30" s="211" t="s">
        <v>3</v>
      </c>
      <c r="D30" s="211">
        <f t="shared" si="1"/>
        <v>260</v>
      </c>
      <c r="E30" s="211" t="s">
        <v>3</v>
      </c>
      <c r="F30" s="209">
        <f t="shared" si="2"/>
        <v>1700</v>
      </c>
      <c r="G30" s="211" t="s">
        <v>3</v>
      </c>
      <c r="H30" s="208">
        <v>2</v>
      </c>
      <c r="I30" s="210" t="s">
        <v>529</v>
      </c>
      <c r="J30" s="103">
        <v>75</v>
      </c>
      <c r="K30" s="66">
        <v>260</v>
      </c>
      <c r="L30" s="66">
        <v>1700</v>
      </c>
      <c r="M30" s="164">
        <v>16.474110237003817</v>
      </c>
      <c r="N30" s="78">
        <v>3836.8582200000005</v>
      </c>
      <c r="O30" s="113">
        <v>61562.599586208707</v>
      </c>
      <c r="P30" s="113">
        <v>64970.796676625883</v>
      </c>
      <c r="Q30" s="110">
        <v>20826.307932021609</v>
      </c>
      <c r="R30" s="113">
        <v>82388.90751823032</v>
      </c>
      <c r="S30" s="113">
        <v>85797.104608647496</v>
      </c>
      <c r="U30" s="7" t="s">
        <v>5978</v>
      </c>
    </row>
    <row r="31" spans="1:21" s="7" customFormat="1" ht="16.5" customHeight="1" thickBot="1">
      <c r="A31" s="207" t="s">
        <v>10</v>
      </c>
      <c r="B31" s="211">
        <f t="shared" si="0"/>
        <v>75</v>
      </c>
      <c r="C31" s="211" t="s">
        <v>3</v>
      </c>
      <c r="D31" s="211">
        <f t="shared" si="1"/>
        <v>260</v>
      </c>
      <c r="E31" s="211" t="s">
        <v>3</v>
      </c>
      <c r="F31" s="209">
        <f t="shared" si="2"/>
        <v>1750</v>
      </c>
      <c r="G31" s="211" t="s">
        <v>3</v>
      </c>
      <c r="H31" s="208">
        <v>2</v>
      </c>
      <c r="I31" s="210" t="s">
        <v>529</v>
      </c>
      <c r="J31" s="103">
        <v>75</v>
      </c>
      <c r="K31" s="66">
        <v>260</v>
      </c>
      <c r="L31" s="66">
        <v>1750</v>
      </c>
      <c r="M31" s="164">
        <v>16.899142005376579</v>
      </c>
      <c r="N31" s="78">
        <v>3978.9640800000002</v>
      </c>
      <c r="O31" s="113">
        <v>62369.074706160303</v>
      </c>
      <c r="P31" s="113">
        <v>65908.533956739935</v>
      </c>
      <c r="Q31" s="110">
        <v>21548.09763728534</v>
      </c>
      <c r="R31" s="113">
        <v>83917.172343445651</v>
      </c>
      <c r="S31" s="113">
        <v>87456.631594025268</v>
      </c>
      <c r="U31" s="7" t="s">
        <v>5979</v>
      </c>
    </row>
    <row r="32" spans="1:21" s="7" customFormat="1" ht="16.5" customHeight="1" thickBot="1">
      <c r="A32" s="207" t="s">
        <v>10</v>
      </c>
      <c r="B32" s="211">
        <f t="shared" si="0"/>
        <v>75</v>
      </c>
      <c r="C32" s="211" t="s">
        <v>3</v>
      </c>
      <c r="D32" s="211">
        <f t="shared" si="1"/>
        <v>260</v>
      </c>
      <c r="E32" s="211" t="s">
        <v>3</v>
      </c>
      <c r="F32" s="209">
        <f t="shared" si="2"/>
        <v>1800</v>
      </c>
      <c r="G32" s="211" t="s">
        <v>3</v>
      </c>
      <c r="H32" s="208">
        <v>2</v>
      </c>
      <c r="I32" s="210" t="s">
        <v>529</v>
      </c>
      <c r="J32" s="103">
        <v>75</v>
      </c>
      <c r="K32" s="66">
        <v>260</v>
      </c>
      <c r="L32" s="66">
        <v>1800</v>
      </c>
      <c r="M32" s="164">
        <v>17.376133773749345</v>
      </c>
      <c r="N32" s="78">
        <v>4121.0699400000003</v>
      </c>
      <c r="O32" s="113">
        <v>63259.316861620158</v>
      </c>
      <c r="P32" s="113">
        <v>66924.70157781303</v>
      </c>
      <c r="Q32" s="110">
        <v>22018.553204765303</v>
      </c>
      <c r="R32" s="113">
        <v>85277.870066385454</v>
      </c>
      <c r="S32" s="113">
        <v>88943.254782578326</v>
      </c>
      <c r="U32" s="7" t="s">
        <v>5980</v>
      </c>
    </row>
    <row r="33" spans="1:21" s="7" customFormat="1" ht="16.5" customHeight="1" thickBot="1">
      <c r="A33" s="207" t="s">
        <v>10</v>
      </c>
      <c r="B33" s="211">
        <f t="shared" si="0"/>
        <v>75</v>
      </c>
      <c r="C33" s="211" t="s">
        <v>3</v>
      </c>
      <c r="D33" s="211">
        <f t="shared" si="1"/>
        <v>260</v>
      </c>
      <c r="E33" s="211" t="s">
        <v>3</v>
      </c>
      <c r="F33" s="209">
        <f t="shared" si="2"/>
        <v>1850</v>
      </c>
      <c r="G33" s="211" t="s">
        <v>3</v>
      </c>
      <c r="H33" s="208">
        <v>2</v>
      </c>
      <c r="I33" s="210" t="s">
        <v>529</v>
      </c>
      <c r="J33" s="103">
        <v>75</v>
      </c>
      <c r="K33" s="66">
        <v>260</v>
      </c>
      <c r="L33" s="66">
        <v>1850</v>
      </c>
      <c r="M33" s="164">
        <v>17.863165542122108</v>
      </c>
      <c r="N33" s="78">
        <v>4263.1758</v>
      </c>
      <c r="O33" s="113">
        <v>64149.506467002073</v>
      </c>
      <c r="P33" s="113">
        <v>67940.820160818344</v>
      </c>
      <c r="Q33" s="110">
        <v>22740.342910029034</v>
      </c>
      <c r="R33" s="113">
        <v>86889.849377031103</v>
      </c>
      <c r="S33" s="113">
        <v>90681.163070847382</v>
      </c>
      <c r="U33" s="7" t="s">
        <v>5981</v>
      </c>
    </row>
    <row r="34" spans="1:21" s="7" customFormat="1" ht="16.5" customHeight="1" thickBot="1">
      <c r="A34" s="207" t="s">
        <v>10</v>
      </c>
      <c r="B34" s="211">
        <f t="shared" si="0"/>
        <v>75</v>
      </c>
      <c r="C34" s="211" t="s">
        <v>3</v>
      </c>
      <c r="D34" s="211">
        <f t="shared" si="1"/>
        <v>260</v>
      </c>
      <c r="E34" s="211" t="s">
        <v>3</v>
      </c>
      <c r="F34" s="209">
        <f t="shared" si="2"/>
        <v>1900</v>
      </c>
      <c r="G34" s="211" t="s">
        <v>3</v>
      </c>
      <c r="H34" s="208">
        <v>2</v>
      </c>
      <c r="I34" s="210" t="s">
        <v>529</v>
      </c>
      <c r="J34" s="103">
        <v>75</v>
      </c>
      <c r="K34" s="66">
        <v>260</v>
      </c>
      <c r="L34" s="66">
        <v>1900</v>
      </c>
      <c r="M34" s="164">
        <v>18.271157310494871</v>
      </c>
      <c r="N34" s="78">
        <v>4405.2816600000006</v>
      </c>
      <c r="O34" s="113">
        <v>65230.505405398377</v>
      </c>
      <c r="P34" s="113">
        <v>69135.592359303351</v>
      </c>
      <c r="Q34" s="110">
        <v>23210.798477508997</v>
      </c>
      <c r="R34" s="113">
        <v>88441.303882907378</v>
      </c>
      <c r="S34" s="113">
        <v>92346.390836812352</v>
      </c>
      <c r="U34" s="7" t="s">
        <v>5982</v>
      </c>
    </row>
    <row r="35" spans="1:21" s="7" customFormat="1" ht="16.5" customHeight="1" thickBot="1">
      <c r="A35" s="207" t="s">
        <v>10</v>
      </c>
      <c r="B35" s="211">
        <f t="shared" si="0"/>
        <v>75</v>
      </c>
      <c r="C35" s="211" t="s">
        <v>3</v>
      </c>
      <c r="D35" s="211">
        <f t="shared" si="1"/>
        <v>260</v>
      </c>
      <c r="E35" s="211" t="s">
        <v>3</v>
      </c>
      <c r="F35" s="209">
        <f t="shared" si="2"/>
        <v>1950</v>
      </c>
      <c r="G35" s="211" t="s">
        <v>3</v>
      </c>
      <c r="H35" s="208">
        <v>2</v>
      </c>
      <c r="I35" s="210" t="s">
        <v>529</v>
      </c>
      <c r="J35" s="103">
        <v>75</v>
      </c>
      <c r="K35" s="66">
        <v>260</v>
      </c>
      <c r="L35" s="66">
        <v>1950</v>
      </c>
      <c r="M35" s="164">
        <v>18.832399078867631</v>
      </c>
      <c r="N35" s="78">
        <v>4547.3875200000002</v>
      </c>
      <c r="O35" s="113">
        <v>66485.033676302599</v>
      </c>
      <c r="P35" s="113">
        <v>70492.839122909398</v>
      </c>
      <c r="Q35" s="110">
        <v>23681.25404498896</v>
      </c>
      <c r="R35" s="113">
        <v>90166.287721291563</v>
      </c>
      <c r="S35" s="113">
        <v>94174.093167898362</v>
      </c>
      <c r="U35" s="7" t="s">
        <v>5983</v>
      </c>
    </row>
    <row r="36" spans="1:21" s="7" customFormat="1" ht="16.5" customHeight="1" thickBot="1">
      <c r="A36" s="207" t="s">
        <v>10</v>
      </c>
      <c r="B36" s="211">
        <f t="shared" si="0"/>
        <v>75</v>
      </c>
      <c r="C36" s="211" t="s">
        <v>3</v>
      </c>
      <c r="D36" s="211">
        <f t="shared" si="1"/>
        <v>260</v>
      </c>
      <c r="E36" s="211" t="s">
        <v>3</v>
      </c>
      <c r="F36" s="209">
        <f t="shared" si="2"/>
        <v>2000</v>
      </c>
      <c r="G36" s="211" t="s">
        <v>3</v>
      </c>
      <c r="H36" s="208">
        <v>2</v>
      </c>
      <c r="I36" s="210" t="s">
        <v>529</v>
      </c>
      <c r="J36" s="103">
        <v>75</v>
      </c>
      <c r="K36" s="66">
        <v>260</v>
      </c>
      <c r="L36" s="66">
        <v>2000</v>
      </c>
      <c r="M36" s="164">
        <v>19.348993247240394</v>
      </c>
      <c r="N36" s="78">
        <v>4689.4933799999999</v>
      </c>
      <c r="O36" s="113">
        <v>67600.070496868138</v>
      </c>
      <c r="P36" s="113">
        <v>71926.861160168177</v>
      </c>
      <c r="Q36" s="110">
        <v>24403.043750252691</v>
      </c>
      <c r="R36" s="113">
        <v>92003.11424712083</v>
      </c>
      <c r="S36" s="113">
        <v>96329.904910420868</v>
      </c>
      <c r="U36" s="7" t="s">
        <v>5984</v>
      </c>
    </row>
    <row r="37" spans="1:21" s="7" customFormat="1" ht="16.5" customHeight="1" thickBot="1">
      <c r="A37" s="207" t="s">
        <v>10</v>
      </c>
      <c r="B37" s="211">
        <f t="shared" si="0"/>
        <v>75</v>
      </c>
      <c r="C37" s="211" t="s">
        <v>3</v>
      </c>
      <c r="D37" s="211">
        <f t="shared" si="1"/>
        <v>260</v>
      </c>
      <c r="E37" s="211" t="s">
        <v>3</v>
      </c>
      <c r="F37" s="209">
        <f t="shared" si="2"/>
        <v>2050</v>
      </c>
      <c r="G37" s="211" t="s">
        <v>3</v>
      </c>
      <c r="H37" s="208">
        <v>2</v>
      </c>
      <c r="I37" s="210" t="s">
        <v>529</v>
      </c>
      <c r="J37" s="103">
        <v>75</v>
      </c>
      <c r="K37" s="66">
        <v>260</v>
      </c>
      <c r="L37" s="66">
        <v>2050</v>
      </c>
      <c r="M37" s="164">
        <v>19.756985015613161</v>
      </c>
      <c r="N37" s="78">
        <v>4831.5992400000005</v>
      </c>
      <c r="O37" s="113">
        <v>70827.187823157568</v>
      </c>
      <c r="P37" s="113">
        <v>75131.031662446912</v>
      </c>
      <c r="Q37" s="110">
        <v>24873.499317732651</v>
      </c>
      <c r="R37" s="113">
        <v>95700.687140890223</v>
      </c>
      <c r="S37" s="113">
        <v>100004.53098017957</v>
      </c>
      <c r="U37" s="7" t="s">
        <v>5985</v>
      </c>
    </row>
    <row r="38" spans="1:21" s="7" customFormat="1" ht="16.5" customHeight="1" thickBot="1">
      <c r="A38" s="207" t="s">
        <v>10</v>
      </c>
      <c r="B38" s="208">
        <f t="shared" si="0"/>
        <v>75</v>
      </c>
      <c r="C38" s="208" t="s">
        <v>3</v>
      </c>
      <c r="D38" s="208">
        <f t="shared" si="1"/>
        <v>260</v>
      </c>
      <c r="E38" s="208" t="s">
        <v>3</v>
      </c>
      <c r="F38" s="209">
        <f t="shared" si="2"/>
        <v>2100</v>
      </c>
      <c r="G38" s="208" t="s">
        <v>3</v>
      </c>
      <c r="H38" s="208">
        <v>2</v>
      </c>
      <c r="I38" s="210" t="s">
        <v>529</v>
      </c>
      <c r="J38" s="103">
        <v>75</v>
      </c>
      <c r="K38" s="66">
        <v>260</v>
      </c>
      <c r="L38" s="66">
        <v>2100</v>
      </c>
      <c r="M38" s="164">
        <v>20.182016783985919</v>
      </c>
      <c r="N38" s="78">
        <v>4973.705100000001</v>
      </c>
      <c r="O38" s="113">
        <v>71784.880995370811</v>
      </c>
      <c r="P38" s="113">
        <v>76210.353420880318</v>
      </c>
      <c r="Q38" s="110">
        <v>25595.289022996385</v>
      </c>
      <c r="R38" s="113">
        <v>97380.170018367193</v>
      </c>
      <c r="S38" s="113">
        <v>101805.6424438767</v>
      </c>
      <c r="U38" s="7" t="s">
        <v>5986</v>
      </c>
    </row>
    <row r="39" spans="1:21" s="7" customFormat="1" ht="16.5" customHeight="1" thickBot="1">
      <c r="A39" s="207" t="s">
        <v>10</v>
      </c>
      <c r="B39" s="211">
        <f t="shared" si="0"/>
        <v>75</v>
      </c>
      <c r="C39" s="211" t="s">
        <v>3</v>
      </c>
      <c r="D39" s="211">
        <f t="shared" si="1"/>
        <v>260</v>
      </c>
      <c r="E39" s="211" t="s">
        <v>3</v>
      </c>
      <c r="F39" s="209">
        <f t="shared" si="2"/>
        <v>2150</v>
      </c>
      <c r="G39" s="211" t="s">
        <v>3</v>
      </c>
      <c r="H39" s="208">
        <v>2</v>
      </c>
      <c r="I39" s="210" t="s">
        <v>529</v>
      </c>
      <c r="J39" s="103">
        <v>75</v>
      </c>
      <c r="K39" s="66">
        <v>260</v>
      </c>
      <c r="L39" s="66">
        <v>2150</v>
      </c>
      <c r="M39" s="164">
        <v>20.714008552358685</v>
      </c>
      <c r="N39" s="78">
        <v>5115.8109600000007</v>
      </c>
      <c r="O39" s="113">
        <v>72903.477043121442</v>
      </c>
      <c r="P39" s="113">
        <v>77440.327667865116</v>
      </c>
      <c r="Q39" s="110">
        <v>26065.744590476344</v>
      </c>
      <c r="R39" s="113">
        <v>98969.221633597786</v>
      </c>
      <c r="S39" s="113">
        <v>103506.07225834146</v>
      </c>
      <c r="U39" s="7" t="s">
        <v>5987</v>
      </c>
    </row>
    <row r="40" spans="1:21" s="7" customFormat="1" ht="16.5" customHeight="1" thickBot="1">
      <c r="A40" s="207" t="s">
        <v>10</v>
      </c>
      <c r="B40" s="211">
        <f t="shared" si="0"/>
        <v>75</v>
      </c>
      <c r="C40" s="211" t="s">
        <v>3</v>
      </c>
      <c r="D40" s="211">
        <f t="shared" si="1"/>
        <v>260</v>
      </c>
      <c r="E40" s="211" t="s">
        <v>3</v>
      </c>
      <c r="F40" s="209">
        <f t="shared" si="2"/>
        <v>2200</v>
      </c>
      <c r="G40" s="211" t="s">
        <v>3</v>
      </c>
      <c r="H40" s="208">
        <v>2</v>
      </c>
      <c r="I40" s="210" t="s">
        <v>529</v>
      </c>
      <c r="J40" s="103">
        <v>75</v>
      </c>
      <c r="K40" s="66">
        <v>260</v>
      </c>
      <c r="L40" s="66">
        <v>2200</v>
      </c>
      <c r="M40" s="164">
        <v>21.139040320731446</v>
      </c>
      <c r="N40" s="78">
        <v>5257.9168200000004</v>
      </c>
      <c r="O40" s="113">
        <v>74022.020670868587</v>
      </c>
      <c r="P40" s="113">
        <v>78670.252746707934</v>
      </c>
      <c r="Q40" s="110">
        <v>26787.534295740079</v>
      </c>
      <c r="R40" s="113">
        <v>100809.55496660867</v>
      </c>
      <c r="S40" s="113">
        <v>105457.78704244801</v>
      </c>
      <c r="U40" s="7" t="s">
        <v>5988</v>
      </c>
    </row>
    <row r="41" spans="1:21" s="7" customFormat="1" ht="16.5" customHeight="1" thickBot="1">
      <c r="A41" s="207" t="s">
        <v>10</v>
      </c>
      <c r="B41" s="211">
        <f t="shared" si="0"/>
        <v>75</v>
      </c>
      <c r="C41" s="211" t="s">
        <v>3</v>
      </c>
      <c r="D41" s="211">
        <f t="shared" si="1"/>
        <v>260</v>
      </c>
      <c r="E41" s="211" t="s">
        <v>3</v>
      </c>
      <c r="F41" s="209">
        <f t="shared" si="2"/>
        <v>2250</v>
      </c>
      <c r="G41" s="211" t="s">
        <v>3</v>
      </c>
      <c r="H41" s="208">
        <v>2</v>
      </c>
      <c r="I41" s="210" t="s">
        <v>529</v>
      </c>
      <c r="J41" s="103">
        <v>75</v>
      </c>
      <c r="K41" s="66">
        <v>260</v>
      </c>
      <c r="L41" s="66">
        <v>2250</v>
      </c>
      <c r="M41" s="164">
        <v>21.54703208910421</v>
      </c>
      <c r="N41" s="78">
        <v>5400.02268</v>
      </c>
      <c r="O41" s="113">
        <v>75488.940487739208</v>
      </c>
      <c r="P41" s="113">
        <v>80226.360451805434</v>
      </c>
      <c r="Q41" s="110">
        <v>27257.989710191272</v>
      </c>
      <c r="R41" s="113">
        <v>102746.93019793049</v>
      </c>
      <c r="S41" s="113">
        <v>107484.3501619967</v>
      </c>
      <c r="U41" s="7" t="s">
        <v>5989</v>
      </c>
    </row>
    <row r="42" spans="1:21" s="7" customFormat="1" ht="16.5" customHeight="1" thickBot="1">
      <c r="A42" s="207" t="s">
        <v>10</v>
      </c>
      <c r="B42" s="211">
        <f t="shared" si="0"/>
        <v>75</v>
      </c>
      <c r="C42" s="211" t="s">
        <v>3</v>
      </c>
      <c r="D42" s="211">
        <f t="shared" si="1"/>
        <v>260</v>
      </c>
      <c r="E42" s="211" t="s">
        <v>3</v>
      </c>
      <c r="F42" s="209">
        <f t="shared" si="2"/>
        <v>2300</v>
      </c>
      <c r="G42" s="211" t="s">
        <v>3</v>
      </c>
      <c r="H42" s="208">
        <v>2</v>
      </c>
      <c r="I42" s="210" t="s">
        <v>529</v>
      </c>
      <c r="J42" s="103">
        <v>75</v>
      </c>
      <c r="K42" s="66">
        <v>260</v>
      </c>
      <c r="L42" s="66">
        <v>2300</v>
      </c>
      <c r="M42" s="164">
        <v>21.955023857476974</v>
      </c>
      <c r="N42" s="78">
        <v>5542.1285399999997</v>
      </c>
      <c r="O42" s="113">
        <v>76342.717181562839</v>
      </c>
      <c r="P42" s="113">
        <v>81208.38574092566</v>
      </c>
      <c r="Q42" s="110">
        <v>27728.445277671239</v>
      </c>
      <c r="R42" s="113">
        <v>104071.16245923408</v>
      </c>
      <c r="S42" s="113">
        <v>108936.8310185969</v>
      </c>
      <c r="U42" s="7" t="s">
        <v>5990</v>
      </c>
    </row>
    <row r="43" spans="1:21" s="7" customFormat="1" ht="16.5" customHeight="1" thickBot="1">
      <c r="A43" s="207" t="s">
        <v>10</v>
      </c>
      <c r="B43" s="211">
        <f t="shared" si="0"/>
        <v>75</v>
      </c>
      <c r="C43" s="211" t="s">
        <v>3</v>
      </c>
      <c r="D43" s="211">
        <f t="shared" si="1"/>
        <v>260</v>
      </c>
      <c r="E43" s="211" t="s">
        <v>3</v>
      </c>
      <c r="F43" s="209">
        <f t="shared" si="2"/>
        <v>2350</v>
      </c>
      <c r="G43" s="211" t="s">
        <v>3</v>
      </c>
      <c r="H43" s="208">
        <v>2</v>
      </c>
      <c r="I43" s="210" t="s">
        <v>529</v>
      </c>
      <c r="J43" s="103">
        <v>75</v>
      </c>
      <c r="K43" s="66">
        <v>260</v>
      </c>
      <c r="L43" s="66">
        <v>2350</v>
      </c>
      <c r="M43" s="164">
        <v>22.380055625849735</v>
      </c>
      <c r="N43" s="78">
        <v>5684.2344000000003</v>
      </c>
      <c r="O43" s="113">
        <v>77196.441455382985</v>
      </c>
      <c r="P43" s="113">
        <v>82190.361991978119</v>
      </c>
      <c r="Q43" s="110">
        <v>28450.234982934966</v>
      </c>
      <c r="R43" s="113">
        <v>105646.67643831795</v>
      </c>
      <c r="S43" s="113">
        <v>110640.59697491309</v>
      </c>
      <c r="U43" s="7" t="s">
        <v>5991</v>
      </c>
    </row>
    <row r="44" spans="1:21" s="7" customFormat="1" ht="16.5" customHeight="1" thickBot="1">
      <c r="A44" s="207" t="s">
        <v>10</v>
      </c>
      <c r="B44" s="211">
        <f t="shared" si="0"/>
        <v>75</v>
      </c>
      <c r="C44" s="211" t="s">
        <v>3</v>
      </c>
      <c r="D44" s="211">
        <f t="shared" si="1"/>
        <v>260</v>
      </c>
      <c r="E44" s="211" t="s">
        <v>3</v>
      </c>
      <c r="F44" s="209">
        <f t="shared" si="2"/>
        <v>2400</v>
      </c>
      <c r="G44" s="211" t="s">
        <v>3</v>
      </c>
      <c r="H44" s="208">
        <v>2</v>
      </c>
      <c r="I44" s="210" t="s">
        <v>529</v>
      </c>
      <c r="J44" s="103">
        <v>75</v>
      </c>
      <c r="K44" s="66">
        <v>260</v>
      </c>
      <c r="L44" s="66">
        <v>2400</v>
      </c>
      <c r="M44" s="164">
        <v>22.788047394222502</v>
      </c>
      <c r="N44" s="78">
        <v>5826.3402599999999</v>
      </c>
      <c r="O44" s="113">
        <v>78050.113309199631</v>
      </c>
      <c r="P44" s="113">
        <v>83172.289204962784</v>
      </c>
      <c r="Q44" s="110">
        <v>28920.690550414929</v>
      </c>
      <c r="R44" s="113">
        <v>106970.80385961456</v>
      </c>
      <c r="S44" s="113">
        <v>112092.97975537772</v>
      </c>
      <c r="U44" s="7" t="s">
        <v>5992</v>
      </c>
    </row>
    <row r="45" spans="1:21" s="7" customFormat="1" ht="16.5" customHeight="1" thickBot="1">
      <c r="A45" s="207" t="s">
        <v>10</v>
      </c>
      <c r="B45" s="211">
        <f t="shared" si="0"/>
        <v>75</v>
      </c>
      <c r="C45" s="211" t="s">
        <v>3</v>
      </c>
      <c r="D45" s="211">
        <f t="shared" si="1"/>
        <v>260</v>
      </c>
      <c r="E45" s="211" t="s">
        <v>3</v>
      </c>
      <c r="F45" s="209">
        <f t="shared" si="2"/>
        <v>2450</v>
      </c>
      <c r="G45" s="211" t="s">
        <v>3</v>
      </c>
      <c r="H45" s="208">
        <v>2</v>
      </c>
      <c r="I45" s="210" t="s">
        <v>529</v>
      </c>
      <c r="J45" s="103">
        <v>75</v>
      </c>
      <c r="K45" s="66">
        <v>260</v>
      </c>
      <c r="L45" s="66">
        <v>2450</v>
      </c>
      <c r="M45" s="164">
        <v>23.893843351395265</v>
      </c>
      <c r="N45" s="78">
        <v>5968.4461200000005</v>
      </c>
      <c r="O45" s="113">
        <v>79404.14762410523</v>
      </c>
      <c r="P45" s="113">
        <v>84739.750848682976</v>
      </c>
      <c r="Q45" s="110">
        <v>29642.480255678664</v>
      </c>
      <c r="R45" s="113">
        <v>109046.62787978389</v>
      </c>
      <c r="S45" s="113">
        <v>114382.23110436164</v>
      </c>
      <c r="U45" s="7" t="s">
        <v>5993</v>
      </c>
    </row>
    <row r="46" spans="1:21" s="7" customFormat="1" ht="16.5" customHeight="1" thickBot="1">
      <c r="A46" s="207" t="s">
        <v>10</v>
      </c>
      <c r="B46" s="211">
        <f t="shared" si="0"/>
        <v>75</v>
      </c>
      <c r="C46" s="211" t="s">
        <v>3</v>
      </c>
      <c r="D46" s="211">
        <f t="shared" si="1"/>
        <v>260</v>
      </c>
      <c r="E46" s="211" t="s">
        <v>3</v>
      </c>
      <c r="F46" s="209">
        <f t="shared" si="2"/>
        <v>2500</v>
      </c>
      <c r="G46" s="211" t="s">
        <v>3</v>
      </c>
      <c r="H46" s="208">
        <v>2</v>
      </c>
      <c r="I46" s="210" t="s">
        <v>529</v>
      </c>
      <c r="J46" s="103">
        <v>75</v>
      </c>
      <c r="K46" s="66">
        <v>260</v>
      </c>
      <c r="L46" s="66">
        <v>2500</v>
      </c>
      <c r="M46" s="164">
        <v>24.318835119768032</v>
      </c>
      <c r="N46" s="78">
        <v>6110.5519800000002</v>
      </c>
      <c r="O46" s="113">
        <v>80257.714637914905</v>
      </c>
      <c r="P46" s="113">
        <v>85721.579855457632</v>
      </c>
      <c r="Q46" s="110">
        <v>30112.935823158623</v>
      </c>
      <c r="R46" s="113">
        <v>110370.65046107353</v>
      </c>
      <c r="S46" s="113">
        <v>115834.51567861626</v>
      </c>
      <c r="U46" s="7" t="s">
        <v>5994</v>
      </c>
    </row>
    <row r="47" spans="1:21" s="7" customFormat="1" ht="16.5" customHeight="1" thickBot="1">
      <c r="A47" s="207" t="s">
        <v>10</v>
      </c>
      <c r="B47" s="211">
        <f t="shared" si="0"/>
        <v>75</v>
      </c>
      <c r="C47" s="211" t="s">
        <v>3</v>
      </c>
      <c r="D47" s="211">
        <f t="shared" si="1"/>
        <v>260</v>
      </c>
      <c r="E47" s="211" t="s">
        <v>3</v>
      </c>
      <c r="F47" s="209">
        <f t="shared" si="2"/>
        <v>2550</v>
      </c>
      <c r="G47" s="211" t="s">
        <v>3</v>
      </c>
      <c r="H47" s="208">
        <v>2</v>
      </c>
      <c r="I47" s="210" t="s">
        <v>529</v>
      </c>
      <c r="J47" s="103">
        <v>75</v>
      </c>
      <c r="K47" s="66">
        <v>260</v>
      </c>
      <c r="L47" s="66">
        <v>2550</v>
      </c>
      <c r="M47" s="164">
        <v>24.74386688814079</v>
      </c>
      <c r="N47" s="78">
        <v>6252.6578400000008</v>
      </c>
      <c r="O47" s="113">
        <v>84702.055272969737</v>
      </c>
      <c r="P47" s="113">
        <v>90065.429522772974</v>
      </c>
      <c r="Q47" s="110">
        <v>30834.725528422357</v>
      </c>
      <c r="R47" s="113">
        <v>115536.7808013921</v>
      </c>
      <c r="S47" s="113">
        <v>120900.15505119532</v>
      </c>
      <c r="U47" s="7" t="s">
        <v>5995</v>
      </c>
    </row>
    <row r="48" spans="1:21" ht="16.5" customHeight="1" thickBot="1">
      <c r="A48" s="207" t="s">
        <v>10</v>
      </c>
      <c r="B48" s="208">
        <f t="shared" si="0"/>
        <v>75</v>
      </c>
      <c r="C48" s="208" t="s">
        <v>3</v>
      </c>
      <c r="D48" s="208">
        <f t="shared" si="1"/>
        <v>260</v>
      </c>
      <c r="E48" s="208" t="s">
        <v>3</v>
      </c>
      <c r="F48" s="209">
        <f t="shared" si="2"/>
        <v>2600</v>
      </c>
      <c r="G48" s="208" t="s">
        <v>3</v>
      </c>
      <c r="H48" s="208">
        <v>2</v>
      </c>
      <c r="I48" s="210" t="s">
        <v>529</v>
      </c>
      <c r="J48" s="103">
        <v>75</v>
      </c>
      <c r="K48" s="66">
        <v>260</v>
      </c>
      <c r="L48" s="66">
        <v>2600</v>
      </c>
      <c r="M48" s="164">
        <v>25.151858656513554</v>
      </c>
      <c r="N48" s="78">
        <v>6394.7637000000004</v>
      </c>
      <c r="O48" s="113">
        <v>85850.47531099584</v>
      </c>
      <c r="P48" s="113">
        <v>91323.327762537039</v>
      </c>
      <c r="Q48" s="110">
        <v>31305.181095902317</v>
      </c>
      <c r="R48" s="113">
        <v>117155.65640689815</v>
      </c>
      <c r="S48" s="113">
        <v>122628.50885843935</v>
      </c>
      <c r="U48" s="7" t="s">
        <v>5996</v>
      </c>
    </row>
    <row r="49" spans="1:21" ht="16.5" customHeight="1" thickBot="1">
      <c r="A49" s="207" t="s">
        <v>10</v>
      </c>
      <c r="B49" s="211">
        <f t="shared" si="0"/>
        <v>75</v>
      </c>
      <c r="C49" s="211" t="s">
        <v>3</v>
      </c>
      <c r="D49" s="211">
        <f t="shared" si="1"/>
        <v>260</v>
      </c>
      <c r="E49" s="211" t="s">
        <v>3</v>
      </c>
      <c r="F49" s="209">
        <f t="shared" si="2"/>
        <v>2650</v>
      </c>
      <c r="G49" s="211" t="s">
        <v>3</v>
      </c>
      <c r="H49" s="208">
        <v>2</v>
      </c>
      <c r="I49" s="210" t="s">
        <v>529</v>
      </c>
      <c r="J49" s="103">
        <v>75</v>
      </c>
      <c r="K49" s="66">
        <v>260</v>
      </c>
      <c r="L49" s="66">
        <v>2650</v>
      </c>
      <c r="M49" s="164">
        <v>25.683890424886322</v>
      </c>
      <c r="N49" s="78">
        <v>6536.8695600000001</v>
      </c>
      <c r="O49" s="113">
        <v>86529.519743794663</v>
      </c>
      <c r="P49" s="113">
        <v>92141.75230194506</v>
      </c>
      <c r="Q49" s="110">
        <v>32026.970801166051</v>
      </c>
      <c r="R49" s="113">
        <v>118556.49054496072</v>
      </c>
      <c r="S49" s="113">
        <v>124168.72310311112</v>
      </c>
      <c r="U49" s="7" t="s">
        <v>5997</v>
      </c>
    </row>
    <row r="50" spans="1:21" ht="16.5" customHeight="1" thickBot="1">
      <c r="A50" s="207" t="s">
        <v>10</v>
      </c>
      <c r="B50" s="211">
        <f t="shared" si="0"/>
        <v>75</v>
      </c>
      <c r="C50" s="211" t="s">
        <v>3</v>
      </c>
      <c r="D50" s="211">
        <f t="shared" si="1"/>
        <v>260</v>
      </c>
      <c r="E50" s="211" t="s">
        <v>3</v>
      </c>
      <c r="F50" s="209">
        <f t="shared" si="2"/>
        <v>2700</v>
      </c>
      <c r="G50" s="211" t="s">
        <v>3</v>
      </c>
      <c r="H50" s="208">
        <v>2</v>
      </c>
      <c r="I50" s="210" t="s">
        <v>529</v>
      </c>
      <c r="J50" s="103">
        <v>75</v>
      </c>
      <c r="K50" s="66">
        <v>260</v>
      </c>
      <c r="L50" s="66">
        <v>2700</v>
      </c>
      <c r="M50" s="164">
        <v>26.131132193259084</v>
      </c>
      <c r="N50" s="78">
        <v>6678.9754200000007</v>
      </c>
      <c r="O50" s="113">
        <v>87247.075319110474</v>
      </c>
      <c r="P50" s="113">
        <v>92996.234519587422</v>
      </c>
      <c r="Q50" s="110">
        <v>32497.426368646011</v>
      </c>
      <c r="R50" s="113">
        <v>119744.50168775648</v>
      </c>
      <c r="S50" s="113">
        <v>125493.66088823343</v>
      </c>
      <c r="U50" s="7" t="s">
        <v>5998</v>
      </c>
    </row>
    <row r="51" spans="1:21" ht="16.5" customHeight="1" thickBot="1">
      <c r="A51" s="207" t="s">
        <v>10</v>
      </c>
      <c r="B51" s="211">
        <f t="shared" si="0"/>
        <v>75</v>
      </c>
      <c r="C51" s="211" t="s">
        <v>3</v>
      </c>
      <c r="D51" s="211">
        <f t="shared" si="1"/>
        <v>260</v>
      </c>
      <c r="E51" s="211" t="s">
        <v>3</v>
      </c>
      <c r="F51" s="209">
        <f t="shared" si="2"/>
        <v>2750</v>
      </c>
      <c r="G51" s="211" t="s">
        <v>3</v>
      </c>
      <c r="H51" s="208">
        <v>2</v>
      </c>
      <c r="I51" s="210" t="s">
        <v>529</v>
      </c>
      <c r="J51" s="103">
        <v>75</v>
      </c>
      <c r="K51" s="66">
        <v>260</v>
      </c>
      <c r="L51" s="66">
        <v>2750</v>
      </c>
      <c r="M51" s="164">
        <v>26.539123961631848</v>
      </c>
      <c r="N51" s="78">
        <v>6821.0812800000003</v>
      </c>
      <c r="O51" s="113">
        <v>88015.12683665019</v>
      </c>
      <c r="P51" s="113">
        <v>93897.995938296372</v>
      </c>
      <c r="Q51" s="110">
        <v>32967.881936125974</v>
      </c>
      <c r="R51" s="113">
        <v>120983.00877277617</v>
      </c>
      <c r="S51" s="113">
        <v>126865.87787442235</v>
      </c>
      <c r="U51" s="7" t="s">
        <v>5999</v>
      </c>
    </row>
    <row r="52" spans="1:21" ht="16.5" customHeight="1" thickBot="1">
      <c r="A52" s="207" t="s">
        <v>10</v>
      </c>
      <c r="B52" s="211">
        <f t="shared" si="0"/>
        <v>75</v>
      </c>
      <c r="C52" s="211" t="s">
        <v>3</v>
      </c>
      <c r="D52" s="211">
        <f t="shared" si="1"/>
        <v>260</v>
      </c>
      <c r="E52" s="211" t="s">
        <v>3</v>
      </c>
      <c r="F52" s="209">
        <f t="shared" si="2"/>
        <v>2800</v>
      </c>
      <c r="G52" s="211" t="s">
        <v>3</v>
      </c>
      <c r="H52" s="208">
        <v>2</v>
      </c>
      <c r="I52" s="210" t="s">
        <v>529</v>
      </c>
      <c r="J52" s="103">
        <v>75</v>
      </c>
      <c r="K52" s="66">
        <v>260</v>
      </c>
      <c r="L52" s="66">
        <v>2800</v>
      </c>
      <c r="M52" s="164">
        <v>26.964155730004606</v>
      </c>
      <c r="N52" s="78">
        <v>6963.1871400000018</v>
      </c>
      <c r="O52" s="113">
        <v>88692.825779334526</v>
      </c>
      <c r="P52" s="113">
        <v>94715.160706652692</v>
      </c>
      <c r="Q52" s="110">
        <v>33689.671488360938</v>
      </c>
      <c r="R52" s="113">
        <v>122382.49726769546</v>
      </c>
      <c r="S52" s="113">
        <v>128404.83219501363</v>
      </c>
      <c r="U52" s="7" t="s">
        <v>6000</v>
      </c>
    </row>
    <row r="53" spans="1:21" ht="16.5" customHeight="1" thickBot="1">
      <c r="A53" s="207" t="s">
        <v>10</v>
      </c>
      <c r="B53" s="211">
        <f t="shared" si="0"/>
        <v>75</v>
      </c>
      <c r="C53" s="211" t="s">
        <v>3</v>
      </c>
      <c r="D53" s="211">
        <f t="shared" si="1"/>
        <v>260</v>
      </c>
      <c r="E53" s="211" t="s">
        <v>3</v>
      </c>
      <c r="F53" s="209">
        <f t="shared" si="2"/>
        <v>2850</v>
      </c>
      <c r="G53" s="211" t="s">
        <v>3</v>
      </c>
      <c r="H53" s="208">
        <v>2</v>
      </c>
      <c r="I53" s="210" t="s">
        <v>529</v>
      </c>
      <c r="J53" s="103">
        <v>75</v>
      </c>
      <c r="K53" s="66">
        <v>260</v>
      </c>
      <c r="L53" s="66">
        <v>2850</v>
      </c>
      <c r="M53" s="164">
        <v>27.372147498377373</v>
      </c>
      <c r="N53" s="78">
        <v>7105.2929999999997</v>
      </c>
      <c r="O53" s="113">
        <v>89370.472302015376</v>
      </c>
      <c r="P53" s="113">
        <v>95532.27630686677</v>
      </c>
      <c r="Q53" s="110">
        <v>34160.127055840901</v>
      </c>
      <c r="R53" s="113">
        <v>123530.59935785628</v>
      </c>
      <c r="S53" s="113">
        <v>129692.40336270767</v>
      </c>
      <c r="U53" s="7" t="s">
        <v>6001</v>
      </c>
    </row>
    <row r="54" spans="1:21" ht="16.5" customHeight="1" thickBot="1">
      <c r="A54" s="207" t="s">
        <v>10</v>
      </c>
      <c r="B54" s="211">
        <f t="shared" si="0"/>
        <v>75</v>
      </c>
      <c r="C54" s="211" t="s">
        <v>3</v>
      </c>
      <c r="D54" s="211">
        <f t="shared" si="1"/>
        <v>260</v>
      </c>
      <c r="E54" s="211" t="s">
        <v>3</v>
      </c>
      <c r="F54" s="209">
        <f t="shared" si="2"/>
        <v>2900</v>
      </c>
      <c r="G54" s="211" t="s">
        <v>3</v>
      </c>
      <c r="H54" s="208">
        <v>2</v>
      </c>
      <c r="I54" s="210" t="s">
        <v>529</v>
      </c>
      <c r="J54" s="103">
        <v>75</v>
      </c>
      <c r="K54" s="66">
        <v>260</v>
      </c>
      <c r="L54" s="66">
        <v>2900</v>
      </c>
      <c r="M54" s="164">
        <v>27.973179266750133</v>
      </c>
      <c r="N54" s="78">
        <v>7247.3988599999993</v>
      </c>
      <c r="O54" s="113">
        <v>90048.066404692727</v>
      </c>
      <c r="P54" s="113">
        <v>96349.342869013053</v>
      </c>
      <c r="Q54" s="110">
        <v>34881.916761104636</v>
      </c>
      <c r="R54" s="113">
        <v>124929.98316579737</v>
      </c>
      <c r="S54" s="113">
        <v>131231.25963011768</v>
      </c>
      <c r="U54" s="7" t="s">
        <v>6002</v>
      </c>
    </row>
    <row r="55" spans="1:21" ht="16.5" customHeight="1" thickBot="1">
      <c r="A55" s="207" t="s">
        <v>10</v>
      </c>
      <c r="B55" s="211">
        <f t="shared" si="0"/>
        <v>75</v>
      </c>
      <c r="C55" s="211" t="s">
        <v>3</v>
      </c>
      <c r="D55" s="211">
        <f t="shared" si="1"/>
        <v>260</v>
      </c>
      <c r="E55" s="211" t="s">
        <v>3</v>
      </c>
      <c r="F55" s="209">
        <f t="shared" si="2"/>
        <v>2950</v>
      </c>
      <c r="G55" s="211" t="s">
        <v>3</v>
      </c>
      <c r="H55" s="208">
        <v>2</v>
      </c>
      <c r="I55" s="210" t="s">
        <v>529</v>
      </c>
      <c r="J55" s="103">
        <v>75</v>
      </c>
      <c r="K55" s="66">
        <v>260</v>
      </c>
      <c r="L55" s="66">
        <v>2950</v>
      </c>
      <c r="M55" s="164">
        <v>28.381171035122897</v>
      </c>
      <c r="N55" s="78">
        <v>7389.5047200000008</v>
      </c>
      <c r="O55" s="113">
        <v>90725.608087366592</v>
      </c>
      <c r="P55" s="113">
        <v>97166.360393091571</v>
      </c>
      <c r="Q55" s="110">
        <v>35352.372328584599</v>
      </c>
      <c r="R55" s="113">
        <v>126077.9804159512</v>
      </c>
      <c r="S55" s="113">
        <v>132518.73272167618</v>
      </c>
      <c r="U55" s="7" t="s">
        <v>6003</v>
      </c>
    </row>
    <row r="56" spans="1:21" ht="16.5" customHeight="1" thickBot="1">
      <c r="A56" s="212" t="s">
        <v>10</v>
      </c>
      <c r="B56" s="213">
        <f t="shared" si="0"/>
        <v>75</v>
      </c>
      <c r="C56" s="213" t="s">
        <v>3</v>
      </c>
      <c r="D56" s="213">
        <f t="shared" si="1"/>
        <v>260</v>
      </c>
      <c r="E56" s="213" t="s">
        <v>3</v>
      </c>
      <c r="F56" s="214">
        <f t="shared" si="2"/>
        <v>3000</v>
      </c>
      <c r="G56" s="213" t="s">
        <v>3</v>
      </c>
      <c r="H56" s="215">
        <v>2</v>
      </c>
      <c r="I56" s="210" t="s">
        <v>529</v>
      </c>
      <c r="J56" s="287">
        <v>75</v>
      </c>
      <c r="K56" s="266">
        <v>260</v>
      </c>
      <c r="L56" s="266">
        <v>3000</v>
      </c>
      <c r="M56" s="249">
        <v>28.806202803495658</v>
      </c>
      <c r="N56" s="250">
        <v>7531.6105800000005</v>
      </c>
      <c r="O56" s="251">
        <v>93274.449330635456</v>
      </c>
      <c r="P56" s="251">
        <v>99735.465024460282</v>
      </c>
      <c r="Q56" s="252">
        <v>36074.162033848326</v>
      </c>
      <c r="R56" s="251">
        <v>129348.61136448378</v>
      </c>
      <c r="S56" s="251">
        <v>135809.6270583086</v>
      </c>
      <c r="U56" s="7" t="s">
        <v>6004</v>
      </c>
    </row>
    <row r="57" spans="1:21" ht="22.5" customHeight="1" thickBot="1">
      <c r="A57" s="3010" t="s">
        <v>43</v>
      </c>
      <c r="B57" s="3011"/>
      <c r="C57" s="3011"/>
      <c r="D57" s="3011"/>
      <c r="E57" s="3011"/>
      <c r="F57" s="3011"/>
      <c r="G57" s="3011"/>
      <c r="H57" s="3011"/>
      <c r="I57" s="3011"/>
      <c r="J57" s="3011"/>
      <c r="K57" s="3011"/>
      <c r="L57" s="3011"/>
      <c r="M57" s="3011"/>
      <c r="N57" s="3011"/>
      <c r="O57" s="3011"/>
      <c r="P57" s="3011"/>
      <c r="Q57" s="3011"/>
      <c r="R57" s="3011"/>
      <c r="S57" s="3012"/>
      <c r="U57" s="7"/>
    </row>
    <row r="58" spans="1:21" ht="16.5" thickBot="1">
      <c r="A58" s="2974" t="s">
        <v>112</v>
      </c>
      <c r="B58" s="2975"/>
      <c r="C58" s="2975"/>
      <c r="D58" s="2975"/>
      <c r="E58" s="2975"/>
      <c r="F58" s="2975"/>
      <c r="G58" s="2975"/>
      <c r="H58" s="2975"/>
      <c r="I58" s="2975"/>
      <c r="J58" s="2975"/>
      <c r="K58" s="2975"/>
      <c r="L58" s="2975"/>
      <c r="M58" s="2975"/>
      <c r="N58" s="2975"/>
      <c r="O58" s="2975"/>
      <c r="P58" s="2975"/>
      <c r="Q58" s="2975"/>
      <c r="R58" s="2975"/>
      <c r="S58" s="2976"/>
      <c r="U58" s="7"/>
    </row>
    <row r="59" spans="1:21" ht="16.5" thickBot="1">
      <c r="A59" s="207" t="s">
        <v>10</v>
      </c>
      <c r="B59" s="208">
        <f t="shared" ref="B59:B105" si="3">J59</f>
        <v>75</v>
      </c>
      <c r="C59" s="208" t="s">
        <v>3</v>
      </c>
      <c r="D59" s="208">
        <f t="shared" ref="D59:D105" si="4">K59</f>
        <v>300</v>
      </c>
      <c r="E59" s="208" t="s">
        <v>3</v>
      </c>
      <c r="F59" s="209">
        <f t="shared" ref="F59:F105" si="5">L59</f>
        <v>700</v>
      </c>
      <c r="G59" s="208" t="s">
        <v>3</v>
      </c>
      <c r="H59" s="208">
        <v>2</v>
      </c>
      <c r="I59" s="210" t="s">
        <v>529</v>
      </c>
      <c r="J59" s="286">
        <v>75</v>
      </c>
      <c r="K59" s="271">
        <v>300</v>
      </c>
      <c r="L59" s="271">
        <v>700</v>
      </c>
      <c r="M59" s="245">
        <v>7.7034759783274991</v>
      </c>
      <c r="N59" s="246">
        <v>1101.7024200000001</v>
      </c>
      <c r="O59" s="247">
        <v>28428.462080838741</v>
      </c>
      <c r="P59" s="247">
        <v>30560.297253487148</v>
      </c>
      <c r="Q59" s="248">
        <v>10240.289076749623</v>
      </c>
      <c r="R59" s="247">
        <v>38668.751157588362</v>
      </c>
      <c r="S59" s="247">
        <v>40800.586330236772</v>
      </c>
      <c r="U59" s="7" t="s">
        <v>6005</v>
      </c>
    </row>
    <row r="60" spans="1:21" ht="16.5" thickBot="1">
      <c r="A60" s="207" t="s">
        <v>10</v>
      </c>
      <c r="B60" s="211">
        <f t="shared" si="3"/>
        <v>75</v>
      </c>
      <c r="C60" s="211" t="s">
        <v>3</v>
      </c>
      <c r="D60" s="211">
        <f t="shared" si="4"/>
        <v>300</v>
      </c>
      <c r="E60" s="211" t="s">
        <v>3</v>
      </c>
      <c r="F60" s="209">
        <f t="shared" si="5"/>
        <v>750</v>
      </c>
      <c r="G60" s="211" t="s">
        <v>3</v>
      </c>
      <c r="H60" s="208">
        <v>2</v>
      </c>
      <c r="I60" s="210" t="s">
        <v>529</v>
      </c>
      <c r="J60" s="103">
        <v>75</v>
      </c>
      <c r="K60" s="66">
        <v>300</v>
      </c>
      <c r="L60" s="66">
        <v>750</v>
      </c>
      <c r="M60" s="164">
        <v>8.1433214545949983</v>
      </c>
      <c r="N60" s="78">
        <v>1259.0884800000003</v>
      </c>
      <c r="O60" s="113">
        <v>30110.154326415086</v>
      </c>
      <c r="P60" s="113">
        <v>32337.31768179388</v>
      </c>
      <c r="Q60" s="110">
        <v>10763.930709721371</v>
      </c>
      <c r="R60" s="113">
        <v>40874.085036136457</v>
      </c>
      <c r="S60" s="113">
        <v>43101.248391515255</v>
      </c>
      <c r="U60" s="7" t="s">
        <v>6006</v>
      </c>
    </row>
    <row r="61" spans="1:21" ht="16.5" thickBot="1">
      <c r="A61" s="207" t="s">
        <v>10</v>
      </c>
      <c r="B61" s="211">
        <f t="shared" si="3"/>
        <v>75</v>
      </c>
      <c r="C61" s="211" t="s">
        <v>3</v>
      </c>
      <c r="D61" s="211">
        <f t="shared" si="4"/>
        <v>300</v>
      </c>
      <c r="E61" s="211" t="s">
        <v>3</v>
      </c>
      <c r="F61" s="209">
        <f t="shared" si="5"/>
        <v>800</v>
      </c>
      <c r="G61" s="211" t="s">
        <v>3</v>
      </c>
      <c r="H61" s="208">
        <v>2</v>
      </c>
      <c r="I61" s="210" t="s">
        <v>529</v>
      </c>
      <c r="J61" s="103">
        <v>75</v>
      </c>
      <c r="K61" s="66">
        <v>300</v>
      </c>
      <c r="L61" s="66">
        <v>800</v>
      </c>
      <c r="M61" s="164">
        <v>8.5831669308625003</v>
      </c>
      <c r="N61" s="78">
        <v>1416.4745400000002</v>
      </c>
      <c r="O61" s="113">
        <v>31791.846702065883</v>
      </c>
      <c r="P61" s="113">
        <v>34114.338110100616</v>
      </c>
      <c r="Q61" s="110">
        <v>11287.572342693116</v>
      </c>
      <c r="R61" s="113">
        <v>43079.419044759001</v>
      </c>
      <c r="S61" s="113">
        <v>45401.910452793731</v>
      </c>
      <c r="U61" s="7" t="s">
        <v>6007</v>
      </c>
    </row>
    <row r="62" spans="1:21" ht="16.5" thickBot="1">
      <c r="A62" s="207" t="s">
        <v>10</v>
      </c>
      <c r="B62" s="211">
        <f t="shared" si="3"/>
        <v>75</v>
      </c>
      <c r="C62" s="211" t="s">
        <v>3</v>
      </c>
      <c r="D62" s="211">
        <f t="shared" si="4"/>
        <v>300</v>
      </c>
      <c r="E62" s="211" t="s">
        <v>3</v>
      </c>
      <c r="F62" s="209">
        <f t="shared" si="5"/>
        <v>850</v>
      </c>
      <c r="G62" s="211" t="s">
        <v>3</v>
      </c>
      <c r="H62" s="208">
        <v>2</v>
      </c>
      <c r="I62" s="210" t="s">
        <v>529</v>
      </c>
      <c r="J62" s="103">
        <v>75</v>
      </c>
      <c r="K62" s="66">
        <v>300</v>
      </c>
      <c r="L62" s="66">
        <v>850</v>
      </c>
      <c r="M62" s="164">
        <v>9.0400524071300001</v>
      </c>
      <c r="N62" s="78">
        <v>1573.8606000000002</v>
      </c>
      <c r="O62" s="113">
        <v>33473.539077716683</v>
      </c>
      <c r="P62" s="113">
        <v>35891.358538407345</v>
      </c>
      <c r="Q62" s="110">
        <v>12062.548266477399</v>
      </c>
      <c r="R62" s="113">
        <v>45536.087344194078</v>
      </c>
      <c r="S62" s="113">
        <v>47953.90680488474</v>
      </c>
      <c r="U62" s="7" t="s">
        <v>6008</v>
      </c>
    </row>
    <row r="63" spans="1:21" ht="16.5" thickBot="1">
      <c r="A63" s="207" t="s">
        <v>10</v>
      </c>
      <c r="B63" s="211">
        <f t="shared" si="3"/>
        <v>75</v>
      </c>
      <c r="C63" s="211" t="s">
        <v>3</v>
      </c>
      <c r="D63" s="211">
        <f t="shared" si="4"/>
        <v>300</v>
      </c>
      <c r="E63" s="211" t="s">
        <v>3</v>
      </c>
      <c r="F63" s="209">
        <f t="shared" si="5"/>
        <v>900</v>
      </c>
      <c r="G63" s="211" t="s">
        <v>3</v>
      </c>
      <c r="H63" s="208">
        <v>2</v>
      </c>
      <c r="I63" s="210" t="s">
        <v>529</v>
      </c>
      <c r="J63" s="103">
        <v>75</v>
      </c>
      <c r="K63" s="66">
        <v>300</v>
      </c>
      <c r="L63" s="66">
        <v>900</v>
      </c>
      <c r="M63" s="164">
        <v>9.5178978833975005</v>
      </c>
      <c r="N63" s="78">
        <v>1731.2466600000002</v>
      </c>
      <c r="O63" s="113">
        <v>35155.231323293025</v>
      </c>
      <c r="P63" s="113">
        <v>37668.378836639626</v>
      </c>
      <c r="Q63" s="110">
        <v>12586.189899449146</v>
      </c>
      <c r="R63" s="113">
        <v>47741.421222742167</v>
      </c>
      <c r="S63" s="113">
        <v>50254.568736088768</v>
      </c>
      <c r="U63" s="7" t="s">
        <v>6009</v>
      </c>
    </row>
    <row r="64" spans="1:21" ht="16.5" thickBot="1">
      <c r="A64" s="207" t="s">
        <v>10</v>
      </c>
      <c r="B64" s="211">
        <f t="shared" si="3"/>
        <v>75</v>
      </c>
      <c r="C64" s="211" t="s">
        <v>3</v>
      </c>
      <c r="D64" s="211">
        <f t="shared" si="4"/>
        <v>300</v>
      </c>
      <c r="E64" s="211" t="s">
        <v>3</v>
      </c>
      <c r="F64" s="209">
        <f t="shared" si="5"/>
        <v>950</v>
      </c>
      <c r="G64" s="211" t="s">
        <v>3</v>
      </c>
      <c r="H64" s="208">
        <v>2</v>
      </c>
      <c r="I64" s="210" t="s">
        <v>529</v>
      </c>
      <c r="J64" s="103">
        <v>75</v>
      </c>
      <c r="K64" s="66">
        <v>300</v>
      </c>
      <c r="L64" s="66">
        <v>950</v>
      </c>
      <c r="M64" s="164">
        <v>10.043783359664999</v>
      </c>
      <c r="N64" s="78">
        <v>1888.6327200000001</v>
      </c>
      <c r="O64" s="113">
        <v>36836.923698943821</v>
      </c>
      <c r="P64" s="113">
        <v>39445.399264946362</v>
      </c>
      <c r="Q64" s="110">
        <v>13361.165670204662</v>
      </c>
      <c r="R64" s="113">
        <v>50198.089369148482</v>
      </c>
      <c r="S64" s="113">
        <v>52806.564935151022</v>
      </c>
      <c r="U64" s="7" t="s">
        <v>6010</v>
      </c>
    </row>
    <row r="65" spans="1:21" ht="16.5" thickBot="1">
      <c r="A65" s="207" t="s">
        <v>10</v>
      </c>
      <c r="B65" s="211">
        <f t="shared" si="3"/>
        <v>75</v>
      </c>
      <c r="C65" s="211" t="s">
        <v>3</v>
      </c>
      <c r="D65" s="211">
        <f t="shared" si="4"/>
        <v>300</v>
      </c>
      <c r="E65" s="211" t="s">
        <v>3</v>
      </c>
      <c r="F65" s="209">
        <f t="shared" si="5"/>
        <v>1000</v>
      </c>
      <c r="G65" s="211" t="s">
        <v>3</v>
      </c>
      <c r="H65" s="208">
        <v>2</v>
      </c>
      <c r="I65" s="210" t="s">
        <v>529</v>
      </c>
      <c r="J65" s="103">
        <v>75</v>
      </c>
      <c r="K65" s="66">
        <v>300</v>
      </c>
      <c r="L65" s="66">
        <v>1000</v>
      </c>
      <c r="M65" s="164">
        <v>10.483628835932501</v>
      </c>
      <c r="N65" s="78">
        <v>2046.0187800000003</v>
      </c>
      <c r="O65" s="113">
        <v>38414.922023515122</v>
      </c>
      <c r="P65" s="113">
        <v>41125.331603209386</v>
      </c>
      <c r="Q65" s="110">
        <v>13884.807456205173</v>
      </c>
      <c r="R65" s="113">
        <v>52299.729479720292</v>
      </c>
      <c r="S65" s="113">
        <v>55010.139059414563</v>
      </c>
      <c r="U65" s="7" t="s">
        <v>6011</v>
      </c>
    </row>
    <row r="66" spans="1:21" ht="16.5" thickBot="1">
      <c r="A66" s="207" t="s">
        <v>10</v>
      </c>
      <c r="B66" s="211">
        <f t="shared" si="3"/>
        <v>75</v>
      </c>
      <c r="C66" s="211" t="s">
        <v>3</v>
      </c>
      <c r="D66" s="211">
        <f t="shared" si="4"/>
        <v>300</v>
      </c>
      <c r="E66" s="211" t="s">
        <v>3</v>
      </c>
      <c r="F66" s="209">
        <f t="shared" si="5"/>
        <v>1050</v>
      </c>
      <c r="G66" s="211" t="s">
        <v>3</v>
      </c>
      <c r="H66" s="208">
        <v>2</v>
      </c>
      <c r="I66" s="210" t="s">
        <v>529</v>
      </c>
      <c r="J66" s="103">
        <v>75</v>
      </c>
      <c r="K66" s="66">
        <v>300</v>
      </c>
      <c r="L66" s="66">
        <v>1050</v>
      </c>
      <c r="M66" s="164">
        <v>10.940514312200001</v>
      </c>
      <c r="N66" s="78">
        <v>2203.4048400000001</v>
      </c>
      <c r="O66" s="113">
        <v>40342.887477812219</v>
      </c>
      <c r="P66" s="113">
        <v>43132.936180332697</v>
      </c>
      <c r="Q66" s="110">
        <v>14659.78322696069</v>
      </c>
      <c r="R66" s="113">
        <v>55002.670704772907</v>
      </c>
      <c r="S66" s="113">
        <v>57792.719407293385</v>
      </c>
      <c r="U66" s="7" t="s">
        <v>6012</v>
      </c>
    </row>
    <row r="67" spans="1:21" ht="16.5" thickBot="1">
      <c r="A67" s="207" t="s">
        <v>10</v>
      </c>
      <c r="B67" s="208">
        <f t="shared" si="3"/>
        <v>75</v>
      </c>
      <c r="C67" s="208" t="s">
        <v>3</v>
      </c>
      <c r="D67" s="208">
        <f t="shared" si="4"/>
        <v>300</v>
      </c>
      <c r="E67" s="208" t="s">
        <v>3</v>
      </c>
      <c r="F67" s="209">
        <f t="shared" si="5"/>
        <v>1100</v>
      </c>
      <c r="G67" s="208" t="s">
        <v>3</v>
      </c>
      <c r="H67" s="208">
        <v>2</v>
      </c>
      <c r="I67" s="210" t="s">
        <v>529</v>
      </c>
      <c r="J67" s="103">
        <v>75</v>
      </c>
      <c r="K67" s="66">
        <v>300</v>
      </c>
      <c r="L67" s="66">
        <v>1100</v>
      </c>
      <c r="M67" s="164">
        <v>11.3803597884675</v>
      </c>
      <c r="N67" s="78">
        <v>2360.7909000000004</v>
      </c>
      <c r="O67" s="113">
        <v>42024.579853463016</v>
      </c>
      <c r="P67" s="113">
        <v>44909.956478564978</v>
      </c>
      <c r="Q67" s="110">
        <v>15183.425012961201</v>
      </c>
      <c r="R67" s="113">
        <v>57208.00486642422</v>
      </c>
      <c r="S67" s="113">
        <v>60093.381491526176</v>
      </c>
      <c r="U67" s="7" t="s">
        <v>6013</v>
      </c>
    </row>
    <row r="68" spans="1:21" ht="16.5" thickBot="1">
      <c r="A68" s="207" t="s">
        <v>10</v>
      </c>
      <c r="B68" s="211">
        <f t="shared" si="3"/>
        <v>75</v>
      </c>
      <c r="C68" s="211" t="s">
        <v>3</v>
      </c>
      <c r="D68" s="211">
        <f t="shared" si="4"/>
        <v>300</v>
      </c>
      <c r="E68" s="211" t="s">
        <v>3</v>
      </c>
      <c r="F68" s="209">
        <f t="shared" si="5"/>
        <v>1150</v>
      </c>
      <c r="G68" s="211" t="s">
        <v>3</v>
      </c>
      <c r="H68" s="208">
        <v>2</v>
      </c>
      <c r="I68" s="210" t="s">
        <v>529</v>
      </c>
      <c r="J68" s="103">
        <v>75</v>
      </c>
      <c r="K68" s="66">
        <v>300</v>
      </c>
      <c r="L68" s="66">
        <v>1150</v>
      </c>
      <c r="M68" s="164">
        <v>11.820205264735</v>
      </c>
      <c r="N68" s="78">
        <v>2518.1769600000007</v>
      </c>
      <c r="O68" s="113">
        <v>42882.948825756481</v>
      </c>
      <c r="P68" s="113">
        <v>45916.104074503783</v>
      </c>
      <c r="Q68" s="110">
        <v>15707.066645932946</v>
      </c>
      <c r="R68" s="113">
        <v>58590.015471689425</v>
      </c>
      <c r="S68" s="113">
        <v>61623.170720436727</v>
      </c>
      <c r="U68" s="7" t="s">
        <v>6014</v>
      </c>
    </row>
    <row r="69" spans="1:21" ht="16.5" thickBot="1">
      <c r="A69" s="207" t="s">
        <v>10</v>
      </c>
      <c r="B69" s="211">
        <f t="shared" si="3"/>
        <v>75</v>
      </c>
      <c r="C69" s="211" t="s">
        <v>3</v>
      </c>
      <c r="D69" s="211">
        <f t="shared" si="4"/>
        <v>300</v>
      </c>
      <c r="E69" s="211" t="s">
        <v>3</v>
      </c>
      <c r="F69" s="209">
        <f t="shared" si="5"/>
        <v>1200</v>
      </c>
      <c r="G69" s="211" t="s">
        <v>3</v>
      </c>
      <c r="H69" s="208">
        <v>2</v>
      </c>
      <c r="I69" s="210" t="s">
        <v>529</v>
      </c>
      <c r="J69" s="103">
        <v>75</v>
      </c>
      <c r="K69" s="66">
        <v>300</v>
      </c>
      <c r="L69" s="66">
        <v>1200</v>
      </c>
      <c r="M69" s="164">
        <v>12.492340741002501</v>
      </c>
      <c r="N69" s="78">
        <v>2675.5630200000001</v>
      </c>
      <c r="O69" s="113">
        <v>43779.619390627391</v>
      </c>
      <c r="P69" s="113">
        <v>46958.112936256905</v>
      </c>
      <c r="Q69" s="110">
        <v>16482.042416688462</v>
      </c>
      <c r="R69" s="113">
        <v>60261.661807315853</v>
      </c>
      <c r="S69" s="113">
        <v>63440.155352945367</v>
      </c>
      <c r="U69" s="7" t="s">
        <v>6015</v>
      </c>
    </row>
    <row r="70" spans="1:21" ht="16.5" thickBot="1">
      <c r="A70" s="207" t="s">
        <v>10</v>
      </c>
      <c r="B70" s="211">
        <f t="shared" si="3"/>
        <v>75</v>
      </c>
      <c r="C70" s="211" t="s">
        <v>3</v>
      </c>
      <c r="D70" s="211">
        <f t="shared" si="4"/>
        <v>300</v>
      </c>
      <c r="E70" s="211" t="s">
        <v>3</v>
      </c>
      <c r="F70" s="209">
        <f t="shared" si="5"/>
        <v>1250</v>
      </c>
      <c r="G70" s="211" t="s">
        <v>3</v>
      </c>
      <c r="H70" s="208">
        <v>2</v>
      </c>
      <c r="I70" s="210" t="s">
        <v>529</v>
      </c>
      <c r="J70" s="103">
        <v>75</v>
      </c>
      <c r="K70" s="66">
        <v>300</v>
      </c>
      <c r="L70" s="66">
        <v>1250</v>
      </c>
      <c r="M70" s="164">
        <v>12.932186217270001</v>
      </c>
      <c r="N70" s="78">
        <v>2832.9490800000003</v>
      </c>
      <c r="O70" s="113">
        <v>44637.464032811476</v>
      </c>
      <c r="P70" s="113">
        <v>47963.769501145609</v>
      </c>
      <c r="Q70" s="110">
        <v>17005.684202688975</v>
      </c>
      <c r="R70" s="113">
        <v>61643.148235500455</v>
      </c>
      <c r="S70" s="113">
        <v>64969.453703834588</v>
      </c>
      <c r="U70" s="7" t="s">
        <v>6016</v>
      </c>
    </row>
    <row r="71" spans="1:21" ht="16.5" thickBot="1">
      <c r="A71" s="207" t="s">
        <v>10</v>
      </c>
      <c r="B71" s="211">
        <f t="shared" si="3"/>
        <v>75</v>
      </c>
      <c r="C71" s="211" t="s">
        <v>3</v>
      </c>
      <c r="D71" s="211">
        <f t="shared" si="4"/>
        <v>300</v>
      </c>
      <c r="E71" s="211" t="s">
        <v>3</v>
      </c>
      <c r="F71" s="209">
        <f t="shared" si="5"/>
        <v>1300</v>
      </c>
      <c r="G71" s="211" t="s">
        <v>3</v>
      </c>
      <c r="H71" s="208">
        <v>2</v>
      </c>
      <c r="I71" s="210" t="s">
        <v>529</v>
      </c>
      <c r="J71" s="103">
        <v>75</v>
      </c>
      <c r="K71" s="66">
        <v>300</v>
      </c>
      <c r="L71" s="66">
        <v>1300</v>
      </c>
      <c r="M71" s="164">
        <v>13.4510716935375</v>
      </c>
      <c r="N71" s="78">
        <v>2990.3351400000001</v>
      </c>
      <c r="O71" s="113">
        <v>48168.406788828477</v>
      </c>
      <c r="P71" s="113">
        <v>51472.232530503148</v>
      </c>
      <c r="Q71" s="110">
        <v>17780.65997344449</v>
      </c>
      <c r="R71" s="113">
        <v>65949.066762272967</v>
      </c>
      <c r="S71" s="113">
        <v>69252.892503947631</v>
      </c>
      <c r="U71" s="7" t="s">
        <v>6017</v>
      </c>
    </row>
    <row r="72" spans="1:21" ht="16.5" thickBot="1">
      <c r="A72" s="207" t="s">
        <v>10</v>
      </c>
      <c r="B72" s="211">
        <f t="shared" si="3"/>
        <v>75</v>
      </c>
      <c r="C72" s="211" t="s">
        <v>3</v>
      </c>
      <c r="D72" s="211">
        <f t="shared" si="4"/>
        <v>300</v>
      </c>
      <c r="E72" s="211" t="s">
        <v>3</v>
      </c>
      <c r="F72" s="209">
        <f t="shared" si="5"/>
        <v>1350</v>
      </c>
      <c r="G72" s="211" t="s">
        <v>3</v>
      </c>
      <c r="H72" s="208">
        <v>2</v>
      </c>
      <c r="I72" s="210" t="s">
        <v>529</v>
      </c>
      <c r="J72" s="103">
        <v>75</v>
      </c>
      <c r="K72" s="66">
        <v>300</v>
      </c>
      <c r="L72" s="66">
        <v>1350</v>
      </c>
      <c r="M72" s="164">
        <v>13.890917169805</v>
      </c>
      <c r="N72" s="78">
        <v>3147.7212000000004</v>
      </c>
      <c r="O72" s="113">
        <v>49298.420511682474</v>
      </c>
      <c r="P72" s="113">
        <v>52732.719381903742</v>
      </c>
      <c r="Q72" s="110">
        <v>18304.301606416237</v>
      </c>
      <c r="R72" s="113">
        <v>67602.722118098711</v>
      </c>
      <c r="S72" s="113">
        <v>71037.020988319971</v>
      </c>
      <c r="U72" s="7" t="s">
        <v>6018</v>
      </c>
    </row>
    <row r="73" spans="1:21" ht="16.5" thickBot="1">
      <c r="A73" s="207" t="s">
        <v>10</v>
      </c>
      <c r="B73" s="211">
        <f t="shared" si="3"/>
        <v>75</v>
      </c>
      <c r="C73" s="211" t="s">
        <v>3</v>
      </c>
      <c r="D73" s="211">
        <f t="shared" si="4"/>
        <v>300</v>
      </c>
      <c r="E73" s="211" t="s">
        <v>3</v>
      </c>
      <c r="F73" s="209">
        <f t="shared" si="5"/>
        <v>1400</v>
      </c>
      <c r="G73" s="211" t="s">
        <v>3</v>
      </c>
      <c r="H73" s="208">
        <v>2</v>
      </c>
      <c r="I73" s="210" t="s">
        <v>529</v>
      </c>
      <c r="J73" s="103">
        <v>75</v>
      </c>
      <c r="K73" s="66">
        <v>300</v>
      </c>
      <c r="L73" s="66">
        <v>1400</v>
      </c>
      <c r="M73" s="164">
        <v>14.3478026460725</v>
      </c>
      <c r="N73" s="78">
        <v>3305.1072600000007</v>
      </c>
      <c r="O73" s="113">
        <v>50784.88232375127</v>
      </c>
      <c r="P73" s="113">
        <v>54326.946575348185</v>
      </c>
      <c r="Q73" s="110">
        <v>19079.277530200521</v>
      </c>
      <c r="R73" s="113">
        <v>69864.159853951787</v>
      </c>
      <c r="S73" s="113">
        <v>73406.22410554871</v>
      </c>
      <c r="U73" s="7" t="s">
        <v>6019</v>
      </c>
    </row>
    <row r="74" spans="1:21" ht="16.5" thickBot="1">
      <c r="A74" s="207" t="s">
        <v>10</v>
      </c>
      <c r="B74" s="211">
        <f t="shared" si="3"/>
        <v>75</v>
      </c>
      <c r="C74" s="211" t="s">
        <v>3</v>
      </c>
      <c r="D74" s="211">
        <f t="shared" si="4"/>
        <v>300</v>
      </c>
      <c r="E74" s="211" t="s">
        <v>3</v>
      </c>
      <c r="F74" s="209">
        <f t="shared" si="5"/>
        <v>1450</v>
      </c>
      <c r="G74" s="211" t="s">
        <v>3</v>
      </c>
      <c r="H74" s="208">
        <v>2</v>
      </c>
      <c r="I74" s="210" t="s">
        <v>529</v>
      </c>
      <c r="J74" s="103">
        <v>75</v>
      </c>
      <c r="K74" s="66">
        <v>300</v>
      </c>
      <c r="L74" s="66">
        <v>1450</v>
      </c>
      <c r="M74" s="164">
        <v>14.787648122339998</v>
      </c>
      <c r="N74" s="78">
        <v>3462.4933200000005</v>
      </c>
      <c r="O74" s="113">
        <v>51914.896176679722</v>
      </c>
      <c r="P74" s="113">
        <v>55587.433426748772</v>
      </c>
      <c r="Q74" s="110">
        <v>19602.919163172111</v>
      </c>
      <c r="R74" s="113">
        <v>71517.815339851833</v>
      </c>
      <c r="S74" s="113">
        <v>75190.352589920891</v>
      </c>
      <c r="U74" s="7" t="s">
        <v>6020</v>
      </c>
    </row>
    <row r="75" spans="1:21" ht="16.5" thickBot="1">
      <c r="A75" s="207" t="s">
        <v>10</v>
      </c>
      <c r="B75" s="211">
        <f t="shared" si="3"/>
        <v>75</v>
      </c>
      <c r="C75" s="211" t="s">
        <v>3</v>
      </c>
      <c r="D75" s="211">
        <f t="shared" si="4"/>
        <v>300</v>
      </c>
      <c r="E75" s="211" t="s">
        <v>3</v>
      </c>
      <c r="F75" s="209">
        <f t="shared" si="5"/>
        <v>1500</v>
      </c>
      <c r="G75" s="211" t="s">
        <v>3</v>
      </c>
      <c r="H75" s="208">
        <v>2</v>
      </c>
      <c r="I75" s="210" t="s">
        <v>529</v>
      </c>
      <c r="J75" s="103">
        <v>75</v>
      </c>
      <c r="K75" s="66">
        <v>300</v>
      </c>
      <c r="L75" s="66">
        <v>1500</v>
      </c>
      <c r="M75" s="164">
        <v>15.8320984914075</v>
      </c>
      <c r="N75" s="78">
        <v>3619.8793800000003</v>
      </c>
      <c r="O75" s="113">
        <v>53621.258992882889</v>
      </c>
      <c r="P75" s="113">
        <v>57522.30310279633</v>
      </c>
      <c r="Q75" s="110">
        <v>20377.895086956549</v>
      </c>
      <c r="R75" s="113">
        <v>73999.154079839442</v>
      </c>
      <c r="S75" s="113">
        <v>77900.198189752875</v>
      </c>
      <c r="U75" s="7" t="s">
        <v>6021</v>
      </c>
    </row>
    <row r="76" spans="1:21" ht="16.5" thickBot="1">
      <c r="A76" s="207" t="s">
        <v>10</v>
      </c>
      <c r="B76" s="211">
        <f t="shared" si="3"/>
        <v>75</v>
      </c>
      <c r="C76" s="211" t="s">
        <v>3</v>
      </c>
      <c r="D76" s="211">
        <f t="shared" si="4"/>
        <v>300</v>
      </c>
      <c r="E76" s="211" t="s">
        <v>3</v>
      </c>
      <c r="F76" s="209">
        <f t="shared" si="5"/>
        <v>1550</v>
      </c>
      <c r="G76" s="211" t="s">
        <v>3</v>
      </c>
      <c r="H76" s="208">
        <v>2</v>
      </c>
      <c r="I76" s="210" t="s">
        <v>529</v>
      </c>
      <c r="J76" s="103">
        <v>75</v>
      </c>
      <c r="K76" s="66">
        <v>300</v>
      </c>
      <c r="L76" s="66">
        <v>1550</v>
      </c>
      <c r="M76" s="164">
        <v>16.340943967674999</v>
      </c>
      <c r="N76" s="78">
        <v>3777.2654400000001</v>
      </c>
      <c r="O76" s="113">
        <v>54751.272845811342</v>
      </c>
      <c r="P76" s="113">
        <v>58782.789954196924</v>
      </c>
      <c r="Q76" s="110">
        <v>20901.536719928292</v>
      </c>
      <c r="R76" s="113">
        <v>75652.809565739633</v>
      </c>
      <c r="S76" s="113">
        <v>79684.326674125216</v>
      </c>
      <c r="U76" s="7" t="s">
        <v>6022</v>
      </c>
    </row>
    <row r="77" spans="1:21" ht="16.5" thickBot="1">
      <c r="A77" s="207" t="s">
        <v>10</v>
      </c>
      <c r="B77" s="208">
        <f t="shared" si="3"/>
        <v>75</v>
      </c>
      <c r="C77" s="208" t="s">
        <v>3</v>
      </c>
      <c r="D77" s="208">
        <f t="shared" si="4"/>
        <v>300</v>
      </c>
      <c r="E77" s="208" t="s">
        <v>3</v>
      </c>
      <c r="F77" s="209">
        <f t="shared" si="5"/>
        <v>1600</v>
      </c>
      <c r="G77" s="208" t="s">
        <v>3</v>
      </c>
      <c r="H77" s="208">
        <v>2</v>
      </c>
      <c r="I77" s="210" t="s">
        <v>529</v>
      </c>
      <c r="J77" s="103">
        <v>75</v>
      </c>
      <c r="K77" s="66">
        <v>300</v>
      </c>
      <c r="L77" s="66">
        <v>1600</v>
      </c>
      <c r="M77" s="164">
        <v>16.780789443942503</v>
      </c>
      <c r="N77" s="78">
        <v>3934.6515000000004</v>
      </c>
      <c r="O77" s="113">
        <v>58002.471635541922</v>
      </c>
      <c r="P77" s="113">
        <v>62029.330387636903</v>
      </c>
      <c r="Q77" s="110">
        <v>21425.178352900039</v>
      </c>
      <c r="R77" s="113">
        <v>79427.649988441961</v>
      </c>
      <c r="S77" s="113">
        <v>83454.508740536941</v>
      </c>
      <c r="U77" s="7" t="s">
        <v>6023</v>
      </c>
    </row>
    <row r="78" spans="1:21" ht="16.5" thickBot="1">
      <c r="A78" s="207" t="s">
        <v>10</v>
      </c>
      <c r="B78" s="211">
        <f t="shared" si="3"/>
        <v>75</v>
      </c>
      <c r="C78" s="211" t="s">
        <v>3</v>
      </c>
      <c r="D78" s="211">
        <f t="shared" si="4"/>
        <v>300</v>
      </c>
      <c r="E78" s="211" t="s">
        <v>3</v>
      </c>
      <c r="F78" s="209">
        <f t="shared" si="5"/>
        <v>1650</v>
      </c>
      <c r="G78" s="211" t="s">
        <v>3</v>
      </c>
      <c r="H78" s="208">
        <v>2</v>
      </c>
      <c r="I78" s="210" t="s">
        <v>529</v>
      </c>
      <c r="J78" s="103">
        <v>75</v>
      </c>
      <c r="K78" s="66">
        <v>300</v>
      </c>
      <c r="L78" s="66">
        <v>1650</v>
      </c>
      <c r="M78" s="164">
        <v>17.275674920210001</v>
      </c>
      <c r="N78" s="78">
        <v>4092.0375600000007</v>
      </c>
      <c r="O78" s="113">
        <v>61528.634025433887</v>
      </c>
      <c r="P78" s="113">
        <v>65533.317555157679</v>
      </c>
      <c r="Q78" s="110">
        <v>22200.154276684319</v>
      </c>
      <c r="R78" s="113">
        <v>83728.788302118206</v>
      </c>
      <c r="S78" s="113">
        <v>87733.471831842005</v>
      </c>
      <c r="U78" s="7" t="s">
        <v>6024</v>
      </c>
    </row>
    <row r="79" spans="1:21" ht="16.5" thickBot="1">
      <c r="A79" s="207" t="s">
        <v>10</v>
      </c>
      <c r="B79" s="211">
        <f t="shared" si="3"/>
        <v>75</v>
      </c>
      <c r="C79" s="211" t="s">
        <v>3</v>
      </c>
      <c r="D79" s="211">
        <f t="shared" si="4"/>
        <v>300</v>
      </c>
      <c r="E79" s="211" t="s">
        <v>3</v>
      </c>
      <c r="F79" s="209">
        <f t="shared" si="5"/>
        <v>1700</v>
      </c>
      <c r="G79" s="211" t="s">
        <v>3</v>
      </c>
      <c r="H79" s="208">
        <v>2</v>
      </c>
      <c r="I79" s="210" t="s">
        <v>529</v>
      </c>
      <c r="J79" s="103">
        <v>75</v>
      </c>
      <c r="K79" s="66">
        <v>300</v>
      </c>
      <c r="L79" s="66">
        <v>1700</v>
      </c>
      <c r="M79" s="164">
        <v>17.715520396477501</v>
      </c>
      <c r="N79" s="78">
        <v>4249.4236200000005</v>
      </c>
      <c r="O79" s="113">
        <v>62435.037150903809</v>
      </c>
      <c r="P79" s="113">
        <v>66584.439042679413</v>
      </c>
      <c r="Q79" s="110">
        <v>22723.795909656066</v>
      </c>
      <c r="R79" s="113">
        <v>85158.833060559875</v>
      </c>
      <c r="S79" s="113">
        <v>89308.234952335479</v>
      </c>
      <c r="U79" s="7" t="s">
        <v>6025</v>
      </c>
    </row>
    <row r="80" spans="1:21" ht="16.5" thickBot="1">
      <c r="A80" s="207" t="s">
        <v>10</v>
      </c>
      <c r="B80" s="211">
        <f t="shared" si="3"/>
        <v>75</v>
      </c>
      <c r="C80" s="211" t="s">
        <v>3</v>
      </c>
      <c r="D80" s="211">
        <f t="shared" si="4"/>
        <v>300</v>
      </c>
      <c r="E80" s="211" t="s">
        <v>3</v>
      </c>
      <c r="F80" s="209">
        <f t="shared" si="5"/>
        <v>1750</v>
      </c>
      <c r="G80" s="211" t="s">
        <v>3</v>
      </c>
      <c r="H80" s="208">
        <v>2</v>
      </c>
      <c r="I80" s="210" t="s">
        <v>529</v>
      </c>
      <c r="J80" s="103">
        <v>75</v>
      </c>
      <c r="K80" s="66">
        <v>300</v>
      </c>
      <c r="L80" s="66">
        <v>1750</v>
      </c>
      <c r="M80" s="164">
        <v>18.172405872744999</v>
      </c>
      <c r="N80" s="78">
        <v>4406.8096800000003</v>
      </c>
      <c r="O80" s="113">
        <v>63258.432615506637</v>
      </c>
      <c r="P80" s="113">
        <v>67557.841046113273</v>
      </c>
      <c r="Q80" s="110">
        <v>23498.771833440347</v>
      </c>
      <c r="R80" s="113">
        <v>86757.204448946984</v>
      </c>
      <c r="S80" s="113">
        <v>91056.612879553621</v>
      </c>
      <c r="U80" s="7" t="s">
        <v>6026</v>
      </c>
    </row>
    <row r="81" spans="1:21" ht="16.5" thickBot="1">
      <c r="A81" s="207" t="s">
        <v>10</v>
      </c>
      <c r="B81" s="211">
        <f t="shared" si="3"/>
        <v>75</v>
      </c>
      <c r="C81" s="211" t="s">
        <v>3</v>
      </c>
      <c r="D81" s="211">
        <f t="shared" si="4"/>
        <v>300</v>
      </c>
      <c r="E81" s="211" t="s">
        <v>3</v>
      </c>
      <c r="F81" s="209">
        <f t="shared" si="5"/>
        <v>1800</v>
      </c>
      <c r="G81" s="211" t="s">
        <v>3</v>
      </c>
      <c r="H81" s="208">
        <v>2</v>
      </c>
      <c r="I81" s="210" t="s">
        <v>529</v>
      </c>
      <c r="J81" s="103">
        <v>75</v>
      </c>
      <c r="K81" s="66">
        <v>300</v>
      </c>
      <c r="L81" s="66">
        <v>1800</v>
      </c>
      <c r="M81" s="164">
        <v>18.681251349012499</v>
      </c>
      <c r="N81" s="78">
        <v>4564.1957400000001</v>
      </c>
      <c r="O81" s="113">
        <v>64165.594985543285</v>
      </c>
      <c r="P81" s="113">
        <v>68609.673390506214</v>
      </c>
      <c r="Q81" s="110">
        <v>24022.413466412094</v>
      </c>
      <c r="R81" s="113">
        <v>88188.008451955378</v>
      </c>
      <c r="S81" s="113">
        <v>92632.086856918308</v>
      </c>
      <c r="U81" s="7" t="s">
        <v>6027</v>
      </c>
    </row>
    <row r="82" spans="1:21" ht="16.5" thickBot="1">
      <c r="A82" s="207" t="s">
        <v>10</v>
      </c>
      <c r="B82" s="211">
        <f t="shared" si="3"/>
        <v>75</v>
      </c>
      <c r="C82" s="211" t="s">
        <v>3</v>
      </c>
      <c r="D82" s="211">
        <f t="shared" si="4"/>
        <v>300</v>
      </c>
      <c r="E82" s="211" t="s">
        <v>3</v>
      </c>
      <c r="F82" s="209">
        <f t="shared" si="5"/>
        <v>1850</v>
      </c>
      <c r="G82" s="211" t="s">
        <v>3</v>
      </c>
      <c r="H82" s="208">
        <v>2</v>
      </c>
      <c r="I82" s="210" t="s">
        <v>529</v>
      </c>
      <c r="J82" s="103">
        <v>75</v>
      </c>
      <c r="K82" s="66">
        <v>300</v>
      </c>
      <c r="L82" s="66">
        <v>1850</v>
      </c>
      <c r="M82" s="164">
        <v>19.200136825280001</v>
      </c>
      <c r="N82" s="78">
        <v>4721.5818000000008</v>
      </c>
      <c r="O82" s="113">
        <v>65072.704935576447</v>
      </c>
      <c r="P82" s="113">
        <v>69661.456696831345</v>
      </c>
      <c r="Q82" s="110">
        <v>24797.389237167612</v>
      </c>
      <c r="R82" s="113">
        <v>89870.094172744051</v>
      </c>
      <c r="S82" s="113">
        <v>94458.845933998964</v>
      </c>
      <c r="U82" s="7" t="s">
        <v>6028</v>
      </c>
    </row>
    <row r="83" spans="1:21" ht="16.5" thickBot="1">
      <c r="A83" s="207" t="s">
        <v>10</v>
      </c>
      <c r="B83" s="211">
        <f t="shared" si="3"/>
        <v>75</v>
      </c>
      <c r="C83" s="211" t="s">
        <v>3</v>
      </c>
      <c r="D83" s="211">
        <f t="shared" si="4"/>
        <v>300</v>
      </c>
      <c r="E83" s="211" t="s">
        <v>3</v>
      </c>
      <c r="F83" s="209">
        <f t="shared" si="5"/>
        <v>1900</v>
      </c>
      <c r="G83" s="211" t="s">
        <v>3</v>
      </c>
      <c r="H83" s="208">
        <v>2</v>
      </c>
      <c r="I83" s="210" t="s">
        <v>529</v>
      </c>
      <c r="J83" s="103">
        <v>75</v>
      </c>
      <c r="K83" s="66">
        <v>300</v>
      </c>
      <c r="L83" s="66">
        <v>1900</v>
      </c>
      <c r="M83" s="164">
        <v>19.639982301547501</v>
      </c>
      <c r="N83" s="78">
        <v>4878.9678600000007</v>
      </c>
      <c r="O83" s="113">
        <v>66170.624088549535</v>
      </c>
      <c r="P83" s="113">
        <v>70891.893618636197</v>
      </c>
      <c r="Q83" s="110">
        <v>25321.031023168125</v>
      </c>
      <c r="R83" s="113">
        <v>91491.655111717657</v>
      </c>
      <c r="S83" s="113">
        <v>96212.924641804319</v>
      </c>
      <c r="U83" s="7" t="s">
        <v>6029</v>
      </c>
    </row>
    <row r="84" spans="1:21" ht="16.5" thickBot="1">
      <c r="A84" s="207" t="s">
        <v>10</v>
      </c>
      <c r="B84" s="211">
        <f t="shared" si="3"/>
        <v>75</v>
      </c>
      <c r="C84" s="211" t="s">
        <v>3</v>
      </c>
      <c r="D84" s="211">
        <f t="shared" si="4"/>
        <v>300</v>
      </c>
      <c r="E84" s="211" t="s">
        <v>3</v>
      </c>
      <c r="F84" s="209">
        <f t="shared" si="5"/>
        <v>1950</v>
      </c>
      <c r="G84" s="211" t="s">
        <v>3</v>
      </c>
      <c r="H84" s="208">
        <v>2</v>
      </c>
      <c r="I84" s="210" t="s">
        <v>529</v>
      </c>
      <c r="J84" s="103">
        <v>75</v>
      </c>
      <c r="K84" s="66">
        <v>300</v>
      </c>
      <c r="L84" s="66">
        <v>1950</v>
      </c>
      <c r="M84" s="164">
        <v>20.233077777815005</v>
      </c>
      <c r="N84" s="78">
        <v>5036.3539200000014</v>
      </c>
      <c r="O84" s="113">
        <v>67442.072704105012</v>
      </c>
      <c r="P84" s="113">
        <v>72284.805235636522</v>
      </c>
      <c r="Q84" s="110">
        <v>25844.672656139872</v>
      </c>
      <c r="R84" s="113">
        <v>93286.74536024488</v>
      </c>
      <c r="S84" s="113">
        <v>98129.477891776391</v>
      </c>
      <c r="U84" s="7" t="s">
        <v>6030</v>
      </c>
    </row>
    <row r="85" spans="1:21" ht="16.5" thickBot="1">
      <c r="A85" s="207" t="s">
        <v>10</v>
      </c>
      <c r="B85" s="211">
        <f t="shared" si="3"/>
        <v>75</v>
      </c>
      <c r="C85" s="211" t="s">
        <v>3</v>
      </c>
      <c r="D85" s="211">
        <f t="shared" si="4"/>
        <v>300</v>
      </c>
      <c r="E85" s="211" t="s">
        <v>3</v>
      </c>
      <c r="F85" s="209">
        <f t="shared" si="5"/>
        <v>2000</v>
      </c>
      <c r="G85" s="211" t="s">
        <v>3</v>
      </c>
      <c r="H85" s="208">
        <v>2</v>
      </c>
      <c r="I85" s="210" t="s">
        <v>529</v>
      </c>
      <c r="J85" s="103">
        <v>75</v>
      </c>
      <c r="K85" s="66">
        <v>300</v>
      </c>
      <c r="L85" s="66">
        <v>2000</v>
      </c>
      <c r="M85" s="164">
        <v>20.7815256540825</v>
      </c>
      <c r="N85" s="78">
        <v>5193.7399800000003</v>
      </c>
      <c r="O85" s="113">
        <v>68574.029869321792</v>
      </c>
      <c r="P85" s="113">
        <v>73754.491996215118</v>
      </c>
      <c r="Q85" s="110">
        <v>26619.648426895383</v>
      </c>
      <c r="R85" s="113">
        <v>95193.678296217171</v>
      </c>
      <c r="S85" s="113">
        <v>100374.1404231105</v>
      </c>
      <c r="U85" s="7" t="s">
        <v>6031</v>
      </c>
    </row>
    <row r="86" spans="1:21" ht="16.5" thickBot="1">
      <c r="A86" s="207" t="s">
        <v>10</v>
      </c>
      <c r="B86" s="211">
        <f t="shared" si="3"/>
        <v>75</v>
      </c>
      <c r="C86" s="211" t="s">
        <v>3</v>
      </c>
      <c r="D86" s="211">
        <f t="shared" si="4"/>
        <v>300</v>
      </c>
      <c r="E86" s="211" t="s">
        <v>3</v>
      </c>
      <c r="F86" s="209">
        <f t="shared" si="5"/>
        <v>2050</v>
      </c>
      <c r="G86" s="211" t="s">
        <v>3</v>
      </c>
      <c r="H86" s="208">
        <v>2</v>
      </c>
      <c r="I86" s="210" t="s">
        <v>529</v>
      </c>
      <c r="J86" s="103">
        <v>75</v>
      </c>
      <c r="K86" s="66">
        <v>300</v>
      </c>
      <c r="L86" s="66">
        <v>2050</v>
      </c>
      <c r="M86" s="164">
        <v>21.221371130350004</v>
      </c>
      <c r="N86" s="78">
        <v>5351.1260400000001</v>
      </c>
      <c r="O86" s="113">
        <v>71818.067280113552</v>
      </c>
      <c r="P86" s="113">
        <v>76994.327221813684</v>
      </c>
      <c r="Q86" s="110">
        <v>27143.290212895896</v>
      </c>
      <c r="R86" s="113">
        <v>98961.357493009447</v>
      </c>
      <c r="S86" s="113">
        <v>104137.61743470958</v>
      </c>
      <c r="U86" s="7" t="s">
        <v>6032</v>
      </c>
    </row>
    <row r="87" spans="1:21" ht="16.5" thickBot="1">
      <c r="A87" s="207" t="s">
        <v>10</v>
      </c>
      <c r="B87" s="208">
        <f t="shared" si="3"/>
        <v>75</v>
      </c>
      <c r="C87" s="208" t="s">
        <v>3</v>
      </c>
      <c r="D87" s="208">
        <f t="shared" si="4"/>
        <v>300</v>
      </c>
      <c r="E87" s="208" t="s">
        <v>3</v>
      </c>
      <c r="F87" s="209">
        <f t="shared" si="5"/>
        <v>2100</v>
      </c>
      <c r="G87" s="208" t="s">
        <v>3</v>
      </c>
      <c r="H87" s="208">
        <v>2</v>
      </c>
      <c r="I87" s="210" t="s">
        <v>529</v>
      </c>
      <c r="J87" s="103">
        <v>75</v>
      </c>
      <c r="K87" s="66">
        <v>300</v>
      </c>
      <c r="L87" s="66">
        <v>2100</v>
      </c>
      <c r="M87" s="164">
        <v>21.678256606617502</v>
      </c>
      <c r="N87" s="78">
        <v>5508.5121000000008</v>
      </c>
      <c r="O87" s="113">
        <v>72792.680796978049</v>
      </c>
      <c r="P87" s="113">
        <v>78109.313703566921</v>
      </c>
      <c r="Q87" s="110">
        <v>27918.265983651414</v>
      </c>
      <c r="R87" s="113">
        <v>100710.94678062946</v>
      </c>
      <c r="S87" s="113">
        <v>106027.57968721833</v>
      </c>
      <c r="U87" s="7" t="s">
        <v>6033</v>
      </c>
    </row>
    <row r="88" spans="1:21" ht="16.5" thickBot="1">
      <c r="A88" s="207" t="s">
        <v>10</v>
      </c>
      <c r="B88" s="211">
        <f t="shared" si="3"/>
        <v>75</v>
      </c>
      <c r="C88" s="211" t="s">
        <v>3</v>
      </c>
      <c r="D88" s="211">
        <f t="shared" si="4"/>
        <v>300</v>
      </c>
      <c r="E88" s="211" t="s">
        <v>3</v>
      </c>
      <c r="F88" s="209">
        <f t="shared" si="5"/>
        <v>2150</v>
      </c>
      <c r="G88" s="211" t="s">
        <v>3</v>
      </c>
      <c r="H88" s="208">
        <v>2</v>
      </c>
      <c r="I88" s="210" t="s">
        <v>529</v>
      </c>
      <c r="J88" s="103">
        <v>75</v>
      </c>
      <c r="K88" s="66">
        <v>300</v>
      </c>
      <c r="L88" s="66">
        <v>2150</v>
      </c>
      <c r="M88" s="164">
        <v>22.242102082885001</v>
      </c>
      <c r="N88" s="78">
        <v>5665.8981600000006</v>
      </c>
      <c r="O88" s="113">
        <v>73928.19718937992</v>
      </c>
      <c r="P88" s="113">
        <v>79374.952673871681</v>
      </c>
      <c r="Q88" s="110">
        <v>28441.907769651927</v>
      </c>
      <c r="R88" s="113">
        <v>102370.10495903184</v>
      </c>
      <c r="S88" s="113">
        <v>107816.8604435236</v>
      </c>
      <c r="U88" s="7" t="s">
        <v>6034</v>
      </c>
    </row>
    <row r="89" spans="1:21" ht="16.5" thickBot="1">
      <c r="A89" s="207" t="s">
        <v>10</v>
      </c>
      <c r="B89" s="211">
        <f t="shared" si="3"/>
        <v>75</v>
      </c>
      <c r="C89" s="211" t="s">
        <v>3</v>
      </c>
      <c r="D89" s="211">
        <f t="shared" si="4"/>
        <v>300</v>
      </c>
      <c r="E89" s="211" t="s">
        <v>3</v>
      </c>
      <c r="F89" s="209">
        <f t="shared" si="5"/>
        <v>2200</v>
      </c>
      <c r="G89" s="211" t="s">
        <v>3</v>
      </c>
      <c r="H89" s="208">
        <v>2</v>
      </c>
      <c r="I89" s="210" t="s">
        <v>529</v>
      </c>
      <c r="J89" s="103">
        <v>75</v>
      </c>
      <c r="K89" s="66">
        <v>300</v>
      </c>
      <c r="L89" s="66">
        <v>2200</v>
      </c>
      <c r="M89" s="164">
        <v>22.698987559152499</v>
      </c>
      <c r="N89" s="78">
        <v>5823.2842200000014</v>
      </c>
      <c r="O89" s="113">
        <v>75063.661161778291</v>
      </c>
      <c r="P89" s="113">
        <v>80640.542606108647</v>
      </c>
      <c r="Q89" s="110">
        <v>29216.883540407438</v>
      </c>
      <c r="R89" s="113">
        <v>104280.54470218573</v>
      </c>
      <c r="S89" s="113">
        <v>109857.42614651608</v>
      </c>
      <c r="U89" s="7" t="s">
        <v>6035</v>
      </c>
    </row>
    <row r="90" spans="1:21" ht="16.5" thickBot="1">
      <c r="A90" s="207" t="s">
        <v>10</v>
      </c>
      <c r="B90" s="211">
        <f t="shared" si="3"/>
        <v>75</v>
      </c>
      <c r="C90" s="211" t="s">
        <v>3</v>
      </c>
      <c r="D90" s="211">
        <f t="shared" si="4"/>
        <v>300</v>
      </c>
      <c r="E90" s="211" t="s">
        <v>3</v>
      </c>
      <c r="F90" s="209">
        <f t="shared" si="5"/>
        <v>2250</v>
      </c>
      <c r="G90" s="211" t="s">
        <v>3</v>
      </c>
      <c r="H90" s="208">
        <v>2</v>
      </c>
      <c r="I90" s="210" t="s">
        <v>529</v>
      </c>
      <c r="J90" s="103">
        <v>75</v>
      </c>
      <c r="K90" s="66">
        <v>300</v>
      </c>
      <c r="L90" s="66">
        <v>2250</v>
      </c>
      <c r="M90" s="164">
        <v>23.138833035420003</v>
      </c>
      <c r="N90" s="78">
        <v>5980.6702800000003</v>
      </c>
      <c r="O90" s="113">
        <v>76547.501193225704</v>
      </c>
      <c r="P90" s="113">
        <v>82232.315034525964</v>
      </c>
      <c r="Q90" s="110">
        <v>29740.525173379188</v>
      </c>
      <c r="R90" s="113">
        <v>106288.0263666049</v>
      </c>
      <c r="S90" s="113">
        <v>111972.84020790516</v>
      </c>
      <c r="U90" s="7" t="s">
        <v>6036</v>
      </c>
    </row>
    <row r="91" spans="1:21" ht="16.5" thickBot="1">
      <c r="A91" s="207" t="s">
        <v>10</v>
      </c>
      <c r="B91" s="211">
        <f t="shared" si="3"/>
        <v>75</v>
      </c>
      <c r="C91" s="211" t="s">
        <v>3</v>
      </c>
      <c r="D91" s="211">
        <f t="shared" si="4"/>
        <v>300</v>
      </c>
      <c r="E91" s="211" t="s">
        <v>3</v>
      </c>
      <c r="F91" s="209">
        <f t="shared" si="5"/>
        <v>2300</v>
      </c>
      <c r="G91" s="211" t="s">
        <v>3</v>
      </c>
      <c r="H91" s="208">
        <v>2</v>
      </c>
      <c r="I91" s="210" t="s">
        <v>529</v>
      </c>
      <c r="J91" s="103">
        <v>75</v>
      </c>
      <c r="K91" s="66">
        <v>300</v>
      </c>
      <c r="L91" s="66">
        <v>2300</v>
      </c>
      <c r="M91" s="164">
        <v>23.5786785116875</v>
      </c>
      <c r="N91" s="78">
        <v>6138.056340000001</v>
      </c>
      <c r="O91" s="113">
        <v>77418.198101626142</v>
      </c>
      <c r="P91" s="113">
        <v>83250.005046966035</v>
      </c>
      <c r="Q91" s="110">
        <v>30264.166959379701</v>
      </c>
      <c r="R91" s="113">
        <v>107682.36506100584</v>
      </c>
      <c r="S91" s="113">
        <v>113514.17200634573</v>
      </c>
      <c r="U91" s="7" t="s">
        <v>6037</v>
      </c>
    </row>
    <row r="92" spans="1:21" ht="16.5" thickBot="1">
      <c r="A92" s="207" t="s">
        <v>10</v>
      </c>
      <c r="B92" s="211">
        <f t="shared" si="3"/>
        <v>75</v>
      </c>
      <c r="C92" s="211" t="s">
        <v>3</v>
      </c>
      <c r="D92" s="211">
        <f t="shared" si="4"/>
        <v>300</v>
      </c>
      <c r="E92" s="211" t="s">
        <v>3</v>
      </c>
      <c r="F92" s="209">
        <f t="shared" si="5"/>
        <v>2350</v>
      </c>
      <c r="G92" s="211" t="s">
        <v>3</v>
      </c>
      <c r="H92" s="208">
        <v>2</v>
      </c>
      <c r="I92" s="210" t="s">
        <v>529</v>
      </c>
      <c r="J92" s="103">
        <v>75</v>
      </c>
      <c r="K92" s="66">
        <v>300</v>
      </c>
      <c r="L92" s="66">
        <v>2350</v>
      </c>
      <c r="M92" s="164">
        <v>24.035563987955001</v>
      </c>
      <c r="N92" s="78">
        <v>6295.4424000000008</v>
      </c>
      <c r="O92" s="113">
        <v>78288.842720097527</v>
      </c>
      <c r="P92" s="113">
        <v>84267.646151412773</v>
      </c>
      <c r="Q92" s="110">
        <v>31039.142730135216</v>
      </c>
      <c r="R92" s="113">
        <v>109327.98545023275</v>
      </c>
      <c r="S92" s="113">
        <v>115306.78888154798</v>
      </c>
      <c r="U92" s="7" t="s">
        <v>6038</v>
      </c>
    </row>
    <row r="93" spans="1:21" ht="16.5" thickBot="1">
      <c r="A93" s="207" t="s">
        <v>10</v>
      </c>
      <c r="B93" s="211">
        <f t="shared" si="3"/>
        <v>75</v>
      </c>
      <c r="C93" s="211" t="s">
        <v>3</v>
      </c>
      <c r="D93" s="211">
        <f t="shared" si="4"/>
        <v>300</v>
      </c>
      <c r="E93" s="211" t="s">
        <v>3</v>
      </c>
      <c r="F93" s="209">
        <f t="shared" si="5"/>
        <v>2400</v>
      </c>
      <c r="G93" s="211" t="s">
        <v>3</v>
      </c>
      <c r="H93" s="208">
        <v>2</v>
      </c>
      <c r="I93" s="210" t="s">
        <v>529</v>
      </c>
      <c r="J93" s="103">
        <v>75</v>
      </c>
      <c r="K93" s="66">
        <v>300</v>
      </c>
      <c r="L93" s="66">
        <v>2400</v>
      </c>
      <c r="M93" s="164">
        <v>24.475409464222501</v>
      </c>
      <c r="N93" s="78">
        <v>6452.8284599999997</v>
      </c>
      <c r="O93" s="113">
        <v>79159.434788490966</v>
      </c>
      <c r="P93" s="113">
        <v>85285.238087717255</v>
      </c>
      <c r="Q93" s="110">
        <v>31562.784363106966</v>
      </c>
      <c r="R93" s="113">
        <v>110722.21915159794</v>
      </c>
      <c r="S93" s="113">
        <v>116848.02245082422</v>
      </c>
      <c r="U93" s="7" t="s">
        <v>6039</v>
      </c>
    </row>
    <row r="94" spans="1:21" ht="16.5" thickBot="1">
      <c r="A94" s="207" t="s">
        <v>10</v>
      </c>
      <c r="B94" s="211">
        <f t="shared" si="3"/>
        <v>75</v>
      </c>
      <c r="C94" s="211" t="s">
        <v>3</v>
      </c>
      <c r="D94" s="211">
        <f t="shared" si="4"/>
        <v>300</v>
      </c>
      <c r="E94" s="211" t="s">
        <v>3</v>
      </c>
      <c r="F94" s="209">
        <f t="shared" si="5"/>
        <v>2450</v>
      </c>
      <c r="G94" s="211" t="s">
        <v>3</v>
      </c>
      <c r="H94" s="208">
        <v>2</v>
      </c>
      <c r="I94" s="210" t="s">
        <v>529</v>
      </c>
      <c r="J94" s="103">
        <v>75</v>
      </c>
      <c r="K94" s="66">
        <v>300</v>
      </c>
      <c r="L94" s="66">
        <v>2450</v>
      </c>
      <c r="M94" s="164">
        <v>25.633859833289996</v>
      </c>
      <c r="N94" s="78">
        <v>6610.2145200000014</v>
      </c>
      <c r="O94" s="113">
        <v>80606.323660304522</v>
      </c>
      <c r="P94" s="113">
        <v>86977.163550452038</v>
      </c>
      <c r="Q94" s="110">
        <v>32337.760286891244</v>
      </c>
      <c r="R94" s="113">
        <v>112944.08394719576</v>
      </c>
      <c r="S94" s="113">
        <v>119314.92383734329</v>
      </c>
      <c r="U94" s="7" t="s">
        <v>6040</v>
      </c>
    </row>
    <row r="95" spans="1:21" ht="16.5" thickBot="1">
      <c r="A95" s="207" t="s">
        <v>10</v>
      </c>
      <c r="B95" s="211">
        <f t="shared" si="3"/>
        <v>75</v>
      </c>
      <c r="C95" s="211" t="s">
        <v>3</v>
      </c>
      <c r="D95" s="211">
        <f t="shared" si="4"/>
        <v>300</v>
      </c>
      <c r="E95" s="211" t="s">
        <v>3</v>
      </c>
      <c r="F95" s="209">
        <f t="shared" si="5"/>
        <v>2500</v>
      </c>
      <c r="G95" s="211" t="s">
        <v>3</v>
      </c>
      <c r="H95" s="208">
        <v>2</v>
      </c>
      <c r="I95" s="210" t="s">
        <v>529</v>
      </c>
      <c r="J95" s="103">
        <v>75</v>
      </c>
      <c r="K95" s="66">
        <v>300</v>
      </c>
      <c r="L95" s="66">
        <v>2500</v>
      </c>
      <c r="M95" s="164">
        <v>26.090705309557499</v>
      </c>
      <c r="N95" s="78">
        <v>6767.6005800000003</v>
      </c>
      <c r="O95" s="113">
        <v>81476.810888690976</v>
      </c>
      <c r="P95" s="113">
        <v>87994.657280546526</v>
      </c>
      <c r="Q95" s="110">
        <v>32861.40191986299</v>
      </c>
      <c r="R95" s="113">
        <v>114338.21280855397</v>
      </c>
      <c r="S95" s="113">
        <v>120856.05920040951</v>
      </c>
      <c r="U95" s="7" t="s">
        <v>6041</v>
      </c>
    </row>
    <row r="96" spans="1:21" ht="16.5" thickBot="1">
      <c r="A96" s="207" t="s">
        <v>10</v>
      </c>
      <c r="B96" s="211">
        <f t="shared" si="3"/>
        <v>75</v>
      </c>
      <c r="C96" s="211" t="s">
        <v>3</v>
      </c>
      <c r="D96" s="211">
        <f t="shared" si="4"/>
        <v>300</v>
      </c>
      <c r="E96" s="211" t="s">
        <v>3</v>
      </c>
      <c r="F96" s="209">
        <f t="shared" si="5"/>
        <v>2550</v>
      </c>
      <c r="G96" s="211" t="s">
        <v>3</v>
      </c>
      <c r="H96" s="208">
        <v>2</v>
      </c>
      <c r="I96" s="210" t="s">
        <v>529</v>
      </c>
      <c r="J96" s="103">
        <v>75</v>
      </c>
      <c r="K96" s="66">
        <v>300</v>
      </c>
      <c r="L96" s="66">
        <v>2550</v>
      </c>
      <c r="M96" s="164">
        <v>26.547590785825001</v>
      </c>
      <c r="N96" s="78">
        <v>6924.986640000001</v>
      </c>
      <c r="O96" s="113">
        <v>85938.071868397048</v>
      </c>
      <c r="P96" s="113">
        <v>92374.171801256161</v>
      </c>
      <c r="Q96" s="110">
        <v>33636.377843647271</v>
      </c>
      <c r="R96" s="113">
        <v>119574.44971204433</v>
      </c>
      <c r="S96" s="113">
        <v>126010.54964490343</v>
      </c>
      <c r="U96" s="7" t="s">
        <v>6042</v>
      </c>
    </row>
    <row r="97" spans="1:21" ht="16.5" thickBot="1">
      <c r="A97" s="207" t="s">
        <v>10</v>
      </c>
      <c r="B97" s="208">
        <f t="shared" si="3"/>
        <v>75</v>
      </c>
      <c r="C97" s="208" t="s">
        <v>3</v>
      </c>
      <c r="D97" s="208">
        <f t="shared" si="4"/>
        <v>300</v>
      </c>
      <c r="E97" s="208" t="s">
        <v>3</v>
      </c>
      <c r="F97" s="209">
        <f t="shared" si="5"/>
        <v>2600</v>
      </c>
      <c r="G97" s="208" t="s">
        <v>3</v>
      </c>
      <c r="H97" s="208">
        <v>2</v>
      </c>
      <c r="I97" s="210" t="s">
        <v>529</v>
      </c>
      <c r="J97" s="103">
        <v>75</v>
      </c>
      <c r="K97" s="66">
        <v>300</v>
      </c>
      <c r="L97" s="66">
        <v>2600</v>
      </c>
      <c r="M97" s="164">
        <v>26.987436262092505</v>
      </c>
      <c r="N97" s="78">
        <v>7082.3727000000008</v>
      </c>
      <c r="O97" s="113">
        <v>87103.412120999972</v>
      </c>
      <c r="P97" s="113">
        <v>93667.734764340043</v>
      </c>
      <c r="Q97" s="110">
        <v>34160.019476619018</v>
      </c>
      <c r="R97" s="113">
        <v>121263.431597619</v>
      </c>
      <c r="S97" s="113">
        <v>127827.75424095907</v>
      </c>
      <c r="U97" s="7" t="s">
        <v>6043</v>
      </c>
    </row>
    <row r="98" spans="1:21" ht="16.5" thickBot="1">
      <c r="A98" s="207" t="s">
        <v>10</v>
      </c>
      <c r="B98" s="211">
        <f t="shared" si="3"/>
        <v>75</v>
      </c>
      <c r="C98" s="211" t="s">
        <v>3</v>
      </c>
      <c r="D98" s="211">
        <f t="shared" si="4"/>
        <v>300</v>
      </c>
      <c r="E98" s="211" t="s">
        <v>3</v>
      </c>
      <c r="F98" s="209">
        <f t="shared" si="5"/>
        <v>2650</v>
      </c>
      <c r="G98" s="211" t="s">
        <v>3</v>
      </c>
      <c r="H98" s="208">
        <v>2</v>
      </c>
      <c r="I98" s="210" t="s">
        <v>529</v>
      </c>
      <c r="J98" s="103">
        <v>75</v>
      </c>
      <c r="K98" s="66">
        <v>300</v>
      </c>
      <c r="L98" s="66">
        <v>2650</v>
      </c>
      <c r="M98" s="164">
        <v>27.551321738360002</v>
      </c>
      <c r="N98" s="78">
        <v>7239.7587600000006</v>
      </c>
      <c r="O98" s="113">
        <v>87799.376898450035</v>
      </c>
      <c r="P98" s="113">
        <v>94521.82402706788</v>
      </c>
      <c r="Q98" s="110">
        <v>34934.995247374536</v>
      </c>
      <c r="R98" s="113">
        <v>122734.37214582457</v>
      </c>
      <c r="S98" s="113">
        <v>129456.81927444242</v>
      </c>
      <c r="U98" s="7" t="s">
        <v>6044</v>
      </c>
    </row>
    <row r="99" spans="1:21" ht="16.5" thickBot="1">
      <c r="A99" s="207" t="s">
        <v>10</v>
      </c>
      <c r="B99" s="211">
        <f t="shared" si="3"/>
        <v>75</v>
      </c>
      <c r="C99" s="211" t="s">
        <v>3</v>
      </c>
      <c r="D99" s="211">
        <f t="shared" si="4"/>
        <v>300</v>
      </c>
      <c r="E99" s="211" t="s">
        <v>3</v>
      </c>
      <c r="F99" s="209">
        <f t="shared" si="5"/>
        <v>2700</v>
      </c>
      <c r="G99" s="211" t="s">
        <v>3</v>
      </c>
      <c r="H99" s="208">
        <v>2</v>
      </c>
      <c r="I99" s="210" t="s">
        <v>529</v>
      </c>
      <c r="J99" s="103">
        <v>75</v>
      </c>
      <c r="K99" s="66">
        <v>300</v>
      </c>
      <c r="L99" s="66">
        <v>2700</v>
      </c>
      <c r="M99" s="164">
        <v>28.030417214627505</v>
      </c>
      <c r="N99" s="78">
        <v>7397.1448200000013</v>
      </c>
      <c r="O99" s="113">
        <v>88533.852688342624</v>
      </c>
      <c r="P99" s="113">
        <v>95411.971098104535</v>
      </c>
      <c r="Q99" s="110">
        <v>35458.637033375046</v>
      </c>
      <c r="R99" s="113">
        <v>123992.48972171766</v>
      </c>
      <c r="S99" s="113">
        <v>130870.60813147959</v>
      </c>
      <c r="U99" s="7" t="s">
        <v>6045</v>
      </c>
    </row>
    <row r="100" spans="1:21" ht="16.5" thickBot="1">
      <c r="A100" s="207" t="s">
        <v>10</v>
      </c>
      <c r="B100" s="211">
        <f t="shared" si="3"/>
        <v>75</v>
      </c>
      <c r="C100" s="211" t="s">
        <v>3</v>
      </c>
      <c r="D100" s="211">
        <f t="shared" si="4"/>
        <v>300</v>
      </c>
      <c r="E100" s="211" t="s">
        <v>3</v>
      </c>
      <c r="F100" s="209">
        <f t="shared" si="5"/>
        <v>2750</v>
      </c>
      <c r="G100" s="211" t="s">
        <v>3</v>
      </c>
      <c r="H100" s="208">
        <v>2</v>
      </c>
      <c r="I100" s="210" t="s">
        <v>529</v>
      </c>
      <c r="J100" s="103">
        <v>75</v>
      </c>
      <c r="K100" s="66">
        <v>300</v>
      </c>
      <c r="L100" s="66">
        <v>2750</v>
      </c>
      <c r="M100" s="164">
        <v>28.470262690895005</v>
      </c>
      <c r="N100" s="78">
        <v>7554.5308800000003</v>
      </c>
      <c r="O100" s="113">
        <v>89318.824550533565</v>
      </c>
      <c r="P100" s="113">
        <v>96349.397240133316</v>
      </c>
      <c r="Q100" s="110">
        <v>35982.278666346792</v>
      </c>
      <c r="R100" s="113">
        <v>125301.10321688035</v>
      </c>
      <c r="S100" s="113">
        <v>132331.67590648012</v>
      </c>
      <c r="U100" s="7" t="s">
        <v>6046</v>
      </c>
    </row>
    <row r="101" spans="1:21" ht="16.5" thickBot="1">
      <c r="A101" s="207" t="s">
        <v>10</v>
      </c>
      <c r="B101" s="211">
        <f t="shared" si="3"/>
        <v>75</v>
      </c>
      <c r="C101" s="211" t="s">
        <v>3</v>
      </c>
      <c r="D101" s="211">
        <f t="shared" si="4"/>
        <v>300</v>
      </c>
      <c r="E101" s="211" t="s">
        <v>3</v>
      </c>
      <c r="F101" s="209">
        <f t="shared" si="5"/>
        <v>2800</v>
      </c>
      <c r="G101" s="211" t="s">
        <v>3</v>
      </c>
      <c r="H101" s="208">
        <v>2</v>
      </c>
      <c r="I101" s="210" t="s">
        <v>529</v>
      </c>
      <c r="J101" s="103">
        <v>75</v>
      </c>
      <c r="K101" s="66">
        <v>300</v>
      </c>
      <c r="L101" s="66">
        <v>2800</v>
      </c>
      <c r="M101" s="164">
        <v>28.9271481671625</v>
      </c>
      <c r="N101" s="78">
        <v>7711.916940000001</v>
      </c>
      <c r="O101" s="113">
        <v>90013.443707794708</v>
      </c>
      <c r="P101" s="113">
        <v>97202.226731809467</v>
      </c>
      <c r="Q101" s="110">
        <v>36757.25443710231</v>
      </c>
      <c r="R101" s="113">
        <v>126770.69814489702</v>
      </c>
      <c r="S101" s="113">
        <v>133959.48116891179</v>
      </c>
      <c r="U101" s="7" t="s">
        <v>6047</v>
      </c>
    </row>
    <row r="102" spans="1:21" ht="16.5" thickBot="1">
      <c r="A102" s="207" t="s">
        <v>10</v>
      </c>
      <c r="B102" s="211">
        <f t="shared" si="3"/>
        <v>75</v>
      </c>
      <c r="C102" s="211" t="s">
        <v>3</v>
      </c>
      <c r="D102" s="211">
        <f t="shared" si="4"/>
        <v>300</v>
      </c>
      <c r="E102" s="211" t="s">
        <v>3</v>
      </c>
      <c r="F102" s="209">
        <f t="shared" si="5"/>
        <v>2850</v>
      </c>
      <c r="G102" s="211" t="s">
        <v>3</v>
      </c>
      <c r="H102" s="208">
        <v>2</v>
      </c>
      <c r="I102" s="210" t="s">
        <v>529</v>
      </c>
      <c r="J102" s="103">
        <v>75</v>
      </c>
      <c r="K102" s="66">
        <v>300</v>
      </c>
      <c r="L102" s="66">
        <v>2850</v>
      </c>
      <c r="M102" s="164">
        <v>29.366993643430003</v>
      </c>
      <c r="N102" s="78">
        <v>7869.3030000000008</v>
      </c>
      <c r="O102" s="113">
        <v>90708.010575126798</v>
      </c>
      <c r="P102" s="113">
        <v>98055.007185417824</v>
      </c>
      <c r="Q102" s="110">
        <v>37280.89622310282</v>
      </c>
      <c r="R102" s="113">
        <v>127988.90679822961</v>
      </c>
      <c r="S102" s="113">
        <v>135335.90340852065</v>
      </c>
      <c r="U102" s="7" t="s">
        <v>6048</v>
      </c>
    </row>
    <row r="103" spans="1:21" ht="16.5" thickBot="1">
      <c r="A103" s="207" t="s">
        <v>10</v>
      </c>
      <c r="B103" s="211">
        <f t="shared" si="3"/>
        <v>75</v>
      </c>
      <c r="C103" s="211" t="s">
        <v>3</v>
      </c>
      <c r="D103" s="211">
        <f t="shared" si="4"/>
        <v>300</v>
      </c>
      <c r="E103" s="211" t="s">
        <v>3</v>
      </c>
      <c r="F103" s="209">
        <f t="shared" si="5"/>
        <v>2900</v>
      </c>
      <c r="G103" s="211" t="s">
        <v>3</v>
      </c>
      <c r="H103" s="208">
        <v>2</v>
      </c>
      <c r="I103" s="210" t="s">
        <v>529</v>
      </c>
      <c r="J103" s="103">
        <v>75</v>
      </c>
      <c r="K103" s="66">
        <v>300</v>
      </c>
      <c r="L103" s="66">
        <v>2900</v>
      </c>
      <c r="M103" s="164">
        <v>29.999879119697503</v>
      </c>
      <c r="N103" s="78">
        <v>8026.6890600000006</v>
      </c>
      <c r="O103" s="113">
        <v>91402.524892380941</v>
      </c>
      <c r="P103" s="113">
        <v>98907.738470883938</v>
      </c>
      <c r="Q103" s="110">
        <v>38055.871993858338</v>
      </c>
      <c r="R103" s="113">
        <v>129458.39688623928</v>
      </c>
      <c r="S103" s="113">
        <v>136963.61046474229</v>
      </c>
      <c r="U103" s="7" t="s">
        <v>6049</v>
      </c>
    </row>
    <row r="104" spans="1:21" ht="16.5" thickBot="1">
      <c r="A104" s="207" t="s">
        <v>10</v>
      </c>
      <c r="B104" s="211">
        <f t="shared" si="3"/>
        <v>75</v>
      </c>
      <c r="C104" s="211" t="s">
        <v>3</v>
      </c>
      <c r="D104" s="211">
        <f t="shared" si="4"/>
        <v>300</v>
      </c>
      <c r="E104" s="211" t="s">
        <v>3</v>
      </c>
      <c r="F104" s="209">
        <f t="shared" si="5"/>
        <v>2950</v>
      </c>
      <c r="G104" s="211" t="s">
        <v>3</v>
      </c>
      <c r="H104" s="208">
        <v>2</v>
      </c>
      <c r="I104" s="210" t="s">
        <v>529</v>
      </c>
      <c r="J104" s="103">
        <v>75</v>
      </c>
      <c r="K104" s="66">
        <v>300</v>
      </c>
      <c r="L104" s="66">
        <v>2950</v>
      </c>
      <c r="M104" s="164">
        <v>30.439724595964996</v>
      </c>
      <c r="N104" s="78">
        <v>8184.0751200000013</v>
      </c>
      <c r="O104" s="113">
        <v>92096.986919706047</v>
      </c>
      <c r="P104" s="113">
        <v>99760.420718282287</v>
      </c>
      <c r="Q104" s="110">
        <v>38579.513779858848</v>
      </c>
      <c r="R104" s="113">
        <v>130676.5006995649</v>
      </c>
      <c r="S104" s="113">
        <v>138339.93449814114</v>
      </c>
      <c r="U104" s="7" t="s">
        <v>6050</v>
      </c>
    </row>
    <row r="105" spans="1:21" ht="16.5" thickBot="1">
      <c r="A105" s="212" t="s">
        <v>10</v>
      </c>
      <c r="B105" s="213">
        <f t="shared" si="3"/>
        <v>75</v>
      </c>
      <c r="C105" s="213" t="s">
        <v>3</v>
      </c>
      <c r="D105" s="213">
        <f t="shared" si="4"/>
        <v>300</v>
      </c>
      <c r="E105" s="213" t="s">
        <v>3</v>
      </c>
      <c r="F105" s="214">
        <f t="shared" si="5"/>
        <v>3000</v>
      </c>
      <c r="G105" s="213" t="s">
        <v>3</v>
      </c>
      <c r="H105" s="215">
        <v>2</v>
      </c>
      <c r="I105" s="210" t="s">
        <v>529</v>
      </c>
      <c r="J105" s="287">
        <v>75</v>
      </c>
      <c r="K105" s="266">
        <v>300</v>
      </c>
      <c r="L105" s="266">
        <v>3000</v>
      </c>
      <c r="M105" s="249">
        <v>30.896610072232498</v>
      </c>
      <c r="N105" s="250">
        <v>8341.4611800000002</v>
      </c>
      <c r="O105" s="251">
        <v>94662.748507626151</v>
      </c>
      <c r="P105" s="251">
        <v>102365.19007297083</v>
      </c>
      <c r="Q105" s="252">
        <v>39354.489550614366</v>
      </c>
      <c r="R105" s="251">
        <v>134017.2380582405</v>
      </c>
      <c r="S105" s="251">
        <v>141719.67962358519</v>
      </c>
      <c r="U105" s="7" t="s">
        <v>6051</v>
      </c>
    </row>
    <row r="106" spans="1:21" ht="22.5" customHeight="1" thickBot="1">
      <c r="A106" s="3010" t="s">
        <v>44</v>
      </c>
      <c r="B106" s="3011"/>
      <c r="C106" s="3011"/>
      <c r="D106" s="3011"/>
      <c r="E106" s="3011"/>
      <c r="F106" s="3011"/>
      <c r="G106" s="3011"/>
      <c r="H106" s="3011"/>
      <c r="I106" s="3011"/>
      <c r="J106" s="3011"/>
      <c r="K106" s="3011"/>
      <c r="L106" s="3011"/>
      <c r="M106" s="3011"/>
      <c r="N106" s="3011"/>
      <c r="O106" s="3011"/>
      <c r="P106" s="3011"/>
      <c r="Q106" s="3011"/>
      <c r="R106" s="3011"/>
      <c r="S106" s="3012"/>
      <c r="U106" s="7"/>
    </row>
    <row r="107" spans="1:21" ht="16.5" thickBot="1">
      <c r="A107" s="2974" t="s">
        <v>113</v>
      </c>
      <c r="B107" s="2975"/>
      <c r="C107" s="2975"/>
      <c r="D107" s="2975"/>
      <c r="E107" s="2975"/>
      <c r="F107" s="2975"/>
      <c r="G107" s="2975"/>
      <c r="H107" s="2975"/>
      <c r="I107" s="2975"/>
      <c r="J107" s="2975"/>
      <c r="K107" s="2975"/>
      <c r="L107" s="2975"/>
      <c r="M107" s="2975"/>
      <c r="N107" s="2975"/>
      <c r="O107" s="2975"/>
      <c r="P107" s="2975"/>
      <c r="Q107" s="2975"/>
      <c r="R107" s="2975"/>
      <c r="S107" s="2976"/>
      <c r="U107" s="7"/>
    </row>
    <row r="108" spans="1:21" ht="16.5" thickBot="1">
      <c r="A108" s="207" t="s">
        <v>10</v>
      </c>
      <c r="B108" s="208">
        <f t="shared" ref="B108:B154" si="6">J108</f>
        <v>75</v>
      </c>
      <c r="C108" s="208" t="s">
        <v>3</v>
      </c>
      <c r="D108" s="208">
        <f t="shared" ref="D108:D154" si="7">K108</f>
        <v>360</v>
      </c>
      <c r="E108" s="208" t="s">
        <v>3</v>
      </c>
      <c r="F108" s="209">
        <f t="shared" ref="F108:F154" si="8">L108</f>
        <v>700</v>
      </c>
      <c r="G108" s="208" t="s">
        <v>3</v>
      </c>
      <c r="H108" s="208">
        <v>4</v>
      </c>
      <c r="I108" s="210" t="s">
        <v>529</v>
      </c>
      <c r="J108" s="286">
        <v>75</v>
      </c>
      <c r="K108" s="271">
        <v>360</v>
      </c>
      <c r="L108" s="271">
        <v>700</v>
      </c>
      <c r="M108" s="245">
        <v>9.3973589043234202</v>
      </c>
      <c r="N108" s="246">
        <v>1536.6787800000002</v>
      </c>
      <c r="O108" s="247">
        <v>31899.212104506689</v>
      </c>
      <c r="P108" s="247">
        <v>34459.597065021313</v>
      </c>
      <c r="Q108" s="248">
        <v>11490.936859530682</v>
      </c>
      <c r="R108" s="247">
        <v>43390.148964037369</v>
      </c>
      <c r="S108" s="247">
        <v>45950.533924551994</v>
      </c>
      <c r="U108" s="7" t="s">
        <v>6052</v>
      </c>
    </row>
    <row r="109" spans="1:21" ht="16.5" thickBot="1">
      <c r="A109" s="207" t="s">
        <v>10</v>
      </c>
      <c r="B109" s="211">
        <f t="shared" si="6"/>
        <v>75</v>
      </c>
      <c r="C109" s="211" t="s">
        <v>3</v>
      </c>
      <c r="D109" s="211">
        <f t="shared" si="7"/>
        <v>360</v>
      </c>
      <c r="E109" s="211" t="s">
        <v>3</v>
      </c>
      <c r="F109" s="209">
        <f t="shared" si="8"/>
        <v>750</v>
      </c>
      <c r="G109" s="211" t="s">
        <v>3</v>
      </c>
      <c r="H109" s="208">
        <v>4</v>
      </c>
      <c r="I109" s="210" t="s">
        <v>529</v>
      </c>
      <c r="J109" s="103">
        <v>75</v>
      </c>
      <c r="K109" s="66">
        <v>360</v>
      </c>
      <c r="L109" s="66">
        <v>750</v>
      </c>
      <c r="M109" s="164">
        <v>9.9770103912005261</v>
      </c>
      <c r="N109" s="78">
        <v>1756.2043200000005</v>
      </c>
      <c r="O109" s="113">
        <v>33853.127411649853</v>
      </c>
      <c r="P109" s="113">
        <v>36525.330613264327</v>
      </c>
      <c r="Q109" s="110">
        <v>12094.357743768871</v>
      </c>
      <c r="R109" s="113">
        <v>45947.485155418726</v>
      </c>
      <c r="S109" s="113">
        <v>48619.688357033199</v>
      </c>
      <c r="U109" s="7" t="s">
        <v>6053</v>
      </c>
    </row>
    <row r="110" spans="1:21" ht="16.5" thickBot="1">
      <c r="A110" s="207" t="s">
        <v>10</v>
      </c>
      <c r="B110" s="211">
        <f t="shared" si="6"/>
        <v>75</v>
      </c>
      <c r="C110" s="211" t="s">
        <v>3</v>
      </c>
      <c r="D110" s="211">
        <f t="shared" si="7"/>
        <v>360</v>
      </c>
      <c r="E110" s="211" t="s">
        <v>3</v>
      </c>
      <c r="F110" s="209">
        <f t="shared" si="8"/>
        <v>800</v>
      </c>
      <c r="G110" s="211" t="s">
        <v>3</v>
      </c>
      <c r="H110" s="208">
        <v>4</v>
      </c>
      <c r="I110" s="210" t="s">
        <v>529</v>
      </c>
      <c r="J110" s="103">
        <v>75</v>
      </c>
      <c r="K110" s="66">
        <v>360</v>
      </c>
      <c r="L110" s="66">
        <v>800</v>
      </c>
      <c r="M110" s="164">
        <v>10.55666187807763</v>
      </c>
      <c r="N110" s="78">
        <v>1975.7298600000006</v>
      </c>
      <c r="O110" s="113">
        <v>35807.702066181875</v>
      </c>
      <c r="P110" s="113">
        <v>38591.681494848737</v>
      </c>
      <c r="Q110" s="110">
        <v>12697.77862800706</v>
      </c>
      <c r="R110" s="113">
        <v>48505.480694188933</v>
      </c>
      <c r="S110" s="113">
        <v>51289.460122855795</v>
      </c>
      <c r="U110" s="7" t="s">
        <v>6054</v>
      </c>
    </row>
    <row r="111" spans="1:21" ht="16.5" thickBot="1">
      <c r="A111" s="207" t="s">
        <v>10</v>
      </c>
      <c r="B111" s="211">
        <f t="shared" si="6"/>
        <v>75</v>
      </c>
      <c r="C111" s="211" t="s">
        <v>3</v>
      </c>
      <c r="D111" s="211">
        <f t="shared" si="7"/>
        <v>360</v>
      </c>
      <c r="E111" s="211" t="s">
        <v>3</v>
      </c>
      <c r="F111" s="209">
        <f t="shared" si="8"/>
        <v>850</v>
      </c>
      <c r="G111" s="211" t="s">
        <v>3</v>
      </c>
      <c r="H111" s="208">
        <v>4</v>
      </c>
      <c r="I111" s="210" t="s">
        <v>529</v>
      </c>
      <c r="J111" s="103">
        <v>75</v>
      </c>
      <c r="K111" s="66">
        <v>360</v>
      </c>
      <c r="L111" s="66">
        <v>850</v>
      </c>
      <c r="M111" s="164">
        <v>11.153353364954736</v>
      </c>
      <c r="N111" s="78">
        <v>2195.2554000000005</v>
      </c>
      <c r="O111" s="113">
        <v>37762.276720713897</v>
      </c>
      <c r="P111" s="113">
        <v>40658.032376433141</v>
      </c>
      <c r="Q111" s="110">
        <v>13552.533650029018</v>
      </c>
      <c r="R111" s="113">
        <v>51314.810370742911</v>
      </c>
      <c r="S111" s="113">
        <v>54210.566026462155</v>
      </c>
      <c r="U111" s="7" t="s">
        <v>6055</v>
      </c>
    </row>
    <row r="112" spans="1:21" ht="16.5" thickBot="1">
      <c r="A112" s="207" t="s">
        <v>10</v>
      </c>
      <c r="B112" s="211">
        <f t="shared" si="6"/>
        <v>75</v>
      </c>
      <c r="C112" s="211" t="s">
        <v>3</v>
      </c>
      <c r="D112" s="211">
        <f t="shared" si="7"/>
        <v>360</v>
      </c>
      <c r="E112" s="211" t="s">
        <v>3</v>
      </c>
      <c r="F112" s="209">
        <f t="shared" si="8"/>
        <v>900</v>
      </c>
      <c r="G112" s="211" t="s">
        <v>3</v>
      </c>
      <c r="H112" s="208">
        <v>4</v>
      </c>
      <c r="I112" s="210" t="s">
        <v>529</v>
      </c>
      <c r="J112" s="103">
        <v>75</v>
      </c>
      <c r="K112" s="66">
        <v>360</v>
      </c>
      <c r="L112" s="66">
        <v>900</v>
      </c>
      <c r="M112" s="164">
        <v>11.771004851831844</v>
      </c>
      <c r="N112" s="78">
        <v>2414.780940000001</v>
      </c>
      <c r="O112" s="113">
        <v>39716.851375245918</v>
      </c>
      <c r="P112" s="113">
        <v>42724.383258017544</v>
      </c>
      <c r="Q112" s="110">
        <v>14155.954534267206</v>
      </c>
      <c r="R112" s="113">
        <v>53872.805909513125</v>
      </c>
      <c r="S112" s="113">
        <v>56880.33779228475</v>
      </c>
      <c r="U112" s="7" t="s">
        <v>6056</v>
      </c>
    </row>
    <row r="113" spans="1:21" ht="16.5" thickBot="1">
      <c r="A113" s="207" t="s">
        <v>10</v>
      </c>
      <c r="B113" s="211">
        <f t="shared" si="6"/>
        <v>75</v>
      </c>
      <c r="C113" s="211" t="s">
        <v>3</v>
      </c>
      <c r="D113" s="211">
        <f t="shared" si="7"/>
        <v>360</v>
      </c>
      <c r="E113" s="211" t="s">
        <v>3</v>
      </c>
      <c r="F113" s="209">
        <f t="shared" si="8"/>
        <v>950</v>
      </c>
      <c r="G113" s="211" t="s">
        <v>3</v>
      </c>
      <c r="H113" s="208">
        <v>4</v>
      </c>
      <c r="I113" s="210" t="s">
        <v>529</v>
      </c>
      <c r="J113" s="103">
        <v>75</v>
      </c>
      <c r="K113" s="66">
        <v>360</v>
      </c>
      <c r="L113" s="66">
        <v>950</v>
      </c>
      <c r="M113" s="164">
        <v>12.436696338708948</v>
      </c>
      <c r="N113" s="78">
        <v>2634.3064800000006</v>
      </c>
      <c r="O113" s="113">
        <v>41671.42602977794</v>
      </c>
      <c r="P113" s="113">
        <v>44790.734139601955</v>
      </c>
      <c r="Q113" s="110">
        <v>15010.709556289165</v>
      </c>
      <c r="R113" s="113">
        <v>56682.135586067103</v>
      </c>
      <c r="S113" s="113">
        <v>59801.443695891117</v>
      </c>
      <c r="U113" s="7" t="s">
        <v>6057</v>
      </c>
    </row>
    <row r="114" spans="1:21" ht="16.5" thickBot="1">
      <c r="A114" s="207" t="s">
        <v>10</v>
      </c>
      <c r="B114" s="211">
        <f t="shared" si="6"/>
        <v>75</v>
      </c>
      <c r="C114" s="211" t="s">
        <v>3</v>
      </c>
      <c r="D114" s="211">
        <f t="shared" si="7"/>
        <v>360</v>
      </c>
      <c r="E114" s="211" t="s">
        <v>3</v>
      </c>
      <c r="F114" s="209">
        <f t="shared" si="8"/>
        <v>1000</v>
      </c>
      <c r="G114" s="211" t="s">
        <v>3</v>
      </c>
      <c r="H114" s="208">
        <v>4</v>
      </c>
      <c r="I114" s="210" t="s">
        <v>529</v>
      </c>
      <c r="J114" s="103">
        <v>75</v>
      </c>
      <c r="K114" s="66">
        <v>360</v>
      </c>
      <c r="L114" s="66">
        <v>1000</v>
      </c>
      <c r="M114" s="164">
        <v>13.016347825586053</v>
      </c>
      <c r="N114" s="78">
        <v>2853.8320200000007</v>
      </c>
      <c r="O114" s="113">
        <v>43522.306633230466</v>
      </c>
      <c r="P114" s="113">
        <v>46759.996931142654</v>
      </c>
      <c r="Q114" s="110">
        <v>15614.130440527351</v>
      </c>
      <c r="R114" s="113">
        <v>59136.437073757814</v>
      </c>
      <c r="S114" s="113">
        <v>62374.127371670009</v>
      </c>
      <c r="U114" s="7" t="s">
        <v>6058</v>
      </c>
    </row>
    <row r="115" spans="1:21" ht="16.5" thickBot="1">
      <c r="A115" s="207" t="s">
        <v>10</v>
      </c>
      <c r="B115" s="211">
        <f t="shared" si="6"/>
        <v>75</v>
      </c>
      <c r="C115" s="211" t="s">
        <v>3</v>
      </c>
      <c r="D115" s="211">
        <f t="shared" si="7"/>
        <v>360</v>
      </c>
      <c r="E115" s="211" t="s">
        <v>3</v>
      </c>
      <c r="F115" s="209">
        <f t="shared" si="8"/>
        <v>1050</v>
      </c>
      <c r="G115" s="211" t="s">
        <v>3</v>
      </c>
      <c r="H115" s="208">
        <v>4</v>
      </c>
      <c r="I115" s="210" t="s">
        <v>529</v>
      </c>
      <c r="J115" s="103">
        <v>75</v>
      </c>
      <c r="K115" s="66">
        <v>360</v>
      </c>
      <c r="L115" s="66">
        <v>1050</v>
      </c>
      <c r="M115" s="164">
        <v>13.61303931246316</v>
      </c>
      <c r="N115" s="78">
        <v>3073.3575600000004</v>
      </c>
      <c r="O115" s="113">
        <v>45723.154496483228</v>
      </c>
      <c r="P115" s="113">
        <v>49056.931961543632</v>
      </c>
      <c r="Q115" s="110">
        <v>16468.885462549311</v>
      </c>
      <c r="R115" s="113">
        <v>62192.03995903254</v>
      </c>
      <c r="S115" s="113">
        <v>65525.817424092944</v>
      </c>
      <c r="U115" s="7" t="s">
        <v>6059</v>
      </c>
    </row>
    <row r="116" spans="1:21" ht="16.5" thickBot="1">
      <c r="A116" s="207" t="s">
        <v>10</v>
      </c>
      <c r="B116" s="208">
        <f t="shared" si="6"/>
        <v>75</v>
      </c>
      <c r="C116" s="208" t="s">
        <v>3</v>
      </c>
      <c r="D116" s="208">
        <f t="shared" si="7"/>
        <v>360</v>
      </c>
      <c r="E116" s="208" t="s">
        <v>3</v>
      </c>
      <c r="F116" s="209">
        <f t="shared" si="8"/>
        <v>1100</v>
      </c>
      <c r="G116" s="208" t="s">
        <v>3</v>
      </c>
      <c r="H116" s="208">
        <v>4</v>
      </c>
      <c r="I116" s="210" t="s">
        <v>529</v>
      </c>
      <c r="J116" s="103">
        <v>75</v>
      </c>
      <c r="K116" s="66">
        <v>360</v>
      </c>
      <c r="L116" s="66">
        <v>1100</v>
      </c>
      <c r="M116" s="164">
        <v>14.192690799340262</v>
      </c>
      <c r="N116" s="78">
        <v>3292.8831000000009</v>
      </c>
      <c r="O116" s="113">
        <v>47677.72915101525</v>
      </c>
      <c r="P116" s="113">
        <v>51123.282713053588</v>
      </c>
      <c r="Q116" s="110">
        <v>17072.3063467875</v>
      </c>
      <c r="R116" s="113">
        <v>64750.035497802746</v>
      </c>
      <c r="S116" s="113">
        <v>68195.589059841092</v>
      </c>
      <c r="U116" s="7" t="s">
        <v>6060</v>
      </c>
    </row>
    <row r="117" spans="1:21" ht="16.5" thickBot="1">
      <c r="A117" s="207" t="s">
        <v>10</v>
      </c>
      <c r="B117" s="211">
        <f t="shared" si="6"/>
        <v>75</v>
      </c>
      <c r="C117" s="211" t="s">
        <v>3</v>
      </c>
      <c r="D117" s="211">
        <f t="shared" si="7"/>
        <v>360</v>
      </c>
      <c r="E117" s="211" t="s">
        <v>3</v>
      </c>
      <c r="F117" s="209">
        <f t="shared" si="8"/>
        <v>1150</v>
      </c>
      <c r="G117" s="211" t="s">
        <v>3</v>
      </c>
      <c r="H117" s="208">
        <v>4</v>
      </c>
      <c r="I117" s="210" t="s">
        <v>529</v>
      </c>
      <c r="J117" s="103">
        <v>75</v>
      </c>
      <c r="K117" s="66">
        <v>360</v>
      </c>
      <c r="L117" s="66">
        <v>1150</v>
      </c>
      <c r="M117" s="164">
        <v>14.772342286217368</v>
      </c>
      <c r="N117" s="78">
        <v>3512.408640000001</v>
      </c>
      <c r="O117" s="113">
        <v>48808.98040218994</v>
      </c>
      <c r="P117" s="113">
        <v>52418.760762270067</v>
      </c>
      <c r="Q117" s="110">
        <v>17675.727231025689</v>
      </c>
      <c r="R117" s="113">
        <v>66484.707633215628</v>
      </c>
      <c r="S117" s="113">
        <v>70094.487993295756</v>
      </c>
      <c r="U117" s="7" t="s">
        <v>6061</v>
      </c>
    </row>
    <row r="118" spans="1:21" ht="16.5" thickBot="1">
      <c r="A118" s="207" t="s">
        <v>10</v>
      </c>
      <c r="B118" s="211">
        <f t="shared" si="6"/>
        <v>75</v>
      </c>
      <c r="C118" s="211" t="s">
        <v>3</v>
      </c>
      <c r="D118" s="211">
        <f t="shared" si="7"/>
        <v>360</v>
      </c>
      <c r="E118" s="211" t="s">
        <v>3</v>
      </c>
      <c r="F118" s="209">
        <f t="shared" si="8"/>
        <v>1200</v>
      </c>
      <c r="G118" s="211" t="s">
        <v>3</v>
      </c>
      <c r="H118" s="208">
        <v>4</v>
      </c>
      <c r="I118" s="210" t="s">
        <v>529</v>
      </c>
      <c r="J118" s="103">
        <v>75</v>
      </c>
      <c r="K118" s="66">
        <v>360</v>
      </c>
      <c r="L118" s="66">
        <v>1200</v>
      </c>
      <c r="M118" s="164">
        <v>15.623533773094472</v>
      </c>
      <c r="N118" s="78">
        <v>3731.9341800000007</v>
      </c>
      <c r="O118" s="113">
        <v>50004.960341946513</v>
      </c>
      <c r="P118" s="113">
        <v>53774.843749768785</v>
      </c>
      <c r="Q118" s="110">
        <v>18530.482406076411</v>
      </c>
      <c r="R118" s="113">
        <v>68535.442748022921</v>
      </c>
      <c r="S118" s="113">
        <v>72305.326155845192</v>
      </c>
      <c r="U118" s="7" t="s">
        <v>6062</v>
      </c>
    </row>
    <row r="119" spans="1:21" ht="16.5" thickBot="1">
      <c r="A119" s="207" t="s">
        <v>10</v>
      </c>
      <c r="B119" s="211">
        <f t="shared" si="6"/>
        <v>75</v>
      </c>
      <c r="C119" s="211" t="s">
        <v>3</v>
      </c>
      <c r="D119" s="211">
        <f t="shared" si="7"/>
        <v>360</v>
      </c>
      <c r="E119" s="211" t="s">
        <v>3</v>
      </c>
      <c r="F119" s="209">
        <f t="shared" si="8"/>
        <v>1250</v>
      </c>
      <c r="G119" s="211" t="s">
        <v>3</v>
      </c>
      <c r="H119" s="208">
        <v>4</v>
      </c>
      <c r="I119" s="210" t="s">
        <v>529</v>
      </c>
      <c r="J119" s="103">
        <v>75</v>
      </c>
      <c r="K119" s="66">
        <v>360</v>
      </c>
      <c r="L119" s="66">
        <v>1250</v>
      </c>
      <c r="M119" s="164">
        <v>16.20318525997158</v>
      </c>
      <c r="N119" s="78">
        <v>3951.4597200000012</v>
      </c>
      <c r="O119" s="113">
        <v>51135.687393086257</v>
      </c>
      <c r="P119" s="113">
        <v>55069.830767935156</v>
      </c>
      <c r="Q119" s="110">
        <v>19133.9032903146</v>
      </c>
      <c r="R119" s="113">
        <v>70269.590683400864</v>
      </c>
      <c r="S119" s="113">
        <v>74203.734058249756</v>
      </c>
      <c r="U119" s="7" t="s">
        <v>6063</v>
      </c>
    </row>
    <row r="120" spans="1:21" ht="16.5" thickBot="1">
      <c r="A120" s="207" t="s">
        <v>10</v>
      </c>
      <c r="B120" s="211">
        <f t="shared" si="6"/>
        <v>75</v>
      </c>
      <c r="C120" s="211" t="s">
        <v>3</v>
      </c>
      <c r="D120" s="211">
        <f t="shared" si="7"/>
        <v>360</v>
      </c>
      <c r="E120" s="211" t="s">
        <v>3</v>
      </c>
      <c r="F120" s="209">
        <f t="shared" si="8"/>
        <v>1300</v>
      </c>
      <c r="G120" s="211" t="s">
        <v>3</v>
      </c>
      <c r="H120" s="208">
        <v>4</v>
      </c>
      <c r="I120" s="210" t="s">
        <v>529</v>
      </c>
      <c r="J120" s="103">
        <v>75</v>
      </c>
      <c r="K120" s="66">
        <v>360</v>
      </c>
      <c r="L120" s="66">
        <v>1300</v>
      </c>
      <c r="M120" s="164">
        <v>16.861876746848687</v>
      </c>
      <c r="N120" s="78">
        <v>4170.9852600000004</v>
      </c>
      <c r="O120" s="113">
        <v>54939.512427984489</v>
      </c>
      <c r="P120" s="113">
        <v>58867.624120495922</v>
      </c>
      <c r="Q120" s="110">
        <v>19988.658312336556</v>
      </c>
      <c r="R120" s="113">
        <v>74928.170740321046</v>
      </c>
      <c r="S120" s="113">
        <v>78856.282432832479</v>
      </c>
      <c r="U120" s="7" t="s">
        <v>6064</v>
      </c>
    </row>
    <row r="121" spans="1:21" ht="16.5" thickBot="1">
      <c r="A121" s="207" t="s">
        <v>10</v>
      </c>
      <c r="B121" s="211">
        <f t="shared" si="6"/>
        <v>75</v>
      </c>
      <c r="C121" s="211" t="s">
        <v>3</v>
      </c>
      <c r="D121" s="211">
        <f t="shared" si="7"/>
        <v>360</v>
      </c>
      <c r="E121" s="211" t="s">
        <v>3</v>
      </c>
      <c r="F121" s="209">
        <f t="shared" si="8"/>
        <v>1350</v>
      </c>
      <c r="G121" s="211" t="s">
        <v>3</v>
      </c>
      <c r="H121" s="208">
        <v>4</v>
      </c>
      <c r="I121" s="210" t="s">
        <v>529</v>
      </c>
      <c r="J121" s="103">
        <v>75</v>
      </c>
      <c r="K121" s="66">
        <v>360</v>
      </c>
      <c r="L121" s="66">
        <v>1350</v>
      </c>
      <c r="M121" s="164">
        <v>17.441528233725791</v>
      </c>
      <c r="N121" s="78">
        <v>4390.5108000000009</v>
      </c>
      <c r="O121" s="113">
        <v>56342.408559794167</v>
      </c>
      <c r="P121" s="113">
        <v>60417.441555248632</v>
      </c>
      <c r="Q121" s="110">
        <v>20592.079196574745</v>
      </c>
      <c r="R121" s="113">
        <v>76934.487756368908</v>
      </c>
      <c r="S121" s="113">
        <v>81009.52075182338</v>
      </c>
      <c r="U121" s="7" t="s">
        <v>6065</v>
      </c>
    </row>
    <row r="122" spans="1:21" ht="16.5" thickBot="1">
      <c r="A122" s="207" t="s">
        <v>10</v>
      </c>
      <c r="B122" s="211">
        <f t="shared" si="6"/>
        <v>75</v>
      </c>
      <c r="C122" s="211" t="s">
        <v>3</v>
      </c>
      <c r="D122" s="211">
        <f t="shared" si="7"/>
        <v>360</v>
      </c>
      <c r="E122" s="211" t="s">
        <v>3</v>
      </c>
      <c r="F122" s="209">
        <f t="shared" si="8"/>
        <v>1400</v>
      </c>
      <c r="G122" s="211" t="s">
        <v>3</v>
      </c>
      <c r="H122" s="208">
        <v>4</v>
      </c>
      <c r="I122" s="210" t="s">
        <v>529</v>
      </c>
      <c r="J122" s="103">
        <v>75</v>
      </c>
      <c r="K122" s="66">
        <v>360</v>
      </c>
      <c r="L122" s="66">
        <v>1400</v>
      </c>
      <c r="M122" s="164">
        <v>18.038219720602893</v>
      </c>
      <c r="N122" s="78">
        <v>4610.0363400000015</v>
      </c>
      <c r="O122" s="113">
        <v>58101.752650744063</v>
      </c>
      <c r="P122" s="113">
        <v>62300.999201970757</v>
      </c>
      <c r="Q122" s="110">
        <v>21446.834218596705</v>
      </c>
      <c r="R122" s="113">
        <v>79548.586869340768</v>
      </c>
      <c r="S122" s="113">
        <v>83747.833420567462</v>
      </c>
      <c r="U122" s="7" t="s">
        <v>6066</v>
      </c>
    </row>
    <row r="123" spans="1:21" ht="16.5" thickBot="1">
      <c r="A123" s="207" t="s">
        <v>10</v>
      </c>
      <c r="B123" s="211">
        <f t="shared" si="6"/>
        <v>75</v>
      </c>
      <c r="C123" s="211" t="s">
        <v>3</v>
      </c>
      <c r="D123" s="211">
        <f t="shared" si="7"/>
        <v>360</v>
      </c>
      <c r="E123" s="211" t="s">
        <v>3</v>
      </c>
      <c r="F123" s="209">
        <f t="shared" si="8"/>
        <v>1450</v>
      </c>
      <c r="G123" s="211" t="s">
        <v>3</v>
      </c>
      <c r="H123" s="208">
        <v>4</v>
      </c>
      <c r="I123" s="210" t="s">
        <v>529</v>
      </c>
      <c r="J123" s="103">
        <v>75</v>
      </c>
      <c r="K123" s="66">
        <v>360</v>
      </c>
      <c r="L123" s="66">
        <v>1450</v>
      </c>
      <c r="M123" s="164">
        <v>18.61787120748</v>
      </c>
      <c r="N123" s="78">
        <v>4829.561880000002</v>
      </c>
      <c r="O123" s="113">
        <v>59504.648652479409</v>
      </c>
      <c r="P123" s="113">
        <v>63850.816636723466</v>
      </c>
      <c r="Q123" s="110">
        <v>22050.255102834893</v>
      </c>
      <c r="R123" s="113">
        <v>81554.903755314299</v>
      </c>
      <c r="S123" s="113">
        <v>85901.071739558363</v>
      </c>
      <c r="U123" s="7" t="s">
        <v>6067</v>
      </c>
    </row>
    <row r="124" spans="1:21" ht="16.5" thickBot="1">
      <c r="A124" s="207" t="s">
        <v>10</v>
      </c>
      <c r="B124" s="211">
        <f t="shared" si="6"/>
        <v>75</v>
      </c>
      <c r="C124" s="211" t="s">
        <v>3</v>
      </c>
      <c r="D124" s="211">
        <f t="shared" si="7"/>
        <v>360</v>
      </c>
      <c r="E124" s="211" t="s">
        <v>3</v>
      </c>
      <c r="F124" s="209">
        <f t="shared" si="8"/>
        <v>1500</v>
      </c>
      <c r="G124" s="211" t="s">
        <v>3</v>
      </c>
      <c r="H124" s="208">
        <v>4</v>
      </c>
      <c r="I124" s="210" t="s">
        <v>529</v>
      </c>
      <c r="J124" s="103">
        <v>75</v>
      </c>
      <c r="K124" s="66">
        <v>360</v>
      </c>
      <c r="L124" s="66">
        <v>1500</v>
      </c>
      <c r="M124" s="164">
        <v>19.833328643157106</v>
      </c>
      <c r="N124" s="78">
        <v>5049.0874200000007</v>
      </c>
      <c r="O124" s="113">
        <v>61521.94221526086</v>
      </c>
      <c r="P124" s="113">
        <v>66147.847792143264</v>
      </c>
      <c r="Q124" s="110">
        <v>22905.01012485685</v>
      </c>
      <c r="R124" s="113">
        <v>84426.952340117714</v>
      </c>
      <c r="S124" s="113">
        <v>89052.857917000118</v>
      </c>
      <c r="U124" s="7" t="s">
        <v>6068</v>
      </c>
    </row>
    <row r="125" spans="1:21" ht="16.5" thickBot="1">
      <c r="A125" s="207" t="s">
        <v>10</v>
      </c>
      <c r="B125" s="211">
        <f t="shared" si="6"/>
        <v>75</v>
      </c>
      <c r="C125" s="211" t="s">
        <v>3</v>
      </c>
      <c r="D125" s="211">
        <f t="shared" si="7"/>
        <v>360</v>
      </c>
      <c r="E125" s="211" t="s">
        <v>3</v>
      </c>
      <c r="F125" s="209">
        <f t="shared" si="8"/>
        <v>1550</v>
      </c>
      <c r="G125" s="211" t="s">
        <v>3</v>
      </c>
      <c r="H125" s="208">
        <v>4</v>
      </c>
      <c r="I125" s="210" t="s">
        <v>529</v>
      </c>
      <c r="J125" s="103">
        <v>75</v>
      </c>
      <c r="K125" s="66">
        <v>360</v>
      </c>
      <c r="L125" s="66">
        <v>1550</v>
      </c>
      <c r="M125" s="164">
        <v>20.481980130034209</v>
      </c>
      <c r="N125" s="78">
        <v>5268.6129600000013</v>
      </c>
      <c r="O125" s="113">
        <v>62924.83834707053</v>
      </c>
      <c r="P125" s="113">
        <v>67697.665226895988</v>
      </c>
      <c r="Q125" s="110">
        <v>23508.431009095038</v>
      </c>
      <c r="R125" s="113">
        <v>86433.269356165576</v>
      </c>
      <c r="S125" s="113">
        <v>91206.096235991019</v>
      </c>
      <c r="U125" s="7" t="s">
        <v>6069</v>
      </c>
    </row>
    <row r="126" spans="1:21" ht="16.5" thickBot="1">
      <c r="A126" s="207" t="s">
        <v>10</v>
      </c>
      <c r="B126" s="208">
        <f t="shared" si="6"/>
        <v>75</v>
      </c>
      <c r="C126" s="208" t="s">
        <v>3</v>
      </c>
      <c r="D126" s="208">
        <f t="shared" si="7"/>
        <v>360</v>
      </c>
      <c r="E126" s="208" t="s">
        <v>3</v>
      </c>
      <c r="F126" s="209">
        <f t="shared" si="8"/>
        <v>1600</v>
      </c>
      <c r="G126" s="208" t="s">
        <v>3</v>
      </c>
      <c r="H126" s="208">
        <v>4</v>
      </c>
      <c r="I126" s="210" t="s">
        <v>529</v>
      </c>
      <c r="J126" s="103">
        <v>75</v>
      </c>
      <c r="K126" s="66">
        <v>360</v>
      </c>
      <c r="L126" s="66">
        <v>1600</v>
      </c>
      <c r="M126" s="164">
        <v>21.061631616911317</v>
      </c>
      <c r="N126" s="78">
        <v>5488.1385000000009</v>
      </c>
      <c r="O126" s="113">
        <v>66448.919545756798</v>
      </c>
      <c r="P126" s="113">
        <v>71233.535983539186</v>
      </c>
      <c r="Q126" s="110">
        <v>24111.851893333227</v>
      </c>
      <c r="R126" s="113">
        <v>90560.771439090022</v>
      </c>
      <c r="S126" s="113">
        <v>95345.38787687241</v>
      </c>
      <c r="U126" s="7" t="s">
        <v>6070</v>
      </c>
    </row>
    <row r="127" spans="1:21" ht="16.5" thickBot="1">
      <c r="A127" s="207" t="s">
        <v>10</v>
      </c>
      <c r="B127" s="211">
        <f t="shared" si="6"/>
        <v>75</v>
      </c>
      <c r="C127" s="211" t="s">
        <v>3</v>
      </c>
      <c r="D127" s="211">
        <f t="shared" si="7"/>
        <v>360</v>
      </c>
      <c r="E127" s="211" t="s">
        <v>3</v>
      </c>
      <c r="F127" s="209">
        <f t="shared" si="8"/>
        <v>1650</v>
      </c>
      <c r="G127" s="211" t="s">
        <v>3</v>
      </c>
      <c r="H127" s="208">
        <v>4</v>
      </c>
      <c r="I127" s="210" t="s">
        <v>529</v>
      </c>
      <c r="J127" s="103">
        <v>75</v>
      </c>
      <c r="K127" s="66">
        <v>360</v>
      </c>
      <c r="L127" s="66">
        <v>1650</v>
      </c>
      <c r="M127" s="164">
        <v>21.696323103788423</v>
      </c>
      <c r="N127" s="78">
        <v>5707.6640400000015</v>
      </c>
      <c r="O127" s="113">
        <v>70247.964214529988</v>
      </c>
      <c r="P127" s="113">
        <v>75026.853604337623</v>
      </c>
      <c r="Q127" s="110">
        <v>24966.606915355183</v>
      </c>
      <c r="R127" s="113">
        <v>95214.571129885167</v>
      </c>
      <c r="S127" s="113">
        <v>99993.460519692802</v>
      </c>
      <c r="U127" s="7" t="s">
        <v>6071</v>
      </c>
    </row>
    <row r="128" spans="1:21" ht="16.5" thickBot="1">
      <c r="A128" s="207" t="s">
        <v>10</v>
      </c>
      <c r="B128" s="211">
        <f t="shared" si="6"/>
        <v>75</v>
      </c>
      <c r="C128" s="211" t="s">
        <v>3</v>
      </c>
      <c r="D128" s="211">
        <f t="shared" si="7"/>
        <v>360</v>
      </c>
      <c r="E128" s="211" t="s">
        <v>3</v>
      </c>
      <c r="F128" s="209">
        <f t="shared" si="8"/>
        <v>1700</v>
      </c>
      <c r="G128" s="211" t="s">
        <v>3</v>
      </c>
      <c r="H128" s="208">
        <v>4</v>
      </c>
      <c r="I128" s="210" t="s">
        <v>529</v>
      </c>
      <c r="J128" s="103">
        <v>75</v>
      </c>
      <c r="K128" s="66">
        <v>360</v>
      </c>
      <c r="L128" s="66">
        <v>1700</v>
      </c>
      <c r="M128" s="164">
        <v>22.27597459066553</v>
      </c>
      <c r="N128" s="78">
        <v>5927.189580000002</v>
      </c>
      <c r="O128" s="113">
        <v>71427.24961888112</v>
      </c>
      <c r="P128" s="113">
        <v>76367.305675211494</v>
      </c>
      <c r="Q128" s="110">
        <v>25570.027799593372</v>
      </c>
      <c r="R128" s="113">
        <v>96997.277418474492</v>
      </c>
      <c r="S128" s="113">
        <v>101937.33347480487</v>
      </c>
      <c r="U128" s="7" t="s">
        <v>6072</v>
      </c>
    </row>
    <row r="129" spans="1:21" ht="16.5" thickBot="1">
      <c r="A129" s="207" t="s">
        <v>10</v>
      </c>
      <c r="B129" s="211">
        <f t="shared" si="6"/>
        <v>75</v>
      </c>
      <c r="C129" s="211" t="s">
        <v>3</v>
      </c>
      <c r="D129" s="211">
        <f t="shared" si="7"/>
        <v>360</v>
      </c>
      <c r="E129" s="211" t="s">
        <v>3</v>
      </c>
      <c r="F129" s="209">
        <f t="shared" si="8"/>
        <v>1750</v>
      </c>
      <c r="G129" s="211" t="s">
        <v>3</v>
      </c>
      <c r="H129" s="208">
        <v>4</v>
      </c>
      <c r="I129" s="210" t="s">
        <v>529</v>
      </c>
      <c r="J129" s="103">
        <v>75</v>
      </c>
      <c r="K129" s="66">
        <v>360</v>
      </c>
      <c r="L129" s="66">
        <v>1750</v>
      </c>
      <c r="M129" s="164">
        <v>22.872666077542629</v>
      </c>
      <c r="N129" s="78">
        <v>6146.7151200000008</v>
      </c>
      <c r="O129" s="113">
        <v>72523.527362365188</v>
      </c>
      <c r="P129" s="113">
        <v>77630.038131923022</v>
      </c>
      <c r="Q129" s="110">
        <v>26424.782821615332</v>
      </c>
      <c r="R129" s="113">
        <v>98948.310183980517</v>
      </c>
      <c r="S129" s="113">
        <v>104054.82095353835</v>
      </c>
      <c r="U129" s="7" t="s">
        <v>6073</v>
      </c>
    </row>
    <row r="130" spans="1:21" ht="16.5" thickBot="1">
      <c r="A130" s="207" t="s">
        <v>10</v>
      </c>
      <c r="B130" s="211">
        <f t="shared" si="6"/>
        <v>75</v>
      </c>
      <c r="C130" s="211" t="s">
        <v>3</v>
      </c>
      <c r="D130" s="211">
        <f t="shared" si="7"/>
        <v>360</v>
      </c>
      <c r="E130" s="211" t="s">
        <v>3</v>
      </c>
      <c r="F130" s="209">
        <f t="shared" si="8"/>
        <v>1800</v>
      </c>
      <c r="G130" s="211" t="s">
        <v>3</v>
      </c>
      <c r="H130" s="208">
        <v>4</v>
      </c>
      <c r="I130" s="210" t="s">
        <v>529</v>
      </c>
      <c r="J130" s="103">
        <v>75</v>
      </c>
      <c r="K130" s="66">
        <v>360</v>
      </c>
      <c r="L130" s="66">
        <v>1800</v>
      </c>
      <c r="M130" s="164">
        <v>23.521317564419736</v>
      </c>
      <c r="N130" s="78">
        <v>6366.2406600000013</v>
      </c>
      <c r="O130" s="113">
        <v>73703.57201128306</v>
      </c>
      <c r="P130" s="113">
        <v>78971.20092959363</v>
      </c>
      <c r="Q130" s="110">
        <v>27028.203705853517</v>
      </c>
      <c r="R130" s="113">
        <v>100731.77571713658</v>
      </c>
      <c r="S130" s="113">
        <v>105999.40463544715</v>
      </c>
      <c r="U130" s="7" t="s">
        <v>6074</v>
      </c>
    </row>
    <row r="131" spans="1:21" ht="16.5" thickBot="1">
      <c r="A131" s="207" t="s">
        <v>10</v>
      </c>
      <c r="B131" s="211">
        <f t="shared" si="6"/>
        <v>75</v>
      </c>
      <c r="C131" s="211" t="s">
        <v>3</v>
      </c>
      <c r="D131" s="211">
        <f t="shared" si="7"/>
        <v>360</v>
      </c>
      <c r="E131" s="211" t="s">
        <v>3</v>
      </c>
      <c r="F131" s="209">
        <f t="shared" si="8"/>
        <v>1850</v>
      </c>
      <c r="G131" s="211" t="s">
        <v>3</v>
      </c>
      <c r="H131" s="208">
        <v>4</v>
      </c>
      <c r="I131" s="210" t="s">
        <v>529</v>
      </c>
      <c r="J131" s="103">
        <v>75</v>
      </c>
      <c r="K131" s="66">
        <v>360</v>
      </c>
      <c r="L131" s="66">
        <v>1850</v>
      </c>
      <c r="M131" s="164">
        <v>24.18000905129685</v>
      </c>
      <c r="N131" s="78">
        <v>6585.7662000000018</v>
      </c>
      <c r="O131" s="113">
        <v>74883.564240197447</v>
      </c>
      <c r="P131" s="113">
        <v>80312.31481927089</v>
      </c>
      <c r="Q131" s="110">
        <v>27882.958880904247</v>
      </c>
      <c r="R131" s="113">
        <v>102766.52312110169</v>
      </c>
      <c r="S131" s="113">
        <v>108195.27370017514</v>
      </c>
      <c r="U131" s="7" t="s">
        <v>6075</v>
      </c>
    </row>
    <row r="132" spans="1:21" ht="16.5" thickBot="1">
      <c r="A132" s="207" t="s">
        <v>10</v>
      </c>
      <c r="B132" s="211">
        <f t="shared" si="6"/>
        <v>75</v>
      </c>
      <c r="C132" s="211" t="s">
        <v>3</v>
      </c>
      <c r="D132" s="211">
        <f t="shared" si="7"/>
        <v>360</v>
      </c>
      <c r="E132" s="211" t="s">
        <v>3</v>
      </c>
      <c r="F132" s="209">
        <f t="shared" si="8"/>
        <v>1900</v>
      </c>
      <c r="G132" s="211" t="s">
        <v>3</v>
      </c>
      <c r="H132" s="208">
        <v>4</v>
      </c>
      <c r="I132" s="210" t="s">
        <v>529</v>
      </c>
      <c r="J132" s="103">
        <v>75</v>
      </c>
      <c r="K132" s="66">
        <v>360</v>
      </c>
      <c r="L132" s="66">
        <v>1900</v>
      </c>
      <c r="M132" s="164">
        <v>24.75966053817395</v>
      </c>
      <c r="N132" s="78">
        <v>6805.2917400000015</v>
      </c>
      <c r="O132" s="113">
        <v>76254.365802126209</v>
      </c>
      <c r="P132" s="113">
        <v>81832.08219435341</v>
      </c>
      <c r="Q132" s="110">
        <v>28486.379765142432</v>
      </c>
      <c r="R132" s="113">
        <v>104740.74556726863</v>
      </c>
      <c r="S132" s="113">
        <v>110318.46195949585</v>
      </c>
      <c r="U132" s="7" t="s">
        <v>6076</v>
      </c>
    </row>
    <row r="133" spans="1:21" ht="16.5" thickBot="1">
      <c r="A133" s="207" t="s">
        <v>10</v>
      </c>
      <c r="B133" s="211">
        <f t="shared" si="6"/>
        <v>75</v>
      </c>
      <c r="C133" s="211" t="s">
        <v>3</v>
      </c>
      <c r="D133" s="211">
        <f t="shared" si="7"/>
        <v>360</v>
      </c>
      <c r="E133" s="211" t="s">
        <v>3</v>
      </c>
      <c r="F133" s="209">
        <f t="shared" si="8"/>
        <v>1950</v>
      </c>
      <c r="G133" s="211" t="s">
        <v>3</v>
      </c>
      <c r="H133" s="208">
        <v>4</v>
      </c>
      <c r="I133" s="210" t="s">
        <v>529</v>
      </c>
      <c r="J133" s="103">
        <v>75</v>
      </c>
      <c r="K133" s="66">
        <v>360</v>
      </c>
      <c r="L133" s="66">
        <v>1950</v>
      </c>
      <c r="M133" s="164">
        <v>25.531812025051053</v>
      </c>
      <c r="N133" s="78">
        <v>7024.817280000002</v>
      </c>
      <c r="O133" s="113">
        <v>77825.123792567334</v>
      </c>
      <c r="P133" s="113">
        <v>83539.067807024883</v>
      </c>
      <c r="Q133" s="110">
        <v>29089.800649380621</v>
      </c>
      <c r="R133" s="113">
        <v>106914.92444194795</v>
      </c>
      <c r="S133" s="113">
        <v>112628.8684564055</v>
      </c>
      <c r="U133" s="7" t="s">
        <v>6077</v>
      </c>
    </row>
    <row r="134" spans="1:21" ht="16.5" thickBot="1">
      <c r="A134" s="207" t="s">
        <v>10</v>
      </c>
      <c r="B134" s="211">
        <f t="shared" si="6"/>
        <v>75</v>
      </c>
      <c r="C134" s="211" t="s">
        <v>3</v>
      </c>
      <c r="D134" s="211">
        <f t="shared" si="7"/>
        <v>360</v>
      </c>
      <c r="E134" s="211" t="s">
        <v>3</v>
      </c>
      <c r="F134" s="209">
        <f t="shared" si="8"/>
        <v>2000</v>
      </c>
      <c r="G134" s="211" t="s">
        <v>3</v>
      </c>
      <c r="H134" s="208">
        <v>4</v>
      </c>
      <c r="I134" s="210" t="s">
        <v>529</v>
      </c>
      <c r="J134" s="103">
        <v>75</v>
      </c>
      <c r="K134" s="66">
        <v>360</v>
      </c>
      <c r="L134" s="66">
        <v>2000</v>
      </c>
      <c r="M134" s="164">
        <v>26.22006591192816</v>
      </c>
      <c r="N134" s="78">
        <v>7244.3428200000017</v>
      </c>
      <c r="O134" s="113">
        <v>79229.963366739787</v>
      </c>
      <c r="P134" s="113">
        <v>85298.085020881146</v>
      </c>
      <c r="Q134" s="110">
        <v>29944.555671402581</v>
      </c>
      <c r="R134" s="113">
        <v>109174.51903814237</v>
      </c>
      <c r="S134" s="113">
        <v>115242.64069228372</v>
      </c>
      <c r="U134" s="7" t="s">
        <v>6078</v>
      </c>
    </row>
    <row r="135" spans="1:21" ht="16.5" thickBot="1">
      <c r="A135" s="207" t="s">
        <v>10</v>
      </c>
      <c r="B135" s="211">
        <f t="shared" si="6"/>
        <v>75</v>
      </c>
      <c r="C135" s="211" t="s">
        <v>3</v>
      </c>
      <c r="D135" s="211">
        <f t="shared" si="7"/>
        <v>360</v>
      </c>
      <c r="E135" s="211" t="s">
        <v>3</v>
      </c>
      <c r="F135" s="209">
        <f t="shared" si="8"/>
        <v>2050</v>
      </c>
      <c r="G135" s="211" t="s">
        <v>3</v>
      </c>
      <c r="H135" s="208">
        <v>4</v>
      </c>
      <c r="I135" s="210" t="s">
        <v>529</v>
      </c>
      <c r="J135" s="103">
        <v>75</v>
      </c>
      <c r="K135" s="66">
        <v>360</v>
      </c>
      <c r="L135" s="66">
        <v>2050</v>
      </c>
      <c r="M135" s="164">
        <v>26.799717398805271</v>
      </c>
      <c r="N135" s="78">
        <v>7463.8683600000013</v>
      </c>
      <c r="O135" s="113">
        <v>82746.883056412771</v>
      </c>
      <c r="P135" s="113">
        <v>88827.25069975738</v>
      </c>
      <c r="Q135" s="110">
        <v>30547.976555640766</v>
      </c>
      <c r="R135" s="113">
        <v>113294.85961205354</v>
      </c>
      <c r="S135" s="113">
        <v>119375.22725539815</v>
      </c>
      <c r="U135" s="7" t="s">
        <v>6079</v>
      </c>
    </row>
    <row r="136" spans="1:21" ht="16.5" thickBot="1">
      <c r="A136" s="207" t="s">
        <v>10</v>
      </c>
      <c r="B136" s="208">
        <f t="shared" si="6"/>
        <v>75</v>
      </c>
      <c r="C136" s="208" t="s">
        <v>3</v>
      </c>
      <c r="D136" s="208">
        <f t="shared" si="7"/>
        <v>360</v>
      </c>
      <c r="E136" s="208" t="s">
        <v>3</v>
      </c>
      <c r="F136" s="209">
        <f t="shared" si="8"/>
        <v>2100</v>
      </c>
      <c r="G136" s="208" t="s">
        <v>3</v>
      </c>
      <c r="H136" s="208">
        <v>4</v>
      </c>
      <c r="I136" s="210" t="s">
        <v>529</v>
      </c>
      <c r="J136" s="103">
        <v>75</v>
      </c>
      <c r="K136" s="66">
        <v>360</v>
      </c>
      <c r="L136" s="66">
        <v>2100</v>
      </c>
      <c r="M136" s="164">
        <v>27.396408885682369</v>
      </c>
      <c r="N136" s="78">
        <v>7683.3939000000009</v>
      </c>
      <c r="O136" s="113">
        <v>83994.378852158494</v>
      </c>
      <c r="P136" s="113">
        <v>90231.567634788313</v>
      </c>
      <c r="Q136" s="110">
        <v>31402.731577662726</v>
      </c>
      <c r="R136" s="113">
        <v>115397.11042982122</v>
      </c>
      <c r="S136" s="113">
        <v>121634.29921245103</v>
      </c>
      <c r="U136" s="7" t="s">
        <v>6080</v>
      </c>
    </row>
    <row r="137" spans="1:21" ht="16.5" thickBot="1">
      <c r="A137" s="207" t="s">
        <v>10</v>
      </c>
      <c r="B137" s="211">
        <f t="shared" si="6"/>
        <v>75</v>
      </c>
      <c r="C137" s="211" t="s">
        <v>3</v>
      </c>
      <c r="D137" s="211">
        <f t="shared" si="7"/>
        <v>360</v>
      </c>
      <c r="E137" s="211" t="s">
        <v>3</v>
      </c>
      <c r="F137" s="209">
        <f t="shared" si="8"/>
        <v>2150</v>
      </c>
      <c r="G137" s="211" t="s">
        <v>3</v>
      </c>
      <c r="H137" s="208">
        <v>4</v>
      </c>
      <c r="I137" s="210" t="s">
        <v>529</v>
      </c>
      <c r="J137" s="103">
        <v>75</v>
      </c>
      <c r="K137" s="66">
        <v>360</v>
      </c>
      <c r="L137" s="66">
        <v>2150</v>
      </c>
      <c r="M137" s="164">
        <v>28.100060372559476</v>
      </c>
      <c r="N137" s="78">
        <v>7902.9194400000024</v>
      </c>
      <c r="O137" s="113">
        <v>85402.777523441589</v>
      </c>
      <c r="P137" s="113">
        <v>91786.537188445174</v>
      </c>
      <c r="Q137" s="110">
        <v>32006.152461900914</v>
      </c>
      <c r="R137" s="113">
        <v>117408.9299853425</v>
      </c>
      <c r="S137" s="113">
        <v>123792.68965034609</v>
      </c>
      <c r="U137" s="7" t="s">
        <v>6081</v>
      </c>
    </row>
    <row r="138" spans="1:21" ht="16.5" thickBot="1">
      <c r="A138" s="207" t="s">
        <v>10</v>
      </c>
      <c r="B138" s="211">
        <f t="shared" si="6"/>
        <v>75</v>
      </c>
      <c r="C138" s="211" t="s">
        <v>3</v>
      </c>
      <c r="D138" s="211">
        <f t="shared" si="7"/>
        <v>360</v>
      </c>
      <c r="E138" s="211" t="s">
        <v>3</v>
      </c>
      <c r="F138" s="209">
        <f t="shared" si="8"/>
        <v>2200</v>
      </c>
      <c r="G138" s="211" t="s">
        <v>3</v>
      </c>
      <c r="H138" s="208">
        <v>4</v>
      </c>
      <c r="I138" s="210" t="s">
        <v>529</v>
      </c>
      <c r="J138" s="103">
        <v>75</v>
      </c>
      <c r="K138" s="66">
        <v>360</v>
      </c>
      <c r="L138" s="66">
        <v>2200</v>
      </c>
      <c r="M138" s="164">
        <v>28.696751859436581</v>
      </c>
      <c r="N138" s="78">
        <v>8122.444980000002</v>
      </c>
      <c r="O138" s="113">
        <v>86811.123774721185</v>
      </c>
      <c r="P138" s="113">
        <v>93341.457443885374</v>
      </c>
      <c r="Q138" s="110">
        <v>32860.907483922878</v>
      </c>
      <c r="R138" s="113">
        <v>119672.03125864407</v>
      </c>
      <c r="S138" s="113">
        <v>126202.36492780826</v>
      </c>
      <c r="U138" s="7" t="s">
        <v>6082</v>
      </c>
    </row>
    <row r="139" spans="1:21" ht="16.5" thickBot="1">
      <c r="A139" s="207" t="s">
        <v>10</v>
      </c>
      <c r="B139" s="211">
        <f t="shared" si="6"/>
        <v>75</v>
      </c>
      <c r="C139" s="211" t="s">
        <v>3</v>
      </c>
      <c r="D139" s="211">
        <f t="shared" si="7"/>
        <v>360</v>
      </c>
      <c r="E139" s="211" t="s">
        <v>3</v>
      </c>
      <c r="F139" s="209">
        <f t="shared" si="8"/>
        <v>2250</v>
      </c>
      <c r="G139" s="211" t="s">
        <v>3</v>
      </c>
      <c r="H139" s="208">
        <v>4</v>
      </c>
      <c r="I139" s="210" t="s">
        <v>529</v>
      </c>
      <c r="J139" s="103">
        <v>75</v>
      </c>
      <c r="K139" s="66">
        <v>360</v>
      </c>
      <c r="L139" s="66">
        <v>2250</v>
      </c>
      <c r="M139" s="164">
        <v>29.276403346313685</v>
      </c>
      <c r="N139" s="78">
        <v>8341.9705200000008</v>
      </c>
      <c r="O139" s="113">
        <v>88567.846215124271</v>
      </c>
      <c r="P139" s="113">
        <v>95222.560325580373</v>
      </c>
      <c r="Q139" s="110">
        <v>33464.328368161063</v>
      </c>
      <c r="R139" s="113">
        <v>122032.17458328533</v>
      </c>
      <c r="S139" s="113">
        <v>128686.88869374144</v>
      </c>
      <c r="U139" s="7" t="s">
        <v>6083</v>
      </c>
    </row>
    <row r="140" spans="1:21" ht="16.5" thickBot="1">
      <c r="A140" s="207" t="s">
        <v>10</v>
      </c>
      <c r="B140" s="211">
        <f t="shared" si="6"/>
        <v>75</v>
      </c>
      <c r="C140" s="211" t="s">
        <v>3</v>
      </c>
      <c r="D140" s="211">
        <f t="shared" si="7"/>
        <v>360</v>
      </c>
      <c r="E140" s="211" t="s">
        <v>3</v>
      </c>
      <c r="F140" s="209">
        <f t="shared" si="8"/>
        <v>2300</v>
      </c>
      <c r="G140" s="211" t="s">
        <v>3</v>
      </c>
      <c r="H140" s="208">
        <v>4</v>
      </c>
      <c r="I140" s="210" t="s">
        <v>529</v>
      </c>
      <c r="J140" s="103">
        <v>75</v>
      </c>
      <c r="K140" s="66">
        <v>360</v>
      </c>
      <c r="L140" s="66">
        <v>2300</v>
      </c>
      <c r="M140" s="164">
        <v>29.85605483319079</v>
      </c>
      <c r="N140" s="78">
        <v>8561.4960600000031</v>
      </c>
      <c r="O140" s="113">
        <v>89711.425402405934</v>
      </c>
      <c r="P140" s="113">
        <v>96529.580921372559</v>
      </c>
      <c r="Q140" s="110">
        <v>34067.749252399248</v>
      </c>
      <c r="R140" s="113">
        <v>123779.17465480519</v>
      </c>
      <c r="S140" s="113">
        <v>130597.3301737718</v>
      </c>
      <c r="U140" s="7" t="s">
        <v>6084</v>
      </c>
    </row>
    <row r="141" spans="1:21" ht="16.5" thickBot="1">
      <c r="A141" s="207" t="s">
        <v>10</v>
      </c>
      <c r="B141" s="211">
        <f t="shared" si="6"/>
        <v>75</v>
      </c>
      <c r="C141" s="211" t="s">
        <v>3</v>
      </c>
      <c r="D141" s="211">
        <f t="shared" si="7"/>
        <v>360</v>
      </c>
      <c r="E141" s="211" t="s">
        <v>3</v>
      </c>
      <c r="F141" s="209">
        <f t="shared" si="8"/>
        <v>2350</v>
      </c>
      <c r="G141" s="211" t="s">
        <v>3</v>
      </c>
      <c r="H141" s="208">
        <v>4</v>
      </c>
      <c r="I141" s="210" t="s">
        <v>529</v>
      </c>
      <c r="J141" s="103">
        <v>75</v>
      </c>
      <c r="K141" s="66">
        <v>360</v>
      </c>
      <c r="L141" s="66">
        <v>2350</v>
      </c>
      <c r="M141" s="164">
        <v>30.452746320067895</v>
      </c>
      <c r="N141" s="78">
        <v>8781.0216000000019</v>
      </c>
      <c r="O141" s="113">
        <v>90854.95229975853</v>
      </c>
      <c r="P141" s="113">
        <v>97836.552479096965</v>
      </c>
      <c r="Q141" s="110">
        <v>34922.504274421211</v>
      </c>
      <c r="R141" s="113">
        <v>125777.45657417974</v>
      </c>
      <c r="S141" s="113">
        <v>132759.05675351818</v>
      </c>
      <c r="U141" s="7" t="s">
        <v>6085</v>
      </c>
    </row>
    <row r="142" spans="1:21" ht="16.5" thickBot="1">
      <c r="A142" s="207" t="s">
        <v>10</v>
      </c>
      <c r="B142" s="211">
        <f t="shared" si="6"/>
        <v>75</v>
      </c>
      <c r="C142" s="211" t="s">
        <v>3</v>
      </c>
      <c r="D142" s="211">
        <f t="shared" si="7"/>
        <v>360</v>
      </c>
      <c r="E142" s="211" t="s">
        <v>3</v>
      </c>
      <c r="F142" s="209">
        <f t="shared" si="8"/>
        <v>2400</v>
      </c>
      <c r="G142" s="211" t="s">
        <v>3</v>
      </c>
      <c r="H142" s="208">
        <v>4</v>
      </c>
      <c r="I142" s="210" t="s">
        <v>529</v>
      </c>
      <c r="J142" s="103">
        <v>75</v>
      </c>
      <c r="K142" s="66">
        <v>360</v>
      </c>
      <c r="L142" s="66">
        <v>2400</v>
      </c>
      <c r="M142" s="164">
        <v>31.032397806944999</v>
      </c>
      <c r="N142" s="78">
        <v>9000.5471400000024</v>
      </c>
      <c r="O142" s="113">
        <v>91998.426777107656</v>
      </c>
      <c r="P142" s="113">
        <v>99143.474868679128</v>
      </c>
      <c r="Q142" s="110">
        <v>35525.925158659396</v>
      </c>
      <c r="R142" s="113">
        <v>127524.35193576704</v>
      </c>
      <c r="S142" s="113">
        <v>134669.40002733853</v>
      </c>
      <c r="U142" s="7" t="s">
        <v>6086</v>
      </c>
    </row>
    <row r="143" spans="1:21" ht="16.5" thickBot="1">
      <c r="A143" s="207" t="s">
        <v>10</v>
      </c>
      <c r="B143" s="211">
        <f t="shared" si="6"/>
        <v>75</v>
      </c>
      <c r="C143" s="211" t="s">
        <v>3</v>
      </c>
      <c r="D143" s="211">
        <f t="shared" si="7"/>
        <v>360</v>
      </c>
      <c r="E143" s="211" t="s">
        <v>3</v>
      </c>
      <c r="F143" s="209">
        <f t="shared" si="8"/>
        <v>2450</v>
      </c>
      <c r="G143" s="211" t="s">
        <v>3</v>
      </c>
      <c r="H143" s="208">
        <v>4</v>
      </c>
      <c r="I143" s="210" t="s">
        <v>529</v>
      </c>
      <c r="J143" s="103">
        <v>75</v>
      </c>
      <c r="K143" s="66">
        <v>360</v>
      </c>
      <c r="L143" s="66">
        <v>2450</v>
      </c>
      <c r="M143" s="164">
        <v>32.361855242622099</v>
      </c>
      <c r="N143" s="78">
        <v>9220.0726800000029</v>
      </c>
      <c r="O143" s="113">
        <v>93756.246265425056</v>
      </c>
      <c r="P143" s="113">
        <v>101197.56194086059</v>
      </c>
      <c r="Q143" s="110">
        <v>36380.680180681353</v>
      </c>
      <c r="R143" s="113">
        <v>130136.9264461064</v>
      </c>
      <c r="S143" s="113">
        <v>137578.24212154193</v>
      </c>
      <c r="U143" s="7" t="s">
        <v>6087</v>
      </c>
    </row>
    <row r="144" spans="1:21" ht="16.5" thickBot="1">
      <c r="A144" s="207" t="s">
        <v>10</v>
      </c>
      <c r="B144" s="211">
        <f t="shared" si="6"/>
        <v>75</v>
      </c>
      <c r="C144" s="211" t="s">
        <v>3</v>
      </c>
      <c r="D144" s="211">
        <f t="shared" si="7"/>
        <v>360</v>
      </c>
      <c r="E144" s="211" t="s">
        <v>3</v>
      </c>
      <c r="F144" s="209">
        <f t="shared" si="8"/>
        <v>2500</v>
      </c>
      <c r="G144" s="211" t="s">
        <v>3</v>
      </c>
      <c r="H144" s="208">
        <v>4</v>
      </c>
      <c r="I144" s="210" t="s">
        <v>529</v>
      </c>
      <c r="J144" s="103">
        <v>75</v>
      </c>
      <c r="K144" s="66">
        <v>360</v>
      </c>
      <c r="L144" s="66">
        <v>2500</v>
      </c>
      <c r="M144" s="164">
        <v>32.958506729499213</v>
      </c>
      <c r="N144" s="78">
        <v>9439.5982200000017</v>
      </c>
      <c r="O144" s="113">
        <v>94899.615772692734</v>
      </c>
      <c r="P144" s="113">
        <v>102504.3862543072</v>
      </c>
      <c r="Q144" s="110">
        <v>36984.101064919538</v>
      </c>
      <c r="R144" s="113">
        <v>131883.71683761227</v>
      </c>
      <c r="S144" s="113">
        <v>139488.48731922673</v>
      </c>
      <c r="U144" s="7" t="s">
        <v>6088</v>
      </c>
    </row>
    <row r="145" spans="1:21" ht="16.5" thickBot="1">
      <c r="A145" s="207" t="s">
        <v>10</v>
      </c>
      <c r="B145" s="211">
        <f t="shared" si="6"/>
        <v>75</v>
      </c>
      <c r="C145" s="211" t="s">
        <v>3</v>
      </c>
      <c r="D145" s="211">
        <f t="shared" si="7"/>
        <v>360</v>
      </c>
      <c r="E145" s="211" t="s">
        <v>3</v>
      </c>
      <c r="F145" s="209">
        <f t="shared" si="8"/>
        <v>2550</v>
      </c>
      <c r="G145" s="211" t="s">
        <v>3</v>
      </c>
      <c r="H145" s="208">
        <v>4</v>
      </c>
      <c r="I145" s="210" t="s">
        <v>529</v>
      </c>
      <c r="J145" s="103">
        <v>75</v>
      </c>
      <c r="K145" s="66">
        <v>360</v>
      </c>
      <c r="L145" s="66">
        <v>2550</v>
      </c>
      <c r="M145" s="164">
        <v>33.555198216376311</v>
      </c>
      <c r="N145" s="78">
        <v>9659.123760000004</v>
      </c>
      <c r="O145" s="113">
        <v>99633.759031280031</v>
      </c>
      <c r="P145" s="113">
        <v>107173.23122829451</v>
      </c>
      <c r="Q145" s="110">
        <v>37838.856239970264</v>
      </c>
      <c r="R145" s="113">
        <v>137472.61527125031</v>
      </c>
      <c r="S145" s="113">
        <v>145012.08746826477</v>
      </c>
      <c r="U145" s="7" t="s">
        <v>6089</v>
      </c>
    </row>
    <row r="146" spans="1:21" ht="16.5" thickBot="1">
      <c r="A146" s="207" t="s">
        <v>10</v>
      </c>
      <c r="B146" s="208">
        <f t="shared" si="6"/>
        <v>75</v>
      </c>
      <c r="C146" s="208" t="s">
        <v>3</v>
      </c>
      <c r="D146" s="208">
        <f t="shared" si="7"/>
        <v>360</v>
      </c>
      <c r="E146" s="208" t="s">
        <v>3</v>
      </c>
      <c r="F146" s="209">
        <f t="shared" si="8"/>
        <v>2600</v>
      </c>
      <c r="G146" s="208" t="s">
        <v>3</v>
      </c>
      <c r="H146" s="208">
        <v>4</v>
      </c>
      <c r="I146" s="210" t="s">
        <v>529</v>
      </c>
      <c r="J146" s="103">
        <v>75</v>
      </c>
      <c r="K146" s="66">
        <v>360</v>
      </c>
      <c r="L146" s="66">
        <v>2600</v>
      </c>
      <c r="M146" s="164">
        <v>34.134849703253423</v>
      </c>
      <c r="N146" s="78">
        <v>9878.6493000000028</v>
      </c>
      <c r="O146" s="113">
        <v>101071.98169283861</v>
      </c>
      <c r="P146" s="113">
        <v>108756.12464465607</v>
      </c>
      <c r="Q146" s="110">
        <v>38442.277124208456</v>
      </c>
      <c r="R146" s="113">
        <v>139514.25881704706</v>
      </c>
      <c r="S146" s="113">
        <v>147198.40176886454</v>
      </c>
      <c r="U146" s="7" t="s">
        <v>6090</v>
      </c>
    </row>
    <row r="147" spans="1:21" ht="16.5" thickBot="1">
      <c r="A147" s="207" t="s">
        <v>10</v>
      </c>
      <c r="B147" s="211">
        <f t="shared" si="6"/>
        <v>75</v>
      </c>
      <c r="C147" s="211" t="s">
        <v>3</v>
      </c>
      <c r="D147" s="211">
        <f t="shared" si="7"/>
        <v>360</v>
      </c>
      <c r="E147" s="211" t="s">
        <v>3</v>
      </c>
      <c r="F147" s="209">
        <f t="shared" si="8"/>
        <v>2650</v>
      </c>
      <c r="G147" s="211" t="s">
        <v>3</v>
      </c>
      <c r="H147" s="208">
        <v>4</v>
      </c>
      <c r="I147" s="210" t="s">
        <v>529</v>
      </c>
      <c r="J147" s="103">
        <v>75</v>
      </c>
      <c r="K147" s="66">
        <v>360</v>
      </c>
      <c r="L147" s="66">
        <v>2650</v>
      </c>
      <c r="M147" s="164">
        <v>34.838541190130528</v>
      </c>
      <c r="N147" s="78">
        <v>10098.174840000001</v>
      </c>
      <c r="O147" s="113">
        <v>102040.82861909545</v>
      </c>
      <c r="P147" s="113">
        <v>109899.54436066157</v>
      </c>
      <c r="Q147" s="110">
        <v>39297.032146230413</v>
      </c>
      <c r="R147" s="113">
        <v>141337.86076532587</v>
      </c>
      <c r="S147" s="113">
        <v>149196.57650689199</v>
      </c>
      <c r="U147" s="7" t="s">
        <v>6091</v>
      </c>
    </row>
    <row r="148" spans="1:21" ht="16.5" thickBot="1">
      <c r="A148" s="207" t="s">
        <v>10</v>
      </c>
      <c r="B148" s="211">
        <f t="shared" si="6"/>
        <v>75</v>
      </c>
      <c r="C148" s="211" t="s">
        <v>3</v>
      </c>
      <c r="D148" s="211">
        <f t="shared" si="7"/>
        <v>360</v>
      </c>
      <c r="E148" s="211" t="s">
        <v>3</v>
      </c>
      <c r="F148" s="209">
        <f t="shared" si="8"/>
        <v>2700</v>
      </c>
      <c r="G148" s="211" t="s">
        <v>3</v>
      </c>
      <c r="H148" s="208">
        <v>4</v>
      </c>
      <c r="I148" s="210" t="s">
        <v>529</v>
      </c>
      <c r="J148" s="103">
        <v>75</v>
      </c>
      <c r="K148" s="66">
        <v>360</v>
      </c>
      <c r="L148" s="66">
        <v>2700</v>
      </c>
      <c r="M148" s="164">
        <v>35.496692677007637</v>
      </c>
      <c r="N148" s="78">
        <v>10317.700380000002</v>
      </c>
      <c r="O148" s="113">
        <v>103074.6140440226</v>
      </c>
      <c r="P148" s="113">
        <v>111103.76542736938</v>
      </c>
      <c r="Q148" s="110">
        <v>39900.453030468605</v>
      </c>
      <c r="R148" s="113">
        <v>142975.06707449121</v>
      </c>
      <c r="S148" s="113">
        <v>151004.218457838</v>
      </c>
      <c r="U148" s="7" t="s">
        <v>6092</v>
      </c>
    </row>
    <row r="149" spans="1:21" ht="16.5" thickBot="1">
      <c r="A149" s="207" t="s">
        <v>10</v>
      </c>
      <c r="B149" s="211">
        <f t="shared" si="6"/>
        <v>75</v>
      </c>
      <c r="C149" s="211" t="s">
        <v>3</v>
      </c>
      <c r="D149" s="211">
        <f t="shared" si="7"/>
        <v>360</v>
      </c>
      <c r="E149" s="211" t="s">
        <v>3</v>
      </c>
      <c r="F149" s="209">
        <f t="shared" si="8"/>
        <v>2750</v>
      </c>
      <c r="G149" s="211" t="s">
        <v>3</v>
      </c>
      <c r="H149" s="208">
        <v>4</v>
      </c>
      <c r="I149" s="210" t="s">
        <v>529</v>
      </c>
      <c r="J149" s="103">
        <v>75</v>
      </c>
      <c r="K149" s="66">
        <v>360</v>
      </c>
      <c r="L149" s="66">
        <v>2750</v>
      </c>
      <c r="M149" s="164">
        <v>36.076344163884741</v>
      </c>
      <c r="N149" s="78">
        <v>10537.225920000003</v>
      </c>
      <c r="O149" s="113">
        <v>104132.46818509477</v>
      </c>
      <c r="P149" s="113">
        <v>112330.52202267584</v>
      </c>
      <c r="Q149" s="110">
        <v>40503.87391470679</v>
      </c>
      <c r="R149" s="113">
        <v>144636.34209980155</v>
      </c>
      <c r="S149" s="113">
        <v>152834.39593738262</v>
      </c>
      <c r="U149" s="7" t="s">
        <v>6093</v>
      </c>
    </row>
    <row r="150" spans="1:21" ht="16.5" thickBot="1">
      <c r="A150" s="207" t="s">
        <v>10</v>
      </c>
      <c r="B150" s="211">
        <f t="shared" si="6"/>
        <v>75</v>
      </c>
      <c r="C150" s="211" t="s">
        <v>3</v>
      </c>
      <c r="D150" s="211">
        <f t="shared" si="7"/>
        <v>360</v>
      </c>
      <c r="E150" s="211" t="s">
        <v>3</v>
      </c>
      <c r="F150" s="209">
        <f t="shared" si="8"/>
        <v>2800</v>
      </c>
      <c r="G150" s="211" t="s">
        <v>3</v>
      </c>
      <c r="H150" s="208">
        <v>4</v>
      </c>
      <c r="I150" s="210" t="s">
        <v>529</v>
      </c>
      <c r="J150" s="103">
        <v>75</v>
      </c>
      <c r="K150" s="66">
        <v>360</v>
      </c>
      <c r="L150" s="66">
        <v>2800</v>
      </c>
      <c r="M150" s="164">
        <v>36.673035650761847</v>
      </c>
      <c r="N150" s="78">
        <v>10756.751460000003</v>
      </c>
      <c r="O150" s="113">
        <v>105099.96962123712</v>
      </c>
      <c r="P150" s="113">
        <v>113472.68196762964</v>
      </c>
      <c r="Q150" s="110">
        <v>41358.628936728746</v>
      </c>
      <c r="R150" s="113">
        <v>146458.59855796586</v>
      </c>
      <c r="S150" s="113">
        <v>154831.3109043584</v>
      </c>
      <c r="U150" s="7" t="s">
        <v>6094</v>
      </c>
    </row>
    <row r="151" spans="1:21" ht="16.5" thickBot="1">
      <c r="A151" s="207" t="s">
        <v>10</v>
      </c>
      <c r="B151" s="211">
        <f t="shared" si="6"/>
        <v>75</v>
      </c>
      <c r="C151" s="211" t="s">
        <v>3</v>
      </c>
      <c r="D151" s="211">
        <f t="shared" si="7"/>
        <v>360</v>
      </c>
      <c r="E151" s="211" t="s">
        <v>3</v>
      </c>
      <c r="F151" s="209">
        <f t="shared" si="8"/>
        <v>2850</v>
      </c>
      <c r="G151" s="211" t="s">
        <v>3</v>
      </c>
      <c r="H151" s="208">
        <v>4</v>
      </c>
      <c r="I151" s="210" t="s">
        <v>529</v>
      </c>
      <c r="J151" s="103">
        <v>75</v>
      </c>
      <c r="K151" s="66">
        <v>360</v>
      </c>
      <c r="L151" s="66">
        <v>2850</v>
      </c>
      <c r="M151" s="164">
        <v>37.252687137638951</v>
      </c>
      <c r="N151" s="78">
        <v>10976.277000000002</v>
      </c>
      <c r="O151" s="113">
        <v>106067.41876745044</v>
      </c>
      <c r="P151" s="113">
        <v>114614.7928745157</v>
      </c>
      <c r="Q151" s="110">
        <v>41962.049820966939</v>
      </c>
      <c r="R151" s="113">
        <v>148029.46858841737</v>
      </c>
      <c r="S151" s="113">
        <v>156576.84269548263</v>
      </c>
      <c r="U151" s="7" t="s">
        <v>6095</v>
      </c>
    </row>
    <row r="152" spans="1:21" ht="16.5" thickBot="1">
      <c r="A152" s="207" t="s">
        <v>10</v>
      </c>
      <c r="B152" s="211">
        <f t="shared" si="6"/>
        <v>75</v>
      </c>
      <c r="C152" s="211" t="s">
        <v>3</v>
      </c>
      <c r="D152" s="211">
        <f t="shared" si="7"/>
        <v>360</v>
      </c>
      <c r="E152" s="211" t="s">
        <v>3</v>
      </c>
      <c r="F152" s="209">
        <f t="shared" si="8"/>
        <v>2900</v>
      </c>
      <c r="G152" s="211" t="s">
        <v>3</v>
      </c>
      <c r="H152" s="208">
        <v>4</v>
      </c>
      <c r="I152" s="210" t="s">
        <v>529</v>
      </c>
      <c r="J152" s="103">
        <v>75</v>
      </c>
      <c r="K152" s="66">
        <v>360</v>
      </c>
      <c r="L152" s="66">
        <v>2900</v>
      </c>
      <c r="M152" s="164">
        <v>38.025378624516051</v>
      </c>
      <c r="N152" s="78">
        <v>11195.802540000002</v>
      </c>
      <c r="O152" s="113">
        <v>107034.81549366025</v>
      </c>
      <c r="P152" s="113">
        <v>115756.85474333393</v>
      </c>
      <c r="Q152" s="110">
        <v>42816.804842988895</v>
      </c>
      <c r="R152" s="113">
        <v>149851.62033664915</v>
      </c>
      <c r="S152" s="113">
        <v>158573.65958632281</v>
      </c>
      <c r="U152" s="7" t="s">
        <v>6096</v>
      </c>
    </row>
    <row r="153" spans="1:21" ht="16.5" thickBot="1">
      <c r="A153" s="207" t="s">
        <v>10</v>
      </c>
      <c r="B153" s="211">
        <f t="shared" si="6"/>
        <v>75</v>
      </c>
      <c r="C153" s="211" t="s">
        <v>3</v>
      </c>
      <c r="D153" s="211">
        <f t="shared" si="7"/>
        <v>360</v>
      </c>
      <c r="E153" s="211" t="s">
        <v>3</v>
      </c>
      <c r="F153" s="209">
        <f t="shared" si="8"/>
        <v>2950</v>
      </c>
      <c r="G153" s="211" t="s">
        <v>3</v>
      </c>
      <c r="H153" s="208">
        <v>4</v>
      </c>
      <c r="I153" s="210" t="s">
        <v>529</v>
      </c>
      <c r="J153" s="103">
        <v>75</v>
      </c>
      <c r="K153" s="66">
        <v>360</v>
      </c>
      <c r="L153" s="66">
        <v>2950</v>
      </c>
      <c r="M153" s="164">
        <v>38.605030111393155</v>
      </c>
      <c r="N153" s="78">
        <v>11415.328080000003</v>
      </c>
      <c r="O153" s="113">
        <v>108002.15966979215</v>
      </c>
      <c r="P153" s="113">
        <v>116898.86744400994</v>
      </c>
      <c r="Q153" s="110">
        <v>43420.22572722708</v>
      </c>
      <c r="R153" s="113">
        <v>151422.38539701921</v>
      </c>
      <c r="S153" s="113">
        <v>160319.09317123704</v>
      </c>
      <c r="U153" s="7" t="s">
        <v>6097</v>
      </c>
    </row>
    <row r="154" spans="1:21" ht="16.5" thickBot="1">
      <c r="A154" s="212" t="s">
        <v>10</v>
      </c>
      <c r="B154" s="213">
        <f t="shared" si="6"/>
        <v>75</v>
      </c>
      <c r="C154" s="213" t="s">
        <v>3</v>
      </c>
      <c r="D154" s="213">
        <f t="shared" si="7"/>
        <v>360</v>
      </c>
      <c r="E154" s="213" t="s">
        <v>3</v>
      </c>
      <c r="F154" s="214">
        <f t="shared" si="8"/>
        <v>3000</v>
      </c>
      <c r="G154" s="213" t="s">
        <v>3</v>
      </c>
      <c r="H154" s="215">
        <v>4</v>
      </c>
      <c r="I154" s="210" t="s">
        <v>529</v>
      </c>
      <c r="J154" s="287">
        <v>75</v>
      </c>
      <c r="K154" s="266">
        <v>360</v>
      </c>
      <c r="L154" s="266">
        <v>3000</v>
      </c>
      <c r="M154" s="249">
        <v>39.201721598270254</v>
      </c>
      <c r="N154" s="250">
        <v>11634.853620000004</v>
      </c>
      <c r="O154" s="251">
        <v>110840.80366666793</v>
      </c>
      <c r="P154" s="251">
        <v>119792.96725197615</v>
      </c>
      <c r="Q154" s="252">
        <v>44274.980749249036</v>
      </c>
      <c r="R154" s="251">
        <v>155115.78441591695</v>
      </c>
      <c r="S154" s="251">
        <v>164067.94800122519</v>
      </c>
      <c r="U154" s="7" t="s">
        <v>6098</v>
      </c>
    </row>
    <row r="155" spans="1:21" ht="22.5" customHeight="1" thickBot="1">
      <c r="A155" s="3010" t="s">
        <v>60</v>
      </c>
      <c r="B155" s="3011"/>
      <c r="C155" s="3011"/>
      <c r="D155" s="3011"/>
      <c r="E155" s="3011"/>
      <c r="F155" s="3011"/>
      <c r="G155" s="3011"/>
      <c r="H155" s="3011"/>
      <c r="I155" s="3011"/>
      <c r="J155" s="3011"/>
      <c r="K155" s="3011"/>
      <c r="L155" s="3011"/>
      <c r="M155" s="3011"/>
      <c r="N155" s="3011"/>
      <c r="O155" s="3011"/>
      <c r="P155" s="3011"/>
      <c r="Q155" s="3011"/>
      <c r="R155" s="3011"/>
      <c r="S155" s="3012"/>
      <c r="U155" s="7"/>
    </row>
    <row r="156" spans="1:21" ht="16.5" thickBot="1">
      <c r="A156" s="2974" t="s">
        <v>113</v>
      </c>
      <c r="B156" s="2975"/>
      <c r="C156" s="2975"/>
      <c r="D156" s="2975"/>
      <c r="E156" s="2975"/>
      <c r="F156" s="2975"/>
      <c r="G156" s="2975"/>
      <c r="H156" s="2975"/>
      <c r="I156" s="2975"/>
      <c r="J156" s="2975"/>
      <c r="K156" s="2975"/>
      <c r="L156" s="2975"/>
      <c r="M156" s="2975"/>
      <c r="N156" s="2975"/>
      <c r="O156" s="2975"/>
      <c r="P156" s="2975"/>
      <c r="Q156" s="2975"/>
      <c r="R156" s="2975"/>
      <c r="S156" s="2976"/>
      <c r="U156" s="7"/>
    </row>
    <row r="157" spans="1:21" ht="16.5" thickBot="1">
      <c r="A157" s="207" t="s">
        <v>10</v>
      </c>
      <c r="B157" s="208">
        <f t="shared" ref="B157:B203" si="9">J157</f>
        <v>75</v>
      </c>
      <c r="C157" s="208" t="s">
        <v>3</v>
      </c>
      <c r="D157" s="208">
        <f t="shared" ref="D157:D203" si="10">K157</f>
        <v>400</v>
      </c>
      <c r="E157" s="208" t="s">
        <v>3</v>
      </c>
      <c r="F157" s="209">
        <f t="shared" ref="F157:F203" si="11">L157</f>
        <v>700</v>
      </c>
      <c r="G157" s="208" t="s">
        <v>3</v>
      </c>
      <c r="H157" s="208">
        <v>4</v>
      </c>
      <c r="I157" s="210" t="s">
        <v>529</v>
      </c>
      <c r="J157" s="286">
        <v>75</v>
      </c>
      <c r="K157" s="271">
        <v>400</v>
      </c>
      <c r="L157" s="271">
        <v>700</v>
      </c>
      <c r="M157" s="245">
        <v>9.9808942019023679</v>
      </c>
      <c r="N157" s="246">
        <v>1650.7709400000001</v>
      </c>
      <c r="O157" s="247">
        <v>32357.30986466473</v>
      </c>
      <c r="P157" s="247">
        <v>41398.936445662337</v>
      </c>
      <c r="Q157" s="248">
        <v>12324.7019970418</v>
      </c>
      <c r="R157" s="247">
        <v>44682.011861706531</v>
      </c>
      <c r="S157" s="247">
        <v>53723.638442704134</v>
      </c>
      <c r="U157" s="7" t="s">
        <v>6099</v>
      </c>
    </row>
    <row r="158" spans="1:21" ht="16.5" thickBot="1">
      <c r="A158" s="207" t="s">
        <v>10</v>
      </c>
      <c r="B158" s="211">
        <f t="shared" si="9"/>
        <v>75</v>
      </c>
      <c r="C158" s="211" t="s">
        <v>3</v>
      </c>
      <c r="D158" s="211">
        <f t="shared" si="10"/>
        <v>400</v>
      </c>
      <c r="E158" s="211" t="s">
        <v>3</v>
      </c>
      <c r="F158" s="209">
        <f t="shared" si="11"/>
        <v>750</v>
      </c>
      <c r="G158" s="211" t="s">
        <v>3</v>
      </c>
      <c r="H158" s="208">
        <v>4</v>
      </c>
      <c r="I158" s="210" t="s">
        <v>529</v>
      </c>
      <c r="J158" s="103">
        <v>75</v>
      </c>
      <c r="K158" s="66">
        <v>400</v>
      </c>
      <c r="L158" s="66">
        <v>750</v>
      </c>
      <c r="M158" s="164">
        <v>10.592399396674208</v>
      </c>
      <c r="N158" s="78">
        <v>1886.5953600000003</v>
      </c>
      <c r="O158" s="113">
        <v>34328.145516459139</v>
      </c>
      <c r="P158" s="113">
        <v>42374.629450390334</v>
      </c>
      <c r="Q158" s="110">
        <v>12981.309099800537</v>
      </c>
      <c r="R158" s="113">
        <v>47309.454616259674</v>
      </c>
      <c r="S158" s="113">
        <v>55355.938550190869</v>
      </c>
      <c r="U158" s="7" t="s">
        <v>6100</v>
      </c>
    </row>
    <row r="159" spans="1:21" ht="16.5" thickBot="1">
      <c r="A159" s="207" t="s">
        <v>10</v>
      </c>
      <c r="B159" s="211">
        <f t="shared" si="9"/>
        <v>75</v>
      </c>
      <c r="C159" s="211" t="s">
        <v>3</v>
      </c>
      <c r="D159" s="211">
        <f t="shared" si="10"/>
        <v>400</v>
      </c>
      <c r="E159" s="211" t="s">
        <v>3</v>
      </c>
      <c r="F159" s="209">
        <f t="shared" si="11"/>
        <v>800</v>
      </c>
      <c r="G159" s="211" t="s">
        <v>3</v>
      </c>
      <c r="H159" s="208">
        <v>4</v>
      </c>
      <c r="I159" s="210" t="s">
        <v>529</v>
      </c>
      <c r="J159" s="103">
        <v>75</v>
      </c>
      <c r="K159" s="66">
        <v>400</v>
      </c>
      <c r="L159" s="66">
        <v>800</v>
      </c>
      <c r="M159" s="164">
        <v>11.203904591446053</v>
      </c>
      <c r="N159" s="78">
        <v>2122.4197800000006</v>
      </c>
      <c r="O159" s="113">
        <v>36299.640385567953</v>
      </c>
      <c r="P159" s="113">
        <v>43341.572606991765</v>
      </c>
      <c r="Q159" s="110">
        <v>13637.916049530511</v>
      </c>
      <c r="R159" s="113">
        <v>49937.556435098464</v>
      </c>
      <c r="S159" s="113">
        <v>56979.488656522277</v>
      </c>
      <c r="U159" s="7" t="s">
        <v>6101</v>
      </c>
    </row>
    <row r="160" spans="1:21" ht="16.5" thickBot="1">
      <c r="A160" s="207" t="s">
        <v>10</v>
      </c>
      <c r="B160" s="211">
        <f t="shared" si="9"/>
        <v>75</v>
      </c>
      <c r="C160" s="211" t="s">
        <v>3</v>
      </c>
      <c r="D160" s="211">
        <f t="shared" si="10"/>
        <v>400</v>
      </c>
      <c r="E160" s="211" t="s">
        <v>3</v>
      </c>
      <c r="F160" s="209">
        <f t="shared" si="11"/>
        <v>850</v>
      </c>
      <c r="G160" s="211" t="s">
        <v>3</v>
      </c>
      <c r="H160" s="208">
        <v>4</v>
      </c>
      <c r="I160" s="210" t="s">
        <v>529</v>
      </c>
      <c r="J160" s="103">
        <v>75</v>
      </c>
      <c r="K160" s="66">
        <v>400</v>
      </c>
      <c r="L160" s="66">
        <v>850</v>
      </c>
      <c r="M160" s="164">
        <v>11.832449786217893</v>
      </c>
      <c r="N160" s="78">
        <v>2358.2442000000005</v>
      </c>
      <c r="O160" s="113">
        <v>38271.135384751215</v>
      </c>
      <c r="P160" s="113">
        <v>44308.515893667638</v>
      </c>
      <c r="Q160" s="110">
        <v>14545.85729007302</v>
      </c>
      <c r="R160" s="113">
        <v>52816.992674824236</v>
      </c>
      <c r="S160" s="113">
        <v>58854.373183740659</v>
      </c>
      <c r="U160" s="7" t="s">
        <v>6102</v>
      </c>
    </row>
    <row r="161" spans="1:21" ht="16.5" thickBot="1">
      <c r="A161" s="207" t="s">
        <v>10</v>
      </c>
      <c r="B161" s="211">
        <f t="shared" si="9"/>
        <v>75</v>
      </c>
      <c r="C161" s="211" t="s">
        <v>3</v>
      </c>
      <c r="D161" s="211">
        <f t="shared" si="10"/>
        <v>400</v>
      </c>
      <c r="E161" s="211" t="s">
        <v>3</v>
      </c>
      <c r="F161" s="209">
        <f t="shared" si="11"/>
        <v>900</v>
      </c>
      <c r="G161" s="211" t="s">
        <v>3</v>
      </c>
      <c r="H161" s="208">
        <v>4</v>
      </c>
      <c r="I161" s="210" t="s">
        <v>529</v>
      </c>
      <c r="J161" s="103">
        <v>75</v>
      </c>
      <c r="K161" s="66">
        <v>400</v>
      </c>
      <c r="L161" s="66">
        <v>900</v>
      </c>
      <c r="M161" s="164">
        <v>12.481954980989737</v>
      </c>
      <c r="N161" s="78">
        <v>2594.0686200000005</v>
      </c>
      <c r="O161" s="113">
        <v>40242.630253860028</v>
      </c>
      <c r="P161" s="113">
        <v>45287.958684650512</v>
      </c>
      <c r="Q161" s="110">
        <v>15202.464239802994</v>
      </c>
      <c r="R161" s="113">
        <v>55445.094493663026</v>
      </c>
      <c r="S161" s="113">
        <v>60490.422924453509</v>
      </c>
      <c r="U161" s="7" t="s">
        <v>6103</v>
      </c>
    </row>
    <row r="162" spans="1:21" ht="16.5" thickBot="1">
      <c r="A162" s="207" t="s">
        <v>10</v>
      </c>
      <c r="B162" s="211">
        <f t="shared" si="9"/>
        <v>75</v>
      </c>
      <c r="C162" s="211" t="s">
        <v>3</v>
      </c>
      <c r="D162" s="211">
        <f t="shared" si="10"/>
        <v>400</v>
      </c>
      <c r="E162" s="211" t="s">
        <v>3</v>
      </c>
      <c r="F162" s="209">
        <f t="shared" si="11"/>
        <v>950</v>
      </c>
      <c r="G162" s="211" t="s">
        <v>3</v>
      </c>
      <c r="H162" s="208">
        <v>4</v>
      </c>
      <c r="I162" s="210" t="s">
        <v>529</v>
      </c>
      <c r="J162" s="103">
        <v>75</v>
      </c>
      <c r="K162" s="66">
        <v>400</v>
      </c>
      <c r="L162" s="66">
        <v>950</v>
      </c>
      <c r="M162" s="164">
        <v>13.179500175761579</v>
      </c>
      <c r="N162" s="78">
        <v>2829.8930400000004</v>
      </c>
      <c r="O162" s="113">
        <v>42214.12525304329</v>
      </c>
      <c r="P162" s="113">
        <v>46254.901971326392</v>
      </c>
      <c r="Q162" s="110">
        <v>16110.4054803455</v>
      </c>
      <c r="R162" s="113">
        <v>58324.53073338879</v>
      </c>
      <c r="S162" s="113">
        <v>62365.307451671892</v>
      </c>
      <c r="U162" s="7" t="s">
        <v>6104</v>
      </c>
    </row>
    <row r="163" spans="1:21" ht="16.5" thickBot="1">
      <c r="A163" s="207" t="s">
        <v>10</v>
      </c>
      <c r="B163" s="211">
        <f t="shared" si="9"/>
        <v>75</v>
      </c>
      <c r="C163" s="211" t="s">
        <v>3</v>
      </c>
      <c r="D163" s="211">
        <f t="shared" si="10"/>
        <v>400</v>
      </c>
      <c r="E163" s="211" t="s">
        <v>3</v>
      </c>
      <c r="F163" s="209">
        <f t="shared" si="11"/>
        <v>1000</v>
      </c>
      <c r="G163" s="211" t="s">
        <v>3</v>
      </c>
      <c r="H163" s="208">
        <v>4</v>
      </c>
      <c r="I163" s="210" t="s">
        <v>529</v>
      </c>
      <c r="J163" s="103">
        <v>75</v>
      </c>
      <c r="K163" s="66">
        <v>400</v>
      </c>
      <c r="L163" s="66">
        <v>1000</v>
      </c>
      <c r="M163" s="164">
        <v>13.791005370533421</v>
      </c>
      <c r="N163" s="78">
        <v>3065.7174600000008</v>
      </c>
      <c r="O163" s="113">
        <v>44081.926201147056</v>
      </c>
      <c r="P163" s="113">
        <v>47226.845059725063</v>
      </c>
      <c r="Q163" s="110">
        <v>16767.012583104239</v>
      </c>
      <c r="R163" s="113">
        <v>60848.938784251295</v>
      </c>
      <c r="S163" s="113">
        <v>63993.857642829302</v>
      </c>
      <c r="U163" s="7" t="s">
        <v>6105</v>
      </c>
    </row>
    <row r="164" spans="1:21" ht="16.5" thickBot="1">
      <c r="A164" s="207" t="s">
        <v>10</v>
      </c>
      <c r="B164" s="211">
        <f t="shared" si="9"/>
        <v>75</v>
      </c>
      <c r="C164" s="211" t="s">
        <v>3</v>
      </c>
      <c r="D164" s="211">
        <f t="shared" si="10"/>
        <v>400</v>
      </c>
      <c r="E164" s="211" t="s">
        <v>3</v>
      </c>
      <c r="F164" s="209">
        <f t="shared" si="11"/>
        <v>1050</v>
      </c>
      <c r="G164" s="211" t="s">
        <v>3</v>
      </c>
      <c r="H164" s="208">
        <v>4</v>
      </c>
      <c r="I164" s="210" t="s">
        <v>529</v>
      </c>
      <c r="J164" s="103">
        <v>75</v>
      </c>
      <c r="K164" s="66">
        <v>400</v>
      </c>
      <c r="L164" s="66">
        <v>1050</v>
      </c>
      <c r="M164" s="164">
        <v>14.419550565305261</v>
      </c>
      <c r="N164" s="78">
        <v>3301.5418800000002</v>
      </c>
      <c r="O164" s="113">
        <v>46299.694278976611</v>
      </c>
      <c r="P164" s="113">
        <v>48201.288048985138</v>
      </c>
      <c r="Q164" s="110">
        <v>17674.953670617982</v>
      </c>
      <c r="R164" s="113">
        <v>63974.647949594597</v>
      </c>
      <c r="S164" s="113">
        <v>65876.241719603117</v>
      </c>
      <c r="U164" s="7" t="s">
        <v>6106</v>
      </c>
    </row>
    <row r="165" spans="1:21" ht="16.5" thickBot="1">
      <c r="A165" s="207" t="s">
        <v>10</v>
      </c>
      <c r="B165" s="208">
        <f t="shared" si="9"/>
        <v>75</v>
      </c>
      <c r="C165" s="208" t="s">
        <v>3</v>
      </c>
      <c r="D165" s="208">
        <f t="shared" si="10"/>
        <v>400</v>
      </c>
      <c r="E165" s="208" t="s">
        <v>3</v>
      </c>
      <c r="F165" s="209">
        <f t="shared" si="11"/>
        <v>1100</v>
      </c>
      <c r="G165" s="208" t="s">
        <v>3</v>
      </c>
      <c r="H165" s="208">
        <v>4</v>
      </c>
      <c r="I165" s="210" t="s">
        <v>529</v>
      </c>
      <c r="J165" s="103">
        <v>75</v>
      </c>
      <c r="K165" s="66">
        <v>400</v>
      </c>
      <c r="L165" s="66">
        <v>1100</v>
      </c>
      <c r="M165" s="164">
        <v>15.031055760077106</v>
      </c>
      <c r="N165" s="78">
        <v>3537.3663000000006</v>
      </c>
      <c r="O165" s="113">
        <v>48271.189148085425</v>
      </c>
      <c r="P165" s="113">
        <v>69102.335704282974</v>
      </c>
      <c r="Q165" s="110">
        <v>18331.560773376717</v>
      </c>
      <c r="R165" s="113">
        <v>66602.749921462149</v>
      </c>
      <c r="S165" s="113">
        <v>87433.896477659699</v>
      </c>
      <c r="U165" s="7" t="s">
        <v>6107</v>
      </c>
    </row>
    <row r="166" spans="1:21" ht="16.5" thickBot="1">
      <c r="A166" s="207" t="s">
        <v>10</v>
      </c>
      <c r="B166" s="211">
        <f t="shared" si="9"/>
        <v>75</v>
      </c>
      <c r="C166" s="211" t="s">
        <v>3</v>
      </c>
      <c r="D166" s="211">
        <f t="shared" si="10"/>
        <v>400</v>
      </c>
      <c r="E166" s="211" t="s">
        <v>3</v>
      </c>
      <c r="F166" s="209">
        <f t="shared" si="11"/>
        <v>1150</v>
      </c>
      <c r="G166" s="211" t="s">
        <v>3</v>
      </c>
      <c r="H166" s="208">
        <v>4</v>
      </c>
      <c r="I166" s="210" t="s">
        <v>529</v>
      </c>
      <c r="J166" s="103">
        <v>75</v>
      </c>
      <c r="K166" s="66">
        <v>400</v>
      </c>
      <c r="L166" s="66">
        <v>1150</v>
      </c>
      <c r="M166" s="164">
        <v>15.642560954848948</v>
      </c>
      <c r="N166" s="78">
        <v>3773.1907200000005</v>
      </c>
      <c r="O166" s="113">
        <v>49419.360743911362</v>
      </c>
      <c r="P166" s="113">
        <v>69124.191593878524</v>
      </c>
      <c r="Q166" s="110">
        <v>18988.167723106693</v>
      </c>
      <c r="R166" s="113">
        <v>68407.528467018055</v>
      </c>
      <c r="S166" s="113">
        <v>88112.35931698521</v>
      </c>
      <c r="U166" s="7" t="s">
        <v>6108</v>
      </c>
    </row>
    <row r="167" spans="1:21" ht="16.5" thickBot="1">
      <c r="A167" s="207" t="s">
        <v>10</v>
      </c>
      <c r="B167" s="211">
        <f t="shared" si="9"/>
        <v>75</v>
      </c>
      <c r="C167" s="211" t="s">
        <v>3</v>
      </c>
      <c r="D167" s="211">
        <f t="shared" si="10"/>
        <v>400</v>
      </c>
      <c r="E167" s="211" t="s">
        <v>3</v>
      </c>
      <c r="F167" s="209">
        <f t="shared" si="11"/>
        <v>1200</v>
      </c>
      <c r="G167" s="211" t="s">
        <v>3</v>
      </c>
      <c r="H167" s="208">
        <v>4</v>
      </c>
      <c r="I167" s="210" t="s">
        <v>529</v>
      </c>
      <c r="J167" s="103">
        <v>75</v>
      </c>
      <c r="K167" s="66">
        <v>400</v>
      </c>
      <c r="L167" s="66">
        <v>1200</v>
      </c>
      <c r="M167" s="164">
        <v>16.525606149620788</v>
      </c>
      <c r="N167" s="78">
        <v>4009.0151400000009</v>
      </c>
      <c r="O167" s="113">
        <v>50632.261028319168</v>
      </c>
      <c r="P167" s="113">
        <v>69206.329707044992</v>
      </c>
      <c r="Q167" s="110">
        <v>19896.1089636492</v>
      </c>
      <c r="R167" s="113">
        <v>70528.369991968371</v>
      </c>
      <c r="S167" s="113">
        <v>89102.438670694188</v>
      </c>
      <c r="U167" s="7" t="s">
        <v>6109</v>
      </c>
    </row>
    <row r="168" spans="1:21" ht="16.5" thickBot="1">
      <c r="A168" s="207" t="s">
        <v>10</v>
      </c>
      <c r="B168" s="211">
        <f t="shared" si="9"/>
        <v>75</v>
      </c>
      <c r="C168" s="211" t="s">
        <v>3</v>
      </c>
      <c r="D168" s="211">
        <f t="shared" si="10"/>
        <v>400</v>
      </c>
      <c r="E168" s="211" t="s">
        <v>3</v>
      </c>
      <c r="F168" s="209">
        <f t="shared" si="11"/>
        <v>1250</v>
      </c>
      <c r="G168" s="211" t="s">
        <v>3</v>
      </c>
      <c r="H168" s="208">
        <v>4</v>
      </c>
      <c r="I168" s="210" t="s">
        <v>529</v>
      </c>
      <c r="J168" s="103">
        <v>75</v>
      </c>
      <c r="K168" s="66">
        <v>400</v>
      </c>
      <c r="L168" s="66">
        <v>1250</v>
      </c>
      <c r="M168" s="164">
        <v>17.137111344392629</v>
      </c>
      <c r="N168" s="78">
        <v>4244.8395600000013</v>
      </c>
      <c r="O168" s="113">
        <v>51779.908294035718</v>
      </c>
      <c r="P168" s="113">
        <v>69220.060756247942</v>
      </c>
      <c r="Q168" s="110">
        <v>20552.715913379172</v>
      </c>
      <c r="R168" s="113">
        <v>72332.62420741489</v>
      </c>
      <c r="S168" s="113">
        <v>89772.776669627114</v>
      </c>
      <c r="U168" s="7" t="s">
        <v>6110</v>
      </c>
    </row>
    <row r="169" spans="1:21" ht="16.5" thickBot="1">
      <c r="A169" s="207" t="s">
        <v>10</v>
      </c>
      <c r="B169" s="211">
        <f t="shared" si="9"/>
        <v>75</v>
      </c>
      <c r="C169" s="211" t="s">
        <v>3</v>
      </c>
      <c r="D169" s="211">
        <f t="shared" si="10"/>
        <v>400</v>
      </c>
      <c r="E169" s="211" t="s">
        <v>3</v>
      </c>
      <c r="F169" s="209">
        <f t="shared" si="11"/>
        <v>1300</v>
      </c>
      <c r="G169" s="211" t="s">
        <v>3</v>
      </c>
      <c r="H169" s="208">
        <v>4</v>
      </c>
      <c r="I169" s="210" t="s">
        <v>529</v>
      </c>
      <c r="J169" s="103">
        <v>75</v>
      </c>
      <c r="K169" s="66">
        <v>400</v>
      </c>
      <c r="L169" s="66">
        <v>1300</v>
      </c>
      <c r="M169" s="164">
        <v>17.827656539164472</v>
      </c>
      <c r="N169" s="78">
        <v>4480.6639800000003</v>
      </c>
      <c r="O169" s="113">
        <v>55600.653543510736</v>
      </c>
      <c r="P169" s="113">
        <v>69235.837226182761</v>
      </c>
      <c r="Q169" s="110">
        <v>21460.657153921682</v>
      </c>
      <c r="R169" s="113">
        <v>77061.310697432418</v>
      </c>
      <c r="S169" s="113">
        <v>90696.494380104443</v>
      </c>
      <c r="U169" s="7" t="s">
        <v>6111</v>
      </c>
    </row>
    <row r="170" spans="1:21" ht="16.5" thickBot="1">
      <c r="A170" s="207" t="s">
        <v>10</v>
      </c>
      <c r="B170" s="211">
        <f t="shared" si="9"/>
        <v>75</v>
      </c>
      <c r="C170" s="211" t="s">
        <v>3</v>
      </c>
      <c r="D170" s="211">
        <f t="shared" si="10"/>
        <v>400</v>
      </c>
      <c r="E170" s="211" t="s">
        <v>3</v>
      </c>
      <c r="F170" s="209">
        <f t="shared" si="11"/>
        <v>1350</v>
      </c>
      <c r="G170" s="211" t="s">
        <v>3</v>
      </c>
      <c r="H170" s="208">
        <v>4</v>
      </c>
      <c r="I170" s="210" t="s">
        <v>529</v>
      </c>
      <c r="J170" s="103">
        <v>75</v>
      </c>
      <c r="K170" s="66">
        <v>400</v>
      </c>
      <c r="L170" s="66">
        <v>1350</v>
      </c>
      <c r="M170" s="164">
        <v>18.439161733936317</v>
      </c>
      <c r="N170" s="78">
        <v>4716.4884000000011</v>
      </c>
      <c r="O170" s="113">
        <v>57020.470019971654</v>
      </c>
      <c r="P170" s="113">
        <v>65578.483956927128</v>
      </c>
      <c r="Q170" s="110">
        <v>22117.264103651651</v>
      </c>
      <c r="R170" s="113">
        <v>79137.734123623304</v>
      </c>
      <c r="S170" s="113">
        <v>87695.748060578771</v>
      </c>
      <c r="U170" s="7" t="s">
        <v>6112</v>
      </c>
    </row>
    <row r="171" spans="1:21" ht="16.5" thickBot="1">
      <c r="A171" s="207" t="s">
        <v>10</v>
      </c>
      <c r="B171" s="211">
        <f t="shared" si="9"/>
        <v>75</v>
      </c>
      <c r="C171" s="211" t="s">
        <v>3</v>
      </c>
      <c r="D171" s="211">
        <f t="shared" si="10"/>
        <v>400</v>
      </c>
      <c r="E171" s="211" t="s">
        <v>3</v>
      </c>
      <c r="F171" s="209">
        <f t="shared" si="11"/>
        <v>1400</v>
      </c>
      <c r="G171" s="211" t="s">
        <v>3</v>
      </c>
      <c r="H171" s="208">
        <v>4</v>
      </c>
      <c r="I171" s="210" t="s">
        <v>529</v>
      </c>
      <c r="J171" s="103">
        <v>75</v>
      </c>
      <c r="K171" s="66">
        <v>400</v>
      </c>
      <c r="L171" s="66">
        <v>1400</v>
      </c>
      <c r="M171" s="164">
        <v>19.067706928708159</v>
      </c>
      <c r="N171" s="78">
        <v>4952.312820000001</v>
      </c>
      <c r="O171" s="113">
        <v>58796.734325498466</v>
      </c>
      <c r="P171" s="113">
        <v>66548.836104723494</v>
      </c>
      <c r="Q171" s="110">
        <v>23025.205344194161</v>
      </c>
      <c r="R171" s="113">
        <v>81821.939669692627</v>
      </c>
      <c r="S171" s="113">
        <v>89574.041448917647</v>
      </c>
      <c r="U171" s="7" t="s">
        <v>6113</v>
      </c>
    </row>
    <row r="172" spans="1:21" ht="16.5" thickBot="1">
      <c r="A172" s="207" t="s">
        <v>10</v>
      </c>
      <c r="B172" s="211">
        <f t="shared" si="9"/>
        <v>75</v>
      </c>
      <c r="C172" s="211" t="s">
        <v>3</v>
      </c>
      <c r="D172" s="211">
        <f t="shared" si="10"/>
        <v>400</v>
      </c>
      <c r="E172" s="211" t="s">
        <v>3</v>
      </c>
      <c r="F172" s="209">
        <f t="shared" si="11"/>
        <v>1450</v>
      </c>
      <c r="G172" s="211" t="s">
        <v>3</v>
      </c>
      <c r="H172" s="208">
        <v>4</v>
      </c>
      <c r="I172" s="210" t="s">
        <v>529</v>
      </c>
      <c r="J172" s="103">
        <v>75</v>
      </c>
      <c r="K172" s="66">
        <v>400</v>
      </c>
      <c r="L172" s="66">
        <v>1450</v>
      </c>
      <c r="M172" s="164">
        <v>19.679212123480003</v>
      </c>
      <c r="N172" s="78">
        <v>5188.1372400000009</v>
      </c>
      <c r="O172" s="113">
        <v>60216.550671884928</v>
      </c>
      <c r="P172" s="113">
        <v>67524.870034585882</v>
      </c>
      <c r="Q172" s="110">
        <v>23681.812293924133</v>
      </c>
      <c r="R172" s="113">
        <v>83898.362965809065</v>
      </c>
      <c r="S172" s="113">
        <v>91206.682328510011</v>
      </c>
      <c r="U172" s="7" t="s">
        <v>6114</v>
      </c>
    </row>
    <row r="173" spans="1:21" ht="16.5" thickBot="1">
      <c r="A173" s="207" t="s">
        <v>10</v>
      </c>
      <c r="B173" s="211">
        <f t="shared" si="9"/>
        <v>75</v>
      </c>
      <c r="C173" s="211" t="s">
        <v>3</v>
      </c>
      <c r="D173" s="211">
        <f t="shared" si="10"/>
        <v>400</v>
      </c>
      <c r="E173" s="211" t="s">
        <v>3</v>
      </c>
      <c r="F173" s="209">
        <f t="shared" si="11"/>
        <v>1500</v>
      </c>
      <c r="G173" s="211" t="s">
        <v>3</v>
      </c>
      <c r="H173" s="208">
        <v>4</v>
      </c>
      <c r="I173" s="210" t="s">
        <v>529</v>
      </c>
      <c r="J173" s="103">
        <v>75</v>
      </c>
      <c r="K173" s="66">
        <v>400</v>
      </c>
      <c r="L173" s="66">
        <v>1500</v>
      </c>
      <c r="M173" s="164">
        <v>20.947323971051841</v>
      </c>
      <c r="N173" s="78">
        <v>5423.9616600000008</v>
      </c>
      <c r="O173" s="113">
        <v>62326.69866149989</v>
      </c>
      <c r="P173" s="113">
        <v>69332.371589291288</v>
      </c>
      <c r="Q173" s="110">
        <v>24589.753534466639</v>
      </c>
      <c r="R173" s="113">
        <v>86916.452195966529</v>
      </c>
      <c r="S173" s="113">
        <v>93922.125123757927</v>
      </c>
      <c r="U173" s="7" t="s">
        <v>6115</v>
      </c>
    </row>
    <row r="174" spans="1:21" ht="16.5" thickBot="1">
      <c r="A174" s="207" t="s">
        <v>10</v>
      </c>
      <c r="B174" s="211">
        <f t="shared" si="9"/>
        <v>75</v>
      </c>
      <c r="C174" s="211" t="s">
        <v>3</v>
      </c>
      <c r="D174" s="211">
        <f t="shared" si="10"/>
        <v>400</v>
      </c>
      <c r="E174" s="211" t="s">
        <v>3</v>
      </c>
      <c r="F174" s="209">
        <f t="shared" si="11"/>
        <v>1550</v>
      </c>
      <c r="G174" s="211" t="s">
        <v>3</v>
      </c>
      <c r="H174" s="208">
        <v>4</v>
      </c>
      <c r="I174" s="210" t="s">
        <v>529</v>
      </c>
      <c r="J174" s="103">
        <v>75</v>
      </c>
      <c r="K174" s="66">
        <v>400</v>
      </c>
      <c r="L174" s="66">
        <v>1550</v>
      </c>
      <c r="M174" s="164">
        <v>21.627829165823684</v>
      </c>
      <c r="N174" s="78">
        <v>5659.7860800000008</v>
      </c>
      <c r="O174" s="113">
        <v>63746.5151379608</v>
      </c>
      <c r="P174" s="113">
        <v>70303.860197560425</v>
      </c>
      <c r="Q174" s="110">
        <v>25246.360484196612</v>
      </c>
      <c r="R174" s="113">
        <v>88992.875622157415</v>
      </c>
      <c r="S174" s="113">
        <v>95550.22068175704</v>
      </c>
      <c r="U174" s="7" t="s">
        <v>6116</v>
      </c>
    </row>
    <row r="175" spans="1:21" ht="16.5" thickBot="1">
      <c r="A175" s="207" t="s">
        <v>10</v>
      </c>
      <c r="B175" s="208">
        <f t="shared" si="9"/>
        <v>75</v>
      </c>
      <c r="C175" s="208" t="s">
        <v>3</v>
      </c>
      <c r="D175" s="208">
        <f t="shared" si="10"/>
        <v>400</v>
      </c>
      <c r="E175" s="208" t="s">
        <v>3</v>
      </c>
      <c r="F175" s="209">
        <f t="shared" si="11"/>
        <v>1600</v>
      </c>
      <c r="G175" s="208" t="s">
        <v>3</v>
      </c>
      <c r="H175" s="208">
        <v>4</v>
      </c>
      <c r="I175" s="210" t="s">
        <v>529</v>
      </c>
      <c r="J175" s="103">
        <v>75</v>
      </c>
      <c r="K175" s="66">
        <v>400</v>
      </c>
      <c r="L175" s="66">
        <v>1600</v>
      </c>
      <c r="M175" s="164">
        <v>22.239334360595524</v>
      </c>
      <c r="N175" s="78">
        <v>5895.6105000000007</v>
      </c>
      <c r="O175" s="113">
        <v>67287.51655122386</v>
      </c>
      <c r="P175" s="113">
        <v>71108.969795932164</v>
      </c>
      <c r="Q175" s="110">
        <v>25902.96758695535</v>
      </c>
      <c r="R175" s="113">
        <v>93190.484138179207</v>
      </c>
      <c r="S175" s="113">
        <v>97011.93738288751</v>
      </c>
      <c r="U175" s="7" t="s">
        <v>6117</v>
      </c>
    </row>
    <row r="176" spans="1:21" ht="16.5" thickBot="1">
      <c r="A176" s="207" t="s">
        <v>10</v>
      </c>
      <c r="B176" s="211">
        <f t="shared" si="9"/>
        <v>75</v>
      </c>
      <c r="C176" s="211" t="s">
        <v>3</v>
      </c>
      <c r="D176" s="211">
        <f t="shared" si="10"/>
        <v>400</v>
      </c>
      <c r="E176" s="211" t="s">
        <v>3</v>
      </c>
      <c r="F176" s="209">
        <f t="shared" si="11"/>
        <v>1650</v>
      </c>
      <c r="G176" s="211" t="s">
        <v>3</v>
      </c>
      <c r="H176" s="208">
        <v>4</v>
      </c>
      <c r="I176" s="210" t="s">
        <v>529</v>
      </c>
      <c r="J176" s="103">
        <v>75</v>
      </c>
      <c r="K176" s="66">
        <v>400</v>
      </c>
      <c r="L176" s="66">
        <v>1650</v>
      </c>
      <c r="M176" s="164">
        <v>22.905879555367367</v>
      </c>
      <c r="N176" s="78">
        <v>6131.4349200000015</v>
      </c>
      <c r="O176" s="113">
        <v>71103.481564648289</v>
      </c>
      <c r="P176" s="113">
        <v>89842.330508202154</v>
      </c>
      <c r="Q176" s="110">
        <v>26810.908827497857</v>
      </c>
      <c r="R176" s="113">
        <v>97914.390392146146</v>
      </c>
      <c r="S176" s="113">
        <v>116653.23933570001</v>
      </c>
      <c r="U176" s="7" t="s">
        <v>6118</v>
      </c>
    </row>
    <row r="177" spans="1:21" ht="16.5" thickBot="1">
      <c r="A177" s="207" t="s">
        <v>10</v>
      </c>
      <c r="B177" s="211">
        <f t="shared" si="9"/>
        <v>75</v>
      </c>
      <c r="C177" s="211" t="s">
        <v>3</v>
      </c>
      <c r="D177" s="211">
        <f t="shared" si="10"/>
        <v>400</v>
      </c>
      <c r="E177" s="211" t="s">
        <v>3</v>
      </c>
      <c r="F177" s="209">
        <f t="shared" si="11"/>
        <v>1700</v>
      </c>
      <c r="G177" s="211" t="s">
        <v>3</v>
      </c>
      <c r="H177" s="208">
        <v>4</v>
      </c>
      <c r="I177" s="210" t="s">
        <v>529</v>
      </c>
      <c r="J177" s="103">
        <v>75</v>
      </c>
      <c r="K177" s="66">
        <v>400</v>
      </c>
      <c r="L177" s="66">
        <v>1700</v>
      </c>
      <c r="M177" s="164">
        <v>23.517384750139207</v>
      </c>
      <c r="N177" s="78">
        <v>6367.2593400000014</v>
      </c>
      <c r="O177" s="113">
        <v>72299.687183576229</v>
      </c>
      <c r="P177" s="113">
        <v>90561.233914972545</v>
      </c>
      <c r="Q177" s="110">
        <v>27467.515777227836</v>
      </c>
      <c r="R177" s="113">
        <v>99767.202960804061</v>
      </c>
      <c r="S177" s="113">
        <v>118028.74969220038</v>
      </c>
      <c r="U177" s="7" t="s">
        <v>6119</v>
      </c>
    </row>
    <row r="178" spans="1:21" ht="16.5" thickBot="1">
      <c r="A178" s="207" t="s">
        <v>10</v>
      </c>
      <c r="B178" s="211">
        <f t="shared" si="9"/>
        <v>75</v>
      </c>
      <c r="C178" s="211" t="s">
        <v>3</v>
      </c>
      <c r="D178" s="211">
        <f t="shared" si="10"/>
        <v>400</v>
      </c>
      <c r="E178" s="211" t="s">
        <v>3</v>
      </c>
      <c r="F178" s="209">
        <f t="shared" si="11"/>
        <v>1750</v>
      </c>
      <c r="G178" s="211" t="s">
        <v>3</v>
      </c>
      <c r="H178" s="208">
        <v>4</v>
      </c>
      <c r="I178" s="210" t="s">
        <v>529</v>
      </c>
      <c r="J178" s="103">
        <v>75</v>
      </c>
      <c r="K178" s="66">
        <v>400</v>
      </c>
      <c r="L178" s="66">
        <v>1750</v>
      </c>
      <c r="M178" s="164">
        <v>24.14592994491105</v>
      </c>
      <c r="N178" s="78">
        <v>6603.0837600000004</v>
      </c>
      <c r="O178" s="113">
        <v>73412.885271711522</v>
      </c>
      <c r="P178" s="113">
        <v>80772.893359346126</v>
      </c>
      <c r="Q178" s="110">
        <v>28375.457017770343</v>
      </c>
      <c r="R178" s="113">
        <v>101788.34228948187</v>
      </c>
      <c r="S178" s="113">
        <v>109148.35037711647</v>
      </c>
      <c r="U178" s="7" t="s">
        <v>6120</v>
      </c>
    </row>
    <row r="179" spans="1:21" ht="16.5" thickBot="1">
      <c r="A179" s="207" t="s">
        <v>10</v>
      </c>
      <c r="B179" s="211">
        <f t="shared" si="9"/>
        <v>75</v>
      </c>
      <c r="C179" s="211" t="s">
        <v>3</v>
      </c>
      <c r="D179" s="211">
        <f t="shared" si="10"/>
        <v>400</v>
      </c>
      <c r="E179" s="211" t="s">
        <v>3</v>
      </c>
      <c r="F179" s="209">
        <f t="shared" si="11"/>
        <v>1800</v>
      </c>
      <c r="G179" s="211" t="s">
        <v>3</v>
      </c>
      <c r="H179" s="208">
        <v>4</v>
      </c>
      <c r="I179" s="210" t="s">
        <v>529</v>
      </c>
      <c r="J179" s="103">
        <v>75</v>
      </c>
      <c r="K179" s="66">
        <v>400</v>
      </c>
      <c r="L179" s="66">
        <v>1800</v>
      </c>
      <c r="M179" s="164">
        <v>24.8264351396829</v>
      </c>
      <c r="N179" s="78">
        <v>6838.9081800000004</v>
      </c>
      <c r="O179" s="113">
        <v>74609.850265280635</v>
      </c>
      <c r="P179" s="113">
        <v>81539.637628659751</v>
      </c>
      <c r="Q179" s="110">
        <v>29032.063967500315</v>
      </c>
      <c r="R179" s="113">
        <v>103641.91423278095</v>
      </c>
      <c r="S179" s="113">
        <v>110571.70159616007</v>
      </c>
      <c r="U179" s="7" t="s">
        <v>6121</v>
      </c>
    </row>
    <row r="180" spans="1:21" ht="16.5" thickBot="1">
      <c r="A180" s="207" t="s">
        <v>10</v>
      </c>
      <c r="B180" s="211">
        <f t="shared" si="9"/>
        <v>75</v>
      </c>
      <c r="C180" s="211" t="s">
        <v>3</v>
      </c>
      <c r="D180" s="211">
        <f t="shared" si="10"/>
        <v>400</v>
      </c>
      <c r="E180" s="211" t="s">
        <v>3</v>
      </c>
      <c r="F180" s="209">
        <f t="shared" si="11"/>
        <v>1850</v>
      </c>
      <c r="G180" s="211" t="s">
        <v>3</v>
      </c>
      <c r="H180" s="208">
        <v>4</v>
      </c>
      <c r="I180" s="210" t="s">
        <v>529</v>
      </c>
      <c r="J180" s="103">
        <v>75</v>
      </c>
      <c r="K180" s="66">
        <v>400</v>
      </c>
      <c r="L180" s="66">
        <v>1850</v>
      </c>
      <c r="M180" s="164">
        <v>25.51698033445474</v>
      </c>
      <c r="N180" s="78">
        <v>7074.7326000000012</v>
      </c>
      <c r="O180" s="113">
        <v>75806.762708771814</v>
      </c>
      <c r="P180" s="113">
        <v>82306.325185513022</v>
      </c>
      <c r="Q180" s="110">
        <v>29940.005208042821</v>
      </c>
      <c r="R180" s="113">
        <v>105746.76791681463</v>
      </c>
      <c r="S180" s="113">
        <v>112246.33039355584</v>
      </c>
      <c r="U180" s="7" t="s">
        <v>6122</v>
      </c>
    </row>
    <row r="181" spans="1:21" ht="16.5" thickBot="1">
      <c r="A181" s="207" t="s">
        <v>10</v>
      </c>
      <c r="B181" s="211">
        <f t="shared" si="9"/>
        <v>75</v>
      </c>
      <c r="C181" s="211" t="s">
        <v>3</v>
      </c>
      <c r="D181" s="211">
        <f t="shared" si="10"/>
        <v>400</v>
      </c>
      <c r="E181" s="211" t="s">
        <v>3</v>
      </c>
      <c r="F181" s="209">
        <f t="shared" si="11"/>
        <v>1900</v>
      </c>
      <c r="G181" s="211" t="s">
        <v>3</v>
      </c>
      <c r="H181" s="208">
        <v>4</v>
      </c>
      <c r="I181" s="210" t="s">
        <v>529</v>
      </c>
      <c r="J181" s="103">
        <v>75</v>
      </c>
      <c r="K181" s="66">
        <v>400</v>
      </c>
      <c r="L181" s="66">
        <v>1900</v>
      </c>
      <c r="M181" s="164">
        <v>26.12848552922658</v>
      </c>
      <c r="N181" s="78">
        <v>7310.5570200000011</v>
      </c>
      <c r="O181" s="113">
        <v>77194.484485277382</v>
      </c>
      <c r="P181" s="113">
        <v>83072.955769757027</v>
      </c>
      <c r="Q181" s="110">
        <v>30596.612157772794</v>
      </c>
      <c r="R181" s="113">
        <v>107791.09664305017</v>
      </c>
      <c r="S181" s="113">
        <v>113669.56792752982</v>
      </c>
      <c r="U181" s="7" t="s">
        <v>6123</v>
      </c>
    </row>
    <row r="182" spans="1:21" ht="16.5" thickBot="1">
      <c r="A182" s="207" t="s">
        <v>10</v>
      </c>
      <c r="B182" s="211">
        <f t="shared" si="9"/>
        <v>75</v>
      </c>
      <c r="C182" s="211" t="s">
        <v>3</v>
      </c>
      <c r="D182" s="211">
        <f t="shared" si="10"/>
        <v>400</v>
      </c>
      <c r="E182" s="211" t="s">
        <v>3</v>
      </c>
      <c r="F182" s="209">
        <f t="shared" si="11"/>
        <v>1950</v>
      </c>
      <c r="G182" s="211" t="s">
        <v>3</v>
      </c>
      <c r="H182" s="208">
        <v>4</v>
      </c>
      <c r="I182" s="210" t="s">
        <v>529</v>
      </c>
      <c r="J182" s="103">
        <v>75</v>
      </c>
      <c r="K182" s="66">
        <v>400</v>
      </c>
      <c r="L182" s="66">
        <v>1950</v>
      </c>
      <c r="M182" s="164">
        <v>26.932490723998423</v>
      </c>
      <c r="N182" s="78">
        <v>7546.381440000001</v>
      </c>
      <c r="O182" s="113">
        <v>78782.162820369733</v>
      </c>
      <c r="P182" s="113">
        <v>83899.28922597006</v>
      </c>
      <c r="Q182" s="110">
        <v>31253.219260531532</v>
      </c>
      <c r="R182" s="113">
        <v>110035.38208090127</v>
      </c>
      <c r="S182" s="113">
        <v>115152.5084865016</v>
      </c>
      <c r="U182" s="7" t="s">
        <v>6124</v>
      </c>
    </row>
    <row r="183" spans="1:21" ht="16.5" thickBot="1">
      <c r="A183" s="207" t="s">
        <v>10</v>
      </c>
      <c r="B183" s="211">
        <f t="shared" si="9"/>
        <v>75</v>
      </c>
      <c r="C183" s="211" t="s">
        <v>3</v>
      </c>
      <c r="D183" s="211">
        <f t="shared" si="10"/>
        <v>400</v>
      </c>
      <c r="E183" s="211" t="s">
        <v>3</v>
      </c>
      <c r="F183" s="209">
        <f t="shared" si="11"/>
        <v>2000</v>
      </c>
      <c r="G183" s="211" t="s">
        <v>3</v>
      </c>
      <c r="H183" s="208">
        <v>4</v>
      </c>
      <c r="I183" s="210" t="s">
        <v>529</v>
      </c>
      <c r="J183" s="103">
        <v>75</v>
      </c>
      <c r="K183" s="66">
        <v>400</v>
      </c>
      <c r="L183" s="66">
        <v>2000</v>
      </c>
      <c r="M183" s="164">
        <v>27.652598318770266</v>
      </c>
      <c r="N183" s="78">
        <v>7782.2058600000018</v>
      </c>
      <c r="O183" s="113">
        <v>80203.922609118978</v>
      </c>
      <c r="P183" s="113">
        <v>102380.35584336121</v>
      </c>
      <c r="Q183" s="110">
        <v>32161.160348045276</v>
      </c>
      <c r="R183" s="113">
        <v>112365.08295716425</v>
      </c>
      <c r="S183" s="113">
        <v>134541.51619140647</v>
      </c>
      <c r="U183" s="7" t="s">
        <v>6125</v>
      </c>
    </row>
    <row r="184" spans="1:21" ht="16.5" thickBot="1">
      <c r="A184" s="207" t="s">
        <v>10</v>
      </c>
      <c r="B184" s="211">
        <f t="shared" si="9"/>
        <v>75</v>
      </c>
      <c r="C184" s="211" t="s">
        <v>3</v>
      </c>
      <c r="D184" s="211">
        <f t="shared" si="10"/>
        <v>400</v>
      </c>
      <c r="E184" s="211" t="s">
        <v>3</v>
      </c>
      <c r="F184" s="209">
        <f t="shared" si="11"/>
        <v>2050</v>
      </c>
      <c r="G184" s="211" t="s">
        <v>3</v>
      </c>
      <c r="H184" s="208">
        <v>4</v>
      </c>
      <c r="I184" s="210" t="s">
        <v>529</v>
      </c>
      <c r="J184" s="103">
        <v>75</v>
      </c>
      <c r="K184" s="66">
        <v>400</v>
      </c>
      <c r="L184" s="66">
        <v>2050</v>
      </c>
      <c r="M184" s="164">
        <v>28.264103513542103</v>
      </c>
      <c r="N184" s="78">
        <v>8018.0302800000018</v>
      </c>
      <c r="O184" s="113">
        <v>83737.762643443217</v>
      </c>
      <c r="P184" s="113">
        <v>103058.45073267243</v>
      </c>
      <c r="Q184" s="110">
        <v>32817.767450804015</v>
      </c>
      <c r="R184" s="113">
        <v>116555.53009424722</v>
      </c>
      <c r="S184" s="113">
        <v>135876.21818347645</v>
      </c>
      <c r="U184" s="7" t="s">
        <v>6126</v>
      </c>
    </row>
    <row r="185" spans="1:21" ht="16.5" thickBot="1">
      <c r="A185" s="207" t="s">
        <v>10</v>
      </c>
      <c r="B185" s="208">
        <f t="shared" si="9"/>
        <v>75</v>
      </c>
      <c r="C185" s="208" t="s">
        <v>3</v>
      </c>
      <c r="D185" s="208">
        <f t="shared" si="10"/>
        <v>400</v>
      </c>
      <c r="E185" s="208" t="s">
        <v>3</v>
      </c>
      <c r="F185" s="209">
        <f t="shared" si="11"/>
        <v>2100</v>
      </c>
      <c r="G185" s="208" t="s">
        <v>3</v>
      </c>
      <c r="H185" s="208">
        <v>4</v>
      </c>
      <c r="I185" s="210" t="s">
        <v>529</v>
      </c>
      <c r="J185" s="103">
        <v>75</v>
      </c>
      <c r="K185" s="66">
        <v>400</v>
      </c>
      <c r="L185" s="66">
        <v>2100</v>
      </c>
      <c r="M185" s="164">
        <v>28.892648708313949</v>
      </c>
      <c r="N185" s="78">
        <v>8253.8547000000017</v>
      </c>
      <c r="O185" s="113">
        <v>85002.178783840165</v>
      </c>
      <c r="P185" s="113">
        <v>103441.04963975911</v>
      </c>
      <c r="Q185" s="110">
        <v>33725.708538317755</v>
      </c>
      <c r="R185" s="113">
        <v>118727.88732215791</v>
      </c>
      <c r="S185" s="113">
        <v>137166.75817807685</v>
      </c>
      <c r="U185" s="7" t="s">
        <v>6127</v>
      </c>
    </row>
    <row r="186" spans="1:21" ht="16.5" thickBot="1">
      <c r="A186" s="207" t="s">
        <v>10</v>
      </c>
      <c r="B186" s="211">
        <f t="shared" si="9"/>
        <v>75</v>
      </c>
      <c r="C186" s="211" t="s">
        <v>3</v>
      </c>
      <c r="D186" s="211">
        <f t="shared" si="10"/>
        <v>400</v>
      </c>
      <c r="E186" s="211" t="s">
        <v>3</v>
      </c>
      <c r="F186" s="209">
        <f t="shared" si="11"/>
        <v>2150</v>
      </c>
      <c r="G186" s="211" t="s">
        <v>3</v>
      </c>
      <c r="H186" s="208">
        <v>4</v>
      </c>
      <c r="I186" s="210" t="s">
        <v>529</v>
      </c>
      <c r="J186" s="103">
        <v>75</v>
      </c>
      <c r="K186" s="66">
        <v>400</v>
      </c>
      <c r="L186" s="66">
        <v>2150</v>
      </c>
      <c r="M186" s="164">
        <v>29.628153903085792</v>
      </c>
      <c r="N186" s="78">
        <v>8489.6791200000025</v>
      </c>
      <c r="O186" s="113">
        <v>86427.497669700067</v>
      </c>
      <c r="P186" s="113">
        <v>104117.87747384941</v>
      </c>
      <c r="Q186" s="110">
        <v>34382.315641076493</v>
      </c>
      <c r="R186" s="113">
        <v>120809.81331077656</v>
      </c>
      <c r="S186" s="113">
        <v>138500.1931149259</v>
      </c>
      <c r="U186" s="7" t="s">
        <v>6128</v>
      </c>
    </row>
    <row r="187" spans="1:21" ht="16.5" thickBot="1">
      <c r="A187" s="207" t="s">
        <v>10</v>
      </c>
      <c r="B187" s="211">
        <f t="shared" si="9"/>
        <v>75</v>
      </c>
      <c r="C187" s="211" t="s">
        <v>3</v>
      </c>
      <c r="D187" s="211">
        <f t="shared" si="10"/>
        <v>400</v>
      </c>
      <c r="E187" s="211" t="s">
        <v>3</v>
      </c>
      <c r="F187" s="209">
        <f t="shared" si="11"/>
        <v>2200</v>
      </c>
      <c r="G187" s="211" t="s">
        <v>3</v>
      </c>
      <c r="H187" s="208">
        <v>4</v>
      </c>
      <c r="I187" s="210" t="s">
        <v>529</v>
      </c>
      <c r="J187" s="103">
        <v>75</v>
      </c>
      <c r="K187" s="66">
        <v>400</v>
      </c>
      <c r="L187" s="66">
        <v>2200</v>
      </c>
      <c r="M187" s="164">
        <v>30.256699097857627</v>
      </c>
      <c r="N187" s="78">
        <v>8725.5035400000015</v>
      </c>
      <c r="O187" s="113">
        <v>87852.764265630889</v>
      </c>
      <c r="P187" s="113">
        <v>110571.8290844243</v>
      </c>
      <c r="Q187" s="110">
        <v>35290.256728590233</v>
      </c>
      <c r="R187" s="113">
        <v>123143.02099422112</v>
      </c>
      <c r="S187" s="113">
        <v>145862.08581301454</v>
      </c>
      <c r="U187" s="7" t="s">
        <v>6129</v>
      </c>
    </row>
    <row r="188" spans="1:21" ht="16.5" thickBot="1">
      <c r="A188" s="207" t="s">
        <v>10</v>
      </c>
      <c r="B188" s="211">
        <f t="shared" si="9"/>
        <v>75</v>
      </c>
      <c r="C188" s="211" t="s">
        <v>3</v>
      </c>
      <c r="D188" s="211">
        <f t="shared" si="10"/>
        <v>400</v>
      </c>
      <c r="E188" s="211" t="s">
        <v>3</v>
      </c>
      <c r="F188" s="209">
        <f t="shared" si="11"/>
        <v>2250</v>
      </c>
      <c r="G188" s="211" t="s">
        <v>3</v>
      </c>
      <c r="H188" s="208">
        <v>4</v>
      </c>
      <c r="I188" s="210" t="s">
        <v>529</v>
      </c>
      <c r="J188" s="103">
        <v>75</v>
      </c>
      <c r="K188" s="66">
        <v>400</v>
      </c>
      <c r="L188" s="66">
        <v>2250</v>
      </c>
      <c r="M188" s="164">
        <v>30.868204292629471</v>
      </c>
      <c r="N188" s="78">
        <v>8961.3279600000005</v>
      </c>
      <c r="O188" s="113">
        <v>89626.406790536334</v>
      </c>
      <c r="P188" s="113">
        <v>111221.66477909783</v>
      </c>
      <c r="Q188" s="110">
        <v>35946.863831348819</v>
      </c>
      <c r="R188" s="113">
        <v>125573.27062188515</v>
      </c>
      <c r="S188" s="113">
        <v>147168.52861044666</v>
      </c>
      <c r="U188" s="7" t="s">
        <v>6130</v>
      </c>
    </row>
    <row r="189" spans="1:21" ht="16.5" thickBot="1">
      <c r="A189" s="207" t="s">
        <v>10</v>
      </c>
      <c r="B189" s="211">
        <f t="shared" si="9"/>
        <v>75</v>
      </c>
      <c r="C189" s="211" t="s">
        <v>3</v>
      </c>
      <c r="D189" s="211">
        <f t="shared" si="10"/>
        <v>400</v>
      </c>
      <c r="E189" s="211" t="s">
        <v>3</v>
      </c>
      <c r="F189" s="209">
        <f t="shared" si="11"/>
        <v>2300</v>
      </c>
      <c r="G189" s="211" t="s">
        <v>3</v>
      </c>
      <c r="H189" s="208">
        <v>4</v>
      </c>
      <c r="I189" s="210" t="s">
        <v>529</v>
      </c>
      <c r="J189" s="103">
        <v>75</v>
      </c>
      <c r="K189" s="66">
        <v>400</v>
      </c>
      <c r="L189" s="66">
        <v>2300</v>
      </c>
      <c r="M189" s="164">
        <v>31.479709487401315</v>
      </c>
      <c r="N189" s="78">
        <v>9197.1523800000014</v>
      </c>
      <c r="O189" s="113">
        <v>90786.90645254367</v>
      </c>
      <c r="P189" s="113">
        <v>111867.2051552717</v>
      </c>
      <c r="Q189" s="110">
        <v>36603.470781078948</v>
      </c>
      <c r="R189" s="113">
        <v>127390.37723362262</v>
      </c>
      <c r="S189" s="113">
        <v>148470.67593635066</v>
      </c>
      <c r="U189" s="7" t="s">
        <v>6131</v>
      </c>
    </row>
    <row r="190" spans="1:21" ht="16.5" thickBot="1">
      <c r="A190" s="207" t="s">
        <v>10</v>
      </c>
      <c r="B190" s="211">
        <f t="shared" si="9"/>
        <v>75</v>
      </c>
      <c r="C190" s="211" t="s">
        <v>3</v>
      </c>
      <c r="D190" s="211">
        <f t="shared" si="10"/>
        <v>400</v>
      </c>
      <c r="E190" s="211" t="s">
        <v>3</v>
      </c>
      <c r="F190" s="209">
        <f t="shared" si="11"/>
        <v>2350</v>
      </c>
      <c r="G190" s="211" t="s">
        <v>3</v>
      </c>
      <c r="H190" s="208">
        <v>4</v>
      </c>
      <c r="I190" s="210" t="s">
        <v>529</v>
      </c>
      <c r="J190" s="103">
        <v>75</v>
      </c>
      <c r="K190" s="66">
        <v>400</v>
      </c>
      <c r="L190" s="66">
        <v>2350</v>
      </c>
      <c r="M190" s="164">
        <v>32.108254682173154</v>
      </c>
      <c r="N190" s="78">
        <v>9432.9768000000022</v>
      </c>
      <c r="O190" s="113">
        <v>91947.353564473087</v>
      </c>
      <c r="P190" s="113">
        <v>112516.83637290927</v>
      </c>
      <c r="Q190" s="110">
        <v>37511.412021621458</v>
      </c>
      <c r="R190" s="113">
        <v>129458.76558609455</v>
      </c>
      <c r="S190" s="113">
        <v>150028.24839453073</v>
      </c>
      <c r="U190" s="7" t="s">
        <v>6132</v>
      </c>
    </row>
    <row r="191" spans="1:21" ht="16.5" thickBot="1">
      <c r="A191" s="207" t="s">
        <v>10</v>
      </c>
      <c r="B191" s="211">
        <f t="shared" si="9"/>
        <v>75</v>
      </c>
      <c r="C191" s="211" t="s">
        <v>3</v>
      </c>
      <c r="D191" s="211">
        <f t="shared" si="10"/>
        <v>400</v>
      </c>
      <c r="E191" s="211" t="s">
        <v>3</v>
      </c>
      <c r="F191" s="209">
        <f t="shared" si="11"/>
        <v>2400</v>
      </c>
      <c r="G191" s="211" t="s">
        <v>3</v>
      </c>
      <c r="H191" s="208">
        <v>4</v>
      </c>
      <c r="I191" s="210" t="s">
        <v>529</v>
      </c>
      <c r="J191" s="103">
        <v>75</v>
      </c>
      <c r="K191" s="66">
        <v>400</v>
      </c>
      <c r="L191" s="66">
        <v>2400</v>
      </c>
      <c r="M191" s="164">
        <v>32.719759876945005</v>
      </c>
      <c r="N191" s="78">
        <v>9668.8012199999994</v>
      </c>
      <c r="O191" s="113">
        <v>93107.748256398991</v>
      </c>
      <c r="P191" s="113">
        <v>113166.35403555169</v>
      </c>
      <c r="Q191" s="110">
        <v>38168.019124380196</v>
      </c>
      <c r="R191" s="113">
        <v>131275.7673807792</v>
      </c>
      <c r="S191" s="113">
        <v>151334.37315993189</v>
      </c>
      <c r="U191" s="7" t="s">
        <v>6133</v>
      </c>
    </row>
    <row r="192" spans="1:21" ht="16.5" thickBot="1">
      <c r="A192" s="207" t="s">
        <v>10</v>
      </c>
      <c r="B192" s="211">
        <f t="shared" si="9"/>
        <v>75</v>
      </c>
      <c r="C192" s="211" t="s">
        <v>3</v>
      </c>
      <c r="D192" s="211">
        <f t="shared" si="10"/>
        <v>400</v>
      </c>
      <c r="E192" s="211" t="s">
        <v>3</v>
      </c>
      <c r="F192" s="209">
        <f t="shared" si="11"/>
        <v>2450</v>
      </c>
      <c r="G192" s="211" t="s">
        <v>3</v>
      </c>
      <c r="H192" s="208">
        <v>4</v>
      </c>
      <c r="I192" s="210" t="s">
        <v>529</v>
      </c>
      <c r="J192" s="103">
        <v>75</v>
      </c>
      <c r="K192" s="66">
        <v>400</v>
      </c>
      <c r="L192" s="66">
        <v>2450</v>
      </c>
      <c r="M192" s="164">
        <v>34.10187172451684</v>
      </c>
      <c r="N192" s="78">
        <v>9904.625640000002</v>
      </c>
      <c r="O192" s="113">
        <v>94958.422301624334</v>
      </c>
      <c r="P192" s="113">
        <v>114651.77095956076</v>
      </c>
      <c r="Q192" s="110">
        <v>39075.960211893937</v>
      </c>
      <c r="R192" s="113">
        <v>134034.38251351827</v>
      </c>
      <c r="S192" s="113">
        <v>153727.73117145471</v>
      </c>
      <c r="U192" s="7" t="s">
        <v>6134</v>
      </c>
    </row>
    <row r="193" spans="1:21" ht="16.5" thickBot="1">
      <c r="A193" s="207" t="s">
        <v>10</v>
      </c>
      <c r="B193" s="211">
        <f t="shared" si="9"/>
        <v>75</v>
      </c>
      <c r="C193" s="211" t="s">
        <v>3</v>
      </c>
      <c r="D193" s="211">
        <f t="shared" si="10"/>
        <v>400</v>
      </c>
      <c r="E193" s="211" t="s">
        <v>3</v>
      </c>
      <c r="F193" s="209">
        <f t="shared" si="11"/>
        <v>2500</v>
      </c>
      <c r="G193" s="211" t="s">
        <v>3</v>
      </c>
      <c r="H193" s="208">
        <v>4</v>
      </c>
      <c r="I193" s="210" t="s">
        <v>529</v>
      </c>
      <c r="J193" s="103">
        <v>75</v>
      </c>
      <c r="K193" s="66">
        <v>400</v>
      </c>
      <c r="L193" s="66">
        <v>2500</v>
      </c>
      <c r="M193" s="164">
        <v>34.730376919288688</v>
      </c>
      <c r="N193" s="78">
        <v>10140.450060000001</v>
      </c>
      <c r="O193" s="113">
        <v>96118.712153543267</v>
      </c>
      <c r="P193" s="113">
        <v>115301.06125206394</v>
      </c>
      <c r="Q193" s="110">
        <v>39732.567314652675</v>
      </c>
      <c r="R193" s="113">
        <v>135851.27946819595</v>
      </c>
      <c r="S193" s="113">
        <v>155033.62856671662</v>
      </c>
      <c r="U193" s="7" t="s">
        <v>6135</v>
      </c>
    </row>
    <row r="194" spans="1:21" ht="16.5" thickBot="1">
      <c r="A194" s="207" t="s">
        <v>10</v>
      </c>
      <c r="B194" s="211">
        <f t="shared" si="9"/>
        <v>75</v>
      </c>
      <c r="C194" s="211" t="s">
        <v>3</v>
      </c>
      <c r="D194" s="211">
        <f t="shared" si="10"/>
        <v>400</v>
      </c>
      <c r="E194" s="211" t="s">
        <v>3</v>
      </c>
      <c r="F194" s="209">
        <f t="shared" si="11"/>
        <v>2550</v>
      </c>
      <c r="G194" s="211" t="s">
        <v>3</v>
      </c>
      <c r="H194" s="208">
        <v>4</v>
      </c>
      <c r="I194" s="210" t="s">
        <v>529</v>
      </c>
      <c r="J194" s="103">
        <v>75</v>
      </c>
      <c r="K194" s="66">
        <v>400</v>
      </c>
      <c r="L194" s="66">
        <v>2550</v>
      </c>
      <c r="M194" s="164">
        <v>35.358922114060533</v>
      </c>
      <c r="N194" s="78">
        <v>10376.274480000002</v>
      </c>
      <c r="O194" s="113">
        <v>100869.77562670736</v>
      </c>
      <c r="P194" s="113">
        <v>122536.94020224475</v>
      </c>
      <c r="Q194" s="110">
        <v>40640.508402166415</v>
      </c>
      <c r="R194" s="113">
        <v>141510.28402887378</v>
      </c>
      <c r="S194" s="113">
        <v>163177.44860441115</v>
      </c>
      <c r="U194" s="7" t="s">
        <v>6136</v>
      </c>
    </row>
    <row r="195" spans="1:21" ht="16.5" thickBot="1">
      <c r="A195" s="207" t="s">
        <v>10</v>
      </c>
      <c r="B195" s="208">
        <f t="shared" si="9"/>
        <v>75</v>
      </c>
      <c r="C195" s="208" t="s">
        <v>3</v>
      </c>
      <c r="D195" s="208">
        <f t="shared" si="10"/>
        <v>400</v>
      </c>
      <c r="E195" s="208" t="s">
        <v>3</v>
      </c>
      <c r="F195" s="209">
        <f t="shared" si="11"/>
        <v>2600</v>
      </c>
      <c r="G195" s="208" t="s">
        <v>3</v>
      </c>
      <c r="H195" s="208">
        <v>4</v>
      </c>
      <c r="I195" s="210" t="s">
        <v>529</v>
      </c>
      <c r="J195" s="103">
        <v>75</v>
      </c>
      <c r="K195" s="66">
        <v>400</v>
      </c>
      <c r="L195" s="66">
        <v>2600</v>
      </c>
      <c r="M195" s="164">
        <v>35.97042730883237</v>
      </c>
      <c r="N195" s="78">
        <v>10612.098900000001</v>
      </c>
      <c r="O195" s="113">
        <v>102324.91850284272</v>
      </c>
      <c r="P195" s="113">
        <v>123149.20597312407</v>
      </c>
      <c r="Q195" s="110">
        <v>41297.115504925154</v>
      </c>
      <c r="R195" s="113">
        <v>143622.03400776786</v>
      </c>
      <c r="S195" s="113">
        <v>164446.32147804921</v>
      </c>
      <c r="U195" s="7" t="s">
        <v>6137</v>
      </c>
    </row>
    <row r="196" spans="1:21" ht="16.5" thickBot="1">
      <c r="A196" s="207" t="s">
        <v>10</v>
      </c>
      <c r="B196" s="211">
        <f t="shared" si="9"/>
        <v>75</v>
      </c>
      <c r="C196" s="211" t="s">
        <v>3</v>
      </c>
      <c r="D196" s="211">
        <f t="shared" si="10"/>
        <v>400</v>
      </c>
      <c r="E196" s="211" t="s">
        <v>3</v>
      </c>
      <c r="F196" s="209">
        <f t="shared" si="11"/>
        <v>2650</v>
      </c>
      <c r="G196" s="211" t="s">
        <v>3</v>
      </c>
      <c r="H196" s="208">
        <v>4</v>
      </c>
      <c r="I196" s="210" t="s">
        <v>529</v>
      </c>
      <c r="J196" s="103">
        <v>75</v>
      </c>
      <c r="K196" s="66">
        <v>400</v>
      </c>
      <c r="L196" s="66">
        <v>2650</v>
      </c>
      <c r="M196" s="164">
        <v>36.705972503604222</v>
      </c>
      <c r="N196" s="78">
        <v>10847.923320000002</v>
      </c>
      <c r="O196" s="113">
        <v>103310.68577375081</v>
      </c>
      <c r="P196" s="113">
        <v>123761.35818900824</v>
      </c>
      <c r="Q196" s="110">
        <v>42205.056592438901</v>
      </c>
      <c r="R196" s="113">
        <v>145515.74236618972</v>
      </c>
      <c r="S196" s="113">
        <v>165966.41478144715</v>
      </c>
      <c r="U196" s="7" t="s">
        <v>6138</v>
      </c>
    </row>
    <row r="197" spans="1:21" ht="16.5" thickBot="1">
      <c r="A197" s="207" t="s">
        <v>10</v>
      </c>
      <c r="B197" s="211">
        <f t="shared" si="9"/>
        <v>75</v>
      </c>
      <c r="C197" s="211" t="s">
        <v>3</v>
      </c>
      <c r="D197" s="211">
        <f t="shared" si="10"/>
        <v>400</v>
      </c>
      <c r="E197" s="211" t="s">
        <v>3</v>
      </c>
      <c r="F197" s="209">
        <f t="shared" si="11"/>
        <v>2700</v>
      </c>
      <c r="G197" s="211" t="s">
        <v>3</v>
      </c>
      <c r="H197" s="208">
        <v>4</v>
      </c>
      <c r="I197" s="210" t="s">
        <v>529</v>
      </c>
      <c r="J197" s="103">
        <v>75</v>
      </c>
      <c r="K197" s="66">
        <v>400</v>
      </c>
      <c r="L197" s="66">
        <v>2700</v>
      </c>
      <c r="M197" s="164">
        <v>37.395977698376058</v>
      </c>
      <c r="N197" s="78">
        <v>11083.747740000001</v>
      </c>
      <c r="O197" s="113">
        <v>104361.39141325474</v>
      </c>
      <c r="P197" s="113">
        <v>124434.24723866732</v>
      </c>
      <c r="Q197" s="110">
        <v>42861.66369519764</v>
      </c>
      <c r="R197" s="113">
        <v>147223.05510845239</v>
      </c>
      <c r="S197" s="113">
        <v>167295.91093386494</v>
      </c>
      <c r="U197" s="7" t="s">
        <v>6139</v>
      </c>
    </row>
    <row r="198" spans="1:21" ht="16.5" thickBot="1">
      <c r="A198" s="207" t="s">
        <v>10</v>
      </c>
      <c r="B198" s="211">
        <f t="shared" si="9"/>
        <v>75</v>
      </c>
      <c r="C198" s="211" t="s">
        <v>3</v>
      </c>
      <c r="D198" s="211">
        <f t="shared" si="10"/>
        <v>400</v>
      </c>
      <c r="E198" s="211" t="s">
        <v>3</v>
      </c>
      <c r="F198" s="209">
        <f t="shared" si="11"/>
        <v>2750</v>
      </c>
      <c r="G198" s="211" t="s">
        <v>3</v>
      </c>
      <c r="H198" s="208">
        <v>4</v>
      </c>
      <c r="I198" s="210" t="s">
        <v>529</v>
      </c>
      <c r="J198" s="103">
        <v>75</v>
      </c>
      <c r="K198" s="66">
        <v>400</v>
      </c>
      <c r="L198" s="66">
        <v>2750</v>
      </c>
      <c r="M198" s="164">
        <v>38.007482893147902</v>
      </c>
      <c r="N198" s="78">
        <v>11319.572160000002</v>
      </c>
      <c r="O198" s="113">
        <v>105436.16576890371</v>
      </c>
      <c r="P198" s="113">
        <v>125042.19505809262</v>
      </c>
      <c r="Q198" s="110">
        <v>43518.270644927608</v>
      </c>
      <c r="R198" s="113">
        <v>148954.43641383131</v>
      </c>
      <c r="S198" s="113">
        <v>168560.46570302022</v>
      </c>
      <c r="U198" s="7" t="s">
        <v>6140</v>
      </c>
    </row>
    <row r="199" spans="1:21" ht="16.5" thickBot="1">
      <c r="A199" s="207" t="s">
        <v>10</v>
      </c>
      <c r="B199" s="211">
        <f t="shared" si="9"/>
        <v>75</v>
      </c>
      <c r="C199" s="211" t="s">
        <v>3</v>
      </c>
      <c r="D199" s="211">
        <f t="shared" si="10"/>
        <v>400</v>
      </c>
      <c r="E199" s="211" t="s">
        <v>3</v>
      </c>
      <c r="F199" s="209">
        <f t="shared" si="11"/>
        <v>2800</v>
      </c>
      <c r="G199" s="211" t="s">
        <v>3</v>
      </c>
      <c r="H199" s="208">
        <v>4</v>
      </c>
      <c r="I199" s="210" t="s">
        <v>529</v>
      </c>
      <c r="J199" s="103">
        <v>75</v>
      </c>
      <c r="K199" s="66">
        <v>400</v>
      </c>
      <c r="L199" s="66">
        <v>2800</v>
      </c>
      <c r="M199" s="164">
        <v>38.63602808791974</v>
      </c>
      <c r="N199" s="78">
        <v>11555.396580000002</v>
      </c>
      <c r="O199" s="113">
        <v>106420.58767977176</v>
      </c>
      <c r="P199" s="113">
        <v>125654.02898179677</v>
      </c>
      <c r="Q199" s="110">
        <v>44426.211885470118</v>
      </c>
      <c r="R199" s="113">
        <v>150846.79956524188</v>
      </c>
      <c r="S199" s="113">
        <v>170080.2408672669</v>
      </c>
      <c r="U199" s="7" t="s">
        <v>6141</v>
      </c>
    </row>
    <row r="200" spans="1:21" ht="16.5" thickBot="1">
      <c r="A200" s="207" t="s">
        <v>10</v>
      </c>
      <c r="B200" s="211">
        <f t="shared" si="9"/>
        <v>75</v>
      </c>
      <c r="C200" s="211" t="s">
        <v>3</v>
      </c>
      <c r="D200" s="211">
        <f t="shared" si="10"/>
        <v>400</v>
      </c>
      <c r="E200" s="211" t="s">
        <v>3</v>
      </c>
      <c r="F200" s="209">
        <f t="shared" si="11"/>
        <v>2850</v>
      </c>
      <c r="G200" s="211" t="s">
        <v>3</v>
      </c>
      <c r="H200" s="208">
        <v>4</v>
      </c>
      <c r="I200" s="210" t="s">
        <v>529</v>
      </c>
      <c r="J200" s="103">
        <v>75</v>
      </c>
      <c r="K200" s="66">
        <v>400</v>
      </c>
      <c r="L200" s="66">
        <v>2850</v>
      </c>
      <c r="M200" s="164">
        <v>39.247533282691577</v>
      </c>
      <c r="N200" s="78">
        <v>11791.221000000001</v>
      </c>
      <c r="O200" s="113">
        <v>107404.95704056186</v>
      </c>
      <c r="P200" s="113">
        <v>126259.85190500107</v>
      </c>
      <c r="Q200" s="110">
        <v>45082.818835200087</v>
      </c>
      <c r="R200" s="113">
        <v>152487.77587576193</v>
      </c>
      <c r="S200" s="113">
        <v>171342.67074020114</v>
      </c>
      <c r="U200" s="7" t="s">
        <v>6142</v>
      </c>
    </row>
    <row r="201" spans="1:21" ht="16.5" thickBot="1">
      <c r="A201" s="207" t="s">
        <v>10</v>
      </c>
      <c r="B201" s="211">
        <f t="shared" si="9"/>
        <v>75</v>
      </c>
      <c r="C201" s="211" t="s">
        <v>3</v>
      </c>
      <c r="D201" s="211">
        <f t="shared" si="10"/>
        <v>400</v>
      </c>
      <c r="E201" s="211" t="s">
        <v>3</v>
      </c>
      <c r="F201" s="209">
        <f t="shared" si="11"/>
        <v>2900</v>
      </c>
      <c r="G201" s="211" t="s">
        <v>3</v>
      </c>
      <c r="H201" s="208">
        <v>4</v>
      </c>
      <c r="I201" s="210" t="s">
        <v>529</v>
      </c>
      <c r="J201" s="103">
        <v>75</v>
      </c>
      <c r="K201" s="66">
        <v>400</v>
      </c>
      <c r="L201" s="66">
        <v>2900</v>
      </c>
      <c r="M201" s="164">
        <v>40.052078477463425</v>
      </c>
      <c r="N201" s="78">
        <v>12027.04542</v>
      </c>
      <c r="O201" s="113">
        <v>108389.27398134848</v>
      </c>
      <c r="P201" s="113">
        <v>126867.58367076433</v>
      </c>
      <c r="Q201" s="110">
        <v>45990.760075742597</v>
      </c>
      <c r="R201" s="113">
        <v>154380.03405709108</v>
      </c>
      <c r="S201" s="113">
        <v>172858.34374650693</v>
      </c>
      <c r="U201" s="7" t="s">
        <v>6143</v>
      </c>
    </row>
    <row r="202" spans="1:21" ht="16.5" thickBot="1">
      <c r="A202" s="207" t="s">
        <v>10</v>
      </c>
      <c r="B202" s="211">
        <f t="shared" si="9"/>
        <v>75</v>
      </c>
      <c r="C202" s="211" t="s">
        <v>3</v>
      </c>
      <c r="D202" s="211">
        <f t="shared" si="10"/>
        <v>400</v>
      </c>
      <c r="E202" s="211" t="s">
        <v>3</v>
      </c>
      <c r="F202" s="209">
        <f t="shared" si="11"/>
        <v>2950</v>
      </c>
      <c r="G202" s="211" t="s">
        <v>3</v>
      </c>
      <c r="H202" s="208">
        <v>4</v>
      </c>
      <c r="I202" s="210" t="s">
        <v>529</v>
      </c>
      <c r="J202" s="103">
        <v>75</v>
      </c>
      <c r="K202" s="66">
        <v>400</v>
      </c>
      <c r="L202" s="66">
        <v>2950</v>
      </c>
      <c r="M202" s="164">
        <v>40.663583672235262</v>
      </c>
      <c r="N202" s="78">
        <v>12262.869840000003</v>
      </c>
      <c r="O202" s="113">
        <v>109373.5385021316</v>
      </c>
      <c r="P202" s="113">
        <v>133852.09777793963</v>
      </c>
      <c r="Q202" s="110">
        <v>46647.367025472573</v>
      </c>
      <c r="R202" s="113">
        <v>156020.90552760416</v>
      </c>
      <c r="S202" s="113">
        <v>180499.46480341221</v>
      </c>
      <c r="U202" s="7" t="s">
        <v>6144</v>
      </c>
    </row>
    <row r="203" spans="1:21" ht="16.5" thickBot="1">
      <c r="A203" s="207" t="s">
        <v>10</v>
      </c>
      <c r="B203" s="211">
        <f t="shared" si="9"/>
        <v>75</v>
      </c>
      <c r="C203" s="211" t="s">
        <v>3</v>
      </c>
      <c r="D203" s="211">
        <f t="shared" si="10"/>
        <v>400</v>
      </c>
      <c r="E203" s="211" t="s">
        <v>3</v>
      </c>
      <c r="F203" s="209">
        <f t="shared" si="11"/>
        <v>3000</v>
      </c>
      <c r="G203" s="211" t="s">
        <v>3</v>
      </c>
      <c r="H203" s="208">
        <v>4</v>
      </c>
      <c r="I203" s="210" t="s">
        <v>529</v>
      </c>
      <c r="J203" s="125">
        <v>75</v>
      </c>
      <c r="K203" s="126">
        <v>400</v>
      </c>
      <c r="L203" s="126">
        <v>3000</v>
      </c>
      <c r="M203" s="171">
        <v>41.292128867007101</v>
      </c>
      <c r="N203" s="127">
        <v>12498.694260000002</v>
      </c>
      <c r="O203" s="128">
        <v>112229.10271358417</v>
      </c>
      <c r="P203" s="128">
        <v>134659.93126537628</v>
      </c>
      <c r="Q203" s="136">
        <v>47555.308266015076</v>
      </c>
      <c r="R203" s="128">
        <v>159784.41097959926</v>
      </c>
      <c r="S203" s="128">
        <v>182215.23953139136</v>
      </c>
      <c r="U203" s="7" t="s">
        <v>6145</v>
      </c>
    </row>
    <row r="204" spans="1:21">
      <c r="Q204" s="108"/>
    </row>
    <row r="205" spans="1:21">
      <c r="Q205" s="108"/>
    </row>
    <row r="206" spans="1:21">
      <c r="Q206" s="108"/>
    </row>
    <row r="207" spans="1:21">
      <c r="Q207" s="108"/>
    </row>
    <row r="208" spans="1:21">
      <c r="Q208" s="108"/>
    </row>
    <row r="209" spans="17:17">
      <c r="Q209" s="108"/>
    </row>
    <row r="210" spans="17:17">
      <c r="Q210" s="108"/>
    </row>
    <row r="211" spans="17:17">
      <c r="Q211" s="108"/>
    </row>
    <row r="212" spans="17:17">
      <c r="Q212" s="108"/>
    </row>
    <row r="213" spans="17:17">
      <c r="Q213" s="108"/>
    </row>
    <row r="214" spans="17:17">
      <c r="Q214" s="108"/>
    </row>
    <row r="215" spans="17:17">
      <c r="Q215" s="108"/>
    </row>
    <row r="216" spans="17:17">
      <c r="Q216" s="108"/>
    </row>
    <row r="217" spans="17:17">
      <c r="Q217" s="108"/>
    </row>
    <row r="218" spans="17:17">
      <c r="Q218" s="108"/>
    </row>
    <row r="219" spans="17:17">
      <c r="Q219" s="108"/>
    </row>
    <row r="220" spans="17:17">
      <c r="Q220" s="108"/>
    </row>
    <row r="221" spans="17:17">
      <c r="Q221" s="108"/>
    </row>
    <row r="222" spans="17:17">
      <c r="Q222" s="108"/>
    </row>
    <row r="223" spans="17:17">
      <c r="Q223" s="108"/>
    </row>
    <row r="224" spans="17:17">
      <c r="Q224" s="108"/>
    </row>
    <row r="225" spans="17:17">
      <c r="Q225" s="108"/>
    </row>
    <row r="226" spans="17:17">
      <c r="Q226" s="108"/>
    </row>
    <row r="227" spans="17:17">
      <c r="Q227" s="108"/>
    </row>
    <row r="228" spans="17:17">
      <c r="Q228" s="108"/>
    </row>
    <row r="229" spans="17:17">
      <c r="Q229" s="108"/>
    </row>
    <row r="230" spans="17:17">
      <c r="Q230" s="108"/>
    </row>
    <row r="231" spans="17:17">
      <c r="Q231" s="108"/>
    </row>
    <row r="232" spans="17:17">
      <c r="Q232" s="108"/>
    </row>
    <row r="233" spans="17:17">
      <c r="Q233" s="108"/>
    </row>
    <row r="234" spans="17:17">
      <c r="Q234" s="108"/>
    </row>
    <row r="235" spans="17:17">
      <c r="Q235" s="108"/>
    </row>
    <row r="236" spans="17:17">
      <c r="Q236" s="108"/>
    </row>
    <row r="237" spans="17:17">
      <c r="Q237" s="108"/>
    </row>
    <row r="238" spans="17:17">
      <c r="Q238" s="108"/>
    </row>
    <row r="239" spans="17:17">
      <c r="Q239" s="108"/>
    </row>
    <row r="240" spans="17:17">
      <c r="Q240" s="108"/>
    </row>
    <row r="241" spans="17:17">
      <c r="Q241" s="108"/>
    </row>
    <row r="242" spans="17:17">
      <c r="Q242" s="108"/>
    </row>
    <row r="243" spans="17:17">
      <c r="Q243" s="108"/>
    </row>
    <row r="244" spans="17:17">
      <c r="Q244" s="108"/>
    </row>
    <row r="245" spans="17:17">
      <c r="Q245" s="108"/>
    </row>
    <row r="246" spans="17:17">
      <c r="Q246" s="108"/>
    </row>
    <row r="247" spans="17:17">
      <c r="Q247" s="108"/>
    </row>
    <row r="248" spans="17:17">
      <c r="Q248" s="108"/>
    </row>
    <row r="249" spans="17:17">
      <c r="Q249" s="108"/>
    </row>
    <row r="250" spans="17:17">
      <c r="Q250" s="108"/>
    </row>
    <row r="251" spans="17:17">
      <c r="Q251" s="108"/>
    </row>
    <row r="252" spans="17:17">
      <c r="Q252" s="108"/>
    </row>
    <row r="253" spans="17:17">
      <c r="Q253" s="108"/>
    </row>
    <row r="254" spans="17:17">
      <c r="Q254" s="108"/>
    </row>
    <row r="255" spans="17:17">
      <c r="Q255" s="108"/>
    </row>
    <row r="256" spans="17:17">
      <c r="Q256" s="108"/>
    </row>
    <row r="257" spans="17:17">
      <c r="Q257" s="108"/>
    </row>
    <row r="258" spans="17:17">
      <c r="Q258" s="108"/>
    </row>
    <row r="259" spans="17:17">
      <c r="Q259" s="108"/>
    </row>
    <row r="260" spans="17:17">
      <c r="Q260" s="108"/>
    </row>
    <row r="261" spans="17:17">
      <c r="Q261" s="108"/>
    </row>
    <row r="262" spans="17:17">
      <c r="Q262" s="108"/>
    </row>
    <row r="263" spans="17:17">
      <c r="Q263" s="108"/>
    </row>
    <row r="264" spans="17:17">
      <c r="Q264" s="108"/>
    </row>
    <row r="265" spans="17:17">
      <c r="Q265" s="108"/>
    </row>
    <row r="266" spans="17:17">
      <c r="Q266" s="108"/>
    </row>
    <row r="267" spans="17:17">
      <c r="Q267" s="108"/>
    </row>
    <row r="268" spans="17:17">
      <c r="Q268" s="108"/>
    </row>
    <row r="269" spans="17:17">
      <c r="Q269" s="108"/>
    </row>
    <row r="270" spans="17:17">
      <c r="Q270" s="108"/>
    </row>
    <row r="271" spans="17:17">
      <c r="Q271" s="108"/>
    </row>
    <row r="272" spans="17:17">
      <c r="Q272" s="108"/>
    </row>
    <row r="273" spans="17:17">
      <c r="Q273" s="108"/>
    </row>
    <row r="274" spans="17:17">
      <c r="Q274" s="108"/>
    </row>
    <row r="275" spans="17:17">
      <c r="Q275" s="108"/>
    </row>
    <row r="276" spans="17:17">
      <c r="Q276" s="108"/>
    </row>
    <row r="277" spans="17:17">
      <c r="Q277" s="108"/>
    </row>
    <row r="278" spans="17:17">
      <c r="Q278" s="108"/>
    </row>
    <row r="279" spans="17:17">
      <c r="Q279" s="108"/>
    </row>
    <row r="280" spans="17:17">
      <c r="Q280" s="108"/>
    </row>
    <row r="281" spans="17:17">
      <c r="Q281" s="108"/>
    </row>
    <row r="282" spans="17:17">
      <c r="Q282" s="108"/>
    </row>
    <row r="283" spans="17:17">
      <c r="Q283" s="108"/>
    </row>
    <row r="284" spans="17:17">
      <c r="Q284" s="108"/>
    </row>
    <row r="285" spans="17:17">
      <c r="Q285" s="108"/>
    </row>
    <row r="286" spans="17:17">
      <c r="Q286" s="108"/>
    </row>
    <row r="287" spans="17:17">
      <c r="Q287" s="108"/>
    </row>
    <row r="288" spans="17:17">
      <c r="Q288" s="108"/>
    </row>
    <row r="289" spans="17:17">
      <c r="Q289" s="108"/>
    </row>
    <row r="290" spans="17:17">
      <c r="Q290" s="108"/>
    </row>
    <row r="291" spans="17:17">
      <c r="Q291" s="108"/>
    </row>
    <row r="292" spans="17:17">
      <c r="Q292" s="108"/>
    </row>
    <row r="293" spans="17:17">
      <c r="Q293" s="108"/>
    </row>
    <row r="294" spans="17:17">
      <c r="Q294" s="108"/>
    </row>
    <row r="295" spans="17:17">
      <c r="Q295" s="108"/>
    </row>
    <row r="296" spans="17:17">
      <c r="Q296" s="108"/>
    </row>
    <row r="297" spans="17:17">
      <c r="Q297" s="108"/>
    </row>
    <row r="298" spans="17:17">
      <c r="Q298" s="108"/>
    </row>
    <row r="299" spans="17:17">
      <c r="Q299" s="108"/>
    </row>
    <row r="300" spans="17:17">
      <c r="Q300" s="108"/>
    </row>
    <row r="301" spans="17:17">
      <c r="Q301" s="108"/>
    </row>
    <row r="302" spans="17:17">
      <c r="Q302" s="108"/>
    </row>
    <row r="303" spans="17:17">
      <c r="Q303" s="108"/>
    </row>
  </sheetData>
  <mergeCells count="18">
    <mergeCell ref="A7:S7"/>
    <mergeCell ref="A8:S8"/>
    <mergeCell ref="A9:S9"/>
    <mergeCell ref="Q4:Q5"/>
    <mergeCell ref="R4:R5"/>
    <mergeCell ref="S4:S5"/>
    <mergeCell ref="O6:S6"/>
    <mergeCell ref="A4:I6"/>
    <mergeCell ref="J4:M5"/>
    <mergeCell ref="N4:N6"/>
    <mergeCell ref="O4:O5"/>
    <mergeCell ref="P4:P5"/>
    <mergeCell ref="A155:S155"/>
    <mergeCell ref="A156:S156"/>
    <mergeCell ref="A106:S106"/>
    <mergeCell ref="A107:S107"/>
    <mergeCell ref="A57:S57"/>
    <mergeCell ref="A58:S58"/>
  </mergeCells>
  <hyperlinks>
    <hyperlink ref="A1:I1" location="Главная!A1" display="Вернуться на главную страницу" xr:uid="{00000000-0004-0000-0900-000000000000}"/>
    <hyperlink ref="A2" location="'Калькулятор теплоотдач ВКВ'!R1C1" display="Вернуться Калькулятор теплоотдач ВКВ" xr:uid="{00000000-0004-0000-09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3">
    <tabColor rgb="FF3366FF"/>
  </sheetPr>
  <dimension ref="A1:U203"/>
  <sheetViews>
    <sheetView zoomScale="70" zoomScaleNormal="70" workbookViewId="0">
      <pane ySplit="6" topLeftCell="A7" activePane="bottomLeft" state="frozen"/>
      <selection pane="bottomLeft" activeCell="U9" sqref="U9"/>
    </sheetView>
  </sheetViews>
  <sheetFormatPr defaultRowHeight="15"/>
  <cols>
    <col min="1" max="1" width="5.5703125" style="65" customWidth="1"/>
    <col min="2" max="2" width="6" style="65" customWidth="1"/>
    <col min="3" max="3" width="3" style="65" customWidth="1"/>
    <col min="4" max="4" width="6" style="65" customWidth="1"/>
    <col min="5" max="5" width="3" style="65" customWidth="1"/>
    <col min="6" max="6" width="7.7109375" style="65" customWidth="1"/>
    <col min="7" max="7" width="3" style="65" customWidth="1"/>
    <col min="8" max="8" width="6" style="65" customWidth="1"/>
    <col min="9" max="9" width="8.140625" style="65" customWidth="1"/>
    <col min="10" max="12" width="11.28515625" style="65" customWidth="1"/>
    <col min="13" max="13" width="15.5703125" style="65" customWidth="1"/>
    <col min="14" max="14" width="19.140625" style="65" customWidth="1"/>
    <col min="15" max="16" width="27.7109375" style="65" customWidth="1"/>
    <col min="17" max="17" width="26.28515625" style="65" customWidth="1"/>
    <col min="18" max="19" width="27.7109375" style="65" customWidth="1"/>
    <col min="20" max="20" width="9.140625" style="65"/>
    <col min="21" max="21" width="26.85546875" style="65" customWidth="1"/>
    <col min="22" max="16384" width="9.140625" style="65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ht="15.75" customHeight="1"/>
    <row r="3" spans="1:21" ht="13.5" customHeight="1" thickBot="1">
      <c r="A3" s="16"/>
      <c r="B3" s="16"/>
      <c r="C3" s="16"/>
      <c r="D3" s="16"/>
      <c r="E3" s="16"/>
      <c r="F3" s="100"/>
      <c r="G3" s="16"/>
      <c r="H3" s="16"/>
      <c r="I3" s="1132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ht="69" customHeight="1">
      <c r="A4" s="2989" t="s">
        <v>8</v>
      </c>
      <c r="B4" s="2990"/>
      <c r="C4" s="2990"/>
      <c r="D4" s="2990"/>
      <c r="E4" s="2990"/>
      <c r="F4" s="2990"/>
      <c r="G4" s="2990"/>
      <c r="H4" s="2990"/>
      <c r="I4" s="2991"/>
      <c r="J4" s="2998" t="s">
        <v>78</v>
      </c>
      <c r="K4" s="2999"/>
      <c r="L4" s="2999"/>
      <c r="M4" s="3000"/>
      <c r="N4" s="3004" t="s">
        <v>77</v>
      </c>
      <c r="O4" s="2977" t="s">
        <v>145</v>
      </c>
      <c r="P4" s="3013" t="s">
        <v>146</v>
      </c>
      <c r="Q4" s="2977" t="s">
        <v>64</v>
      </c>
      <c r="R4" s="2979" t="s">
        <v>5752</v>
      </c>
      <c r="S4" s="2981" t="s">
        <v>5753</v>
      </c>
    </row>
    <row r="5" spans="1:21" ht="72" customHeight="1" thickBot="1">
      <c r="A5" s="2992"/>
      <c r="B5" s="2993"/>
      <c r="C5" s="2993"/>
      <c r="D5" s="2993"/>
      <c r="E5" s="2993"/>
      <c r="F5" s="2993"/>
      <c r="G5" s="2993"/>
      <c r="H5" s="2993"/>
      <c r="I5" s="2994"/>
      <c r="J5" s="3001"/>
      <c r="K5" s="3002"/>
      <c r="L5" s="3002"/>
      <c r="M5" s="3003"/>
      <c r="N5" s="3005"/>
      <c r="O5" s="3007"/>
      <c r="P5" s="3014"/>
      <c r="Q5" s="2978"/>
      <c r="R5" s="2980"/>
      <c r="S5" s="2982"/>
    </row>
    <row r="6" spans="1:21" ht="61.5" customHeight="1" thickBot="1">
      <c r="A6" s="2995"/>
      <c r="B6" s="2996"/>
      <c r="C6" s="2996"/>
      <c r="D6" s="2996"/>
      <c r="E6" s="2996"/>
      <c r="F6" s="2996"/>
      <c r="G6" s="2996"/>
      <c r="H6" s="2996"/>
      <c r="I6" s="2997"/>
      <c r="J6" s="235" t="s">
        <v>0</v>
      </c>
      <c r="K6" s="240" t="s">
        <v>1</v>
      </c>
      <c r="L6" s="240" t="s">
        <v>2</v>
      </c>
      <c r="M6" s="206" t="s">
        <v>75</v>
      </c>
      <c r="N6" s="3006"/>
      <c r="O6" s="2983" t="s">
        <v>141</v>
      </c>
      <c r="P6" s="2984"/>
      <c r="Q6" s="2984"/>
      <c r="R6" s="2984"/>
      <c r="S6" s="2985"/>
    </row>
    <row r="7" spans="1:21" ht="30" customHeight="1" thickBot="1">
      <c r="A7" s="2986" t="s">
        <v>131</v>
      </c>
      <c r="B7" s="2987"/>
      <c r="C7" s="2987"/>
      <c r="D7" s="2987"/>
      <c r="E7" s="2987"/>
      <c r="F7" s="2987"/>
      <c r="G7" s="2987"/>
      <c r="H7" s="2987"/>
      <c r="I7" s="2987"/>
      <c r="J7" s="2987"/>
      <c r="K7" s="2987"/>
      <c r="L7" s="2987"/>
      <c r="M7" s="2987"/>
      <c r="N7" s="2987"/>
      <c r="O7" s="2987"/>
      <c r="P7" s="2987"/>
      <c r="Q7" s="2987"/>
      <c r="R7" s="2987"/>
      <c r="S7" s="2988"/>
    </row>
    <row r="8" spans="1:21" ht="22.5" customHeight="1" thickBot="1">
      <c r="A8" s="2968" t="s">
        <v>468</v>
      </c>
      <c r="B8" s="2969"/>
      <c r="C8" s="2969"/>
      <c r="D8" s="2969"/>
      <c r="E8" s="2969"/>
      <c r="F8" s="2969"/>
      <c r="G8" s="2969"/>
      <c r="H8" s="2969"/>
      <c r="I8" s="2969"/>
      <c r="J8" s="2969"/>
      <c r="K8" s="2969"/>
      <c r="L8" s="2969"/>
      <c r="M8" s="2969"/>
      <c r="N8" s="2969"/>
      <c r="O8" s="2969"/>
      <c r="P8" s="2969"/>
      <c r="Q8" s="2969"/>
      <c r="R8" s="2969"/>
      <c r="S8" s="2970"/>
    </row>
    <row r="9" spans="1:21" ht="16.5" customHeight="1" thickBot="1">
      <c r="A9" s="2974" t="s">
        <v>112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5"/>
      <c r="R9" s="2975"/>
      <c r="S9" s="2976"/>
    </row>
    <row r="10" spans="1:21" ht="16.5" customHeight="1" thickBot="1">
      <c r="A10" s="207" t="s">
        <v>10</v>
      </c>
      <c r="B10" s="211">
        <f t="shared" ref="B10:B56" si="0">J10</f>
        <v>80</v>
      </c>
      <c r="C10" s="211" t="s">
        <v>3</v>
      </c>
      <c r="D10" s="211">
        <f t="shared" ref="D10:D56" si="1">K10</f>
        <v>260</v>
      </c>
      <c r="E10" s="211" t="s">
        <v>3</v>
      </c>
      <c r="F10" s="209">
        <f t="shared" ref="F10:F56" si="2">L10</f>
        <v>700</v>
      </c>
      <c r="G10" s="211" t="s">
        <v>3</v>
      </c>
      <c r="H10" s="208">
        <v>2</v>
      </c>
      <c r="I10" s="210" t="s">
        <v>529</v>
      </c>
      <c r="J10" s="103">
        <v>80</v>
      </c>
      <c r="K10" s="66">
        <v>260</v>
      </c>
      <c r="L10" s="66">
        <v>700</v>
      </c>
      <c r="M10" s="164">
        <v>7.1025632981011846</v>
      </c>
      <c r="N10" s="78">
        <v>1048.542768</v>
      </c>
      <c r="O10" s="113">
        <v>27970.364190606248</v>
      </c>
      <c r="P10" s="113">
        <v>29748.749229971665</v>
      </c>
      <c r="Q10" s="110">
        <v>9406.5237862097401</v>
      </c>
      <c r="R10" s="113">
        <v>37376.88797681599</v>
      </c>
      <c r="S10" s="113">
        <v>39155.273016181403</v>
      </c>
      <c r="U10" s="7" t="s">
        <v>6146</v>
      </c>
    </row>
    <row r="11" spans="1:21" ht="16.5" customHeight="1" thickBot="1">
      <c r="A11" s="207" t="s">
        <v>10</v>
      </c>
      <c r="B11" s="211">
        <f t="shared" si="0"/>
        <v>80</v>
      </c>
      <c r="C11" s="211" t="s">
        <v>3</v>
      </c>
      <c r="D11" s="211">
        <f t="shared" si="1"/>
        <v>260</v>
      </c>
      <c r="E11" s="211" t="s">
        <v>3</v>
      </c>
      <c r="F11" s="209">
        <f t="shared" si="2"/>
        <v>750</v>
      </c>
      <c r="G11" s="211" t="s">
        <v>3</v>
      </c>
      <c r="H11" s="208">
        <v>2</v>
      </c>
      <c r="I11" s="210" t="s">
        <v>529</v>
      </c>
      <c r="J11" s="103">
        <v>80</v>
      </c>
      <c r="K11" s="66">
        <v>260</v>
      </c>
      <c r="L11" s="66">
        <v>750</v>
      </c>
      <c r="M11" s="164">
        <v>7.644239169237105</v>
      </c>
      <c r="N11" s="78">
        <v>1198.3345920000002</v>
      </c>
      <c r="O11" s="113">
        <v>29635.136351680248</v>
      </c>
      <c r="P11" s="113">
        <v>31490.104804884118</v>
      </c>
      <c r="Q11" s="110">
        <v>9876.9793536897032</v>
      </c>
      <c r="R11" s="113">
        <v>39512.11570536995</v>
      </c>
      <c r="S11" s="113">
        <v>41367.084158573824</v>
      </c>
      <c r="U11" s="7" t="s">
        <v>6147</v>
      </c>
    </row>
    <row r="12" spans="1:21" ht="16.5" customHeight="1" thickBot="1">
      <c r="A12" s="207" t="s">
        <v>10</v>
      </c>
      <c r="B12" s="211">
        <f t="shared" si="0"/>
        <v>80</v>
      </c>
      <c r="C12" s="211" t="s">
        <v>3</v>
      </c>
      <c r="D12" s="211">
        <f t="shared" si="1"/>
        <v>260</v>
      </c>
      <c r="E12" s="211" t="s">
        <v>3</v>
      </c>
      <c r="F12" s="209">
        <f t="shared" si="2"/>
        <v>800</v>
      </c>
      <c r="G12" s="211" t="s">
        <v>3</v>
      </c>
      <c r="H12" s="208">
        <v>2</v>
      </c>
      <c r="I12" s="210" t="s">
        <v>529</v>
      </c>
      <c r="J12" s="103">
        <v>80</v>
      </c>
      <c r="K12" s="66">
        <v>260</v>
      </c>
      <c r="L12" s="66">
        <v>800</v>
      </c>
      <c r="M12" s="164">
        <v>8.0669150403730256</v>
      </c>
      <c r="N12" s="78">
        <v>1348.1264160000001</v>
      </c>
      <c r="O12" s="113">
        <v>31299.908382679809</v>
      </c>
      <c r="P12" s="113">
        <v>33231.460509871024</v>
      </c>
      <c r="Q12" s="110">
        <v>10347.434921169664</v>
      </c>
      <c r="R12" s="113">
        <v>41647.34330384947</v>
      </c>
      <c r="S12" s="113">
        <v>43578.895431040684</v>
      </c>
      <c r="U12" s="7" t="s">
        <v>6148</v>
      </c>
    </row>
    <row r="13" spans="1:21" ht="16.5" customHeight="1" thickBot="1">
      <c r="A13" s="207" t="s">
        <v>10</v>
      </c>
      <c r="B13" s="211">
        <f t="shared" si="0"/>
        <v>80</v>
      </c>
      <c r="C13" s="211" t="s">
        <v>3</v>
      </c>
      <c r="D13" s="211">
        <f t="shared" si="1"/>
        <v>260</v>
      </c>
      <c r="E13" s="211" t="s">
        <v>3</v>
      </c>
      <c r="F13" s="209">
        <f t="shared" si="2"/>
        <v>850</v>
      </c>
      <c r="G13" s="211" t="s">
        <v>3</v>
      </c>
      <c r="H13" s="208">
        <v>2</v>
      </c>
      <c r="I13" s="210" t="s">
        <v>529</v>
      </c>
      <c r="J13" s="103">
        <v>80</v>
      </c>
      <c r="K13" s="66">
        <v>260</v>
      </c>
      <c r="L13" s="66">
        <v>850</v>
      </c>
      <c r="M13" s="164">
        <v>8.4895909115089481</v>
      </c>
      <c r="N13" s="78">
        <v>1497.91824</v>
      </c>
      <c r="O13" s="113">
        <v>32964.680413679358</v>
      </c>
      <c r="P13" s="113">
        <v>34972.816084783473</v>
      </c>
      <c r="Q13" s="110">
        <v>11069.224626433395</v>
      </c>
      <c r="R13" s="113">
        <v>44033.905040112753</v>
      </c>
      <c r="S13" s="113">
        <v>46042.040711216869</v>
      </c>
      <c r="U13" s="7" t="s">
        <v>6149</v>
      </c>
    </row>
    <row r="14" spans="1:21" ht="16.5" customHeight="1" thickBot="1">
      <c r="A14" s="207" t="s">
        <v>10</v>
      </c>
      <c r="B14" s="211">
        <f t="shared" si="0"/>
        <v>80</v>
      </c>
      <c r="C14" s="211" t="s">
        <v>3</v>
      </c>
      <c r="D14" s="211">
        <f t="shared" si="1"/>
        <v>260</v>
      </c>
      <c r="E14" s="211" t="s">
        <v>3</v>
      </c>
      <c r="F14" s="209">
        <f t="shared" si="2"/>
        <v>900</v>
      </c>
      <c r="G14" s="211" t="s">
        <v>3</v>
      </c>
      <c r="H14" s="208">
        <v>2</v>
      </c>
      <c r="I14" s="210" t="s">
        <v>529</v>
      </c>
      <c r="J14" s="103">
        <v>80</v>
      </c>
      <c r="K14" s="66">
        <v>260</v>
      </c>
      <c r="L14" s="66">
        <v>900</v>
      </c>
      <c r="M14" s="164">
        <v>8.950266782644869</v>
      </c>
      <c r="N14" s="78">
        <v>1647.7100640000003</v>
      </c>
      <c r="O14" s="113">
        <v>34629.452444678915</v>
      </c>
      <c r="P14" s="113">
        <v>36714.171789770378</v>
      </c>
      <c r="Q14" s="110">
        <v>11539.680193913358</v>
      </c>
      <c r="R14" s="113">
        <v>46169.132638592273</v>
      </c>
      <c r="S14" s="113">
        <v>48253.851983683737</v>
      </c>
      <c r="U14" s="7" t="s">
        <v>6150</v>
      </c>
    </row>
    <row r="15" spans="1:21" ht="16.5" customHeight="1" thickBot="1">
      <c r="A15" s="207" t="s">
        <v>10</v>
      </c>
      <c r="B15" s="211">
        <f t="shared" si="0"/>
        <v>80</v>
      </c>
      <c r="C15" s="211" t="s">
        <v>3</v>
      </c>
      <c r="D15" s="211">
        <f t="shared" si="1"/>
        <v>260</v>
      </c>
      <c r="E15" s="211" t="s">
        <v>3</v>
      </c>
      <c r="F15" s="209">
        <f t="shared" si="2"/>
        <v>950</v>
      </c>
      <c r="G15" s="211" t="s">
        <v>3</v>
      </c>
      <c r="H15" s="208">
        <v>2</v>
      </c>
      <c r="I15" s="210" t="s">
        <v>529</v>
      </c>
      <c r="J15" s="103">
        <v>80</v>
      </c>
      <c r="K15" s="66">
        <v>260</v>
      </c>
      <c r="L15" s="66">
        <v>950</v>
      </c>
      <c r="M15" s="164">
        <v>9.4419426537807887</v>
      </c>
      <c r="N15" s="78">
        <v>1797.501888</v>
      </c>
      <c r="O15" s="113">
        <v>36294.224475678471</v>
      </c>
      <c r="P15" s="113">
        <v>38455.527364682835</v>
      </c>
      <c r="Q15" s="110">
        <v>12261.469899177091</v>
      </c>
      <c r="R15" s="113">
        <v>48555.694374855564</v>
      </c>
      <c r="S15" s="113">
        <v>50716.997263859928</v>
      </c>
      <c r="U15" s="7" t="s">
        <v>6151</v>
      </c>
    </row>
    <row r="16" spans="1:21" s="7" customFormat="1" ht="16.5" customHeight="1" thickBot="1">
      <c r="A16" s="207" t="s">
        <v>10</v>
      </c>
      <c r="B16" s="211">
        <f t="shared" si="0"/>
        <v>80</v>
      </c>
      <c r="C16" s="211" t="s">
        <v>3</v>
      </c>
      <c r="D16" s="211">
        <f t="shared" si="1"/>
        <v>260</v>
      </c>
      <c r="E16" s="211" t="s">
        <v>3</v>
      </c>
      <c r="F16" s="209">
        <f t="shared" si="2"/>
        <v>1000</v>
      </c>
      <c r="G16" s="211" t="s">
        <v>3</v>
      </c>
      <c r="H16" s="208">
        <v>2</v>
      </c>
      <c r="I16" s="210" t="s">
        <v>529</v>
      </c>
      <c r="J16" s="103">
        <v>80</v>
      </c>
      <c r="K16" s="66">
        <v>260</v>
      </c>
      <c r="L16" s="66">
        <v>1000</v>
      </c>
      <c r="M16" s="164">
        <v>9.8646185249167111</v>
      </c>
      <c r="N16" s="78">
        <v>1947.2937120000001</v>
      </c>
      <c r="O16" s="113">
        <v>37855.30258567298</v>
      </c>
      <c r="P16" s="113">
        <v>40099.794979626029</v>
      </c>
      <c r="Q16" s="110">
        <v>12731.925466657052</v>
      </c>
      <c r="R16" s="113">
        <v>50587.228052330029</v>
      </c>
      <c r="S16" s="113">
        <v>52831.720446283085</v>
      </c>
      <c r="U16" s="7" t="s">
        <v>6152</v>
      </c>
    </row>
    <row r="17" spans="1:21" s="7" customFormat="1" ht="16.5" customHeight="1" thickBot="1">
      <c r="A17" s="207" t="s">
        <v>10</v>
      </c>
      <c r="B17" s="211">
        <f t="shared" si="0"/>
        <v>80</v>
      </c>
      <c r="C17" s="211" t="s">
        <v>3</v>
      </c>
      <c r="D17" s="211">
        <f t="shared" si="1"/>
        <v>260</v>
      </c>
      <c r="E17" s="211" t="s">
        <v>3</v>
      </c>
      <c r="F17" s="209">
        <f t="shared" si="2"/>
        <v>1050</v>
      </c>
      <c r="G17" s="211" t="s">
        <v>3</v>
      </c>
      <c r="H17" s="208">
        <v>2</v>
      </c>
      <c r="I17" s="210" t="s">
        <v>529</v>
      </c>
      <c r="J17" s="103">
        <v>80</v>
      </c>
      <c r="K17" s="66">
        <v>260</v>
      </c>
      <c r="L17" s="66">
        <v>1050</v>
      </c>
      <c r="M17" s="164">
        <v>10.287294396052632</v>
      </c>
      <c r="N17" s="78">
        <v>2097.085536</v>
      </c>
      <c r="O17" s="113">
        <v>39766.347825393277</v>
      </c>
      <c r="P17" s="113">
        <v>42071.734833429509</v>
      </c>
      <c r="Q17" s="110">
        <v>13453.71501889202</v>
      </c>
      <c r="R17" s="113">
        <v>53220.062844285298</v>
      </c>
      <c r="S17" s="113">
        <v>55525.44985232153</v>
      </c>
      <c r="U17" s="7" t="s">
        <v>6153</v>
      </c>
    </row>
    <row r="18" spans="1:21" s="7" customFormat="1" ht="16.5" customHeight="1" thickBot="1">
      <c r="A18" s="207" t="s">
        <v>10</v>
      </c>
      <c r="B18" s="208">
        <f t="shared" si="0"/>
        <v>80</v>
      </c>
      <c r="C18" s="208" t="s">
        <v>3</v>
      </c>
      <c r="D18" s="208">
        <f t="shared" si="1"/>
        <v>260</v>
      </c>
      <c r="E18" s="208" t="s">
        <v>3</v>
      </c>
      <c r="F18" s="209">
        <f t="shared" si="2"/>
        <v>1100</v>
      </c>
      <c r="G18" s="208" t="s">
        <v>3</v>
      </c>
      <c r="H18" s="208">
        <v>2</v>
      </c>
      <c r="I18" s="210" t="s">
        <v>529</v>
      </c>
      <c r="J18" s="103">
        <v>80</v>
      </c>
      <c r="K18" s="66">
        <v>260</v>
      </c>
      <c r="L18" s="66">
        <v>1100</v>
      </c>
      <c r="M18" s="164">
        <v>10.709970267188554</v>
      </c>
      <c r="N18" s="78">
        <v>2246.87736</v>
      </c>
      <c r="O18" s="113">
        <v>41431.119856392834</v>
      </c>
      <c r="P18" s="113">
        <v>43813.090408341959</v>
      </c>
      <c r="Q18" s="110">
        <v>13924.170586371982</v>
      </c>
      <c r="R18" s="113">
        <v>55355.290442764817</v>
      </c>
      <c r="S18" s="113">
        <v>57737.260994713943</v>
      </c>
      <c r="U18" s="7" t="s">
        <v>6154</v>
      </c>
    </row>
    <row r="19" spans="1:21" s="7" customFormat="1" ht="16.5" customHeight="1" thickBot="1">
      <c r="A19" s="207" t="s">
        <v>10</v>
      </c>
      <c r="B19" s="211">
        <f t="shared" si="0"/>
        <v>80</v>
      </c>
      <c r="C19" s="211" t="s">
        <v>3</v>
      </c>
      <c r="D19" s="211">
        <f t="shared" si="1"/>
        <v>260</v>
      </c>
      <c r="E19" s="211" t="s">
        <v>3</v>
      </c>
      <c r="F19" s="209">
        <f t="shared" si="2"/>
        <v>1150</v>
      </c>
      <c r="G19" s="211" t="s">
        <v>3</v>
      </c>
      <c r="H19" s="208">
        <v>2</v>
      </c>
      <c r="I19" s="210" t="s">
        <v>529</v>
      </c>
      <c r="J19" s="103">
        <v>80</v>
      </c>
      <c r="K19" s="66">
        <v>260</v>
      </c>
      <c r="L19" s="66">
        <v>1150</v>
      </c>
      <c r="M19" s="164">
        <v>11.132646138324475</v>
      </c>
      <c r="N19" s="78">
        <v>2396.6691840000003</v>
      </c>
      <c r="O19" s="113">
        <v>42272.568614109507</v>
      </c>
      <c r="P19" s="113">
        <v>44783.573150886485</v>
      </c>
      <c r="Q19" s="110">
        <v>14394.626153851941</v>
      </c>
      <c r="R19" s="113">
        <v>56667.194767961446</v>
      </c>
      <c r="S19" s="113">
        <v>59178.199304738424</v>
      </c>
      <c r="U19" s="7" t="s">
        <v>6155</v>
      </c>
    </row>
    <row r="20" spans="1:21" s="7" customFormat="1" ht="16.5" customHeight="1" thickBot="1">
      <c r="A20" s="207" t="s">
        <v>10</v>
      </c>
      <c r="B20" s="211">
        <f t="shared" si="0"/>
        <v>80</v>
      </c>
      <c r="C20" s="211" t="s">
        <v>3</v>
      </c>
      <c r="D20" s="211">
        <f t="shared" si="1"/>
        <v>260</v>
      </c>
      <c r="E20" s="211" t="s">
        <v>3</v>
      </c>
      <c r="F20" s="209">
        <f t="shared" si="2"/>
        <v>1200</v>
      </c>
      <c r="G20" s="211" t="s">
        <v>3</v>
      </c>
      <c r="H20" s="208">
        <v>2</v>
      </c>
      <c r="I20" s="210" t="s">
        <v>529</v>
      </c>
      <c r="J20" s="103">
        <v>80</v>
      </c>
      <c r="K20" s="66">
        <v>260</v>
      </c>
      <c r="L20" s="66">
        <v>1200</v>
      </c>
      <c r="M20" s="164">
        <v>11.770572009460395</v>
      </c>
      <c r="N20" s="78">
        <v>2546.4610079999998</v>
      </c>
      <c r="O20" s="113">
        <v>43152.318704254736</v>
      </c>
      <c r="P20" s="113">
        <v>45789.917289319783</v>
      </c>
      <c r="Q20" s="110">
        <v>15116.415859115676</v>
      </c>
      <c r="R20" s="113">
        <v>58268.73456337041</v>
      </c>
      <c r="S20" s="113">
        <v>60906.333148435457</v>
      </c>
      <c r="U20" s="7" t="s">
        <v>6156</v>
      </c>
    </row>
    <row r="21" spans="1:21" s="7" customFormat="1" ht="16.5" customHeight="1" thickBot="1">
      <c r="A21" s="207" t="s">
        <v>10</v>
      </c>
      <c r="B21" s="211">
        <f t="shared" si="0"/>
        <v>80</v>
      </c>
      <c r="C21" s="211" t="s">
        <v>3</v>
      </c>
      <c r="D21" s="211">
        <f t="shared" si="1"/>
        <v>260</v>
      </c>
      <c r="E21" s="211" t="s">
        <v>3</v>
      </c>
      <c r="F21" s="209">
        <f t="shared" si="2"/>
        <v>1250</v>
      </c>
      <c r="G21" s="211" t="s">
        <v>3</v>
      </c>
      <c r="H21" s="208">
        <v>2</v>
      </c>
      <c r="I21" s="210" t="s">
        <v>529</v>
      </c>
      <c r="J21" s="103">
        <v>80</v>
      </c>
      <c r="K21" s="66">
        <v>260</v>
      </c>
      <c r="L21" s="66">
        <v>1250</v>
      </c>
      <c r="M21" s="164">
        <v>12.193247880596315</v>
      </c>
      <c r="N21" s="78">
        <v>2696.2528320000001</v>
      </c>
      <c r="O21" s="113">
        <v>43993.243131862015</v>
      </c>
      <c r="P21" s="113">
        <v>46759.909130888656</v>
      </c>
      <c r="Q21" s="110">
        <v>15586.871426595639</v>
      </c>
      <c r="R21" s="113">
        <v>59580.114558457652</v>
      </c>
      <c r="S21" s="113">
        <v>62346.780557484293</v>
      </c>
      <c r="U21" s="7" t="s">
        <v>6157</v>
      </c>
    </row>
    <row r="22" spans="1:21" s="7" customFormat="1" ht="16.5" customHeight="1" thickBot="1">
      <c r="A22" s="207" t="s">
        <v>10</v>
      </c>
      <c r="B22" s="211">
        <f t="shared" si="0"/>
        <v>80</v>
      </c>
      <c r="C22" s="211" t="s">
        <v>3</v>
      </c>
      <c r="D22" s="211">
        <f t="shared" si="1"/>
        <v>260</v>
      </c>
      <c r="E22" s="211" t="s">
        <v>3</v>
      </c>
      <c r="F22" s="209">
        <f t="shared" si="2"/>
        <v>1300</v>
      </c>
      <c r="G22" s="211" t="s">
        <v>3</v>
      </c>
      <c r="H22" s="208">
        <v>2</v>
      </c>
      <c r="I22" s="210" t="s">
        <v>529</v>
      </c>
      <c r="J22" s="103">
        <v>80</v>
      </c>
      <c r="K22" s="66">
        <v>260</v>
      </c>
      <c r="L22" s="66">
        <v>1300</v>
      </c>
      <c r="M22" s="164">
        <v>12.677923751732237</v>
      </c>
      <c r="N22" s="78">
        <v>2846.044656</v>
      </c>
      <c r="O22" s="113">
        <v>47507.26567330223</v>
      </c>
      <c r="P22" s="113">
        <v>50232.707306851917</v>
      </c>
      <c r="Q22" s="110">
        <v>16308.66113185937</v>
      </c>
      <c r="R22" s="113">
        <v>63815.926805161602</v>
      </c>
      <c r="S22" s="113">
        <v>66541.368438711288</v>
      </c>
      <c r="U22" s="7" t="s">
        <v>6158</v>
      </c>
    </row>
    <row r="23" spans="1:21" s="7" customFormat="1" ht="16.5" customHeight="1" thickBot="1">
      <c r="A23" s="207" t="s">
        <v>10</v>
      </c>
      <c r="B23" s="211">
        <f t="shared" si="0"/>
        <v>80</v>
      </c>
      <c r="C23" s="211" t="s">
        <v>3</v>
      </c>
      <c r="D23" s="211">
        <f t="shared" si="1"/>
        <v>260</v>
      </c>
      <c r="E23" s="211" t="s">
        <v>3</v>
      </c>
      <c r="F23" s="209">
        <f t="shared" si="2"/>
        <v>1350</v>
      </c>
      <c r="G23" s="211" t="s">
        <v>3</v>
      </c>
      <c r="H23" s="208">
        <v>2</v>
      </c>
      <c r="I23" s="210" t="s">
        <v>529</v>
      </c>
      <c r="J23" s="103">
        <v>80</v>
      </c>
      <c r="K23" s="66">
        <v>260</v>
      </c>
      <c r="L23" s="66">
        <v>1350</v>
      </c>
      <c r="M23" s="164">
        <v>13.100599622868158</v>
      </c>
      <c r="N23" s="78">
        <v>2995.8364799999999</v>
      </c>
      <c r="O23" s="113">
        <v>48620.359181579435</v>
      </c>
      <c r="P23" s="113">
        <v>51457.529565007135</v>
      </c>
      <c r="Q23" s="110">
        <v>16779.116699339331</v>
      </c>
      <c r="R23" s="113">
        <v>65399.475880918762</v>
      </c>
      <c r="S23" s="113">
        <v>68236.646264346462</v>
      </c>
      <c r="U23" s="7" t="s">
        <v>6159</v>
      </c>
    </row>
    <row r="24" spans="1:21" s="7" customFormat="1" ht="16.5" customHeight="1" thickBot="1">
      <c r="A24" s="207" t="s">
        <v>10</v>
      </c>
      <c r="B24" s="211">
        <f t="shared" si="0"/>
        <v>80</v>
      </c>
      <c r="C24" s="211" t="s">
        <v>3</v>
      </c>
      <c r="D24" s="211">
        <f t="shared" si="1"/>
        <v>260</v>
      </c>
      <c r="E24" s="211" t="s">
        <v>3</v>
      </c>
      <c r="F24" s="209">
        <f t="shared" si="2"/>
        <v>1400</v>
      </c>
      <c r="G24" s="211" t="s">
        <v>3</v>
      </c>
      <c r="H24" s="208">
        <v>2</v>
      </c>
      <c r="I24" s="210" t="s">
        <v>529</v>
      </c>
      <c r="J24" s="103">
        <v>80</v>
      </c>
      <c r="K24" s="66">
        <v>260</v>
      </c>
      <c r="L24" s="66">
        <v>1400</v>
      </c>
      <c r="M24" s="164">
        <v>13.523275494004077</v>
      </c>
      <c r="N24" s="78">
        <v>3145.6283040000003</v>
      </c>
      <c r="O24" s="113">
        <v>50089.900648996998</v>
      </c>
      <c r="P24" s="113">
        <v>53016.091905057292</v>
      </c>
      <c r="Q24" s="110">
        <v>17500.906404603062</v>
      </c>
      <c r="R24" s="113">
        <v>67590.80705360006</v>
      </c>
      <c r="S24" s="113">
        <v>70516.998309660354</v>
      </c>
      <c r="U24" s="7" t="s">
        <v>6160</v>
      </c>
    </row>
    <row r="25" spans="1:21" s="7" customFormat="1" ht="16.5" customHeight="1" thickBot="1">
      <c r="A25" s="207" t="s">
        <v>10</v>
      </c>
      <c r="B25" s="211">
        <f t="shared" si="0"/>
        <v>80</v>
      </c>
      <c r="C25" s="211" t="s">
        <v>3</v>
      </c>
      <c r="D25" s="211">
        <f t="shared" si="1"/>
        <v>260</v>
      </c>
      <c r="E25" s="211" t="s">
        <v>3</v>
      </c>
      <c r="F25" s="209">
        <f t="shared" si="2"/>
        <v>1450</v>
      </c>
      <c r="G25" s="211" t="s">
        <v>3</v>
      </c>
      <c r="H25" s="208">
        <v>2</v>
      </c>
      <c r="I25" s="210" t="s">
        <v>529</v>
      </c>
      <c r="J25" s="103">
        <v>80</v>
      </c>
      <c r="K25" s="66">
        <v>260</v>
      </c>
      <c r="L25" s="66">
        <v>1450</v>
      </c>
      <c r="M25" s="164">
        <v>13.945951365139999</v>
      </c>
      <c r="N25" s="78">
        <v>3295.4201280000007</v>
      </c>
      <c r="O25" s="113">
        <v>51202.994157274203</v>
      </c>
      <c r="P25" s="113">
        <v>54240.91416321251</v>
      </c>
      <c r="Q25" s="110">
        <v>17971.361972083025</v>
      </c>
      <c r="R25" s="113">
        <v>69174.356129357227</v>
      </c>
      <c r="S25" s="113">
        <v>72212.276135295542</v>
      </c>
      <c r="U25" s="7" t="s">
        <v>6161</v>
      </c>
    </row>
    <row r="26" spans="1:21" s="7" customFormat="1" ht="16.5" customHeight="1" thickBot="1">
      <c r="A26" s="207" t="s">
        <v>10</v>
      </c>
      <c r="B26" s="211">
        <f t="shared" si="0"/>
        <v>80</v>
      </c>
      <c r="C26" s="211" t="s">
        <v>3</v>
      </c>
      <c r="D26" s="211">
        <f t="shared" si="1"/>
        <v>260</v>
      </c>
      <c r="E26" s="211" t="s">
        <v>3</v>
      </c>
      <c r="F26" s="209">
        <f t="shared" si="2"/>
        <v>1500</v>
      </c>
      <c r="G26" s="211" t="s">
        <v>3</v>
      </c>
      <c r="H26" s="208">
        <v>2</v>
      </c>
      <c r="I26" s="210" t="s">
        <v>529</v>
      </c>
      <c r="J26" s="103">
        <v>80</v>
      </c>
      <c r="K26" s="66">
        <v>260</v>
      </c>
      <c r="L26" s="66">
        <v>1500</v>
      </c>
      <c r="M26" s="164">
        <v>14.93539142507592</v>
      </c>
      <c r="N26" s="78">
        <v>3445.2119519999997</v>
      </c>
      <c r="O26" s="113">
        <v>52816.502546643729</v>
      </c>
      <c r="P26" s="113">
        <v>56051.31976009658</v>
      </c>
      <c r="Q26" s="110">
        <v>18693.151677346756</v>
      </c>
      <c r="R26" s="113">
        <v>71509.654223990481</v>
      </c>
      <c r="S26" s="113">
        <v>74744.471437443339</v>
      </c>
      <c r="U26" s="7" t="s">
        <v>6162</v>
      </c>
    </row>
    <row r="27" spans="1:21" s="7" customFormat="1" ht="16.5" customHeight="1" thickBot="1">
      <c r="A27" s="207" t="s">
        <v>10</v>
      </c>
      <c r="B27" s="211">
        <f t="shared" si="0"/>
        <v>80</v>
      </c>
      <c r="C27" s="211" t="s">
        <v>3</v>
      </c>
      <c r="D27" s="211">
        <f t="shared" si="1"/>
        <v>260</v>
      </c>
      <c r="E27" s="211" t="s">
        <v>3</v>
      </c>
      <c r="F27" s="209">
        <f t="shared" si="2"/>
        <v>1550</v>
      </c>
      <c r="G27" s="211" t="s">
        <v>3</v>
      </c>
      <c r="H27" s="208">
        <v>2</v>
      </c>
      <c r="I27" s="210" t="s">
        <v>529</v>
      </c>
      <c r="J27" s="103">
        <v>80</v>
      </c>
      <c r="K27" s="66">
        <v>260</v>
      </c>
      <c r="L27" s="66">
        <v>1550</v>
      </c>
      <c r="M27" s="164">
        <v>15.42706729621184</v>
      </c>
      <c r="N27" s="78">
        <v>3595.003776</v>
      </c>
      <c r="O27" s="113">
        <v>53929.596054921072</v>
      </c>
      <c r="P27" s="113">
        <v>57276.141888177342</v>
      </c>
      <c r="Q27" s="110">
        <v>19163.607244826719</v>
      </c>
      <c r="R27" s="113">
        <v>73093.203299747795</v>
      </c>
      <c r="S27" s="113">
        <v>76439.749133004065</v>
      </c>
      <c r="U27" s="7" t="s">
        <v>6163</v>
      </c>
    </row>
    <row r="28" spans="1:21" s="7" customFormat="1" ht="16.5" customHeight="1" thickBot="1">
      <c r="A28" s="207" t="s">
        <v>10</v>
      </c>
      <c r="B28" s="208">
        <f t="shared" si="0"/>
        <v>80</v>
      </c>
      <c r="C28" s="208" t="s">
        <v>3</v>
      </c>
      <c r="D28" s="208">
        <f t="shared" si="1"/>
        <v>260</v>
      </c>
      <c r="E28" s="208" t="s">
        <v>3</v>
      </c>
      <c r="F28" s="209">
        <f t="shared" si="2"/>
        <v>1600</v>
      </c>
      <c r="G28" s="208" t="s">
        <v>3</v>
      </c>
      <c r="H28" s="208">
        <v>2</v>
      </c>
      <c r="I28" s="210" t="s">
        <v>529</v>
      </c>
      <c r="J28" s="103">
        <v>80</v>
      </c>
      <c r="K28" s="66">
        <v>260</v>
      </c>
      <c r="L28" s="66">
        <v>1600</v>
      </c>
      <c r="M28" s="164">
        <v>15.849743167347761</v>
      </c>
      <c r="N28" s="78">
        <v>3744.7955999999999</v>
      </c>
      <c r="O28" s="113">
        <v>57163.874630074861</v>
      </c>
      <c r="P28" s="113">
        <v>60487.017598297491</v>
      </c>
      <c r="Q28" s="110">
        <v>19634.062812306682</v>
      </c>
      <c r="R28" s="113">
        <v>76797.937442381546</v>
      </c>
      <c r="S28" s="113">
        <v>80121.080410604176</v>
      </c>
      <c r="U28" s="7" t="s">
        <v>6164</v>
      </c>
    </row>
    <row r="29" spans="1:21" s="7" customFormat="1" ht="16.5" customHeight="1" thickBot="1">
      <c r="A29" s="207" t="s">
        <v>10</v>
      </c>
      <c r="B29" s="211">
        <f t="shared" si="0"/>
        <v>80</v>
      </c>
      <c r="C29" s="211" t="s">
        <v>3</v>
      </c>
      <c r="D29" s="211">
        <f t="shared" si="1"/>
        <v>260</v>
      </c>
      <c r="E29" s="211" t="s">
        <v>3</v>
      </c>
      <c r="F29" s="209">
        <f t="shared" si="2"/>
        <v>1650</v>
      </c>
      <c r="G29" s="211" t="s">
        <v>3</v>
      </c>
      <c r="H29" s="208">
        <v>2</v>
      </c>
      <c r="I29" s="210" t="s">
        <v>529</v>
      </c>
      <c r="J29" s="103">
        <v>80</v>
      </c>
      <c r="K29" s="66">
        <v>260</v>
      </c>
      <c r="L29" s="66">
        <v>1650</v>
      </c>
      <c r="M29" s="164">
        <v>16.310419038483683</v>
      </c>
      <c r="N29" s="78">
        <v>3894.5874240000003</v>
      </c>
      <c r="O29" s="113">
        <v>60673.116805390033</v>
      </c>
      <c r="P29" s="113">
        <v>63955.339912423988</v>
      </c>
      <c r="Q29" s="110">
        <v>20355.852364541646</v>
      </c>
      <c r="R29" s="113">
        <v>81028.969169931675</v>
      </c>
      <c r="S29" s="113">
        <v>84311.192276965638</v>
      </c>
      <c r="U29" s="7" t="s">
        <v>6165</v>
      </c>
    </row>
    <row r="30" spans="1:21" s="7" customFormat="1" ht="16.5" customHeight="1" thickBot="1">
      <c r="A30" s="207" t="s">
        <v>10</v>
      </c>
      <c r="B30" s="211">
        <f t="shared" si="0"/>
        <v>80</v>
      </c>
      <c r="C30" s="211" t="s">
        <v>3</v>
      </c>
      <c r="D30" s="211">
        <f t="shared" si="1"/>
        <v>260</v>
      </c>
      <c r="E30" s="211" t="s">
        <v>3</v>
      </c>
      <c r="F30" s="209">
        <f t="shared" si="2"/>
        <v>1700</v>
      </c>
      <c r="G30" s="211" t="s">
        <v>3</v>
      </c>
      <c r="H30" s="208">
        <v>2</v>
      </c>
      <c r="I30" s="210" t="s">
        <v>529</v>
      </c>
      <c r="J30" s="103">
        <v>80</v>
      </c>
      <c r="K30" s="66">
        <v>260</v>
      </c>
      <c r="L30" s="66">
        <v>1700</v>
      </c>
      <c r="M30" s="164">
        <v>16.733094909619606</v>
      </c>
      <c r="N30" s="78">
        <v>4044.3792480000006</v>
      </c>
      <c r="O30" s="113">
        <v>61562.599586208707</v>
      </c>
      <c r="P30" s="113">
        <v>64970.796676625883</v>
      </c>
      <c r="Q30" s="110">
        <v>20826.307932021609</v>
      </c>
      <c r="R30" s="113">
        <v>82388.90751823032</v>
      </c>
      <c r="S30" s="113">
        <v>85797.104608647496</v>
      </c>
      <c r="U30" s="7" t="s">
        <v>6166</v>
      </c>
    </row>
    <row r="31" spans="1:21" s="7" customFormat="1" ht="16.5" customHeight="1" thickBot="1">
      <c r="A31" s="207" t="s">
        <v>10</v>
      </c>
      <c r="B31" s="211">
        <f t="shared" si="0"/>
        <v>80</v>
      </c>
      <c r="C31" s="211" t="s">
        <v>3</v>
      </c>
      <c r="D31" s="211">
        <f t="shared" si="1"/>
        <v>260</v>
      </c>
      <c r="E31" s="211" t="s">
        <v>3</v>
      </c>
      <c r="F31" s="209">
        <f t="shared" si="2"/>
        <v>1750</v>
      </c>
      <c r="G31" s="211" t="s">
        <v>3</v>
      </c>
      <c r="H31" s="208">
        <v>2</v>
      </c>
      <c r="I31" s="210" t="s">
        <v>529</v>
      </c>
      <c r="J31" s="103">
        <v>80</v>
      </c>
      <c r="K31" s="66">
        <v>260</v>
      </c>
      <c r="L31" s="66">
        <v>1750</v>
      </c>
      <c r="M31" s="164">
        <v>17.155770780755525</v>
      </c>
      <c r="N31" s="78">
        <v>4194.1710720000001</v>
      </c>
      <c r="O31" s="113">
        <v>62369.074706160303</v>
      </c>
      <c r="P31" s="113">
        <v>65908.533956739935</v>
      </c>
      <c r="Q31" s="110">
        <v>21548.09763728534</v>
      </c>
      <c r="R31" s="113">
        <v>83917.172343445651</v>
      </c>
      <c r="S31" s="113">
        <v>87456.631594025268</v>
      </c>
      <c r="U31" s="7" t="s">
        <v>6167</v>
      </c>
    </row>
    <row r="32" spans="1:21" s="7" customFormat="1" ht="16.5" customHeight="1" thickBot="1">
      <c r="A32" s="207" t="s">
        <v>10</v>
      </c>
      <c r="B32" s="211">
        <f t="shared" si="0"/>
        <v>80</v>
      </c>
      <c r="C32" s="211" t="s">
        <v>3</v>
      </c>
      <c r="D32" s="211">
        <f t="shared" si="1"/>
        <v>260</v>
      </c>
      <c r="E32" s="211" t="s">
        <v>3</v>
      </c>
      <c r="F32" s="209">
        <f t="shared" si="2"/>
        <v>1800</v>
      </c>
      <c r="G32" s="211" t="s">
        <v>3</v>
      </c>
      <c r="H32" s="208">
        <v>2</v>
      </c>
      <c r="I32" s="210" t="s">
        <v>529</v>
      </c>
      <c r="J32" s="103">
        <v>80</v>
      </c>
      <c r="K32" s="66">
        <v>260</v>
      </c>
      <c r="L32" s="66">
        <v>1800</v>
      </c>
      <c r="M32" s="164">
        <v>17.647446651891446</v>
      </c>
      <c r="N32" s="78">
        <v>4343.962896</v>
      </c>
      <c r="O32" s="113">
        <v>63259.316861620158</v>
      </c>
      <c r="P32" s="113">
        <v>66924.70157781303</v>
      </c>
      <c r="Q32" s="110">
        <v>22018.553204765303</v>
      </c>
      <c r="R32" s="113">
        <v>85277.870066385454</v>
      </c>
      <c r="S32" s="113">
        <v>88943.254782578326</v>
      </c>
      <c r="U32" s="7" t="s">
        <v>6168</v>
      </c>
    </row>
    <row r="33" spans="1:21" s="7" customFormat="1" ht="16.5" customHeight="1" thickBot="1">
      <c r="A33" s="207" t="s">
        <v>10</v>
      </c>
      <c r="B33" s="211">
        <f t="shared" si="0"/>
        <v>80</v>
      </c>
      <c r="C33" s="211" t="s">
        <v>3</v>
      </c>
      <c r="D33" s="211">
        <f t="shared" si="1"/>
        <v>260</v>
      </c>
      <c r="E33" s="211" t="s">
        <v>3</v>
      </c>
      <c r="F33" s="209">
        <f t="shared" si="2"/>
        <v>1850</v>
      </c>
      <c r="G33" s="211" t="s">
        <v>3</v>
      </c>
      <c r="H33" s="208">
        <v>2</v>
      </c>
      <c r="I33" s="210" t="s">
        <v>529</v>
      </c>
      <c r="J33" s="103">
        <v>80</v>
      </c>
      <c r="K33" s="66">
        <v>260</v>
      </c>
      <c r="L33" s="66">
        <v>1850</v>
      </c>
      <c r="M33" s="164">
        <v>18.13212252302737</v>
      </c>
      <c r="N33" s="78">
        <v>4493.7547199999999</v>
      </c>
      <c r="O33" s="113">
        <v>64149.506467002073</v>
      </c>
      <c r="P33" s="113">
        <v>67940.820160818344</v>
      </c>
      <c r="Q33" s="110">
        <v>22740.342910029034</v>
      </c>
      <c r="R33" s="113">
        <v>86889.849377031103</v>
      </c>
      <c r="S33" s="113">
        <v>90681.163070847382</v>
      </c>
      <c r="U33" s="7" t="s">
        <v>6169</v>
      </c>
    </row>
    <row r="34" spans="1:21" s="7" customFormat="1" ht="16.5" customHeight="1" thickBot="1">
      <c r="A34" s="207" t="s">
        <v>10</v>
      </c>
      <c r="B34" s="211">
        <f t="shared" si="0"/>
        <v>80</v>
      </c>
      <c r="C34" s="211" t="s">
        <v>3</v>
      </c>
      <c r="D34" s="211">
        <f t="shared" si="1"/>
        <v>260</v>
      </c>
      <c r="E34" s="211" t="s">
        <v>3</v>
      </c>
      <c r="F34" s="209">
        <f t="shared" si="2"/>
        <v>1900</v>
      </c>
      <c r="G34" s="211" t="s">
        <v>3</v>
      </c>
      <c r="H34" s="208">
        <v>2</v>
      </c>
      <c r="I34" s="210" t="s">
        <v>529</v>
      </c>
      <c r="J34" s="103">
        <v>80</v>
      </c>
      <c r="K34" s="66">
        <v>260</v>
      </c>
      <c r="L34" s="66">
        <v>1900</v>
      </c>
      <c r="M34" s="164">
        <v>18.554798394163289</v>
      </c>
      <c r="N34" s="78">
        <v>4643.5465440000007</v>
      </c>
      <c r="O34" s="113">
        <v>65230.505405398377</v>
      </c>
      <c r="P34" s="113">
        <v>69135.592359303351</v>
      </c>
      <c r="Q34" s="110">
        <v>23210.798477508997</v>
      </c>
      <c r="R34" s="113">
        <v>88441.303882907378</v>
      </c>
      <c r="S34" s="113">
        <v>92346.390836812352</v>
      </c>
      <c r="U34" s="7" t="s">
        <v>6170</v>
      </c>
    </row>
    <row r="35" spans="1:21" s="7" customFormat="1" ht="16.5" customHeight="1" thickBot="1">
      <c r="A35" s="207" t="s">
        <v>10</v>
      </c>
      <c r="B35" s="211">
        <f t="shared" si="0"/>
        <v>80</v>
      </c>
      <c r="C35" s="211" t="s">
        <v>3</v>
      </c>
      <c r="D35" s="211">
        <f t="shared" si="1"/>
        <v>260</v>
      </c>
      <c r="E35" s="211" t="s">
        <v>3</v>
      </c>
      <c r="F35" s="209">
        <f t="shared" si="2"/>
        <v>1950</v>
      </c>
      <c r="G35" s="211" t="s">
        <v>3</v>
      </c>
      <c r="H35" s="208">
        <v>2</v>
      </c>
      <c r="I35" s="210" t="s">
        <v>529</v>
      </c>
      <c r="J35" s="103">
        <v>80</v>
      </c>
      <c r="K35" s="66">
        <v>260</v>
      </c>
      <c r="L35" s="66">
        <v>1950</v>
      </c>
      <c r="M35" s="164">
        <v>19.130724265299211</v>
      </c>
      <c r="N35" s="78">
        <v>4793.3383680000006</v>
      </c>
      <c r="O35" s="113">
        <v>66485.033676302599</v>
      </c>
      <c r="P35" s="113">
        <v>70492.839122909398</v>
      </c>
      <c r="Q35" s="110">
        <v>23681.25404498896</v>
      </c>
      <c r="R35" s="113">
        <v>90166.287721291563</v>
      </c>
      <c r="S35" s="113">
        <v>94174.093167898362</v>
      </c>
      <c r="U35" s="7" t="s">
        <v>6171</v>
      </c>
    </row>
    <row r="36" spans="1:21" s="7" customFormat="1" ht="16.5" customHeight="1" thickBot="1">
      <c r="A36" s="207" t="s">
        <v>10</v>
      </c>
      <c r="B36" s="211">
        <f t="shared" si="0"/>
        <v>80</v>
      </c>
      <c r="C36" s="211" t="s">
        <v>3</v>
      </c>
      <c r="D36" s="211">
        <f t="shared" si="1"/>
        <v>260</v>
      </c>
      <c r="E36" s="211" t="s">
        <v>3</v>
      </c>
      <c r="F36" s="209">
        <f t="shared" si="2"/>
        <v>2000</v>
      </c>
      <c r="G36" s="211" t="s">
        <v>3</v>
      </c>
      <c r="H36" s="208">
        <v>2</v>
      </c>
      <c r="I36" s="210" t="s">
        <v>529</v>
      </c>
      <c r="J36" s="103">
        <v>80</v>
      </c>
      <c r="K36" s="66">
        <v>260</v>
      </c>
      <c r="L36" s="66">
        <v>2000</v>
      </c>
      <c r="M36" s="164">
        <v>19.644962536435131</v>
      </c>
      <c r="N36" s="78">
        <v>4943.1301919999996</v>
      </c>
      <c r="O36" s="113">
        <v>67600.070496868138</v>
      </c>
      <c r="P36" s="113">
        <v>71926.861160168177</v>
      </c>
      <c r="Q36" s="110">
        <v>24403.043750252691</v>
      </c>
      <c r="R36" s="113">
        <v>92003.11424712083</v>
      </c>
      <c r="S36" s="113">
        <v>96329.904910420868</v>
      </c>
      <c r="U36" s="7" t="s">
        <v>6172</v>
      </c>
    </row>
    <row r="37" spans="1:21" s="7" customFormat="1" ht="16.5" customHeight="1" thickBot="1">
      <c r="A37" s="207" t="s">
        <v>10</v>
      </c>
      <c r="B37" s="211">
        <f t="shared" si="0"/>
        <v>80</v>
      </c>
      <c r="C37" s="211" t="s">
        <v>3</v>
      </c>
      <c r="D37" s="211">
        <f t="shared" si="1"/>
        <v>260</v>
      </c>
      <c r="E37" s="211" t="s">
        <v>3</v>
      </c>
      <c r="F37" s="209">
        <f t="shared" si="2"/>
        <v>2050</v>
      </c>
      <c r="G37" s="211" t="s">
        <v>3</v>
      </c>
      <c r="H37" s="208">
        <v>2</v>
      </c>
      <c r="I37" s="210" t="s">
        <v>529</v>
      </c>
      <c r="J37" s="103">
        <v>80</v>
      </c>
      <c r="K37" s="66">
        <v>260</v>
      </c>
      <c r="L37" s="66">
        <v>2050</v>
      </c>
      <c r="M37" s="164">
        <v>20.067638407571049</v>
      </c>
      <c r="N37" s="78">
        <v>5092.9220159999995</v>
      </c>
      <c r="O37" s="113">
        <v>70827.187823157568</v>
      </c>
      <c r="P37" s="113">
        <v>75131.031662446912</v>
      </c>
      <c r="Q37" s="110">
        <v>24873.499317732651</v>
      </c>
      <c r="R37" s="113">
        <v>95700.687140890223</v>
      </c>
      <c r="S37" s="113">
        <v>100004.53098017957</v>
      </c>
      <c r="U37" s="7" t="s">
        <v>6173</v>
      </c>
    </row>
    <row r="38" spans="1:21" s="7" customFormat="1" ht="16.5" customHeight="1" thickBot="1">
      <c r="A38" s="207" t="s">
        <v>10</v>
      </c>
      <c r="B38" s="208">
        <f t="shared" si="0"/>
        <v>80</v>
      </c>
      <c r="C38" s="208" t="s">
        <v>3</v>
      </c>
      <c r="D38" s="208">
        <f t="shared" si="1"/>
        <v>260</v>
      </c>
      <c r="E38" s="208" t="s">
        <v>3</v>
      </c>
      <c r="F38" s="209">
        <f t="shared" si="2"/>
        <v>2100</v>
      </c>
      <c r="G38" s="208" t="s">
        <v>3</v>
      </c>
      <c r="H38" s="208">
        <v>2</v>
      </c>
      <c r="I38" s="210" t="s">
        <v>529</v>
      </c>
      <c r="J38" s="103">
        <v>80</v>
      </c>
      <c r="K38" s="66">
        <v>260</v>
      </c>
      <c r="L38" s="66">
        <v>2100</v>
      </c>
      <c r="M38" s="164">
        <v>20.490314278706975</v>
      </c>
      <c r="N38" s="78">
        <v>5242.7138400000003</v>
      </c>
      <c r="O38" s="113">
        <v>71784.880995370811</v>
      </c>
      <c r="P38" s="113">
        <v>76210.353420880318</v>
      </c>
      <c r="Q38" s="110">
        <v>25595.289022996385</v>
      </c>
      <c r="R38" s="113">
        <v>97380.170018367193</v>
      </c>
      <c r="S38" s="113">
        <v>101805.6424438767</v>
      </c>
      <c r="U38" s="7" t="s">
        <v>6174</v>
      </c>
    </row>
    <row r="39" spans="1:21" s="7" customFormat="1" ht="16.5" customHeight="1" thickBot="1">
      <c r="A39" s="207" t="s">
        <v>10</v>
      </c>
      <c r="B39" s="211">
        <f t="shared" si="0"/>
        <v>80</v>
      </c>
      <c r="C39" s="211" t="s">
        <v>3</v>
      </c>
      <c r="D39" s="211">
        <f t="shared" si="1"/>
        <v>260</v>
      </c>
      <c r="E39" s="211" t="s">
        <v>3</v>
      </c>
      <c r="F39" s="209">
        <f t="shared" si="2"/>
        <v>2150</v>
      </c>
      <c r="G39" s="211" t="s">
        <v>3</v>
      </c>
      <c r="H39" s="208">
        <v>2</v>
      </c>
      <c r="I39" s="210" t="s">
        <v>529</v>
      </c>
      <c r="J39" s="103">
        <v>80</v>
      </c>
      <c r="K39" s="66">
        <v>260</v>
      </c>
      <c r="L39" s="66">
        <v>2150</v>
      </c>
      <c r="M39" s="164">
        <v>21.036990149842897</v>
      </c>
      <c r="N39" s="78">
        <v>5392.5056640000003</v>
      </c>
      <c r="O39" s="113">
        <v>72903.477043121442</v>
      </c>
      <c r="P39" s="113">
        <v>77440.327667865116</v>
      </c>
      <c r="Q39" s="110">
        <v>26065.744590476344</v>
      </c>
      <c r="R39" s="113">
        <v>98969.221633597786</v>
      </c>
      <c r="S39" s="113">
        <v>103506.07225834146</v>
      </c>
      <c r="U39" s="7" t="s">
        <v>6175</v>
      </c>
    </row>
    <row r="40" spans="1:21" s="7" customFormat="1" ht="16.5" customHeight="1" thickBot="1">
      <c r="A40" s="207" t="s">
        <v>10</v>
      </c>
      <c r="B40" s="211">
        <f t="shared" si="0"/>
        <v>80</v>
      </c>
      <c r="C40" s="211" t="s">
        <v>3</v>
      </c>
      <c r="D40" s="211">
        <f t="shared" si="1"/>
        <v>260</v>
      </c>
      <c r="E40" s="211" t="s">
        <v>3</v>
      </c>
      <c r="F40" s="209">
        <f t="shared" si="2"/>
        <v>2200</v>
      </c>
      <c r="G40" s="211" t="s">
        <v>3</v>
      </c>
      <c r="H40" s="208">
        <v>2</v>
      </c>
      <c r="I40" s="210" t="s">
        <v>529</v>
      </c>
      <c r="J40" s="103">
        <v>80</v>
      </c>
      <c r="K40" s="66">
        <v>260</v>
      </c>
      <c r="L40" s="66">
        <v>2200</v>
      </c>
      <c r="M40" s="164">
        <v>21.459666020978815</v>
      </c>
      <c r="N40" s="78">
        <v>5542.2974880000011</v>
      </c>
      <c r="O40" s="113">
        <v>74022.020670868587</v>
      </c>
      <c r="P40" s="113">
        <v>78670.252746707934</v>
      </c>
      <c r="Q40" s="110">
        <v>26787.534295740079</v>
      </c>
      <c r="R40" s="113">
        <v>100809.55496660867</v>
      </c>
      <c r="S40" s="113">
        <v>105457.78704244801</v>
      </c>
      <c r="U40" s="7" t="s">
        <v>6176</v>
      </c>
    </row>
    <row r="41" spans="1:21" s="7" customFormat="1" ht="16.5" customHeight="1" thickBot="1">
      <c r="A41" s="207" t="s">
        <v>10</v>
      </c>
      <c r="B41" s="211">
        <f t="shared" si="0"/>
        <v>80</v>
      </c>
      <c r="C41" s="211" t="s">
        <v>3</v>
      </c>
      <c r="D41" s="211">
        <f t="shared" si="1"/>
        <v>260</v>
      </c>
      <c r="E41" s="211" t="s">
        <v>3</v>
      </c>
      <c r="F41" s="209">
        <f t="shared" si="2"/>
        <v>2250</v>
      </c>
      <c r="G41" s="211" t="s">
        <v>3</v>
      </c>
      <c r="H41" s="208">
        <v>2</v>
      </c>
      <c r="I41" s="210" t="s">
        <v>529</v>
      </c>
      <c r="J41" s="103">
        <v>80</v>
      </c>
      <c r="K41" s="66">
        <v>260</v>
      </c>
      <c r="L41" s="66">
        <v>2250</v>
      </c>
      <c r="M41" s="164">
        <v>21.882341892114738</v>
      </c>
      <c r="N41" s="78">
        <v>5692.0893120000001</v>
      </c>
      <c r="O41" s="113">
        <v>75488.940487739208</v>
      </c>
      <c r="P41" s="113">
        <v>80226.360451805434</v>
      </c>
      <c r="Q41" s="110">
        <v>27257.989710191272</v>
      </c>
      <c r="R41" s="113">
        <v>102746.93019793049</v>
      </c>
      <c r="S41" s="113">
        <v>107484.3501619967</v>
      </c>
      <c r="U41" s="7" t="s">
        <v>6177</v>
      </c>
    </row>
    <row r="42" spans="1:21" s="7" customFormat="1" ht="16.5" customHeight="1" thickBot="1">
      <c r="A42" s="207" t="s">
        <v>10</v>
      </c>
      <c r="B42" s="211">
        <f t="shared" si="0"/>
        <v>80</v>
      </c>
      <c r="C42" s="211" t="s">
        <v>3</v>
      </c>
      <c r="D42" s="211">
        <f t="shared" si="1"/>
        <v>260</v>
      </c>
      <c r="E42" s="211" t="s">
        <v>3</v>
      </c>
      <c r="F42" s="209">
        <f t="shared" si="2"/>
        <v>2300</v>
      </c>
      <c r="G42" s="211" t="s">
        <v>3</v>
      </c>
      <c r="H42" s="208">
        <v>2</v>
      </c>
      <c r="I42" s="210" t="s">
        <v>529</v>
      </c>
      <c r="J42" s="103">
        <v>80</v>
      </c>
      <c r="K42" s="66">
        <v>260</v>
      </c>
      <c r="L42" s="66">
        <v>2300</v>
      </c>
      <c r="M42" s="164">
        <v>22.30501776325066</v>
      </c>
      <c r="N42" s="78">
        <v>5841.881136</v>
      </c>
      <c r="O42" s="113">
        <v>76342.717181562839</v>
      </c>
      <c r="P42" s="113">
        <v>81208.38574092566</v>
      </c>
      <c r="Q42" s="110">
        <v>27728.445277671239</v>
      </c>
      <c r="R42" s="113">
        <v>104071.16245923408</v>
      </c>
      <c r="S42" s="113">
        <v>108936.8310185969</v>
      </c>
      <c r="U42" s="7" t="s">
        <v>6178</v>
      </c>
    </row>
    <row r="43" spans="1:21" s="7" customFormat="1" ht="16.5" customHeight="1" thickBot="1">
      <c r="A43" s="207" t="s">
        <v>10</v>
      </c>
      <c r="B43" s="211">
        <f t="shared" si="0"/>
        <v>80</v>
      </c>
      <c r="C43" s="211" t="s">
        <v>3</v>
      </c>
      <c r="D43" s="211">
        <f t="shared" si="1"/>
        <v>260</v>
      </c>
      <c r="E43" s="211" t="s">
        <v>3</v>
      </c>
      <c r="F43" s="209">
        <f t="shared" si="2"/>
        <v>2350</v>
      </c>
      <c r="G43" s="211" t="s">
        <v>3</v>
      </c>
      <c r="H43" s="208">
        <v>2</v>
      </c>
      <c r="I43" s="210" t="s">
        <v>529</v>
      </c>
      <c r="J43" s="103">
        <v>80</v>
      </c>
      <c r="K43" s="66">
        <v>260</v>
      </c>
      <c r="L43" s="66">
        <v>2350</v>
      </c>
      <c r="M43" s="164">
        <v>22.727693634386579</v>
      </c>
      <c r="N43" s="78">
        <v>5991.6729599999999</v>
      </c>
      <c r="O43" s="113">
        <v>77196.441455382985</v>
      </c>
      <c r="P43" s="113">
        <v>82190.361991978119</v>
      </c>
      <c r="Q43" s="110">
        <v>28450.234982934966</v>
      </c>
      <c r="R43" s="113">
        <v>105646.67643831795</v>
      </c>
      <c r="S43" s="113">
        <v>110640.59697491309</v>
      </c>
      <c r="U43" s="7" t="s">
        <v>6179</v>
      </c>
    </row>
    <row r="44" spans="1:21" s="7" customFormat="1" ht="16.5" customHeight="1" thickBot="1">
      <c r="A44" s="207" t="s">
        <v>10</v>
      </c>
      <c r="B44" s="211">
        <f t="shared" si="0"/>
        <v>80</v>
      </c>
      <c r="C44" s="211" t="s">
        <v>3</v>
      </c>
      <c r="D44" s="211">
        <f t="shared" si="1"/>
        <v>260</v>
      </c>
      <c r="E44" s="211" t="s">
        <v>3</v>
      </c>
      <c r="F44" s="209">
        <f t="shared" si="2"/>
        <v>2400</v>
      </c>
      <c r="G44" s="211" t="s">
        <v>3</v>
      </c>
      <c r="H44" s="208">
        <v>2</v>
      </c>
      <c r="I44" s="210" t="s">
        <v>529</v>
      </c>
      <c r="J44" s="103">
        <v>80</v>
      </c>
      <c r="K44" s="66">
        <v>260</v>
      </c>
      <c r="L44" s="66">
        <v>2400</v>
      </c>
      <c r="M44" s="164">
        <v>23.150369505522498</v>
      </c>
      <c r="N44" s="78">
        <v>6141.4647839999989</v>
      </c>
      <c r="O44" s="113">
        <v>78050.113309199631</v>
      </c>
      <c r="P44" s="113">
        <v>83172.289204962784</v>
      </c>
      <c r="Q44" s="110">
        <v>28920.690550414929</v>
      </c>
      <c r="R44" s="113">
        <v>106970.80385961456</v>
      </c>
      <c r="S44" s="113">
        <v>112092.97975537772</v>
      </c>
      <c r="U44" s="7" t="s">
        <v>6180</v>
      </c>
    </row>
    <row r="45" spans="1:21" s="7" customFormat="1" ht="16.5" customHeight="1" thickBot="1">
      <c r="A45" s="207" t="s">
        <v>10</v>
      </c>
      <c r="B45" s="211">
        <f t="shared" si="0"/>
        <v>80</v>
      </c>
      <c r="C45" s="211" t="s">
        <v>3</v>
      </c>
      <c r="D45" s="211">
        <f t="shared" si="1"/>
        <v>260</v>
      </c>
      <c r="E45" s="211" t="s">
        <v>3</v>
      </c>
      <c r="F45" s="209">
        <f t="shared" si="2"/>
        <v>2450</v>
      </c>
      <c r="G45" s="211" t="s">
        <v>3</v>
      </c>
      <c r="H45" s="208">
        <v>2</v>
      </c>
      <c r="I45" s="210" t="s">
        <v>529</v>
      </c>
      <c r="J45" s="103">
        <v>80</v>
      </c>
      <c r="K45" s="66">
        <v>260</v>
      </c>
      <c r="L45" s="66">
        <v>2450</v>
      </c>
      <c r="M45" s="164">
        <v>24.253809565458425</v>
      </c>
      <c r="N45" s="78">
        <v>6291.2566080000006</v>
      </c>
      <c r="O45" s="113">
        <v>79404.14762410523</v>
      </c>
      <c r="P45" s="113">
        <v>84739.750848682976</v>
      </c>
      <c r="Q45" s="110">
        <v>29642.480255678664</v>
      </c>
      <c r="R45" s="113">
        <v>109046.62787978389</v>
      </c>
      <c r="S45" s="113">
        <v>114382.23110436164</v>
      </c>
      <c r="U45" s="7" t="s">
        <v>6181</v>
      </c>
    </row>
    <row r="46" spans="1:21" s="7" customFormat="1" ht="16.5" customHeight="1" thickBot="1">
      <c r="A46" s="207" t="s">
        <v>10</v>
      </c>
      <c r="B46" s="211">
        <f t="shared" si="0"/>
        <v>80</v>
      </c>
      <c r="C46" s="211" t="s">
        <v>3</v>
      </c>
      <c r="D46" s="211">
        <f t="shared" si="1"/>
        <v>260</v>
      </c>
      <c r="E46" s="211" t="s">
        <v>3</v>
      </c>
      <c r="F46" s="209">
        <f t="shared" si="2"/>
        <v>2500</v>
      </c>
      <c r="G46" s="211" t="s">
        <v>3</v>
      </c>
      <c r="H46" s="208">
        <v>2</v>
      </c>
      <c r="I46" s="210" t="s">
        <v>529</v>
      </c>
      <c r="J46" s="103">
        <v>80</v>
      </c>
      <c r="K46" s="66">
        <v>260</v>
      </c>
      <c r="L46" s="66">
        <v>2500</v>
      </c>
      <c r="M46" s="164">
        <v>24.693485436594344</v>
      </c>
      <c r="N46" s="78">
        <v>6441.0484319999996</v>
      </c>
      <c r="O46" s="113">
        <v>80257.714637914905</v>
      </c>
      <c r="P46" s="113">
        <v>85721.579855457632</v>
      </c>
      <c r="Q46" s="110">
        <v>30112.935823158623</v>
      </c>
      <c r="R46" s="113">
        <v>110370.65046107353</v>
      </c>
      <c r="S46" s="113">
        <v>115834.51567861626</v>
      </c>
      <c r="U46" s="7" t="s">
        <v>6182</v>
      </c>
    </row>
    <row r="47" spans="1:21" s="7" customFormat="1" ht="16.5" customHeight="1" thickBot="1">
      <c r="A47" s="207" t="s">
        <v>10</v>
      </c>
      <c r="B47" s="211">
        <f t="shared" si="0"/>
        <v>80</v>
      </c>
      <c r="C47" s="211" t="s">
        <v>3</v>
      </c>
      <c r="D47" s="211">
        <f t="shared" si="1"/>
        <v>260</v>
      </c>
      <c r="E47" s="211" t="s">
        <v>3</v>
      </c>
      <c r="F47" s="209">
        <f t="shared" si="2"/>
        <v>2550</v>
      </c>
      <c r="G47" s="211" t="s">
        <v>3</v>
      </c>
      <c r="H47" s="208">
        <v>2</v>
      </c>
      <c r="I47" s="210" t="s">
        <v>529</v>
      </c>
      <c r="J47" s="103">
        <v>80</v>
      </c>
      <c r="K47" s="66">
        <v>260</v>
      </c>
      <c r="L47" s="66">
        <v>2550</v>
      </c>
      <c r="M47" s="164">
        <v>25.116161307730263</v>
      </c>
      <c r="N47" s="78">
        <v>6590.8402560000013</v>
      </c>
      <c r="O47" s="113">
        <v>84702.055272969737</v>
      </c>
      <c r="P47" s="113">
        <v>90065.429522772974</v>
      </c>
      <c r="Q47" s="110">
        <v>30834.725528422357</v>
      </c>
      <c r="R47" s="113">
        <v>115536.7808013921</v>
      </c>
      <c r="S47" s="113">
        <v>120900.15505119532</v>
      </c>
      <c r="U47" s="7" t="s">
        <v>6183</v>
      </c>
    </row>
    <row r="48" spans="1:21" ht="16.5" customHeight="1" thickBot="1">
      <c r="A48" s="207" t="s">
        <v>10</v>
      </c>
      <c r="B48" s="208">
        <f t="shared" si="0"/>
        <v>80</v>
      </c>
      <c r="C48" s="208" t="s">
        <v>3</v>
      </c>
      <c r="D48" s="208">
        <f t="shared" si="1"/>
        <v>260</v>
      </c>
      <c r="E48" s="208" t="s">
        <v>3</v>
      </c>
      <c r="F48" s="209">
        <f t="shared" si="2"/>
        <v>2600</v>
      </c>
      <c r="G48" s="208" t="s">
        <v>3</v>
      </c>
      <c r="H48" s="208">
        <v>2</v>
      </c>
      <c r="I48" s="210" t="s">
        <v>529</v>
      </c>
      <c r="J48" s="103">
        <v>80</v>
      </c>
      <c r="K48" s="66">
        <v>260</v>
      </c>
      <c r="L48" s="66">
        <v>2600</v>
      </c>
      <c r="M48" s="164">
        <v>25.538837178866189</v>
      </c>
      <c r="N48" s="78">
        <v>6740.6320800000003</v>
      </c>
      <c r="O48" s="113">
        <v>85850.47531099584</v>
      </c>
      <c r="P48" s="113">
        <v>91323.327762537039</v>
      </c>
      <c r="Q48" s="110">
        <v>31305.181095902317</v>
      </c>
      <c r="R48" s="113">
        <v>117155.65640689815</v>
      </c>
      <c r="S48" s="113">
        <v>122628.50885843935</v>
      </c>
      <c r="U48" s="7" t="s">
        <v>6184</v>
      </c>
    </row>
    <row r="49" spans="1:21" ht="16.5" customHeight="1" thickBot="1">
      <c r="A49" s="207" t="s">
        <v>10</v>
      </c>
      <c r="B49" s="211">
        <f t="shared" si="0"/>
        <v>80</v>
      </c>
      <c r="C49" s="211" t="s">
        <v>3</v>
      </c>
      <c r="D49" s="211">
        <f t="shared" si="1"/>
        <v>260</v>
      </c>
      <c r="E49" s="211" t="s">
        <v>3</v>
      </c>
      <c r="F49" s="209">
        <f t="shared" si="2"/>
        <v>2650</v>
      </c>
      <c r="G49" s="211" t="s">
        <v>3</v>
      </c>
      <c r="H49" s="208">
        <v>2</v>
      </c>
      <c r="I49" s="210" t="s">
        <v>529</v>
      </c>
      <c r="J49" s="103">
        <v>80</v>
      </c>
      <c r="K49" s="66">
        <v>260</v>
      </c>
      <c r="L49" s="66">
        <v>2650</v>
      </c>
      <c r="M49" s="164">
        <v>26.06851305000211</v>
      </c>
      <c r="N49" s="78">
        <v>6890.4239039999993</v>
      </c>
      <c r="O49" s="113">
        <v>86529.519743794663</v>
      </c>
      <c r="P49" s="113">
        <v>92141.75230194506</v>
      </c>
      <c r="Q49" s="110">
        <v>32026.970801166051</v>
      </c>
      <c r="R49" s="113">
        <v>118556.49054496072</v>
      </c>
      <c r="S49" s="113">
        <v>124168.72310311112</v>
      </c>
      <c r="U49" s="7" t="s">
        <v>6185</v>
      </c>
    </row>
    <row r="50" spans="1:21" ht="16.5" customHeight="1" thickBot="1">
      <c r="A50" s="207" t="s">
        <v>10</v>
      </c>
      <c r="B50" s="211">
        <f t="shared" si="0"/>
        <v>80</v>
      </c>
      <c r="C50" s="211" t="s">
        <v>3</v>
      </c>
      <c r="D50" s="211">
        <f t="shared" si="1"/>
        <v>260</v>
      </c>
      <c r="E50" s="211" t="s">
        <v>3</v>
      </c>
      <c r="F50" s="209">
        <f t="shared" si="2"/>
        <v>2700</v>
      </c>
      <c r="G50" s="211" t="s">
        <v>3</v>
      </c>
      <c r="H50" s="208">
        <v>2</v>
      </c>
      <c r="I50" s="210" t="s">
        <v>529</v>
      </c>
      <c r="J50" s="103">
        <v>80</v>
      </c>
      <c r="K50" s="66">
        <v>260</v>
      </c>
      <c r="L50" s="66">
        <v>2700</v>
      </c>
      <c r="M50" s="164">
        <v>26.530438921138028</v>
      </c>
      <c r="N50" s="78">
        <v>7040.215728000001</v>
      </c>
      <c r="O50" s="113">
        <v>87247.075319110474</v>
      </c>
      <c r="P50" s="113">
        <v>92996.234519587422</v>
      </c>
      <c r="Q50" s="110">
        <v>32497.426368646011</v>
      </c>
      <c r="R50" s="113">
        <v>119744.50168775648</v>
      </c>
      <c r="S50" s="113">
        <v>125493.66088823343</v>
      </c>
      <c r="U50" s="7" t="s">
        <v>6186</v>
      </c>
    </row>
    <row r="51" spans="1:21" ht="16.5" customHeight="1" thickBot="1">
      <c r="A51" s="207" t="s">
        <v>10</v>
      </c>
      <c r="B51" s="211">
        <f t="shared" si="0"/>
        <v>80</v>
      </c>
      <c r="C51" s="211" t="s">
        <v>3</v>
      </c>
      <c r="D51" s="211">
        <f t="shared" si="1"/>
        <v>260</v>
      </c>
      <c r="E51" s="211" t="s">
        <v>3</v>
      </c>
      <c r="F51" s="209">
        <f t="shared" si="2"/>
        <v>2750</v>
      </c>
      <c r="G51" s="211" t="s">
        <v>3</v>
      </c>
      <c r="H51" s="208">
        <v>2</v>
      </c>
      <c r="I51" s="210" t="s">
        <v>529</v>
      </c>
      <c r="J51" s="103">
        <v>80</v>
      </c>
      <c r="K51" s="66">
        <v>260</v>
      </c>
      <c r="L51" s="66">
        <v>2750</v>
      </c>
      <c r="M51" s="164">
        <v>26.953114792273947</v>
      </c>
      <c r="N51" s="78">
        <v>7190.007552</v>
      </c>
      <c r="O51" s="113">
        <v>88015.12683665019</v>
      </c>
      <c r="P51" s="113">
        <v>93897.995938296372</v>
      </c>
      <c r="Q51" s="110">
        <v>32967.881936125974</v>
      </c>
      <c r="R51" s="113">
        <v>120983.00877277617</v>
      </c>
      <c r="S51" s="113">
        <v>126865.87787442235</v>
      </c>
      <c r="U51" s="7" t="s">
        <v>6187</v>
      </c>
    </row>
    <row r="52" spans="1:21" ht="16.5" customHeight="1" thickBot="1">
      <c r="A52" s="207" t="s">
        <v>10</v>
      </c>
      <c r="B52" s="211">
        <f t="shared" si="0"/>
        <v>80</v>
      </c>
      <c r="C52" s="211" t="s">
        <v>3</v>
      </c>
      <c r="D52" s="211">
        <f t="shared" si="1"/>
        <v>260</v>
      </c>
      <c r="E52" s="211" t="s">
        <v>3</v>
      </c>
      <c r="F52" s="209">
        <f t="shared" si="2"/>
        <v>2800</v>
      </c>
      <c r="G52" s="211" t="s">
        <v>3</v>
      </c>
      <c r="H52" s="208">
        <v>2</v>
      </c>
      <c r="I52" s="210" t="s">
        <v>529</v>
      </c>
      <c r="J52" s="103">
        <v>80</v>
      </c>
      <c r="K52" s="66">
        <v>260</v>
      </c>
      <c r="L52" s="66">
        <v>2800</v>
      </c>
      <c r="M52" s="164">
        <v>27.375790663409873</v>
      </c>
      <c r="N52" s="78">
        <v>7339.7993760000008</v>
      </c>
      <c r="O52" s="113">
        <v>88692.825779334526</v>
      </c>
      <c r="P52" s="113">
        <v>94715.160706652692</v>
      </c>
      <c r="Q52" s="110">
        <v>33689.671488360938</v>
      </c>
      <c r="R52" s="113">
        <v>122382.49726769546</v>
      </c>
      <c r="S52" s="113">
        <v>128404.83219501363</v>
      </c>
      <c r="U52" s="7" t="s">
        <v>6188</v>
      </c>
    </row>
    <row r="53" spans="1:21" ht="16.5" customHeight="1" thickBot="1">
      <c r="A53" s="207" t="s">
        <v>10</v>
      </c>
      <c r="B53" s="211">
        <f t="shared" si="0"/>
        <v>80</v>
      </c>
      <c r="C53" s="211" t="s">
        <v>3</v>
      </c>
      <c r="D53" s="211">
        <f t="shared" si="1"/>
        <v>260</v>
      </c>
      <c r="E53" s="211" t="s">
        <v>3</v>
      </c>
      <c r="F53" s="209">
        <f t="shared" si="2"/>
        <v>2850</v>
      </c>
      <c r="G53" s="211" t="s">
        <v>3</v>
      </c>
      <c r="H53" s="208">
        <v>2</v>
      </c>
      <c r="I53" s="210" t="s">
        <v>529</v>
      </c>
      <c r="J53" s="103">
        <v>80</v>
      </c>
      <c r="K53" s="66">
        <v>260</v>
      </c>
      <c r="L53" s="66">
        <v>2850</v>
      </c>
      <c r="M53" s="164">
        <v>27.798466534545796</v>
      </c>
      <c r="N53" s="78">
        <v>7489.5911999999998</v>
      </c>
      <c r="O53" s="113">
        <v>89370.472302015376</v>
      </c>
      <c r="P53" s="113">
        <v>95532.27630686677</v>
      </c>
      <c r="Q53" s="110">
        <v>34160.127055840901</v>
      </c>
      <c r="R53" s="113">
        <v>123530.59935785628</v>
      </c>
      <c r="S53" s="113">
        <v>129692.40336270767</v>
      </c>
      <c r="U53" s="7" t="s">
        <v>6189</v>
      </c>
    </row>
    <row r="54" spans="1:21" ht="16.5" customHeight="1" thickBot="1">
      <c r="A54" s="207" t="s">
        <v>10</v>
      </c>
      <c r="B54" s="211">
        <f t="shared" si="0"/>
        <v>80</v>
      </c>
      <c r="C54" s="211" t="s">
        <v>3</v>
      </c>
      <c r="D54" s="211">
        <f t="shared" si="1"/>
        <v>260</v>
      </c>
      <c r="E54" s="211" t="s">
        <v>3</v>
      </c>
      <c r="F54" s="209">
        <f t="shared" si="2"/>
        <v>2900</v>
      </c>
      <c r="G54" s="211" t="s">
        <v>3</v>
      </c>
      <c r="H54" s="208">
        <v>2</v>
      </c>
      <c r="I54" s="210" t="s">
        <v>529</v>
      </c>
      <c r="J54" s="103">
        <v>80</v>
      </c>
      <c r="K54" s="66">
        <v>260</v>
      </c>
      <c r="L54" s="66">
        <v>2900</v>
      </c>
      <c r="M54" s="164">
        <v>28.397142405681709</v>
      </c>
      <c r="N54" s="78">
        <v>7639.3830239999988</v>
      </c>
      <c r="O54" s="113">
        <v>90048.066404692727</v>
      </c>
      <c r="P54" s="113">
        <v>96349.342869013053</v>
      </c>
      <c r="Q54" s="110">
        <v>34881.916761104636</v>
      </c>
      <c r="R54" s="113">
        <v>124929.98316579737</v>
      </c>
      <c r="S54" s="113">
        <v>131231.25963011768</v>
      </c>
      <c r="U54" s="7" t="s">
        <v>6190</v>
      </c>
    </row>
    <row r="55" spans="1:21" ht="16.5" customHeight="1" thickBot="1">
      <c r="A55" s="207" t="s">
        <v>10</v>
      </c>
      <c r="B55" s="211">
        <f t="shared" si="0"/>
        <v>80</v>
      </c>
      <c r="C55" s="211" t="s">
        <v>3</v>
      </c>
      <c r="D55" s="211">
        <f t="shared" si="1"/>
        <v>260</v>
      </c>
      <c r="E55" s="211" t="s">
        <v>3</v>
      </c>
      <c r="F55" s="209">
        <f t="shared" si="2"/>
        <v>2950</v>
      </c>
      <c r="G55" s="211" t="s">
        <v>3</v>
      </c>
      <c r="H55" s="208">
        <v>2</v>
      </c>
      <c r="I55" s="210" t="s">
        <v>529</v>
      </c>
      <c r="J55" s="103">
        <v>80</v>
      </c>
      <c r="K55" s="66">
        <v>260</v>
      </c>
      <c r="L55" s="66">
        <v>2950</v>
      </c>
      <c r="M55" s="164">
        <v>28.819818276817635</v>
      </c>
      <c r="N55" s="78">
        <v>7789.1748480000006</v>
      </c>
      <c r="O55" s="113">
        <v>90725.608087366592</v>
      </c>
      <c r="P55" s="113">
        <v>97166.360393091571</v>
      </c>
      <c r="Q55" s="110">
        <v>35352.372328584599</v>
      </c>
      <c r="R55" s="113">
        <v>126077.9804159512</v>
      </c>
      <c r="S55" s="113">
        <v>132518.73272167618</v>
      </c>
      <c r="U55" s="7" t="s">
        <v>6191</v>
      </c>
    </row>
    <row r="56" spans="1:21" ht="16.5" customHeight="1" thickBot="1">
      <c r="A56" s="212" t="s">
        <v>10</v>
      </c>
      <c r="B56" s="213">
        <f t="shared" si="0"/>
        <v>80</v>
      </c>
      <c r="C56" s="213" t="s">
        <v>3</v>
      </c>
      <c r="D56" s="213">
        <f t="shared" si="1"/>
        <v>260</v>
      </c>
      <c r="E56" s="213" t="s">
        <v>3</v>
      </c>
      <c r="F56" s="214">
        <f t="shared" si="2"/>
        <v>3000</v>
      </c>
      <c r="G56" s="213" t="s">
        <v>3</v>
      </c>
      <c r="H56" s="215">
        <v>2</v>
      </c>
      <c r="I56" s="210" t="s">
        <v>529</v>
      </c>
      <c r="J56" s="287">
        <v>80</v>
      </c>
      <c r="K56" s="266">
        <v>260</v>
      </c>
      <c r="L56" s="266">
        <v>3000</v>
      </c>
      <c r="M56" s="249">
        <v>29.304494147953555</v>
      </c>
      <c r="N56" s="250">
        <v>7938.9666719999996</v>
      </c>
      <c r="O56" s="251">
        <v>93274.449330635456</v>
      </c>
      <c r="P56" s="251">
        <v>99735.465024460282</v>
      </c>
      <c r="Q56" s="252">
        <v>36074.162033848326</v>
      </c>
      <c r="R56" s="251">
        <v>129348.61136448378</v>
      </c>
      <c r="S56" s="251">
        <v>135809.6270583086</v>
      </c>
      <c r="U56" s="7" t="s">
        <v>6192</v>
      </c>
    </row>
    <row r="57" spans="1:21" ht="22.5" customHeight="1" thickBot="1">
      <c r="A57" s="2968" t="s">
        <v>469</v>
      </c>
      <c r="B57" s="2969"/>
      <c r="C57" s="2969"/>
      <c r="D57" s="2969"/>
      <c r="E57" s="2969"/>
      <c r="F57" s="2969"/>
      <c r="G57" s="2969"/>
      <c r="H57" s="2969"/>
      <c r="I57" s="2969"/>
      <c r="J57" s="2969"/>
      <c r="K57" s="2969"/>
      <c r="L57" s="2969"/>
      <c r="M57" s="2969"/>
      <c r="N57" s="2969"/>
      <c r="O57" s="2969"/>
      <c r="P57" s="2969"/>
      <c r="Q57" s="2969"/>
      <c r="R57" s="2969"/>
      <c r="S57" s="2970"/>
      <c r="U57" s="7"/>
    </row>
    <row r="58" spans="1:21" ht="16.5" thickBot="1">
      <c r="A58" s="2974" t="s">
        <v>112</v>
      </c>
      <c r="B58" s="2975"/>
      <c r="C58" s="2975"/>
      <c r="D58" s="2975"/>
      <c r="E58" s="2975"/>
      <c r="F58" s="2975"/>
      <c r="G58" s="2975"/>
      <c r="H58" s="2975"/>
      <c r="I58" s="2975"/>
      <c r="J58" s="2975"/>
      <c r="K58" s="2975"/>
      <c r="L58" s="2975"/>
      <c r="M58" s="2975"/>
      <c r="N58" s="2975"/>
      <c r="O58" s="2975"/>
      <c r="P58" s="2975"/>
      <c r="Q58" s="2975"/>
      <c r="R58" s="2975"/>
      <c r="S58" s="2976"/>
      <c r="U58" s="7"/>
    </row>
    <row r="59" spans="1:21" ht="16.5" thickBot="1">
      <c r="A59" s="207" t="s">
        <v>10</v>
      </c>
      <c r="B59" s="208">
        <f t="shared" ref="B59:B105" si="3">J59</f>
        <v>80</v>
      </c>
      <c r="C59" s="208" t="s">
        <v>3</v>
      </c>
      <c r="D59" s="208">
        <f t="shared" ref="D59:D105" si="4">K59</f>
        <v>300</v>
      </c>
      <c r="E59" s="208" t="s">
        <v>3</v>
      </c>
      <c r="F59" s="209">
        <f t="shared" ref="F59:F105" si="5">L59</f>
        <v>700</v>
      </c>
      <c r="G59" s="208" t="s">
        <v>3</v>
      </c>
      <c r="H59" s="208">
        <v>2</v>
      </c>
      <c r="I59" s="210" t="s">
        <v>529</v>
      </c>
      <c r="J59" s="286">
        <v>80</v>
      </c>
      <c r="K59" s="271">
        <v>300</v>
      </c>
      <c r="L59" s="271">
        <v>700</v>
      </c>
      <c r="M59" s="245">
        <v>7.2607731076130237</v>
      </c>
      <c r="N59" s="246">
        <v>1159.258464</v>
      </c>
      <c r="O59" s="247">
        <v>28428.462080838741</v>
      </c>
      <c r="P59" s="247">
        <v>30560.297253487148</v>
      </c>
      <c r="Q59" s="248">
        <v>10240.289076749623</v>
      </c>
      <c r="R59" s="247">
        <v>38668.751157588362</v>
      </c>
      <c r="S59" s="247">
        <v>40800.586330236772</v>
      </c>
      <c r="U59" s="7" t="s">
        <v>6193</v>
      </c>
    </row>
    <row r="60" spans="1:21" ht="16.5" thickBot="1">
      <c r="A60" s="207" t="s">
        <v>10</v>
      </c>
      <c r="B60" s="211">
        <f t="shared" si="3"/>
        <v>80</v>
      </c>
      <c r="C60" s="211" t="s">
        <v>3</v>
      </c>
      <c r="D60" s="211">
        <f t="shared" si="4"/>
        <v>300</v>
      </c>
      <c r="E60" s="211" t="s">
        <v>3</v>
      </c>
      <c r="F60" s="209">
        <f t="shared" si="5"/>
        <v>750</v>
      </c>
      <c r="G60" s="211" t="s">
        <v>3</v>
      </c>
      <c r="H60" s="208">
        <v>2</v>
      </c>
      <c r="I60" s="210" t="s">
        <v>529</v>
      </c>
      <c r="J60" s="103">
        <v>80</v>
      </c>
      <c r="K60" s="66">
        <v>300</v>
      </c>
      <c r="L60" s="66">
        <v>750</v>
      </c>
      <c r="M60" s="164">
        <v>7.6754904913914492</v>
      </c>
      <c r="N60" s="78">
        <v>1324.8668160000002</v>
      </c>
      <c r="O60" s="113">
        <v>30110.154326415086</v>
      </c>
      <c r="P60" s="113">
        <v>32337.31768179388</v>
      </c>
      <c r="Q60" s="110">
        <v>10763.930709721371</v>
      </c>
      <c r="R60" s="113">
        <v>40874.085036136457</v>
      </c>
      <c r="S60" s="113">
        <v>43101.248391515255</v>
      </c>
      <c r="U60" s="7" t="s">
        <v>6194</v>
      </c>
    </row>
    <row r="61" spans="1:21" ht="16.5" thickBot="1">
      <c r="A61" s="207" t="s">
        <v>10</v>
      </c>
      <c r="B61" s="211">
        <f t="shared" si="3"/>
        <v>80</v>
      </c>
      <c r="C61" s="211" t="s">
        <v>3</v>
      </c>
      <c r="D61" s="211">
        <f t="shared" si="4"/>
        <v>300</v>
      </c>
      <c r="E61" s="211" t="s">
        <v>3</v>
      </c>
      <c r="F61" s="209">
        <f t="shared" si="5"/>
        <v>800</v>
      </c>
      <c r="G61" s="211" t="s">
        <v>3</v>
      </c>
      <c r="H61" s="208">
        <v>2</v>
      </c>
      <c r="I61" s="210" t="s">
        <v>529</v>
      </c>
      <c r="J61" s="103">
        <v>80</v>
      </c>
      <c r="K61" s="66">
        <v>300</v>
      </c>
      <c r="L61" s="66">
        <v>800</v>
      </c>
      <c r="M61" s="164">
        <v>8.0902078751698756</v>
      </c>
      <c r="N61" s="78">
        <v>1490.4751680000002</v>
      </c>
      <c r="O61" s="113">
        <v>31791.846702065883</v>
      </c>
      <c r="P61" s="113">
        <v>34114.338110100616</v>
      </c>
      <c r="Q61" s="110">
        <v>11287.572342693116</v>
      </c>
      <c r="R61" s="113">
        <v>43079.419044759001</v>
      </c>
      <c r="S61" s="113">
        <v>45401.910452793731</v>
      </c>
      <c r="U61" s="7" t="s">
        <v>6195</v>
      </c>
    </row>
    <row r="62" spans="1:21" ht="16.5" thickBot="1">
      <c r="A62" s="207" t="s">
        <v>10</v>
      </c>
      <c r="B62" s="211">
        <f t="shared" si="3"/>
        <v>80</v>
      </c>
      <c r="C62" s="211" t="s">
        <v>3</v>
      </c>
      <c r="D62" s="211">
        <f t="shared" si="4"/>
        <v>300</v>
      </c>
      <c r="E62" s="211" t="s">
        <v>3</v>
      </c>
      <c r="F62" s="209">
        <f t="shared" si="5"/>
        <v>850</v>
      </c>
      <c r="G62" s="211" t="s">
        <v>3</v>
      </c>
      <c r="H62" s="208">
        <v>2</v>
      </c>
      <c r="I62" s="210" t="s">
        <v>529</v>
      </c>
      <c r="J62" s="103">
        <v>80</v>
      </c>
      <c r="K62" s="66">
        <v>300</v>
      </c>
      <c r="L62" s="66">
        <v>850</v>
      </c>
      <c r="M62" s="164">
        <v>8.5204316589483007</v>
      </c>
      <c r="N62" s="78">
        <v>1656.0835200000001</v>
      </c>
      <c r="O62" s="113">
        <v>33473.539077716683</v>
      </c>
      <c r="P62" s="113">
        <v>35891.358538407345</v>
      </c>
      <c r="Q62" s="110">
        <v>12062.548266477399</v>
      </c>
      <c r="R62" s="113">
        <v>45536.087344194078</v>
      </c>
      <c r="S62" s="113">
        <v>47953.90680488474</v>
      </c>
      <c r="U62" s="7" t="s">
        <v>6196</v>
      </c>
    </row>
    <row r="63" spans="1:21" ht="16.5" thickBot="1">
      <c r="A63" s="207" t="s">
        <v>10</v>
      </c>
      <c r="B63" s="211">
        <f t="shared" si="3"/>
        <v>80</v>
      </c>
      <c r="C63" s="211" t="s">
        <v>3</v>
      </c>
      <c r="D63" s="211">
        <f t="shared" si="4"/>
        <v>300</v>
      </c>
      <c r="E63" s="211" t="s">
        <v>3</v>
      </c>
      <c r="F63" s="209">
        <f t="shared" si="5"/>
        <v>900</v>
      </c>
      <c r="G63" s="211" t="s">
        <v>3</v>
      </c>
      <c r="H63" s="208">
        <v>2</v>
      </c>
      <c r="I63" s="210" t="s">
        <v>529</v>
      </c>
      <c r="J63" s="103">
        <v>80</v>
      </c>
      <c r="K63" s="66">
        <v>300</v>
      </c>
      <c r="L63" s="66">
        <v>900</v>
      </c>
      <c r="M63" s="164">
        <v>8.9697290427267262</v>
      </c>
      <c r="N63" s="78">
        <v>1821.6918720000001</v>
      </c>
      <c r="O63" s="113">
        <v>35155.231323293025</v>
      </c>
      <c r="P63" s="113">
        <v>37668.378836639626</v>
      </c>
      <c r="Q63" s="110">
        <v>12586.189899449146</v>
      </c>
      <c r="R63" s="113">
        <v>47741.421222742167</v>
      </c>
      <c r="S63" s="113">
        <v>50254.568736088768</v>
      </c>
      <c r="U63" s="7" t="s">
        <v>6197</v>
      </c>
    </row>
    <row r="64" spans="1:21" ht="16.5" thickBot="1">
      <c r="A64" s="207" t="s">
        <v>10</v>
      </c>
      <c r="B64" s="211">
        <f t="shared" si="3"/>
        <v>80</v>
      </c>
      <c r="C64" s="211" t="s">
        <v>3</v>
      </c>
      <c r="D64" s="211">
        <f t="shared" si="4"/>
        <v>300</v>
      </c>
      <c r="E64" s="211" t="s">
        <v>3</v>
      </c>
      <c r="F64" s="209">
        <f t="shared" si="5"/>
        <v>950</v>
      </c>
      <c r="G64" s="211" t="s">
        <v>3</v>
      </c>
      <c r="H64" s="208">
        <v>2</v>
      </c>
      <c r="I64" s="210" t="s">
        <v>529</v>
      </c>
      <c r="J64" s="103">
        <v>80</v>
      </c>
      <c r="K64" s="66">
        <v>300</v>
      </c>
      <c r="L64" s="66">
        <v>950</v>
      </c>
      <c r="M64" s="164">
        <v>9.4627428265051492</v>
      </c>
      <c r="N64" s="78">
        <v>1987.3002240000003</v>
      </c>
      <c r="O64" s="113">
        <v>36836.923698943821</v>
      </c>
      <c r="P64" s="113">
        <v>39445.399264946362</v>
      </c>
      <c r="Q64" s="110">
        <v>13361.165670204662</v>
      </c>
      <c r="R64" s="113">
        <v>50198.089369148482</v>
      </c>
      <c r="S64" s="113">
        <v>52806.564935151022</v>
      </c>
      <c r="U64" s="7" t="s">
        <v>6198</v>
      </c>
    </row>
    <row r="65" spans="1:21" ht="16.5" thickBot="1">
      <c r="A65" s="207" t="s">
        <v>10</v>
      </c>
      <c r="B65" s="211">
        <f t="shared" si="3"/>
        <v>80</v>
      </c>
      <c r="C65" s="211" t="s">
        <v>3</v>
      </c>
      <c r="D65" s="211">
        <f t="shared" si="4"/>
        <v>300</v>
      </c>
      <c r="E65" s="211" t="s">
        <v>3</v>
      </c>
      <c r="F65" s="209">
        <f t="shared" si="5"/>
        <v>1000</v>
      </c>
      <c r="G65" s="211" t="s">
        <v>3</v>
      </c>
      <c r="H65" s="208">
        <v>2</v>
      </c>
      <c r="I65" s="210" t="s">
        <v>529</v>
      </c>
      <c r="J65" s="103">
        <v>80</v>
      </c>
      <c r="K65" s="66">
        <v>300</v>
      </c>
      <c r="L65" s="66">
        <v>1000</v>
      </c>
      <c r="M65" s="164">
        <v>9.8774602102835765</v>
      </c>
      <c r="N65" s="78">
        <v>2152.9085760000003</v>
      </c>
      <c r="O65" s="113">
        <v>38414.922023515122</v>
      </c>
      <c r="P65" s="113">
        <v>41125.331603209386</v>
      </c>
      <c r="Q65" s="110">
        <v>13884.807456205173</v>
      </c>
      <c r="R65" s="113">
        <v>52299.729479720292</v>
      </c>
      <c r="S65" s="113">
        <v>55010.139059414563</v>
      </c>
      <c r="U65" s="7" t="s">
        <v>6199</v>
      </c>
    </row>
    <row r="66" spans="1:21" ht="16.5" thickBot="1">
      <c r="A66" s="207" t="s">
        <v>10</v>
      </c>
      <c r="B66" s="211">
        <f t="shared" si="3"/>
        <v>80</v>
      </c>
      <c r="C66" s="211" t="s">
        <v>3</v>
      </c>
      <c r="D66" s="211">
        <f t="shared" si="4"/>
        <v>300</v>
      </c>
      <c r="E66" s="211" t="s">
        <v>3</v>
      </c>
      <c r="F66" s="209">
        <f t="shared" si="5"/>
        <v>1050</v>
      </c>
      <c r="G66" s="211" t="s">
        <v>3</v>
      </c>
      <c r="H66" s="208">
        <v>2</v>
      </c>
      <c r="I66" s="210" t="s">
        <v>529</v>
      </c>
      <c r="J66" s="103">
        <v>80</v>
      </c>
      <c r="K66" s="66">
        <v>300</v>
      </c>
      <c r="L66" s="66">
        <v>1050</v>
      </c>
      <c r="M66" s="164">
        <v>10.307683994062</v>
      </c>
      <c r="N66" s="78">
        <v>2318.516928</v>
      </c>
      <c r="O66" s="113">
        <v>40342.887477812219</v>
      </c>
      <c r="P66" s="113">
        <v>43132.936180332697</v>
      </c>
      <c r="Q66" s="110">
        <v>14659.78322696069</v>
      </c>
      <c r="R66" s="113">
        <v>55002.670704772907</v>
      </c>
      <c r="S66" s="113">
        <v>57792.719407293385</v>
      </c>
      <c r="U66" s="7" t="s">
        <v>6200</v>
      </c>
    </row>
    <row r="67" spans="1:21" ht="16.5" thickBot="1">
      <c r="A67" s="207" t="s">
        <v>10</v>
      </c>
      <c r="B67" s="208">
        <f t="shared" si="3"/>
        <v>80</v>
      </c>
      <c r="C67" s="208" t="s">
        <v>3</v>
      </c>
      <c r="D67" s="208">
        <f t="shared" si="4"/>
        <v>300</v>
      </c>
      <c r="E67" s="208" t="s">
        <v>3</v>
      </c>
      <c r="F67" s="209">
        <f t="shared" si="5"/>
        <v>1100</v>
      </c>
      <c r="G67" s="208" t="s">
        <v>3</v>
      </c>
      <c r="H67" s="208">
        <v>2</v>
      </c>
      <c r="I67" s="210" t="s">
        <v>529</v>
      </c>
      <c r="J67" s="103">
        <v>80</v>
      </c>
      <c r="K67" s="66">
        <v>300</v>
      </c>
      <c r="L67" s="66">
        <v>1100</v>
      </c>
      <c r="M67" s="164">
        <v>10.722401377840425</v>
      </c>
      <c r="N67" s="78">
        <v>2484.1252800000002</v>
      </c>
      <c r="O67" s="113">
        <v>42024.579853463016</v>
      </c>
      <c r="P67" s="113">
        <v>44909.956478564978</v>
      </c>
      <c r="Q67" s="110">
        <v>15183.425012961201</v>
      </c>
      <c r="R67" s="113">
        <v>57208.00486642422</v>
      </c>
      <c r="S67" s="113">
        <v>60093.381491526176</v>
      </c>
      <c r="U67" s="7" t="s">
        <v>6201</v>
      </c>
    </row>
    <row r="68" spans="1:21" ht="16.5" thickBot="1">
      <c r="A68" s="207" t="s">
        <v>10</v>
      </c>
      <c r="B68" s="211">
        <f t="shared" si="3"/>
        <v>80</v>
      </c>
      <c r="C68" s="211" t="s">
        <v>3</v>
      </c>
      <c r="D68" s="211">
        <f t="shared" si="4"/>
        <v>300</v>
      </c>
      <c r="E68" s="211" t="s">
        <v>3</v>
      </c>
      <c r="F68" s="209">
        <f t="shared" si="5"/>
        <v>1150</v>
      </c>
      <c r="G68" s="211" t="s">
        <v>3</v>
      </c>
      <c r="H68" s="208">
        <v>2</v>
      </c>
      <c r="I68" s="210" t="s">
        <v>529</v>
      </c>
      <c r="J68" s="103">
        <v>80</v>
      </c>
      <c r="K68" s="66">
        <v>300</v>
      </c>
      <c r="L68" s="66">
        <v>1150</v>
      </c>
      <c r="M68" s="164">
        <v>11.137118761618851</v>
      </c>
      <c r="N68" s="78">
        <v>2649.7336320000004</v>
      </c>
      <c r="O68" s="113">
        <v>42882.948825756481</v>
      </c>
      <c r="P68" s="113">
        <v>45916.104074503783</v>
      </c>
      <c r="Q68" s="110">
        <v>15707.066645932946</v>
      </c>
      <c r="R68" s="113">
        <v>58590.015471689425</v>
      </c>
      <c r="S68" s="113">
        <v>61623.170720436727</v>
      </c>
      <c r="U68" s="7" t="s">
        <v>6202</v>
      </c>
    </row>
    <row r="69" spans="1:21" ht="16.5" thickBot="1">
      <c r="A69" s="207" t="s">
        <v>10</v>
      </c>
      <c r="B69" s="211">
        <f t="shared" si="3"/>
        <v>80</v>
      </c>
      <c r="C69" s="211" t="s">
        <v>3</v>
      </c>
      <c r="D69" s="211">
        <f t="shared" si="4"/>
        <v>300</v>
      </c>
      <c r="E69" s="211" t="s">
        <v>3</v>
      </c>
      <c r="F69" s="209">
        <f t="shared" si="5"/>
        <v>1200</v>
      </c>
      <c r="G69" s="211" t="s">
        <v>3</v>
      </c>
      <c r="H69" s="208">
        <v>2</v>
      </c>
      <c r="I69" s="210" t="s">
        <v>529</v>
      </c>
      <c r="J69" s="103">
        <v>80</v>
      </c>
      <c r="K69" s="66">
        <v>300</v>
      </c>
      <c r="L69" s="66">
        <v>1200</v>
      </c>
      <c r="M69" s="164">
        <v>11.763220045397274</v>
      </c>
      <c r="N69" s="78">
        <v>2815.3419840000001</v>
      </c>
      <c r="O69" s="113">
        <v>43779.619390627391</v>
      </c>
      <c r="P69" s="113">
        <v>46958.112936256905</v>
      </c>
      <c r="Q69" s="110">
        <v>16482.042416688462</v>
      </c>
      <c r="R69" s="113">
        <v>60261.661807315853</v>
      </c>
      <c r="S69" s="113">
        <v>63440.155352945367</v>
      </c>
      <c r="U69" s="7" t="s">
        <v>6203</v>
      </c>
    </row>
    <row r="70" spans="1:21" ht="16.5" thickBot="1">
      <c r="A70" s="207" t="s">
        <v>10</v>
      </c>
      <c r="B70" s="211">
        <f t="shared" si="3"/>
        <v>80</v>
      </c>
      <c r="C70" s="211" t="s">
        <v>3</v>
      </c>
      <c r="D70" s="211">
        <f t="shared" si="4"/>
        <v>300</v>
      </c>
      <c r="E70" s="211" t="s">
        <v>3</v>
      </c>
      <c r="F70" s="209">
        <f t="shared" si="5"/>
        <v>1250</v>
      </c>
      <c r="G70" s="211" t="s">
        <v>3</v>
      </c>
      <c r="H70" s="208">
        <v>2</v>
      </c>
      <c r="I70" s="210" t="s">
        <v>529</v>
      </c>
      <c r="J70" s="103">
        <v>80</v>
      </c>
      <c r="K70" s="66">
        <v>300</v>
      </c>
      <c r="L70" s="66">
        <v>1250</v>
      </c>
      <c r="M70" s="164">
        <v>12.177937429175701</v>
      </c>
      <c r="N70" s="78">
        <v>2980.9503360000003</v>
      </c>
      <c r="O70" s="113">
        <v>44637.464032811476</v>
      </c>
      <c r="P70" s="113">
        <v>47963.769501145609</v>
      </c>
      <c r="Q70" s="110">
        <v>17005.684202688975</v>
      </c>
      <c r="R70" s="113">
        <v>61643.148235500455</v>
      </c>
      <c r="S70" s="113">
        <v>64969.453703834588</v>
      </c>
      <c r="U70" s="7" t="s">
        <v>6204</v>
      </c>
    </row>
    <row r="71" spans="1:21" ht="16.5" thickBot="1">
      <c r="A71" s="207" t="s">
        <v>10</v>
      </c>
      <c r="B71" s="211">
        <f t="shared" si="3"/>
        <v>80</v>
      </c>
      <c r="C71" s="211" t="s">
        <v>3</v>
      </c>
      <c r="D71" s="211">
        <f t="shared" si="4"/>
        <v>300</v>
      </c>
      <c r="E71" s="211" t="s">
        <v>3</v>
      </c>
      <c r="F71" s="209">
        <f t="shared" si="5"/>
        <v>1300</v>
      </c>
      <c r="G71" s="211" t="s">
        <v>3</v>
      </c>
      <c r="H71" s="208">
        <v>2</v>
      </c>
      <c r="I71" s="210" t="s">
        <v>529</v>
      </c>
      <c r="J71" s="103">
        <v>80</v>
      </c>
      <c r="K71" s="66">
        <v>300</v>
      </c>
      <c r="L71" s="66">
        <v>1300</v>
      </c>
      <c r="M71" s="164">
        <v>12.664581212954127</v>
      </c>
      <c r="N71" s="78">
        <v>3146.5586880000001</v>
      </c>
      <c r="O71" s="113">
        <v>48168.406788828477</v>
      </c>
      <c r="P71" s="113">
        <v>51472.232530503148</v>
      </c>
      <c r="Q71" s="110">
        <v>17780.65997344449</v>
      </c>
      <c r="R71" s="113">
        <v>65949.066762272967</v>
      </c>
      <c r="S71" s="113">
        <v>69252.892503947631</v>
      </c>
      <c r="U71" s="7" t="s">
        <v>6205</v>
      </c>
    </row>
    <row r="72" spans="1:21" ht="16.5" thickBot="1">
      <c r="A72" s="207" t="s">
        <v>10</v>
      </c>
      <c r="B72" s="211">
        <f t="shared" si="3"/>
        <v>80</v>
      </c>
      <c r="C72" s="211" t="s">
        <v>3</v>
      </c>
      <c r="D72" s="211">
        <f t="shared" si="4"/>
        <v>300</v>
      </c>
      <c r="E72" s="211" t="s">
        <v>3</v>
      </c>
      <c r="F72" s="209">
        <f t="shared" si="5"/>
        <v>1350</v>
      </c>
      <c r="G72" s="211" t="s">
        <v>3</v>
      </c>
      <c r="H72" s="208">
        <v>2</v>
      </c>
      <c r="I72" s="210" t="s">
        <v>529</v>
      </c>
      <c r="J72" s="103">
        <v>80</v>
      </c>
      <c r="K72" s="66">
        <v>300</v>
      </c>
      <c r="L72" s="66">
        <v>1350</v>
      </c>
      <c r="M72" s="164">
        <v>13.079298596732551</v>
      </c>
      <c r="N72" s="78">
        <v>3312.1670400000003</v>
      </c>
      <c r="O72" s="113">
        <v>49298.420511682474</v>
      </c>
      <c r="P72" s="113">
        <v>52732.719381903742</v>
      </c>
      <c r="Q72" s="110">
        <v>18304.301606416237</v>
      </c>
      <c r="R72" s="113">
        <v>67602.722118098711</v>
      </c>
      <c r="S72" s="113">
        <v>71037.020988319971</v>
      </c>
      <c r="U72" s="7" t="s">
        <v>6206</v>
      </c>
    </row>
    <row r="73" spans="1:21" ht="16.5" thickBot="1">
      <c r="A73" s="207" t="s">
        <v>10</v>
      </c>
      <c r="B73" s="211">
        <f t="shared" si="3"/>
        <v>80</v>
      </c>
      <c r="C73" s="211" t="s">
        <v>3</v>
      </c>
      <c r="D73" s="211">
        <f t="shared" si="4"/>
        <v>300</v>
      </c>
      <c r="E73" s="211" t="s">
        <v>3</v>
      </c>
      <c r="F73" s="209">
        <f t="shared" si="5"/>
        <v>1400</v>
      </c>
      <c r="G73" s="211" t="s">
        <v>3</v>
      </c>
      <c r="H73" s="208">
        <v>2</v>
      </c>
      <c r="I73" s="210" t="s">
        <v>529</v>
      </c>
      <c r="J73" s="103">
        <v>80</v>
      </c>
      <c r="K73" s="66">
        <v>300</v>
      </c>
      <c r="L73" s="66">
        <v>1400</v>
      </c>
      <c r="M73" s="164">
        <v>13.509522380510978</v>
      </c>
      <c r="N73" s="78">
        <v>3477.7753920000009</v>
      </c>
      <c r="O73" s="113">
        <v>50784.88232375127</v>
      </c>
      <c r="P73" s="113">
        <v>54326.946575348185</v>
      </c>
      <c r="Q73" s="110">
        <v>19079.277530200521</v>
      </c>
      <c r="R73" s="113">
        <v>69864.159853951787</v>
      </c>
      <c r="S73" s="113">
        <v>73406.22410554871</v>
      </c>
      <c r="U73" s="7" t="s">
        <v>6207</v>
      </c>
    </row>
    <row r="74" spans="1:21" ht="16.5" thickBot="1">
      <c r="A74" s="207" t="s">
        <v>10</v>
      </c>
      <c r="B74" s="211">
        <f t="shared" si="3"/>
        <v>80</v>
      </c>
      <c r="C74" s="211" t="s">
        <v>3</v>
      </c>
      <c r="D74" s="211">
        <f t="shared" si="4"/>
        <v>300</v>
      </c>
      <c r="E74" s="211" t="s">
        <v>3</v>
      </c>
      <c r="F74" s="209">
        <f t="shared" si="5"/>
        <v>1450</v>
      </c>
      <c r="G74" s="211" t="s">
        <v>3</v>
      </c>
      <c r="H74" s="208">
        <v>2</v>
      </c>
      <c r="I74" s="210" t="s">
        <v>529</v>
      </c>
      <c r="J74" s="103">
        <v>80</v>
      </c>
      <c r="K74" s="66">
        <v>300</v>
      </c>
      <c r="L74" s="66">
        <v>1450</v>
      </c>
      <c r="M74" s="164">
        <v>13.924239764289402</v>
      </c>
      <c r="N74" s="78">
        <v>3643.3837440000002</v>
      </c>
      <c r="O74" s="113">
        <v>51914.896176679722</v>
      </c>
      <c r="P74" s="113">
        <v>55587.433426748772</v>
      </c>
      <c r="Q74" s="110">
        <v>19602.919163172111</v>
      </c>
      <c r="R74" s="113">
        <v>71517.815339851833</v>
      </c>
      <c r="S74" s="113">
        <v>75190.352589920891</v>
      </c>
      <c r="U74" s="7" t="s">
        <v>6208</v>
      </c>
    </row>
    <row r="75" spans="1:21" ht="16.5" thickBot="1">
      <c r="A75" s="207" t="s">
        <v>10</v>
      </c>
      <c r="B75" s="211">
        <f t="shared" si="3"/>
        <v>80</v>
      </c>
      <c r="C75" s="211" t="s">
        <v>3</v>
      </c>
      <c r="D75" s="211">
        <f t="shared" si="4"/>
        <v>300</v>
      </c>
      <c r="E75" s="211" t="s">
        <v>3</v>
      </c>
      <c r="F75" s="209">
        <f t="shared" si="5"/>
        <v>1500</v>
      </c>
      <c r="G75" s="211" t="s">
        <v>3</v>
      </c>
      <c r="H75" s="208">
        <v>2</v>
      </c>
      <c r="I75" s="210" t="s">
        <v>529</v>
      </c>
      <c r="J75" s="103">
        <v>80</v>
      </c>
      <c r="K75" s="66">
        <v>300</v>
      </c>
      <c r="L75" s="66">
        <v>1500</v>
      </c>
      <c r="M75" s="164">
        <v>14.889147600515823</v>
      </c>
      <c r="N75" s="78">
        <v>3808.9920959999999</v>
      </c>
      <c r="O75" s="113">
        <v>53621.258992882889</v>
      </c>
      <c r="P75" s="113">
        <v>57522.30310279633</v>
      </c>
      <c r="Q75" s="110">
        <v>20377.895086956549</v>
      </c>
      <c r="R75" s="113">
        <v>73999.154079839442</v>
      </c>
      <c r="S75" s="113">
        <v>77900.198189752875</v>
      </c>
      <c r="U75" s="7" t="s">
        <v>6209</v>
      </c>
    </row>
    <row r="76" spans="1:21" ht="16.5" thickBot="1">
      <c r="A76" s="207" t="s">
        <v>10</v>
      </c>
      <c r="B76" s="211">
        <f t="shared" si="3"/>
        <v>80</v>
      </c>
      <c r="C76" s="211" t="s">
        <v>3</v>
      </c>
      <c r="D76" s="211">
        <f t="shared" si="4"/>
        <v>300</v>
      </c>
      <c r="E76" s="211" t="s">
        <v>3</v>
      </c>
      <c r="F76" s="209">
        <f t="shared" si="5"/>
        <v>1550</v>
      </c>
      <c r="G76" s="211" t="s">
        <v>3</v>
      </c>
      <c r="H76" s="208">
        <v>2</v>
      </c>
      <c r="I76" s="210" t="s">
        <v>529</v>
      </c>
      <c r="J76" s="103">
        <v>80</v>
      </c>
      <c r="K76" s="66">
        <v>300</v>
      </c>
      <c r="L76" s="66">
        <v>1550</v>
      </c>
      <c r="M76" s="164">
        <v>15.36665498429425</v>
      </c>
      <c r="N76" s="78">
        <v>3974.6004480000006</v>
      </c>
      <c r="O76" s="113">
        <v>54751.272845811342</v>
      </c>
      <c r="P76" s="113">
        <v>58782.789954196924</v>
      </c>
      <c r="Q76" s="110">
        <v>20901.536719928292</v>
      </c>
      <c r="R76" s="113">
        <v>75652.809565739633</v>
      </c>
      <c r="S76" s="113">
        <v>79684.326674125216</v>
      </c>
      <c r="U76" s="7" t="s">
        <v>6210</v>
      </c>
    </row>
    <row r="77" spans="1:21" ht="16.5" thickBot="1">
      <c r="A77" s="207" t="s">
        <v>10</v>
      </c>
      <c r="B77" s="208">
        <f t="shared" si="3"/>
        <v>80</v>
      </c>
      <c r="C77" s="208" t="s">
        <v>3</v>
      </c>
      <c r="D77" s="208">
        <f t="shared" si="4"/>
        <v>300</v>
      </c>
      <c r="E77" s="208" t="s">
        <v>3</v>
      </c>
      <c r="F77" s="209">
        <f t="shared" si="5"/>
        <v>1600</v>
      </c>
      <c r="G77" s="208" t="s">
        <v>3</v>
      </c>
      <c r="H77" s="208">
        <v>2</v>
      </c>
      <c r="I77" s="210" t="s">
        <v>529</v>
      </c>
      <c r="J77" s="103">
        <v>80</v>
      </c>
      <c r="K77" s="66">
        <v>300</v>
      </c>
      <c r="L77" s="66">
        <v>1600</v>
      </c>
      <c r="M77" s="164">
        <v>15.781372368072677</v>
      </c>
      <c r="N77" s="78">
        <v>4140.2088000000003</v>
      </c>
      <c r="O77" s="113">
        <v>58002.471635541922</v>
      </c>
      <c r="P77" s="113">
        <v>62029.330387636903</v>
      </c>
      <c r="Q77" s="110">
        <v>21425.178352900039</v>
      </c>
      <c r="R77" s="113">
        <v>79427.649988441961</v>
      </c>
      <c r="S77" s="113">
        <v>83454.508740536941</v>
      </c>
      <c r="U77" s="7" t="s">
        <v>6211</v>
      </c>
    </row>
    <row r="78" spans="1:21" ht="16.5" thickBot="1">
      <c r="A78" s="207" t="s">
        <v>10</v>
      </c>
      <c r="B78" s="211">
        <f t="shared" si="3"/>
        <v>80</v>
      </c>
      <c r="C78" s="211" t="s">
        <v>3</v>
      </c>
      <c r="D78" s="211">
        <f t="shared" si="4"/>
        <v>300</v>
      </c>
      <c r="E78" s="211" t="s">
        <v>3</v>
      </c>
      <c r="F78" s="209">
        <f t="shared" si="5"/>
        <v>1650</v>
      </c>
      <c r="G78" s="211" t="s">
        <v>3</v>
      </c>
      <c r="H78" s="208">
        <v>2</v>
      </c>
      <c r="I78" s="210" t="s">
        <v>529</v>
      </c>
      <c r="J78" s="103">
        <v>80</v>
      </c>
      <c r="K78" s="66">
        <v>300</v>
      </c>
      <c r="L78" s="66">
        <v>1650</v>
      </c>
      <c r="M78" s="164">
        <v>16.246176151851103</v>
      </c>
      <c r="N78" s="78">
        <v>4305.8171520000005</v>
      </c>
      <c r="O78" s="113">
        <v>61528.634025433887</v>
      </c>
      <c r="P78" s="113">
        <v>65533.317555157679</v>
      </c>
      <c r="Q78" s="110">
        <v>22200.154276684319</v>
      </c>
      <c r="R78" s="113">
        <v>83728.788302118206</v>
      </c>
      <c r="S78" s="113">
        <v>87733.471831842005</v>
      </c>
      <c r="U78" s="7" t="s">
        <v>6212</v>
      </c>
    </row>
    <row r="79" spans="1:21" ht="16.5" thickBot="1">
      <c r="A79" s="207" t="s">
        <v>10</v>
      </c>
      <c r="B79" s="211">
        <f t="shared" si="3"/>
        <v>80</v>
      </c>
      <c r="C79" s="211" t="s">
        <v>3</v>
      </c>
      <c r="D79" s="211">
        <f t="shared" si="4"/>
        <v>300</v>
      </c>
      <c r="E79" s="211" t="s">
        <v>3</v>
      </c>
      <c r="F79" s="209">
        <f t="shared" si="5"/>
        <v>1700</v>
      </c>
      <c r="G79" s="211" t="s">
        <v>3</v>
      </c>
      <c r="H79" s="208">
        <v>2</v>
      </c>
      <c r="I79" s="210" t="s">
        <v>529</v>
      </c>
      <c r="J79" s="103">
        <v>80</v>
      </c>
      <c r="K79" s="66">
        <v>300</v>
      </c>
      <c r="L79" s="66">
        <v>1700</v>
      </c>
      <c r="M79" s="164">
        <v>16.660893535629526</v>
      </c>
      <c r="N79" s="78">
        <v>4471.4255040000007</v>
      </c>
      <c r="O79" s="113">
        <v>62435.037150903809</v>
      </c>
      <c r="P79" s="113">
        <v>66584.439042679413</v>
      </c>
      <c r="Q79" s="110">
        <v>22723.795909656066</v>
      </c>
      <c r="R79" s="113">
        <v>85158.833060559875</v>
      </c>
      <c r="S79" s="113">
        <v>89308.234952335479</v>
      </c>
      <c r="U79" s="7" t="s">
        <v>6213</v>
      </c>
    </row>
    <row r="80" spans="1:21" ht="16.5" thickBot="1">
      <c r="A80" s="207" t="s">
        <v>10</v>
      </c>
      <c r="B80" s="211">
        <f t="shared" si="3"/>
        <v>80</v>
      </c>
      <c r="C80" s="211" t="s">
        <v>3</v>
      </c>
      <c r="D80" s="211">
        <f t="shared" si="4"/>
        <v>300</v>
      </c>
      <c r="E80" s="211" t="s">
        <v>3</v>
      </c>
      <c r="F80" s="209">
        <f t="shared" si="5"/>
        <v>1750</v>
      </c>
      <c r="G80" s="211" t="s">
        <v>3</v>
      </c>
      <c r="H80" s="208">
        <v>2</v>
      </c>
      <c r="I80" s="210" t="s">
        <v>529</v>
      </c>
      <c r="J80" s="103">
        <v>80</v>
      </c>
      <c r="K80" s="66">
        <v>300</v>
      </c>
      <c r="L80" s="66">
        <v>1750</v>
      </c>
      <c r="M80" s="164">
        <v>17.09111731940795</v>
      </c>
      <c r="N80" s="78">
        <v>4637.033856</v>
      </c>
      <c r="O80" s="113">
        <v>63258.432615506637</v>
      </c>
      <c r="P80" s="113">
        <v>67557.841046113273</v>
      </c>
      <c r="Q80" s="110">
        <v>23498.771833440347</v>
      </c>
      <c r="R80" s="113">
        <v>86757.204448946984</v>
      </c>
      <c r="S80" s="113">
        <v>91056.612879553621</v>
      </c>
      <c r="U80" s="7" t="s">
        <v>6214</v>
      </c>
    </row>
    <row r="81" spans="1:21" ht="16.5" thickBot="1">
      <c r="A81" s="207" t="s">
        <v>10</v>
      </c>
      <c r="B81" s="211">
        <f t="shared" si="3"/>
        <v>80</v>
      </c>
      <c r="C81" s="211" t="s">
        <v>3</v>
      </c>
      <c r="D81" s="211">
        <f t="shared" si="4"/>
        <v>300</v>
      </c>
      <c r="E81" s="211" t="s">
        <v>3</v>
      </c>
      <c r="F81" s="209">
        <f t="shared" si="5"/>
        <v>1800</v>
      </c>
      <c r="G81" s="211" t="s">
        <v>3</v>
      </c>
      <c r="H81" s="208">
        <v>2</v>
      </c>
      <c r="I81" s="210" t="s">
        <v>529</v>
      </c>
      <c r="J81" s="103">
        <v>80</v>
      </c>
      <c r="K81" s="66">
        <v>300</v>
      </c>
      <c r="L81" s="66">
        <v>1800</v>
      </c>
      <c r="M81" s="164">
        <v>17.568624703186373</v>
      </c>
      <c r="N81" s="78">
        <v>4802.6422080000002</v>
      </c>
      <c r="O81" s="113">
        <v>64165.594985543285</v>
      </c>
      <c r="P81" s="113">
        <v>68609.673390506214</v>
      </c>
      <c r="Q81" s="110">
        <v>24022.413466412094</v>
      </c>
      <c r="R81" s="113">
        <v>88188.008451955378</v>
      </c>
      <c r="S81" s="113">
        <v>92632.086856918308</v>
      </c>
      <c r="U81" s="7" t="s">
        <v>6215</v>
      </c>
    </row>
    <row r="82" spans="1:21" ht="16.5" thickBot="1">
      <c r="A82" s="207" t="s">
        <v>10</v>
      </c>
      <c r="B82" s="211">
        <f t="shared" si="3"/>
        <v>80</v>
      </c>
      <c r="C82" s="211" t="s">
        <v>3</v>
      </c>
      <c r="D82" s="211">
        <f t="shared" si="4"/>
        <v>300</v>
      </c>
      <c r="E82" s="211" t="s">
        <v>3</v>
      </c>
      <c r="F82" s="209">
        <f t="shared" si="5"/>
        <v>1850</v>
      </c>
      <c r="G82" s="211" t="s">
        <v>3</v>
      </c>
      <c r="H82" s="208">
        <v>2</v>
      </c>
      <c r="I82" s="210" t="s">
        <v>529</v>
      </c>
      <c r="J82" s="103">
        <v>80</v>
      </c>
      <c r="K82" s="66">
        <v>300</v>
      </c>
      <c r="L82" s="66">
        <v>1850</v>
      </c>
      <c r="M82" s="164">
        <v>18.055268486964799</v>
      </c>
      <c r="N82" s="78">
        <v>4968.2505600000004</v>
      </c>
      <c r="O82" s="113">
        <v>65072.704935576447</v>
      </c>
      <c r="P82" s="113">
        <v>69661.456696831345</v>
      </c>
      <c r="Q82" s="110">
        <v>24797.389237167612</v>
      </c>
      <c r="R82" s="113">
        <v>89870.094172744051</v>
      </c>
      <c r="S82" s="113">
        <v>94458.845933998964</v>
      </c>
      <c r="U82" s="7" t="s">
        <v>6216</v>
      </c>
    </row>
    <row r="83" spans="1:21" ht="16.5" thickBot="1">
      <c r="A83" s="207" t="s">
        <v>10</v>
      </c>
      <c r="B83" s="211">
        <f t="shared" si="3"/>
        <v>80</v>
      </c>
      <c r="C83" s="211" t="s">
        <v>3</v>
      </c>
      <c r="D83" s="211">
        <f t="shared" si="4"/>
        <v>300</v>
      </c>
      <c r="E83" s="211" t="s">
        <v>3</v>
      </c>
      <c r="F83" s="209">
        <f t="shared" si="5"/>
        <v>1900</v>
      </c>
      <c r="G83" s="211" t="s">
        <v>3</v>
      </c>
      <c r="H83" s="208">
        <v>2</v>
      </c>
      <c r="I83" s="210" t="s">
        <v>529</v>
      </c>
      <c r="J83" s="103">
        <v>80</v>
      </c>
      <c r="K83" s="66">
        <v>300</v>
      </c>
      <c r="L83" s="66">
        <v>1900</v>
      </c>
      <c r="M83" s="164">
        <v>18.469985870743226</v>
      </c>
      <c r="N83" s="78">
        <v>5133.8589120000006</v>
      </c>
      <c r="O83" s="113">
        <v>66170.624088549535</v>
      </c>
      <c r="P83" s="113">
        <v>70891.893618636197</v>
      </c>
      <c r="Q83" s="110">
        <v>25321.031023168125</v>
      </c>
      <c r="R83" s="113">
        <v>91491.655111717657</v>
      </c>
      <c r="S83" s="113">
        <v>96212.924641804319</v>
      </c>
      <c r="U83" s="7" t="s">
        <v>6217</v>
      </c>
    </row>
    <row r="84" spans="1:21" ht="16.5" thickBot="1">
      <c r="A84" s="207" t="s">
        <v>10</v>
      </c>
      <c r="B84" s="211">
        <f t="shared" si="3"/>
        <v>80</v>
      </c>
      <c r="C84" s="211" t="s">
        <v>3</v>
      </c>
      <c r="D84" s="211">
        <f t="shared" si="4"/>
        <v>300</v>
      </c>
      <c r="E84" s="211" t="s">
        <v>3</v>
      </c>
      <c r="F84" s="209">
        <f t="shared" si="5"/>
        <v>1950</v>
      </c>
      <c r="G84" s="211" t="s">
        <v>3</v>
      </c>
      <c r="H84" s="208">
        <v>2</v>
      </c>
      <c r="I84" s="210" t="s">
        <v>529</v>
      </c>
      <c r="J84" s="103">
        <v>80</v>
      </c>
      <c r="K84" s="66">
        <v>300</v>
      </c>
      <c r="L84" s="66">
        <v>1950</v>
      </c>
      <c r="M84" s="164">
        <v>19.024160754521652</v>
      </c>
      <c r="N84" s="78">
        <v>5299.4672640000008</v>
      </c>
      <c r="O84" s="113">
        <v>67442.072704105012</v>
      </c>
      <c r="P84" s="113">
        <v>72284.805235636522</v>
      </c>
      <c r="Q84" s="110">
        <v>25844.672656139872</v>
      </c>
      <c r="R84" s="113">
        <v>93286.74536024488</v>
      </c>
      <c r="S84" s="113">
        <v>98129.477891776391</v>
      </c>
      <c r="U84" s="7" t="s">
        <v>6218</v>
      </c>
    </row>
    <row r="85" spans="1:21" ht="16.5" thickBot="1">
      <c r="A85" s="207" t="s">
        <v>10</v>
      </c>
      <c r="B85" s="211">
        <f t="shared" si="3"/>
        <v>80</v>
      </c>
      <c r="C85" s="211" t="s">
        <v>3</v>
      </c>
      <c r="D85" s="211">
        <f t="shared" si="4"/>
        <v>300</v>
      </c>
      <c r="E85" s="211" t="s">
        <v>3</v>
      </c>
      <c r="F85" s="209">
        <f t="shared" si="5"/>
        <v>2000</v>
      </c>
      <c r="G85" s="211" t="s">
        <v>3</v>
      </c>
      <c r="H85" s="208">
        <v>2</v>
      </c>
      <c r="I85" s="210" t="s">
        <v>529</v>
      </c>
      <c r="J85" s="103">
        <v>80</v>
      </c>
      <c r="K85" s="66">
        <v>300</v>
      </c>
      <c r="L85" s="66">
        <v>2000</v>
      </c>
      <c r="M85" s="164">
        <v>19.537706322300078</v>
      </c>
      <c r="N85" s="78">
        <v>5465.0756160000001</v>
      </c>
      <c r="O85" s="113">
        <v>68574.029869321792</v>
      </c>
      <c r="P85" s="113">
        <v>73754.491996215118</v>
      </c>
      <c r="Q85" s="110">
        <v>26619.648426895383</v>
      </c>
      <c r="R85" s="113">
        <v>95193.678296217171</v>
      </c>
      <c r="S85" s="113">
        <v>100374.1404231105</v>
      </c>
      <c r="U85" s="7" t="s">
        <v>6219</v>
      </c>
    </row>
    <row r="86" spans="1:21" ht="16.5" thickBot="1">
      <c r="A86" s="207" t="s">
        <v>10</v>
      </c>
      <c r="B86" s="211">
        <f t="shared" si="3"/>
        <v>80</v>
      </c>
      <c r="C86" s="211" t="s">
        <v>3</v>
      </c>
      <c r="D86" s="211">
        <f t="shared" si="4"/>
        <v>300</v>
      </c>
      <c r="E86" s="211" t="s">
        <v>3</v>
      </c>
      <c r="F86" s="209">
        <f t="shared" si="5"/>
        <v>2050</v>
      </c>
      <c r="G86" s="211" t="s">
        <v>3</v>
      </c>
      <c r="H86" s="208">
        <v>2</v>
      </c>
      <c r="I86" s="210" t="s">
        <v>529</v>
      </c>
      <c r="J86" s="103">
        <v>80</v>
      </c>
      <c r="K86" s="66">
        <v>300</v>
      </c>
      <c r="L86" s="66">
        <v>2050</v>
      </c>
      <c r="M86" s="164">
        <v>19.952423706078502</v>
      </c>
      <c r="N86" s="78">
        <v>5630.6839680000003</v>
      </c>
      <c r="O86" s="113">
        <v>71818.067280113552</v>
      </c>
      <c r="P86" s="113">
        <v>76994.327221813684</v>
      </c>
      <c r="Q86" s="110">
        <v>27143.290212895896</v>
      </c>
      <c r="R86" s="113">
        <v>98961.357493009447</v>
      </c>
      <c r="S86" s="113">
        <v>104137.61743470958</v>
      </c>
      <c r="U86" s="7" t="s">
        <v>6220</v>
      </c>
    </row>
    <row r="87" spans="1:21" ht="16.5" thickBot="1">
      <c r="A87" s="207" t="s">
        <v>10</v>
      </c>
      <c r="B87" s="208">
        <f t="shared" si="3"/>
        <v>80</v>
      </c>
      <c r="C87" s="208" t="s">
        <v>3</v>
      </c>
      <c r="D87" s="208">
        <f t="shared" si="4"/>
        <v>300</v>
      </c>
      <c r="E87" s="208" t="s">
        <v>3</v>
      </c>
      <c r="F87" s="209">
        <f t="shared" si="5"/>
        <v>2100</v>
      </c>
      <c r="G87" s="208" t="s">
        <v>3</v>
      </c>
      <c r="H87" s="208">
        <v>2</v>
      </c>
      <c r="I87" s="210" t="s">
        <v>529</v>
      </c>
      <c r="J87" s="103">
        <v>80</v>
      </c>
      <c r="K87" s="66">
        <v>300</v>
      </c>
      <c r="L87" s="66">
        <v>2100</v>
      </c>
      <c r="M87" s="164">
        <v>20.382647489856929</v>
      </c>
      <c r="N87" s="78">
        <v>5796.2923200000005</v>
      </c>
      <c r="O87" s="113">
        <v>72792.680796978049</v>
      </c>
      <c r="P87" s="113">
        <v>78109.313703566921</v>
      </c>
      <c r="Q87" s="110">
        <v>27918.265983651414</v>
      </c>
      <c r="R87" s="113">
        <v>100710.94678062946</v>
      </c>
      <c r="S87" s="113">
        <v>106027.57968721833</v>
      </c>
      <c r="U87" s="7" t="s">
        <v>6221</v>
      </c>
    </row>
    <row r="88" spans="1:21" ht="16.5" thickBot="1">
      <c r="A88" s="207" t="s">
        <v>10</v>
      </c>
      <c r="B88" s="211">
        <f t="shared" si="3"/>
        <v>80</v>
      </c>
      <c r="C88" s="211" t="s">
        <v>3</v>
      </c>
      <c r="D88" s="211">
        <f t="shared" si="4"/>
        <v>300</v>
      </c>
      <c r="E88" s="211" t="s">
        <v>3</v>
      </c>
      <c r="F88" s="209">
        <f t="shared" si="5"/>
        <v>2150</v>
      </c>
      <c r="G88" s="211" t="s">
        <v>3</v>
      </c>
      <c r="H88" s="208">
        <v>2</v>
      </c>
      <c r="I88" s="210" t="s">
        <v>529</v>
      </c>
      <c r="J88" s="103">
        <v>80</v>
      </c>
      <c r="K88" s="66">
        <v>300</v>
      </c>
      <c r="L88" s="66">
        <v>2150</v>
      </c>
      <c r="M88" s="164">
        <v>20.910204873635355</v>
      </c>
      <c r="N88" s="78">
        <v>5961.9006720000007</v>
      </c>
      <c r="O88" s="113">
        <v>73928.19718937992</v>
      </c>
      <c r="P88" s="113">
        <v>79374.952673871681</v>
      </c>
      <c r="Q88" s="110">
        <v>28441.907769651927</v>
      </c>
      <c r="R88" s="113">
        <v>102370.10495903184</v>
      </c>
      <c r="S88" s="113">
        <v>107816.8604435236</v>
      </c>
      <c r="U88" s="7" t="s">
        <v>6222</v>
      </c>
    </row>
    <row r="89" spans="1:21" ht="16.5" thickBot="1">
      <c r="A89" s="207" t="s">
        <v>10</v>
      </c>
      <c r="B89" s="211">
        <f t="shared" si="3"/>
        <v>80</v>
      </c>
      <c r="C89" s="211" t="s">
        <v>3</v>
      </c>
      <c r="D89" s="211">
        <f t="shared" si="4"/>
        <v>300</v>
      </c>
      <c r="E89" s="211" t="s">
        <v>3</v>
      </c>
      <c r="F89" s="209">
        <f t="shared" si="5"/>
        <v>2200</v>
      </c>
      <c r="G89" s="211" t="s">
        <v>3</v>
      </c>
      <c r="H89" s="208">
        <v>2</v>
      </c>
      <c r="I89" s="210" t="s">
        <v>529</v>
      </c>
      <c r="J89" s="103">
        <v>80</v>
      </c>
      <c r="K89" s="66">
        <v>300</v>
      </c>
      <c r="L89" s="66">
        <v>2200</v>
      </c>
      <c r="M89" s="164">
        <v>21.340428657413778</v>
      </c>
      <c r="N89" s="78">
        <v>6127.5090240000009</v>
      </c>
      <c r="O89" s="113">
        <v>75063.661161778291</v>
      </c>
      <c r="P89" s="113">
        <v>80640.542606108647</v>
      </c>
      <c r="Q89" s="110">
        <v>29216.883540407438</v>
      </c>
      <c r="R89" s="113">
        <v>104280.54470218573</v>
      </c>
      <c r="S89" s="113">
        <v>109857.42614651608</v>
      </c>
      <c r="U89" s="7" t="s">
        <v>6223</v>
      </c>
    </row>
    <row r="90" spans="1:21" ht="16.5" thickBot="1">
      <c r="A90" s="207" t="s">
        <v>10</v>
      </c>
      <c r="B90" s="211">
        <f t="shared" si="3"/>
        <v>80</v>
      </c>
      <c r="C90" s="211" t="s">
        <v>3</v>
      </c>
      <c r="D90" s="211">
        <f t="shared" si="4"/>
        <v>300</v>
      </c>
      <c r="E90" s="211" t="s">
        <v>3</v>
      </c>
      <c r="F90" s="209">
        <f t="shared" si="5"/>
        <v>2250</v>
      </c>
      <c r="G90" s="211" t="s">
        <v>3</v>
      </c>
      <c r="H90" s="208">
        <v>2</v>
      </c>
      <c r="I90" s="210" t="s">
        <v>529</v>
      </c>
      <c r="J90" s="103">
        <v>80</v>
      </c>
      <c r="K90" s="66">
        <v>300</v>
      </c>
      <c r="L90" s="66">
        <v>2250</v>
      </c>
      <c r="M90" s="164">
        <v>21.755146041192205</v>
      </c>
      <c r="N90" s="78">
        <v>6293.1173760000001</v>
      </c>
      <c r="O90" s="113">
        <v>76547.501193225704</v>
      </c>
      <c r="P90" s="113">
        <v>82232.315034525964</v>
      </c>
      <c r="Q90" s="110">
        <v>29740.525173379188</v>
      </c>
      <c r="R90" s="113">
        <v>106288.0263666049</v>
      </c>
      <c r="S90" s="113">
        <v>111972.84020790516</v>
      </c>
      <c r="U90" s="7" t="s">
        <v>6224</v>
      </c>
    </row>
    <row r="91" spans="1:21" ht="16.5" thickBot="1">
      <c r="A91" s="207" t="s">
        <v>10</v>
      </c>
      <c r="B91" s="211">
        <f t="shared" si="3"/>
        <v>80</v>
      </c>
      <c r="C91" s="211" t="s">
        <v>3</v>
      </c>
      <c r="D91" s="211">
        <f t="shared" si="4"/>
        <v>300</v>
      </c>
      <c r="E91" s="211" t="s">
        <v>3</v>
      </c>
      <c r="F91" s="209">
        <f t="shared" si="5"/>
        <v>2300</v>
      </c>
      <c r="G91" s="211" t="s">
        <v>3</v>
      </c>
      <c r="H91" s="208">
        <v>2</v>
      </c>
      <c r="I91" s="210" t="s">
        <v>529</v>
      </c>
      <c r="J91" s="103">
        <v>80</v>
      </c>
      <c r="K91" s="66">
        <v>300</v>
      </c>
      <c r="L91" s="66">
        <v>2300</v>
      </c>
      <c r="M91" s="164">
        <v>22.169863424970629</v>
      </c>
      <c r="N91" s="78">
        <v>6458.7257280000003</v>
      </c>
      <c r="O91" s="113">
        <v>77418.198101626142</v>
      </c>
      <c r="P91" s="113">
        <v>83250.005046966035</v>
      </c>
      <c r="Q91" s="110">
        <v>30264.166959379701</v>
      </c>
      <c r="R91" s="113">
        <v>107682.36506100584</v>
      </c>
      <c r="S91" s="113">
        <v>113514.17200634573</v>
      </c>
      <c r="U91" s="7" t="s">
        <v>6225</v>
      </c>
    </row>
    <row r="92" spans="1:21" ht="16.5" thickBot="1">
      <c r="A92" s="207" t="s">
        <v>10</v>
      </c>
      <c r="B92" s="211">
        <f t="shared" si="3"/>
        <v>80</v>
      </c>
      <c r="C92" s="211" t="s">
        <v>3</v>
      </c>
      <c r="D92" s="211">
        <f t="shared" si="4"/>
        <v>300</v>
      </c>
      <c r="E92" s="211" t="s">
        <v>3</v>
      </c>
      <c r="F92" s="209">
        <f t="shared" si="5"/>
        <v>2350</v>
      </c>
      <c r="G92" s="211" t="s">
        <v>3</v>
      </c>
      <c r="H92" s="208">
        <v>2</v>
      </c>
      <c r="I92" s="210" t="s">
        <v>529</v>
      </c>
      <c r="J92" s="103">
        <v>80</v>
      </c>
      <c r="K92" s="66">
        <v>300</v>
      </c>
      <c r="L92" s="66">
        <v>2350</v>
      </c>
      <c r="M92" s="164">
        <v>22.600087208749052</v>
      </c>
      <c r="N92" s="78">
        <v>6624.3340800000005</v>
      </c>
      <c r="O92" s="113">
        <v>78288.842720097527</v>
      </c>
      <c r="P92" s="113">
        <v>84267.646151412773</v>
      </c>
      <c r="Q92" s="110">
        <v>31039.142730135216</v>
      </c>
      <c r="R92" s="113">
        <v>109327.98545023275</v>
      </c>
      <c r="S92" s="113">
        <v>115306.78888154798</v>
      </c>
      <c r="U92" s="7" t="s">
        <v>6226</v>
      </c>
    </row>
    <row r="93" spans="1:21" ht="16.5" thickBot="1">
      <c r="A93" s="207" t="s">
        <v>10</v>
      </c>
      <c r="B93" s="211">
        <f t="shared" si="3"/>
        <v>80</v>
      </c>
      <c r="C93" s="211" t="s">
        <v>3</v>
      </c>
      <c r="D93" s="211">
        <f t="shared" si="4"/>
        <v>300</v>
      </c>
      <c r="E93" s="211" t="s">
        <v>3</v>
      </c>
      <c r="F93" s="209">
        <f t="shared" si="5"/>
        <v>2400</v>
      </c>
      <c r="G93" s="211" t="s">
        <v>3</v>
      </c>
      <c r="H93" s="208">
        <v>2</v>
      </c>
      <c r="I93" s="210" t="s">
        <v>529</v>
      </c>
      <c r="J93" s="103">
        <v>80</v>
      </c>
      <c r="K93" s="66">
        <v>300</v>
      </c>
      <c r="L93" s="66">
        <v>2400</v>
      </c>
      <c r="M93" s="164">
        <v>23.014804592527476</v>
      </c>
      <c r="N93" s="78">
        <v>6789.9424319999998</v>
      </c>
      <c r="O93" s="113">
        <v>79159.434788490966</v>
      </c>
      <c r="P93" s="113">
        <v>85285.238087717255</v>
      </c>
      <c r="Q93" s="110">
        <v>31562.784363106966</v>
      </c>
      <c r="R93" s="113">
        <v>110722.21915159794</v>
      </c>
      <c r="S93" s="113">
        <v>116848.02245082422</v>
      </c>
      <c r="U93" s="7" t="s">
        <v>6227</v>
      </c>
    </row>
    <row r="94" spans="1:21" ht="16.5" thickBot="1">
      <c r="A94" s="207" t="s">
        <v>10</v>
      </c>
      <c r="B94" s="211">
        <f t="shared" si="3"/>
        <v>80</v>
      </c>
      <c r="C94" s="211" t="s">
        <v>3</v>
      </c>
      <c r="D94" s="211">
        <f t="shared" si="4"/>
        <v>300</v>
      </c>
      <c r="E94" s="211" t="s">
        <v>3</v>
      </c>
      <c r="F94" s="209">
        <f t="shared" si="5"/>
        <v>2450</v>
      </c>
      <c r="G94" s="211" t="s">
        <v>3</v>
      </c>
      <c r="H94" s="208">
        <v>2</v>
      </c>
      <c r="I94" s="210" t="s">
        <v>529</v>
      </c>
      <c r="J94" s="103">
        <v>80</v>
      </c>
      <c r="K94" s="66">
        <v>300</v>
      </c>
      <c r="L94" s="66">
        <v>2450</v>
      </c>
      <c r="M94" s="164">
        <v>24.083452428753898</v>
      </c>
      <c r="N94" s="78">
        <v>6955.5507840000018</v>
      </c>
      <c r="O94" s="113">
        <v>80606.323660304522</v>
      </c>
      <c r="P94" s="113">
        <v>86977.163550452038</v>
      </c>
      <c r="Q94" s="110">
        <v>32337.760286891244</v>
      </c>
      <c r="R94" s="113">
        <v>112944.08394719576</v>
      </c>
      <c r="S94" s="113">
        <v>119314.92383734329</v>
      </c>
      <c r="U94" s="7" t="s">
        <v>6228</v>
      </c>
    </row>
    <row r="95" spans="1:21" ht="16.5" thickBot="1">
      <c r="A95" s="207" t="s">
        <v>10</v>
      </c>
      <c r="B95" s="211">
        <f t="shared" si="3"/>
        <v>80</v>
      </c>
      <c r="C95" s="211" t="s">
        <v>3</v>
      </c>
      <c r="D95" s="211">
        <f t="shared" si="4"/>
        <v>300</v>
      </c>
      <c r="E95" s="211" t="s">
        <v>3</v>
      </c>
      <c r="F95" s="209">
        <f t="shared" si="5"/>
        <v>2500</v>
      </c>
      <c r="G95" s="211" t="s">
        <v>3</v>
      </c>
      <c r="H95" s="208">
        <v>2</v>
      </c>
      <c r="I95" s="210" t="s">
        <v>529</v>
      </c>
      <c r="J95" s="103">
        <v>80</v>
      </c>
      <c r="K95" s="66">
        <v>300</v>
      </c>
      <c r="L95" s="66">
        <v>2500</v>
      </c>
      <c r="M95" s="164">
        <v>24.513639812532329</v>
      </c>
      <c r="N95" s="78">
        <v>7121.1591360000002</v>
      </c>
      <c r="O95" s="113">
        <v>81476.810888690976</v>
      </c>
      <c r="P95" s="113">
        <v>87994.657280546526</v>
      </c>
      <c r="Q95" s="110">
        <v>32861.40191986299</v>
      </c>
      <c r="R95" s="113">
        <v>114338.21280855397</v>
      </c>
      <c r="S95" s="113">
        <v>120856.05920040951</v>
      </c>
      <c r="U95" s="7" t="s">
        <v>6229</v>
      </c>
    </row>
    <row r="96" spans="1:21" ht="16.5" thickBot="1">
      <c r="A96" s="207" t="s">
        <v>10</v>
      </c>
      <c r="B96" s="211">
        <f t="shared" si="3"/>
        <v>80</v>
      </c>
      <c r="C96" s="211" t="s">
        <v>3</v>
      </c>
      <c r="D96" s="211">
        <f t="shared" si="4"/>
        <v>300</v>
      </c>
      <c r="E96" s="211" t="s">
        <v>3</v>
      </c>
      <c r="F96" s="209">
        <f t="shared" si="5"/>
        <v>2550</v>
      </c>
      <c r="G96" s="211" t="s">
        <v>3</v>
      </c>
      <c r="H96" s="208">
        <v>2</v>
      </c>
      <c r="I96" s="210" t="s">
        <v>529</v>
      </c>
      <c r="J96" s="103">
        <v>80</v>
      </c>
      <c r="K96" s="66">
        <v>300</v>
      </c>
      <c r="L96" s="66">
        <v>2550</v>
      </c>
      <c r="M96" s="164">
        <v>24.943863596310752</v>
      </c>
      <c r="N96" s="78">
        <v>7286.7674880000004</v>
      </c>
      <c r="O96" s="113">
        <v>85938.071868397048</v>
      </c>
      <c r="P96" s="113">
        <v>92374.171801256161</v>
      </c>
      <c r="Q96" s="110">
        <v>33636.377843647271</v>
      </c>
      <c r="R96" s="113">
        <v>119574.44971204433</v>
      </c>
      <c r="S96" s="113">
        <v>126010.54964490343</v>
      </c>
      <c r="U96" s="7" t="s">
        <v>6230</v>
      </c>
    </row>
    <row r="97" spans="1:21" ht="16.5" thickBot="1">
      <c r="A97" s="207" t="s">
        <v>10</v>
      </c>
      <c r="B97" s="208">
        <f t="shared" si="3"/>
        <v>80</v>
      </c>
      <c r="C97" s="208" t="s">
        <v>3</v>
      </c>
      <c r="D97" s="208">
        <f t="shared" si="4"/>
        <v>300</v>
      </c>
      <c r="E97" s="208" t="s">
        <v>3</v>
      </c>
      <c r="F97" s="209">
        <f t="shared" si="5"/>
        <v>2600</v>
      </c>
      <c r="G97" s="208" t="s">
        <v>3</v>
      </c>
      <c r="H97" s="208">
        <v>2</v>
      </c>
      <c r="I97" s="210" t="s">
        <v>529</v>
      </c>
      <c r="J97" s="103">
        <v>80</v>
      </c>
      <c r="K97" s="66">
        <v>300</v>
      </c>
      <c r="L97" s="66">
        <v>2600</v>
      </c>
      <c r="M97" s="164">
        <v>25.358580980089176</v>
      </c>
      <c r="N97" s="78">
        <v>7452.3758400000015</v>
      </c>
      <c r="O97" s="113">
        <v>87103.412120999972</v>
      </c>
      <c r="P97" s="113">
        <v>93667.734764340043</v>
      </c>
      <c r="Q97" s="110">
        <v>34160.019476619018</v>
      </c>
      <c r="R97" s="113">
        <v>121263.431597619</v>
      </c>
      <c r="S97" s="113">
        <v>127827.75424095907</v>
      </c>
      <c r="U97" s="7" t="s">
        <v>6231</v>
      </c>
    </row>
    <row r="98" spans="1:21" ht="16.5" thickBot="1">
      <c r="A98" s="207" t="s">
        <v>10</v>
      </c>
      <c r="B98" s="211">
        <f t="shared" si="3"/>
        <v>80</v>
      </c>
      <c r="C98" s="211" t="s">
        <v>3</v>
      </c>
      <c r="D98" s="211">
        <f t="shared" si="4"/>
        <v>300</v>
      </c>
      <c r="E98" s="211" t="s">
        <v>3</v>
      </c>
      <c r="F98" s="209">
        <f t="shared" si="5"/>
        <v>2650</v>
      </c>
      <c r="G98" s="211" t="s">
        <v>3</v>
      </c>
      <c r="H98" s="208">
        <v>2</v>
      </c>
      <c r="I98" s="210" t="s">
        <v>529</v>
      </c>
      <c r="J98" s="103">
        <v>80</v>
      </c>
      <c r="K98" s="66">
        <v>300</v>
      </c>
      <c r="L98" s="66">
        <v>2650</v>
      </c>
      <c r="M98" s="164">
        <v>25.886174763867604</v>
      </c>
      <c r="N98" s="78">
        <v>7617.9841919999999</v>
      </c>
      <c r="O98" s="113">
        <v>87799.376898450035</v>
      </c>
      <c r="P98" s="113">
        <v>94521.82402706788</v>
      </c>
      <c r="Q98" s="110">
        <v>34934.995247374536</v>
      </c>
      <c r="R98" s="113">
        <v>122734.37214582457</v>
      </c>
      <c r="S98" s="113">
        <v>129456.81927444242</v>
      </c>
      <c r="U98" s="7" t="s">
        <v>6232</v>
      </c>
    </row>
    <row r="99" spans="1:21" ht="16.5" thickBot="1">
      <c r="A99" s="207" t="s">
        <v>10</v>
      </c>
      <c r="B99" s="211">
        <f t="shared" si="3"/>
        <v>80</v>
      </c>
      <c r="C99" s="211" t="s">
        <v>3</v>
      </c>
      <c r="D99" s="211">
        <f t="shared" si="4"/>
        <v>300</v>
      </c>
      <c r="E99" s="211" t="s">
        <v>3</v>
      </c>
      <c r="F99" s="209">
        <f t="shared" si="5"/>
        <v>2700</v>
      </c>
      <c r="G99" s="211" t="s">
        <v>3</v>
      </c>
      <c r="H99" s="208">
        <v>2</v>
      </c>
      <c r="I99" s="210" t="s">
        <v>529</v>
      </c>
      <c r="J99" s="103">
        <v>80</v>
      </c>
      <c r="K99" s="66">
        <v>300</v>
      </c>
      <c r="L99" s="66">
        <v>2700</v>
      </c>
      <c r="M99" s="164">
        <v>26.336609647646029</v>
      </c>
      <c r="N99" s="78">
        <v>7783.592544000001</v>
      </c>
      <c r="O99" s="113">
        <v>88533.852688342624</v>
      </c>
      <c r="P99" s="113">
        <v>95411.971098104535</v>
      </c>
      <c r="Q99" s="110">
        <v>35458.637033375046</v>
      </c>
      <c r="R99" s="113">
        <v>123992.48972171766</v>
      </c>
      <c r="S99" s="113">
        <v>130870.60813147959</v>
      </c>
      <c r="U99" s="7" t="s">
        <v>6233</v>
      </c>
    </row>
    <row r="100" spans="1:21" ht="16.5" thickBot="1">
      <c r="A100" s="207" t="s">
        <v>10</v>
      </c>
      <c r="B100" s="211">
        <f t="shared" si="3"/>
        <v>80</v>
      </c>
      <c r="C100" s="211" t="s">
        <v>3</v>
      </c>
      <c r="D100" s="211">
        <f t="shared" si="4"/>
        <v>300</v>
      </c>
      <c r="E100" s="211" t="s">
        <v>3</v>
      </c>
      <c r="F100" s="209">
        <f t="shared" si="5"/>
        <v>2750</v>
      </c>
      <c r="G100" s="211" t="s">
        <v>3</v>
      </c>
      <c r="H100" s="208">
        <v>2</v>
      </c>
      <c r="I100" s="210" t="s">
        <v>529</v>
      </c>
      <c r="J100" s="103">
        <v>80</v>
      </c>
      <c r="K100" s="66">
        <v>300</v>
      </c>
      <c r="L100" s="66">
        <v>2750</v>
      </c>
      <c r="M100" s="164">
        <v>26.751327031424452</v>
      </c>
      <c r="N100" s="78">
        <v>7949.2008960000012</v>
      </c>
      <c r="O100" s="113">
        <v>89318.824550533565</v>
      </c>
      <c r="P100" s="113">
        <v>96349.397240133316</v>
      </c>
      <c r="Q100" s="110">
        <v>35982.278666346792</v>
      </c>
      <c r="R100" s="113">
        <v>125301.10321688035</v>
      </c>
      <c r="S100" s="113">
        <v>132331.67590648012</v>
      </c>
      <c r="U100" s="7" t="s">
        <v>6234</v>
      </c>
    </row>
    <row r="101" spans="1:21" ht="16.5" thickBot="1">
      <c r="A101" s="207" t="s">
        <v>10</v>
      </c>
      <c r="B101" s="211">
        <f t="shared" si="3"/>
        <v>80</v>
      </c>
      <c r="C101" s="211" t="s">
        <v>3</v>
      </c>
      <c r="D101" s="211">
        <f t="shared" si="4"/>
        <v>300</v>
      </c>
      <c r="E101" s="211" t="s">
        <v>3</v>
      </c>
      <c r="F101" s="209">
        <f t="shared" si="5"/>
        <v>2800</v>
      </c>
      <c r="G101" s="211" t="s">
        <v>3</v>
      </c>
      <c r="H101" s="208">
        <v>2</v>
      </c>
      <c r="I101" s="210" t="s">
        <v>529</v>
      </c>
      <c r="J101" s="103">
        <v>80</v>
      </c>
      <c r="K101" s="66">
        <v>300</v>
      </c>
      <c r="L101" s="66">
        <v>2800</v>
      </c>
      <c r="M101" s="164">
        <v>27.181550815202879</v>
      </c>
      <c r="N101" s="78">
        <v>8114.8092480000014</v>
      </c>
      <c r="O101" s="113">
        <v>90013.443707794708</v>
      </c>
      <c r="P101" s="113">
        <v>97202.226731809467</v>
      </c>
      <c r="Q101" s="110">
        <v>36757.25443710231</v>
      </c>
      <c r="R101" s="113">
        <v>126770.69814489702</v>
      </c>
      <c r="S101" s="113">
        <v>133959.48116891179</v>
      </c>
      <c r="U101" s="7" t="s">
        <v>6235</v>
      </c>
    </row>
    <row r="102" spans="1:21" ht="16.5" thickBot="1">
      <c r="A102" s="207" t="s">
        <v>10</v>
      </c>
      <c r="B102" s="211">
        <f t="shared" si="3"/>
        <v>80</v>
      </c>
      <c r="C102" s="211" t="s">
        <v>3</v>
      </c>
      <c r="D102" s="211">
        <f t="shared" si="4"/>
        <v>300</v>
      </c>
      <c r="E102" s="211" t="s">
        <v>3</v>
      </c>
      <c r="F102" s="209">
        <f t="shared" si="5"/>
        <v>2850</v>
      </c>
      <c r="G102" s="211" t="s">
        <v>3</v>
      </c>
      <c r="H102" s="208">
        <v>2</v>
      </c>
      <c r="I102" s="210" t="s">
        <v>529</v>
      </c>
      <c r="J102" s="103">
        <v>80</v>
      </c>
      <c r="K102" s="66">
        <v>300</v>
      </c>
      <c r="L102" s="66">
        <v>2850</v>
      </c>
      <c r="M102" s="164">
        <v>27.596268198981303</v>
      </c>
      <c r="N102" s="78">
        <v>8280.4176000000007</v>
      </c>
      <c r="O102" s="113">
        <v>90708.010575126798</v>
      </c>
      <c r="P102" s="113">
        <v>98055.007185417824</v>
      </c>
      <c r="Q102" s="110">
        <v>37280.89622310282</v>
      </c>
      <c r="R102" s="113">
        <v>127988.90679822961</v>
      </c>
      <c r="S102" s="113">
        <v>135335.90340852065</v>
      </c>
      <c r="U102" s="7" t="s">
        <v>6236</v>
      </c>
    </row>
    <row r="103" spans="1:21" ht="16.5" thickBot="1">
      <c r="A103" s="207" t="s">
        <v>10</v>
      </c>
      <c r="B103" s="211">
        <f t="shared" si="3"/>
        <v>80</v>
      </c>
      <c r="C103" s="211" t="s">
        <v>3</v>
      </c>
      <c r="D103" s="211">
        <f t="shared" si="4"/>
        <v>300</v>
      </c>
      <c r="E103" s="211" t="s">
        <v>3</v>
      </c>
      <c r="F103" s="209">
        <f t="shared" si="5"/>
        <v>2900</v>
      </c>
      <c r="G103" s="211" t="s">
        <v>3</v>
      </c>
      <c r="H103" s="208">
        <v>2</v>
      </c>
      <c r="I103" s="210" t="s">
        <v>529</v>
      </c>
      <c r="J103" s="103">
        <v>80</v>
      </c>
      <c r="K103" s="66">
        <v>300</v>
      </c>
      <c r="L103" s="66">
        <v>2900</v>
      </c>
      <c r="M103" s="164">
        <v>28.186651982759727</v>
      </c>
      <c r="N103" s="78">
        <v>8446.0259520000018</v>
      </c>
      <c r="O103" s="113">
        <v>91402.524892380941</v>
      </c>
      <c r="P103" s="113">
        <v>98907.738470883938</v>
      </c>
      <c r="Q103" s="110">
        <v>38055.871993858338</v>
      </c>
      <c r="R103" s="113">
        <v>129458.39688623928</v>
      </c>
      <c r="S103" s="113">
        <v>136963.61046474229</v>
      </c>
      <c r="U103" s="7" t="s">
        <v>6237</v>
      </c>
    </row>
    <row r="104" spans="1:21" ht="16.5" thickBot="1">
      <c r="A104" s="207" t="s">
        <v>10</v>
      </c>
      <c r="B104" s="211">
        <f t="shared" si="3"/>
        <v>80</v>
      </c>
      <c r="C104" s="211" t="s">
        <v>3</v>
      </c>
      <c r="D104" s="211">
        <f t="shared" si="4"/>
        <v>300</v>
      </c>
      <c r="E104" s="211" t="s">
        <v>3</v>
      </c>
      <c r="F104" s="209">
        <f t="shared" si="5"/>
        <v>2950</v>
      </c>
      <c r="G104" s="211" t="s">
        <v>3</v>
      </c>
      <c r="H104" s="208">
        <v>2</v>
      </c>
      <c r="I104" s="210" t="s">
        <v>529</v>
      </c>
      <c r="J104" s="103">
        <v>80</v>
      </c>
      <c r="K104" s="66">
        <v>300</v>
      </c>
      <c r="L104" s="66">
        <v>2950</v>
      </c>
      <c r="M104" s="164">
        <v>28.601369366538158</v>
      </c>
      <c r="N104" s="78">
        <v>8611.6343040000011</v>
      </c>
      <c r="O104" s="113">
        <v>92096.986919706047</v>
      </c>
      <c r="P104" s="113">
        <v>99760.420718282287</v>
      </c>
      <c r="Q104" s="110">
        <v>38579.513779858848</v>
      </c>
      <c r="R104" s="113">
        <v>130676.5006995649</v>
      </c>
      <c r="S104" s="113">
        <v>138339.93449814114</v>
      </c>
      <c r="U104" s="7" t="s">
        <v>6238</v>
      </c>
    </row>
    <row r="105" spans="1:21" ht="16.5" thickBot="1">
      <c r="A105" s="212" t="s">
        <v>10</v>
      </c>
      <c r="B105" s="213">
        <f t="shared" si="3"/>
        <v>80</v>
      </c>
      <c r="C105" s="213" t="s">
        <v>3</v>
      </c>
      <c r="D105" s="213">
        <f t="shared" si="4"/>
        <v>300</v>
      </c>
      <c r="E105" s="213" t="s">
        <v>3</v>
      </c>
      <c r="F105" s="214">
        <f t="shared" si="5"/>
        <v>3000</v>
      </c>
      <c r="G105" s="213" t="s">
        <v>3</v>
      </c>
      <c r="H105" s="215">
        <v>2</v>
      </c>
      <c r="I105" s="210" t="s">
        <v>529</v>
      </c>
      <c r="J105" s="287">
        <v>80</v>
      </c>
      <c r="K105" s="266">
        <v>300</v>
      </c>
      <c r="L105" s="266">
        <v>3000</v>
      </c>
      <c r="M105" s="249">
        <v>29.031593150316574</v>
      </c>
      <c r="N105" s="250">
        <v>8777.2426560000004</v>
      </c>
      <c r="O105" s="251">
        <v>94662.748507626151</v>
      </c>
      <c r="P105" s="251">
        <v>102365.19007297083</v>
      </c>
      <c r="Q105" s="252">
        <v>39354.489550614366</v>
      </c>
      <c r="R105" s="251">
        <v>134017.2380582405</v>
      </c>
      <c r="S105" s="251">
        <v>141719.67962358519</v>
      </c>
      <c r="U105" s="7" t="s">
        <v>6239</v>
      </c>
    </row>
    <row r="106" spans="1:21" ht="22.5" customHeight="1" thickBot="1">
      <c r="A106" s="2968" t="s">
        <v>470</v>
      </c>
      <c r="B106" s="2969"/>
      <c r="C106" s="2969"/>
      <c r="D106" s="2969"/>
      <c r="E106" s="2969"/>
      <c r="F106" s="2969"/>
      <c r="G106" s="2969"/>
      <c r="H106" s="2969"/>
      <c r="I106" s="2969"/>
      <c r="J106" s="2969"/>
      <c r="K106" s="2969"/>
      <c r="L106" s="2969"/>
      <c r="M106" s="2969"/>
      <c r="N106" s="2969"/>
      <c r="O106" s="2969"/>
      <c r="P106" s="2969"/>
      <c r="Q106" s="2969"/>
      <c r="R106" s="2969"/>
      <c r="S106" s="2970"/>
      <c r="U106" s="7"/>
    </row>
    <row r="107" spans="1:21" ht="16.5" thickBot="1">
      <c r="A107" s="2974" t="s">
        <v>113</v>
      </c>
      <c r="B107" s="2975"/>
      <c r="C107" s="2975"/>
      <c r="D107" s="2975"/>
      <c r="E107" s="2975"/>
      <c r="F107" s="2975"/>
      <c r="G107" s="2975"/>
      <c r="H107" s="2975"/>
      <c r="I107" s="2975"/>
      <c r="J107" s="2975"/>
      <c r="K107" s="2975"/>
      <c r="L107" s="2975"/>
      <c r="M107" s="2975"/>
      <c r="N107" s="2975"/>
      <c r="O107" s="2975"/>
      <c r="P107" s="2975"/>
      <c r="Q107" s="2975"/>
      <c r="R107" s="2975"/>
      <c r="S107" s="2976"/>
      <c r="U107" s="7"/>
    </row>
    <row r="108" spans="1:21" ht="16.5" thickBot="1">
      <c r="A108" s="207" t="s">
        <v>10</v>
      </c>
      <c r="B108" s="208">
        <f t="shared" ref="B108:B154" si="6">J108</f>
        <v>80</v>
      </c>
      <c r="C108" s="208" t="s">
        <v>3</v>
      </c>
      <c r="D108" s="208">
        <f t="shared" ref="D108:D154" si="7">K108</f>
        <v>360</v>
      </c>
      <c r="E108" s="208" t="s">
        <v>3</v>
      </c>
      <c r="F108" s="209">
        <f t="shared" ref="F108:F154" si="8">L108</f>
        <v>700</v>
      </c>
      <c r="G108" s="208" t="s">
        <v>3</v>
      </c>
      <c r="H108" s="208">
        <v>4</v>
      </c>
      <c r="I108" s="210" t="s">
        <v>529</v>
      </c>
      <c r="J108" s="286">
        <v>80</v>
      </c>
      <c r="K108" s="271">
        <v>360</v>
      </c>
      <c r="L108" s="271">
        <v>700</v>
      </c>
      <c r="M108" s="245">
        <v>8.5990108844169733</v>
      </c>
      <c r="N108" s="246">
        <v>1552.7747586145356</v>
      </c>
      <c r="O108" s="247">
        <v>31899.212104506689</v>
      </c>
      <c r="P108" s="247">
        <v>34459.597065021313</v>
      </c>
      <c r="Q108" s="248">
        <v>11490.936859530682</v>
      </c>
      <c r="R108" s="247">
        <v>43390.148964037369</v>
      </c>
      <c r="S108" s="247">
        <v>45950.533924551994</v>
      </c>
      <c r="U108" s="7" t="s">
        <v>6240</v>
      </c>
    </row>
    <row r="109" spans="1:21" ht="16.5" thickBot="1">
      <c r="A109" s="207" t="s">
        <v>10</v>
      </c>
      <c r="B109" s="211">
        <f t="shared" si="6"/>
        <v>80</v>
      </c>
      <c r="C109" s="211" t="s">
        <v>3</v>
      </c>
      <c r="D109" s="211">
        <f t="shared" si="7"/>
        <v>360</v>
      </c>
      <c r="E109" s="211" t="s">
        <v>3</v>
      </c>
      <c r="F109" s="209">
        <f t="shared" si="8"/>
        <v>750</v>
      </c>
      <c r="G109" s="211" t="s">
        <v>3</v>
      </c>
      <c r="H109" s="208">
        <v>4</v>
      </c>
      <c r="I109" s="210" t="s">
        <v>529</v>
      </c>
      <c r="J109" s="103">
        <v>80</v>
      </c>
      <c r="K109" s="66">
        <v>360</v>
      </c>
      <c r="L109" s="66">
        <v>750</v>
      </c>
      <c r="M109" s="164">
        <v>9.2221397621318406</v>
      </c>
      <c r="N109" s="78">
        <v>1774.5997241308978</v>
      </c>
      <c r="O109" s="113">
        <v>33853.127411649853</v>
      </c>
      <c r="P109" s="113">
        <v>36525.330613264327</v>
      </c>
      <c r="Q109" s="110">
        <v>12094.357743768871</v>
      </c>
      <c r="R109" s="113">
        <v>45947.485155418726</v>
      </c>
      <c r="S109" s="113">
        <v>48619.688357033199</v>
      </c>
      <c r="U109" s="7" t="s">
        <v>6241</v>
      </c>
    </row>
    <row r="110" spans="1:21" ht="16.5" thickBot="1">
      <c r="A110" s="207" t="s">
        <v>10</v>
      </c>
      <c r="B110" s="211">
        <f t="shared" si="6"/>
        <v>80</v>
      </c>
      <c r="C110" s="211" t="s">
        <v>3</v>
      </c>
      <c r="D110" s="211">
        <f t="shared" si="7"/>
        <v>360</v>
      </c>
      <c r="E110" s="211" t="s">
        <v>3</v>
      </c>
      <c r="F110" s="209">
        <f t="shared" si="8"/>
        <v>800</v>
      </c>
      <c r="G110" s="211" t="s">
        <v>3</v>
      </c>
      <c r="H110" s="208">
        <v>4</v>
      </c>
      <c r="I110" s="210" t="s">
        <v>529</v>
      </c>
      <c r="J110" s="103">
        <v>80</v>
      </c>
      <c r="K110" s="66">
        <v>360</v>
      </c>
      <c r="L110" s="66">
        <v>800</v>
      </c>
      <c r="M110" s="164">
        <v>9.7262686398467117</v>
      </c>
      <c r="N110" s="78">
        <v>1996.4246896472598</v>
      </c>
      <c r="O110" s="113">
        <v>35807.702066181875</v>
      </c>
      <c r="P110" s="113">
        <v>38591.681494848737</v>
      </c>
      <c r="Q110" s="110">
        <v>12697.77862800706</v>
      </c>
      <c r="R110" s="113">
        <v>48505.480694188933</v>
      </c>
      <c r="S110" s="113">
        <v>51289.460122855795</v>
      </c>
      <c r="U110" s="7" t="s">
        <v>6242</v>
      </c>
    </row>
    <row r="111" spans="1:21" ht="16.5" thickBot="1">
      <c r="A111" s="207" t="s">
        <v>10</v>
      </c>
      <c r="B111" s="211">
        <f t="shared" si="6"/>
        <v>80</v>
      </c>
      <c r="C111" s="211" t="s">
        <v>3</v>
      </c>
      <c r="D111" s="211">
        <f t="shared" si="7"/>
        <v>360</v>
      </c>
      <c r="E111" s="211" t="s">
        <v>3</v>
      </c>
      <c r="F111" s="209">
        <f t="shared" si="8"/>
        <v>850</v>
      </c>
      <c r="G111" s="211" t="s">
        <v>3</v>
      </c>
      <c r="H111" s="208">
        <v>4</v>
      </c>
      <c r="I111" s="210" t="s">
        <v>529</v>
      </c>
      <c r="J111" s="103">
        <v>80</v>
      </c>
      <c r="K111" s="66">
        <v>360</v>
      </c>
      <c r="L111" s="66">
        <v>850</v>
      </c>
      <c r="M111" s="164">
        <v>10.230397517561579</v>
      </c>
      <c r="N111" s="78">
        <v>2218.2496551636223</v>
      </c>
      <c r="O111" s="113">
        <v>37762.276720713897</v>
      </c>
      <c r="P111" s="113">
        <v>40658.032376433141</v>
      </c>
      <c r="Q111" s="110">
        <v>13552.533650029018</v>
      </c>
      <c r="R111" s="113">
        <v>51314.810370742911</v>
      </c>
      <c r="S111" s="113">
        <v>54210.566026462155</v>
      </c>
      <c r="U111" s="7" t="s">
        <v>6243</v>
      </c>
    </row>
    <row r="112" spans="1:21" ht="16.5" thickBot="1">
      <c r="A112" s="207" t="s">
        <v>10</v>
      </c>
      <c r="B112" s="211">
        <f t="shared" si="6"/>
        <v>80</v>
      </c>
      <c r="C112" s="211" t="s">
        <v>3</v>
      </c>
      <c r="D112" s="211">
        <f t="shared" si="7"/>
        <v>360</v>
      </c>
      <c r="E112" s="211" t="s">
        <v>3</v>
      </c>
      <c r="F112" s="209">
        <f t="shared" si="8"/>
        <v>900</v>
      </c>
      <c r="G112" s="211" t="s">
        <v>3</v>
      </c>
      <c r="H112" s="208">
        <v>4</v>
      </c>
      <c r="I112" s="210" t="s">
        <v>529</v>
      </c>
      <c r="J112" s="103">
        <v>80</v>
      </c>
      <c r="K112" s="66">
        <v>360</v>
      </c>
      <c r="L112" s="66">
        <v>900</v>
      </c>
      <c r="M112" s="164">
        <v>10.772526395276451</v>
      </c>
      <c r="N112" s="78">
        <v>2440.0746206799845</v>
      </c>
      <c r="O112" s="113">
        <v>39716.851375245918</v>
      </c>
      <c r="P112" s="113">
        <v>42724.383258017544</v>
      </c>
      <c r="Q112" s="110">
        <v>14155.954534267206</v>
      </c>
      <c r="R112" s="113">
        <v>53872.805909513125</v>
      </c>
      <c r="S112" s="113">
        <v>56880.33779228475</v>
      </c>
      <c r="U112" s="7" t="s">
        <v>6244</v>
      </c>
    </row>
    <row r="113" spans="1:21" ht="16.5" thickBot="1">
      <c r="A113" s="207" t="s">
        <v>10</v>
      </c>
      <c r="B113" s="211">
        <f t="shared" si="6"/>
        <v>80</v>
      </c>
      <c r="C113" s="211" t="s">
        <v>3</v>
      </c>
      <c r="D113" s="211">
        <f t="shared" si="7"/>
        <v>360</v>
      </c>
      <c r="E113" s="211" t="s">
        <v>3</v>
      </c>
      <c r="F113" s="209">
        <f t="shared" si="8"/>
        <v>950</v>
      </c>
      <c r="G113" s="211" t="s">
        <v>3</v>
      </c>
      <c r="H113" s="208">
        <v>4</v>
      </c>
      <c r="I113" s="210" t="s">
        <v>529</v>
      </c>
      <c r="J113" s="103">
        <v>80</v>
      </c>
      <c r="K113" s="66">
        <v>360</v>
      </c>
      <c r="L113" s="66">
        <v>950</v>
      </c>
      <c r="M113" s="164">
        <v>11.345655272991316</v>
      </c>
      <c r="N113" s="78">
        <v>2661.8995861963467</v>
      </c>
      <c r="O113" s="113">
        <v>41671.42602977794</v>
      </c>
      <c r="P113" s="113">
        <v>44790.734139601955</v>
      </c>
      <c r="Q113" s="110">
        <v>15010.709556289165</v>
      </c>
      <c r="R113" s="113">
        <v>56682.135586067103</v>
      </c>
      <c r="S113" s="113">
        <v>59801.443695891117</v>
      </c>
      <c r="U113" s="7" t="s">
        <v>6245</v>
      </c>
    </row>
    <row r="114" spans="1:21" ht="16.5" thickBot="1">
      <c r="A114" s="207" t="s">
        <v>10</v>
      </c>
      <c r="B114" s="211">
        <f t="shared" si="6"/>
        <v>80</v>
      </c>
      <c r="C114" s="211" t="s">
        <v>3</v>
      </c>
      <c r="D114" s="211">
        <f t="shared" si="7"/>
        <v>360</v>
      </c>
      <c r="E114" s="211" t="s">
        <v>3</v>
      </c>
      <c r="F114" s="209">
        <f t="shared" si="8"/>
        <v>1000</v>
      </c>
      <c r="G114" s="211" t="s">
        <v>3</v>
      </c>
      <c r="H114" s="208">
        <v>4</v>
      </c>
      <c r="I114" s="210" t="s">
        <v>529</v>
      </c>
      <c r="J114" s="103">
        <v>80</v>
      </c>
      <c r="K114" s="66">
        <v>360</v>
      </c>
      <c r="L114" s="66">
        <v>1000</v>
      </c>
      <c r="M114" s="164">
        <v>11.849784150706183</v>
      </c>
      <c r="N114" s="78">
        <v>2883.7245517127089</v>
      </c>
      <c r="O114" s="113">
        <v>43522.306633230466</v>
      </c>
      <c r="P114" s="113">
        <v>46759.996931142654</v>
      </c>
      <c r="Q114" s="110">
        <v>15614.130440527351</v>
      </c>
      <c r="R114" s="113">
        <v>59136.437073757814</v>
      </c>
      <c r="S114" s="113">
        <v>62374.127371670009</v>
      </c>
      <c r="U114" s="7" t="s">
        <v>6246</v>
      </c>
    </row>
    <row r="115" spans="1:21" ht="16.5" thickBot="1">
      <c r="A115" s="207" t="s">
        <v>10</v>
      </c>
      <c r="B115" s="211">
        <f t="shared" si="6"/>
        <v>80</v>
      </c>
      <c r="C115" s="211" t="s">
        <v>3</v>
      </c>
      <c r="D115" s="211">
        <f t="shared" si="7"/>
        <v>360</v>
      </c>
      <c r="E115" s="211" t="s">
        <v>3</v>
      </c>
      <c r="F115" s="209">
        <f t="shared" si="8"/>
        <v>1050</v>
      </c>
      <c r="G115" s="211" t="s">
        <v>3</v>
      </c>
      <c r="H115" s="208">
        <v>4</v>
      </c>
      <c r="I115" s="210" t="s">
        <v>529</v>
      </c>
      <c r="J115" s="103">
        <v>80</v>
      </c>
      <c r="K115" s="66">
        <v>360</v>
      </c>
      <c r="L115" s="66">
        <v>1050</v>
      </c>
      <c r="M115" s="164">
        <v>12.353913028421053</v>
      </c>
      <c r="N115" s="78">
        <v>3105.5495172290712</v>
      </c>
      <c r="O115" s="113">
        <v>45723.154496483228</v>
      </c>
      <c r="P115" s="113">
        <v>49056.931961543632</v>
      </c>
      <c r="Q115" s="110">
        <v>16468.885462549311</v>
      </c>
      <c r="R115" s="113">
        <v>62192.03995903254</v>
      </c>
      <c r="S115" s="113">
        <v>65525.817424092944</v>
      </c>
      <c r="U115" s="7" t="s">
        <v>6247</v>
      </c>
    </row>
    <row r="116" spans="1:21" ht="16.5" thickBot="1">
      <c r="A116" s="207" t="s">
        <v>10</v>
      </c>
      <c r="B116" s="208">
        <f t="shared" si="6"/>
        <v>80</v>
      </c>
      <c r="C116" s="208" t="s">
        <v>3</v>
      </c>
      <c r="D116" s="208">
        <f t="shared" si="7"/>
        <v>360</v>
      </c>
      <c r="E116" s="208" t="s">
        <v>3</v>
      </c>
      <c r="F116" s="209">
        <f t="shared" si="8"/>
        <v>1100</v>
      </c>
      <c r="G116" s="208" t="s">
        <v>3</v>
      </c>
      <c r="H116" s="208">
        <v>4</v>
      </c>
      <c r="I116" s="210" t="s">
        <v>529</v>
      </c>
      <c r="J116" s="103">
        <v>80</v>
      </c>
      <c r="K116" s="66">
        <v>360</v>
      </c>
      <c r="L116" s="66">
        <v>1100</v>
      </c>
      <c r="M116" s="164">
        <v>12.85804190613592</v>
      </c>
      <c r="N116" s="78">
        <v>3327.3744827454334</v>
      </c>
      <c r="O116" s="113">
        <v>47677.72915101525</v>
      </c>
      <c r="P116" s="113">
        <v>51123.282713053588</v>
      </c>
      <c r="Q116" s="110">
        <v>17072.3063467875</v>
      </c>
      <c r="R116" s="113">
        <v>64750.035497802746</v>
      </c>
      <c r="S116" s="113">
        <v>68195.589059841092</v>
      </c>
      <c r="U116" s="7" t="s">
        <v>6248</v>
      </c>
    </row>
    <row r="117" spans="1:21" ht="16.5" thickBot="1">
      <c r="A117" s="207" t="s">
        <v>10</v>
      </c>
      <c r="B117" s="211">
        <f t="shared" si="6"/>
        <v>80</v>
      </c>
      <c r="C117" s="211" t="s">
        <v>3</v>
      </c>
      <c r="D117" s="211">
        <f t="shared" si="7"/>
        <v>360</v>
      </c>
      <c r="E117" s="211" t="s">
        <v>3</v>
      </c>
      <c r="F117" s="209">
        <f t="shared" si="8"/>
        <v>1150</v>
      </c>
      <c r="G117" s="211" t="s">
        <v>3</v>
      </c>
      <c r="H117" s="208">
        <v>4</v>
      </c>
      <c r="I117" s="210" t="s">
        <v>529</v>
      </c>
      <c r="J117" s="103">
        <v>80</v>
      </c>
      <c r="K117" s="66">
        <v>360</v>
      </c>
      <c r="L117" s="66">
        <v>1150</v>
      </c>
      <c r="M117" s="164">
        <v>13.362170783850789</v>
      </c>
      <c r="N117" s="78">
        <v>3549.1994482617956</v>
      </c>
      <c r="O117" s="113">
        <v>48808.98040218994</v>
      </c>
      <c r="P117" s="113">
        <v>52418.760762270067</v>
      </c>
      <c r="Q117" s="110">
        <v>17675.727231025689</v>
      </c>
      <c r="R117" s="113">
        <v>66484.707633215628</v>
      </c>
      <c r="S117" s="113">
        <v>70094.487993295756</v>
      </c>
      <c r="U117" s="7" t="s">
        <v>6249</v>
      </c>
    </row>
    <row r="118" spans="1:21" ht="16.5" thickBot="1">
      <c r="A118" s="207" t="s">
        <v>10</v>
      </c>
      <c r="B118" s="211">
        <f t="shared" si="6"/>
        <v>80</v>
      </c>
      <c r="C118" s="211" t="s">
        <v>3</v>
      </c>
      <c r="D118" s="211">
        <f t="shared" si="7"/>
        <v>360</v>
      </c>
      <c r="E118" s="211" t="s">
        <v>3</v>
      </c>
      <c r="F118" s="209">
        <f t="shared" si="8"/>
        <v>1200</v>
      </c>
      <c r="G118" s="211" t="s">
        <v>3</v>
      </c>
      <c r="H118" s="208">
        <v>4</v>
      </c>
      <c r="I118" s="210" t="s">
        <v>529</v>
      </c>
      <c r="J118" s="103">
        <v>80</v>
      </c>
      <c r="K118" s="66">
        <v>360</v>
      </c>
      <c r="L118" s="66">
        <v>1200</v>
      </c>
      <c r="M118" s="164">
        <v>14.081549661565656</v>
      </c>
      <c r="N118" s="78">
        <v>3771.0244137781574</v>
      </c>
      <c r="O118" s="113">
        <v>50004.960341946513</v>
      </c>
      <c r="P118" s="113">
        <v>53774.843749768785</v>
      </c>
      <c r="Q118" s="110">
        <v>18530.482406076411</v>
      </c>
      <c r="R118" s="113">
        <v>68535.442748022921</v>
      </c>
      <c r="S118" s="113">
        <v>72305.326155845192</v>
      </c>
      <c r="U118" s="7" t="s">
        <v>6250</v>
      </c>
    </row>
    <row r="119" spans="1:21" ht="16.5" thickBot="1">
      <c r="A119" s="207" t="s">
        <v>10</v>
      </c>
      <c r="B119" s="211">
        <f t="shared" si="6"/>
        <v>80</v>
      </c>
      <c r="C119" s="211" t="s">
        <v>3</v>
      </c>
      <c r="D119" s="211">
        <f t="shared" si="7"/>
        <v>360</v>
      </c>
      <c r="E119" s="211" t="s">
        <v>3</v>
      </c>
      <c r="F119" s="209">
        <f t="shared" si="8"/>
        <v>1250</v>
      </c>
      <c r="G119" s="211" t="s">
        <v>3</v>
      </c>
      <c r="H119" s="208">
        <v>4</v>
      </c>
      <c r="I119" s="210" t="s">
        <v>529</v>
      </c>
      <c r="J119" s="103">
        <v>80</v>
      </c>
      <c r="K119" s="66">
        <v>360</v>
      </c>
      <c r="L119" s="66">
        <v>1250</v>
      </c>
      <c r="M119" s="164">
        <v>14.585678539280527</v>
      </c>
      <c r="N119" s="78">
        <v>3992.8493792945196</v>
      </c>
      <c r="O119" s="113">
        <v>51135.687393086257</v>
      </c>
      <c r="P119" s="113">
        <v>55069.830767935156</v>
      </c>
      <c r="Q119" s="110">
        <v>19133.9032903146</v>
      </c>
      <c r="R119" s="113">
        <v>70269.590683400864</v>
      </c>
      <c r="S119" s="113">
        <v>74203.734058249756</v>
      </c>
      <c r="U119" s="7" t="s">
        <v>6251</v>
      </c>
    </row>
    <row r="120" spans="1:21" ht="16.5" thickBot="1">
      <c r="A120" s="207" t="s">
        <v>10</v>
      </c>
      <c r="B120" s="211">
        <f t="shared" si="6"/>
        <v>80</v>
      </c>
      <c r="C120" s="211" t="s">
        <v>3</v>
      </c>
      <c r="D120" s="211">
        <f t="shared" si="7"/>
        <v>360</v>
      </c>
      <c r="E120" s="211" t="s">
        <v>3</v>
      </c>
      <c r="F120" s="209">
        <f t="shared" si="8"/>
        <v>1300</v>
      </c>
      <c r="G120" s="211" t="s">
        <v>3</v>
      </c>
      <c r="H120" s="208">
        <v>4</v>
      </c>
      <c r="I120" s="210" t="s">
        <v>529</v>
      </c>
      <c r="J120" s="103">
        <v>80</v>
      </c>
      <c r="K120" s="66">
        <v>360</v>
      </c>
      <c r="L120" s="66">
        <v>1300</v>
      </c>
      <c r="M120" s="164">
        <v>15.151807416995396</v>
      </c>
      <c r="N120" s="78">
        <v>4214.6743448108818</v>
      </c>
      <c r="O120" s="113">
        <v>54939.512427984489</v>
      </c>
      <c r="P120" s="113">
        <v>58867.624120495922</v>
      </c>
      <c r="Q120" s="110">
        <v>19988.658312336556</v>
      </c>
      <c r="R120" s="113">
        <v>74928.170740321046</v>
      </c>
      <c r="S120" s="113">
        <v>78856.282432832479</v>
      </c>
      <c r="U120" s="7" t="s">
        <v>6252</v>
      </c>
    </row>
    <row r="121" spans="1:21" ht="16.5" thickBot="1">
      <c r="A121" s="207" t="s">
        <v>10</v>
      </c>
      <c r="B121" s="211">
        <f t="shared" si="6"/>
        <v>80</v>
      </c>
      <c r="C121" s="211" t="s">
        <v>3</v>
      </c>
      <c r="D121" s="211">
        <f t="shared" si="7"/>
        <v>360</v>
      </c>
      <c r="E121" s="211" t="s">
        <v>3</v>
      </c>
      <c r="F121" s="209">
        <f t="shared" si="8"/>
        <v>1350</v>
      </c>
      <c r="G121" s="211" t="s">
        <v>3</v>
      </c>
      <c r="H121" s="208">
        <v>4</v>
      </c>
      <c r="I121" s="210" t="s">
        <v>529</v>
      </c>
      <c r="J121" s="103">
        <v>80</v>
      </c>
      <c r="K121" s="66">
        <v>360</v>
      </c>
      <c r="L121" s="66">
        <v>1350</v>
      </c>
      <c r="M121" s="164">
        <v>15.655936294710262</v>
      </c>
      <c r="N121" s="78">
        <v>4436.4993103272445</v>
      </c>
      <c r="O121" s="113">
        <v>56342.408559794167</v>
      </c>
      <c r="P121" s="113">
        <v>60417.441555248632</v>
      </c>
      <c r="Q121" s="110">
        <v>20592.079196574745</v>
      </c>
      <c r="R121" s="113">
        <v>76934.487756368908</v>
      </c>
      <c r="S121" s="113">
        <v>81009.52075182338</v>
      </c>
      <c r="U121" s="7" t="s">
        <v>6253</v>
      </c>
    </row>
    <row r="122" spans="1:21" ht="16.5" thickBot="1">
      <c r="A122" s="207" t="s">
        <v>10</v>
      </c>
      <c r="B122" s="211">
        <f t="shared" si="6"/>
        <v>80</v>
      </c>
      <c r="C122" s="211" t="s">
        <v>3</v>
      </c>
      <c r="D122" s="211">
        <f t="shared" si="7"/>
        <v>360</v>
      </c>
      <c r="E122" s="211" t="s">
        <v>3</v>
      </c>
      <c r="F122" s="209">
        <f t="shared" si="8"/>
        <v>1400</v>
      </c>
      <c r="G122" s="211" t="s">
        <v>3</v>
      </c>
      <c r="H122" s="208">
        <v>4</v>
      </c>
      <c r="I122" s="210" t="s">
        <v>529</v>
      </c>
      <c r="J122" s="103">
        <v>80</v>
      </c>
      <c r="K122" s="66">
        <v>360</v>
      </c>
      <c r="L122" s="66">
        <v>1400</v>
      </c>
      <c r="M122" s="164">
        <v>16.160065172425131</v>
      </c>
      <c r="N122" s="78">
        <v>4658.3242758436063</v>
      </c>
      <c r="O122" s="113">
        <v>58101.752650744063</v>
      </c>
      <c r="P122" s="113">
        <v>62300.999201970757</v>
      </c>
      <c r="Q122" s="110">
        <v>21446.834218596705</v>
      </c>
      <c r="R122" s="113">
        <v>79548.586869340768</v>
      </c>
      <c r="S122" s="113">
        <v>83747.833420567462</v>
      </c>
      <c r="U122" s="7" t="s">
        <v>6254</v>
      </c>
    </row>
    <row r="123" spans="1:21" ht="16.5" thickBot="1">
      <c r="A123" s="207" t="s">
        <v>10</v>
      </c>
      <c r="B123" s="211">
        <f t="shared" si="6"/>
        <v>80</v>
      </c>
      <c r="C123" s="211" t="s">
        <v>3</v>
      </c>
      <c r="D123" s="211">
        <f t="shared" si="7"/>
        <v>360</v>
      </c>
      <c r="E123" s="211" t="s">
        <v>3</v>
      </c>
      <c r="F123" s="209">
        <f t="shared" si="8"/>
        <v>1450</v>
      </c>
      <c r="G123" s="211" t="s">
        <v>3</v>
      </c>
      <c r="H123" s="208">
        <v>4</v>
      </c>
      <c r="I123" s="210" t="s">
        <v>529</v>
      </c>
      <c r="J123" s="103">
        <v>80</v>
      </c>
      <c r="K123" s="66">
        <v>360</v>
      </c>
      <c r="L123" s="66">
        <v>1450</v>
      </c>
      <c r="M123" s="164">
        <v>16.664194050140001</v>
      </c>
      <c r="N123" s="78">
        <v>4880.149241359969</v>
      </c>
      <c r="O123" s="113">
        <v>59504.648652479409</v>
      </c>
      <c r="P123" s="113">
        <v>63850.816636723466</v>
      </c>
      <c r="Q123" s="110">
        <v>22050.255102834893</v>
      </c>
      <c r="R123" s="113">
        <v>81554.903755314299</v>
      </c>
      <c r="S123" s="113">
        <v>85901.071739558363</v>
      </c>
      <c r="U123" s="7" t="s">
        <v>6255</v>
      </c>
    </row>
    <row r="124" spans="1:21" ht="16.5" thickBot="1">
      <c r="A124" s="207" t="s">
        <v>10</v>
      </c>
      <c r="B124" s="211">
        <f t="shared" si="6"/>
        <v>80</v>
      </c>
      <c r="C124" s="211" t="s">
        <v>3</v>
      </c>
      <c r="D124" s="211">
        <f t="shared" si="7"/>
        <v>360</v>
      </c>
      <c r="E124" s="211" t="s">
        <v>3</v>
      </c>
      <c r="F124" s="209">
        <f t="shared" si="8"/>
        <v>1500</v>
      </c>
      <c r="G124" s="211" t="s">
        <v>3</v>
      </c>
      <c r="H124" s="208">
        <v>4</v>
      </c>
      <c r="I124" s="210" t="s">
        <v>529</v>
      </c>
      <c r="J124" s="103">
        <v>80</v>
      </c>
      <c r="K124" s="66">
        <v>360</v>
      </c>
      <c r="L124" s="66">
        <v>1500</v>
      </c>
      <c r="M124" s="164">
        <v>17.78708887665487</v>
      </c>
      <c r="N124" s="78">
        <v>5101.9742068763298</v>
      </c>
      <c r="O124" s="113">
        <v>61521.94221526086</v>
      </c>
      <c r="P124" s="113">
        <v>66147.847792143264</v>
      </c>
      <c r="Q124" s="110">
        <v>22905.01012485685</v>
      </c>
      <c r="R124" s="113">
        <v>84426.952340117714</v>
      </c>
      <c r="S124" s="113">
        <v>89052.857917000118</v>
      </c>
      <c r="U124" s="7" t="s">
        <v>6256</v>
      </c>
    </row>
    <row r="125" spans="1:21" ht="16.5" thickBot="1">
      <c r="A125" s="207" t="s">
        <v>10</v>
      </c>
      <c r="B125" s="211">
        <f t="shared" si="6"/>
        <v>80</v>
      </c>
      <c r="C125" s="211" t="s">
        <v>3</v>
      </c>
      <c r="D125" s="211">
        <f t="shared" si="7"/>
        <v>360</v>
      </c>
      <c r="E125" s="211" t="s">
        <v>3</v>
      </c>
      <c r="F125" s="209">
        <f t="shared" si="8"/>
        <v>1550</v>
      </c>
      <c r="G125" s="211" t="s">
        <v>3</v>
      </c>
      <c r="H125" s="208">
        <v>4</v>
      </c>
      <c r="I125" s="210" t="s">
        <v>529</v>
      </c>
      <c r="J125" s="103">
        <v>80</v>
      </c>
      <c r="K125" s="66">
        <v>360</v>
      </c>
      <c r="L125" s="66">
        <v>1550</v>
      </c>
      <c r="M125" s="164">
        <v>18.360217754369739</v>
      </c>
      <c r="N125" s="78">
        <v>5323.7991723926934</v>
      </c>
      <c r="O125" s="113">
        <v>62924.83834707053</v>
      </c>
      <c r="P125" s="113">
        <v>67697.665226895988</v>
      </c>
      <c r="Q125" s="110">
        <v>23508.431009095038</v>
      </c>
      <c r="R125" s="113">
        <v>86433.269356165576</v>
      </c>
      <c r="S125" s="113">
        <v>91206.096235991019</v>
      </c>
      <c r="U125" s="7" t="s">
        <v>6257</v>
      </c>
    </row>
    <row r="126" spans="1:21" ht="16.5" thickBot="1">
      <c r="A126" s="207" t="s">
        <v>10</v>
      </c>
      <c r="B126" s="208">
        <f t="shared" si="6"/>
        <v>80</v>
      </c>
      <c r="C126" s="208" t="s">
        <v>3</v>
      </c>
      <c r="D126" s="208">
        <f t="shared" si="7"/>
        <v>360</v>
      </c>
      <c r="E126" s="208" t="s">
        <v>3</v>
      </c>
      <c r="F126" s="209">
        <f t="shared" si="8"/>
        <v>1600</v>
      </c>
      <c r="G126" s="208" t="s">
        <v>3</v>
      </c>
      <c r="H126" s="208">
        <v>4</v>
      </c>
      <c r="I126" s="210" t="s">
        <v>529</v>
      </c>
      <c r="J126" s="103">
        <v>80</v>
      </c>
      <c r="K126" s="66">
        <v>360</v>
      </c>
      <c r="L126" s="66">
        <v>1600</v>
      </c>
      <c r="M126" s="164">
        <v>18.864346632084604</v>
      </c>
      <c r="N126" s="78">
        <v>5545.6241379090552</v>
      </c>
      <c r="O126" s="113">
        <v>66448.919545756798</v>
      </c>
      <c r="P126" s="113">
        <v>71233.535983539186</v>
      </c>
      <c r="Q126" s="110">
        <v>24111.851893333227</v>
      </c>
      <c r="R126" s="113">
        <v>90560.771439090022</v>
      </c>
      <c r="S126" s="113">
        <v>95345.38787687241</v>
      </c>
      <c r="U126" s="7" t="s">
        <v>6258</v>
      </c>
    </row>
    <row r="127" spans="1:21" ht="16.5" thickBot="1">
      <c r="A127" s="207" t="s">
        <v>10</v>
      </c>
      <c r="B127" s="211">
        <f t="shared" si="6"/>
        <v>80</v>
      </c>
      <c r="C127" s="211" t="s">
        <v>3</v>
      </c>
      <c r="D127" s="211">
        <f t="shared" si="7"/>
        <v>360</v>
      </c>
      <c r="E127" s="211" t="s">
        <v>3</v>
      </c>
      <c r="F127" s="209">
        <f t="shared" si="8"/>
        <v>1650</v>
      </c>
      <c r="G127" s="211" t="s">
        <v>3</v>
      </c>
      <c r="H127" s="208">
        <v>4</v>
      </c>
      <c r="I127" s="210" t="s">
        <v>529</v>
      </c>
      <c r="J127" s="103">
        <v>80</v>
      </c>
      <c r="K127" s="66">
        <v>360</v>
      </c>
      <c r="L127" s="66">
        <v>1650</v>
      </c>
      <c r="M127" s="164">
        <v>19.406475509799474</v>
      </c>
      <c r="N127" s="78">
        <v>5767.4491034254179</v>
      </c>
      <c r="O127" s="113">
        <v>70247.964214529988</v>
      </c>
      <c r="P127" s="113">
        <v>75026.853604337623</v>
      </c>
      <c r="Q127" s="110">
        <v>24966.606915355183</v>
      </c>
      <c r="R127" s="113">
        <v>95214.571129885167</v>
      </c>
      <c r="S127" s="113">
        <v>99993.460519692802</v>
      </c>
      <c r="U127" s="7" t="s">
        <v>6259</v>
      </c>
    </row>
    <row r="128" spans="1:21" ht="16.5" thickBot="1">
      <c r="A128" s="207" t="s">
        <v>10</v>
      </c>
      <c r="B128" s="211">
        <f t="shared" si="6"/>
        <v>80</v>
      </c>
      <c r="C128" s="211" t="s">
        <v>3</v>
      </c>
      <c r="D128" s="211">
        <f t="shared" si="7"/>
        <v>360</v>
      </c>
      <c r="E128" s="211" t="s">
        <v>3</v>
      </c>
      <c r="F128" s="209">
        <f t="shared" si="8"/>
        <v>1700</v>
      </c>
      <c r="G128" s="211" t="s">
        <v>3</v>
      </c>
      <c r="H128" s="208">
        <v>4</v>
      </c>
      <c r="I128" s="210" t="s">
        <v>529</v>
      </c>
      <c r="J128" s="103">
        <v>80</v>
      </c>
      <c r="K128" s="66">
        <v>360</v>
      </c>
      <c r="L128" s="66">
        <v>1700</v>
      </c>
      <c r="M128" s="164">
        <v>19.910604387514343</v>
      </c>
      <c r="N128" s="78">
        <v>5989.2740689417806</v>
      </c>
      <c r="O128" s="113">
        <v>71427.24961888112</v>
      </c>
      <c r="P128" s="113">
        <v>76367.305675211494</v>
      </c>
      <c r="Q128" s="110">
        <v>25570.027799593372</v>
      </c>
      <c r="R128" s="113">
        <v>96997.277418474492</v>
      </c>
      <c r="S128" s="113">
        <v>101937.33347480487</v>
      </c>
      <c r="U128" s="7" t="s">
        <v>6260</v>
      </c>
    </row>
    <row r="129" spans="1:21" ht="16.5" thickBot="1">
      <c r="A129" s="207" t="s">
        <v>10</v>
      </c>
      <c r="B129" s="211">
        <f t="shared" si="6"/>
        <v>80</v>
      </c>
      <c r="C129" s="211" t="s">
        <v>3</v>
      </c>
      <c r="D129" s="211">
        <f t="shared" si="7"/>
        <v>360</v>
      </c>
      <c r="E129" s="211" t="s">
        <v>3</v>
      </c>
      <c r="F129" s="209">
        <f t="shared" si="8"/>
        <v>1750</v>
      </c>
      <c r="G129" s="211" t="s">
        <v>3</v>
      </c>
      <c r="H129" s="208">
        <v>4</v>
      </c>
      <c r="I129" s="210" t="s">
        <v>529</v>
      </c>
      <c r="J129" s="103">
        <v>80</v>
      </c>
      <c r="K129" s="66">
        <v>360</v>
      </c>
      <c r="L129" s="66">
        <v>1750</v>
      </c>
      <c r="M129" s="164">
        <v>20.414733265229209</v>
      </c>
      <c r="N129" s="78">
        <v>6211.0990344581423</v>
      </c>
      <c r="O129" s="113">
        <v>72523.527362365188</v>
      </c>
      <c r="P129" s="113">
        <v>77630.038131923022</v>
      </c>
      <c r="Q129" s="110">
        <v>26424.782821615332</v>
      </c>
      <c r="R129" s="113">
        <v>98948.310183980517</v>
      </c>
      <c r="S129" s="113">
        <v>104054.82095353835</v>
      </c>
      <c r="U129" s="7" t="s">
        <v>6261</v>
      </c>
    </row>
    <row r="130" spans="1:21" ht="16.5" thickBot="1">
      <c r="A130" s="207" t="s">
        <v>10</v>
      </c>
      <c r="B130" s="211">
        <f t="shared" si="6"/>
        <v>80</v>
      </c>
      <c r="C130" s="211" t="s">
        <v>3</v>
      </c>
      <c r="D130" s="211">
        <f t="shared" si="7"/>
        <v>360</v>
      </c>
      <c r="E130" s="211" t="s">
        <v>3</v>
      </c>
      <c r="F130" s="209">
        <f t="shared" si="8"/>
        <v>1800</v>
      </c>
      <c r="G130" s="211" t="s">
        <v>3</v>
      </c>
      <c r="H130" s="208">
        <v>4</v>
      </c>
      <c r="I130" s="210" t="s">
        <v>529</v>
      </c>
      <c r="J130" s="103">
        <v>80</v>
      </c>
      <c r="K130" s="66">
        <v>360</v>
      </c>
      <c r="L130" s="66">
        <v>1800</v>
      </c>
      <c r="M130" s="164">
        <v>20.987862142944081</v>
      </c>
      <c r="N130" s="78">
        <v>6432.9239999745032</v>
      </c>
      <c r="O130" s="113">
        <v>73703.57201128306</v>
      </c>
      <c r="P130" s="113">
        <v>78971.20092959363</v>
      </c>
      <c r="Q130" s="110">
        <v>27028.203705853517</v>
      </c>
      <c r="R130" s="113">
        <v>100731.77571713658</v>
      </c>
      <c r="S130" s="113">
        <v>105999.40463544715</v>
      </c>
      <c r="U130" s="7" t="s">
        <v>6262</v>
      </c>
    </row>
    <row r="131" spans="1:21" ht="16.5" thickBot="1">
      <c r="A131" s="207" t="s">
        <v>10</v>
      </c>
      <c r="B131" s="211">
        <f t="shared" si="6"/>
        <v>80</v>
      </c>
      <c r="C131" s="211" t="s">
        <v>3</v>
      </c>
      <c r="D131" s="211">
        <f t="shared" si="7"/>
        <v>360</v>
      </c>
      <c r="E131" s="211" t="s">
        <v>3</v>
      </c>
      <c r="F131" s="209">
        <f t="shared" si="8"/>
        <v>1850</v>
      </c>
      <c r="G131" s="211" t="s">
        <v>3</v>
      </c>
      <c r="H131" s="208">
        <v>4</v>
      </c>
      <c r="I131" s="210" t="s">
        <v>529</v>
      </c>
      <c r="J131" s="103">
        <v>80</v>
      </c>
      <c r="K131" s="66">
        <v>360</v>
      </c>
      <c r="L131" s="66">
        <v>1850</v>
      </c>
      <c r="M131" s="164">
        <v>21.553991020658952</v>
      </c>
      <c r="N131" s="78">
        <v>6654.7489654908668</v>
      </c>
      <c r="O131" s="113">
        <v>74883.564240197447</v>
      </c>
      <c r="P131" s="113">
        <v>80312.31481927089</v>
      </c>
      <c r="Q131" s="110">
        <v>27882.958880904247</v>
      </c>
      <c r="R131" s="113">
        <v>102766.52312110169</v>
      </c>
      <c r="S131" s="113">
        <v>108195.27370017514</v>
      </c>
      <c r="U131" s="7" t="s">
        <v>6263</v>
      </c>
    </row>
    <row r="132" spans="1:21" ht="16.5" thickBot="1">
      <c r="A132" s="207" t="s">
        <v>10</v>
      </c>
      <c r="B132" s="211">
        <f t="shared" si="6"/>
        <v>80</v>
      </c>
      <c r="C132" s="211" t="s">
        <v>3</v>
      </c>
      <c r="D132" s="211">
        <f t="shared" si="7"/>
        <v>360</v>
      </c>
      <c r="E132" s="211" t="s">
        <v>3</v>
      </c>
      <c r="F132" s="209">
        <f t="shared" si="8"/>
        <v>1900</v>
      </c>
      <c r="G132" s="211" t="s">
        <v>3</v>
      </c>
      <c r="H132" s="208">
        <v>4</v>
      </c>
      <c r="I132" s="210" t="s">
        <v>529</v>
      </c>
      <c r="J132" s="103">
        <v>80</v>
      </c>
      <c r="K132" s="66">
        <v>360</v>
      </c>
      <c r="L132" s="66">
        <v>1900</v>
      </c>
      <c r="M132" s="164">
        <v>22.058119898373821</v>
      </c>
      <c r="N132" s="78">
        <v>6876.5739310072295</v>
      </c>
      <c r="O132" s="113">
        <v>76254.365802126209</v>
      </c>
      <c r="P132" s="113">
        <v>81832.08219435341</v>
      </c>
      <c r="Q132" s="110">
        <v>28486.379765142432</v>
      </c>
      <c r="R132" s="113">
        <v>104740.74556726863</v>
      </c>
      <c r="S132" s="113">
        <v>110318.46195949585</v>
      </c>
      <c r="U132" s="7" t="s">
        <v>6264</v>
      </c>
    </row>
    <row r="133" spans="1:21" ht="16.5" thickBot="1">
      <c r="A133" s="207" t="s">
        <v>10</v>
      </c>
      <c r="B133" s="211">
        <f t="shared" si="6"/>
        <v>80</v>
      </c>
      <c r="C133" s="211" t="s">
        <v>3</v>
      </c>
      <c r="D133" s="211">
        <f t="shared" si="7"/>
        <v>360</v>
      </c>
      <c r="E133" s="211" t="s">
        <v>3</v>
      </c>
      <c r="F133" s="209">
        <f t="shared" si="8"/>
        <v>1950</v>
      </c>
      <c r="G133" s="211" t="s">
        <v>3</v>
      </c>
      <c r="H133" s="208">
        <v>4</v>
      </c>
      <c r="I133" s="210" t="s">
        <v>529</v>
      </c>
      <c r="J133" s="103">
        <v>80</v>
      </c>
      <c r="K133" s="66">
        <v>360</v>
      </c>
      <c r="L133" s="66">
        <v>1950</v>
      </c>
      <c r="M133" s="164">
        <v>22.715498776088683</v>
      </c>
      <c r="N133" s="78">
        <v>7098.3988965235912</v>
      </c>
      <c r="O133" s="113">
        <v>77825.123792567334</v>
      </c>
      <c r="P133" s="113">
        <v>83539.067807024883</v>
      </c>
      <c r="Q133" s="110">
        <v>29089.800649380621</v>
      </c>
      <c r="R133" s="113">
        <v>106914.92444194795</v>
      </c>
      <c r="S133" s="113">
        <v>112628.8684564055</v>
      </c>
      <c r="U133" s="7" t="s">
        <v>6265</v>
      </c>
    </row>
    <row r="134" spans="1:21" ht="16.5" thickBot="1">
      <c r="A134" s="207" t="s">
        <v>10</v>
      </c>
      <c r="B134" s="211">
        <f t="shared" si="6"/>
        <v>80</v>
      </c>
      <c r="C134" s="211" t="s">
        <v>3</v>
      </c>
      <c r="D134" s="211">
        <f t="shared" si="7"/>
        <v>360</v>
      </c>
      <c r="E134" s="211" t="s">
        <v>3</v>
      </c>
      <c r="F134" s="209">
        <f t="shared" si="8"/>
        <v>2000</v>
      </c>
      <c r="G134" s="211" t="s">
        <v>3</v>
      </c>
      <c r="H134" s="208">
        <v>4</v>
      </c>
      <c r="I134" s="210" t="s">
        <v>529</v>
      </c>
      <c r="J134" s="103">
        <v>80</v>
      </c>
      <c r="K134" s="66">
        <v>360</v>
      </c>
      <c r="L134" s="66">
        <v>2000</v>
      </c>
      <c r="M134" s="164">
        <v>23.311190053803553</v>
      </c>
      <c r="N134" s="78">
        <v>7320.2238620399521</v>
      </c>
      <c r="O134" s="113">
        <v>79229.963366739787</v>
      </c>
      <c r="P134" s="113">
        <v>85298.085020881146</v>
      </c>
      <c r="Q134" s="110">
        <v>29944.555671402581</v>
      </c>
      <c r="R134" s="113">
        <v>109174.51903814237</v>
      </c>
      <c r="S134" s="113">
        <v>115242.64069228372</v>
      </c>
      <c r="U134" s="7" t="s">
        <v>6266</v>
      </c>
    </row>
    <row r="135" spans="1:21" ht="16.5" thickBot="1">
      <c r="A135" s="207" t="s">
        <v>10</v>
      </c>
      <c r="B135" s="211">
        <f t="shared" si="6"/>
        <v>80</v>
      </c>
      <c r="C135" s="211" t="s">
        <v>3</v>
      </c>
      <c r="D135" s="211">
        <f t="shared" si="7"/>
        <v>360</v>
      </c>
      <c r="E135" s="211" t="s">
        <v>3</v>
      </c>
      <c r="F135" s="209">
        <f t="shared" si="8"/>
        <v>2050</v>
      </c>
      <c r="G135" s="211" t="s">
        <v>3</v>
      </c>
      <c r="H135" s="208">
        <v>4</v>
      </c>
      <c r="I135" s="210" t="s">
        <v>529</v>
      </c>
      <c r="J135" s="103">
        <v>80</v>
      </c>
      <c r="K135" s="66">
        <v>360</v>
      </c>
      <c r="L135" s="66">
        <v>2050</v>
      </c>
      <c r="M135" s="164">
        <v>23.815318931518423</v>
      </c>
      <c r="N135" s="78">
        <v>7542.0488275563148</v>
      </c>
      <c r="O135" s="113">
        <v>82746.883056412771</v>
      </c>
      <c r="P135" s="113">
        <v>88827.25069975738</v>
      </c>
      <c r="Q135" s="110">
        <v>30547.976555640766</v>
      </c>
      <c r="R135" s="113">
        <v>113294.85961205354</v>
      </c>
      <c r="S135" s="113">
        <v>119375.22725539815</v>
      </c>
      <c r="U135" s="7" t="s">
        <v>6267</v>
      </c>
    </row>
    <row r="136" spans="1:21" ht="16.5" thickBot="1">
      <c r="A136" s="207" t="s">
        <v>10</v>
      </c>
      <c r="B136" s="208">
        <f t="shared" si="6"/>
        <v>80</v>
      </c>
      <c r="C136" s="208" t="s">
        <v>3</v>
      </c>
      <c r="D136" s="208">
        <f t="shared" si="7"/>
        <v>360</v>
      </c>
      <c r="E136" s="208" t="s">
        <v>3</v>
      </c>
      <c r="F136" s="209">
        <f t="shared" si="8"/>
        <v>2100</v>
      </c>
      <c r="G136" s="208" t="s">
        <v>3</v>
      </c>
      <c r="H136" s="208">
        <v>4</v>
      </c>
      <c r="I136" s="210" t="s">
        <v>529</v>
      </c>
      <c r="J136" s="103">
        <v>80</v>
      </c>
      <c r="K136" s="66">
        <v>360</v>
      </c>
      <c r="L136" s="66">
        <v>2100</v>
      </c>
      <c r="M136" s="164">
        <v>24.319447809233289</v>
      </c>
      <c r="N136" s="78">
        <v>7763.8737930726766</v>
      </c>
      <c r="O136" s="113">
        <v>83994.378852158494</v>
      </c>
      <c r="P136" s="113">
        <v>90231.567634788313</v>
      </c>
      <c r="Q136" s="110">
        <v>31402.731577662726</v>
      </c>
      <c r="R136" s="113">
        <v>115397.11042982122</v>
      </c>
      <c r="S136" s="113">
        <v>121634.29921245103</v>
      </c>
      <c r="U136" s="7" t="s">
        <v>6268</v>
      </c>
    </row>
    <row r="137" spans="1:21" ht="16.5" thickBot="1">
      <c r="A137" s="207" t="s">
        <v>10</v>
      </c>
      <c r="B137" s="211">
        <f t="shared" si="6"/>
        <v>80</v>
      </c>
      <c r="C137" s="211" t="s">
        <v>3</v>
      </c>
      <c r="D137" s="211">
        <f t="shared" si="7"/>
        <v>360</v>
      </c>
      <c r="E137" s="211" t="s">
        <v>3</v>
      </c>
      <c r="F137" s="209">
        <f t="shared" si="8"/>
        <v>2150</v>
      </c>
      <c r="G137" s="211" t="s">
        <v>3</v>
      </c>
      <c r="H137" s="208">
        <v>4</v>
      </c>
      <c r="I137" s="210" t="s">
        <v>529</v>
      </c>
      <c r="J137" s="103">
        <v>80</v>
      </c>
      <c r="K137" s="66">
        <v>360</v>
      </c>
      <c r="L137" s="66">
        <v>2150</v>
      </c>
      <c r="M137" s="164">
        <v>24.947576686948153</v>
      </c>
      <c r="N137" s="78">
        <v>7985.6987585890392</v>
      </c>
      <c r="O137" s="113">
        <v>85402.777523441589</v>
      </c>
      <c r="P137" s="113">
        <v>91786.537188445174</v>
      </c>
      <c r="Q137" s="110">
        <v>32006.152461900914</v>
      </c>
      <c r="R137" s="113">
        <v>117408.9299853425</v>
      </c>
      <c r="S137" s="113">
        <v>123792.68965034609</v>
      </c>
      <c r="U137" s="7" t="s">
        <v>6269</v>
      </c>
    </row>
    <row r="138" spans="1:21" ht="16.5" thickBot="1">
      <c r="A138" s="207" t="s">
        <v>10</v>
      </c>
      <c r="B138" s="211">
        <f t="shared" si="6"/>
        <v>80</v>
      </c>
      <c r="C138" s="211" t="s">
        <v>3</v>
      </c>
      <c r="D138" s="211">
        <f t="shared" si="7"/>
        <v>360</v>
      </c>
      <c r="E138" s="211" t="s">
        <v>3</v>
      </c>
      <c r="F138" s="209">
        <f t="shared" si="8"/>
        <v>2200</v>
      </c>
      <c r="G138" s="211" t="s">
        <v>3</v>
      </c>
      <c r="H138" s="208">
        <v>4</v>
      </c>
      <c r="I138" s="210" t="s">
        <v>529</v>
      </c>
      <c r="J138" s="103">
        <v>80</v>
      </c>
      <c r="K138" s="66">
        <v>360</v>
      </c>
      <c r="L138" s="66">
        <v>2200</v>
      </c>
      <c r="M138" s="164">
        <v>25.451705564663023</v>
      </c>
      <c r="N138" s="78">
        <v>8207.5237241054019</v>
      </c>
      <c r="O138" s="113">
        <v>86811.123774721185</v>
      </c>
      <c r="P138" s="113">
        <v>93341.457443885374</v>
      </c>
      <c r="Q138" s="110">
        <v>32860.907483922878</v>
      </c>
      <c r="R138" s="113">
        <v>119672.03125864407</v>
      </c>
      <c r="S138" s="113">
        <v>126202.36492780826</v>
      </c>
      <c r="U138" s="7" t="s">
        <v>6270</v>
      </c>
    </row>
    <row r="139" spans="1:21" ht="16.5" thickBot="1">
      <c r="A139" s="207" t="s">
        <v>10</v>
      </c>
      <c r="B139" s="211">
        <f t="shared" si="6"/>
        <v>80</v>
      </c>
      <c r="C139" s="211" t="s">
        <v>3</v>
      </c>
      <c r="D139" s="211">
        <f t="shared" si="7"/>
        <v>360</v>
      </c>
      <c r="E139" s="211" t="s">
        <v>3</v>
      </c>
      <c r="F139" s="209">
        <f t="shared" si="8"/>
        <v>2250</v>
      </c>
      <c r="G139" s="211" t="s">
        <v>3</v>
      </c>
      <c r="H139" s="208">
        <v>4</v>
      </c>
      <c r="I139" s="210" t="s">
        <v>529</v>
      </c>
      <c r="J139" s="103">
        <v>80</v>
      </c>
      <c r="K139" s="66">
        <v>360</v>
      </c>
      <c r="L139" s="66">
        <v>2250</v>
      </c>
      <c r="M139" s="164">
        <v>25.955834442377899</v>
      </c>
      <c r="N139" s="78">
        <v>8429.3486896217637</v>
      </c>
      <c r="O139" s="113">
        <v>88567.846215124271</v>
      </c>
      <c r="P139" s="113">
        <v>95222.560325580373</v>
      </c>
      <c r="Q139" s="110">
        <v>33464.328368161063</v>
      </c>
      <c r="R139" s="113">
        <v>122032.17458328533</v>
      </c>
      <c r="S139" s="113">
        <v>128686.88869374144</v>
      </c>
      <c r="U139" s="7" t="s">
        <v>6271</v>
      </c>
    </row>
    <row r="140" spans="1:21" ht="16.5" thickBot="1">
      <c r="A140" s="207" t="s">
        <v>10</v>
      </c>
      <c r="B140" s="211">
        <f t="shared" si="6"/>
        <v>80</v>
      </c>
      <c r="C140" s="211" t="s">
        <v>3</v>
      </c>
      <c r="D140" s="211">
        <f t="shared" si="7"/>
        <v>360</v>
      </c>
      <c r="E140" s="211" t="s">
        <v>3</v>
      </c>
      <c r="F140" s="209">
        <f t="shared" si="8"/>
        <v>2300</v>
      </c>
      <c r="G140" s="211" t="s">
        <v>3</v>
      </c>
      <c r="H140" s="208">
        <v>4</v>
      </c>
      <c r="I140" s="210" t="s">
        <v>529</v>
      </c>
      <c r="J140" s="103">
        <v>80</v>
      </c>
      <c r="K140" s="66">
        <v>360</v>
      </c>
      <c r="L140" s="66">
        <v>2300</v>
      </c>
      <c r="M140" s="164">
        <v>26.459963320092761</v>
      </c>
      <c r="N140" s="78">
        <v>8651.1736551381255</v>
      </c>
      <c r="O140" s="113">
        <v>89711.425402405934</v>
      </c>
      <c r="P140" s="113">
        <v>96529.580921372559</v>
      </c>
      <c r="Q140" s="110">
        <v>34067.749252399248</v>
      </c>
      <c r="R140" s="113">
        <v>123779.17465480519</v>
      </c>
      <c r="S140" s="113">
        <v>130597.3301737718</v>
      </c>
      <c r="U140" s="7" t="s">
        <v>6272</v>
      </c>
    </row>
    <row r="141" spans="1:21" ht="16.5" thickBot="1">
      <c r="A141" s="207" t="s">
        <v>10</v>
      </c>
      <c r="B141" s="211">
        <f t="shared" si="6"/>
        <v>80</v>
      </c>
      <c r="C141" s="211" t="s">
        <v>3</v>
      </c>
      <c r="D141" s="211">
        <f t="shared" si="7"/>
        <v>360</v>
      </c>
      <c r="E141" s="211" t="s">
        <v>3</v>
      </c>
      <c r="F141" s="209">
        <f t="shared" si="8"/>
        <v>2350</v>
      </c>
      <c r="G141" s="211" t="s">
        <v>3</v>
      </c>
      <c r="H141" s="208">
        <v>4</v>
      </c>
      <c r="I141" s="210" t="s">
        <v>529</v>
      </c>
      <c r="J141" s="103">
        <v>80</v>
      </c>
      <c r="K141" s="66">
        <v>360</v>
      </c>
      <c r="L141" s="66">
        <v>2350</v>
      </c>
      <c r="M141" s="164">
        <v>26.964092197807631</v>
      </c>
      <c r="N141" s="78">
        <v>8872.9986206544891</v>
      </c>
      <c r="O141" s="113">
        <v>90854.95229975853</v>
      </c>
      <c r="P141" s="113">
        <v>97836.552479096965</v>
      </c>
      <c r="Q141" s="110">
        <v>34922.504274421211</v>
      </c>
      <c r="R141" s="113">
        <v>125777.45657417974</v>
      </c>
      <c r="S141" s="113">
        <v>132759.05675351818</v>
      </c>
      <c r="U141" s="7" t="s">
        <v>6273</v>
      </c>
    </row>
    <row r="142" spans="1:21" ht="16.5" thickBot="1">
      <c r="A142" s="207" t="s">
        <v>10</v>
      </c>
      <c r="B142" s="211">
        <f t="shared" si="6"/>
        <v>80</v>
      </c>
      <c r="C142" s="211" t="s">
        <v>3</v>
      </c>
      <c r="D142" s="211">
        <f t="shared" si="7"/>
        <v>360</v>
      </c>
      <c r="E142" s="211" t="s">
        <v>3</v>
      </c>
      <c r="F142" s="209">
        <f t="shared" si="8"/>
        <v>2400</v>
      </c>
      <c r="G142" s="211" t="s">
        <v>3</v>
      </c>
      <c r="H142" s="208">
        <v>4</v>
      </c>
      <c r="I142" s="210" t="s">
        <v>529</v>
      </c>
      <c r="J142" s="103">
        <v>80</v>
      </c>
      <c r="K142" s="66">
        <v>360</v>
      </c>
      <c r="L142" s="66">
        <v>2400</v>
      </c>
      <c r="M142" s="164">
        <v>27.4682210755225</v>
      </c>
      <c r="N142" s="78">
        <v>9094.8235861708508</v>
      </c>
      <c r="O142" s="113">
        <v>91998.426777107656</v>
      </c>
      <c r="P142" s="113">
        <v>99143.474868679128</v>
      </c>
      <c r="Q142" s="110">
        <v>35525.925158659396</v>
      </c>
      <c r="R142" s="113">
        <v>127524.35193576704</v>
      </c>
      <c r="S142" s="113">
        <v>134669.40002733853</v>
      </c>
      <c r="U142" s="7" t="s">
        <v>6274</v>
      </c>
    </row>
    <row r="143" spans="1:21" ht="16.5" thickBot="1">
      <c r="A143" s="207" t="s">
        <v>10</v>
      </c>
      <c r="B143" s="211">
        <f t="shared" si="6"/>
        <v>80</v>
      </c>
      <c r="C143" s="211" t="s">
        <v>3</v>
      </c>
      <c r="D143" s="211">
        <f t="shared" si="7"/>
        <v>360</v>
      </c>
      <c r="E143" s="211" t="s">
        <v>3</v>
      </c>
      <c r="F143" s="209">
        <f t="shared" si="8"/>
        <v>2450</v>
      </c>
      <c r="G143" s="211" t="s">
        <v>3</v>
      </c>
      <c r="H143" s="208">
        <v>4</v>
      </c>
      <c r="I143" s="210" t="s">
        <v>529</v>
      </c>
      <c r="J143" s="103">
        <v>80</v>
      </c>
      <c r="K143" s="66">
        <v>360</v>
      </c>
      <c r="L143" s="66">
        <v>2450</v>
      </c>
      <c r="M143" s="164">
        <v>28.70511590203737</v>
      </c>
      <c r="N143" s="78">
        <v>9316.6485516872126</v>
      </c>
      <c r="O143" s="113">
        <v>93756.246265425056</v>
      </c>
      <c r="P143" s="113">
        <v>101197.56194086059</v>
      </c>
      <c r="Q143" s="110">
        <v>36380.680180681353</v>
      </c>
      <c r="R143" s="113">
        <v>130136.9264461064</v>
      </c>
      <c r="S143" s="113">
        <v>137578.24212154193</v>
      </c>
      <c r="U143" s="7" t="s">
        <v>6275</v>
      </c>
    </row>
    <row r="144" spans="1:21" ht="16.5" thickBot="1">
      <c r="A144" s="207" t="s">
        <v>10</v>
      </c>
      <c r="B144" s="211">
        <f t="shared" si="6"/>
        <v>80</v>
      </c>
      <c r="C144" s="211" t="s">
        <v>3</v>
      </c>
      <c r="D144" s="211">
        <f t="shared" si="7"/>
        <v>360</v>
      </c>
      <c r="E144" s="211" t="s">
        <v>3</v>
      </c>
      <c r="F144" s="209">
        <f t="shared" si="8"/>
        <v>2500</v>
      </c>
      <c r="G144" s="211" t="s">
        <v>3</v>
      </c>
      <c r="H144" s="208">
        <v>4</v>
      </c>
      <c r="I144" s="210" t="s">
        <v>529</v>
      </c>
      <c r="J144" s="103">
        <v>80</v>
      </c>
      <c r="K144" s="66">
        <v>360</v>
      </c>
      <c r="L144" s="66">
        <v>2500</v>
      </c>
      <c r="M144" s="164">
        <v>29.226244779752236</v>
      </c>
      <c r="N144" s="78">
        <v>9538.4735172035744</v>
      </c>
      <c r="O144" s="113">
        <v>94899.615772692734</v>
      </c>
      <c r="P144" s="113">
        <v>102504.3862543072</v>
      </c>
      <c r="Q144" s="110">
        <v>36984.101064919538</v>
      </c>
      <c r="R144" s="113">
        <v>131883.71683761227</v>
      </c>
      <c r="S144" s="113">
        <v>139488.48731922673</v>
      </c>
      <c r="U144" s="7" t="s">
        <v>6276</v>
      </c>
    </row>
    <row r="145" spans="1:21" ht="16.5" thickBot="1">
      <c r="A145" s="207" t="s">
        <v>10</v>
      </c>
      <c r="B145" s="211">
        <f t="shared" si="6"/>
        <v>80</v>
      </c>
      <c r="C145" s="211" t="s">
        <v>3</v>
      </c>
      <c r="D145" s="211">
        <f t="shared" si="7"/>
        <v>360</v>
      </c>
      <c r="E145" s="211" t="s">
        <v>3</v>
      </c>
      <c r="F145" s="209">
        <f t="shared" si="8"/>
        <v>2550</v>
      </c>
      <c r="G145" s="211" t="s">
        <v>3</v>
      </c>
      <c r="H145" s="208">
        <v>4</v>
      </c>
      <c r="I145" s="210" t="s">
        <v>529</v>
      </c>
      <c r="J145" s="103">
        <v>80</v>
      </c>
      <c r="K145" s="66">
        <v>360</v>
      </c>
      <c r="L145" s="66">
        <v>2550</v>
      </c>
      <c r="M145" s="164">
        <v>29.730373657467105</v>
      </c>
      <c r="N145" s="78">
        <v>9760.298482719938</v>
      </c>
      <c r="O145" s="113">
        <v>99633.759031280031</v>
      </c>
      <c r="P145" s="113">
        <v>107173.23122829451</v>
      </c>
      <c r="Q145" s="110">
        <v>37838.856239970264</v>
      </c>
      <c r="R145" s="113">
        <v>137472.61527125031</v>
      </c>
      <c r="S145" s="113">
        <v>145012.08746826477</v>
      </c>
      <c r="U145" s="7" t="s">
        <v>6277</v>
      </c>
    </row>
    <row r="146" spans="1:21" ht="16.5" thickBot="1">
      <c r="A146" s="207" t="s">
        <v>10</v>
      </c>
      <c r="B146" s="208">
        <f t="shared" si="6"/>
        <v>80</v>
      </c>
      <c r="C146" s="208" t="s">
        <v>3</v>
      </c>
      <c r="D146" s="208">
        <f t="shared" si="7"/>
        <v>360</v>
      </c>
      <c r="E146" s="208" t="s">
        <v>3</v>
      </c>
      <c r="F146" s="209">
        <f t="shared" si="8"/>
        <v>2600</v>
      </c>
      <c r="G146" s="208" t="s">
        <v>3</v>
      </c>
      <c r="H146" s="208">
        <v>4</v>
      </c>
      <c r="I146" s="210" t="s">
        <v>529</v>
      </c>
      <c r="J146" s="103">
        <v>80</v>
      </c>
      <c r="K146" s="66">
        <v>360</v>
      </c>
      <c r="L146" s="66">
        <v>2600</v>
      </c>
      <c r="M146" s="164">
        <v>30.234502535181974</v>
      </c>
      <c r="N146" s="78">
        <v>9982.1234482362997</v>
      </c>
      <c r="O146" s="113">
        <v>101071.98169283861</v>
      </c>
      <c r="P146" s="113">
        <v>108756.12464465607</v>
      </c>
      <c r="Q146" s="110">
        <v>38442.277124208456</v>
      </c>
      <c r="R146" s="113">
        <v>139514.25881704706</v>
      </c>
      <c r="S146" s="113">
        <v>147198.40176886454</v>
      </c>
      <c r="U146" s="7" t="s">
        <v>6278</v>
      </c>
    </row>
    <row r="147" spans="1:21" ht="16.5" thickBot="1">
      <c r="A147" s="207" t="s">
        <v>10</v>
      </c>
      <c r="B147" s="211">
        <f t="shared" si="6"/>
        <v>80</v>
      </c>
      <c r="C147" s="211" t="s">
        <v>3</v>
      </c>
      <c r="D147" s="211">
        <f t="shared" si="7"/>
        <v>360</v>
      </c>
      <c r="E147" s="211" t="s">
        <v>3</v>
      </c>
      <c r="F147" s="209">
        <f t="shared" si="8"/>
        <v>2650</v>
      </c>
      <c r="G147" s="211" t="s">
        <v>3</v>
      </c>
      <c r="H147" s="208">
        <v>4</v>
      </c>
      <c r="I147" s="210" t="s">
        <v>529</v>
      </c>
      <c r="J147" s="103">
        <v>80</v>
      </c>
      <c r="K147" s="66">
        <v>360</v>
      </c>
      <c r="L147" s="66">
        <v>2650</v>
      </c>
      <c r="M147" s="164">
        <v>30.845631412896843</v>
      </c>
      <c r="N147" s="78">
        <v>10203.94841375266</v>
      </c>
      <c r="O147" s="113">
        <v>102040.82861909545</v>
      </c>
      <c r="P147" s="113">
        <v>109899.54436066157</v>
      </c>
      <c r="Q147" s="110">
        <v>39297.032146230413</v>
      </c>
      <c r="R147" s="113">
        <v>141337.86076532587</v>
      </c>
      <c r="S147" s="113">
        <v>149196.57650689199</v>
      </c>
      <c r="U147" s="7" t="s">
        <v>6279</v>
      </c>
    </row>
    <row r="148" spans="1:21" ht="16.5" thickBot="1">
      <c r="A148" s="207" t="s">
        <v>10</v>
      </c>
      <c r="B148" s="211">
        <f t="shared" si="6"/>
        <v>80</v>
      </c>
      <c r="C148" s="211" t="s">
        <v>3</v>
      </c>
      <c r="D148" s="211">
        <f t="shared" si="7"/>
        <v>360</v>
      </c>
      <c r="E148" s="211" t="s">
        <v>3</v>
      </c>
      <c r="F148" s="209">
        <f t="shared" si="8"/>
        <v>2700</v>
      </c>
      <c r="G148" s="211" t="s">
        <v>3</v>
      </c>
      <c r="H148" s="208">
        <v>4</v>
      </c>
      <c r="I148" s="210" t="s">
        <v>529</v>
      </c>
      <c r="J148" s="103">
        <v>80</v>
      </c>
      <c r="K148" s="66">
        <v>360</v>
      </c>
      <c r="L148" s="66">
        <v>2700</v>
      </c>
      <c r="M148" s="164">
        <v>31.389010290611711</v>
      </c>
      <c r="N148" s="78">
        <v>10425.773379269025</v>
      </c>
      <c r="O148" s="113">
        <v>103074.6140440226</v>
      </c>
      <c r="P148" s="113">
        <v>111103.76542736938</v>
      </c>
      <c r="Q148" s="110">
        <v>39900.453030468605</v>
      </c>
      <c r="R148" s="113">
        <v>142975.06707449121</v>
      </c>
      <c r="S148" s="113">
        <v>151004.218457838</v>
      </c>
      <c r="U148" s="7" t="s">
        <v>6280</v>
      </c>
    </row>
    <row r="149" spans="1:21" ht="16.5" thickBot="1">
      <c r="A149" s="207" t="s">
        <v>10</v>
      </c>
      <c r="B149" s="211">
        <f t="shared" si="6"/>
        <v>80</v>
      </c>
      <c r="C149" s="211" t="s">
        <v>3</v>
      </c>
      <c r="D149" s="211">
        <f t="shared" si="7"/>
        <v>360</v>
      </c>
      <c r="E149" s="211" t="s">
        <v>3</v>
      </c>
      <c r="F149" s="209">
        <f t="shared" si="8"/>
        <v>2750</v>
      </c>
      <c r="G149" s="211" t="s">
        <v>3</v>
      </c>
      <c r="H149" s="208">
        <v>4</v>
      </c>
      <c r="I149" s="210" t="s">
        <v>529</v>
      </c>
      <c r="J149" s="103">
        <v>80</v>
      </c>
      <c r="K149" s="66">
        <v>360</v>
      </c>
      <c r="L149" s="66">
        <v>2750</v>
      </c>
      <c r="M149" s="164">
        <v>31.893139168326577</v>
      </c>
      <c r="N149" s="78">
        <v>10647.598344785387</v>
      </c>
      <c r="O149" s="113">
        <v>104132.46818509477</v>
      </c>
      <c r="P149" s="113">
        <v>112330.52202267584</v>
      </c>
      <c r="Q149" s="110">
        <v>40503.87391470679</v>
      </c>
      <c r="R149" s="113">
        <v>144636.34209980155</v>
      </c>
      <c r="S149" s="113">
        <v>152834.39593738262</v>
      </c>
      <c r="U149" s="7" t="s">
        <v>6281</v>
      </c>
    </row>
    <row r="150" spans="1:21" ht="16.5" thickBot="1">
      <c r="A150" s="207" t="s">
        <v>10</v>
      </c>
      <c r="B150" s="211">
        <f t="shared" si="6"/>
        <v>80</v>
      </c>
      <c r="C150" s="211" t="s">
        <v>3</v>
      </c>
      <c r="D150" s="211">
        <f t="shared" si="7"/>
        <v>360</v>
      </c>
      <c r="E150" s="211" t="s">
        <v>3</v>
      </c>
      <c r="F150" s="209">
        <f t="shared" si="8"/>
        <v>2800</v>
      </c>
      <c r="G150" s="211" t="s">
        <v>3</v>
      </c>
      <c r="H150" s="208">
        <v>4</v>
      </c>
      <c r="I150" s="210" t="s">
        <v>529</v>
      </c>
      <c r="J150" s="103">
        <v>80</v>
      </c>
      <c r="K150" s="66">
        <v>360</v>
      </c>
      <c r="L150" s="66">
        <v>2800</v>
      </c>
      <c r="M150" s="164">
        <v>32.397268046041447</v>
      </c>
      <c r="N150" s="78">
        <v>10869.423310301749</v>
      </c>
      <c r="O150" s="113">
        <v>105099.96962123712</v>
      </c>
      <c r="P150" s="113">
        <v>113472.68196762964</v>
      </c>
      <c r="Q150" s="110">
        <v>41358.628936728746</v>
      </c>
      <c r="R150" s="113">
        <v>146458.59855796586</v>
      </c>
      <c r="S150" s="113">
        <v>154831.3109043584</v>
      </c>
      <c r="U150" s="7" t="s">
        <v>6282</v>
      </c>
    </row>
    <row r="151" spans="1:21" ht="16.5" thickBot="1">
      <c r="A151" s="207" t="s">
        <v>10</v>
      </c>
      <c r="B151" s="211">
        <f t="shared" si="6"/>
        <v>80</v>
      </c>
      <c r="C151" s="211" t="s">
        <v>3</v>
      </c>
      <c r="D151" s="211">
        <f t="shared" si="7"/>
        <v>360</v>
      </c>
      <c r="E151" s="211" t="s">
        <v>3</v>
      </c>
      <c r="F151" s="209">
        <f t="shared" si="8"/>
        <v>2850</v>
      </c>
      <c r="G151" s="211" t="s">
        <v>3</v>
      </c>
      <c r="H151" s="208">
        <v>4</v>
      </c>
      <c r="I151" s="210" t="s">
        <v>529</v>
      </c>
      <c r="J151" s="103">
        <v>80</v>
      </c>
      <c r="K151" s="66">
        <v>360</v>
      </c>
      <c r="L151" s="66">
        <v>2850</v>
      </c>
      <c r="M151" s="164">
        <v>32.901396923756316</v>
      </c>
      <c r="N151" s="78">
        <v>11091.24827581811</v>
      </c>
      <c r="O151" s="113">
        <v>106067.41876745044</v>
      </c>
      <c r="P151" s="113">
        <v>114614.7928745157</v>
      </c>
      <c r="Q151" s="110">
        <v>41962.049820966939</v>
      </c>
      <c r="R151" s="113">
        <v>148029.46858841737</v>
      </c>
      <c r="S151" s="113">
        <v>156576.84269548263</v>
      </c>
      <c r="U151" s="7" t="s">
        <v>6283</v>
      </c>
    </row>
    <row r="152" spans="1:21" ht="16.5" thickBot="1">
      <c r="A152" s="207" t="s">
        <v>10</v>
      </c>
      <c r="B152" s="211">
        <f t="shared" si="6"/>
        <v>80</v>
      </c>
      <c r="C152" s="211" t="s">
        <v>3</v>
      </c>
      <c r="D152" s="211">
        <f t="shared" si="7"/>
        <v>360</v>
      </c>
      <c r="E152" s="211" t="s">
        <v>3</v>
      </c>
      <c r="F152" s="209">
        <f t="shared" si="8"/>
        <v>2900</v>
      </c>
      <c r="G152" s="211" t="s">
        <v>3</v>
      </c>
      <c r="H152" s="208">
        <v>4</v>
      </c>
      <c r="I152" s="210" t="s">
        <v>529</v>
      </c>
      <c r="J152" s="103">
        <v>80</v>
      </c>
      <c r="K152" s="66">
        <v>360</v>
      </c>
      <c r="L152" s="66">
        <v>2900</v>
      </c>
      <c r="M152" s="164">
        <v>33.58152580147118</v>
      </c>
      <c r="N152" s="78">
        <v>11313.073241334472</v>
      </c>
      <c r="O152" s="113">
        <v>107034.81549366025</v>
      </c>
      <c r="P152" s="113">
        <v>115756.85474333393</v>
      </c>
      <c r="Q152" s="110">
        <v>42816.804842988895</v>
      </c>
      <c r="R152" s="113">
        <v>149851.62033664915</v>
      </c>
      <c r="S152" s="113">
        <v>158573.65958632281</v>
      </c>
      <c r="U152" s="7" t="s">
        <v>6284</v>
      </c>
    </row>
    <row r="153" spans="1:21" ht="16.5" thickBot="1">
      <c r="A153" s="207" t="s">
        <v>10</v>
      </c>
      <c r="B153" s="211">
        <f t="shared" si="6"/>
        <v>80</v>
      </c>
      <c r="C153" s="211" t="s">
        <v>3</v>
      </c>
      <c r="D153" s="211">
        <f t="shared" si="7"/>
        <v>360</v>
      </c>
      <c r="E153" s="211" t="s">
        <v>3</v>
      </c>
      <c r="F153" s="209">
        <f t="shared" si="8"/>
        <v>2950</v>
      </c>
      <c r="G153" s="211" t="s">
        <v>3</v>
      </c>
      <c r="H153" s="208">
        <v>4</v>
      </c>
      <c r="I153" s="210" t="s">
        <v>529</v>
      </c>
      <c r="J153" s="103">
        <v>80</v>
      </c>
      <c r="K153" s="66">
        <v>360</v>
      </c>
      <c r="L153" s="66">
        <v>2950</v>
      </c>
      <c r="M153" s="164">
        <v>34.08565467918605</v>
      </c>
      <c r="N153" s="78">
        <v>11534.898206850836</v>
      </c>
      <c r="O153" s="113">
        <v>108002.15966979215</v>
      </c>
      <c r="P153" s="113">
        <v>116898.86744400994</v>
      </c>
      <c r="Q153" s="110">
        <v>43420.22572722708</v>
      </c>
      <c r="R153" s="113">
        <v>151422.38539701921</v>
      </c>
      <c r="S153" s="113">
        <v>160319.09317123704</v>
      </c>
      <c r="U153" s="7" t="s">
        <v>6285</v>
      </c>
    </row>
    <row r="154" spans="1:21" ht="16.5" thickBot="1">
      <c r="A154" s="212" t="s">
        <v>10</v>
      </c>
      <c r="B154" s="213">
        <f t="shared" si="6"/>
        <v>80</v>
      </c>
      <c r="C154" s="213" t="s">
        <v>3</v>
      </c>
      <c r="D154" s="213">
        <f t="shared" si="7"/>
        <v>360</v>
      </c>
      <c r="E154" s="213" t="s">
        <v>3</v>
      </c>
      <c r="F154" s="214">
        <f t="shared" si="8"/>
        <v>3000</v>
      </c>
      <c r="G154" s="213" t="s">
        <v>3</v>
      </c>
      <c r="H154" s="215">
        <v>4</v>
      </c>
      <c r="I154" s="210" t="s">
        <v>529</v>
      </c>
      <c r="J154" s="287">
        <v>80</v>
      </c>
      <c r="K154" s="266">
        <v>360</v>
      </c>
      <c r="L154" s="266">
        <v>3000</v>
      </c>
      <c r="M154" s="249">
        <v>34.651783556900916</v>
      </c>
      <c r="N154" s="250">
        <v>11756.723172367198</v>
      </c>
      <c r="O154" s="251">
        <v>110840.80366666793</v>
      </c>
      <c r="P154" s="251">
        <v>119792.96725197615</v>
      </c>
      <c r="Q154" s="252">
        <v>44274.980749249036</v>
      </c>
      <c r="R154" s="251">
        <v>155115.78441591695</v>
      </c>
      <c r="S154" s="251">
        <v>164067.94800122519</v>
      </c>
      <c r="U154" s="7" t="s">
        <v>6286</v>
      </c>
    </row>
    <row r="155" spans="1:21" ht="22.5" customHeight="1" thickBot="1">
      <c r="A155" s="2968" t="s">
        <v>471</v>
      </c>
      <c r="B155" s="2969"/>
      <c r="C155" s="2969"/>
      <c r="D155" s="2969"/>
      <c r="E155" s="2969"/>
      <c r="F155" s="2969"/>
      <c r="G155" s="2969"/>
      <c r="H155" s="2969"/>
      <c r="I155" s="2969"/>
      <c r="J155" s="2969"/>
      <c r="K155" s="2969"/>
      <c r="L155" s="2969"/>
      <c r="M155" s="2969"/>
      <c r="N155" s="2969"/>
      <c r="O155" s="2969"/>
      <c r="P155" s="2969"/>
      <c r="Q155" s="2969"/>
      <c r="R155" s="2969"/>
      <c r="S155" s="2970"/>
      <c r="U155" s="7"/>
    </row>
    <row r="156" spans="1:21" ht="16.5" thickBot="1">
      <c r="A156" s="2974" t="s">
        <v>113</v>
      </c>
      <c r="B156" s="2975"/>
      <c r="C156" s="2975"/>
      <c r="D156" s="2975"/>
      <c r="E156" s="2975"/>
      <c r="F156" s="2975"/>
      <c r="G156" s="2975"/>
      <c r="H156" s="2975"/>
      <c r="I156" s="2975"/>
      <c r="J156" s="2975"/>
      <c r="K156" s="2975"/>
      <c r="L156" s="2975"/>
      <c r="M156" s="2975"/>
      <c r="N156" s="2975"/>
      <c r="O156" s="2975"/>
      <c r="P156" s="2975"/>
      <c r="Q156" s="2975"/>
      <c r="R156" s="2975"/>
      <c r="S156" s="2976"/>
      <c r="U156" s="7"/>
    </row>
    <row r="157" spans="1:21" ht="16.5" thickBot="1">
      <c r="A157" s="207" t="s">
        <v>10</v>
      </c>
      <c r="B157" s="208">
        <f t="shared" ref="B157:B203" si="9">J157</f>
        <v>80</v>
      </c>
      <c r="C157" s="208" t="s">
        <v>3</v>
      </c>
      <c r="D157" s="208">
        <f t="shared" ref="D157:D203" si="10">K157</f>
        <v>400</v>
      </c>
      <c r="E157" s="208" t="s">
        <v>3</v>
      </c>
      <c r="F157" s="209">
        <f t="shared" ref="F157:F203" si="11">L157</f>
        <v>700</v>
      </c>
      <c r="G157" s="208" t="s">
        <v>3</v>
      </c>
      <c r="H157" s="208">
        <v>4</v>
      </c>
      <c r="I157" s="210" t="s">
        <v>529</v>
      </c>
      <c r="J157" s="286">
        <v>80</v>
      </c>
      <c r="K157" s="271">
        <v>400</v>
      </c>
      <c r="L157" s="271">
        <v>700</v>
      </c>
      <c r="M157" s="245">
        <v>10.016169898570789</v>
      </c>
      <c r="N157" s="246">
        <v>1693.2988799999998</v>
      </c>
      <c r="O157" s="247">
        <v>32357.30986466473</v>
      </c>
      <c r="P157" s="247">
        <v>41398.936445662337</v>
      </c>
      <c r="Q157" s="248">
        <v>12324.7019970418</v>
      </c>
      <c r="R157" s="247">
        <v>44682.011861706531</v>
      </c>
      <c r="S157" s="247">
        <v>53723.638442704134</v>
      </c>
      <c r="U157" s="7" t="s">
        <v>6287</v>
      </c>
    </row>
    <row r="158" spans="1:21" ht="16.5" thickBot="1">
      <c r="A158" s="207" t="s">
        <v>10</v>
      </c>
      <c r="B158" s="211">
        <f t="shared" si="9"/>
        <v>80</v>
      </c>
      <c r="C158" s="211" t="s">
        <v>3</v>
      </c>
      <c r="D158" s="211">
        <f t="shared" si="10"/>
        <v>400</v>
      </c>
      <c r="E158" s="211" t="s">
        <v>3</v>
      </c>
      <c r="F158" s="209">
        <f t="shared" si="11"/>
        <v>750</v>
      </c>
      <c r="G158" s="211" t="s">
        <v>3</v>
      </c>
      <c r="H158" s="208">
        <v>4</v>
      </c>
      <c r="I158" s="210" t="s">
        <v>529</v>
      </c>
      <c r="J158" s="103">
        <v>80</v>
      </c>
      <c r="K158" s="66">
        <v>400</v>
      </c>
      <c r="L158" s="66">
        <v>750</v>
      </c>
      <c r="M158" s="164">
        <v>10.763905427684737</v>
      </c>
      <c r="N158" s="78">
        <v>1935.1987200000001</v>
      </c>
      <c r="O158" s="113">
        <v>34328.145516459139</v>
      </c>
      <c r="P158" s="113">
        <v>42374.629450390334</v>
      </c>
      <c r="Q158" s="110">
        <v>12981.309099800537</v>
      </c>
      <c r="R158" s="113">
        <v>47309.454616259674</v>
      </c>
      <c r="S158" s="113">
        <v>55355.938550190869</v>
      </c>
      <c r="U158" s="7" t="s">
        <v>6288</v>
      </c>
    </row>
    <row r="159" spans="1:21" ht="16.5" thickBot="1">
      <c r="A159" s="207" t="s">
        <v>10</v>
      </c>
      <c r="B159" s="211">
        <f t="shared" si="9"/>
        <v>80</v>
      </c>
      <c r="C159" s="211" t="s">
        <v>3</v>
      </c>
      <c r="D159" s="211">
        <f t="shared" si="10"/>
        <v>400</v>
      </c>
      <c r="E159" s="211" t="s">
        <v>3</v>
      </c>
      <c r="F159" s="209">
        <f t="shared" si="11"/>
        <v>800</v>
      </c>
      <c r="G159" s="211" t="s">
        <v>3</v>
      </c>
      <c r="H159" s="208">
        <v>4</v>
      </c>
      <c r="I159" s="210" t="s">
        <v>529</v>
      </c>
      <c r="J159" s="103">
        <v>80</v>
      </c>
      <c r="K159" s="66">
        <v>400</v>
      </c>
      <c r="L159" s="66">
        <v>800</v>
      </c>
      <c r="M159" s="164">
        <v>11.392640956798683</v>
      </c>
      <c r="N159" s="78">
        <v>2177.0985599999999</v>
      </c>
      <c r="O159" s="113">
        <v>36299.640385567953</v>
      </c>
      <c r="P159" s="113">
        <v>43341.572606991765</v>
      </c>
      <c r="Q159" s="110">
        <v>13637.916049530511</v>
      </c>
      <c r="R159" s="113">
        <v>49937.556435098464</v>
      </c>
      <c r="S159" s="113">
        <v>56979.488656522277</v>
      </c>
      <c r="U159" s="7" t="s">
        <v>6289</v>
      </c>
    </row>
    <row r="160" spans="1:21" ht="16.5" thickBot="1">
      <c r="A160" s="207" t="s">
        <v>10</v>
      </c>
      <c r="B160" s="211">
        <f t="shared" si="9"/>
        <v>80</v>
      </c>
      <c r="C160" s="211" t="s">
        <v>3</v>
      </c>
      <c r="D160" s="211">
        <f t="shared" si="10"/>
        <v>400</v>
      </c>
      <c r="E160" s="211" t="s">
        <v>3</v>
      </c>
      <c r="F160" s="209">
        <f t="shared" si="11"/>
        <v>850</v>
      </c>
      <c r="G160" s="211" t="s">
        <v>3</v>
      </c>
      <c r="H160" s="208">
        <v>4</v>
      </c>
      <c r="I160" s="210" t="s">
        <v>529</v>
      </c>
      <c r="J160" s="103">
        <v>80</v>
      </c>
      <c r="K160" s="66">
        <v>400</v>
      </c>
      <c r="L160" s="66">
        <v>850</v>
      </c>
      <c r="M160" s="164">
        <v>12.021376485912629</v>
      </c>
      <c r="N160" s="78">
        <v>2418.9983999999999</v>
      </c>
      <c r="O160" s="113">
        <v>38271.135384751215</v>
      </c>
      <c r="P160" s="113">
        <v>44308.515893667638</v>
      </c>
      <c r="Q160" s="110">
        <v>14545.85729007302</v>
      </c>
      <c r="R160" s="113">
        <v>52816.992674824236</v>
      </c>
      <c r="S160" s="113">
        <v>58854.373183740659</v>
      </c>
      <c r="U160" s="7" t="s">
        <v>6290</v>
      </c>
    </row>
    <row r="161" spans="1:21" ht="16.5" thickBot="1">
      <c r="A161" s="207" t="s">
        <v>10</v>
      </c>
      <c r="B161" s="211">
        <f t="shared" si="9"/>
        <v>80</v>
      </c>
      <c r="C161" s="211" t="s">
        <v>3</v>
      </c>
      <c r="D161" s="211">
        <f t="shared" si="10"/>
        <v>400</v>
      </c>
      <c r="E161" s="211" t="s">
        <v>3</v>
      </c>
      <c r="F161" s="209">
        <f t="shared" si="11"/>
        <v>900</v>
      </c>
      <c r="G161" s="211" t="s">
        <v>3</v>
      </c>
      <c r="H161" s="208">
        <v>4</v>
      </c>
      <c r="I161" s="210" t="s">
        <v>529</v>
      </c>
      <c r="J161" s="103">
        <v>80</v>
      </c>
      <c r="K161" s="66">
        <v>400</v>
      </c>
      <c r="L161" s="66">
        <v>900</v>
      </c>
      <c r="M161" s="164">
        <v>12.688112015026579</v>
      </c>
      <c r="N161" s="78">
        <v>2660.89824</v>
      </c>
      <c r="O161" s="113">
        <v>40242.630253860028</v>
      </c>
      <c r="P161" s="113">
        <v>45287.958684650512</v>
      </c>
      <c r="Q161" s="110">
        <v>15202.464239802994</v>
      </c>
      <c r="R161" s="113">
        <v>55445.094493663026</v>
      </c>
      <c r="S161" s="113">
        <v>60490.422924453509</v>
      </c>
      <c r="U161" s="7" t="s">
        <v>6291</v>
      </c>
    </row>
    <row r="162" spans="1:21" ht="16.5" thickBot="1">
      <c r="A162" s="207" t="s">
        <v>10</v>
      </c>
      <c r="B162" s="211">
        <f t="shared" si="9"/>
        <v>80</v>
      </c>
      <c r="C162" s="211" t="s">
        <v>3</v>
      </c>
      <c r="D162" s="211">
        <f t="shared" si="10"/>
        <v>400</v>
      </c>
      <c r="E162" s="211" t="s">
        <v>3</v>
      </c>
      <c r="F162" s="209">
        <f t="shared" si="11"/>
        <v>950</v>
      </c>
      <c r="G162" s="211" t="s">
        <v>3</v>
      </c>
      <c r="H162" s="208">
        <v>4</v>
      </c>
      <c r="I162" s="210" t="s">
        <v>529</v>
      </c>
      <c r="J162" s="103">
        <v>80</v>
      </c>
      <c r="K162" s="66">
        <v>400</v>
      </c>
      <c r="L162" s="66">
        <v>950</v>
      </c>
      <c r="M162" s="164">
        <v>13.385847544140526</v>
      </c>
      <c r="N162" s="78">
        <v>2902.79808</v>
      </c>
      <c r="O162" s="113">
        <v>42214.12525304329</v>
      </c>
      <c r="P162" s="113">
        <v>46254.901971326392</v>
      </c>
      <c r="Q162" s="110">
        <v>16110.4054803455</v>
      </c>
      <c r="R162" s="113">
        <v>58324.53073338879</v>
      </c>
      <c r="S162" s="113">
        <v>62365.307451671892</v>
      </c>
      <c r="U162" s="7" t="s">
        <v>6292</v>
      </c>
    </row>
    <row r="163" spans="1:21" ht="16.5" thickBot="1">
      <c r="A163" s="207" t="s">
        <v>10</v>
      </c>
      <c r="B163" s="211">
        <f t="shared" si="9"/>
        <v>80</v>
      </c>
      <c r="C163" s="211" t="s">
        <v>3</v>
      </c>
      <c r="D163" s="211">
        <f t="shared" si="10"/>
        <v>400</v>
      </c>
      <c r="E163" s="211" t="s">
        <v>3</v>
      </c>
      <c r="F163" s="209">
        <f t="shared" si="11"/>
        <v>1000</v>
      </c>
      <c r="G163" s="211" t="s">
        <v>3</v>
      </c>
      <c r="H163" s="208">
        <v>4</v>
      </c>
      <c r="I163" s="210" t="s">
        <v>529</v>
      </c>
      <c r="J163" s="103">
        <v>80</v>
      </c>
      <c r="K163" s="66">
        <v>400</v>
      </c>
      <c r="L163" s="66">
        <v>1000</v>
      </c>
      <c r="M163" s="164">
        <v>14.014583073254474</v>
      </c>
      <c r="N163" s="78">
        <v>3144.6979200000001</v>
      </c>
      <c r="O163" s="113">
        <v>44081.926201147056</v>
      </c>
      <c r="P163" s="113">
        <v>47226.845059725063</v>
      </c>
      <c r="Q163" s="110">
        <v>16767.012583104239</v>
      </c>
      <c r="R163" s="113">
        <v>60848.938784251295</v>
      </c>
      <c r="S163" s="113">
        <v>63993.857642829302</v>
      </c>
      <c r="U163" s="7" t="s">
        <v>6293</v>
      </c>
    </row>
    <row r="164" spans="1:21" ht="16.5" thickBot="1">
      <c r="A164" s="207" t="s">
        <v>10</v>
      </c>
      <c r="B164" s="211">
        <f t="shared" si="9"/>
        <v>80</v>
      </c>
      <c r="C164" s="211" t="s">
        <v>3</v>
      </c>
      <c r="D164" s="211">
        <f t="shared" si="10"/>
        <v>400</v>
      </c>
      <c r="E164" s="211" t="s">
        <v>3</v>
      </c>
      <c r="F164" s="209">
        <f t="shared" si="11"/>
        <v>1050</v>
      </c>
      <c r="G164" s="211" t="s">
        <v>3</v>
      </c>
      <c r="H164" s="208">
        <v>4</v>
      </c>
      <c r="I164" s="210" t="s">
        <v>529</v>
      </c>
      <c r="J164" s="103">
        <v>80</v>
      </c>
      <c r="K164" s="66">
        <v>400</v>
      </c>
      <c r="L164" s="66">
        <v>1050</v>
      </c>
      <c r="M164" s="164">
        <v>14.643318602368421</v>
      </c>
      <c r="N164" s="78">
        <v>3386.5977599999997</v>
      </c>
      <c r="O164" s="113">
        <v>46299.694278976611</v>
      </c>
      <c r="P164" s="113">
        <v>48201.288048985138</v>
      </c>
      <c r="Q164" s="110">
        <v>17674.953670617982</v>
      </c>
      <c r="R164" s="113">
        <v>63974.647949594597</v>
      </c>
      <c r="S164" s="113">
        <v>65876.241719603117</v>
      </c>
      <c r="U164" s="7" t="s">
        <v>6294</v>
      </c>
    </row>
    <row r="165" spans="1:21" ht="16.5" thickBot="1">
      <c r="A165" s="207" t="s">
        <v>10</v>
      </c>
      <c r="B165" s="208">
        <f t="shared" si="9"/>
        <v>80</v>
      </c>
      <c r="C165" s="208" t="s">
        <v>3</v>
      </c>
      <c r="D165" s="208">
        <f t="shared" si="10"/>
        <v>400</v>
      </c>
      <c r="E165" s="208" t="s">
        <v>3</v>
      </c>
      <c r="F165" s="209">
        <f t="shared" si="11"/>
        <v>1100</v>
      </c>
      <c r="G165" s="208" t="s">
        <v>3</v>
      </c>
      <c r="H165" s="208">
        <v>4</v>
      </c>
      <c r="I165" s="210" t="s">
        <v>529</v>
      </c>
      <c r="J165" s="103">
        <v>80</v>
      </c>
      <c r="K165" s="66">
        <v>400</v>
      </c>
      <c r="L165" s="66">
        <v>1100</v>
      </c>
      <c r="M165" s="164">
        <v>15.272054131482367</v>
      </c>
      <c r="N165" s="78">
        <v>3628.4975999999997</v>
      </c>
      <c r="O165" s="113">
        <v>48271.189148085425</v>
      </c>
      <c r="P165" s="113">
        <v>69102.335704282974</v>
      </c>
      <c r="Q165" s="110">
        <v>18331.560773376717</v>
      </c>
      <c r="R165" s="113">
        <v>66602.749921462149</v>
      </c>
      <c r="S165" s="113">
        <v>87433.896477659699</v>
      </c>
      <c r="U165" s="7" t="s">
        <v>6295</v>
      </c>
    </row>
    <row r="166" spans="1:21" ht="16.5" thickBot="1">
      <c r="A166" s="207" t="s">
        <v>10</v>
      </c>
      <c r="B166" s="211">
        <f t="shared" si="9"/>
        <v>80</v>
      </c>
      <c r="C166" s="211" t="s">
        <v>3</v>
      </c>
      <c r="D166" s="211">
        <f t="shared" si="10"/>
        <v>400</v>
      </c>
      <c r="E166" s="211" t="s">
        <v>3</v>
      </c>
      <c r="F166" s="209">
        <f t="shared" si="11"/>
        <v>1150</v>
      </c>
      <c r="G166" s="211" t="s">
        <v>3</v>
      </c>
      <c r="H166" s="208">
        <v>4</v>
      </c>
      <c r="I166" s="210" t="s">
        <v>529</v>
      </c>
      <c r="J166" s="103">
        <v>80</v>
      </c>
      <c r="K166" s="66">
        <v>400</v>
      </c>
      <c r="L166" s="66">
        <v>1150</v>
      </c>
      <c r="M166" s="164">
        <v>15.900789660596317</v>
      </c>
      <c r="N166" s="78">
        <v>3870.3974400000002</v>
      </c>
      <c r="O166" s="113">
        <v>49419.360743911362</v>
      </c>
      <c r="P166" s="113">
        <v>69124.191593878524</v>
      </c>
      <c r="Q166" s="110">
        <v>18988.167723106693</v>
      </c>
      <c r="R166" s="113">
        <v>68407.528467018055</v>
      </c>
      <c r="S166" s="113">
        <v>88112.35931698521</v>
      </c>
      <c r="U166" s="7" t="s">
        <v>6296</v>
      </c>
    </row>
    <row r="167" spans="1:21" ht="16.5" thickBot="1">
      <c r="A167" s="207" t="s">
        <v>10</v>
      </c>
      <c r="B167" s="211">
        <f t="shared" si="9"/>
        <v>80</v>
      </c>
      <c r="C167" s="211" t="s">
        <v>3</v>
      </c>
      <c r="D167" s="211">
        <f t="shared" si="10"/>
        <v>400</v>
      </c>
      <c r="E167" s="211" t="s">
        <v>3</v>
      </c>
      <c r="F167" s="209">
        <f t="shared" si="11"/>
        <v>1200</v>
      </c>
      <c r="G167" s="211" t="s">
        <v>3</v>
      </c>
      <c r="H167" s="208">
        <v>4</v>
      </c>
      <c r="I167" s="210" t="s">
        <v>529</v>
      </c>
      <c r="J167" s="103">
        <v>80</v>
      </c>
      <c r="K167" s="66">
        <v>400</v>
      </c>
      <c r="L167" s="66">
        <v>1200</v>
      </c>
      <c r="M167" s="164">
        <v>16.784025189710263</v>
      </c>
      <c r="N167" s="78">
        <v>4112.2972799999998</v>
      </c>
      <c r="O167" s="113">
        <v>50632.261028319168</v>
      </c>
      <c r="P167" s="113">
        <v>69206.329707044992</v>
      </c>
      <c r="Q167" s="110">
        <v>19896.1089636492</v>
      </c>
      <c r="R167" s="113">
        <v>70528.369991968371</v>
      </c>
      <c r="S167" s="113">
        <v>89102.438670694188</v>
      </c>
      <c r="U167" s="7" t="s">
        <v>6297</v>
      </c>
    </row>
    <row r="168" spans="1:21" ht="16.5" thickBot="1">
      <c r="A168" s="207" t="s">
        <v>10</v>
      </c>
      <c r="B168" s="211">
        <f t="shared" si="9"/>
        <v>80</v>
      </c>
      <c r="C168" s="211" t="s">
        <v>3</v>
      </c>
      <c r="D168" s="211">
        <f t="shared" si="10"/>
        <v>400</v>
      </c>
      <c r="E168" s="211" t="s">
        <v>3</v>
      </c>
      <c r="F168" s="209">
        <f t="shared" si="11"/>
        <v>1250</v>
      </c>
      <c r="G168" s="211" t="s">
        <v>3</v>
      </c>
      <c r="H168" s="208">
        <v>4</v>
      </c>
      <c r="I168" s="210" t="s">
        <v>529</v>
      </c>
      <c r="J168" s="103">
        <v>80</v>
      </c>
      <c r="K168" s="66">
        <v>400</v>
      </c>
      <c r="L168" s="66">
        <v>1250</v>
      </c>
      <c r="M168" s="164">
        <v>17.41276071882421</v>
      </c>
      <c r="N168" s="78">
        <v>4354.1971199999998</v>
      </c>
      <c r="O168" s="113">
        <v>51779.908294035718</v>
      </c>
      <c r="P168" s="113">
        <v>69220.060756247942</v>
      </c>
      <c r="Q168" s="110">
        <v>20552.715913379172</v>
      </c>
      <c r="R168" s="113">
        <v>72332.62420741489</v>
      </c>
      <c r="S168" s="113">
        <v>89772.776669627114</v>
      </c>
      <c r="U168" s="7" t="s">
        <v>6298</v>
      </c>
    </row>
    <row r="169" spans="1:21" ht="16.5" thickBot="1">
      <c r="A169" s="207" t="s">
        <v>10</v>
      </c>
      <c r="B169" s="211">
        <f t="shared" si="9"/>
        <v>80</v>
      </c>
      <c r="C169" s="211" t="s">
        <v>3</v>
      </c>
      <c r="D169" s="211">
        <f t="shared" si="10"/>
        <v>400</v>
      </c>
      <c r="E169" s="211" t="s">
        <v>3</v>
      </c>
      <c r="F169" s="209">
        <f t="shared" si="11"/>
        <v>1300</v>
      </c>
      <c r="G169" s="211" t="s">
        <v>3</v>
      </c>
      <c r="H169" s="208">
        <v>4</v>
      </c>
      <c r="I169" s="210" t="s">
        <v>529</v>
      </c>
      <c r="J169" s="103">
        <v>80</v>
      </c>
      <c r="K169" s="66">
        <v>400</v>
      </c>
      <c r="L169" s="66">
        <v>1300</v>
      </c>
      <c r="M169" s="164">
        <v>18.10349624793816</v>
      </c>
      <c r="N169" s="78">
        <v>4596.0969599999999</v>
      </c>
      <c r="O169" s="113">
        <v>55600.653543510736</v>
      </c>
      <c r="P169" s="113">
        <v>69235.837226182761</v>
      </c>
      <c r="Q169" s="110">
        <v>21460.657153921682</v>
      </c>
      <c r="R169" s="113">
        <v>77061.310697432418</v>
      </c>
      <c r="S169" s="113">
        <v>90696.494380104443</v>
      </c>
      <c r="U169" s="7" t="s">
        <v>6299</v>
      </c>
    </row>
    <row r="170" spans="1:21" ht="16.5" thickBot="1">
      <c r="A170" s="207" t="s">
        <v>10</v>
      </c>
      <c r="B170" s="211">
        <f t="shared" si="9"/>
        <v>80</v>
      </c>
      <c r="C170" s="211" t="s">
        <v>3</v>
      </c>
      <c r="D170" s="211">
        <f t="shared" si="10"/>
        <v>400</v>
      </c>
      <c r="E170" s="211" t="s">
        <v>3</v>
      </c>
      <c r="F170" s="209">
        <f t="shared" si="11"/>
        <v>1350</v>
      </c>
      <c r="G170" s="211" t="s">
        <v>3</v>
      </c>
      <c r="H170" s="208">
        <v>4</v>
      </c>
      <c r="I170" s="210" t="s">
        <v>529</v>
      </c>
      <c r="J170" s="103">
        <v>80</v>
      </c>
      <c r="K170" s="66">
        <v>400</v>
      </c>
      <c r="L170" s="66">
        <v>1350</v>
      </c>
      <c r="M170" s="164">
        <v>18.732231777052107</v>
      </c>
      <c r="N170" s="78">
        <v>4837.9967999999999</v>
      </c>
      <c r="O170" s="113">
        <v>57020.470019971654</v>
      </c>
      <c r="P170" s="113">
        <v>65578.483956927128</v>
      </c>
      <c r="Q170" s="110">
        <v>22117.264103651651</v>
      </c>
      <c r="R170" s="113">
        <v>79137.734123623304</v>
      </c>
      <c r="S170" s="113">
        <v>87695.748060578771</v>
      </c>
      <c r="U170" s="7" t="s">
        <v>6300</v>
      </c>
    </row>
    <row r="171" spans="1:21" ht="16.5" thickBot="1">
      <c r="A171" s="207" t="s">
        <v>10</v>
      </c>
      <c r="B171" s="211">
        <f t="shared" si="9"/>
        <v>80</v>
      </c>
      <c r="C171" s="211" t="s">
        <v>3</v>
      </c>
      <c r="D171" s="211">
        <f t="shared" si="10"/>
        <v>400</v>
      </c>
      <c r="E171" s="211" t="s">
        <v>3</v>
      </c>
      <c r="F171" s="209">
        <f t="shared" si="11"/>
        <v>1400</v>
      </c>
      <c r="G171" s="211" t="s">
        <v>3</v>
      </c>
      <c r="H171" s="208">
        <v>4</v>
      </c>
      <c r="I171" s="210" t="s">
        <v>529</v>
      </c>
      <c r="J171" s="103">
        <v>80</v>
      </c>
      <c r="K171" s="66">
        <v>400</v>
      </c>
      <c r="L171" s="66">
        <v>1400</v>
      </c>
      <c r="M171" s="164">
        <v>19.360967306166053</v>
      </c>
      <c r="N171" s="78">
        <v>5079.8966399999999</v>
      </c>
      <c r="O171" s="113">
        <v>58796.734325498466</v>
      </c>
      <c r="P171" s="113">
        <v>66548.836104723494</v>
      </c>
      <c r="Q171" s="110">
        <v>23025.205344194161</v>
      </c>
      <c r="R171" s="113">
        <v>81821.939669692627</v>
      </c>
      <c r="S171" s="113">
        <v>89574.041448917647</v>
      </c>
      <c r="U171" s="7" t="s">
        <v>6301</v>
      </c>
    </row>
    <row r="172" spans="1:21" ht="16.5" thickBot="1">
      <c r="A172" s="207" t="s">
        <v>10</v>
      </c>
      <c r="B172" s="211">
        <f t="shared" si="9"/>
        <v>80</v>
      </c>
      <c r="C172" s="211" t="s">
        <v>3</v>
      </c>
      <c r="D172" s="211">
        <f t="shared" si="10"/>
        <v>400</v>
      </c>
      <c r="E172" s="211" t="s">
        <v>3</v>
      </c>
      <c r="F172" s="209">
        <f t="shared" si="11"/>
        <v>1450</v>
      </c>
      <c r="G172" s="211" t="s">
        <v>3</v>
      </c>
      <c r="H172" s="208">
        <v>4</v>
      </c>
      <c r="I172" s="210" t="s">
        <v>529</v>
      </c>
      <c r="J172" s="103">
        <v>80</v>
      </c>
      <c r="K172" s="66">
        <v>400</v>
      </c>
      <c r="L172" s="66">
        <v>1450</v>
      </c>
      <c r="M172" s="164">
        <v>19.989702835280003</v>
      </c>
      <c r="N172" s="78">
        <v>5321.79648</v>
      </c>
      <c r="O172" s="113">
        <v>60216.550671884928</v>
      </c>
      <c r="P172" s="113">
        <v>67524.870034585882</v>
      </c>
      <c r="Q172" s="110">
        <v>23681.812293924133</v>
      </c>
      <c r="R172" s="113">
        <v>83898.362965809065</v>
      </c>
      <c r="S172" s="113">
        <v>91206.682328510011</v>
      </c>
      <c r="U172" s="7" t="s">
        <v>6302</v>
      </c>
    </row>
    <row r="173" spans="1:21" ht="16.5" thickBot="1">
      <c r="A173" s="207" t="s">
        <v>10</v>
      </c>
      <c r="B173" s="211">
        <f t="shared" si="9"/>
        <v>80</v>
      </c>
      <c r="C173" s="211" t="s">
        <v>3</v>
      </c>
      <c r="D173" s="211">
        <f t="shared" si="10"/>
        <v>400</v>
      </c>
      <c r="E173" s="211" t="s">
        <v>3</v>
      </c>
      <c r="F173" s="209">
        <f t="shared" si="11"/>
        <v>1500</v>
      </c>
      <c r="G173" s="211" t="s">
        <v>3</v>
      </c>
      <c r="H173" s="208">
        <v>4</v>
      </c>
      <c r="I173" s="210" t="s">
        <v>529</v>
      </c>
      <c r="J173" s="103">
        <v>80</v>
      </c>
      <c r="K173" s="66">
        <v>400</v>
      </c>
      <c r="L173" s="66">
        <v>1500</v>
      </c>
      <c r="M173" s="164">
        <v>21.258005017193948</v>
      </c>
      <c r="N173" s="78">
        <v>5563.6963199999991</v>
      </c>
      <c r="O173" s="113">
        <v>62326.69866149989</v>
      </c>
      <c r="P173" s="113">
        <v>69332.371589291288</v>
      </c>
      <c r="Q173" s="110">
        <v>24589.753534466639</v>
      </c>
      <c r="R173" s="113">
        <v>86916.452195966529</v>
      </c>
      <c r="S173" s="113">
        <v>93922.125123757927</v>
      </c>
      <c r="U173" s="7" t="s">
        <v>6303</v>
      </c>
    </row>
    <row r="174" spans="1:21" ht="16.5" thickBot="1">
      <c r="A174" s="207" t="s">
        <v>10</v>
      </c>
      <c r="B174" s="211">
        <f t="shared" si="9"/>
        <v>80</v>
      </c>
      <c r="C174" s="211" t="s">
        <v>3</v>
      </c>
      <c r="D174" s="211">
        <f t="shared" si="10"/>
        <v>400</v>
      </c>
      <c r="E174" s="211" t="s">
        <v>3</v>
      </c>
      <c r="F174" s="209">
        <f t="shared" si="11"/>
        <v>1550</v>
      </c>
      <c r="G174" s="211" t="s">
        <v>3</v>
      </c>
      <c r="H174" s="208">
        <v>4</v>
      </c>
      <c r="I174" s="210" t="s">
        <v>529</v>
      </c>
      <c r="J174" s="103">
        <v>80</v>
      </c>
      <c r="K174" s="66">
        <v>400</v>
      </c>
      <c r="L174" s="66">
        <v>1550</v>
      </c>
      <c r="M174" s="164">
        <v>21.955740546307894</v>
      </c>
      <c r="N174" s="78">
        <v>5805.5961600000001</v>
      </c>
      <c r="O174" s="113">
        <v>63746.5151379608</v>
      </c>
      <c r="P174" s="113">
        <v>70303.860197560425</v>
      </c>
      <c r="Q174" s="110">
        <v>25246.360484196612</v>
      </c>
      <c r="R174" s="113">
        <v>88992.875622157415</v>
      </c>
      <c r="S174" s="113">
        <v>95550.22068175704</v>
      </c>
      <c r="U174" s="7" t="s">
        <v>6304</v>
      </c>
    </row>
    <row r="175" spans="1:21" ht="16.5" thickBot="1">
      <c r="A175" s="207" t="s">
        <v>10</v>
      </c>
      <c r="B175" s="208">
        <f t="shared" si="9"/>
        <v>80</v>
      </c>
      <c r="C175" s="208" t="s">
        <v>3</v>
      </c>
      <c r="D175" s="208">
        <f t="shared" si="10"/>
        <v>400</v>
      </c>
      <c r="E175" s="208" t="s">
        <v>3</v>
      </c>
      <c r="F175" s="209">
        <f t="shared" si="11"/>
        <v>1600</v>
      </c>
      <c r="G175" s="208" t="s">
        <v>3</v>
      </c>
      <c r="H175" s="208">
        <v>4</v>
      </c>
      <c r="I175" s="210" t="s">
        <v>529</v>
      </c>
      <c r="J175" s="103">
        <v>80</v>
      </c>
      <c r="K175" s="66">
        <v>400</v>
      </c>
      <c r="L175" s="66">
        <v>1600</v>
      </c>
      <c r="M175" s="164">
        <v>22.58447607542184</v>
      </c>
      <c r="N175" s="78">
        <v>6047.4960000000001</v>
      </c>
      <c r="O175" s="113">
        <v>67287.51655122386</v>
      </c>
      <c r="P175" s="113">
        <v>71108.969795932164</v>
      </c>
      <c r="Q175" s="110">
        <v>25902.96758695535</v>
      </c>
      <c r="R175" s="113">
        <v>93190.484138179207</v>
      </c>
      <c r="S175" s="113">
        <v>97011.93738288751</v>
      </c>
      <c r="U175" s="7" t="s">
        <v>6305</v>
      </c>
    </row>
    <row r="176" spans="1:21" ht="16.5" thickBot="1">
      <c r="A176" s="207" t="s">
        <v>10</v>
      </c>
      <c r="B176" s="211">
        <f t="shared" si="9"/>
        <v>80</v>
      </c>
      <c r="C176" s="211" t="s">
        <v>3</v>
      </c>
      <c r="D176" s="211">
        <f t="shared" si="10"/>
        <v>400</v>
      </c>
      <c r="E176" s="211" t="s">
        <v>3</v>
      </c>
      <c r="F176" s="209">
        <f t="shared" si="11"/>
        <v>1650</v>
      </c>
      <c r="G176" s="211" t="s">
        <v>3</v>
      </c>
      <c r="H176" s="208">
        <v>4</v>
      </c>
      <c r="I176" s="210" t="s">
        <v>529</v>
      </c>
      <c r="J176" s="103">
        <v>80</v>
      </c>
      <c r="K176" s="66">
        <v>400</v>
      </c>
      <c r="L176" s="66">
        <v>1650</v>
      </c>
      <c r="M176" s="164">
        <v>23.25121160453579</v>
      </c>
      <c r="N176" s="78">
        <v>6289.3958400000001</v>
      </c>
      <c r="O176" s="113">
        <v>71103.481564648289</v>
      </c>
      <c r="P176" s="113">
        <v>89842.330508202154</v>
      </c>
      <c r="Q176" s="110">
        <v>26810.908827497857</v>
      </c>
      <c r="R176" s="113">
        <v>97914.390392146146</v>
      </c>
      <c r="S176" s="113">
        <v>116653.23933570001</v>
      </c>
      <c r="U176" s="7" t="s">
        <v>6306</v>
      </c>
    </row>
    <row r="177" spans="1:21" ht="16.5" thickBot="1">
      <c r="A177" s="207" t="s">
        <v>10</v>
      </c>
      <c r="B177" s="211">
        <f t="shared" si="9"/>
        <v>80</v>
      </c>
      <c r="C177" s="211" t="s">
        <v>3</v>
      </c>
      <c r="D177" s="211">
        <f t="shared" si="10"/>
        <v>400</v>
      </c>
      <c r="E177" s="211" t="s">
        <v>3</v>
      </c>
      <c r="F177" s="209">
        <f t="shared" si="11"/>
        <v>1700</v>
      </c>
      <c r="G177" s="211" t="s">
        <v>3</v>
      </c>
      <c r="H177" s="208">
        <v>4</v>
      </c>
      <c r="I177" s="210" t="s">
        <v>529</v>
      </c>
      <c r="J177" s="103">
        <v>80</v>
      </c>
      <c r="K177" s="66">
        <v>400</v>
      </c>
      <c r="L177" s="66">
        <v>1700</v>
      </c>
      <c r="M177" s="164">
        <v>23.879947133649736</v>
      </c>
      <c r="N177" s="78">
        <v>6531.2956800000002</v>
      </c>
      <c r="O177" s="113">
        <v>72299.687183576229</v>
      </c>
      <c r="P177" s="113">
        <v>90561.233914972545</v>
      </c>
      <c r="Q177" s="110">
        <v>27467.515777227836</v>
      </c>
      <c r="R177" s="113">
        <v>99767.202960804061</v>
      </c>
      <c r="S177" s="113">
        <v>118028.74969220038</v>
      </c>
      <c r="U177" s="7" t="s">
        <v>6307</v>
      </c>
    </row>
    <row r="178" spans="1:21" ht="16.5" thickBot="1">
      <c r="A178" s="207" t="s">
        <v>10</v>
      </c>
      <c r="B178" s="211">
        <f t="shared" si="9"/>
        <v>80</v>
      </c>
      <c r="C178" s="211" t="s">
        <v>3</v>
      </c>
      <c r="D178" s="211">
        <f t="shared" si="10"/>
        <v>400</v>
      </c>
      <c r="E178" s="211" t="s">
        <v>3</v>
      </c>
      <c r="F178" s="209">
        <f t="shared" si="11"/>
        <v>1750</v>
      </c>
      <c r="G178" s="211" t="s">
        <v>3</v>
      </c>
      <c r="H178" s="208">
        <v>4</v>
      </c>
      <c r="I178" s="210" t="s">
        <v>529</v>
      </c>
      <c r="J178" s="103">
        <v>80</v>
      </c>
      <c r="K178" s="66">
        <v>400</v>
      </c>
      <c r="L178" s="66">
        <v>1750</v>
      </c>
      <c r="M178" s="164">
        <v>24.508682662763682</v>
      </c>
      <c r="N178" s="78">
        <v>6773.1955199999993</v>
      </c>
      <c r="O178" s="113">
        <v>73412.885271711522</v>
      </c>
      <c r="P178" s="113">
        <v>80772.893359346126</v>
      </c>
      <c r="Q178" s="110">
        <v>28375.457017770343</v>
      </c>
      <c r="R178" s="113">
        <v>101788.34228948187</v>
      </c>
      <c r="S178" s="113">
        <v>109148.35037711647</v>
      </c>
      <c r="U178" s="7" t="s">
        <v>6308</v>
      </c>
    </row>
    <row r="179" spans="1:21" ht="16.5" thickBot="1">
      <c r="A179" s="207" t="s">
        <v>10</v>
      </c>
      <c r="B179" s="211">
        <f t="shared" si="9"/>
        <v>80</v>
      </c>
      <c r="C179" s="211" t="s">
        <v>3</v>
      </c>
      <c r="D179" s="211">
        <f t="shared" si="10"/>
        <v>400</v>
      </c>
      <c r="E179" s="211" t="s">
        <v>3</v>
      </c>
      <c r="F179" s="209">
        <f t="shared" si="11"/>
        <v>1800</v>
      </c>
      <c r="G179" s="211" t="s">
        <v>3</v>
      </c>
      <c r="H179" s="208">
        <v>4</v>
      </c>
      <c r="I179" s="210" t="s">
        <v>529</v>
      </c>
      <c r="J179" s="103">
        <v>80</v>
      </c>
      <c r="K179" s="66">
        <v>400</v>
      </c>
      <c r="L179" s="66">
        <v>1800</v>
      </c>
      <c r="M179" s="164">
        <v>25.206418191877635</v>
      </c>
      <c r="N179" s="78">
        <v>7015.0953599999993</v>
      </c>
      <c r="O179" s="113">
        <v>74609.850265280635</v>
      </c>
      <c r="P179" s="113">
        <v>81539.637628659751</v>
      </c>
      <c r="Q179" s="110">
        <v>29032.063967500315</v>
      </c>
      <c r="R179" s="113">
        <v>103641.91423278095</v>
      </c>
      <c r="S179" s="113">
        <v>110571.70159616007</v>
      </c>
      <c r="U179" s="7" t="s">
        <v>6309</v>
      </c>
    </row>
    <row r="180" spans="1:21" ht="16.5" thickBot="1">
      <c r="A180" s="207" t="s">
        <v>10</v>
      </c>
      <c r="B180" s="211">
        <f t="shared" si="9"/>
        <v>80</v>
      </c>
      <c r="C180" s="211" t="s">
        <v>3</v>
      </c>
      <c r="D180" s="211">
        <f t="shared" si="10"/>
        <v>400</v>
      </c>
      <c r="E180" s="211" t="s">
        <v>3</v>
      </c>
      <c r="F180" s="209">
        <f t="shared" si="11"/>
        <v>1850</v>
      </c>
      <c r="G180" s="211" t="s">
        <v>3</v>
      </c>
      <c r="H180" s="208">
        <v>4</v>
      </c>
      <c r="I180" s="210" t="s">
        <v>529</v>
      </c>
      <c r="J180" s="103">
        <v>80</v>
      </c>
      <c r="K180" s="66">
        <v>400</v>
      </c>
      <c r="L180" s="66">
        <v>1850</v>
      </c>
      <c r="M180" s="164">
        <v>25.897153720991582</v>
      </c>
      <c r="N180" s="78">
        <v>7256.9951999999994</v>
      </c>
      <c r="O180" s="113">
        <v>75806.762708771814</v>
      </c>
      <c r="P180" s="113">
        <v>82306.325185513022</v>
      </c>
      <c r="Q180" s="110">
        <v>29940.005208042821</v>
      </c>
      <c r="R180" s="113">
        <v>105746.76791681463</v>
      </c>
      <c r="S180" s="113">
        <v>112246.33039355584</v>
      </c>
      <c r="U180" s="7" t="s">
        <v>6310</v>
      </c>
    </row>
    <row r="181" spans="1:21" ht="16.5" thickBot="1">
      <c r="A181" s="207" t="s">
        <v>10</v>
      </c>
      <c r="B181" s="211">
        <f t="shared" si="9"/>
        <v>80</v>
      </c>
      <c r="C181" s="211" t="s">
        <v>3</v>
      </c>
      <c r="D181" s="211">
        <f t="shared" si="10"/>
        <v>400</v>
      </c>
      <c r="E181" s="211" t="s">
        <v>3</v>
      </c>
      <c r="F181" s="209">
        <f t="shared" si="11"/>
        <v>1900</v>
      </c>
      <c r="G181" s="211" t="s">
        <v>3</v>
      </c>
      <c r="H181" s="208">
        <v>4</v>
      </c>
      <c r="I181" s="210" t="s">
        <v>529</v>
      </c>
      <c r="J181" s="103">
        <v>80</v>
      </c>
      <c r="K181" s="66">
        <v>400</v>
      </c>
      <c r="L181" s="66">
        <v>1900</v>
      </c>
      <c r="M181" s="164">
        <v>26.525889250105529</v>
      </c>
      <c r="N181" s="78">
        <v>7498.8950400000003</v>
      </c>
      <c r="O181" s="113">
        <v>77194.484485277382</v>
      </c>
      <c r="P181" s="113">
        <v>83072.955769757027</v>
      </c>
      <c r="Q181" s="110">
        <v>30596.612157772794</v>
      </c>
      <c r="R181" s="113">
        <v>107791.09664305017</v>
      </c>
      <c r="S181" s="113">
        <v>113669.56792752982</v>
      </c>
      <c r="U181" s="7" t="s">
        <v>6311</v>
      </c>
    </row>
    <row r="182" spans="1:21" ht="16.5" thickBot="1">
      <c r="A182" s="207" t="s">
        <v>10</v>
      </c>
      <c r="B182" s="211">
        <f t="shared" si="9"/>
        <v>80</v>
      </c>
      <c r="C182" s="211" t="s">
        <v>3</v>
      </c>
      <c r="D182" s="211">
        <f t="shared" si="10"/>
        <v>400</v>
      </c>
      <c r="E182" s="211" t="s">
        <v>3</v>
      </c>
      <c r="F182" s="209">
        <f t="shared" si="11"/>
        <v>1950</v>
      </c>
      <c r="G182" s="211" t="s">
        <v>3</v>
      </c>
      <c r="H182" s="208">
        <v>4</v>
      </c>
      <c r="I182" s="210" t="s">
        <v>529</v>
      </c>
      <c r="J182" s="103">
        <v>80</v>
      </c>
      <c r="K182" s="66">
        <v>400</v>
      </c>
      <c r="L182" s="66">
        <v>1950</v>
      </c>
      <c r="M182" s="164">
        <v>27.347124779219477</v>
      </c>
      <c r="N182" s="78">
        <v>7740.7948800000004</v>
      </c>
      <c r="O182" s="113">
        <v>78782.162820369733</v>
      </c>
      <c r="P182" s="113">
        <v>83899.28922597006</v>
      </c>
      <c r="Q182" s="110">
        <v>31253.219260531532</v>
      </c>
      <c r="R182" s="113">
        <v>110035.38208090127</v>
      </c>
      <c r="S182" s="113">
        <v>115152.5084865016</v>
      </c>
      <c r="U182" s="7" t="s">
        <v>6312</v>
      </c>
    </row>
    <row r="183" spans="1:21" ht="16.5" thickBot="1">
      <c r="A183" s="207" t="s">
        <v>10</v>
      </c>
      <c r="B183" s="211">
        <f t="shared" si="9"/>
        <v>80</v>
      </c>
      <c r="C183" s="211" t="s">
        <v>3</v>
      </c>
      <c r="D183" s="211">
        <f t="shared" si="10"/>
        <v>400</v>
      </c>
      <c r="E183" s="211" t="s">
        <v>3</v>
      </c>
      <c r="F183" s="209">
        <f t="shared" si="11"/>
        <v>2000</v>
      </c>
      <c r="G183" s="211" t="s">
        <v>3</v>
      </c>
      <c r="H183" s="208">
        <v>4</v>
      </c>
      <c r="I183" s="210" t="s">
        <v>529</v>
      </c>
      <c r="J183" s="103">
        <v>80</v>
      </c>
      <c r="K183" s="66">
        <v>400</v>
      </c>
      <c r="L183" s="66">
        <v>2000</v>
      </c>
      <c r="M183" s="164">
        <v>28.067422708333421</v>
      </c>
      <c r="N183" s="78">
        <v>7982.6947199999995</v>
      </c>
      <c r="O183" s="113">
        <v>80203.922609118978</v>
      </c>
      <c r="P183" s="113">
        <v>102380.35584336121</v>
      </c>
      <c r="Q183" s="110">
        <v>32161.160348045276</v>
      </c>
      <c r="R183" s="113">
        <v>112365.08295716425</v>
      </c>
      <c r="S183" s="113">
        <v>134541.51619140647</v>
      </c>
      <c r="U183" s="7" t="s">
        <v>6313</v>
      </c>
    </row>
    <row r="184" spans="1:21" ht="16.5" thickBot="1">
      <c r="A184" s="207" t="s">
        <v>10</v>
      </c>
      <c r="B184" s="211">
        <f t="shared" si="9"/>
        <v>80</v>
      </c>
      <c r="C184" s="211" t="s">
        <v>3</v>
      </c>
      <c r="D184" s="211">
        <f t="shared" si="10"/>
        <v>400</v>
      </c>
      <c r="E184" s="211" t="s">
        <v>3</v>
      </c>
      <c r="F184" s="209">
        <f t="shared" si="11"/>
        <v>2050</v>
      </c>
      <c r="G184" s="211" t="s">
        <v>3</v>
      </c>
      <c r="H184" s="208">
        <v>4</v>
      </c>
      <c r="I184" s="210" t="s">
        <v>529</v>
      </c>
      <c r="J184" s="103">
        <v>80</v>
      </c>
      <c r="K184" s="66">
        <v>400</v>
      </c>
      <c r="L184" s="66">
        <v>2050</v>
      </c>
      <c r="M184" s="164">
        <v>28.696158237447371</v>
      </c>
      <c r="N184" s="78">
        <v>8224.5945599999995</v>
      </c>
      <c r="O184" s="113">
        <v>83737.762643443217</v>
      </c>
      <c r="P184" s="113">
        <v>103058.45073267243</v>
      </c>
      <c r="Q184" s="110">
        <v>32817.767450804015</v>
      </c>
      <c r="R184" s="113">
        <v>116555.53009424722</v>
      </c>
      <c r="S184" s="113">
        <v>135876.21818347645</v>
      </c>
      <c r="U184" s="7" t="s">
        <v>6314</v>
      </c>
    </row>
    <row r="185" spans="1:21" ht="16.5" thickBot="1">
      <c r="A185" s="207" t="s">
        <v>10</v>
      </c>
      <c r="B185" s="208">
        <f t="shared" si="9"/>
        <v>80</v>
      </c>
      <c r="C185" s="208" t="s">
        <v>3</v>
      </c>
      <c r="D185" s="208">
        <f t="shared" si="10"/>
        <v>400</v>
      </c>
      <c r="E185" s="208" t="s">
        <v>3</v>
      </c>
      <c r="F185" s="209">
        <f t="shared" si="11"/>
        <v>2100</v>
      </c>
      <c r="G185" s="208" t="s">
        <v>3</v>
      </c>
      <c r="H185" s="208">
        <v>4</v>
      </c>
      <c r="I185" s="210" t="s">
        <v>529</v>
      </c>
      <c r="J185" s="103">
        <v>80</v>
      </c>
      <c r="K185" s="66">
        <v>400</v>
      </c>
      <c r="L185" s="66">
        <v>2100</v>
      </c>
      <c r="M185" s="164">
        <v>29.32489376656131</v>
      </c>
      <c r="N185" s="78">
        <v>8466.4943999999996</v>
      </c>
      <c r="O185" s="113">
        <v>85002.178783840165</v>
      </c>
      <c r="P185" s="113">
        <v>103441.04963975911</v>
      </c>
      <c r="Q185" s="110">
        <v>33725.708538317755</v>
      </c>
      <c r="R185" s="113">
        <v>118727.88732215791</v>
      </c>
      <c r="S185" s="113">
        <v>137166.75817807685</v>
      </c>
      <c r="U185" s="7" t="s">
        <v>6315</v>
      </c>
    </row>
    <row r="186" spans="1:21" ht="16.5" thickBot="1">
      <c r="A186" s="207" t="s">
        <v>10</v>
      </c>
      <c r="B186" s="211">
        <f t="shared" si="9"/>
        <v>80</v>
      </c>
      <c r="C186" s="211" t="s">
        <v>3</v>
      </c>
      <c r="D186" s="211">
        <f t="shared" si="10"/>
        <v>400</v>
      </c>
      <c r="E186" s="211" t="s">
        <v>3</v>
      </c>
      <c r="F186" s="209">
        <f t="shared" si="11"/>
        <v>2150</v>
      </c>
      <c r="G186" s="211" t="s">
        <v>3</v>
      </c>
      <c r="H186" s="208">
        <v>4</v>
      </c>
      <c r="I186" s="210" t="s">
        <v>529</v>
      </c>
      <c r="J186" s="103">
        <v>80</v>
      </c>
      <c r="K186" s="66">
        <v>400</v>
      </c>
      <c r="L186" s="66">
        <v>2150</v>
      </c>
      <c r="M186" s="164">
        <v>30.077629295675266</v>
      </c>
      <c r="N186" s="78">
        <v>8708.3942399999996</v>
      </c>
      <c r="O186" s="113">
        <v>86427.497669700067</v>
      </c>
      <c r="P186" s="113">
        <v>104117.87747384941</v>
      </c>
      <c r="Q186" s="110">
        <v>34382.315641076493</v>
      </c>
      <c r="R186" s="113">
        <v>120809.81331077656</v>
      </c>
      <c r="S186" s="113">
        <v>138500.1931149259</v>
      </c>
      <c r="U186" s="7" t="s">
        <v>6316</v>
      </c>
    </row>
    <row r="187" spans="1:21" ht="16.5" thickBot="1">
      <c r="A187" s="207" t="s">
        <v>10</v>
      </c>
      <c r="B187" s="211">
        <f t="shared" si="9"/>
        <v>80</v>
      </c>
      <c r="C187" s="211" t="s">
        <v>3</v>
      </c>
      <c r="D187" s="211">
        <f t="shared" si="10"/>
        <v>400</v>
      </c>
      <c r="E187" s="211" t="s">
        <v>3</v>
      </c>
      <c r="F187" s="209">
        <f t="shared" si="11"/>
        <v>2200</v>
      </c>
      <c r="G187" s="211" t="s">
        <v>3</v>
      </c>
      <c r="H187" s="208">
        <v>4</v>
      </c>
      <c r="I187" s="210" t="s">
        <v>529</v>
      </c>
      <c r="J187" s="103">
        <v>80</v>
      </c>
      <c r="K187" s="66">
        <v>400</v>
      </c>
      <c r="L187" s="66">
        <v>2200</v>
      </c>
      <c r="M187" s="164">
        <v>30.706364824789208</v>
      </c>
      <c r="N187" s="78">
        <v>8950.2940799999997</v>
      </c>
      <c r="O187" s="113">
        <v>87852.764265630889</v>
      </c>
      <c r="P187" s="113">
        <v>110571.8290844243</v>
      </c>
      <c r="Q187" s="110">
        <v>35290.256728590233</v>
      </c>
      <c r="R187" s="113">
        <v>123143.02099422112</v>
      </c>
      <c r="S187" s="113">
        <v>145862.08581301454</v>
      </c>
      <c r="U187" s="7" t="s">
        <v>6317</v>
      </c>
    </row>
    <row r="188" spans="1:21" ht="16.5" thickBot="1">
      <c r="A188" s="207" t="s">
        <v>10</v>
      </c>
      <c r="B188" s="211">
        <f t="shared" si="9"/>
        <v>80</v>
      </c>
      <c r="C188" s="211" t="s">
        <v>3</v>
      </c>
      <c r="D188" s="211">
        <f t="shared" si="10"/>
        <v>400</v>
      </c>
      <c r="E188" s="211" t="s">
        <v>3</v>
      </c>
      <c r="F188" s="209">
        <f t="shared" si="11"/>
        <v>2250</v>
      </c>
      <c r="G188" s="211" t="s">
        <v>3</v>
      </c>
      <c r="H188" s="208">
        <v>4</v>
      </c>
      <c r="I188" s="210" t="s">
        <v>529</v>
      </c>
      <c r="J188" s="103">
        <v>80</v>
      </c>
      <c r="K188" s="66">
        <v>400</v>
      </c>
      <c r="L188" s="66">
        <v>2250</v>
      </c>
      <c r="M188" s="164">
        <v>31.335100353903158</v>
      </c>
      <c r="N188" s="78">
        <v>9192.1939199999997</v>
      </c>
      <c r="O188" s="113">
        <v>89626.406790536334</v>
      </c>
      <c r="P188" s="113">
        <v>111221.66477909783</v>
      </c>
      <c r="Q188" s="110">
        <v>35946.863831348819</v>
      </c>
      <c r="R188" s="113">
        <v>125573.27062188515</v>
      </c>
      <c r="S188" s="113">
        <v>147168.52861044666</v>
      </c>
      <c r="U188" s="7" t="s">
        <v>6318</v>
      </c>
    </row>
    <row r="189" spans="1:21" ht="16.5" thickBot="1">
      <c r="A189" s="207" t="s">
        <v>10</v>
      </c>
      <c r="B189" s="211">
        <f t="shared" si="9"/>
        <v>80</v>
      </c>
      <c r="C189" s="211" t="s">
        <v>3</v>
      </c>
      <c r="D189" s="211">
        <f t="shared" si="10"/>
        <v>400</v>
      </c>
      <c r="E189" s="211" t="s">
        <v>3</v>
      </c>
      <c r="F189" s="209">
        <f t="shared" si="11"/>
        <v>2300</v>
      </c>
      <c r="G189" s="211" t="s">
        <v>3</v>
      </c>
      <c r="H189" s="208">
        <v>4</v>
      </c>
      <c r="I189" s="210" t="s">
        <v>529</v>
      </c>
      <c r="J189" s="103">
        <v>80</v>
      </c>
      <c r="K189" s="66">
        <v>400</v>
      </c>
      <c r="L189" s="66">
        <v>2300</v>
      </c>
      <c r="M189" s="164">
        <v>31.963835883017104</v>
      </c>
      <c r="N189" s="78">
        <v>9434.0937599999997</v>
      </c>
      <c r="O189" s="113">
        <v>90786.90645254367</v>
      </c>
      <c r="P189" s="113">
        <v>111867.2051552717</v>
      </c>
      <c r="Q189" s="110">
        <v>36603.470781078948</v>
      </c>
      <c r="R189" s="113">
        <v>127390.37723362262</v>
      </c>
      <c r="S189" s="113">
        <v>148470.67593635066</v>
      </c>
      <c r="U189" s="7" t="s">
        <v>6319</v>
      </c>
    </row>
    <row r="190" spans="1:21" ht="16.5" thickBot="1">
      <c r="A190" s="207" t="s">
        <v>10</v>
      </c>
      <c r="B190" s="211">
        <f t="shared" si="9"/>
        <v>80</v>
      </c>
      <c r="C190" s="211" t="s">
        <v>3</v>
      </c>
      <c r="D190" s="211">
        <f t="shared" si="10"/>
        <v>400</v>
      </c>
      <c r="E190" s="211" t="s">
        <v>3</v>
      </c>
      <c r="F190" s="209">
        <f t="shared" si="11"/>
        <v>2350</v>
      </c>
      <c r="G190" s="211" t="s">
        <v>3</v>
      </c>
      <c r="H190" s="208">
        <v>4</v>
      </c>
      <c r="I190" s="210" t="s">
        <v>529</v>
      </c>
      <c r="J190" s="103">
        <v>80</v>
      </c>
      <c r="K190" s="66">
        <v>400</v>
      </c>
      <c r="L190" s="66">
        <v>2350</v>
      </c>
      <c r="M190" s="164">
        <v>32.592571412131051</v>
      </c>
      <c r="N190" s="78">
        <v>9675.9935999999998</v>
      </c>
      <c r="O190" s="113">
        <v>91947.353564473087</v>
      </c>
      <c r="P190" s="113">
        <v>112516.83637290927</v>
      </c>
      <c r="Q190" s="110">
        <v>37511.412021621458</v>
      </c>
      <c r="R190" s="113">
        <v>129458.76558609455</v>
      </c>
      <c r="S190" s="113">
        <v>150028.24839453073</v>
      </c>
      <c r="U190" s="7" t="s">
        <v>6320</v>
      </c>
    </row>
    <row r="191" spans="1:21" ht="16.5" thickBot="1">
      <c r="A191" s="207" t="s">
        <v>10</v>
      </c>
      <c r="B191" s="211">
        <f t="shared" si="9"/>
        <v>80</v>
      </c>
      <c r="C191" s="211" t="s">
        <v>3</v>
      </c>
      <c r="D191" s="211">
        <f t="shared" si="10"/>
        <v>400</v>
      </c>
      <c r="E191" s="211" t="s">
        <v>3</v>
      </c>
      <c r="F191" s="209">
        <f t="shared" si="11"/>
        <v>2400</v>
      </c>
      <c r="G191" s="211" t="s">
        <v>3</v>
      </c>
      <c r="H191" s="208">
        <v>4</v>
      </c>
      <c r="I191" s="210" t="s">
        <v>529</v>
      </c>
      <c r="J191" s="103">
        <v>80</v>
      </c>
      <c r="K191" s="66">
        <v>400</v>
      </c>
      <c r="L191" s="66">
        <v>2400</v>
      </c>
      <c r="M191" s="164">
        <v>33.221306941244997</v>
      </c>
      <c r="N191" s="78">
        <v>9917.893439999998</v>
      </c>
      <c r="O191" s="113">
        <v>93107.748256398991</v>
      </c>
      <c r="P191" s="113">
        <v>113166.35403555169</v>
      </c>
      <c r="Q191" s="110">
        <v>38168.019124380196</v>
      </c>
      <c r="R191" s="113">
        <v>131275.7673807792</v>
      </c>
      <c r="S191" s="113">
        <v>151334.37315993189</v>
      </c>
      <c r="U191" s="7" t="s">
        <v>6321</v>
      </c>
    </row>
    <row r="192" spans="1:21" ht="16.5" thickBot="1">
      <c r="A192" s="207" t="s">
        <v>10</v>
      </c>
      <c r="B192" s="211">
        <f t="shared" si="9"/>
        <v>80</v>
      </c>
      <c r="C192" s="211" t="s">
        <v>3</v>
      </c>
      <c r="D192" s="211">
        <f t="shared" si="10"/>
        <v>400</v>
      </c>
      <c r="E192" s="211" t="s">
        <v>3</v>
      </c>
      <c r="F192" s="209">
        <f t="shared" si="11"/>
        <v>2450</v>
      </c>
      <c r="G192" s="211" t="s">
        <v>3</v>
      </c>
      <c r="H192" s="208">
        <v>4</v>
      </c>
      <c r="I192" s="210" t="s">
        <v>529</v>
      </c>
      <c r="J192" s="103">
        <v>80</v>
      </c>
      <c r="K192" s="66">
        <v>400</v>
      </c>
      <c r="L192" s="66">
        <v>2450</v>
      </c>
      <c r="M192" s="164">
        <v>34.603609123158947</v>
      </c>
      <c r="N192" s="78">
        <v>10159.79328</v>
      </c>
      <c r="O192" s="113">
        <v>94958.422301624334</v>
      </c>
      <c r="P192" s="113">
        <v>114651.77095956076</v>
      </c>
      <c r="Q192" s="110">
        <v>39075.960211893937</v>
      </c>
      <c r="R192" s="113">
        <v>134034.38251351827</v>
      </c>
      <c r="S192" s="113">
        <v>153727.73117145471</v>
      </c>
      <c r="U192" s="7" t="s">
        <v>6322</v>
      </c>
    </row>
    <row r="193" spans="1:21" ht="16.5" thickBot="1">
      <c r="A193" s="207" t="s">
        <v>10</v>
      </c>
      <c r="B193" s="211">
        <f t="shared" si="9"/>
        <v>80</v>
      </c>
      <c r="C193" s="211" t="s">
        <v>3</v>
      </c>
      <c r="D193" s="211">
        <f t="shared" si="10"/>
        <v>400</v>
      </c>
      <c r="E193" s="211" t="s">
        <v>3</v>
      </c>
      <c r="F193" s="209">
        <f t="shared" si="11"/>
        <v>2500</v>
      </c>
      <c r="G193" s="211" t="s">
        <v>3</v>
      </c>
      <c r="H193" s="208">
        <v>4</v>
      </c>
      <c r="I193" s="210" t="s">
        <v>529</v>
      </c>
      <c r="J193" s="103">
        <v>80</v>
      </c>
      <c r="K193" s="66">
        <v>400</v>
      </c>
      <c r="L193" s="66">
        <v>2500</v>
      </c>
      <c r="M193" s="164">
        <v>35.249344652272896</v>
      </c>
      <c r="N193" s="78">
        <v>10401.693119999998</v>
      </c>
      <c r="O193" s="113">
        <v>96118.712153543267</v>
      </c>
      <c r="P193" s="113">
        <v>115301.06125206394</v>
      </c>
      <c r="Q193" s="110">
        <v>39732.567314652675</v>
      </c>
      <c r="R193" s="113">
        <v>135851.27946819595</v>
      </c>
      <c r="S193" s="113">
        <v>155033.62856671662</v>
      </c>
      <c r="U193" s="7" t="s">
        <v>6323</v>
      </c>
    </row>
    <row r="194" spans="1:21" ht="16.5" thickBot="1">
      <c r="A194" s="207" t="s">
        <v>10</v>
      </c>
      <c r="B194" s="211">
        <f t="shared" si="9"/>
        <v>80</v>
      </c>
      <c r="C194" s="211" t="s">
        <v>3</v>
      </c>
      <c r="D194" s="211">
        <f t="shared" si="10"/>
        <v>400</v>
      </c>
      <c r="E194" s="211" t="s">
        <v>3</v>
      </c>
      <c r="F194" s="209">
        <f t="shared" si="11"/>
        <v>2550</v>
      </c>
      <c r="G194" s="211" t="s">
        <v>3</v>
      </c>
      <c r="H194" s="208">
        <v>4</v>
      </c>
      <c r="I194" s="210" t="s">
        <v>529</v>
      </c>
      <c r="J194" s="103">
        <v>80</v>
      </c>
      <c r="K194" s="66">
        <v>400</v>
      </c>
      <c r="L194" s="66">
        <v>2550</v>
      </c>
      <c r="M194" s="164">
        <v>35.878080181386842</v>
      </c>
      <c r="N194" s="78">
        <v>10643.59296</v>
      </c>
      <c r="O194" s="113">
        <v>100869.77562670736</v>
      </c>
      <c r="P194" s="113">
        <v>122536.94020224475</v>
      </c>
      <c r="Q194" s="110">
        <v>40640.508402166415</v>
      </c>
      <c r="R194" s="113">
        <v>141510.28402887378</v>
      </c>
      <c r="S194" s="113">
        <v>163177.44860441115</v>
      </c>
      <c r="U194" s="7" t="s">
        <v>6324</v>
      </c>
    </row>
    <row r="195" spans="1:21" ht="16.5" thickBot="1">
      <c r="A195" s="207" t="s">
        <v>10</v>
      </c>
      <c r="B195" s="208">
        <f t="shared" si="9"/>
        <v>80</v>
      </c>
      <c r="C195" s="208" t="s">
        <v>3</v>
      </c>
      <c r="D195" s="208">
        <f t="shared" si="10"/>
        <v>400</v>
      </c>
      <c r="E195" s="208" t="s">
        <v>3</v>
      </c>
      <c r="F195" s="209">
        <f t="shared" si="11"/>
        <v>2600</v>
      </c>
      <c r="G195" s="208" t="s">
        <v>3</v>
      </c>
      <c r="H195" s="208">
        <v>4</v>
      </c>
      <c r="I195" s="210" t="s">
        <v>529</v>
      </c>
      <c r="J195" s="103">
        <v>80</v>
      </c>
      <c r="K195" s="66">
        <v>400</v>
      </c>
      <c r="L195" s="66">
        <v>2600</v>
      </c>
      <c r="M195" s="164">
        <v>36.506815710500788</v>
      </c>
      <c r="N195" s="78">
        <v>10885.4928</v>
      </c>
      <c r="O195" s="113">
        <v>102324.91850284272</v>
      </c>
      <c r="P195" s="113">
        <v>123149.20597312407</v>
      </c>
      <c r="Q195" s="110">
        <v>41297.115504925154</v>
      </c>
      <c r="R195" s="113">
        <v>143622.03400776786</v>
      </c>
      <c r="S195" s="113">
        <v>164446.32147804921</v>
      </c>
      <c r="U195" s="7" t="s">
        <v>6325</v>
      </c>
    </row>
    <row r="196" spans="1:21" ht="16.5" thickBot="1">
      <c r="A196" s="207" t="s">
        <v>10</v>
      </c>
      <c r="B196" s="211">
        <f t="shared" si="9"/>
        <v>80</v>
      </c>
      <c r="C196" s="211" t="s">
        <v>3</v>
      </c>
      <c r="D196" s="211">
        <f t="shared" si="10"/>
        <v>400</v>
      </c>
      <c r="E196" s="211" t="s">
        <v>3</v>
      </c>
      <c r="F196" s="209">
        <f t="shared" si="11"/>
        <v>2650</v>
      </c>
      <c r="G196" s="211" t="s">
        <v>3</v>
      </c>
      <c r="H196" s="208">
        <v>4</v>
      </c>
      <c r="I196" s="210" t="s">
        <v>529</v>
      </c>
      <c r="J196" s="103">
        <v>80</v>
      </c>
      <c r="K196" s="66">
        <v>400</v>
      </c>
      <c r="L196" s="66">
        <v>2650</v>
      </c>
      <c r="M196" s="164">
        <v>37.242551239614741</v>
      </c>
      <c r="N196" s="78">
        <v>11127.392639999998</v>
      </c>
      <c r="O196" s="113">
        <v>103310.68577375081</v>
      </c>
      <c r="P196" s="113">
        <v>123761.35818900824</v>
      </c>
      <c r="Q196" s="110">
        <v>42205.056592438901</v>
      </c>
      <c r="R196" s="113">
        <v>145515.74236618972</v>
      </c>
      <c r="S196" s="113">
        <v>165966.41478144715</v>
      </c>
      <c r="U196" s="7" t="s">
        <v>6326</v>
      </c>
    </row>
    <row r="197" spans="1:21" ht="16.5" thickBot="1">
      <c r="A197" s="207" t="s">
        <v>10</v>
      </c>
      <c r="B197" s="211">
        <f t="shared" si="9"/>
        <v>80</v>
      </c>
      <c r="C197" s="211" t="s">
        <v>3</v>
      </c>
      <c r="D197" s="211">
        <f t="shared" si="10"/>
        <v>400</v>
      </c>
      <c r="E197" s="211" t="s">
        <v>3</v>
      </c>
      <c r="F197" s="209">
        <f t="shared" si="11"/>
        <v>2700</v>
      </c>
      <c r="G197" s="211" t="s">
        <v>3</v>
      </c>
      <c r="H197" s="208">
        <v>4</v>
      </c>
      <c r="I197" s="210" t="s">
        <v>529</v>
      </c>
      <c r="J197" s="103">
        <v>80</v>
      </c>
      <c r="K197" s="66">
        <v>400</v>
      </c>
      <c r="L197" s="66">
        <v>2700</v>
      </c>
      <c r="M197" s="164">
        <v>37.949786768728686</v>
      </c>
      <c r="N197" s="78">
        <v>11369.29248</v>
      </c>
      <c r="O197" s="113">
        <v>104361.39141325474</v>
      </c>
      <c r="P197" s="113">
        <v>124434.24723866732</v>
      </c>
      <c r="Q197" s="110">
        <v>42861.66369519764</v>
      </c>
      <c r="R197" s="113">
        <v>147223.05510845239</v>
      </c>
      <c r="S197" s="113">
        <v>167295.91093386494</v>
      </c>
      <c r="U197" s="7" t="s">
        <v>6327</v>
      </c>
    </row>
    <row r="198" spans="1:21" ht="16.5" thickBot="1">
      <c r="A198" s="207" t="s">
        <v>10</v>
      </c>
      <c r="B198" s="211">
        <f t="shared" si="9"/>
        <v>80</v>
      </c>
      <c r="C198" s="211" t="s">
        <v>3</v>
      </c>
      <c r="D198" s="211">
        <f t="shared" si="10"/>
        <v>400</v>
      </c>
      <c r="E198" s="211" t="s">
        <v>3</v>
      </c>
      <c r="F198" s="209">
        <f t="shared" si="11"/>
        <v>2750</v>
      </c>
      <c r="G198" s="211" t="s">
        <v>3</v>
      </c>
      <c r="H198" s="208">
        <v>4</v>
      </c>
      <c r="I198" s="210" t="s">
        <v>529</v>
      </c>
      <c r="J198" s="103">
        <v>80</v>
      </c>
      <c r="K198" s="66">
        <v>400</v>
      </c>
      <c r="L198" s="66">
        <v>2750</v>
      </c>
      <c r="M198" s="164">
        <v>38.578522297842625</v>
      </c>
      <c r="N198" s="78">
        <v>11611.19232</v>
      </c>
      <c r="O198" s="113">
        <v>105436.16576890371</v>
      </c>
      <c r="P198" s="113">
        <v>125042.19505809262</v>
      </c>
      <c r="Q198" s="110">
        <v>43518.270644927608</v>
      </c>
      <c r="R198" s="113">
        <v>148954.43641383131</v>
      </c>
      <c r="S198" s="113">
        <v>168560.46570302022</v>
      </c>
      <c r="U198" s="7" t="s">
        <v>6328</v>
      </c>
    </row>
    <row r="199" spans="1:21" ht="16.5" thickBot="1">
      <c r="A199" s="207" t="s">
        <v>10</v>
      </c>
      <c r="B199" s="211">
        <f t="shared" si="9"/>
        <v>80</v>
      </c>
      <c r="C199" s="211" t="s">
        <v>3</v>
      </c>
      <c r="D199" s="211">
        <f t="shared" si="10"/>
        <v>400</v>
      </c>
      <c r="E199" s="211" t="s">
        <v>3</v>
      </c>
      <c r="F199" s="209">
        <f t="shared" si="11"/>
        <v>2800</v>
      </c>
      <c r="G199" s="211" t="s">
        <v>3</v>
      </c>
      <c r="H199" s="208">
        <v>4</v>
      </c>
      <c r="I199" s="210" t="s">
        <v>529</v>
      </c>
      <c r="J199" s="103">
        <v>80</v>
      </c>
      <c r="K199" s="66">
        <v>400</v>
      </c>
      <c r="L199" s="66">
        <v>2800</v>
      </c>
      <c r="M199" s="164">
        <v>39.207257826956578</v>
      </c>
      <c r="N199" s="78">
        <v>11853.092160000002</v>
      </c>
      <c r="O199" s="113">
        <v>106420.58767977176</v>
      </c>
      <c r="P199" s="113">
        <v>125654.02898179677</v>
      </c>
      <c r="Q199" s="110">
        <v>44426.211885470118</v>
      </c>
      <c r="R199" s="113">
        <v>150846.79956524188</v>
      </c>
      <c r="S199" s="113">
        <v>170080.2408672669</v>
      </c>
      <c r="U199" s="7" t="s">
        <v>6329</v>
      </c>
    </row>
    <row r="200" spans="1:21" ht="16.5" thickBot="1">
      <c r="A200" s="207" t="s">
        <v>10</v>
      </c>
      <c r="B200" s="211">
        <f t="shared" si="9"/>
        <v>80</v>
      </c>
      <c r="C200" s="211" t="s">
        <v>3</v>
      </c>
      <c r="D200" s="211">
        <f t="shared" si="10"/>
        <v>400</v>
      </c>
      <c r="E200" s="211" t="s">
        <v>3</v>
      </c>
      <c r="F200" s="209">
        <f t="shared" si="11"/>
        <v>2850</v>
      </c>
      <c r="G200" s="211" t="s">
        <v>3</v>
      </c>
      <c r="H200" s="208">
        <v>4</v>
      </c>
      <c r="I200" s="210" t="s">
        <v>529</v>
      </c>
      <c r="J200" s="103">
        <v>80</v>
      </c>
      <c r="K200" s="66">
        <v>400</v>
      </c>
      <c r="L200" s="66">
        <v>2850</v>
      </c>
      <c r="M200" s="164">
        <v>39.835993356070524</v>
      </c>
      <c r="N200" s="78">
        <v>12094.992</v>
      </c>
      <c r="O200" s="113">
        <v>107404.95704056186</v>
      </c>
      <c r="P200" s="113">
        <v>126259.85190500107</v>
      </c>
      <c r="Q200" s="110">
        <v>45082.818835200087</v>
      </c>
      <c r="R200" s="113">
        <v>152487.77587576193</v>
      </c>
      <c r="S200" s="113">
        <v>171342.67074020114</v>
      </c>
      <c r="U200" s="7" t="s">
        <v>6330</v>
      </c>
    </row>
    <row r="201" spans="1:21" ht="16.5" thickBot="1">
      <c r="A201" s="207" t="s">
        <v>10</v>
      </c>
      <c r="B201" s="211">
        <f t="shared" si="9"/>
        <v>80</v>
      </c>
      <c r="C201" s="211" t="s">
        <v>3</v>
      </c>
      <c r="D201" s="211">
        <f t="shared" si="10"/>
        <v>400</v>
      </c>
      <c r="E201" s="211" t="s">
        <v>3</v>
      </c>
      <c r="F201" s="209">
        <f t="shared" si="11"/>
        <v>2900</v>
      </c>
      <c r="G201" s="211" t="s">
        <v>3</v>
      </c>
      <c r="H201" s="208">
        <v>4</v>
      </c>
      <c r="I201" s="210" t="s">
        <v>529</v>
      </c>
      <c r="J201" s="103">
        <v>80</v>
      </c>
      <c r="K201" s="66">
        <v>400</v>
      </c>
      <c r="L201" s="66">
        <v>2900</v>
      </c>
      <c r="M201" s="164">
        <v>40.640728885184473</v>
      </c>
      <c r="N201" s="78">
        <v>12336.891839999998</v>
      </c>
      <c r="O201" s="113">
        <v>108389.27398134848</v>
      </c>
      <c r="P201" s="113">
        <v>126867.58367076433</v>
      </c>
      <c r="Q201" s="110">
        <v>45990.760075742597</v>
      </c>
      <c r="R201" s="113">
        <v>154380.03405709108</v>
      </c>
      <c r="S201" s="113">
        <v>172858.34374650693</v>
      </c>
      <c r="U201" s="7" t="s">
        <v>6331</v>
      </c>
    </row>
    <row r="202" spans="1:21" ht="16.5" thickBot="1">
      <c r="A202" s="207" t="s">
        <v>10</v>
      </c>
      <c r="B202" s="211">
        <f t="shared" si="9"/>
        <v>80</v>
      </c>
      <c r="C202" s="211" t="s">
        <v>3</v>
      </c>
      <c r="D202" s="211">
        <f t="shared" si="10"/>
        <v>400</v>
      </c>
      <c r="E202" s="211" t="s">
        <v>3</v>
      </c>
      <c r="F202" s="209">
        <f t="shared" si="11"/>
        <v>2950</v>
      </c>
      <c r="G202" s="211" t="s">
        <v>3</v>
      </c>
      <c r="H202" s="208">
        <v>4</v>
      </c>
      <c r="I202" s="210" t="s">
        <v>529</v>
      </c>
      <c r="J202" s="103">
        <v>80</v>
      </c>
      <c r="K202" s="66">
        <v>400</v>
      </c>
      <c r="L202" s="66">
        <v>2950</v>
      </c>
      <c r="M202" s="164">
        <v>41.269464414298412</v>
      </c>
      <c r="N202" s="78">
        <v>12578.79168</v>
      </c>
      <c r="O202" s="113">
        <v>109373.5385021316</v>
      </c>
      <c r="P202" s="113">
        <v>133852.09777793963</v>
      </c>
      <c r="Q202" s="110">
        <v>46647.367025472573</v>
      </c>
      <c r="R202" s="113">
        <v>156020.90552760416</v>
      </c>
      <c r="S202" s="113">
        <v>180499.46480341221</v>
      </c>
      <c r="U202" s="7" t="s">
        <v>6332</v>
      </c>
    </row>
    <row r="203" spans="1:21" ht="16.5" thickBot="1">
      <c r="A203" s="207" t="s">
        <v>10</v>
      </c>
      <c r="B203" s="211">
        <f t="shared" si="9"/>
        <v>80</v>
      </c>
      <c r="C203" s="211" t="s">
        <v>3</v>
      </c>
      <c r="D203" s="211">
        <f t="shared" si="10"/>
        <v>400</v>
      </c>
      <c r="E203" s="211" t="s">
        <v>3</v>
      </c>
      <c r="F203" s="209">
        <f t="shared" si="11"/>
        <v>3000</v>
      </c>
      <c r="G203" s="211" t="s">
        <v>3</v>
      </c>
      <c r="H203" s="208">
        <v>4</v>
      </c>
      <c r="I203" s="210" t="s">
        <v>529</v>
      </c>
      <c r="J203" s="125">
        <v>80</v>
      </c>
      <c r="K203" s="126">
        <v>400</v>
      </c>
      <c r="L203" s="126">
        <v>3000</v>
      </c>
      <c r="M203" s="171">
        <v>41.960199943412363</v>
      </c>
      <c r="N203" s="127">
        <v>12820.69152</v>
      </c>
      <c r="O203" s="128">
        <v>112229.10271358417</v>
      </c>
      <c r="P203" s="128">
        <v>134659.93126537628</v>
      </c>
      <c r="Q203" s="136">
        <v>47555.308266015076</v>
      </c>
      <c r="R203" s="128">
        <v>159784.41097959926</v>
      </c>
      <c r="S203" s="128">
        <v>182215.23953139136</v>
      </c>
      <c r="U203" s="7" t="s">
        <v>6333</v>
      </c>
    </row>
  </sheetData>
  <mergeCells count="18">
    <mergeCell ref="A58:S58"/>
    <mergeCell ref="A106:S106"/>
    <mergeCell ref="A107:S107"/>
    <mergeCell ref="A155:S155"/>
    <mergeCell ref="A156:S156"/>
    <mergeCell ref="A57:S57"/>
    <mergeCell ref="A7:S7"/>
    <mergeCell ref="A8:S8"/>
    <mergeCell ref="A9:S9"/>
    <mergeCell ref="Q4:Q5"/>
    <mergeCell ref="R4:R5"/>
    <mergeCell ref="S4:S5"/>
    <mergeCell ref="O6:S6"/>
    <mergeCell ref="A4:I6"/>
    <mergeCell ref="J4:M5"/>
    <mergeCell ref="N4:N6"/>
    <mergeCell ref="O4:O5"/>
    <mergeCell ref="P4:P5"/>
  </mergeCells>
  <hyperlinks>
    <hyperlink ref="A1:I1" location="Главная!A1" display="Вернуться на главную страницу" xr:uid="{00000000-0004-0000-0A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4">
    <tabColor rgb="FF3366FF"/>
  </sheetPr>
  <dimension ref="A1:U253"/>
  <sheetViews>
    <sheetView zoomScale="70" zoomScaleNormal="70" workbookViewId="0">
      <pane ySplit="6" topLeftCell="A7" activePane="bottomLeft" state="frozen"/>
      <selection pane="bottomLeft" activeCell="Z243" sqref="Z243"/>
    </sheetView>
  </sheetViews>
  <sheetFormatPr defaultRowHeight="15.75"/>
  <cols>
    <col min="1" max="1" width="5.570312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8.140625" style="7" customWidth="1"/>
    <col min="10" max="10" width="11.28515625" style="7" customWidth="1"/>
    <col min="11" max="12" width="11.28515625" style="87" customWidth="1"/>
    <col min="13" max="13" width="15.5703125" style="9" customWidth="1"/>
    <col min="14" max="14" width="19.140625" style="7" customWidth="1"/>
    <col min="15" max="16" width="27.7109375" style="199" customWidth="1"/>
    <col min="17" max="17" width="26.28515625" style="108" customWidth="1"/>
    <col min="18" max="19" width="27.7109375" style="199" customWidth="1"/>
    <col min="20" max="20" width="9.140625" style="7"/>
    <col min="21" max="21" width="26.85546875" style="7" customWidth="1"/>
    <col min="22" max="16384" width="9.140625" style="7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1"/>
      <c r="O1" s="108"/>
      <c r="P1" s="108"/>
      <c r="R1" s="108"/>
      <c r="S1" s="108"/>
    </row>
    <row r="2" spans="1:21" s="65" customFormat="1" ht="16.5" customHeight="1">
      <c r="A2" s="895" t="s">
        <v>345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ht="13.5" customHeight="1" thickBot="1">
      <c r="A3" s="16"/>
      <c r="B3" s="16"/>
      <c r="C3" s="16"/>
      <c r="D3" s="16"/>
      <c r="E3" s="16"/>
      <c r="F3" s="100"/>
      <c r="G3" s="16"/>
      <c r="H3" s="16"/>
      <c r="I3" s="1132"/>
      <c r="J3" s="16"/>
      <c r="K3" s="99"/>
      <c r="L3" s="99"/>
      <c r="M3" s="140"/>
      <c r="O3" s="106"/>
      <c r="P3" s="106"/>
      <c r="Q3" s="107"/>
      <c r="R3" s="107"/>
      <c r="S3" s="107"/>
    </row>
    <row r="4" spans="1:21" s="65" customFormat="1" ht="69" customHeight="1">
      <c r="A4" s="2989" t="s">
        <v>8</v>
      </c>
      <c r="B4" s="2990"/>
      <c r="C4" s="2990"/>
      <c r="D4" s="2990"/>
      <c r="E4" s="2990"/>
      <c r="F4" s="2990"/>
      <c r="G4" s="2990"/>
      <c r="H4" s="2990"/>
      <c r="I4" s="2991"/>
      <c r="J4" s="2998" t="s">
        <v>78</v>
      </c>
      <c r="K4" s="2999"/>
      <c r="L4" s="2999"/>
      <c r="M4" s="3000"/>
      <c r="N4" s="3004" t="s">
        <v>77</v>
      </c>
      <c r="O4" s="2977" t="s">
        <v>145</v>
      </c>
      <c r="P4" s="3013" t="s">
        <v>146</v>
      </c>
      <c r="Q4" s="2977" t="s">
        <v>64</v>
      </c>
      <c r="R4" s="2979" t="s">
        <v>5752</v>
      </c>
      <c r="S4" s="2981" t="s">
        <v>5753</v>
      </c>
    </row>
    <row r="5" spans="1:21" s="65" customFormat="1" ht="72" customHeight="1" thickBot="1">
      <c r="A5" s="2992"/>
      <c r="B5" s="2993"/>
      <c r="C5" s="2993"/>
      <c r="D5" s="2993"/>
      <c r="E5" s="2993"/>
      <c r="F5" s="2993"/>
      <c r="G5" s="2993"/>
      <c r="H5" s="2993"/>
      <c r="I5" s="2994"/>
      <c r="J5" s="3001"/>
      <c r="K5" s="3002"/>
      <c r="L5" s="3002"/>
      <c r="M5" s="3003"/>
      <c r="N5" s="3005"/>
      <c r="O5" s="3007"/>
      <c r="P5" s="3014"/>
      <c r="Q5" s="2978"/>
      <c r="R5" s="2980"/>
      <c r="S5" s="2982"/>
    </row>
    <row r="6" spans="1:21" s="65" customFormat="1" ht="61.5" customHeight="1" thickBot="1">
      <c r="A6" s="2995"/>
      <c r="B6" s="2996"/>
      <c r="C6" s="2996"/>
      <c r="D6" s="2996"/>
      <c r="E6" s="2996"/>
      <c r="F6" s="2996"/>
      <c r="G6" s="2996"/>
      <c r="H6" s="2996"/>
      <c r="I6" s="2997"/>
      <c r="J6" s="235" t="s">
        <v>0</v>
      </c>
      <c r="K6" s="240" t="s">
        <v>1</v>
      </c>
      <c r="L6" s="240" t="s">
        <v>2</v>
      </c>
      <c r="M6" s="206" t="s">
        <v>75</v>
      </c>
      <c r="N6" s="3006"/>
      <c r="O6" s="2983" t="s">
        <v>141</v>
      </c>
      <c r="P6" s="2984"/>
      <c r="Q6" s="2984"/>
      <c r="R6" s="2984"/>
      <c r="S6" s="2985"/>
    </row>
    <row r="7" spans="1:21" ht="30" customHeight="1" thickBot="1">
      <c r="A7" s="2986" t="s">
        <v>131</v>
      </c>
      <c r="B7" s="2987"/>
      <c r="C7" s="2987"/>
      <c r="D7" s="2987"/>
      <c r="E7" s="2987"/>
      <c r="F7" s="2987"/>
      <c r="G7" s="2987"/>
      <c r="H7" s="2987"/>
      <c r="I7" s="2987"/>
      <c r="J7" s="2987"/>
      <c r="K7" s="2987"/>
      <c r="L7" s="2987"/>
      <c r="M7" s="2987"/>
      <c r="N7" s="2987"/>
      <c r="O7" s="2987"/>
      <c r="P7" s="2987"/>
      <c r="Q7" s="2987"/>
      <c r="R7" s="2987"/>
      <c r="S7" s="2988"/>
    </row>
    <row r="8" spans="1:21" ht="22.5" customHeight="1" thickBot="1">
      <c r="A8" s="2968" t="s">
        <v>46</v>
      </c>
      <c r="B8" s="2969"/>
      <c r="C8" s="2969"/>
      <c r="D8" s="2969"/>
      <c r="E8" s="2969"/>
      <c r="F8" s="2969"/>
      <c r="G8" s="2969"/>
      <c r="H8" s="2969"/>
      <c r="I8" s="2969"/>
      <c r="J8" s="2969"/>
      <c r="K8" s="2969"/>
      <c r="L8" s="2969"/>
      <c r="M8" s="2969"/>
      <c r="N8" s="2969"/>
      <c r="O8" s="2969"/>
      <c r="P8" s="2969"/>
      <c r="Q8" s="2969"/>
      <c r="R8" s="2969"/>
      <c r="S8" s="2970"/>
    </row>
    <row r="9" spans="1:21" ht="22.5" customHeight="1" thickBot="1">
      <c r="A9" s="2971" t="s">
        <v>63</v>
      </c>
      <c r="B9" s="2972"/>
      <c r="C9" s="2972"/>
      <c r="D9" s="2972"/>
      <c r="E9" s="2972"/>
      <c r="F9" s="2972"/>
      <c r="G9" s="2972"/>
      <c r="H9" s="2972"/>
      <c r="I9" s="2972"/>
      <c r="J9" s="2972"/>
      <c r="K9" s="2972"/>
      <c r="L9" s="2972"/>
      <c r="M9" s="2972"/>
      <c r="N9" s="2972"/>
      <c r="O9" s="2972"/>
      <c r="P9" s="2972"/>
      <c r="Q9" s="2972"/>
      <c r="R9" s="2972"/>
      <c r="S9" s="2973"/>
    </row>
    <row r="10" spans="1:21" ht="16.5" customHeight="1" thickBot="1">
      <c r="A10" s="2974" t="s">
        <v>112</v>
      </c>
      <c r="B10" s="2975"/>
      <c r="C10" s="2975"/>
      <c r="D10" s="2975"/>
      <c r="E10" s="2975"/>
      <c r="F10" s="2975"/>
      <c r="G10" s="2975"/>
      <c r="H10" s="2975"/>
      <c r="I10" s="2975"/>
      <c r="J10" s="2975"/>
      <c r="K10" s="2975"/>
      <c r="L10" s="2975"/>
      <c r="M10" s="2975"/>
      <c r="N10" s="2975"/>
      <c r="O10" s="2975"/>
      <c r="P10" s="2975"/>
      <c r="Q10" s="2975"/>
      <c r="R10" s="2975"/>
      <c r="S10" s="2976"/>
    </row>
    <row r="11" spans="1:21" ht="16.5" customHeight="1" thickBot="1">
      <c r="A11" s="207" t="s">
        <v>10</v>
      </c>
      <c r="B11" s="211">
        <f t="shared" ref="B11:B57" si="0">J11</f>
        <v>90</v>
      </c>
      <c r="C11" s="211" t="s">
        <v>3</v>
      </c>
      <c r="D11" s="211">
        <f t="shared" ref="D11:D57" si="1">K11</f>
        <v>200</v>
      </c>
      <c r="E11" s="211" t="s">
        <v>3</v>
      </c>
      <c r="F11" s="209">
        <f t="shared" ref="F11:F57" si="2">L11</f>
        <v>700</v>
      </c>
      <c r="G11" s="211" t="s">
        <v>3</v>
      </c>
      <c r="H11" s="208">
        <v>2</v>
      </c>
      <c r="I11" s="210" t="s">
        <v>529</v>
      </c>
      <c r="J11" s="103">
        <v>90</v>
      </c>
      <c r="K11" s="66">
        <v>200</v>
      </c>
      <c r="L11" s="66">
        <v>700</v>
      </c>
      <c r="M11" s="164">
        <v>6.4586574778801307</v>
      </c>
      <c r="N11" s="78">
        <v>820.99289999999996</v>
      </c>
      <c r="O11" s="113">
        <v>27639.116465254567</v>
      </c>
      <c r="P11" s="113">
        <v>29106.538499578019</v>
      </c>
      <c r="Q11" s="110">
        <v>8155.8760034286815</v>
      </c>
      <c r="R11" s="113">
        <v>35794.992468683246</v>
      </c>
      <c r="S11" s="113">
        <v>37262.414503006701</v>
      </c>
      <c r="U11" s="7" t="s">
        <v>6334</v>
      </c>
    </row>
    <row r="12" spans="1:21" ht="16.5" customHeight="1" thickBot="1">
      <c r="A12" s="207" t="s">
        <v>10</v>
      </c>
      <c r="B12" s="211">
        <f t="shared" si="0"/>
        <v>90</v>
      </c>
      <c r="C12" s="211" t="s">
        <v>3</v>
      </c>
      <c r="D12" s="211">
        <f t="shared" si="1"/>
        <v>200</v>
      </c>
      <c r="E12" s="211" t="s">
        <v>3</v>
      </c>
      <c r="F12" s="209">
        <f t="shared" si="2"/>
        <v>750</v>
      </c>
      <c r="G12" s="211" t="s">
        <v>3</v>
      </c>
      <c r="H12" s="208">
        <v>2</v>
      </c>
      <c r="I12" s="210" t="s">
        <v>529</v>
      </c>
      <c r="J12" s="103">
        <v>90</v>
      </c>
      <c r="K12" s="66">
        <v>200</v>
      </c>
      <c r="L12" s="66">
        <v>750</v>
      </c>
      <c r="M12" s="164">
        <v>6.8310565969107895</v>
      </c>
      <c r="N12" s="78">
        <v>938.27760000000001</v>
      </c>
      <c r="O12" s="113">
        <v>29291.000329489474</v>
      </c>
      <c r="P12" s="113">
        <v>30820.960208427456</v>
      </c>
      <c r="Q12" s="110">
        <v>8546.5523196422018</v>
      </c>
      <c r="R12" s="113">
        <v>37837.552649131678</v>
      </c>
      <c r="S12" s="113">
        <v>39367.512528069659</v>
      </c>
      <c r="U12" s="7" t="s">
        <v>6335</v>
      </c>
    </row>
    <row r="13" spans="1:21" ht="16.5" customHeight="1" thickBot="1">
      <c r="A13" s="207" t="s">
        <v>10</v>
      </c>
      <c r="B13" s="211">
        <f t="shared" si="0"/>
        <v>90</v>
      </c>
      <c r="C13" s="211" t="s">
        <v>3</v>
      </c>
      <c r="D13" s="211">
        <f t="shared" si="1"/>
        <v>200</v>
      </c>
      <c r="E13" s="211" t="s">
        <v>3</v>
      </c>
      <c r="F13" s="209">
        <f t="shared" si="2"/>
        <v>800</v>
      </c>
      <c r="G13" s="211" t="s">
        <v>3</v>
      </c>
      <c r="H13" s="208">
        <v>2</v>
      </c>
      <c r="I13" s="210" t="s">
        <v>529</v>
      </c>
      <c r="J13" s="103">
        <v>90</v>
      </c>
      <c r="K13" s="66">
        <v>200</v>
      </c>
      <c r="L13" s="66">
        <v>800</v>
      </c>
      <c r="M13" s="164">
        <v>7.2034557159414465</v>
      </c>
      <c r="N13" s="78">
        <v>1055.5623000000001</v>
      </c>
      <c r="O13" s="113">
        <v>30942.884193724381</v>
      </c>
      <c r="P13" s="113">
        <v>32535.381917276893</v>
      </c>
      <c r="Q13" s="110">
        <v>8937.2286358557212</v>
      </c>
      <c r="R13" s="113">
        <v>39880.112829580103</v>
      </c>
      <c r="S13" s="113">
        <v>41472.610553132617</v>
      </c>
      <c r="U13" s="7" t="s">
        <v>6336</v>
      </c>
    </row>
    <row r="14" spans="1:21" ht="16.5" customHeight="1" thickBot="1">
      <c r="A14" s="207" t="s">
        <v>10</v>
      </c>
      <c r="B14" s="211">
        <f t="shared" si="0"/>
        <v>90</v>
      </c>
      <c r="C14" s="211" t="s">
        <v>3</v>
      </c>
      <c r="D14" s="211">
        <f t="shared" si="1"/>
        <v>200</v>
      </c>
      <c r="E14" s="211" t="s">
        <v>3</v>
      </c>
      <c r="F14" s="209">
        <f t="shared" si="2"/>
        <v>850</v>
      </c>
      <c r="G14" s="211" t="s">
        <v>3</v>
      </c>
      <c r="H14" s="208">
        <v>2</v>
      </c>
      <c r="I14" s="210" t="s">
        <v>529</v>
      </c>
      <c r="J14" s="103">
        <v>90</v>
      </c>
      <c r="K14" s="66">
        <v>200</v>
      </c>
      <c r="L14" s="66">
        <v>850</v>
      </c>
      <c r="M14" s="164">
        <v>7.592894834972105</v>
      </c>
      <c r="N14" s="78">
        <v>1172.847</v>
      </c>
      <c r="O14" s="113">
        <v>32594.768057959289</v>
      </c>
      <c r="P14" s="113">
        <v>34249.803626126326</v>
      </c>
      <c r="Q14" s="110">
        <v>9579.239089853012</v>
      </c>
      <c r="R14" s="113">
        <v>42174.007147812299</v>
      </c>
      <c r="S14" s="113">
        <v>43829.04271597934</v>
      </c>
      <c r="U14" s="7" t="s">
        <v>6337</v>
      </c>
    </row>
    <row r="15" spans="1:21" ht="16.5" customHeight="1" thickBot="1">
      <c r="A15" s="207" t="s">
        <v>10</v>
      </c>
      <c r="B15" s="211">
        <f t="shared" si="0"/>
        <v>90</v>
      </c>
      <c r="C15" s="211" t="s">
        <v>3</v>
      </c>
      <c r="D15" s="211">
        <f t="shared" si="1"/>
        <v>200</v>
      </c>
      <c r="E15" s="211" t="s">
        <v>3</v>
      </c>
      <c r="F15" s="209">
        <f t="shared" si="2"/>
        <v>900</v>
      </c>
      <c r="G15" s="211" t="s">
        <v>3</v>
      </c>
      <c r="H15" s="208">
        <v>2</v>
      </c>
      <c r="I15" s="210" t="s">
        <v>529</v>
      </c>
      <c r="J15" s="103">
        <v>90</v>
      </c>
      <c r="K15" s="66">
        <v>200</v>
      </c>
      <c r="L15" s="66">
        <v>900</v>
      </c>
      <c r="M15" s="164">
        <v>8.0032939540027641</v>
      </c>
      <c r="N15" s="78">
        <v>1290.1317000000001</v>
      </c>
      <c r="O15" s="113">
        <v>34246.651922194193</v>
      </c>
      <c r="P15" s="113">
        <v>35964.225334975767</v>
      </c>
      <c r="Q15" s="110">
        <v>9969.915559095296</v>
      </c>
      <c r="R15" s="113">
        <v>44216.567481289487</v>
      </c>
      <c r="S15" s="113">
        <v>45934.140894071061</v>
      </c>
      <c r="U15" s="7" t="s">
        <v>6338</v>
      </c>
    </row>
    <row r="16" spans="1:21" ht="16.5" customHeight="1" thickBot="1">
      <c r="A16" s="207" t="s">
        <v>10</v>
      </c>
      <c r="B16" s="211">
        <f t="shared" si="0"/>
        <v>90</v>
      </c>
      <c r="C16" s="211" t="s">
        <v>3</v>
      </c>
      <c r="D16" s="211">
        <f t="shared" si="1"/>
        <v>200</v>
      </c>
      <c r="E16" s="211" t="s">
        <v>3</v>
      </c>
      <c r="F16" s="209">
        <f t="shared" si="2"/>
        <v>950</v>
      </c>
      <c r="G16" s="211" t="s">
        <v>3</v>
      </c>
      <c r="H16" s="208">
        <v>2</v>
      </c>
      <c r="I16" s="210" t="s">
        <v>529</v>
      </c>
      <c r="J16" s="103">
        <v>90</v>
      </c>
      <c r="K16" s="66">
        <v>200</v>
      </c>
      <c r="L16" s="66">
        <v>950</v>
      </c>
      <c r="M16" s="164">
        <v>8.4617330730334217</v>
      </c>
      <c r="N16" s="78">
        <v>1407.4164000000001</v>
      </c>
      <c r="O16" s="113">
        <v>35898.5357864291</v>
      </c>
      <c r="P16" s="113">
        <v>37678.6470438252</v>
      </c>
      <c r="Q16" s="110">
        <v>10611.926013092587</v>
      </c>
      <c r="R16" s="113">
        <v>46510.461799521683</v>
      </c>
      <c r="S16" s="113">
        <v>48290.573056917783</v>
      </c>
      <c r="U16" s="7" t="s">
        <v>6339</v>
      </c>
    </row>
    <row r="17" spans="1:21" ht="16.5" customHeight="1" thickBot="1">
      <c r="A17" s="207" t="s">
        <v>10</v>
      </c>
      <c r="B17" s="211">
        <f t="shared" si="0"/>
        <v>90</v>
      </c>
      <c r="C17" s="211" t="s">
        <v>3</v>
      </c>
      <c r="D17" s="211">
        <f t="shared" si="1"/>
        <v>200</v>
      </c>
      <c r="E17" s="211" t="s">
        <v>3</v>
      </c>
      <c r="F17" s="209">
        <f t="shared" si="2"/>
        <v>1000</v>
      </c>
      <c r="G17" s="211" t="s">
        <v>3</v>
      </c>
      <c r="H17" s="208">
        <v>2</v>
      </c>
      <c r="I17" s="210" t="s">
        <v>529</v>
      </c>
      <c r="J17" s="103">
        <v>90</v>
      </c>
      <c r="K17" s="66">
        <v>200</v>
      </c>
      <c r="L17" s="66">
        <v>1000</v>
      </c>
      <c r="M17" s="164">
        <v>8.8341321920640787</v>
      </c>
      <c r="N17" s="78">
        <v>1524.7011</v>
      </c>
      <c r="O17" s="113">
        <v>37446.72572965896</v>
      </c>
      <c r="P17" s="113">
        <v>39295.980662630929</v>
      </c>
      <c r="Q17" s="110">
        <v>11002.602329306106</v>
      </c>
      <c r="R17" s="113">
        <v>48449.328058965068</v>
      </c>
      <c r="S17" s="113">
        <v>50298.582991937037</v>
      </c>
      <c r="U17" s="7" t="s">
        <v>6340</v>
      </c>
    </row>
    <row r="18" spans="1:21" ht="16.5" customHeight="1" thickBot="1">
      <c r="A18" s="207" t="s">
        <v>10</v>
      </c>
      <c r="B18" s="211">
        <f t="shared" si="0"/>
        <v>90</v>
      </c>
      <c r="C18" s="211" t="s">
        <v>3</v>
      </c>
      <c r="D18" s="211">
        <f t="shared" si="1"/>
        <v>200</v>
      </c>
      <c r="E18" s="211" t="s">
        <v>3</v>
      </c>
      <c r="F18" s="209">
        <f t="shared" si="2"/>
        <v>1050</v>
      </c>
      <c r="G18" s="211" t="s">
        <v>3</v>
      </c>
      <c r="H18" s="208">
        <v>2</v>
      </c>
      <c r="I18" s="210" t="s">
        <v>529</v>
      </c>
      <c r="J18" s="103">
        <v>90</v>
      </c>
      <c r="K18" s="66">
        <v>200</v>
      </c>
      <c r="L18" s="66">
        <v>1050</v>
      </c>
      <c r="M18" s="164">
        <v>9.2235713110947373</v>
      </c>
      <c r="N18" s="78">
        <v>1641.9857999999999</v>
      </c>
      <c r="O18" s="113">
        <v>39344.88267254016</v>
      </c>
      <c r="P18" s="113">
        <v>41240.986520296945</v>
      </c>
      <c r="Q18" s="110">
        <v>11644.612783303395</v>
      </c>
      <c r="R18" s="113">
        <v>50989.495455843557</v>
      </c>
      <c r="S18" s="113">
        <v>52885.599303600342</v>
      </c>
      <c r="U18" s="7" t="s">
        <v>6341</v>
      </c>
    </row>
    <row r="19" spans="1:21" ht="16.5" customHeight="1" thickBot="1">
      <c r="A19" s="207" t="s">
        <v>10</v>
      </c>
      <c r="B19" s="208">
        <f t="shared" si="0"/>
        <v>90</v>
      </c>
      <c r="C19" s="208" t="s">
        <v>3</v>
      </c>
      <c r="D19" s="208">
        <f t="shared" si="1"/>
        <v>200</v>
      </c>
      <c r="E19" s="208" t="s">
        <v>3</v>
      </c>
      <c r="F19" s="209">
        <f t="shared" si="2"/>
        <v>1100</v>
      </c>
      <c r="G19" s="208" t="s">
        <v>3</v>
      </c>
      <c r="H19" s="208">
        <v>2</v>
      </c>
      <c r="I19" s="210" t="s">
        <v>529</v>
      </c>
      <c r="J19" s="103">
        <v>90</v>
      </c>
      <c r="K19" s="66">
        <v>200</v>
      </c>
      <c r="L19" s="66">
        <v>1100</v>
      </c>
      <c r="M19" s="164">
        <v>9.5959704301253943</v>
      </c>
      <c r="N19" s="78">
        <v>1759.2705000000001</v>
      </c>
      <c r="O19" s="113">
        <v>40996.766536775067</v>
      </c>
      <c r="P19" s="113">
        <v>42955.408229146378</v>
      </c>
      <c r="Q19" s="110">
        <v>12035.289252545683</v>
      </c>
      <c r="R19" s="113">
        <v>53032.055789320752</v>
      </c>
      <c r="S19" s="113">
        <v>54990.697481692063</v>
      </c>
      <c r="U19" s="7" t="s">
        <v>6342</v>
      </c>
    </row>
    <row r="20" spans="1:21" ht="16.5" customHeight="1" thickBot="1">
      <c r="A20" s="207" t="s">
        <v>10</v>
      </c>
      <c r="B20" s="211">
        <f t="shared" si="0"/>
        <v>90</v>
      </c>
      <c r="C20" s="211" t="s">
        <v>3</v>
      </c>
      <c r="D20" s="211">
        <f t="shared" si="1"/>
        <v>200</v>
      </c>
      <c r="E20" s="211" t="s">
        <v>3</v>
      </c>
      <c r="F20" s="209">
        <f t="shared" si="2"/>
        <v>1150</v>
      </c>
      <c r="G20" s="211" t="s">
        <v>3</v>
      </c>
      <c r="H20" s="208">
        <v>2</v>
      </c>
      <c r="I20" s="210" t="s">
        <v>529</v>
      </c>
      <c r="J20" s="103">
        <v>90</v>
      </c>
      <c r="K20" s="66">
        <v>200</v>
      </c>
      <c r="L20" s="66">
        <v>1150</v>
      </c>
      <c r="M20" s="164">
        <v>9.9683695491560531</v>
      </c>
      <c r="N20" s="78">
        <v>1876.5552</v>
      </c>
      <c r="O20" s="113">
        <v>41825.327127727098</v>
      </c>
      <c r="P20" s="113">
        <v>43898.957105627887</v>
      </c>
      <c r="Q20" s="110">
        <v>12425.965568759202</v>
      </c>
      <c r="R20" s="113">
        <v>54251.2926964863</v>
      </c>
      <c r="S20" s="113">
        <v>56324.92267438709</v>
      </c>
      <c r="U20" s="7" t="s">
        <v>6343</v>
      </c>
    </row>
    <row r="21" spans="1:21" ht="16.5" customHeight="1" thickBot="1">
      <c r="A21" s="207" t="s">
        <v>10</v>
      </c>
      <c r="B21" s="211">
        <f t="shared" si="0"/>
        <v>90</v>
      </c>
      <c r="C21" s="211" t="s">
        <v>3</v>
      </c>
      <c r="D21" s="211">
        <f t="shared" si="1"/>
        <v>200</v>
      </c>
      <c r="E21" s="211" t="s">
        <v>3</v>
      </c>
      <c r="F21" s="209">
        <f t="shared" si="2"/>
        <v>1200</v>
      </c>
      <c r="G21" s="211" t="s">
        <v>3</v>
      </c>
      <c r="H21" s="208">
        <v>2</v>
      </c>
      <c r="I21" s="210" t="s">
        <v>529</v>
      </c>
      <c r="J21" s="103">
        <v>90</v>
      </c>
      <c r="K21" s="66">
        <v>200</v>
      </c>
      <c r="L21" s="66">
        <v>1200</v>
      </c>
      <c r="M21" s="164">
        <v>10.573058668186709</v>
      </c>
      <c r="N21" s="78">
        <v>1993.8398999999999</v>
      </c>
      <c r="O21" s="113">
        <v>42692.189181182119</v>
      </c>
      <c r="P21" s="113">
        <v>44878.367377998162</v>
      </c>
      <c r="Q21" s="110">
        <v>13067.976022756491</v>
      </c>
      <c r="R21" s="113">
        <v>55760.16520393861</v>
      </c>
      <c r="S21" s="113">
        <v>57946.343400754653</v>
      </c>
      <c r="U21" s="7" t="s">
        <v>6344</v>
      </c>
    </row>
    <row r="22" spans="1:21" ht="16.5" customHeight="1" thickBot="1">
      <c r="A22" s="207" t="s">
        <v>10</v>
      </c>
      <c r="B22" s="211">
        <f t="shared" si="0"/>
        <v>90</v>
      </c>
      <c r="C22" s="211" t="s">
        <v>3</v>
      </c>
      <c r="D22" s="211">
        <f t="shared" si="1"/>
        <v>200</v>
      </c>
      <c r="E22" s="211" t="s">
        <v>3</v>
      </c>
      <c r="F22" s="209">
        <f t="shared" si="2"/>
        <v>1250</v>
      </c>
      <c r="G22" s="211" t="s">
        <v>3</v>
      </c>
      <c r="H22" s="208">
        <v>2</v>
      </c>
      <c r="I22" s="210" t="s">
        <v>529</v>
      </c>
      <c r="J22" s="103">
        <v>90</v>
      </c>
      <c r="K22" s="66">
        <v>200</v>
      </c>
      <c r="L22" s="66">
        <v>1250</v>
      </c>
      <c r="M22" s="164">
        <v>10.945457787217368</v>
      </c>
      <c r="N22" s="78">
        <v>2111.1246000000001</v>
      </c>
      <c r="O22" s="113">
        <v>43520.225311950308</v>
      </c>
      <c r="P22" s="113">
        <v>45821.425223429571</v>
      </c>
      <c r="Q22" s="110">
        <v>13458.652338970012</v>
      </c>
      <c r="R22" s="113">
        <v>56978.877650920316</v>
      </c>
      <c r="S22" s="113">
        <v>59280.077562399587</v>
      </c>
      <c r="U22" s="7" t="s">
        <v>6345</v>
      </c>
    </row>
    <row r="23" spans="1:21" ht="16.5" customHeight="1" thickBot="1">
      <c r="A23" s="207" t="s">
        <v>10</v>
      </c>
      <c r="B23" s="211">
        <f t="shared" si="0"/>
        <v>90</v>
      </c>
      <c r="C23" s="211" t="s">
        <v>3</v>
      </c>
      <c r="D23" s="211">
        <f t="shared" si="1"/>
        <v>200</v>
      </c>
      <c r="E23" s="211" t="s">
        <v>3</v>
      </c>
      <c r="F23" s="209">
        <f t="shared" si="2"/>
        <v>1300</v>
      </c>
      <c r="G23" s="211" t="s">
        <v>3</v>
      </c>
      <c r="H23" s="208">
        <v>2</v>
      </c>
      <c r="I23" s="210" t="s">
        <v>529</v>
      </c>
      <c r="J23" s="103">
        <v>90</v>
      </c>
      <c r="K23" s="66">
        <v>200</v>
      </c>
      <c r="L23" s="66">
        <v>1300</v>
      </c>
      <c r="M23" s="164">
        <v>11.396896906248026</v>
      </c>
      <c r="N23" s="78">
        <v>2228.4092999999998</v>
      </c>
      <c r="O23" s="113">
        <v>47021.359556551426</v>
      </c>
      <c r="P23" s="113">
        <v>49267.289533329815</v>
      </c>
      <c r="Q23" s="110">
        <v>14100.662792967301</v>
      </c>
      <c r="R23" s="113">
        <v>61122.022349518724</v>
      </c>
      <c r="S23" s="113">
        <v>63367.95232629712</v>
      </c>
      <c r="U23" s="7" t="s">
        <v>6346</v>
      </c>
    </row>
    <row r="24" spans="1:21" ht="16.5" customHeight="1" thickBot="1">
      <c r="A24" s="207" t="s">
        <v>10</v>
      </c>
      <c r="B24" s="211">
        <f t="shared" si="0"/>
        <v>90</v>
      </c>
      <c r="C24" s="211" t="s">
        <v>3</v>
      </c>
      <c r="D24" s="211">
        <f t="shared" si="1"/>
        <v>200</v>
      </c>
      <c r="E24" s="211" t="s">
        <v>3</v>
      </c>
      <c r="F24" s="209">
        <f t="shared" si="2"/>
        <v>1350</v>
      </c>
      <c r="G24" s="211" t="s">
        <v>3</v>
      </c>
      <c r="H24" s="208">
        <v>2</v>
      </c>
      <c r="I24" s="210" t="s">
        <v>529</v>
      </c>
      <c r="J24" s="103">
        <v>90</v>
      </c>
      <c r="K24" s="66">
        <v>200</v>
      </c>
      <c r="L24" s="66">
        <v>1350</v>
      </c>
      <c r="M24" s="164">
        <v>11.769296025278685</v>
      </c>
      <c r="N24" s="78">
        <v>2345.694</v>
      </c>
      <c r="O24" s="113">
        <v>48121.564898063982</v>
      </c>
      <c r="P24" s="113">
        <v>50465.177665273113</v>
      </c>
      <c r="Q24" s="110">
        <v>14491.339262209587</v>
      </c>
      <c r="R24" s="113">
        <v>62612.904160273567</v>
      </c>
      <c r="S24" s="113">
        <v>64956.516927482699</v>
      </c>
      <c r="U24" s="7" t="s">
        <v>6347</v>
      </c>
    </row>
    <row r="25" spans="1:21" ht="16.5" customHeight="1" thickBot="1">
      <c r="A25" s="207" t="s">
        <v>10</v>
      </c>
      <c r="B25" s="211">
        <f t="shared" si="0"/>
        <v>90</v>
      </c>
      <c r="C25" s="211" t="s">
        <v>3</v>
      </c>
      <c r="D25" s="211">
        <f t="shared" si="1"/>
        <v>200</v>
      </c>
      <c r="E25" s="211" t="s">
        <v>3</v>
      </c>
      <c r="F25" s="209">
        <f t="shared" si="2"/>
        <v>1400</v>
      </c>
      <c r="G25" s="211" t="s">
        <v>3</v>
      </c>
      <c r="H25" s="208">
        <v>2</v>
      </c>
      <c r="I25" s="210" t="s">
        <v>529</v>
      </c>
      <c r="J25" s="103">
        <v>90</v>
      </c>
      <c r="K25" s="66">
        <v>200</v>
      </c>
      <c r="L25" s="66">
        <v>1400</v>
      </c>
      <c r="M25" s="164">
        <v>12.158735144309341</v>
      </c>
      <c r="N25" s="78">
        <v>2462.9787000000001</v>
      </c>
      <c r="O25" s="113">
        <v>49578.218198716888</v>
      </c>
      <c r="P25" s="113">
        <v>51996.806269334709</v>
      </c>
      <c r="Q25" s="110">
        <v>15133.349716206876</v>
      </c>
      <c r="R25" s="113">
        <v>64711.567914923762</v>
      </c>
      <c r="S25" s="113">
        <v>67130.155985541584</v>
      </c>
      <c r="U25" s="7" t="s">
        <v>6348</v>
      </c>
    </row>
    <row r="26" spans="1:21" ht="16.5" customHeight="1" thickBot="1">
      <c r="A26" s="207" t="s">
        <v>10</v>
      </c>
      <c r="B26" s="211">
        <f t="shared" si="0"/>
        <v>90</v>
      </c>
      <c r="C26" s="211" t="s">
        <v>3</v>
      </c>
      <c r="D26" s="211">
        <f t="shared" si="1"/>
        <v>200</v>
      </c>
      <c r="E26" s="211" t="s">
        <v>3</v>
      </c>
      <c r="F26" s="209">
        <f t="shared" si="2"/>
        <v>1450</v>
      </c>
      <c r="G26" s="211" t="s">
        <v>3</v>
      </c>
      <c r="H26" s="208">
        <v>2</v>
      </c>
      <c r="I26" s="210" t="s">
        <v>529</v>
      </c>
      <c r="J26" s="103">
        <v>90</v>
      </c>
      <c r="K26" s="66">
        <v>200</v>
      </c>
      <c r="L26" s="66">
        <v>1450</v>
      </c>
      <c r="M26" s="164">
        <v>12.53113426334</v>
      </c>
      <c r="N26" s="78">
        <v>2580.2634000000003</v>
      </c>
      <c r="O26" s="113">
        <v>50678.423540229451</v>
      </c>
      <c r="P26" s="113">
        <v>53194.694401278</v>
      </c>
      <c r="Q26" s="110">
        <v>15524.026032420395</v>
      </c>
      <c r="R26" s="113">
        <v>66202.449572649843</v>
      </c>
      <c r="S26" s="113">
        <v>68718.7204336984</v>
      </c>
      <c r="U26" s="7" t="s">
        <v>6349</v>
      </c>
    </row>
    <row r="27" spans="1:21" ht="16.5" customHeight="1" thickBot="1">
      <c r="A27" s="207" t="s">
        <v>10</v>
      </c>
      <c r="B27" s="211">
        <f t="shared" si="0"/>
        <v>90</v>
      </c>
      <c r="C27" s="211" t="s">
        <v>3</v>
      </c>
      <c r="D27" s="211">
        <f t="shared" si="1"/>
        <v>200</v>
      </c>
      <c r="E27" s="211" t="s">
        <v>3</v>
      </c>
      <c r="F27" s="209">
        <f t="shared" si="2"/>
        <v>1500</v>
      </c>
      <c r="G27" s="211" t="s">
        <v>3</v>
      </c>
      <c r="H27" s="208">
        <v>2</v>
      </c>
      <c r="I27" s="210" t="s">
        <v>529</v>
      </c>
      <c r="J27" s="103">
        <v>90</v>
      </c>
      <c r="K27" s="66">
        <v>200</v>
      </c>
      <c r="L27" s="66">
        <v>1500</v>
      </c>
      <c r="M27" s="164">
        <v>13.456136515170655</v>
      </c>
      <c r="N27" s="78">
        <v>2697.5480999999995</v>
      </c>
      <c r="O27" s="113">
        <v>52234.92719195383</v>
      </c>
      <c r="P27" s="113">
        <v>54900.505571737209</v>
      </c>
      <c r="Q27" s="110">
        <v>16166.036486417688</v>
      </c>
      <c r="R27" s="113">
        <v>68400.96367837151</v>
      </c>
      <c r="S27" s="113">
        <v>71066.542058154897</v>
      </c>
      <c r="U27" s="7" t="s">
        <v>6350</v>
      </c>
    </row>
    <row r="28" spans="1:21" ht="16.5" customHeight="1" thickBot="1">
      <c r="A28" s="207" t="s">
        <v>10</v>
      </c>
      <c r="B28" s="211">
        <f t="shared" si="0"/>
        <v>90</v>
      </c>
      <c r="C28" s="211" t="s">
        <v>3</v>
      </c>
      <c r="D28" s="211">
        <f t="shared" si="1"/>
        <v>200</v>
      </c>
      <c r="E28" s="211" t="s">
        <v>3</v>
      </c>
      <c r="F28" s="209">
        <f t="shared" si="2"/>
        <v>1550</v>
      </c>
      <c r="G28" s="211" t="s">
        <v>3</v>
      </c>
      <c r="H28" s="208">
        <v>2</v>
      </c>
      <c r="I28" s="210" t="s">
        <v>529</v>
      </c>
      <c r="J28" s="103">
        <v>90</v>
      </c>
      <c r="K28" s="66">
        <v>200</v>
      </c>
      <c r="L28" s="66">
        <v>1550</v>
      </c>
      <c r="M28" s="164">
        <v>13.897535634201315</v>
      </c>
      <c r="N28" s="78">
        <v>2814.8328000000001</v>
      </c>
      <c r="O28" s="113">
        <v>53335.132533466392</v>
      </c>
      <c r="P28" s="113">
        <v>56098.393833754955</v>
      </c>
      <c r="Q28" s="110">
        <v>16556.712955659972</v>
      </c>
      <c r="R28" s="113">
        <v>69891.845489126368</v>
      </c>
      <c r="S28" s="113">
        <v>72655.106789414931</v>
      </c>
      <c r="U28" s="7" t="s">
        <v>6351</v>
      </c>
    </row>
    <row r="29" spans="1:21" ht="16.5" customHeight="1" thickBot="1">
      <c r="A29" s="207" t="s">
        <v>10</v>
      </c>
      <c r="B29" s="208">
        <f t="shared" si="0"/>
        <v>90</v>
      </c>
      <c r="C29" s="208" t="s">
        <v>3</v>
      </c>
      <c r="D29" s="208">
        <f t="shared" si="1"/>
        <v>200</v>
      </c>
      <c r="E29" s="208" t="s">
        <v>3</v>
      </c>
      <c r="F29" s="209">
        <f t="shared" si="2"/>
        <v>1600</v>
      </c>
      <c r="G29" s="208" t="s">
        <v>3</v>
      </c>
      <c r="H29" s="208">
        <v>2</v>
      </c>
      <c r="I29" s="210" t="s">
        <v>529</v>
      </c>
      <c r="J29" s="103">
        <v>90</v>
      </c>
      <c r="K29" s="66">
        <v>200</v>
      </c>
      <c r="L29" s="66">
        <v>1600</v>
      </c>
      <c r="M29" s="164">
        <v>14.269934753231972</v>
      </c>
      <c r="N29" s="78">
        <v>2932.1174999999998</v>
      </c>
      <c r="O29" s="113">
        <v>56556.522941855539</v>
      </c>
      <c r="P29" s="113">
        <v>59282.335547737639</v>
      </c>
      <c r="Q29" s="110">
        <v>16947.389271873493</v>
      </c>
      <c r="R29" s="113">
        <v>73503.912213729025</v>
      </c>
      <c r="S29" s="113">
        <v>76229.724819611132</v>
      </c>
      <c r="U29" s="7" t="s">
        <v>6352</v>
      </c>
    </row>
    <row r="30" spans="1:21" ht="16.5" customHeight="1" thickBot="1">
      <c r="A30" s="207" t="s">
        <v>10</v>
      </c>
      <c r="B30" s="211">
        <f t="shared" si="0"/>
        <v>90</v>
      </c>
      <c r="C30" s="211" t="s">
        <v>3</v>
      </c>
      <c r="D30" s="211">
        <f t="shared" si="1"/>
        <v>200</v>
      </c>
      <c r="E30" s="211" t="s">
        <v>3</v>
      </c>
      <c r="F30" s="209">
        <f t="shared" si="2"/>
        <v>1650</v>
      </c>
      <c r="G30" s="211" t="s">
        <v>3</v>
      </c>
      <c r="H30" s="208">
        <v>2</v>
      </c>
      <c r="I30" s="210" t="s">
        <v>529</v>
      </c>
      <c r="J30" s="103">
        <v>90</v>
      </c>
      <c r="K30" s="66">
        <v>200</v>
      </c>
      <c r="L30" s="66">
        <v>1650</v>
      </c>
      <c r="M30" s="164">
        <v>14.697373872262631</v>
      </c>
      <c r="N30" s="78">
        <v>3049.4022</v>
      </c>
      <c r="O30" s="113">
        <v>60052.876820331607</v>
      </c>
      <c r="P30" s="113">
        <v>62723.72399580112</v>
      </c>
      <c r="Q30" s="110">
        <v>17589.399725870782</v>
      </c>
      <c r="R30" s="113">
        <v>77642.276546202396</v>
      </c>
      <c r="S30" s="113">
        <v>80313.123721671902</v>
      </c>
      <c r="U30" s="7" t="s">
        <v>6353</v>
      </c>
    </row>
    <row r="31" spans="1:21" ht="16.5" customHeight="1" thickBot="1">
      <c r="A31" s="207" t="s">
        <v>10</v>
      </c>
      <c r="B31" s="211">
        <f t="shared" si="0"/>
        <v>90</v>
      </c>
      <c r="C31" s="211" t="s">
        <v>3</v>
      </c>
      <c r="D31" s="211">
        <f t="shared" si="1"/>
        <v>200</v>
      </c>
      <c r="E31" s="211" t="s">
        <v>3</v>
      </c>
      <c r="F31" s="209">
        <f t="shared" si="2"/>
        <v>1700</v>
      </c>
      <c r="G31" s="211" t="s">
        <v>3</v>
      </c>
      <c r="H31" s="208">
        <v>2</v>
      </c>
      <c r="I31" s="210" t="s">
        <v>529</v>
      </c>
      <c r="J31" s="103">
        <v>90</v>
      </c>
      <c r="K31" s="66">
        <v>200</v>
      </c>
      <c r="L31" s="66">
        <v>1700</v>
      </c>
      <c r="M31" s="164">
        <v>15.06977299129329</v>
      </c>
      <c r="N31" s="78">
        <v>3166.6869000000002</v>
      </c>
      <c r="O31" s="113">
        <v>60929.471434385639</v>
      </c>
      <c r="P31" s="113">
        <v>63712.246763865551</v>
      </c>
      <c r="Q31" s="110">
        <v>17980.076042084303</v>
      </c>
      <c r="R31" s="113">
        <v>78909.547476469947</v>
      </c>
      <c r="S31" s="113">
        <v>81692.322805949851</v>
      </c>
      <c r="U31" s="7" t="s">
        <v>6354</v>
      </c>
    </row>
    <row r="32" spans="1:21" ht="16.5" customHeight="1" thickBot="1">
      <c r="A32" s="207" t="s">
        <v>10</v>
      </c>
      <c r="B32" s="211">
        <f t="shared" si="0"/>
        <v>90</v>
      </c>
      <c r="C32" s="211" t="s">
        <v>3</v>
      </c>
      <c r="D32" s="211">
        <f t="shared" si="1"/>
        <v>200</v>
      </c>
      <c r="E32" s="211" t="s">
        <v>3</v>
      </c>
      <c r="F32" s="209">
        <f t="shared" si="2"/>
        <v>1750</v>
      </c>
      <c r="G32" s="211" t="s">
        <v>3</v>
      </c>
      <c r="H32" s="208">
        <v>2</v>
      </c>
      <c r="I32" s="210" t="s">
        <v>529</v>
      </c>
      <c r="J32" s="103">
        <v>90</v>
      </c>
      <c r="K32" s="66">
        <v>200</v>
      </c>
      <c r="L32" s="66">
        <v>1750</v>
      </c>
      <c r="M32" s="164">
        <v>15.459212110323946</v>
      </c>
      <c r="N32" s="78">
        <v>3283.9715999999999</v>
      </c>
      <c r="O32" s="113">
        <v>61723.058517647034</v>
      </c>
      <c r="P32" s="113">
        <v>64623.050047842124</v>
      </c>
      <c r="Q32" s="110">
        <v>18622.086496081592</v>
      </c>
      <c r="R32" s="113">
        <v>80345.14501372863</v>
      </c>
      <c r="S32" s="113">
        <v>83245.136543923712</v>
      </c>
      <c r="U32" s="7" t="s">
        <v>6355</v>
      </c>
    </row>
    <row r="33" spans="1:21" ht="16.5" customHeight="1" thickBot="1">
      <c r="A33" s="207" t="s">
        <v>10</v>
      </c>
      <c r="B33" s="211">
        <f t="shared" si="0"/>
        <v>90</v>
      </c>
      <c r="C33" s="211" t="s">
        <v>3</v>
      </c>
      <c r="D33" s="211">
        <f t="shared" si="1"/>
        <v>200</v>
      </c>
      <c r="E33" s="211" t="s">
        <v>3</v>
      </c>
      <c r="F33" s="209">
        <f t="shared" si="2"/>
        <v>1800</v>
      </c>
      <c r="G33" s="211" t="s">
        <v>3</v>
      </c>
      <c r="H33" s="208">
        <v>2</v>
      </c>
      <c r="I33" s="210" t="s">
        <v>529</v>
      </c>
      <c r="J33" s="103">
        <v>90</v>
      </c>
      <c r="K33" s="66">
        <v>200</v>
      </c>
      <c r="L33" s="66">
        <v>1800</v>
      </c>
      <c r="M33" s="164">
        <v>15.900611229354602</v>
      </c>
      <c r="N33" s="78">
        <v>3401.2562999999996</v>
      </c>
      <c r="O33" s="113">
        <v>62600.412376267785</v>
      </c>
      <c r="P33" s="113">
        <v>65612.283802852209</v>
      </c>
      <c r="Q33" s="110">
        <v>19012.762965323876</v>
      </c>
      <c r="R33" s="113">
        <v>81613.175341591661</v>
      </c>
      <c r="S33" s="113">
        <v>84625.046768176078</v>
      </c>
      <c r="U33" s="7" t="s">
        <v>6356</v>
      </c>
    </row>
    <row r="34" spans="1:21" ht="16.5" customHeight="1" thickBot="1">
      <c r="A34" s="207" t="s">
        <v>10</v>
      </c>
      <c r="B34" s="211">
        <f t="shared" si="0"/>
        <v>90</v>
      </c>
      <c r="C34" s="211" t="s">
        <v>3</v>
      </c>
      <c r="D34" s="211">
        <f t="shared" si="1"/>
        <v>200</v>
      </c>
      <c r="E34" s="211" t="s">
        <v>3</v>
      </c>
      <c r="F34" s="209">
        <f t="shared" si="2"/>
        <v>1850</v>
      </c>
      <c r="G34" s="211" t="s">
        <v>3</v>
      </c>
      <c r="H34" s="208">
        <v>2</v>
      </c>
      <c r="I34" s="210" t="s">
        <v>529</v>
      </c>
      <c r="J34" s="103">
        <v>90</v>
      </c>
      <c r="K34" s="66">
        <v>200</v>
      </c>
      <c r="L34" s="66">
        <v>1850</v>
      </c>
      <c r="M34" s="164">
        <v>16.352050348385262</v>
      </c>
      <c r="N34" s="78">
        <v>3518.5410000000002</v>
      </c>
      <c r="O34" s="113">
        <v>63477.713814885057</v>
      </c>
      <c r="P34" s="113">
        <v>66601.468519794507</v>
      </c>
      <c r="Q34" s="110">
        <v>19654.773419321165</v>
      </c>
      <c r="R34" s="113">
        <v>83132.48723420623</v>
      </c>
      <c r="S34" s="113">
        <v>86256.241939115673</v>
      </c>
      <c r="U34" s="7" t="s">
        <v>6357</v>
      </c>
    </row>
    <row r="35" spans="1:21" ht="16.5" customHeight="1" thickBot="1">
      <c r="A35" s="207" t="s">
        <v>10</v>
      </c>
      <c r="B35" s="211">
        <f t="shared" si="0"/>
        <v>90</v>
      </c>
      <c r="C35" s="211" t="s">
        <v>3</v>
      </c>
      <c r="D35" s="211">
        <f t="shared" si="1"/>
        <v>200</v>
      </c>
      <c r="E35" s="211" t="s">
        <v>3</v>
      </c>
      <c r="F35" s="209">
        <f t="shared" si="2"/>
        <v>1900</v>
      </c>
      <c r="G35" s="211" t="s">
        <v>3</v>
      </c>
      <c r="H35" s="208">
        <v>2</v>
      </c>
      <c r="I35" s="210" t="s">
        <v>529</v>
      </c>
      <c r="J35" s="103">
        <v>90</v>
      </c>
      <c r="K35" s="66">
        <v>200</v>
      </c>
      <c r="L35" s="66">
        <v>1900</v>
      </c>
      <c r="M35" s="164">
        <v>16.724449467415919</v>
      </c>
      <c r="N35" s="78">
        <v>3635.8256999999999</v>
      </c>
      <c r="O35" s="113">
        <v>64545.824586516719</v>
      </c>
      <c r="P35" s="113">
        <v>67769.30672214205</v>
      </c>
      <c r="Q35" s="110">
        <v>20045.449735534687</v>
      </c>
      <c r="R35" s="113">
        <v>84591.274322051409</v>
      </c>
      <c r="S35" s="113">
        <v>87814.756457676733</v>
      </c>
      <c r="U35" s="7" t="s">
        <v>6358</v>
      </c>
    </row>
    <row r="36" spans="1:21" ht="16.5" customHeight="1" thickBot="1">
      <c r="A36" s="207" t="s">
        <v>10</v>
      </c>
      <c r="B36" s="211">
        <f t="shared" si="0"/>
        <v>90</v>
      </c>
      <c r="C36" s="211" t="s">
        <v>3</v>
      </c>
      <c r="D36" s="211">
        <f t="shared" si="1"/>
        <v>200</v>
      </c>
      <c r="E36" s="211" t="s">
        <v>3</v>
      </c>
      <c r="F36" s="209">
        <f t="shared" si="2"/>
        <v>1950</v>
      </c>
      <c r="G36" s="211" t="s">
        <v>3</v>
      </c>
      <c r="H36" s="208">
        <v>2</v>
      </c>
      <c r="I36" s="210" t="s">
        <v>529</v>
      </c>
      <c r="J36" s="103">
        <v>90</v>
      </c>
      <c r="K36" s="66">
        <v>200</v>
      </c>
      <c r="L36" s="66">
        <v>1950</v>
      </c>
      <c r="M36" s="164">
        <v>17.250098586446576</v>
      </c>
      <c r="N36" s="78">
        <v>3753.1104</v>
      </c>
      <c r="O36" s="113">
        <v>65787.464690656299</v>
      </c>
      <c r="P36" s="113">
        <v>69099.61961968508</v>
      </c>
      <c r="Q36" s="110">
        <v>20436.126051748208</v>
      </c>
      <c r="R36" s="113">
        <v>86223.590742404514</v>
      </c>
      <c r="S36" s="113">
        <v>89535.74567143328</v>
      </c>
      <c r="U36" s="7" t="s">
        <v>6359</v>
      </c>
    </row>
    <row r="37" spans="1:21" ht="16.5" customHeight="1" thickBot="1">
      <c r="A37" s="207" t="s">
        <v>10</v>
      </c>
      <c r="B37" s="211">
        <f t="shared" si="0"/>
        <v>90</v>
      </c>
      <c r="C37" s="211" t="s">
        <v>3</v>
      </c>
      <c r="D37" s="211">
        <f t="shared" si="1"/>
        <v>200</v>
      </c>
      <c r="E37" s="211" t="s">
        <v>3</v>
      </c>
      <c r="F37" s="209">
        <f t="shared" si="2"/>
        <v>2000</v>
      </c>
      <c r="G37" s="211" t="s">
        <v>3</v>
      </c>
      <c r="H37" s="208">
        <v>2</v>
      </c>
      <c r="I37" s="210" t="s">
        <v>529</v>
      </c>
      <c r="J37" s="103">
        <v>90</v>
      </c>
      <c r="K37" s="66">
        <v>200</v>
      </c>
      <c r="L37" s="66">
        <v>2000</v>
      </c>
      <c r="M37" s="164">
        <v>17.731100105477235</v>
      </c>
      <c r="N37" s="78">
        <v>3870.3950999999993</v>
      </c>
      <c r="O37" s="113">
        <v>66889.613344457175</v>
      </c>
      <c r="P37" s="113">
        <v>70506.707660806394</v>
      </c>
      <c r="Q37" s="110">
        <v>21078.136658774263</v>
      </c>
      <c r="R37" s="113">
        <v>87967.750003231442</v>
      </c>
      <c r="S37" s="113">
        <v>91584.844319580661</v>
      </c>
      <c r="U37" s="7" t="s">
        <v>6360</v>
      </c>
    </row>
    <row r="38" spans="1:21" ht="16.5" customHeight="1" thickBot="1">
      <c r="A38" s="207" t="s">
        <v>10</v>
      </c>
      <c r="B38" s="211">
        <f t="shared" si="0"/>
        <v>90</v>
      </c>
      <c r="C38" s="211" t="s">
        <v>3</v>
      </c>
      <c r="D38" s="211">
        <f t="shared" si="1"/>
        <v>200</v>
      </c>
      <c r="E38" s="211" t="s">
        <v>3</v>
      </c>
      <c r="F38" s="209">
        <f t="shared" si="2"/>
        <v>2050</v>
      </c>
      <c r="G38" s="211" t="s">
        <v>3</v>
      </c>
      <c r="H38" s="208">
        <v>2</v>
      </c>
      <c r="I38" s="210" t="s">
        <v>529</v>
      </c>
      <c r="J38" s="103">
        <v>90</v>
      </c>
      <c r="K38" s="66">
        <v>200</v>
      </c>
      <c r="L38" s="66">
        <v>2050</v>
      </c>
      <c r="M38" s="164">
        <v>18.103499224507896</v>
      </c>
      <c r="N38" s="78">
        <v>3987.6797999999999</v>
      </c>
      <c r="O38" s="113">
        <v>70103.842373907508</v>
      </c>
      <c r="P38" s="113">
        <v>73683.944297022099</v>
      </c>
      <c r="Q38" s="110">
        <v>21468.812974987781</v>
      </c>
      <c r="R38" s="113">
        <v>91572.655348895292</v>
      </c>
      <c r="S38" s="113">
        <v>95152.757272009883</v>
      </c>
      <c r="U38" s="7" t="s">
        <v>6361</v>
      </c>
    </row>
    <row r="39" spans="1:21" ht="16.5" customHeight="1" thickBot="1">
      <c r="A39" s="207" t="s">
        <v>10</v>
      </c>
      <c r="B39" s="208">
        <f t="shared" si="0"/>
        <v>90</v>
      </c>
      <c r="C39" s="208" t="s">
        <v>3</v>
      </c>
      <c r="D39" s="208">
        <f t="shared" si="1"/>
        <v>200</v>
      </c>
      <c r="E39" s="208" t="s">
        <v>3</v>
      </c>
      <c r="F39" s="209">
        <f t="shared" si="2"/>
        <v>2100</v>
      </c>
      <c r="G39" s="208" t="s">
        <v>3</v>
      </c>
      <c r="H39" s="208">
        <v>2</v>
      </c>
      <c r="I39" s="210" t="s">
        <v>529</v>
      </c>
      <c r="J39" s="103">
        <v>90</v>
      </c>
      <c r="K39" s="66">
        <v>200</v>
      </c>
      <c r="L39" s="66">
        <v>2100</v>
      </c>
      <c r="M39" s="164">
        <v>18.492938343538555</v>
      </c>
      <c r="N39" s="78">
        <v>4104.9645</v>
      </c>
      <c r="O39" s="113">
        <v>71048.647379356102</v>
      </c>
      <c r="P39" s="113">
        <v>74736.332059318054</v>
      </c>
      <c r="Q39" s="110">
        <v>22110.823428985073</v>
      </c>
      <c r="R39" s="113">
        <v>93159.470808341168</v>
      </c>
      <c r="S39" s="113">
        <v>96847.155488303135</v>
      </c>
      <c r="U39" s="7" t="s">
        <v>6362</v>
      </c>
    </row>
    <row r="40" spans="1:21" ht="16.5" customHeight="1" thickBot="1">
      <c r="A40" s="207" t="s">
        <v>10</v>
      </c>
      <c r="B40" s="211">
        <f t="shared" si="0"/>
        <v>90</v>
      </c>
      <c r="C40" s="211" t="s">
        <v>3</v>
      </c>
      <c r="D40" s="211">
        <f t="shared" si="1"/>
        <v>200</v>
      </c>
      <c r="E40" s="211" t="s">
        <v>3</v>
      </c>
      <c r="F40" s="209">
        <f t="shared" si="2"/>
        <v>2150</v>
      </c>
      <c r="G40" s="211" t="s">
        <v>3</v>
      </c>
      <c r="H40" s="208">
        <v>2</v>
      </c>
      <c r="I40" s="210" t="s">
        <v>529</v>
      </c>
      <c r="J40" s="103">
        <v>90</v>
      </c>
      <c r="K40" s="66">
        <v>200</v>
      </c>
      <c r="L40" s="66">
        <v>2150</v>
      </c>
      <c r="M40" s="164">
        <v>18.98933746256921</v>
      </c>
      <c r="N40" s="78">
        <v>4222.2492000000002</v>
      </c>
      <c r="O40" s="113">
        <v>72154.355260342083</v>
      </c>
      <c r="P40" s="113">
        <v>75939.372310165505</v>
      </c>
      <c r="Q40" s="110">
        <v>22501.499745198591</v>
      </c>
      <c r="R40" s="113">
        <v>94655.855005540681</v>
      </c>
      <c r="S40" s="113">
        <v>98440.872055364103</v>
      </c>
      <c r="U40" s="7" t="s">
        <v>6363</v>
      </c>
    </row>
    <row r="41" spans="1:21" ht="16.5" customHeight="1" thickBot="1">
      <c r="A41" s="207" t="s">
        <v>10</v>
      </c>
      <c r="B41" s="211">
        <f t="shared" si="0"/>
        <v>90</v>
      </c>
      <c r="C41" s="211" t="s">
        <v>3</v>
      </c>
      <c r="D41" s="211">
        <f t="shared" si="1"/>
        <v>200</v>
      </c>
      <c r="E41" s="211" t="s">
        <v>3</v>
      </c>
      <c r="F41" s="209">
        <f t="shared" si="2"/>
        <v>2200</v>
      </c>
      <c r="G41" s="211" t="s">
        <v>3</v>
      </c>
      <c r="H41" s="208">
        <v>2</v>
      </c>
      <c r="I41" s="210" t="s">
        <v>529</v>
      </c>
      <c r="J41" s="103">
        <v>90</v>
      </c>
      <c r="K41" s="66">
        <v>200</v>
      </c>
      <c r="L41" s="66">
        <v>2200</v>
      </c>
      <c r="M41" s="164">
        <v>19.378776581599869</v>
      </c>
      <c r="N41" s="78">
        <v>4339.5338999999994</v>
      </c>
      <c r="O41" s="113">
        <v>73260.010721324579</v>
      </c>
      <c r="P41" s="113">
        <v>77142.363522945176</v>
      </c>
      <c r="Q41" s="110">
        <v>23143.510199195884</v>
      </c>
      <c r="R41" s="113">
        <v>96403.520920520459</v>
      </c>
      <c r="S41" s="113">
        <v>100285.87372214106</v>
      </c>
      <c r="U41" s="7" t="s">
        <v>6364</v>
      </c>
    </row>
    <row r="42" spans="1:21" ht="16.5" customHeight="1" thickBot="1">
      <c r="A42" s="207" t="s">
        <v>10</v>
      </c>
      <c r="B42" s="211">
        <f t="shared" si="0"/>
        <v>90</v>
      </c>
      <c r="C42" s="211" t="s">
        <v>3</v>
      </c>
      <c r="D42" s="211">
        <f t="shared" si="1"/>
        <v>200</v>
      </c>
      <c r="E42" s="211" t="s">
        <v>3</v>
      </c>
      <c r="F42" s="209">
        <f t="shared" si="2"/>
        <v>2250</v>
      </c>
      <c r="G42" s="211" t="s">
        <v>3</v>
      </c>
      <c r="H42" s="208">
        <v>2</v>
      </c>
      <c r="I42" s="210" t="s">
        <v>529</v>
      </c>
      <c r="J42" s="103">
        <v>90</v>
      </c>
      <c r="K42" s="66">
        <v>200</v>
      </c>
      <c r="L42" s="66">
        <v>2250</v>
      </c>
      <c r="M42" s="164">
        <v>19.751175700630526</v>
      </c>
      <c r="N42" s="78">
        <v>4456.8185999999996</v>
      </c>
      <c r="O42" s="113">
        <v>74714.042241356103</v>
      </c>
      <c r="P42" s="113">
        <v>78671.537361979645</v>
      </c>
      <c r="Q42" s="110">
        <v>23534.186668438168</v>
      </c>
      <c r="R42" s="113">
        <v>98248.22890979427</v>
      </c>
      <c r="S42" s="113">
        <v>102205.72403041781</v>
      </c>
      <c r="U42" s="7" t="s">
        <v>6365</v>
      </c>
    </row>
    <row r="43" spans="1:21" ht="16.5" customHeight="1" thickBot="1">
      <c r="A43" s="207" t="s">
        <v>10</v>
      </c>
      <c r="B43" s="211">
        <f t="shared" si="0"/>
        <v>90</v>
      </c>
      <c r="C43" s="211" t="s">
        <v>3</v>
      </c>
      <c r="D43" s="211">
        <f t="shared" si="1"/>
        <v>200</v>
      </c>
      <c r="E43" s="211" t="s">
        <v>3</v>
      </c>
      <c r="F43" s="209">
        <f t="shared" si="2"/>
        <v>2300</v>
      </c>
      <c r="G43" s="211" t="s">
        <v>3</v>
      </c>
      <c r="H43" s="208">
        <v>2</v>
      </c>
      <c r="I43" s="210" t="s">
        <v>529</v>
      </c>
      <c r="J43" s="103">
        <v>90</v>
      </c>
      <c r="K43" s="66">
        <v>200</v>
      </c>
      <c r="L43" s="66">
        <v>2300</v>
      </c>
      <c r="M43" s="164">
        <v>20.123574819661187</v>
      </c>
      <c r="N43" s="78">
        <v>4574.1032999999998</v>
      </c>
      <c r="O43" s="113">
        <v>75554.930768415084</v>
      </c>
      <c r="P43" s="113">
        <v>79626.628785036868</v>
      </c>
      <c r="Q43" s="110">
        <v>23924.862984651689</v>
      </c>
      <c r="R43" s="113">
        <v>99479.79375306677</v>
      </c>
      <c r="S43" s="113">
        <v>103551.49176968855</v>
      </c>
      <c r="U43" s="7" t="s">
        <v>6366</v>
      </c>
    </row>
    <row r="44" spans="1:21" ht="16.5" customHeight="1" thickBot="1">
      <c r="A44" s="207" t="s">
        <v>10</v>
      </c>
      <c r="B44" s="211">
        <f t="shared" si="0"/>
        <v>90</v>
      </c>
      <c r="C44" s="211" t="s">
        <v>3</v>
      </c>
      <c r="D44" s="211">
        <f t="shared" si="1"/>
        <v>200</v>
      </c>
      <c r="E44" s="211" t="s">
        <v>3</v>
      </c>
      <c r="F44" s="209">
        <f t="shared" si="2"/>
        <v>2350</v>
      </c>
      <c r="G44" s="211" t="s">
        <v>3</v>
      </c>
      <c r="H44" s="208">
        <v>2</v>
      </c>
      <c r="I44" s="210" t="s">
        <v>529</v>
      </c>
      <c r="J44" s="103">
        <v>90</v>
      </c>
      <c r="K44" s="66">
        <v>200</v>
      </c>
      <c r="L44" s="66">
        <v>2350</v>
      </c>
      <c r="M44" s="164">
        <v>20.513013938691842</v>
      </c>
      <c r="N44" s="78">
        <v>4691.3879999999999</v>
      </c>
      <c r="O44" s="113">
        <v>76395.766875470581</v>
      </c>
      <c r="P44" s="113">
        <v>80581.671039951863</v>
      </c>
      <c r="Q44" s="110">
        <v>24566.873438648978</v>
      </c>
      <c r="R44" s="113">
        <v>100962.64031411956</v>
      </c>
      <c r="S44" s="113">
        <v>105148.54447860084</v>
      </c>
      <c r="U44" s="7" t="s">
        <v>6367</v>
      </c>
    </row>
    <row r="45" spans="1:21" ht="16.5" customHeight="1" thickBot="1">
      <c r="A45" s="207" t="s">
        <v>10</v>
      </c>
      <c r="B45" s="211">
        <f t="shared" si="0"/>
        <v>90</v>
      </c>
      <c r="C45" s="211" t="s">
        <v>3</v>
      </c>
      <c r="D45" s="211">
        <f t="shared" si="1"/>
        <v>200</v>
      </c>
      <c r="E45" s="211" t="s">
        <v>3</v>
      </c>
      <c r="F45" s="209">
        <f t="shared" si="2"/>
        <v>2400</v>
      </c>
      <c r="G45" s="211" t="s">
        <v>3</v>
      </c>
      <c r="H45" s="208">
        <v>2</v>
      </c>
      <c r="I45" s="210" t="s">
        <v>529</v>
      </c>
      <c r="J45" s="103">
        <v>90</v>
      </c>
      <c r="K45" s="66">
        <v>200</v>
      </c>
      <c r="L45" s="66">
        <v>2400</v>
      </c>
      <c r="M45" s="164">
        <v>20.885413057722499</v>
      </c>
      <c r="N45" s="78">
        <v>4808.6727000000001</v>
      </c>
      <c r="O45" s="113">
        <v>77236.550562522592</v>
      </c>
      <c r="P45" s="113">
        <v>81536.664386873512</v>
      </c>
      <c r="Q45" s="110">
        <v>24957.549754862499</v>
      </c>
      <c r="R45" s="113">
        <v>102194.10031738509</v>
      </c>
      <c r="S45" s="113">
        <v>106494.21414173601</v>
      </c>
      <c r="U45" s="7" t="s">
        <v>6368</v>
      </c>
    </row>
    <row r="46" spans="1:21" ht="16.5" customHeight="1" thickBot="1">
      <c r="A46" s="207" t="s">
        <v>10</v>
      </c>
      <c r="B46" s="211">
        <f t="shared" si="0"/>
        <v>90</v>
      </c>
      <c r="C46" s="211" t="s">
        <v>3</v>
      </c>
      <c r="D46" s="211">
        <f t="shared" si="1"/>
        <v>200</v>
      </c>
      <c r="E46" s="211" t="s">
        <v>3</v>
      </c>
      <c r="F46" s="209">
        <f t="shared" si="2"/>
        <v>2450</v>
      </c>
      <c r="G46" s="211" t="s">
        <v>3</v>
      </c>
      <c r="H46" s="208">
        <v>2</v>
      </c>
      <c r="I46" s="210" t="s">
        <v>529</v>
      </c>
      <c r="J46" s="103">
        <v>90</v>
      </c>
      <c r="K46" s="66">
        <v>200</v>
      </c>
      <c r="L46" s="66">
        <v>2450</v>
      </c>
      <c r="M46" s="164">
        <v>21.924415309553162</v>
      </c>
      <c r="N46" s="78">
        <v>4925.9574000000002</v>
      </c>
      <c r="O46" s="113">
        <v>78533.580139782905</v>
      </c>
      <c r="P46" s="113">
        <v>82999.531344019924</v>
      </c>
      <c r="Q46" s="110">
        <v>25599.560361888554</v>
      </c>
      <c r="R46" s="113">
        <v>104133.14050167146</v>
      </c>
      <c r="S46" s="113">
        <v>108599.09170590847</v>
      </c>
      <c r="U46" s="7" t="s">
        <v>6369</v>
      </c>
    </row>
    <row r="47" spans="1:21" ht="16.5" customHeight="1" thickBot="1">
      <c r="A47" s="207" t="s">
        <v>10</v>
      </c>
      <c r="B47" s="211">
        <f t="shared" si="0"/>
        <v>90</v>
      </c>
      <c r="C47" s="211" t="s">
        <v>3</v>
      </c>
      <c r="D47" s="211">
        <f t="shared" si="1"/>
        <v>200</v>
      </c>
      <c r="E47" s="211" t="s">
        <v>3</v>
      </c>
      <c r="F47" s="209">
        <f t="shared" si="2"/>
        <v>2500</v>
      </c>
      <c r="G47" s="211" t="s">
        <v>3</v>
      </c>
      <c r="H47" s="208">
        <v>2</v>
      </c>
      <c r="I47" s="210" t="s">
        <v>529</v>
      </c>
      <c r="J47" s="103">
        <v>90</v>
      </c>
      <c r="K47" s="66">
        <v>200</v>
      </c>
      <c r="L47" s="66">
        <v>2500</v>
      </c>
      <c r="M47" s="164">
        <v>22.313814428583818</v>
      </c>
      <c r="N47" s="78">
        <v>5043.2420999999995</v>
      </c>
      <c r="O47" s="113">
        <v>79374.258986827932</v>
      </c>
      <c r="P47" s="113">
        <v>83954.426484731564</v>
      </c>
      <c r="Q47" s="110">
        <v>25990.236678102072</v>
      </c>
      <c r="R47" s="113">
        <v>105364.49566493</v>
      </c>
      <c r="S47" s="113">
        <v>109944.66316283363</v>
      </c>
      <c r="U47" s="7" t="s">
        <v>6370</v>
      </c>
    </row>
    <row r="48" spans="1:21" ht="16.5" customHeight="1" thickBot="1">
      <c r="A48" s="207" t="s">
        <v>10</v>
      </c>
      <c r="B48" s="211">
        <f t="shared" si="0"/>
        <v>90</v>
      </c>
      <c r="C48" s="211" t="s">
        <v>3</v>
      </c>
      <c r="D48" s="211">
        <f t="shared" si="1"/>
        <v>200</v>
      </c>
      <c r="E48" s="211" t="s">
        <v>3</v>
      </c>
      <c r="F48" s="209">
        <f t="shared" si="2"/>
        <v>2550</v>
      </c>
      <c r="G48" s="211" t="s">
        <v>3</v>
      </c>
      <c r="H48" s="208">
        <v>2</v>
      </c>
      <c r="I48" s="210" t="s">
        <v>529</v>
      </c>
      <c r="J48" s="103">
        <v>90</v>
      </c>
      <c r="K48" s="66">
        <v>200</v>
      </c>
      <c r="L48" s="66">
        <v>2550</v>
      </c>
      <c r="M48" s="164">
        <v>22.703253547614473</v>
      </c>
      <c r="N48" s="78">
        <v>5160.5268000000005</v>
      </c>
      <c r="O48" s="113">
        <v>83805.711325043667</v>
      </c>
      <c r="P48" s="113">
        <v>88271.342285983905</v>
      </c>
      <c r="Q48" s="110">
        <v>26632.247132099365</v>
      </c>
      <c r="R48" s="113">
        <v>110437.95845714303</v>
      </c>
      <c r="S48" s="113">
        <v>114903.58941808327</v>
      </c>
      <c r="U48" s="7" t="s">
        <v>6371</v>
      </c>
    </row>
    <row r="49" spans="1:21" ht="16.5" customHeight="1" thickBot="1">
      <c r="A49" s="207" t="s">
        <v>10</v>
      </c>
      <c r="B49" s="208">
        <f t="shared" si="0"/>
        <v>90</v>
      </c>
      <c r="C49" s="208" t="s">
        <v>3</v>
      </c>
      <c r="D49" s="208">
        <f t="shared" si="1"/>
        <v>200</v>
      </c>
      <c r="E49" s="208" t="s">
        <v>3</v>
      </c>
      <c r="F49" s="209">
        <f t="shared" si="2"/>
        <v>2600</v>
      </c>
      <c r="G49" s="208" t="s">
        <v>3</v>
      </c>
      <c r="H49" s="208">
        <v>2</v>
      </c>
      <c r="I49" s="210" t="s">
        <v>529</v>
      </c>
      <c r="J49" s="103">
        <v>90</v>
      </c>
      <c r="K49" s="66">
        <v>200</v>
      </c>
      <c r="L49" s="66">
        <v>2600</v>
      </c>
      <c r="M49" s="164">
        <v>23.075652666645134</v>
      </c>
      <c r="N49" s="78">
        <v>5277.8114999999998</v>
      </c>
      <c r="O49" s="113">
        <v>84941.24319630512</v>
      </c>
      <c r="P49" s="113">
        <v>89502.306529610491</v>
      </c>
      <c r="Q49" s="110">
        <v>27022.923448312882</v>
      </c>
      <c r="R49" s="113">
        <v>111964.166644618</v>
      </c>
      <c r="S49" s="113">
        <v>116525.22997792337</v>
      </c>
      <c r="U49" s="7" t="s">
        <v>6372</v>
      </c>
    </row>
    <row r="50" spans="1:21" ht="16.5" customHeight="1" thickBot="1">
      <c r="A50" s="207" t="s">
        <v>10</v>
      </c>
      <c r="B50" s="211">
        <f t="shared" si="0"/>
        <v>90</v>
      </c>
      <c r="C50" s="211" t="s">
        <v>3</v>
      </c>
      <c r="D50" s="211">
        <f t="shared" si="1"/>
        <v>200</v>
      </c>
      <c r="E50" s="211" t="s">
        <v>3</v>
      </c>
      <c r="F50" s="209">
        <f t="shared" si="2"/>
        <v>2650</v>
      </c>
      <c r="G50" s="211" t="s">
        <v>3</v>
      </c>
      <c r="H50" s="208">
        <v>2</v>
      </c>
      <c r="I50" s="210" t="s">
        <v>529</v>
      </c>
      <c r="J50" s="103">
        <v>90</v>
      </c>
      <c r="K50" s="66">
        <v>200</v>
      </c>
      <c r="L50" s="66">
        <v>2650</v>
      </c>
      <c r="M50" s="164">
        <v>23.572091785675795</v>
      </c>
      <c r="N50" s="78">
        <v>5395.096199999999</v>
      </c>
      <c r="O50" s="113">
        <v>85607.399462339294</v>
      </c>
      <c r="P50" s="113">
        <v>90293.797072881032</v>
      </c>
      <c r="Q50" s="110">
        <v>27664.933902310175</v>
      </c>
      <c r="R50" s="113">
        <v>113272.33336464947</v>
      </c>
      <c r="S50" s="113">
        <v>117958.73097519121</v>
      </c>
      <c r="U50" s="7" t="s">
        <v>6373</v>
      </c>
    </row>
    <row r="51" spans="1:21" ht="16.5" customHeight="1" thickBot="1">
      <c r="A51" s="207" t="s">
        <v>10</v>
      </c>
      <c r="B51" s="211">
        <f t="shared" si="0"/>
        <v>90</v>
      </c>
      <c r="C51" s="211" t="s">
        <v>3</v>
      </c>
      <c r="D51" s="211">
        <f t="shared" si="1"/>
        <v>200</v>
      </c>
      <c r="E51" s="211" t="s">
        <v>3</v>
      </c>
      <c r="F51" s="209">
        <f t="shared" si="2"/>
        <v>2700</v>
      </c>
      <c r="G51" s="211" t="s">
        <v>3</v>
      </c>
      <c r="H51" s="208">
        <v>2</v>
      </c>
      <c r="I51" s="210" t="s">
        <v>529</v>
      </c>
      <c r="J51" s="103">
        <v>90</v>
      </c>
      <c r="K51" s="66">
        <v>200</v>
      </c>
      <c r="L51" s="66">
        <v>2700</v>
      </c>
      <c r="M51" s="164">
        <v>23.983740904706448</v>
      </c>
      <c r="N51" s="78">
        <v>5512.3809000000001</v>
      </c>
      <c r="O51" s="113">
        <v>86312.06687089047</v>
      </c>
      <c r="P51" s="113">
        <v>91121.345554534841</v>
      </c>
      <c r="Q51" s="110">
        <v>28055.610371552459</v>
      </c>
      <c r="R51" s="113">
        <v>114367.67724244294</v>
      </c>
      <c r="S51" s="113">
        <v>119176.95592608731</v>
      </c>
      <c r="U51" s="7" t="s">
        <v>6374</v>
      </c>
    </row>
    <row r="52" spans="1:21" ht="16.5" customHeight="1" thickBot="1">
      <c r="A52" s="207" t="s">
        <v>10</v>
      </c>
      <c r="B52" s="211">
        <f t="shared" si="0"/>
        <v>90</v>
      </c>
      <c r="C52" s="211" t="s">
        <v>3</v>
      </c>
      <c r="D52" s="211">
        <f t="shared" si="1"/>
        <v>200</v>
      </c>
      <c r="E52" s="211" t="s">
        <v>3</v>
      </c>
      <c r="F52" s="209">
        <f t="shared" si="2"/>
        <v>2750</v>
      </c>
      <c r="G52" s="211" t="s">
        <v>3</v>
      </c>
      <c r="H52" s="208">
        <v>2</v>
      </c>
      <c r="I52" s="210" t="s">
        <v>529</v>
      </c>
      <c r="J52" s="103">
        <v>90</v>
      </c>
      <c r="K52" s="66">
        <v>200</v>
      </c>
      <c r="L52" s="66">
        <v>2750</v>
      </c>
      <c r="M52" s="164">
        <v>24.356140023737108</v>
      </c>
      <c r="N52" s="78">
        <v>5629.6656000000003</v>
      </c>
      <c r="O52" s="113">
        <v>87067.230221665508</v>
      </c>
      <c r="P52" s="113">
        <v>91996.17297710634</v>
      </c>
      <c r="Q52" s="110">
        <v>28446.286687765976</v>
      </c>
      <c r="R52" s="113">
        <v>115513.51690943149</v>
      </c>
      <c r="S52" s="113">
        <v>120442.45966487232</v>
      </c>
      <c r="U52" s="7" t="s">
        <v>6375</v>
      </c>
    </row>
    <row r="53" spans="1:21" ht="16.5" customHeight="1" thickBot="1">
      <c r="A53" s="207" t="s">
        <v>10</v>
      </c>
      <c r="B53" s="211">
        <f t="shared" si="0"/>
        <v>90</v>
      </c>
      <c r="C53" s="211" t="s">
        <v>3</v>
      </c>
      <c r="D53" s="211">
        <f t="shared" si="1"/>
        <v>200</v>
      </c>
      <c r="E53" s="211" t="s">
        <v>3</v>
      </c>
      <c r="F53" s="209">
        <f t="shared" si="2"/>
        <v>2800</v>
      </c>
      <c r="G53" s="211" t="s">
        <v>3</v>
      </c>
      <c r="H53" s="208">
        <v>2</v>
      </c>
      <c r="I53" s="210" t="s">
        <v>529</v>
      </c>
      <c r="J53" s="103">
        <v>90</v>
      </c>
      <c r="K53" s="66">
        <v>200</v>
      </c>
      <c r="L53" s="66">
        <v>2800</v>
      </c>
      <c r="M53" s="164">
        <v>24.745579142767767</v>
      </c>
      <c r="N53" s="78">
        <v>5746.9502999999995</v>
      </c>
      <c r="O53" s="113">
        <v>87732.040997585209</v>
      </c>
      <c r="P53" s="113">
        <v>92786.403749325182</v>
      </c>
      <c r="Q53" s="110">
        <v>29088.297141763269</v>
      </c>
      <c r="R53" s="113">
        <v>116820.33813934847</v>
      </c>
      <c r="S53" s="113">
        <v>121874.70089108845</v>
      </c>
      <c r="U53" s="7" t="s">
        <v>6376</v>
      </c>
    </row>
    <row r="54" spans="1:21" ht="16.5" customHeight="1" thickBot="1">
      <c r="A54" s="207" t="s">
        <v>10</v>
      </c>
      <c r="B54" s="211">
        <f t="shared" si="0"/>
        <v>90</v>
      </c>
      <c r="C54" s="211" t="s">
        <v>3</v>
      </c>
      <c r="D54" s="211">
        <f t="shared" si="1"/>
        <v>200</v>
      </c>
      <c r="E54" s="211" t="s">
        <v>3</v>
      </c>
      <c r="F54" s="209">
        <f t="shared" si="2"/>
        <v>2850</v>
      </c>
      <c r="G54" s="211" t="s">
        <v>3</v>
      </c>
      <c r="H54" s="208">
        <v>2</v>
      </c>
      <c r="I54" s="210" t="s">
        <v>529</v>
      </c>
      <c r="J54" s="103">
        <v>90</v>
      </c>
      <c r="K54" s="66">
        <v>200</v>
      </c>
      <c r="L54" s="66">
        <v>2850</v>
      </c>
      <c r="M54" s="164">
        <v>25.117978261798424</v>
      </c>
      <c r="N54" s="78">
        <v>5864.2349999999997</v>
      </c>
      <c r="O54" s="113">
        <v>88396.799223426962</v>
      </c>
      <c r="P54" s="113">
        <v>93576.585483476258</v>
      </c>
      <c r="Q54" s="110">
        <v>29478.973457976786</v>
      </c>
      <c r="R54" s="113">
        <v>117875.77268140375</v>
      </c>
      <c r="S54" s="113">
        <v>123055.55894145304</v>
      </c>
      <c r="U54" s="7" t="s">
        <v>6377</v>
      </c>
    </row>
    <row r="55" spans="1:21" ht="16.5" customHeight="1" thickBot="1">
      <c r="A55" s="207" t="s">
        <v>10</v>
      </c>
      <c r="B55" s="211">
        <f t="shared" si="0"/>
        <v>90</v>
      </c>
      <c r="C55" s="211" t="s">
        <v>3</v>
      </c>
      <c r="D55" s="211">
        <f t="shared" si="1"/>
        <v>200</v>
      </c>
      <c r="E55" s="211" t="s">
        <v>3</v>
      </c>
      <c r="F55" s="209">
        <f t="shared" si="2"/>
        <v>2900</v>
      </c>
      <c r="G55" s="211" t="s">
        <v>3</v>
      </c>
      <c r="H55" s="208">
        <v>2</v>
      </c>
      <c r="I55" s="210" t="s">
        <v>529</v>
      </c>
      <c r="J55" s="103">
        <v>90</v>
      </c>
      <c r="K55" s="66">
        <v>200</v>
      </c>
      <c r="L55" s="66">
        <v>2900</v>
      </c>
      <c r="M55" s="164">
        <v>25.683417380829077</v>
      </c>
      <c r="N55" s="78">
        <v>5981.5196999999998</v>
      </c>
      <c r="O55" s="113">
        <v>89061.505159339664</v>
      </c>
      <c r="P55" s="113">
        <v>94366.718179559524</v>
      </c>
      <c r="Q55" s="110">
        <v>30120.983911974079</v>
      </c>
      <c r="R55" s="113">
        <v>119182.48907131374</v>
      </c>
      <c r="S55" s="113">
        <v>124487.7020915336</v>
      </c>
      <c r="U55" s="7" t="s">
        <v>6378</v>
      </c>
    </row>
    <row r="56" spans="1:21" ht="16.5" customHeight="1" thickBot="1">
      <c r="A56" s="207" t="s">
        <v>10</v>
      </c>
      <c r="B56" s="211">
        <f t="shared" si="0"/>
        <v>90</v>
      </c>
      <c r="C56" s="211" t="s">
        <v>3</v>
      </c>
      <c r="D56" s="211">
        <f t="shared" si="1"/>
        <v>200</v>
      </c>
      <c r="E56" s="211" t="s">
        <v>3</v>
      </c>
      <c r="F56" s="209">
        <f t="shared" si="2"/>
        <v>2950</v>
      </c>
      <c r="G56" s="211" t="s">
        <v>3</v>
      </c>
      <c r="H56" s="208">
        <v>2</v>
      </c>
      <c r="I56" s="210" t="s">
        <v>529</v>
      </c>
      <c r="J56" s="103">
        <v>90</v>
      </c>
      <c r="K56" s="66">
        <v>200</v>
      </c>
      <c r="L56" s="66">
        <v>2950</v>
      </c>
      <c r="M56" s="164">
        <v>26.055816499859738</v>
      </c>
      <c r="N56" s="78">
        <v>6098.8044</v>
      </c>
      <c r="O56" s="113">
        <v>89726.15867524888</v>
      </c>
      <c r="P56" s="113">
        <v>95156.801707500563</v>
      </c>
      <c r="Q56" s="110">
        <v>30511.660381216363</v>
      </c>
      <c r="R56" s="113">
        <v>120237.81905646525</v>
      </c>
      <c r="S56" s="113">
        <v>125668.46208871693</v>
      </c>
      <c r="U56" s="7" t="s">
        <v>6379</v>
      </c>
    </row>
    <row r="57" spans="1:21" ht="16.5" customHeight="1" thickBot="1">
      <c r="A57" s="212" t="s">
        <v>10</v>
      </c>
      <c r="B57" s="213">
        <f t="shared" si="0"/>
        <v>90</v>
      </c>
      <c r="C57" s="213" t="s">
        <v>3</v>
      </c>
      <c r="D57" s="213">
        <f t="shared" si="1"/>
        <v>200</v>
      </c>
      <c r="E57" s="213" t="s">
        <v>3</v>
      </c>
      <c r="F57" s="214">
        <f t="shared" si="2"/>
        <v>3000</v>
      </c>
      <c r="G57" s="213" t="s">
        <v>3</v>
      </c>
      <c r="H57" s="215">
        <v>2</v>
      </c>
      <c r="I57" s="210" t="s">
        <v>529</v>
      </c>
      <c r="J57" s="287">
        <v>90</v>
      </c>
      <c r="K57" s="266">
        <v>200</v>
      </c>
      <c r="L57" s="266">
        <v>3000</v>
      </c>
      <c r="M57" s="249">
        <v>26.445255618890393</v>
      </c>
      <c r="N57" s="250">
        <v>6216.0890999999992</v>
      </c>
      <c r="O57" s="251">
        <v>92262.111751753095</v>
      </c>
      <c r="P57" s="251">
        <v>97698.972472806243</v>
      </c>
      <c r="Q57" s="252">
        <v>31153.670835213656</v>
      </c>
      <c r="R57" s="251">
        <v>123415.78258696676</v>
      </c>
      <c r="S57" s="251">
        <v>128852.64330801991</v>
      </c>
      <c r="U57" s="7" t="s">
        <v>6380</v>
      </c>
    </row>
    <row r="58" spans="1:21" ht="22.5" customHeight="1" thickBot="1">
      <c r="A58" s="2968" t="s">
        <v>45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69"/>
      <c r="R58" s="2969"/>
      <c r="S58" s="2970"/>
    </row>
    <row r="59" spans="1:21" ht="16.5" customHeight="1" thickBot="1">
      <c r="A59" s="2974" t="s">
        <v>112</v>
      </c>
      <c r="B59" s="2975"/>
      <c r="C59" s="2975"/>
      <c r="D59" s="2975"/>
      <c r="E59" s="2975"/>
      <c r="F59" s="2975"/>
      <c r="G59" s="2975"/>
      <c r="H59" s="2975"/>
      <c r="I59" s="2975"/>
      <c r="J59" s="2975"/>
      <c r="K59" s="2975"/>
      <c r="L59" s="2975"/>
      <c r="M59" s="2975"/>
      <c r="N59" s="2975"/>
      <c r="O59" s="2975"/>
      <c r="P59" s="2975"/>
      <c r="Q59" s="2975"/>
      <c r="R59" s="2975"/>
      <c r="S59" s="2976"/>
    </row>
    <row r="60" spans="1:21" ht="16.5" thickBot="1">
      <c r="A60" s="207" t="s">
        <v>10</v>
      </c>
      <c r="B60" s="208">
        <f t="shared" ref="B60:B106" si="3">J60</f>
        <v>90</v>
      </c>
      <c r="C60" s="208" t="s">
        <v>3</v>
      </c>
      <c r="D60" s="208">
        <f t="shared" ref="D60:D106" si="4">K60</f>
        <v>260</v>
      </c>
      <c r="E60" s="208" t="s">
        <v>3</v>
      </c>
      <c r="F60" s="209">
        <f t="shared" ref="F60:F106" si="5">L60</f>
        <v>700</v>
      </c>
      <c r="G60" s="208" t="s">
        <v>3</v>
      </c>
      <c r="H60" s="208">
        <v>2</v>
      </c>
      <c r="I60" s="210" t="s">
        <v>529</v>
      </c>
      <c r="J60" s="286">
        <v>90</v>
      </c>
      <c r="K60" s="271">
        <v>260</v>
      </c>
      <c r="L60" s="271">
        <v>700</v>
      </c>
      <c r="M60" s="245">
        <v>7.348585919248551</v>
      </c>
      <c r="N60" s="246">
        <v>1087.47912</v>
      </c>
      <c r="O60" s="247">
        <v>28210.786780624418</v>
      </c>
      <c r="P60" s="247">
        <v>30251.904259435312</v>
      </c>
      <c r="Q60" s="248">
        <v>9406.5237862097401</v>
      </c>
      <c r="R60" s="247">
        <v>37617.31056683416</v>
      </c>
      <c r="S60" s="247">
        <v>39658.428045645051</v>
      </c>
      <c r="U60" s="7" t="s">
        <v>6381</v>
      </c>
    </row>
    <row r="61" spans="1:21" ht="16.5" thickBot="1">
      <c r="A61" s="207" t="s">
        <v>10</v>
      </c>
      <c r="B61" s="211">
        <f t="shared" si="3"/>
        <v>90</v>
      </c>
      <c r="C61" s="211" t="s">
        <v>3</v>
      </c>
      <c r="D61" s="211">
        <f t="shared" si="4"/>
        <v>260</v>
      </c>
      <c r="E61" s="211" t="s">
        <v>3</v>
      </c>
      <c r="F61" s="209">
        <f t="shared" si="5"/>
        <v>750</v>
      </c>
      <c r="G61" s="211" t="s">
        <v>3</v>
      </c>
      <c r="H61" s="208">
        <v>2</v>
      </c>
      <c r="I61" s="210" t="s">
        <v>529</v>
      </c>
      <c r="J61" s="103">
        <v>90</v>
      </c>
      <c r="K61" s="66">
        <v>260</v>
      </c>
      <c r="L61" s="66">
        <v>750</v>
      </c>
      <c r="M61" s="164">
        <v>7.7687656001213146</v>
      </c>
      <c r="N61" s="78">
        <v>1242.8332800000001</v>
      </c>
      <c r="O61" s="113">
        <v>29888.051031761737</v>
      </c>
      <c r="P61" s="113">
        <v>32019.82311830172</v>
      </c>
      <c r="Q61" s="110">
        <v>9876.9793536897032</v>
      </c>
      <c r="R61" s="113">
        <v>39765.030385451442</v>
      </c>
      <c r="S61" s="113">
        <v>41896.802471991425</v>
      </c>
      <c r="U61" s="7" t="s">
        <v>6382</v>
      </c>
    </row>
    <row r="62" spans="1:21" ht="16.5" thickBot="1">
      <c r="A62" s="207" t="s">
        <v>10</v>
      </c>
      <c r="B62" s="211">
        <f t="shared" si="3"/>
        <v>90</v>
      </c>
      <c r="C62" s="211" t="s">
        <v>3</v>
      </c>
      <c r="D62" s="211">
        <f t="shared" si="4"/>
        <v>260</v>
      </c>
      <c r="E62" s="211" t="s">
        <v>3</v>
      </c>
      <c r="F62" s="209">
        <f t="shared" si="5"/>
        <v>800</v>
      </c>
      <c r="G62" s="211" t="s">
        <v>3</v>
      </c>
      <c r="H62" s="208">
        <v>2</v>
      </c>
      <c r="I62" s="210" t="s">
        <v>529</v>
      </c>
      <c r="J62" s="103">
        <v>90</v>
      </c>
      <c r="K62" s="66">
        <v>260</v>
      </c>
      <c r="L62" s="66">
        <v>800</v>
      </c>
      <c r="M62" s="164">
        <v>8.1889452809940781</v>
      </c>
      <c r="N62" s="78">
        <v>1398.1874399999999</v>
      </c>
      <c r="O62" s="113">
        <v>31565.315412973505</v>
      </c>
      <c r="P62" s="113">
        <v>33787.741977168123</v>
      </c>
      <c r="Q62" s="110">
        <v>10347.434921169664</v>
      </c>
      <c r="R62" s="113">
        <v>41912.750334143173</v>
      </c>
      <c r="S62" s="113">
        <v>44135.176898337784</v>
      </c>
      <c r="U62" s="7" t="s">
        <v>6383</v>
      </c>
    </row>
    <row r="63" spans="1:21" ht="16.5" thickBot="1">
      <c r="A63" s="207" t="s">
        <v>10</v>
      </c>
      <c r="B63" s="211">
        <f t="shared" si="3"/>
        <v>90</v>
      </c>
      <c r="C63" s="211" t="s">
        <v>3</v>
      </c>
      <c r="D63" s="211">
        <f t="shared" si="4"/>
        <v>260</v>
      </c>
      <c r="E63" s="211" t="s">
        <v>3</v>
      </c>
      <c r="F63" s="209">
        <f t="shared" si="5"/>
        <v>850</v>
      </c>
      <c r="G63" s="211" t="s">
        <v>3</v>
      </c>
      <c r="H63" s="208">
        <v>2</v>
      </c>
      <c r="I63" s="210" t="s">
        <v>529</v>
      </c>
      <c r="J63" s="103">
        <v>90</v>
      </c>
      <c r="K63" s="66">
        <v>260</v>
      </c>
      <c r="L63" s="66">
        <v>850</v>
      </c>
      <c r="M63" s="164">
        <v>8.6261649618668415</v>
      </c>
      <c r="N63" s="78">
        <v>1553.5416</v>
      </c>
      <c r="O63" s="113">
        <v>33242.579664110825</v>
      </c>
      <c r="P63" s="113">
        <v>35555.660836034534</v>
      </c>
      <c r="Q63" s="110">
        <v>11069.224626433395</v>
      </c>
      <c r="R63" s="113">
        <v>44311.80429054422</v>
      </c>
      <c r="S63" s="113">
        <v>46624.88546246793</v>
      </c>
      <c r="U63" s="7" t="s">
        <v>6384</v>
      </c>
    </row>
    <row r="64" spans="1:21" ht="16.5" thickBot="1">
      <c r="A64" s="207" t="s">
        <v>10</v>
      </c>
      <c r="B64" s="211">
        <f t="shared" si="3"/>
        <v>90</v>
      </c>
      <c r="C64" s="211" t="s">
        <v>3</v>
      </c>
      <c r="D64" s="211">
        <f t="shared" si="4"/>
        <v>260</v>
      </c>
      <c r="E64" s="211" t="s">
        <v>3</v>
      </c>
      <c r="F64" s="209">
        <f t="shared" si="5"/>
        <v>900</v>
      </c>
      <c r="G64" s="211" t="s">
        <v>3</v>
      </c>
      <c r="H64" s="208">
        <v>2</v>
      </c>
      <c r="I64" s="210" t="s">
        <v>529</v>
      </c>
      <c r="J64" s="103">
        <v>90</v>
      </c>
      <c r="K64" s="66">
        <v>260</v>
      </c>
      <c r="L64" s="66">
        <v>900</v>
      </c>
      <c r="M64" s="164">
        <v>9.0843446427396053</v>
      </c>
      <c r="N64" s="78">
        <v>1708.8957599999999</v>
      </c>
      <c r="O64" s="113">
        <v>34919.843915248144</v>
      </c>
      <c r="P64" s="113">
        <v>37323.57956482649</v>
      </c>
      <c r="Q64" s="110">
        <v>11539.680193913358</v>
      </c>
      <c r="R64" s="113">
        <v>46459.524109161503</v>
      </c>
      <c r="S64" s="113">
        <v>48863.259758739849</v>
      </c>
      <c r="U64" s="7" t="s">
        <v>6385</v>
      </c>
    </row>
    <row r="65" spans="1:21" ht="16.5" thickBot="1">
      <c r="A65" s="207" t="s">
        <v>10</v>
      </c>
      <c r="B65" s="211">
        <f t="shared" si="3"/>
        <v>90</v>
      </c>
      <c r="C65" s="211" t="s">
        <v>3</v>
      </c>
      <c r="D65" s="211">
        <f t="shared" si="4"/>
        <v>260</v>
      </c>
      <c r="E65" s="211" t="s">
        <v>3</v>
      </c>
      <c r="F65" s="209">
        <f t="shared" si="5"/>
        <v>950</v>
      </c>
      <c r="G65" s="211" t="s">
        <v>3</v>
      </c>
      <c r="H65" s="208">
        <v>2</v>
      </c>
      <c r="I65" s="210" t="s">
        <v>529</v>
      </c>
      <c r="J65" s="103">
        <v>90</v>
      </c>
      <c r="K65" s="66">
        <v>260</v>
      </c>
      <c r="L65" s="66">
        <v>950</v>
      </c>
      <c r="M65" s="164">
        <v>9.5905643236123694</v>
      </c>
      <c r="N65" s="78">
        <v>1864.24992</v>
      </c>
      <c r="O65" s="113">
        <v>36597.108166385464</v>
      </c>
      <c r="P65" s="113">
        <v>39091.498423692887</v>
      </c>
      <c r="Q65" s="110">
        <v>12261.469899177091</v>
      </c>
      <c r="R65" s="113">
        <v>48858.578065562557</v>
      </c>
      <c r="S65" s="113">
        <v>51352.96832286998</v>
      </c>
      <c r="U65" s="7" t="s">
        <v>6386</v>
      </c>
    </row>
    <row r="66" spans="1:21" ht="16.5" thickBot="1">
      <c r="A66" s="207" t="s">
        <v>10</v>
      </c>
      <c r="B66" s="211">
        <f t="shared" si="3"/>
        <v>90</v>
      </c>
      <c r="C66" s="211" t="s">
        <v>3</v>
      </c>
      <c r="D66" s="211">
        <f t="shared" si="4"/>
        <v>260</v>
      </c>
      <c r="E66" s="211" t="s">
        <v>3</v>
      </c>
      <c r="F66" s="209">
        <f t="shared" si="5"/>
        <v>1000</v>
      </c>
      <c r="G66" s="211" t="s">
        <v>3</v>
      </c>
      <c r="H66" s="208">
        <v>2</v>
      </c>
      <c r="I66" s="210" t="s">
        <v>529</v>
      </c>
      <c r="J66" s="103">
        <v>90</v>
      </c>
      <c r="K66" s="66">
        <v>260</v>
      </c>
      <c r="L66" s="66">
        <v>1000</v>
      </c>
      <c r="M66" s="164">
        <v>10.010744004485133</v>
      </c>
      <c r="N66" s="78">
        <v>2019.6040799999998</v>
      </c>
      <c r="O66" s="113">
        <v>38170.678496517736</v>
      </c>
      <c r="P66" s="113">
        <v>40762.329192515594</v>
      </c>
      <c r="Q66" s="110">
        <v>12731.925466657052</v>
      </c>
      <c r="R66" s="113">
        <v>50902.603963174784</v>
      </c>
      <c r="S66" s="113">
        <v>53494.254659172642</v>
      </c>
      <c r="U66" s="7" t="s">
        <v>6387</v>
      </c>
    </row>
    <row r="67" spans="1:21" ht="16.5" thickBot="1">
      <c r="A67" s="207" t="s">
        <v>10</v>
      </c>
      <c r="B67" s="211">
        <f t="shared" si="3"/>
        <v>90</v>
      </c>
      <c r="C67" s="211" t="s">
        <v>3</v>
      </c>
      <c r="D67" s="211">
        <f t="shared" si="4"/>
        <v>260</v>
      </c>
      <c r="E67" s="211" t="s">
        <v>3</v>
      </c>
      <c r="F67" s="209">
        <f t="shared" si="5"/>
        <v>1050</v>
      </c>
      <c r="G67" s="211" t="s">
        <v>3</v>
      </c>
      <c r="H67" s="208">
        <v>2</v>
      </c>
      <c r="I67" s="210" t="s">
        <v>529</v>
      </c>
      <c r="J67" s="103">
        <v>90</v>
      </c>
      <c r="K67" s="66">
        <v>260</v>
      </c>
      <c r="L67" s="66">
        <v>1050</v>
      </c>
      <c r="M67" s="164">
        <v>10.447963685357896</v>
      </c>
      <c r="N67" s="78">
        <v>2174.9582399999999</v>
      </c>
      <c r="O67" s="113">
        <v>40094.215956375803</v>
      </c>
      <c r="P67" s="113">
        <v>42760.832200198573</v>
      </c>
      <c r="Q67" s="110">
        <v>13453.71501889202</v>
      </c>
      <c r="R67" s="113">
        <v>53547.930975267824</v>
      </c>
      <c r="S67" s="113">
        <v>56214.547219090593</v>
      </c>
      <c r="U67" s="7" t="s">
        <v>6388</v>
      </c>
    </row>
    <row r="68" spans="1:21" ht="16.5" thickBot="1">
      <c r="A68" s="207" t="s">
        <v>10</v>
      </c>
      <c r="B68" s="208">
        <f t="shared" si="3"/>
        <v>90</v>
      </c>
      <c r="C68" s="208" t="s">
        <v>3</v>
      </c>
      <c r="D68" s="208">
        <f t="shared" si="4"/>
        <v>260</v>
      </c>
      <c r="E68" s="208" t="s">
        <v>3</v>
      </c>
      <c r="F68" s="209">
        <f t="shared" si="5"/>
        <v>1100</v>
      </c>
      <c r="G68" s="208" t="s">
        <v>3</v>
      </c>
      <c r="H68" s="208">
        <v>2</v>
      </c>
      <c r="I68" s="210" t="s">
        <v>529</v>
      </c>
      <c r="J68" s="103">
        <v>90</v>
      </c>
      <c r="K68" s="66">
        <v>260</v>
      </c>
      <c r="L68" s="66">
        <v>1100</v>
      </c>
      <c r="M68" s="164">
        <v>10.868143366230658</v>
      </c>
      <c r="N68" s="78">
        <v>2330.3123999999998</v>
      </c>
      <c r="O68" s="113">
        <v>41771.480337587571</v>
      </c>
      <c r="P68" s="113">
        <v>44528.751059064976</v>
      </c>
      <c r="Q68" s="110">
        <v>13924.170586371982</v>
      </c>
      <c r="R68" s="113">
        <v>55695.650923959554</v>
      </c>
      <c r="S68" s="113">
        <v>58452.92164543696</v>
      </c>
      <c r="U68" s="7" t="s">
        <v>6389</v>
      </c>
    </row>
    <row r="69" spans="1:21" ht="16.5" thickBot="1">
      <c r="A69" s="207" t="s">
        <v>10</v>
      </c>
      <c r="B69" s="211">
        <f t="shared" si="3"/>
        <v>90</v>
      </c>
      <c r="C69" s="211" t="s">
        <v>3</v>
      </c>
      <c r="D69" s="211">
        <f t="shared" si="4"/>
        <v>260</v>
      </c>
      <c r="E69" s="211" t="s">
        <v>3</v>
      </c>
      <c r="F69" s="209">
        <f t="shared" si="5"/>
        <v>1150</v>
      </c>
      <c r="G69" s="211" t="s">
        <v>3</v>
      </c>
      <c r="H69" s="208">
        <v>2</v>
      </c>
      <c r="I69" s="210" t="s">
        <v>529</v>
      </c>
      <c r="J69" s="103">
        <v>90</v>
      </c>
      <c r="K69" s="66">
        <v>260</v>
      </c>
      <c r="L69" s="66">
        <v>1150</v>
      </c>
      <c r="M69" s="164">
        <v>11.288323047103422</v>
      </c>
      <c r="N69" s="78">
        <v>2485.6665600000001</v>
      </c>
      <c r="O69" s="113">
        <v>42625.421185367559</v>
      </c>
      <c r="P69" s="113">
        <v>45525.796955489001</v>
      </c>
      <c r="Q69" s="110">
        <v>14394.626153851941</v>
      </c>
      <c r="R69" s="113">
        <v>57020.047339219498</v>
      </c>
      <c r="S69" s="113">
        <v>59920.42310934094</v>
      </c>
      <c r="U69" s="7" t="s">
        <v>6390</v>
      </c>
    </row>
    <row r="70" spans="1:21" ht="16.5" thickBot="1">
      <c r="A70" s="207" t="s">
        <v>10</v>
      </c>
      <c r="B70" s="211">
        <f t="shared" si="3"/>
        <v>90</v>
      </c>
      <c r="C70" s="211" t="s">
        <v>3</v>
      </c>
      <c r="D70" s="211">
        <f t="shared" si="4"/>
        <v>260</v>
      </c>
      <c r="E70" s="211" t="s">
        <v>3</v>
      </c>
      <c r="F70" s="209">
        <f t="shared" si="5"/>
        <v>1200</v>
      </c>
      <c r="G70" s="211" t="s">
        <v>3</v>
      </c>
      <c r="H70" s="208">
        <v>2</v>
      </c>
      <c r="I70" s="210" t="s">
        <v>529</v>
      </c>
      <c r="J70" s="103">
        <v>90</v>
      </c>
      <c r="K70" s="66">
        <v>260</v>
      </c>
      <c r="L70" s="66">
        <v>1200</v>
      </c>
      <c r="M70" s="164">
        <v>11.940792727976184</v>
      </c>
      <c r="N70" s="78">
        <v>2641.0207199999995</v>
      </c>
      <c r="O70" s="113">
        <v>43517.663625724992</v>
      </c>
      <c r="P70" s="113">
        <v>46558.704377876253</v>
      </c>
      <c r="Q70" s="110">
        <v>15116.415859115676</v>
      </c>
      <c r="R70" s="113">
        <v>58634.079484840666</v>
      </c>
      <c r="S70" s="113">
        <v>61675.120236991927</v>
      </c>
      <c r="U70" s="7" t="s">
        <v>6391</v>
      </c>
    </row>
    <row r="71" spans="1:21" ht="16.5" thickBot="1">
      <c r="A71" s="207" t="s">
        <v>10</v>
      </c>
      <c r="B71" s="211">
        <f t="shared" si="3"/>
        <v>90</v>
      </c>
      <c r="C71" s="211" t="s">
        <v>3</v>
      </c>
      <c r="D71" s="211">
        <f t="shared" si="4"/>
        <v>260</v>
      </c>
      <c r="E71" s="211" t="s">
        <v>3</v>
      </c>
      <c r="F71" s="209">
        <f t="shared" si="5"/>
        <v>1250</v>
      </c>
      <c r="G71" s="211" t="s">
        <v>3</v>
      </c>
      <c r="H71" s="208">
        <v>2</v>
      </c>
      <c r="I71" s="210" t="s">
        <v>529</v>
      </c>
      <c r="J71" s="103">
        <v>90</v>
      </c>
      <c r="K71" s="66">
        <v>260</v>
      </c>
      <c r="L71" s="66">
        <v>1250</v>
      </c>
      <c r="M71" s="164">
        <v>12.360972408848946</v>
      </c>
      <c r="N71" s="78">
        <v>2796.3748799999998</v>
      </c>
      <c r="O71" s="113">
        <v>44371.080403544496</v>
      </c>
      <c r="P71" s="113">
        <v>47555.259373324632</v>
      </c>
      <c r="Q71" s="110">
        <v>15586.871426595639</v>
      </c>
      <c r="R71" s="113">
        <v>59957.951830140133</v>
      </c>
      <c r="S71" s="113">
        <v>63142.130799920269</v>
      </c>
      <c r="U71" s="7" t="s">
        <v>6392</v>
      </c>
    </row>
    <row r="72" spans="1:21" ht="16.5" thickBot="1">
      <c r="A72" s="207" t="s">
        <v>10</v>
      </c>
      <c r="B72" s="211">
        <f t="shared" si="3"/>
        <v>90</v>
      </c>
      <c r="C72" s="211" t="s">
        <v>3</v>
      </c>
      <c r="D72" s="211">
        <f t="shared" si="4"/>
        <v>260</v>
      </c>
      <c r="E72" s="211" t="s">
        <v>3</v>
      </c>
      <c r="F72" s="209">
        <f t="shared" si="5"/>
        <v>1300</v>
      </c>
      <c r="G72" s="211" t="s">
        <v>3</v>
      </c>
      <c r="H72" s="208">
        <v>2</v>
      </c>
      <c r="I72" s="210" t="s">
        <v>529</v>
      </c>
      <c r="J72" s="103">
        <v>90</v>
      </c>
      <c r="K72" s="66">
        <v>260</v>
      </c>
      <c r="L72" s="66">
        <v>1300</v>
      </c>
      <c r="M72" s="164">
        <v>12.860192089721714</v>
      </c>
      <c r="N72" s="78">
        <v>2951.7290399999997</v>
      </c>
      <c r="O72" s="113">
        <v>47897.595035048027</v>
      </c>
      <c r="P72" s="113">
        <v>51054.620833241832</v>
      </c>
      <c r="Q72" s="110">
        <v>16308.66113185937</v>
      </c>
      <c r="R72" s="113">
        <v>64206.256166907398</v>
      </c>
      <c r="S72" s="113">
        <v>67363.281965101196</v>
      </c>
      <c r="U72" s="7" t="s">
        <v>6393</v>
      </c>
    </row>
    <row r="73" spans="1:21" ht="16.5" thickBot="1">
      <c r="A73" s="207" t="s">
        <v>10</v>
      </c>
      <c r="B73" s="211">
        <f t="shared" si="3"/>
        <v>90</v>
      </c>
      <c r="C73" s="211" t="s">
        <v>3</v>
      </c>
      <c r="D73" s="211">
        <f t="shared" si="4"/>
        <v>260</v>
      </c>
      <c r="E73" s="211" t="s">
        <v>3</v>
      </c>
      <c r="F73" s="209">
        <f t="shared" si="5"/>
        <v>1350</v>
      </c>
      <c r="G73" s="211" t="s">
        <v>3</v>
      </c>
      <c r="H73" s="208">
        <v>2</v>
      </c>
      <c r="I73" s="210" t="s">
        <v>529</v>
      </c>
      <c r="J73" s="103">
        <v>90</v>
      </c>
      <c r="K73" s="66">
        <v>260</v>
      </c>
      <c r="L73" s="66">
        <v>1350</v>
      </c>
      <c r="M73" s="164">
        <v>13.280371770594474</v>
      </c>
      <c r="N73" s="78">
        <v>3107.0832</v>
      </c>
      <c r="O73" s="113">
        <v>49023.180763462995</v>
      </c>
      <c r="P73" s="113">
        <v>52306.006245276556</v>
      </c>
      <c r="Q73" s="110">
        <v>16779.116699339331</v>
      </c>
      <c r="R73" s="113">
        <v>65802.297462802322</v>
      </c>
      <c r="S73" s="113">
        <v>69085.122944615883</v>
      </c>
      <c r="U73" s="7" t="s">
        <v>6394</v>
      </c>
    </row>
    <row r="74" spans="1:21" ht="16.5" thickBot="1">
      <c r="A74" s="207" t="s">
        <v>10</v>
      </c>
      <c r="B74" s="211">
        <f t="shared" si="3"/>
        <v>90</v>
      </c>
      <c r="C74" s="211" t="s">
        <v>3</v>
      </c>
      <c r="D74" s="211">
        <f t="shared" si="4"/>
        <v>260</v>
      </c>
      <c r="E74" s="211" t="s">
        <v>3</v>
      </c>
      <c r="F74" s="209">
        <f t="shared" si="5"/>
        <v>1400</v>
      </c>
      <c r="G74" s="211" t="s">
        <v>3</v>
      </c>
      <c r="H74" s="208">
        <v>2</v>
      </c>
      <c r="I74" s="210" t="s">
        <v>529</v>
      </c>
      <c r="J74" s="103">
        <v>90</v>
      </c>
      <c r="K74" s="66">
        <v>260</v>
      </c>
      <c r="L74" s="66">
        <v>1400</v>
      </c>
      <c r="M74" s="164">
        <v>13.717591451467236</v>
      </c>
      <c r="N74" s="78">
        <v>3262.4373600000004</v>
      </c>
      <c r="O74" s="113">
        <v>50505.214451018313</v>
      </c>
      <c r="P74" s="113">
        <v>53891.131739206219</v>
      </c>
      <c r="Q74" s="110">
        <v>17500.906404603062</v>
      </c>
      <c r="R74" s="113">
        <v>68006.120855621382</v>
      </c>
      <c r="S74" s="113">
        <v>71392.038143809274</v>
      </c>
      <c r="U74" s="7" t="s">
        <v>6395</v>
      </c>
    </row>
    <row r="75" spans="1:21" ht="16.5" thickBot="1">
      <c r="A75" s="207" t="s">
        <v>10</v>
      </c>
      <c r="B75" s="211">
        <f t="shared" si="3"/>
        <v>90</v>
      </c>
      <c r="C75" s="211" t="s">
        <v>3</v>
      </c>
      <c r="D75" s="211">
        <f t="shared" si="4"/>
        <v>260</v>
      </c>
      <c r="E75" s="211" t="s">
        <v>3</v>
      </c>
      <c r="F75" s="209">
        <f t="shared" si="5"/>
        <v>1450</v>
      </c>
      <c r="G75" s="211" t="s">
        <v>3</v>
      </c>
      <c r="H75" s="208">
        <v>2</v>
      </c>
      <c r="I75" s="210" t="s">
        <v>529</v>
      </c>
      <c r="J75" s="103">
        <v>90</v>
      </c>
      <c r="K75" s="66">
        <v>260</v>
      </c>
      <c r="L75" s="66">
        <v>1450</v>
      </c>
      <c r="M75" s="164">
        <v>14.137771132339999</v>
      </c>
      <c r="N75" s="78">
        <v>3417.7915199999998</v>
      </c>
      <c r="O75" s="113">
        <v>51630.800179433281</v>
      </c>
      <c r="P75" s="113">
        <v>55142.517151240936</v>
      </c>
      <c r="Q75" s="110">
        <v>17971.361972083025</v>
      </c>
      <c r="R75" s="113">
        <v>69602.162151516299</v>
      </c>
      <c r="S75" s="113">
        <v>73113.879123323961</v>
      </c>
      <c r="U75" s="7" t="s">
        <v>6396</v>
      </c>
    </row>
    <row r="76" spans="1:21" ht="16.5" thickBot="1">
      <c r="A76" s="207" t="s">
        <v>10</v>
      </c>
      <c r="B76" s="211">
        <f t="shared" si="3"/>
        <v>90</v>
      </c>
      <c r="C76" s="211" t="s">
        <v>3</v>
      </c>
      <c r="D76" s="211">
        <f t="shared" si="4"/>
        <v>260</v>
      </c>
      <c r="E76" s="211" t="s">
        <v>3</v>
      </c>
      <c r="F76" s="209">
        <f t="shared" si="5"/>
        <v>1500</v>
      </c>
      <c r="G76" s="211" t="s">
        <v>3</v>
      </c>
      <c r="H76" s="208">
        <v>2</v>
      </c>
      <c r="I76" s="210" t="s">
        <v>529</v>
      </c>
      <c r="J76" s="103">
        <v>90</v>
      </c>
      <c r="K76" s="66">
        <v>260</v>
      </c>
      <c r="L76" s="66">
        <v>1500</v>
      </c>
      <c r="M76" s="164">
        <v>15.141755002012761</v>
      </c>
      <c r="N76" s="78">
        <v>3573.1456799999996</v>
      </c>
      <c r="O76" s="113">
        <v>53256.800919015157</v>
      </c>
      <c r="P76" s="113">
        <v>56979.486032078959</v>
      </c>
      <c r="Q76" s="110">
        <v>18693.151677346756</v>
      </c>
      <c r="R76" s="113">
        <v>71949.952596361909</v>
      </c>
      <c r="S76" s="113">
        <v>75672.637709425719</v>
      </c>
      <c r="U76" s="7" t="s">
        <v>6397</v>
      </c>
    </row>
    <row r="77" spans="1:21" ht="16.5" thickBot="1">
      <c r="A77" s="207" t="s">
        <v>10</v>
      </c>
      <c r="B77" s="211">
        <f t="shared" si="3"/>
        <v>90</v>
      </c>
      <c r="C77" s="211" t="s">
        <v>3</v>
      </c>
      <c r="D77" s="211">
        <f t="shared" si="4"/>
        <v>260</v>
      </c>
      <c r="E77" s="211" t="s">
        <v>3</v>
      </c>
      <c r="F77" s="209">
        <f t="shared" si="5"/>
        <v>1550</v>
      </c>
      <c r="G77" s="211" t="s">
        <v>3</v>
      </c>
      <c r="H77" s="208">
        <v>2</v>
      </c>
      <c r="I77" s="210" t="s">
        <v>529</v>
      </c>
      <c r="J77" s="103">
        <v>90</v>
      </c>
      <c r="K77" s="66">
        <v>260</v>
      </c>
      <c r="L77" s="66">
        <v>1550</v>
      </c>
      <c r="M77" s="164">
        <v>15.630934682885528</v>
      </c>
      <c r="N77" s="78">
        <v>3728.4998399999999</v>
      </c>
      <c r="O77" s="113">
        <v>54382.386647430132</v>
      </c>
      <c r="P77" s="113">
        <v>58230.871444113669</v>
      </c>
      <c r="Q77" s="110">
        <v>19163.607244826719</v>
      </c>
      <c r="R77" s="113">
        <v>73545.993892256854</v>
      </c>
      <c r="S77" s="113">
        <v>77394.478688940391</v>
      </c>
      <c r="U77" s="7" t="s">
        <v>6398</v>
      </c>
    </row>
    <row r="78" spans="1:21" ht="16.5" thickBot="1">
      <c r="A78" s="207" t="s">
        <v>10</v>
      </c>
      <c r="B78" s="208">
        <f t="shared" si="3"/>
        <v>90</v>
      </c>
      <c r="C78" s="208" t="s">
        <v>3</v>
      </c>
      <c r="D78" s="208">
        <f t="shared" si="4"/>
        <v>260</v>
      </c>
      <c r="E78" s="208" t="s">
        <v>3</v>
      </c>
      <c r="F78" s="209">
        <f t="shared" si="5"/>
        <v>1600</v>
      </c>
      <c r="G78" s="208" t="s">
        <v>3</v>
      </c>
      <c r="H78" s="208">
        <v>2</v>
      </c>
      <c r="I78" s="210" t="s">
        <v>529</v>
      </c>
      <c r="J78" s="103">
        <v>90</v>
      </c>
      <c r="K78" s="66">
        <v>260</v>
      </c>
      <c r="L78" s="66">
        <v>1600</v>
      </c>
      <c r="M78" s="164">
        <v>16.051114363758288</v>
      </c>
      <c r="N78" s="78">
        <v>3883.8539999999994</v>
      </c>
      <c r="O78" s="113">
        <v>57629.157442721684</v>
      </c>
      <c r="P78" s="113">
        <v>61468.310178038868</v>
      </c>
      <c r="Q78" s="110">
        <v>19634.062812306682</v>
      </c>
      <c r="R78" s="113">
        <v>77263.220255028369</v>
      </c>
      <c r="S78" s="113">
        <v>81102.372990345553</v>
      </c>
      <c r="U78" s="7" t="s">
        <v>6399</v>
      </c>
    </row>
    <row r="79" spans="1:21" ht="16.5" thickBot="1">
      <c r="A79" s="207" t="s">
        <v>10</v>
      </c>
      <c r="B79" s="211">
        <f t="shared" si="3"/>
        <v>90</v>
      </c>
      <c r="C79" s="211" t="s">
        <v>3</v>
      </c>
      <c r="D79" s="211">
        <f t="shared" si="4"/>
        <v>260</v>
      </c>
      <c r="E79" s="211" t="s">
        <v>3</v>
      </c>
      <c r="F79" s="209">
        <f t="shared" si="5"/>
        <v>1650</v>
      </c>
      <c r="G79" s="211" t="s">
        <v>3</v>
      </c>
      <c r="H79" s="208">
        <v>2</v>
      </c>
      <c r="I79" s="210" t="s">
        <v>529</v>
      </c>
      <c r="J79" s="103">
        <v>90</v>
      </c>
      <c r="K79" s="66">
        <v>260</v>
      </c>
      <c r="L79" s="66">
        <v>1650</v>
      </c>
      <c r="M79" s="164">
        <v>16.526334044631053</v>
      </c>
      <c r="N79" s="78">
        <v>4039.2081599999997</v>
      </c>
      <c r="O79" s="113">
        <v>61150.891838174619</v>
      </c>
      <c r="P79" s="113">
        <v>64963.195776119326</v>
      </c>
      <c r="Q79" s="110">
        <v>20355.852364541646</v>
      </c>
      <c r="R79" s="113">
        <v>81506.744202716261</v>
      </c>
      <c r="S79" s="113">
        <v>85319.048140660976</v>
      </c>
      <c r="U79" s="7" t="s">
        <v>6400</v>
      </c>
    </row>
    <row r="80" spans="1:21" ht="16.5" thickBot="1">
      <c r="A80" s="207" t="s">
        <v>10</v>
      </c>
      <c r="B80" s="211">
        <f t="shared" si="3"/>
        <v>90</v>
      </c>
      <c r="C80" s="211" t="s">
        <v>3</v>
      </c>
      <c r="D80" s="211">
        <f t="shared" si="4"/>
        <v>260</v>
      </c>
      <c r="E80" s="211" t="s">
        <v>3</v>
      </c>
      <c r="F80" s="209">
        <f t="shared" si="5"/>
        <v>1700</v>
      </c>
      <c r="G80" s="211" t="s">
        <v>3</v>
      </c>
      <c r="H80" s="208">
        <v>2</v>
      </c>
      <c r="I80" s="210" t="s">
        <v>529</v>
      </c>
      <c r="J80" s="103">
        <v>90</v>
      </c>
      <c r="K80" s="66">
        <v>260</v>
      </c>
      <c r="L80" s="66">
        <v>1700</v>
      </c>
      <c r="M80" s="164">
        <v>16.946513725503817</v>
      </c>
      <c r="N80" s="78">
        <v>4194.56232</v>
      </c>
      <c r="O80" s="113">
        <v>62052.866839131071</v>
      </c>
      <c r="P80" s="113">
        <v>66005.215824275176</v>
      </c>
      <c r="Q80" s="110">
        <v>20826.307932021609</v>
      </c>
      <c r="R80" s="113">
        <v>82879.174771152684</v>
      </c>
      <c r="S80" s="113">
        <v>86831.523756296781</v>
      </c>
      <c r="U80" s="7" t="s">
        <v>6401</v>
      </c>
    </row>
    <row r="81" spans="1:21" ht="16.5" thickBot="1">
      <c r="A81" s="207" t="s">
        <v>10</v>
      </c>
      <c r="B81" s="211">
        <f t="shared" si="3"/>
        <v>90</v>
      </c>
      <c r="C81" s="211" t="s">
        <v>3</v>
      </c>
      <c r="D81" s="211">
        <f t="shared" si="4"/>
        <v>260</v>
      </c>
      <c r="E81" s="211" t="s">
        <v>3</v>
      </c>
      <c r="F81" s="209">
        <f t="shared" si="5"/>
        <v>1750</v>
      </c>
      <c r="G81" s="211" t="s">
        <v>3</v>
      </c>
      <c r="H81" s="208">
        <v>2</v>
      </c>
      <c r="I81" s="210" t="s">
        <v>529</v>
      </c>
      <c r="J81" s="103">
        <v>90</v>
      </c>
      <c r="K81" s="66">
        <v>260</v>
      </c>
      <c r="L81" s="66">
        <v>1750</v>
      </c>
      <c r="M81" s="164">
        <v>17.383733406376578</v>
      </c>
      <c r="N81" s="78">
        <v>4349.9164799999999</v>
      </c>
      <c r="O81" s="113">
        <v>62871.834309294871</v>
      </c>
      <c r="P81" s="113">
        <v>66969.516128194256</v>
      </c>
      <c r="Q81" s="110">
        <v>21548.09763728534</v>
      </c>
      <c r="R81" s="113">
        <v>84419.931946580211</v>
      </c>
      <c r="S81" s="113">
        <v>88517.613765479589</v>
      </c>
      <c r="U81" s="7" t="s">
        <v>6402</v>
      </c>
    </row>
    <row r="82" spans="1:21" ht="16.5" thickBot="1">
      <c r="A82" s="207" t="s">
        <v>10</v>
      </c>
      <c r="B82" s="211">
        <f t="shared" si="3"/>
        <v>90</v>
      </c>
      <c r="C82" s="211" t="s">
        <v>3</v>
      </c>
      <c r="D82" s="211">
        <f t="shared" si="4"/>
        <v>260</v>
      </c>
      <c r="E82" s="211" t="s">
        <v>3</v>
      </c>
      <c r="F82" s="209">
        <f t="shared" si="5"/>
        <v>1800</v>
      </c>
      <c r="G82" s="211" t="s">
        <v>3</v>
      </c>
      <c r="H82" s="208">
        <v>2</v>
      </c>
      <c r="I82" s="210" t="s">
        <v>529</v>
      </c>
      <c r="J82" s="103">
        <v>90</v>
      </c>
      <c r="K82" s="66">
        <v>260</v>
      </c>
      <c r="L82" s="66">
        <v>1800</v>
      </c>
      <c r="M82" s="164">
        <v>17.872913087249344</v>
      </c>
      <c r="N82" s="78">
        <v>4505.2706399999997</v>
      </c>
      <c r="O82" s="113">
        <v>63774.568554818041</v>
      </c>
      <c r="P82" s="113">
        <v>68012.247033221312</v>
      </c>
      <c r="Q82" s="110">
        <v>22018.553204765303</v>
      </c>
      <c r="R82" s="113">
        <v>85793.121759583344</v>
      </c>
      <c r="S82" s="113">
        <v>90030.800237986608</v>
      </c>
      <c r="U82" s="7" t="s">
        <v>6403</v>
      </c>
    </row>
    <row r="83" spans="1:21" ht="16.5" thickBot="1">
      <c r="A83" s="207" t="s">
        <v>10</v>
      </c>
      <c r="B83" s="211">
        <f t="shared" si="3"/>
        <v>90</v>
      </c>
      <c r="C83" s="211" t="s">
        <v>3</v>
      </c>
      <c r="D83" s="211">
        <f t="shared" si="4"/>
        <v>260</v>
      </c>
      <c r="E83" s="211" t="s">
        <v>3</v>
      </c>
      <c r="F83" s="209">
        <f t="shared" si="5"/>
        <v>1850</v>
      </c>
      <c r="G83" s="211" t="s">
        <v>3</v>
      </c>
      <c r="H83" s="208">
        <v>2</v>
      </c>
      <c r="I83" s="210" t="s">
        <v>529</v>
      </c>
      <c r="J83" s="103">
        <v>90</v>
      </c>
      <c r="K83" s="66">
        <v>260</v>
      </c>
      <c r="L83" s="66">
        <v>1850</v>
      </c>
      <c r="M83" s="164">
        <v>18.372132768122107</v>
      </c>
      <c r="N83" s="78">
        <v>4660.6247999999996</v>
      </c>
      <c r="O83" s="113">
        <v>64677.250380337726</v>
      </c>
      <c r="P83" s="113">
        <v>69054.928770106126</v>
      </c>
      <c r="Q83" s="110">
        <v>22740.342910029034</v>
      </c>
      <c r="R83" s="113">
        <v>87417.593290366756</v>
      </c>
      <c r="S83" s="113">
        <v>91795.271680135163</v>
      </c>
      <c r="U83" s="7" t="s">
        <v>6404</v>
      </c>
    </row>
    <row r="84" spans="1:21" ht="16.5" thickBot="1">
      <c r="A84" s="207" t="s">
        <v>10</v>
      </c>
      <c r="B84" s="211">
        <f t="shared" si="3"/>
        <v>90</v>
      </c>
      <c r="C84" s="211" t="s">
        <v>3</v>
      </c>
      <c r="D84" s="211">
        <f t="shared" si="4"/>
        <v>260</v>
      </c>
      <c r="E84" s="211" t="s">
        <v>3</v>
      </c>
      <c r="F84" s="209">
        <f t="shared" si="5"/>
        <v>1900</v>
      </c>
      <c r="G84" s="211" t="s">
        <v>3</v>
      </c>
      <c r="H84" s="208">
        <v>2</v>
      </c>
      <c r="I84" s="210" t="s">
        <v>529</v>
      </c>
      <c r="J84" s="103">
        <v>90</v>
      </c>
      <c r="K84" s="66">
        <v>260</v>
      </c>
      <c r="L84" s="66">
        <v>1900</v>
      </c>
      <c r="M84" s="164">
        <v>18.792312448994871</v>
      </c>
      <c r="N84" s="78">
        <v>4815.9789600000004</v>
      </c>
      <c r="O84" s="113">
        <v>65770.741538871793</v>
      </c>
      <c r="P84" s="113">
        <v>70276.264252545094</v>
      </c>
      <c r="Q84" s="110">
        <v>23210.798477508997</v>
      </c>
      <c r="R84" s="113">
        <v>88981.540016380794</v>
      </c>
      <c r="S84" s="113">
        <v>93487.062730054095</v>
      </c>
      <c r="U84" s="7" t="s">
        <v>6405</v>
      </c>
    </row>
    <row r="85" spans="1:21" ht="16.5" thickBot="1">
      <c r="A85" s="207" t="s">
        <v>10</v>
      </c>
      <c r="B85" s="211">
        <f t="shared" si="3"/>
        <v>90</v>
      </c>
      <c r="C85" s="211" t="s">
        <v>3</v>
      </c>
      <c r="D85" s="211">
        <f t="shared" si="4"/>
        <v>260</v>
      </c>
      <c r="E85" s="211" t="s">
        <v>3</v>
      </c>
      <c r="F85" s="209">
        <f t="shared" si="5"/>
        <v>1950</v>
      </c>
      <c r="G85" s="211" t="s">
        <v>3</v>
      </c>
      <c r="H85" s="208">
        <v>2</v>
      </c>
      <c r="I85" s="210" t="s">
        <v>529</v>
      </c>
      <c r="J85" s="103">
        <v>90</v>
      </c>
      <c r="K85" s="66">
        <v>260</v>
      </c>
      <c r="L85" s="66">
        <v>1950</v>
      </c>
      <c r="M85" s="164">
        <v>19.365742129867634</v>
      </c>
      <c r="N85" s="78">
        <v>4971.3331200000002</v>
      </c>
      <c r="O85" s="113">
        <v>67037.762159988226</v>
      </c>
      <c r="P85" s="113">
        <v>71660.074170030639</v>
      </c>
      <c r="Q85" s="110">
        <v>23681.25404498896</v>
      </c>
      <c r="R85" s="113">
        <v>90719.01620497719</v>
      </c>
      <c r="S85" s="113">
        <v>95341.328215019603</v>
      </c>
      <c r="U85" s="7" t="s">
        <v>6406</v>
      </c>
    </row>
    <row r="86" spans="1:21" ht="16.5" thickBot="1">
      <c r="A86" s="207" t="s">
        <v>10</v>
      </c>
      <c r="B86" s="211">
        <f t="shared" si="3"/>
        <v>90</v>
      </c>
      <c r="C86" s="211" t="s">
        <v>3</v>
      </c>
      <c r="D86" s="211">
        <f t="shared" si="4"/>
        <v>260</v>
      </c>
      <c r="E86" s="211" t="s">
        <v>3</v>
      </c>
      <c r="F86" s="209">
        <f t="shared" si="5"/>
        <v>2000</v>
      </c>
      <c r="G86" s="211" t="s">
        <v>3</v>
      </c>
      <c r="H86" s="208">
        <v>2</v>
      </c>
      <c r="I86" s="210" t="s">
        <v>529</v>
      </c>
      <c r="J86" s="103">
        <v>90</v>
      </c>
      <c r="K86" s="66">
        <v>260</v>
      </c>
      <c r="L86" s="66">
        <v>2000</v>
      </c>
      <c r="M86" s="164">
        <v>19.894524210740396</v>
      </c>
      <c r="N86" s="78">
        <v>5126.6872799999992</v>
      </c>
      <c r="O86" s="113">
        <v>68165.291200691529</v>
      </c>
      <c r="P86" s="113">
        <v>73120.659491243365</v>
      </c>
      <c r="Q86" s="110">
        <v>24403.043750252691</v>
      </c>
      <c r="R86" s="113">
        <v>92568.33495094422</v>
      </c>
      <c r="S86" s="113">
        <v>97523.703241496056</v>
      </c>
      <c r="U86" s="7" t="s">
        <v>6407</v>
      </c>
    </row>
    <row r="87" spans="1:21" ht="16.5" thickBot="1">
      <c r="A87" s="207" t="s">
        <v>10</v>
      </c>
      <c r="B87" s="211">
        <f t="shared" si="3"/>
        <v>90</v>
      </c>
      <c r="C87" s="211" t="s">
        <v>3</v>
      </c>
      <c r="D87" s="211">
        <f t="shared" si="4"/>
        <v>260</v>
      </c>
      <c r="E87" s="211" t="s">
        <v>3</v>
      </c>
      <c r="F87" s="209">
        <f t="shared" si="5"/>
        <v>2050</v>
      </c>
      <c r="G87" s="211" t="s">
        <v>3</v>
      </c>
      <c r="H87" s="208">
        <v>2</v>
      </c>
      <c r="I87" s="210" t="s">
        <v>529</v>
      </c>
      <c r="J87" s="103">
        <v>90</v>
      </c>
      <c r="K87" s="66">
        <v>260</v>
      </c>
      <c r="L87" s="66">
        <v>2050</v>
      </c>
      <c r="M87" s="164">
        <v>20.31470389161316</v>
      </c>
      <c r="N87" s="78">
        <v>5282.0414399999991</v>
      </c>
      <c r="O87" s="113">
        <v>71404.900747118721</v>
      </c>
      <c r="P87" s="113">
        <v>76351.393147401599</v>
      </c>
      <c r="Q87" s="110">
        <v>24873.499317732651</v>
      </c>
      <c r="R87" s="113">
        <v>96278.400064851376</v>
      </c>
      <c r="S87" s="113">
        <v>101224.89246513425</v>
      </c>
      <c r="U87" s="7" t="s">
        <v>6408</v>
      </c>
    </row>
    <row r="88" spans="1:21" ht="16.5" thickBot="1">
      <c r="A88" s="207" t="s">
        <v>10</v>
      </c>
      <c r="B88" s="208">
        <f t="shared" si="3"/>
        <v>90</v>
      </c>
      <c r="C88" s="208" t="s">
        <v>3</v>
      </c>
      <c r="D88" s="208">
        <f t="shared" si="4"/>
        <v>260</v>
      </c>
      <c r="E88" s="208" t="s">
        <v>3</v>
      </c>
      <c r="F88" s="209">
        <f t="shared" si="5"/>
        <v>2100</v>
      </c>
      <c r="G88" s="208" t="s">
        <v>3</v>
      </c>
      <c r="H88" s="208">
        <v>2</v>
      </c>
      <c r="I88" s="210" t="s">
        <v>529</v>
      </c>
      <c r="J88" s="103">
        <v>90</v>
      </c>
      <c r="K88" s="66">
        <v>260</v>
      </c>
      <c r="L88" s="66">
        <v>2100</v>
      </c>
      <c r="M88" s="164">
        <v>20.751923572485921</v>
      </c>
      <c r="N88" s="78">
        <v>5437.3955999999998</v>
      </c>
      <c r="O88" s="113">
        <v>72375.086139469728</v>
      </c>
      <c r="P88" s="113">
        <v>77457.278059714517</v>
      </c>
      <c r="Q88" s="110">
        <v>25595.289022996385</v>
      </c>
      <c r="R88" s="113">
        <v>97970.375162466109</v>
      </c>
      <c r="S88" s="113">
        <v>103052.5670827109</v>
      </c>
      <c r="U88" s="7" t="s">
        <v>6409</v>
      </c>
    </row>
    <row r="89" spans="1:21" ht="16.5" thickBot="1">
      <c r="A89" s="207" t="s">
        <v>10</v>
      </c>
      <c r="B89" s="211">
        <f t="shared" si="3"/>
        <v>90</v>
      </c>
      <c r="C89" s="211" t="s">
        <v>3</v>
      </c>
      <c r="D89" s="211">
        <f t="shared" si="4"/>
        <v>260</v>
      </c>
      <c r="E89" s="211" t="s">
        <v>3</v>
      </c>
      <c r="F89" s="209">
        <f t="shared" si="5"/>
        <v>2150</v>
      </c>
      <c r="G89" s="211" t="s">
        <v>3</v>
      </c>
      <c r="H89" s="208">
        <v>2</v>
      </c>
      <c r="I89" s="210" t="s">
        <v>529</v>
      </c>
      <c r="J89" s="103">
        <v>90</v>
      </c>
      <c r="K89" s="66">
        <v>260</v>
      </c>
      <c r="L89" s="66">
        <v>2150</v>
      </c>
      <c r="M89" s="164">
        <v>21.296103253358687</v>
      </c>
      <c r="N89" s="78">
        <v>5592.7497599999997</v>
      </c>
      <c r="O89" s="113">
        <v>73506.174407358121</v>
      </c>
      <c r="P89" s="113">
        <v>78713.815460578946</v>
      </c>
      <c r="Q89" s="110">
        <v>26065.744590476344</v>
      </c>
      <c r="R89" s="113">
        <v>99571.918997834466</v>
      </c>
      <c r="S89" s="113">
        <v>104779.56005105529</v>
      </c>
      <c r="U89" s="7" t="s">
        <v>6410</v>
      </c>
    </row>
    <row r="90" spans="1:21" ht="16.5" thickBot="1">
      <c r="A90" s="207" t="s">
        <v>10</v>
      </c>
      <c r="B90" s="211">
        <f t="shared" si="3"/>
        <v>90</v>
      </c>
      <c r="C90" s="211" t="s">
        <v>3</v>
      </c>
      <c r="D90" s="211">
        <f t="shared" si="4"/>
        <v>260</v>
      </c>
      <c r="E90" s="211" t="s">
        <v>3</v>
      </c>
      <c r="F90" s="209">
        <f t="shared" si="5"/>
        <v>2200</v>
      </c>
      <c r="G90" s="211" t="s">
        <v>3</v>
      </c>
      <c r="H90" s="208">
        <v>2</v>
      </c>
      <c r="I90" s="210" t="s">
        <v>529</v>
      </c>
      <c r="J90" s="103">
        <v>90</v>
      </c>
      <c r="K90" s="66">
        <v>260</v>
      </c>
      <c r="L90" s="66">
        <v>2200</v>
      </c>
      <c r="M90" s="164">
        <v>21.733322934231445</v>
      </c>
      <c r="N90" s="78">
        <v>5748.1039199999996</v>
      </c>
      <c r="O90" s="113">
        <v>74637.210385317478</v>
      </c>
      <c r="P90" s="113">
        <v>79970.30382337558</v>
      </c>
      <c r="Q90" s="110">
        <v>26787.534295740079</v>
      </c>
      <c r="R90" s="113">
        <v>101424.74468105755</v>
      </c>
      <c r="S90" s="113">
        <v>106757.83811911565</v>
      </c>
      <c r="U90" s="7" t="s">
        <v>6411</v>
      </c>
    </row>
    <row r="91" spans="1:21" ht="16.5" thickBot="1">
      <c r="A91" s="207" t="s">
        <v>10</v>
      </c>
      <c r="B91" s="211">
        <f t="shared" si="3"/>
        <v>90</v>
      </c>
      <c r="C91" s="211" t="s">
        <v>3</v>
      </c>
      <c r="D91" s="211">
        <f t="shared" si="4"/>
        <v>260</v>
      </c>
      <c r="E91" s="211" t="s">
        <v>3</v>
      </c>
      <c r="F91" s="209">
        <f t="shared" si="5"/>
        <v>2250</v>
      </c>
      <c r="G91" s="211" t="s">
        <v>3</v>
      </c>
      <c r="H91" s="208">
        <v>2</v>
      </c>
      <c r="I91" s="210" t="s">
        <v>529</v>
      </c>
      <c r="J91" s="103">
        <v>90</v>
      </c>
      <c r="K91" s="66">
        <v>260</v>
      </c>
      <c r="L91" s="66">
        <v>2250</v>
      </c>
      <c r="M91" s="164">
        <v>22.153502615104209</v>
      </c>
      <c r="N91" s="78">
        <v>5903.4580799999994</v>
      </c>
      <c r="O91" s="113">
        <v>76116.622292251413</v>
      </c>
      <c r="P91" s="113">
        <v>81552.974682352578</v>
      </c>
      <c r="Q91" s="110">
        <v>27257.989710191272</v>
      </c>
      <c r="R91" s="113">
        <v>103374.61200244268</v>
      </c>
      <c r="S91" s="113">
        <v>108810.96439254386</v>
      </c>
      <c r="U91" s="7" t="s">
        <v>6412</v>
      </c>
    </row>
    <row r="92" spans="1:21" ht="16.5" thickBot="1">
      <c r="A92" s="207" t="s">
        <v>10</v>
      </c>
      <c r="B92" s="211">
        <f t="shared" si="3"/>
        <v>90</v>
      </c>
      <c r="C92" s="211" t="s">
        <v>3</v>
      </c>
      <c r="D92" s="211">
        <f t="shared" si="4"/>
        <v>260</v>
      </c>
      <c r="E92" s="211" t="s">
        <v>3</v>
      </c>
      <c r="F92" s="209">
        <f t="shared" si="5"/>
        <v>2300</v>
      </c>
      <c r="G92" s="211" t="s">
        <v>3</v>
      </c>
      <c r="H92" s="208">
        <v>2</v>
      </c>
      <c r="I92" s="210" t="s">
        <v>529</v>
      </c>
      <c r="J92" s="103">
        <v>90</v>
      </c>
      <c r="K92" s="66">
        <v>260</v>
      </c>
      <c r="L92" s="66">
        <v>2300</v>
      </c>
      <c r="M92" s="164">
        <v>22.573682295976973</v>
      </c>
      <c r="N92" s="78">
        <v>6058.8122400000002</v>
      </c>
      <c r="O92" s="113">
        <v>76982.891206212807</v>
      </c>
      <c r="P92" s="113">
        <v>82561.563255426765</v>
      </c>
      <c r="Q92" s="110">
        <v>27728.445277671239</v>
      </c>
      <c r="R92" s="113">
        <v>104711.33648388405</v>
      </c>
      <c r="S92" s="113">
        <v>110290.00853309801</v>
      </c>
      <c r="U92" s="7" t="s">
        <v>6413</v>
      </c>
    </row>
    <row r="93" spans="1:21" ht="16.5" thickBot="1">
      <c r="A93" s="207" t="s">
        <v>10</v>
      </c>
      <c r="B93" s="211">
        <f t="shared" si="3"/>
        <v>90</v>
      </c>
      <c r="C93" s="211" t="s">
        <v>3</v>
      </c>
      <c r="D93" s="211">
        <f t="shared" si="4"/>
        <v>260</v>
      </c>
      <c r="E93" s="211" t="s">
        <v>3</v>
      </c>
      <c r="F93" s="209">
        <f t="shared" si="5"/>
        <v>2350</v>
      </c>
      <c r="G93" s="211" t="s">
        <v>3</v>
      </c>
      <c r="H93" s="208">
        <v>2</v>
      </c>
      <c r="I93" s="210" t="s">
        <v>529</v>
      </c>
      <c r="J93" s="103">
        <v>90</v>
      </c>
      <c r="K93" s="66">
        <v>260</v>
      </c>
      <c r="L93" s="66">
        <v>2350</v>
      </c>
      <c r="M93" s="164">
        <v>23.010901976849738</v>
      </c>
      <c r="N93" s="78">
        <v>6214.1664000000001</v>
      </c>
      <c r="O93" s="113">
        <v>77849.107830245164</v>
      </c>
      <c r="P93" s="113">
        <v>83570.102660358723</v>
      </c>
      <c r="Q93" s="110">
        <v>28450.234982934966</v>
      </c>
      <c r="R93" s="113">
        <v>106299.34281318013</v>
      </c>
      <c r="S93" s="113">
        <v>112020.33764329369</v>
      </c>
      <c r="U93" s="7" t="s">
        <v>6414</v>
      </c>
    </row>
    <row r="94" spans="1:21" ht="16.5" thickBot="1">
      <c r="A94" s="207" t="s">
        <v>10</v>
      </c>
      <c r="B94" s="211">
        <f t="shared" si="3"/>
        <v>90</v>
      </c>
      <c r="C94" s="211" t="s">
        <v>3</v>
      </c>
      <c r="D94" s="211">
        <f t="shared" si="4"/>
        <v>260</v>
      </c>
      <c r="E94" s="211" t="s">
        <v>3</v>
      </c>
      <c r="F94" s="209">
        <f t="shared" si="5"/>
        <v>2400</v>
      </c>
      <c r="G94" s="211" t="s">
        <v>3</v>
      </c>
      <c r="H94" s="208">
        <v>2</v>
      </c>
      <c r="I94" s="210" t="s">
        <v>529</v>
      </c>
      <c r="J94" s="103">
        <v>90</v>
      </c>
      <c r="K94" s="66">
        <v>260</v>
      </c>
      <c r="L94" s="66">
        <v>2400</v>
      </c>
      <c r="M94" s="164">
        <v>23.431081657722501</v>
      </c>
      <c r="N94" s="78">
        <v>6369.520559999999</v>
      </c>
      <c r="O94" s="113">
        <v>78715.271904199588</v>
      </c>
      <c r="P94" s="113">
        <v>84578.593027222902</v>
      </c>
      <c r="Q94" s="110">
        <v>28920.690550414929</v>
      </c>
      <c r="R94" s="113">
        <v>107635.96245461452</v>
      </c>
      <c r="S94" s="113">
        <v>113499.28357763783</v>
      </c>
      <c r="U94" s="7" t="s">
        <v>6415</v>
      </c>
    </row>
    <row r="95" spans="1:21" ht="16.5" thickBot="1">
      <c r="A95" s="207" t="s">
        <v>10</v>
      </c>
      <c r="B95" s="211">
        <f t="shared" si="3"/>
        <v>90</v>
      </c>
      <c r="C95" s="211" t="s">
        <v>3</v>
      </c>
      <c r="D95" s="211">
        <f t="shared" si="4"/>
        <v>260</v>
      </c>
      <c r="E95" s="211" t="s">
        <v>3</v>
      </c>
      <c r="F95" s="209">
        <f t="shared" si="5"/>
        <v>2450</v>
      </c>
      <c r="G95" s="211" t="s">
        <v>3</v>
      </c>
      <c r="H95" s="208">
        <v>2</v>
      </c>
      <c r="I95" s="210" t="s">
        <v>529</v>
      </c>
      <c r="J95" s="103">
        <v>90</v>
      </c>
      <c r="K95" s="66">
        <v>260</v>
      </c>
      <c r="L95" s="66">
        <v>2450</v>
      </c>
      <c r="M95" s="164">
        <v>24.549065527395264</v>
      </c>
      <c r="N95" s="78">
        <v>6524.8747200000007</v>
      </c>
      <c r="O95" s="113">
        <v>80081.79843924295</v>
      </c>
      <c r="P95" s="113">
        <v>86172.617824822592</v>
      </c>
      <c r="Q95" s="110">
        <v>29642.480255678664</v>
      </c>
      <c r="R95" s="113">
        <v>109724.27869492161</v>
      </c>
      <c r="S95" s="113">
        <v>115815.09808050125</v>
      </c>
      <c r="U95" s="7" t="s">
        <v>6416</v>
      </c>
    </row>
    <row r="96" spans="1:21" ht="16.5" thickBot="1">
      <c r="A96" s="207" t="s">
        <v>10</v>
      </c>
      <c r="B96" s="211">
        <f t="shared" si="3"/>
        <v>90</v>
      </c>
      <c r="C96" s="211" t="s">
        <v>3</v>
      </c>
      <c r="D96" s="211">
        <f t="shared" si="4"/>
        <v>260</v>
      </c>
      <c r="E96" s="211" t="s">
        <v>3</v>
      </c>
      <c r="F96" s="209">
        <f t="shared" si="5"/>
        <v>2500</v>
      </c>
      <c r="G96" s="211" t="s">
        <v>3</v>
      </c>
      <c r="H96" s="208">
        <v>2</v>
      </c>
      <c r="I96" s="210" t="s">
        <v>529</v>
      </c>
      <c r="J96" s="103">
        <v>90</v>
      </c>
      <c r="K96" s="66">
        <v>260</v>
      </c>
      <c r="L96" s="66">
        <v>2500</v>
      </c>
      <c r="M96" s="164">
        <v>24.986245208268031</v>
      </c>
      <c r="N96" s="78">
        <v>6680.2288799999997</v>
      </c>
      <c r="O96" s="113">
        <v>80947.857673190374</v>
      </c>
      <c r="P96" s="113">
        <v>87181.009985476732</v>
      </c>
      <c r="Q96" s="110">
        <v>30112.935823158623</v>
      </c>
      <c r="R96" s="113">
        <v>111060.793496349</v>
      </c>
      <c r="S96" s="113">
        <v>117293.94580863536</v>
      </c>
      <c r="U96" s="7" t="s">
        <v>6417</v>
      </c>
    </row>
    <row r="97" spans="1:21" ht="16.5" thickBot="1">
      <c r="A97" s="207" t="s">
        <v>10</v>
      </c>
      <c r="B97" s="211">
        <f t="shared" si="3"/>
        <v>90</v>
      </c>
      <c r="C97" s="211" t="s">
        <v>3</v>
      </c>
      <c r="D97" s="211">
        <f t="shared" si="4"/>
        <v>260</v>
      </c>
      <c r="E97" s="211" t="s">
        <v>3</v>
      </c>
      <c r="F97" s="209">
        <f t="shared" si="5"/>
        <v>2550</v>
      </c>
      <c r="G97" s="211" t="s">
        <v>3</v>
      </c>
      <c r="H97" s="208">
        <v>2</v>
      </c>
      <c r="I97" s="210" t="s">
        <v>529</v>
      </c>
      <c r="J97" s="103">
        <v>90</v>
      </c>
      <c r="K97" s="66">
        <v>260</v>
      </c>
      <c r="L97" s="66">
        <v>2550</v>
      </c>
      <c r="M97" s="164">
        <v>25.423464889140796</v>
      </c>
      <c r="N97" s="78">
        <v>6835.5830399999995</v>
      </c>
      <c r="O97" s="113">
        <v>85404.690528382969</v>
      </c>
      <c r="P97" s="113">
        <v>91551.423066820498</v>
      </c>
      <c r="Q97" s="110">
        <v>30834.725528422357</v>
      </c>
      <c r="R97" s="113">
        <v>116239.41605680532</v>
      </c>
      <c r="S97" s="113">
        <v>122386.14859524285</v>
      </c>
      <c r="U97" s="7" t="s">
        <v>6418</v>
      </c>
    </row>
    <row r="98" spans="1:21" ht="16.5" thickBot="1">
      <c r="A98" s="207" t="s">
        <v>10</v>
      </c>
      <c r="B98" s="208">
        <f t="shared" si="3"/>
        <v>90</v>
      </c>
      <c r="C98" s="208" t="s">
        <v>3</v>
      </c>
      <c r="D98" s="208">
        <f t="shared" si="4"/>
        <v>260</v>
      </c>
      <c r="E98" s="208" t="s">
        <v>3</v>
      </c>
      <c r="F98" s="209">
        <f t="shared" si="5"/>
        <v>2600</v>
      </c>
      <c r="G98" s="208" t="s">
        <v>3</v>
      </c>
      <c r="H98" s="208">
        <v>2</v>
      </c>
      <c r="I98" s="210" t="s">
        <v>529</v>
      </c>
      <c r="J98" s="103">
        <v>90</v>
      </c>
      <c r="K98" s="66">
        <v>260</v>
      </c>
      <c r="L98" s="66">
        <v>2600</v>
      </c>
      <c r="M98" s="164">
        <v>25.843644570013556</v>
      </c>
      <c r="N98" s="78">
        <v>6990.9371999999994</v>
      </c>
      <c r="O98" s="113">
        <v>86565.60278654685</v>
      </c>
      <c r="P98" s="113">
        <v>92835.884460464062</v>
      </c>
      <c r="Q98" s="110">
        <v>31305.181095902317</v>
      </c>
      <c r="R98" s="113">
        <v>117870.78388244916</v>
      </c>
      <c r="S98" s="113">
        <v>124141.06555636637</v>
      </c>
      <c r="U98" s="7" t="s">
        <v>6419</v>
      </c>
    </row>
    <row r="99" spans="1:21" ht="16.5" thickBot="1">
      <c r="A99" s="207" t="s">
        <v>10</v>
      </c>
      <c r="B99" s="211">
        <f t="shared" si="3"/>
        <v>90</v>
      </c>
      <c r="C99" s="211" t="s">
        <v>3</v>
      </c>
      <c r="D99" s="211">
        <f t="shared" si="4"/>
        <v>260</v>
      </c>
      <c r="E99" s="211" t="s">
        <v>3</v>
      </c>
      <c r="F99" s="209">
        <f t="shared" si="5"/>
        <v>2650</v>
      </c>
      <c r="G99" s="211" t="s">
        <v>3</v>
      </c>
      <c r="H99" s="208">
        <v>2</v>
      </c>
      <c r="I99" s="210" t="s">
        <v>529</v>
      </c>
      <c r="J99" s="103">
        <v>90</v>
      </c>
      <c r="K99" s="66">
        <v>260</v>
      </c>
      <c r="L99" s="66">
        <v>2650</v>
      </c>
      <c r="M99" s="164">
        <v>26.387864250886324</v>
      </c>
      <c r="N99" s="78">
        <v>7146.2913599999993</v>
      </c>
      <c r="O99" s="113">
        <v>87257.13943948345</v>
      </c>
      <c r="P99" s="113">
        <v>93680.872153751567</v>
      </c>
      <c r="Q99" s="110">
        <v>32026.970801166051</v>
      </c>
      <c r="R99" s="113">
        <v>119284.1102406495</v>
      </c>
      <c r="S99" s="113">
        <v>125707.84295491762</v>
      </c>
      <c r="U99" s="7" t="s">
        <v>6420</v>
      </c>
    </row>
    <row r="100" spans="1:21" ht="16.5" thickBot="1">
      <c r="A100" s="207" t="s">
        <v>10</v>
      </c>
      <c r="B100" s="211">
        <f t="shared" si="3"/>
        <v>90</v>
      </c>
      <c r="C100" s="211" t="s">
        <v>3</v>
      </c>
      <c r="D100" s="211">
        <f t="shared" si="4"/>
        <v>260</v>
      </c>
      <c r="E100" s="211" t="s">
        <v>3</v>
      </c>
      <c r="F100" s="209">
        <f t="shared" si="5"/>
        <v>2700</v>
      </c>
      <c r="G100" s="211" t="s">
        <v>3</v>
      </c>
      <c r="H100" s="208">
        <v>2</v>
      </c>
      <c r="I100" s="210" t="s">
        <v>529</v>
      </c>
      <c r="J100" s="103">
        <v>90</v>
      </c>
      <c r="K100" s="66">
        <v>260</v>
      </c>
      <c r="L100" s="66">
        <v>2700</v>
      </c>
      <c r="M100" s="164">
        <v>26.847293931759086</v>
      </c>
      <c r="N100" s="78">
        <v>7301.64552</v>
      </c>
      <c r="O100" s="113">
        <v>87987.187234936995</v>
      </c>
      <c r="P100" s="113">
        <v>94561.91765534789</v>
      </c>
      <c r="Q100" s="110">
        <v>32497.426368646011</v>
      </c>
      <c r="R100" s="113">
        <v>120484.61360358301</v>
      </c>
      <c r="S100" s="113">
        <v>127059.34402399391</v>
      </c>
      <c r="U100" s="7" t="s">
        <v>6421</v>
      </c>
    </row>
    <row r="101" spans="1:21" ht="16.5" thickBot="1">
      <c r="A101" s="207" t="s">
        <v>10</v>
      </c>
      <c r="B101" s="211">
        <f t="shared" si="3"/>
        <v>90</v>
      </c>
      <c r="C101" s="211" t="s">
        <v>3</v>
      </c>
      <c r="D101" s="211">
        <f t="shared" si="4"/>
        <v>260</v>
      </c>
      <c r="E101" s="211" t="s">
        <v>3</v>
      </c>
      <c r="F101" s="209">
        <f t="shared" si="5"/>
        <v>2750</v>
      </c>
      <c r="G101" s="211" t="s">
        <v>3</v>
      </c>
      <c r="H101" s="208">
        <v>2</v>
      </c>
      <c r="I101" s="210" t="s">
        <v>529</v>
      </c>
      <c r="J101" s="103">
        <v>90</v>
      </c>
      <c r="K101" s="66">
        <v>260</v>
      </c>
      <c r="L101" s="66">
        <v>2750</v>
      </c>
      <c r="M101" s="164">
        <v>27.267473612631846</v>
      </c>
      <c r="N101" s="78">
        <v>7456.9996799999999</v>
      </c>
      <c r="O101" s="113">
        <v>88767.731102688937</v>
      </c>
      <c r="P101" s="113">
        <v>95490.242227936338</v>
      </c>
      <c r="Q101" s="110">
        <v>32967.881936125974</v>
      </c>
      <c r="R101" s="113">
        <v>121735.61303881492</v>
      </c>
      <c r="S101" s="113">
        <v>128458.12416406232</v>
      </c>
      <c r="U101" s="7" t="s">
        <v>6422</v>
      </c>
    </row>
    <row r="102" spans="1:21" ht="16.5" thickBot="1">
      <c r="A102" s="207" t="s">
        <v>10</v>
      </c>
      <c r="B102" s="211">
        <f t="shared" si="3"/>
        <v>90</v>
      </c>
      <c r="C102" s="211" t="s">
        <v>3</v>
      </c>
      <c r="D102" s="211">
        <f t="shared" si="4"/>
        <v>260</v>
      </c>
      <c r="E102" s="211" t="s">
        <v>3</v>
      </c>
      <c r="F102" s="209">
        <f t="shared" si="5"/>
        <v>2800</v>
      </c>
      <c r="G102" s="211" t="s">
        <v>3</v>
      </c>
      <c r="H102" s="208">
        <v>2</v>
      </c>
      <c r="I102" s="210" t="s">
        <v>529</v>
      </c>
      <c r="J102" s="103">
        <v>90</v>
      </c>
      <c r="K102" s="66">
        <v>260</v>
      </c>
      <c r="L102" s="66">
        <v>2800</v>
      </c>
      <c r="M102" s="164">
        <v>27.704693293504608</v>
      </c>
      <c r="N102" s="78">
        <v>7612.3538400000007</v>
      </c>
      <c r="O102" s="113">
        <v>89457.922265511035</v>
      </c>
      <c r="P102" s="113">
        <v>96333.970150172172</v>
      </c>
      <c r="Q102" s="110">
        <v>33689.671488360938</v>
      </c>
      <c r="R102" s="113">
        <v>123147.59375387197</v>
      </c>
      <c r="S102" s="113">
        <v>130023.64163853311</v>
      </c>
      <c r="U102" s="7" t="s">
        <v>6423</v>
      </c>
    </row>
    <row r="103" spans="1:21" ht="16.5" thickBot="1">
      <c r="A103" s="207" t="s">
        <v>10</v>
      </c>
      <c r="B103" s="211">
        <f t="shared" si="3"/>
        <v>90</v>
      </c>
      <c r="C103" s="211" t="s">
        <v>3</v>
      </c>
      <c r="D103" s="211">
        <f t="shared" si="4"/>
        <v>260</v>
      </c>
      <c r="E103" s="211" t="s">
        <v>3</v>
      </c>
      <c r="F103" s="209">
        <f t="shared" si="5"/>
        <v>2850</v>
      </c>
      <c r="G103" s="211" t="s">
        <v>3</v>
      </c>
      <c r="H103" s="208">
        <v>2</v>
      </c>
      <c r="I103" s="210" t="s">
        <v>529</v>
      </c>
      <c r="J103" s="103">
        <v>90</v>
      </c>
      <c r="K103" s="66">
        <v>260</v>
      </c>
      <c r="L103" s="66">
        <v>2850</v>
      </c>
      <c r="M103" s="164">
        <v>28.124872974377368</v>
      </c>
      <c r="N103" s="78">
        <v>7767.7079999999987</v>
      </c>
      <c r="O103" s="113">
        <v>90148.061008329634</v>
      </c>
      <c r="P103" s="113">
        <v>97177.649034340197</v>
      </c>
      <c r="Q103" s="110">
        <v>34160.127055840901</v>
      </c>
      <c r="R103" s="113">
        <v>124308.18806417054</v>
      </c>
      <c r="S103" s="113">
        <v>131337.77609018108</v>
      </c>
      <c r="U103" s="7" t="s">
        <v>6424</v>
      </c>
    </row>
    <row r="104" spans="1:21" ht="16.5" thickBot="1">
      <c r="A104" s="207" t="s">
        <v>10</v>
      </c>
      <c r="B104" s="211">
        <f t="shared" si="3"/>
        <v>90</v>
      </c>
      <c r="C104" s="211" t="s">
        <v>3</v>
      </c>
      <c r="D104" s="211">
        <f t="shared" si="4"/>
        <v>260</v>
      </c>
      <c r="E104" s="211" t="s">
        <v>3</v>
      </c>
      <c r="F104" s="209">
        <f t="shared" si="5"/>
        <v>2900</v>
      </c>
      <c r="G104" s="211" t="s">
        <v>3</v>
      </c>
      <c r="H104" s="208">
        <v>2</v>
      </c>
      <c r="I104" s="210" t="s">
        <v>529</v>
      </c>
      <c r="J104" s="103">
        <v>90</v>
      </c>
      <c r="K104" s="66">
        <v>260</v>
      </c>
      <c r="L104" s="66">
        <v>2900</v>
      </c>
      <c r="M104" s="164">
        <v>28.738092655250135</v>
      </c>
      <c r="N104" s="78">
        <v>7923.0621599999986</v>
      </c>
      <c r="O104" s="113">
        <v>90838.147331144777</v>
      </c>
      <c r="P104" s="113">
        <v>98021.278750365993</v>
      </c>
      <c r="Q104" s="110">
        <v>34881.916761104636</v>
      </c>
      <c r="R104" s="113">
        <v>125720.06409224941</v>
      </c>
      <c r="S104" s="113">
        <v>132903.19551147064</v>
      </c>
      <c r="U104" s="7" t="s">
        <v>6425</v>
      </c>
    </row>
    <row r="105" spans="1:21" ht="16.5" thickBot="1">
      <c r="A105" s="207" t="s">
        <v>10</v>
      </c>
      <c r="B105" s="211">
        <f t="shared" si="3"/>
        <v>90</v>
      </c>
      <c r="C105" s="211" t="s">
        <v>3</v>
      </c>
      <c r="D105" s="211">
        <f t="shared" si="4"/>
        <v>260</v>
      </c>
      <c r="E105" s="211" t="s">
        <v>3</v>
      </c>
      <c r="F105" s="209">
        <f t="shared" si="5"/>
        <v>2950</v>
      </c>
      <c r="G105" s="211" t="s">
        <v>3</v>
      </c>
      <c r="H105" s="208">
        <v>2</v>
      </c>
      <c r="I105" s="210" t="s">
        <v>529</v>
      </c>
      <c r="J105" s="103">
        <v>90</v>
      </c>
      <c r="K105" s="66">
        <v>260</v>
      </c>
      <c r="L105" s="66">
        <v>2950</v>
      </c>
      <c r="M105" s="164">
        <v>29.158272336122899</v>
      </c>
      <c r="N105" s="78">
        <v>8078.4163199999994</v>
      </c>
      <c r="O105" s="113">
        <v>91528.181233956391</v>
      </c>
      <c r="P105" s="113">
        <v>98864.859428324009</v>
      </c>
      <c r="Q105" s="110">
        <v>35352.372328584599</v>
      </c>
      <c r="R105" s="113">
        <v>126880.553562541</v>
      </c>
      <c r="S105" s="113">
        <v>134217.23175690862</v>
      </c>
      <c r="U105" s="7" t="s">
        <v>6426</v>
      </c>
    </row>
    <row r="106" spans="1:21" ht="16.5" thickBot="1">
      <c r="A106" s="212" t="s">
        <v>10</v>
      </c>
      <c r="B106" s="213">
        <f t="shared" si="3"/>
        <v>90</v>
      </c>
      <c r="C106" s="213" t="s">
        <v>3</v>
      </c>
      <c r="D106" s="213">
        <f t="shared" si="4"/>
        <v>260</v>
      </c>
      <c r="E106" s="213" t="s">
        <v>3</v>
      </c>
      <c r="F106" s="214">
        <f t="shared" si="5"/>
        <v>3000</v>
      </c>
      <c r="G106" s="213" t="s">
        <v>3</v>
      </c>
      <c r="H106" s="215">
        <v>2</v>
      </c>
      <c r="I106" s="210" t="s">
        <v>529</v>
      </c>
      <c r="J106" s="287">
        <v>90</v>
      </c>
      <c r="K106" s="266">
        <v>260</v>
      </c>
      <c r="L106" s="266">
        <v>3000</v>
      </c>
      <c r="M106" s="249">
        <v>29.595492016995664</v>
      </c>
      <c r="N106" s="250">
        <v>8233.7704799999992</v>
      </c>
      <c r="O106" s="251">
        <v>94089.514827437466</v>
      </c>
      <c r="P106" s="251">
        <v>101460.52734364667</v>
      </c>
      <c r="Q106" s="252">
        <v>36074.162033848326</v>
      </c>
      <c r="R106" s="251">
        <v>130163.67686128578</v>
      </c>
      <c r="S106" s="251">
        <v>137534.689377495</v>
      </c>
      <c r="U106" s="7" t="s">
        <v>6427</v>
      </c>
    </row>
    <row r="107" spans="1:21" ht="22.5" customHeight="1" thickBot="1">
      <c r="A107" s="2968" t="s">
        <v>43</v>
      </c>
      <c r="B107" s="2969"/>
      <c r="C107" s="2969"/>
      <c r="D107" s="2969"/>
      <c r="E107" s="2969"/>
      <c r="F107" s="2969"/>
      <c r="G107" s="2969"/>
      <c r="H107" s="2969"/>
      <c r="I107" s="2969"/>
      <c r="J107" s="2969"/>
      <c r="K107" s="2969"/>
      <c r="L107" s="2969"/>
      <c r="M107" s="2969"/>
      <c r="N107" s="2969"/>
      <c r="O107" s="2969"/>
      <c r="P107" s="2969"/>
      <c r="Q107" s="2969"/>
      <c r="R107" s="2969"/>
      <c r="S107" s="2970"/>
    </row>
    <row r="108" spans="1:21" ht="16.5" thickBot="1">
      <c r="A108" s="2974" t="s">
        <v>112</v>
      </c>
      <c r="B108" s="2975"/>
      <c r="C108" s="2975"/>
      <c r="D108" s="2975"/>
      <c r="E108" s="2975"/>
      <c r="F108" s="2975"/>
      <c r="G108" s="2975"/>
      <c r="H108" s="2975"/>
      <c r="I108" s="2975"/>
      <c r="J108" s="2975"/>
      <c r="K108" s="2975"/>
      <c r="L108" s="2975"/>
      <c r="M108" s="2975"/>
      <c r="N108" s="2975"/>
      <c r="O108" s="2975"/>
      <c r="P108" s="2975"/>
      <c r="Q108" s="2975"/>
      <c r="R108" s="2975"/>
      <c r="S108" s="2976"/>
    </row>
    <row r="109" spans="1:21" ht="16.5" thickBot="1">
      <c r="A109" s="207" t="s">
        <v>10</v>
      </c>
      <c r="B109" s="208">
        <f t="shared" ref="B109:B155" si="6">J109</f>
        <v>90</v>
      </c>
      <c r="C109" s="208" t="s">
        <v>3</v>
      </c>
      <c r="D109" s="208">
        <f t="shared" ref="D109:D155" si="7">K109</f>
        <v>300</v>
      </c>
      <c r="E109" s="208" t="s">
        <v>3</v>
      </c>
      <c r="F109" s="209">
        <f t="shared" ref="F109:F155" si="8">L109</f>
        <v>700</v>
      </c>
      <c r="G109" s="208" t="s">
        <v>3</v>
      </c>
      <c r="H109" s="208">
        <v>2</v>
      </c>
      <c r="I109" s="210" t="s">
        <v>529</v>
      </c>
      <c r="J109" s="286">
        <v>90</v>
      </c>
      <c r="K109" s="271">
        <v>300</v>
      </c>
      <c r="L109" s="271">
        <v>700</v>
      </c>
      <c r="M109" s="245">
        <v>7.9788715468274987</v>
      </c>
      <c r="N109" s="246">
        <v>1262.4448199999997</v>
      </c>
      <c r="O109" s="247">
        <v>28691.014887468275</v>
      </c>
      <c r="P109" s="247">
        <v>31094.361744514503</v>
      </c>
      <c r="Q109" s="248">
        <v>10240.289076749623</v>
      </c>
      <c r="R109" s="247">
        <v>38931.303964217899</v>
      </c>
      <c r="S109" s="247">
        <v>41334.650821264127</v>
      </c>
      <c r="U109" s="7" t="s">
        <v>6428</v>
      </c>
    </row>
    <row r="110" spans="1:21" ht="16.5" thickBot="1">
      <c r="A110" s="207" t="s">
        <v>10</v>
      </c>
      <c r="B110" s="211">
        <f t="shared" si="6"/>
        <v>90</v>
      </c>
      <c r="C110" s="211" t="s">
        <v>3</v>
      </c>
      <c r="D110" s="211">
        <f t="shared" si="7"/>
        <v>300</v>
      </c>
      <c r="E110" s="211" t="s">
        <v>3</v>
      </c>
      <c r="F110" s="209">
        <f t="shared" si="8"/>
        <v>750</v>
      </c>
      <c r="G110" s="211" t="s">
        <v>3</v>
      </c>
      <c r="H110" s="208">
        <v>2</v>
      </c>
      <c r="I110" s="210" t="s">
        <v>529</v>
      </c>
      <c r="J110" s="103">
        <v>90</v>
      </c>
      <c r="K110" s="66">
        <v>300</v>
      </c>
      <c r="L110" s="66">
        <v>750</v>
      </c>
      <c r="M110" s="164">
        <v>8.434604935594999</v>
      </c>
      <c r="N110" s="78">
        <v>1442.7940799999999</v>
      </c>
      <c r="O110" s="113">
        <v>30385.199353182386</v>
      </c>
      <c r="P110" s="113">
        <v>32897.945326700734</v>
      </c>
      <c r="Q110" s="110">
        <v>10763.930709721371</v>
      </c>
      <c r="R110" s="113">
        <v>41149.130062903758</v>
      </c>
      <c r="S110" s="113">
        <v>43661.876036422109</v>
      </c>
      <c r="U110" s="7" t="s">
        <v>6429</v>
      </c>
    </row>
    <row r="111" spans="1:21" ht="16.5" thickBot="1">
      <c r="A111" s="207" t="s">
        <v>10</v>
      </c>
      <c r="B111" s="211">
        <f t="shared" si="6"/>
        <v>90</v>
      </c>
      <c r="C111" s="211" t="s">
        <v>3</v>
      </c>
      <c r="D111" s="211">
        <f t="shared" si="7"/>
        <v>300</v>
      </c>
      <c r="E111" s="211" t="s">
        <v>3</v>
      </c>
      <c r="F111" s="209">
        <f t="shared" si="8"/>
        <v>800</v>
      </c>
      <c r="G111" s="211" t="s">
        <v>3</v>
      </c>
      <c r="H111" s="208">
        <v>2</v>
      </c>
      <c r="I111" s="210" t="s">
        <v>529</v>
      </c>
      <c r="J111" s="103">
        <v>90</v>
      </c>
      <c r="K111" s="66">
        <v>300</v>
      </c>
      <c r="L111" s="66">
        <v>800</v>
      </c>
      <c r="M111" s="164">
        <v>8.8903383243625012</v>
      </c>
      <c r="N111" s="78">
        <v>1623.1433399999999</v>
      </c>
      <c r="O111" s="113">
        <v>32079.383948970946</v>
      </c>
      <c r="P111" s="113">
        <v>34701.528908886969</v>
      </c>
      <c r="Q111" s="110">
        <v>11287.572342693116</v>
      </c>
      <c r="R111" s="113">
        <v>43366.956291664064</v>
      </c>
      <c r="S111" s="113">
        <v>45989.101251580083</v>
      </c>
      <c r="U111" s="7" t="s">
        <v>6430</v>
      </c>
    </row>
    <row r="112" spans="1:21" ht="16.5" thickBot="1">
      <c r="A112" s="207" t="s">
        <v>10</v>
      </c>
      <c r="B112" s="211">
        <f t="shared" si="6"/>
        <v>90</v>
      </c>
      <c r="C112" s="211" t="s">
        <v>3</v>
      </c>
      <c r="D112" s="211">
        <f t="shared" si="7"/>
        <v>300</v>
      </c>
      <c r="E112" s="211" t="s">
        <v>3</v>
      </c>
      <c r="F112" s="209">
        <f t="shared" si="8"/>
        <v>850</v>
      </c>
      <c r="G112" s="211" t="s">
        <v>3</v>
      </c>
      <c r="H112" s="208">
        <v>2</v>
      </c>
      <c r="I112" s="210" t="s">
        <v>529</v>
      </c>
      <c r="J112" s="103">
        <v>90</v>
      </c>
      <c r="K112" s="66">
        <v>300</v>
      </c>
      <c r="L112" s="66">
        <v>850</v>
      </c>
      <c r="M112" s="164">
        <v>9.3631117131299995</v>
      </c>
      <c r="N112" s="78">
        <v>1803.4925999999998</v>
      </c>
      <c r="O112" s="113">
        <v>33773.56854475951</v>
      </c>
      <c r="P112" s="113">
        <v>36505.112491073203</v>
      </c>
      <c r="Q112" s="110">
        <v>12062.548266477399</v>
      </c>
      <c r="R112" s="113">
        <v>45836.116811236905</v>
      </c>
      <c r="S112" s="113">
        <v>48567.660757550606</v>
      </c>
      <c r="U112" s="7" t="s">
        <v>6431</v>
      </c>
    </row>
    <row r="113" spans="1:21" ht="16.5" thickBot="1">
      <c r="A113" s="207" t="s">
        <v>10</v>
      </c>
      <c r="B113" s="211">
        <f t="shared" si="6"/>
        <v>90</v>
      </c>
      <c r="C113" s="211" t="s">
        <v>3</v>
      </c>
      <c r="D113" s="211">
        <f t="shared" si="7"/>
        <v>300</v>
      </c>
      <c r="E113" s="211" t="s">
        <v>3</v>
      </c>
      <c r="F113" s="209">
        <f t="shared" si="8"/>
        <v>900</v>
      </c>
      <c r="G113" s="211" t="s">
        <v>3</v>
      </c>
      <c r="H113" s="208">
        <v>2</v>
      </c>
      <c r="I113" s="210" t="s">
        <v>529</v>
      </c>
      <c r="J113" s="103">
        <v>90</v>
      </c>
      <c r="K113" s="66">
        <v>300</v>
      </c>
      <c r="L113" s="66">
        <v>900</v>
      </c>
      <c r="M113" s="164">
        <v>9.8568451018975001</v>
      </c>
      <c r="N113" s="78">
        <v>1983.84186</v>
      </c>
      <c r="O113" s="113">
        <v>35467.753140548069</v>
      </c>
      <c r="P113" s="113">
        <v>38308.696073259438</v>
      </c>
      <c r="Q113" s="110">
        <v>12586.189899449146</v>
      </c>
      <c r="R113" s="113">
        <v>48053.943039997219</v>
      </c>
      <c r="S113" s="113">
        <v>50894.88597270858</v>
      </c>
      <c r="U113" s="7" t="s">
        <v>6432</v>
      </c>
    </row>
    <row r="114" spans="1:21" ht="16.5" thickBot="1">
      <c r="A114" s="207" t="s">
        <v>10</v>
      </c>
      <c r="B114" s="211">
        <f t="shared" si="6"/>
        <v>90</v>
      </c>
      <c r="C114" s="211" t="s">
        <v>3</v>
      </c>
      <c r="D114" s="211">
        <f t="shared" si="7"/>
        <v>300</v>
      </c>
      <c r="E114" s="211" t="s">
        <v>3</v>
      </c>
      <c r="F114" s="209">
        <f t="shared" si="8"/>
        <v>950</v>
      </c>
      <c r="G114" s="211" t="s">
        <v>3</v>
      </c>
      <c r="H114" s="208">
        <v>2</v>
      </c>
      <c r="I114" s="210" t="s">
        <v>529</v>
      </c>
      <c r="J114" s="103">
        <v>90</v>
      </c>
      <c r="K114" s="66">
        <v>300</v>
      </c>
      <c r="L114" s="66">
        <v>950</v>
      </c>
      <c r="M114" s="164">
        <v>10.398618490664999</v>
      </c>
      <c r="N114" s="78">
        <v>2164.19112</v>
      </c>
      <c r="O114" s="113">
        <v>37161.937606262174</v>
      </c>
      <c r="P114" s="113">
        <v>40112.279655445673</v>
      </c>
      <c r="Q114" s="110">
        <v>13361.165670204662</v>
      </c>
      <c r="R114" s="113">
        <v>50523.103276466834</v>
      </c>
      <c r="S114" s="113">
        <v>53473.445325650333</v>
      </c>
      <c r="U114" s="7" t="s">
        <v>6433</v>
      </c>
    </row>
    <row r="115" spans="1:21" ht="16.5" thickBot="1">
      <c r="A115" s="207" t="s">
        <v>10</v>
      </c>
      <c r="B115" s="211">
        <f t="shared" si="6"/>
        <v>90</v>
      </c>
      <c r="C115" s="211" t="s">
        <v>3</v>
      </c>
      <c r="D115" s="211">
        <f t="shared" si="7"/>
        <v>300</v>
      </c>
      <c r="E115" s="211" t="s">
        <v>3</v>
      </c>
      <c r="F115" s="209">
        <f t="shared" si="8"/>
        <v>1000</v>
      </c>
      <c r="G115" s="211" t="s">
        <v>3</v>
      </c>
      <c r="H115" s="208">
        <v>2</v>
      </c>
      <c r="I115" s="210" t="s">
        <v>529</v>
      </c>
      <c r="J115" s="103">
        <v>90</v>
      </c>
      <c r="K115" s="66">
        <v>300</v>
      </c>
      <c r="L115" s="66">
        <v>1000</v>
      </c>
      <c r="M115" s="164">
        <v>10.854351879432501</v>
      </c>
      <c r="N115" s="78">
        <v>2344.5403799999999</v>
      </c>
      <c r="O115" s="113">
        <v>38752.428281045693</v>
      </c>
      <c r="P115" s="113">
        <v>41818.775147588196</v>
      </c>
      <c r="Q115" s="110">
        <v>13884.807456205173</v>
      </c>
      <c r="R115" s="113">
        <v>52637.23573725087</v>
      </c>
      <c r="S115" s="113">
        <v>55703.582603793373</v>
      </c>
      <c r="U115" s="7" t="s">
        <v>6434</v>
      </c>
    </row>
    <row r="116" spans="1:21" ht="16.5" thickBot="1">
      <c r="A116" s="207" t="s">
        <v>10</v>
      </c>
      <c r="B116" s="211">
        <f t="shared" si="6"/>
        <v>90</v>
      </c>
      <c r="C116" s="211" t="s">
        <v>3</v>
      </c>
      <c r="D116" s="211">
        <f t="shared" si="7"/>
        <v>300</v>
      </c>
      <c r="E116" s="211" t="s">
        <v>3</v>
      </c>
      <c r="F116" s="209">
        <f t="shared" si="8"/>
        <v>1050</v>
      </c>
      <c r="G116" s="211" t="s">
        <v>3</v>
      </c>
      <c r="H116" s="208">
        <v>2</v>
      </c>
      <c r="I116" s="210" t="s">
        <v>529</v>
      </c>
      <c r="J116" s="103">
        <v>90</v>
      </c>
      <c r="K116" s="66">
        <v>300</v>
      </c>
      <c r="L116" s="66">
        <v>1050</v>
      </c>
      <c r="M116" s="164">
        <v>11.3271252682</v>
      </c>
      <c r="N116" s="78">
        <v>2524.8896399999994</v>
      </c>
      <c r="O116" s="113">
        <v>40692.885955480546</v>
      </c>
      <c r="P116" s="113">
        <v>43852.943008665468</v>
      </c>
      <c r="Q116" s="110">
        <v>14659.78322696069</v>
      </c>
      <c r="R116" s="113">
        <v>55352.669182441234</v>
      </c>
      <c r="S116" s="113">
        <v>58512.726235626156</v>
      </c>
      <c r="U116" s="7" t="s">
        <v>6435</v>
      </c>
    </row>
    <row r="117" spans="1:21" ht="16.5" thickBot="1">
      <c r="A117" s="207" t="s">
        <v>10</v>
      </c>
      <c r="B117" s="208">
        <f t="shared" si="6"/>
        <v>90</v>
      </c>
      <c r="C117" s="208" t="s">
        <v>3</v>
      </c>
      <c r="D117" s="208">
        <f t="shared" si="7"/>
        <v>300</v>
      </c>
      <c r="E117" s="208" t="s">
        <v>3</v>
      </c>
      <c r="F117" s="209">
        <f t="shared" si="8"/>
        <v>1100</v>
      </c>
      <c r="G117" s="208" t="s">
        <v>3</v>
      </c>
      <c r="H117" s="208">
        <v>2</v>
      </c>
      <c r="I117" s="210" t="s">
        <v>529</v>
      </c>
      <c r="J117" s="103">
        <v>90</v>
      </c>
      <c r="K117" s="66">
        <v>300</v>
      </c>
      <c r="L117" s="66">
        <v>1100</v>
      </c>
      <c r="M117" s="164">
        <v>11.7828586569675</v>
      </c>
      <c r="N117" s="78">
        <v>2705.2388999999998</v>
      </c>
      <c r="O117" s="113">
        <v>42387.070551269106</v>
      </c>
      <c r="P117" s="113">
        <v>45656.526590851696</v>
      </c>
      <c r="Q117" s="110">
        <v>15183.425012961201</v>
      </c>
      <c r="R117" s="113">
        <v>57570.49556423031</v>
      </c>
      <c r="S117" s="113">
        <v>60839.951603812893</v>
      </c>
      <c r="U117" s="7" t="s">
        <v>6436</v>
      </c>
    </row>
    <row r="118" spans="1:21" ht="16.5" thickBot="1">
      <c r="A118" s="207" t="s">
        <v>10</v>
      </c>
      <c r="B118" s="211">
        <f t="shared" si="6"/>
        <v>90</v>
      </c>
      <c r="C118" s="211" t="s">
        <v>3</v>
      </c>
      <c r="D118" s="211">
        <f t="shared" si="7"/>
        <v>300</v>
      </c>
      <c r="E118" s="211" t="s">
        <v>3</v>
      </c>
      <c r="F118" s="209">
        <f t="shared" si="8"/>
        <v>1150</v>
      </c>
      <c r="G118" s="211" t="s">
        <v>3</v>
      </c>
      <c r="H118" s="208">
        <v>2</v>
      </c>
      <c r="I118" s="210" t="s">
        <v>529</v>
      </c>
      <c r="J118" s="103">
        <v>90</v>
      </c>
      <c r="K118" s="66">
        <v>300</v>
      </c>
      <c r="L118" s="66">
        <v>1150</v>
      </c>
      <c r="M118" s="164">
        <v>12.238592045735</v>
      </c>
      <c r="N118" s="78">
        <v>2885.5881599999998</v>
      </c>
      <c r="O118" s="113">
        <v>43257.931873774789</v>
      </c>
      <c r="P118" s="113">
        <v>46689.237210595551</v>
      </c>
      <c r="Q118" s="110">
        <v>15707.066645932946</v>
      </c>
      <c r="R118" s="113">
        <v>58964.998519707733</v>
      </c>
      <c r="S118" s="113">
        <v>62396.303856528495</v>
      </c>
      <c r="U118" s="7" t="s">
        <v>6437</v>
      </c>
    </row>
    <row r="119" spans="1:21" ht="16.5" thickBot="1">
      <c r="A119" s="207" t="s">
        <v>10</v>
      </c>
      <c r="B119" s="211">
        <f t="shared" si="6"/>
        <v>90</v>
      </c>
      <c r="C119" s="211" t="s">
        <v>3</v>
      </c>
      <c r="D119" s="211">
        <f t="shared" si="7"/>
        <v>300</v>
      </c>
      <c r="E119" s="211" t="s">
        <v>3</v>
      </c>
      <c r="F119" s="209">
        <f t="shared" si="8"/>
        <v>1200</v>
      </c>
      <c r="G119" s="211" t="s">
        <v>3</v>
      </c>
      <c r="H119" s="208">
        <v>2</v>
      </c>
      <c r="I119" s="210" t="s">
        <v>529</v>
      </c>
      <c r="J119" s="103">
        <v>90</v>
      </c>
      <c r="K119" s="66">
        <v>300</v>
      </c>
      <c r="L119" s="66">
        <v>1200</v>
      </c>
      <c r="M119" s="164">
        <v>12.926615434502498</v>
      </c>
      <c r="N119" s="78">
        <v>3065.9374199999997</v>
      </c>
      <c r="O119" s="113">
        <v>44167.094528709022</v>
      </c>
      <c r="P119" s="113">
        <v>47757.80935630262</v>
      </c>
      <c r="Q119" s="110">
        <v>16482.042416688462</v>
      </c>
      <c r="R119" s="113">
        <v>60649.136945397484</v>
      </c>
      <c r="S119" s="113">
        <v>64239.851772991082</v>
      </c>
      <c r="U119" s="7" t="s">
        <v>6438</v>
      </c>
    </row>
    <row r="120" spans="1:21" ht="16.5" thickBot="1">
      <c r="A120" s="207" t="s">
        <v>10</v>
      </c>
      <c r="B120" s="211">
        <f t="shared" si="6"/>
        <v>90</v>
      </c>
      <c r="C120" s="211" t="s">
        <v>3</v>
      </c>
      <c r="D120" s="211">
        <f t="shared" si="7"/>
        <v>300</v>
      </c>
      <c r="E120" s="211" t="s">
        <v>3</v>
      </c>
      <c r="F120" s="209">
        <f t="shared" si="8"/>
        <v>1250</v>
      </c>
      <c r="G120" s="211" t="s">
        <v>3</v>
      </c>
      <c r="H120" s="208">
        <v>2</v>
      </c>
      <c r="I120" s="210" t="s">
        <v>529</v>
      </c>
      <c r="J120" s="103">
        <v>90</v>
      </c>
      <c r="K120" s="66">
        <v>300</v>
      </c>
      <c r="L120" s="66">
        <v>1250</v>
      </c>
      <c r="M120" s="164">
        <v>13.38234882327</v>
      </c>
      <c r="N120" s="78">
        <v>3246.2866799999997</v>
      </c>
      <c r="O120" s="113">
        <v>45037.431521105304</v>
      </c>
      <c r="P120" s="113">
        <v>48790.029205145285</v>
      </c>
      <c r="Q120" s="110">
        <v>17005.684202688975</v>
      </c>
      <c r="R120" s="113">
        <v>62043.115723794283</v>
      </c>
      <c r="S120" s="113">
        <v>65795.713407834264</v>
      </c>
      <c r="U120" s="7" t="s">
        <v>6439</v>
      </c>
    </row>
    <row r="121" spans="1:21" ht="16.5" thickBot="1">
      <c r="A121" s="207" t="s">
        <v>10</v>
      </c>
      <c r="B121" s="211">
        <f t="shared" si="6"/>
        <v>90</v>
      </c>
      <c r="C121" s="211" t="s">
        <v>3</v>
      </c>
      <c r="D121" s="211">
        <f t="shared" si="7"/>
        <v>300</v>
      </c>
      <c r="E121" s="211" t="s">
        <v>3</v>
      </c>
      <c r="F121" s="209">
        <f t="shared" si="8"/>
        <v>1300</v>
      </c>
      <c r="G121" s="211" t="s">
        <v>3</v>
      </c>
      <c r="H121" s="208">
        <v>2</v>
      </c>
      <c r="I121" s="210" t="s">
        <v>529</v>
      </c>
      <c r="J121" s="103">
        <v>90</v>
      </c>
      <c r="K121" s="66">
        <v>300</v>
      </c>
      <c r="L121" s="66">
        <v>1300</v>
      </c>
      <c r="M121" s="164">
        <v>13.917122212037501</v>
      </c>
      <c r="N121" s="78">
        <v>3426.6359399999997</v>
      </c>
      <c r="O121" s="113">
        <v>48580.866497260082</v>
      </c>
      <c r="P121" s="113">
        <v>52325.055258307868</v>
      </c>
      <c r="Q121" s="110">
        <v>17780.65997344449</v>
      </c>
      <c r="R121" s="113">
        <v>66361.526470704572</v>
      </c>
      <c r="S121" s="113">
        <v>70105.715231752358</v>
      </c>
      <c r="U121" s="7" t="s">
        <v>6440</v>
      </c>
    </row>
    <row r="122" spans="1:21" ht="16.5" thickBot="1">
      <c r="A122" s="207" t="s">
        <v>10</v>
      </c>
      <c r="B122" s="211">
        <f t="shared" si="6"/>
        <v>90</v>
      </c>
      <c r="C122" s="211" t="s">
        <v>3</v>
      </c>
      <c r="D122" s="211">
        <f t="shared" si="7"/>
        <v>300</v>
      </c>
      <c r="E122" s="211" t="s">
        <v>3</v>
      </c>
      <c r="F122" s="209">
        <f t="shared" si="8"/>
        <v>1350</v>
      </c>
      <c r="G122" s="211" t="s">
        <v>3</v>
      </c>
      <c r="H122" s="208">
        <v>2</v>
      </c>
      <c r="I122" s="210" t="s">
        <v>529</v>
      </c>
      <c r="J122" s="103">
        <v>90</v>
      </c>
      <c r="K122" s="66">
        <v>300</v>
      </c>
      <c r="L122" s="66">
        <v>1350</v>
      </c>
      <c r="M122" s="164">
        <v>14.372855600805</v>
      </c>
      <c r="N122" s="78">
        <v>3606.9851999999996</v>
      </c>
      <c r="O122" s="113">
        <v>49723.372440251842</v>
      </c>
      <c r="P122" s="113">
        <v>53612.105393662423</v>
      </c>
      <c r="Q122" s="110">
        <v>18304.301606416237</v>
      </c>
      <c r="R122" s="113">
        <v>68027.674046668079</v>
      </c>
      <c r="S122" s="113">
        <v>71916.40700007866</v>
      </c>
      <c r="U122" s="7" t="s">
        <v>6441</v>
      </c>
    </row>
    <row r="123" spans="1:21" ht="16.5" thickBot="1">
      <c r="A123" s="207" t="s">
        <v>10</v>
      </c>
      <c r="B123" s="211">
        <f t="shared" si="6"/>
        <v>90</v>
      </c>
      <c r="C123" s="211" t="s">
        <v>3</v>
      </c>
      <c r="D123" s="211">
        <f t="shared" si="7"/>
        <v>300</v>
      </c>
      <c r="E123" s="211" t="s">
        <v>3</v>
      </c>
      <c r="F123" s="209">
        <f t="shared" si="8"/>
        <v>1400</v>
      </c>
      <c r="G123" s="211" t="s">
        <v>3</v>
      </c>
      <c r="H123" s="208">
        <v>2</v>
      </c>
      <c r="I123" s="210" t="s">
        <v>529</v>
      </c>
      <c r="J123" s="103">
        <v>90</v>
      </c>
      <c r="K123" s="66">
        <v>300</v>
      </c>
      <c r="L123" s="66">
        <v>1400</v>
      </c>
      <c r="M123" s="164">
        <v>14.845628989572504</v>
      </c>
      <c r="N123" s="78">
        <v>3787.3344599999996</v>
      </c>
      <c r="O123" s="113">
        <v>51222.326472458401</v>
      </c>
      <c r="P123" s="113">
        <v>55232.895740986365</v>
      </c>
      <c r="Q123" s="110">
        <v>19079.277530200521</v>
      </c>
      <c r="R123" s="113">
        <v>70301.604002658918</v>
      </c>
      <c r="S123" s="113">
        <v>74312.173271186883</v>
      </c>
      <c r="U123" s="7" t="s">
        <v>6442</v>
      </c>
    </row>
    <row r="124" spans="1:21" ht="16.5" thickBot="1">
      <c r="A124" s="207" t="s">
        <v>10</v>
      </c>
      <c r="B124" s="211">
        <f t="shared" si="6"/>
        <v>90</v>
      </c>
      <c r="C124" s="211" t="s">
        <v>3</v>
      </c>
      <c r="D124" s="211">
        <f t="shared" si="7"/>
        <v>300</v>
      </c>
      <c r="E124" s="211" t="s">
        <v>3</v>
      </c>
      <c r="F124" s="209">
        <f t="shared" si="8"/>
        <v>1450</v>
      </c>
      <c r="G124" s="211" t="s">
        <v>3</v>
      </c>
      <c r="H124" s="208">
        <v>2</v>
      </c>
      <c r="I124" s="210" t="s">
        <v>529</v>
      </c>
      <c r="J124" s="103">
        <v>90</v>
      </c>
      <c r="K124" s="66">
        <v>300</v>
      </c>
      <c r="L124" s="66">
        <v>1450</v>
      </c>
      <c r="M124" s="164">
        <v>15.30136237834</v>
      </c>
      <c r="N124" s="78">
        <v>3967.68372</v>
      </c>
      <c r="O124" s="113">
        <v>52364.832545524609</v>
      </c>
      <c r="P124" s="113">
        <v>56519.945876340913</v>
      </c>
      <c r="Q124" s="110">
        <v>19602.919163172111</v>
      </c>
      <c r="R124" s="113">
        <v>71967.751708696713</v>
      </c>
      <c r="S124" s="113">
        <v>76122.865039513024</v>
      </c>
      <c r="U124" s="7" t="s">
        <v>6443</v>
      </c>
    </row>
    <row r="125" spans="1:21" ht="16.5" thickBot="1">
      <c r="A125" s="207" t="s">
        <v>10</v>
      </c>
      <c r="B125" s="211">
        <f t="shared" si="6"/>
        <v>90</v>
      </c>
      <c r="C125" s="211" t="s">
        <v>3</v>
      </c>
      <c r="D125" s="211">
        <f t="shared" si="7"/>
        <v>300</v>
      </c>
      <c r="E125" s="211" t="s">
        <v>3</v>
      </c>
      <c r="F125" s="209">
        <f t="shared" si="8"/>
        <v>1500</v>
      </c>
      <c r="G125" s="211" t="s">
        <v>3</v>
      </c>
      <c r="H125" s="208">
        <v>2</v>
      </c>
      <c r="I125" s="210" t="s">
        <v>529</v>
      </c>
      <c r="J125" s="103">
        <v>90</v>
      </c>
      <c r="K125" s="66">
        <v>300</v>
      </c>
      <c r="L125" s="66">
        <v>1500</v>
      </c>
      <c r="M125" s="164">
        <v>16.361700659907498</v>
      </c>
      <c r="N125" s="78">
        <v>4148.03298</v>
      </c>
      <c r="O125" s="113">
        <v>54083.687581865546</v>
      </c>
      <c r="P125" s="113">
        <v>58481.378706267969</v>
      </c>
      <c r="Q125" s="110">
        <v>20377.895086956549</v>
      </c>
      <c r="R125" s="113">
        <v>74461.582668822099</v>
      </c>
      <c r="S125" s="113">
        <v>78859.273793224522</v>
      </c>
      <c r="U125" s="7" t="s">
        <v>6444</v>
      </c>
    </row>
    <row r="126" spans="1:21" ht="16.5" thickBot="1">
      <c r="A126" s="207" t="s">
        <v>10</v>
      </c>
      <c r="B126" s="211">
        <f t="shared" si="6"/>
        <v>90</v>
      </c>
      <c r="C126" s="211" t="s">
        <v>3</v>
      </c>
      <c r="D126" s="211">
        <f t="shared" si="7"/>
        <v>300</v>
      </c>
      <c r="E126" s="211" t="s">
        <v>3</v>
      </c>
      <c r="F126" s="209">
        <f t="shared" si="8"/>
        <v>1550</v>
      </c>
      <c r="G126" s="211" t="s">
        <v>3</v>
      </c>
      <c r="H126" s="208">
        <v>2</v>
      </c>
      <c r="I126" s="210" t="s">
        <v>529</v>
      </c>
      <c r="J126" s="103">
        <v>90</v>
      </c>
      <c r="K126" s="66">
        <v>300</v>
      </c>
      <c r="L126" s="66">
        <v>1550</v>
      </c>
      <c r="M126" s="164">
        <v>16.886434048675</v>
      </c>
      <c r="N126" s="78">
        <v>4328.3822399999999</v>
      </c>
      <c r="O126" s="113">
        <v>55226.193654931762</v>
      </c>
      <c r="P126" s="113">
        <v>59768.42884162251</v>
      </c>
      <c r="Q126" s="110">
        <v>20901.536719928292</v>
      </c>
      <c r="R126" s="113">
        <v>76127.730374860053</v>
      </c>
      <c r="S126" s="113">
        <v>80669.965561550809</v>
      </c>
      <c r="U126" s="7" t="s">
        <v>6445</v>
      </c>
    </row>
    <row r="127" spans="1:21" ht="16.5" thickBot="1">
      <c r="A127" s="207" t="s">
        <v>10</v>
      </c>
      <c r="B127" s="208">
        <f t="shared" si="6"/>
        <v>90</v>
      </c>
      <c r="C127" s="208" t="s">
        <v>3</v>
      </c>
      <c r="D127" s="208">
        <f t="shared" si="7"/>
        <v>300</v>
      </c>
      <c r="E127" s="208" t="s">
        <v>3</v>
      </c>
      <c r="F127" s="209">
        <f t="shared" si="8"/>
        <v>1600</v>
      </c>
      <c r="G127" s="208" t="s">
        <v>3</v>
      </c>
      <c r="H127" s="208">
        <v>2</v>
      </c>
      <c r="I127" s="210" t="s">
        <v>529</v>
      </c>
      <c r="J127" s="103">
        <v>90</v>
      </c>
      <c r="K127" s="66">
        <v>300</v>
      </c>
      <c r="L127" s="66">
        <v>1600</v>
      </c>
      <c r="M127" s="164">
        <v>17.342167437442502</v>
      </c>
      <c r="N127" s="78">
        <v>4508.7314999999999</v>
      </c>
      <c r="O127" s="113">
        <v>58489.884664800113</v>
      </c>
      <c r="P127" s="113">
        <v>63041.53229886754</v>
      </c>
      <c r="Q127" s="110">
        <v>21425.178352900039</v>
      </c>
      <c r="R127" s="113">
        <v>79915.063017700159</v>
      </c>
      <c r="S127" s="113">
        <v>84466.710651767586</v>
      </c>
      <c r="U127" s="7" t="s">
        <v>6446</v>
      </c>
    </row>
    <row r="128" spans="1:21" ht="16.5" thickBot="1">
      <c r="A128" s="207" t="s">
        <v>10</v>
      </c>
      <c r="B128" s="211">
        <f t="shared" si="6"/>
        <v>90</v>
      </c>
      <c r="C128" s="211" t="s">
        <v>3</v>
      </c>
      <c r="D128" s="211">
        <f t="shared" si="7"/>
        <v>300</v>
      </c>
      <c r="E128" s="211" t="s">
        <v>3</v>
      </c>
      <c r="F128" s="209">
        <f t="shared" si="8"/>
        <v>1650</v>
      </c>
      <c r="G128" s="211" t="s">
        <v>3</v>
      </c>
      <c r="H128" s="208">
        <v>2</v>
      </c>
      <c r="I128" s="210" t="s">
        <v>529</v>
      </c>
      <c r="J128" s="103">
        <v>90</v>
      </c>
      <c r="K128" s="66">
        <v>300</v>
      </c>
      <c r="L128" s="66">
        <v>1650</v>
      </c>
      <c r="M128" s="164">
        <v>17.852940826210002</v>
      </c>
      <c r="N128" s="78">
        <v>4689.0807599999998</v>
      </c>
      <c r="O128" s="113">
        <v>62028.539404904288</v>
      </c>
      <c r="P128" s="113">
        <v>66572.082750342262</v>
      </c>
      <c r="Q128" s="110">
        <v>22200.154276684319</v>
      </c>
      <c r="R128" s="113">
        <v>84228.6936815886</v>
      </c>
      <c r="S128" s="113">
        <v>88772.237027026582</v>
      </c>
      <c r="U128" s="7" t="s">
        <v>6447</v>
      </c>
    </row>
    <row r="129" spans="1:21" ht="16.5" thickBot="1">
      <c r="A129" s="207" t="s">
        <v>10</v>
      </c>
      <c r="B129" s="211">
        <f t="shared" si="6"/>
        <v>90</v>
      </c>
      <c r="C129" s="211" t="s">
        <v>3</v>
      </c>
      <c r="D129" s="211">
        <f t="shared" si="7"/>
        <v>300</v>
      </c>
      <c r="E129" s="211" t="s">
        <v>3</v>
      </c>
      <c r="F129" s="209">
        <f t="shared" si="8"/>
        <v>1700</v>
      </c>
      <c r="G129" s="211" t="s">
        <v>3</v>
      </c>
      <c r="H129" s="208">
        <v>2</v>
      </c>
      <c r="I129" s="210" t="s">
        <v>529</v>
      </c>
      <c r="J129" s="103">
        <v>90</v>
      </c>
      <c r="K129" s="66">
        <v>300</v>
      </c>
      <c r="L129" s="66">
        <v>1700</v>
      </c>
      <c r="M129" s="164">
        <v>18.308674214977501</v>
      </c>
      <c r="N129" s="78">
        <v>4869.4300199999998</v>
      </c>
      <c r="O129" s="113">
        <v>62947.434750511973</v>
      </c>
      <c r="P129" s="113">
        <v>67649.767391743502</v>
      </c>
      <c r="Q129" s="110">
        <v>22723.795909656066</v>
      </c>
      <c r="R129" s="113">
        <v>85671.230660168047</v>
      </c>
      <c r="S129" s="113">
        <v>90373.563301399568</v>
      </c>
      <c r="U129" s="7" t="s">
        <v>6448</v>
      </c>
    </row>
    <row r="130" spans="1:21" ht="16.5" thickBot="1">
      <c r="A130" s="207" t="s">
        <v>10</v>
      </c>
      <c r="B130" s="211">
        <f t="shared" si="6"/>
        <v>90</v>
      </c>
      <c r="C130" s="211" t="s">
        <v>3</v>
      </c>
      <c r="D130" s="211">
        <f t="shared" si="7"/>
        <v>300</v>
      </c>
      <c r="E130" s="211" t="s">
        <v>3</v>
      </c>
      <c r="F130" s="209">
        <f t="shared" si="8"/>
        <v>1750</v>
      </c>
      <c r="G130" s="211" t="s">
        <v>3</v>
      </c>
      <c r="H130" s="208">
        <v>2</v>
      </c>
      <c r="I130" s="210" t="s">
        <v>529</v>
      </c>
      <c r="J130" s="103">
        <v>90</v>
      </c>
      <c r="K130" s="66">
        <v>300</v>
      </c>
      <c r="L130" s="66">
        <v>1750</v>
      </c>
      <c r="M130" s="164">
        <v>18.781447603745001</v>
      </c>
      <c r="N130" s="78">
        <v>5049.7792799999988</v>
      </c>
      <c r="O130" s="113">
        <v>63783.322435252565</v>
      </c>
      <c r="P130" s="113">
        <v>68649.732549056862</v>
      </c>
      <c r="Q130" s="110">
        <v>23498.771833440347</v>
      </c>
      <c r="R130" s="113">
        <v>87282.094268692919</v>
      </c>
      <c r="S130" s="113">
        <v>92148.504382497209</v>
      </c>
      <c r="U130" s="7" t="s">
        <v>6449</v>
      </c>
    </row>
    <row r="131" spans="1:21" ht="16.5" thickBot="1">
      <c r="A131" s="207" t="s">
        <v>10</v>
      </c>
      <c r="B131" s="211">
        <f t="shared" si="6"/>
        <v>90</v>
      </c>
      <c r="C131" s="211" t="s">
        <v>3</v>
      </c>
      <c r="D131" s="211">
        <f t="shared" si="7"/>
        <v>300</v>
      </c>
      <c r="E131" s="211" t="s">
        <v>3</v>
      </c>
      <c r="F131" s="209">
        <f t="shared" si="8"/>
        <v>1800</v>
      </c>
      <c r="G131" s="211" t="s">
        <v>3</v>
      </c>
      <c r="H131" s="208">
        <v>2</v>
      </c>
      <c r="I131" s="210" t="s">
        <v>529</v>
      </c>
      <c r="J131" s="103">
        <v>90</v>
      </c>
      <c r="K131" s="66">
        <v>300</v>
      </c>
      <c r="L131" s="66">
        <v>1800</v>
      </c>
      <c r="M131" s="164">
        <v>19.306180992512498</v>
      </c>
      <c r="N131" s="78">
        <v>5230.1285399999997</v>
      </c>
      <c r="O131" s="113">
        <v>64702.977025426975</v>
      </c>
      <c r="P131" s="113">
        <v>69728.128177403749</v>
      </c>
      <c r="Q131" s="110">
        <v>24022.413466412094</v>
      </c>
      <c r="R131" s="113">
        <v>88725.390491839062</v>
      </c>
      <c r="S131" s="113">
        <v>93750.541643815843</v>
      </c>
      <c r="U131" s="7" t="s">
        <v>6450</v>
      </c>
    </row>
    <row r="132" spans="1:21" ht="16.5" thickBot="1">
      <c r="A132" s="207" t="s">
        <v>10</v>
      </c>
      <c r="B132" s="211">
        <f t="shared" si="6"/>
        <v>90</v>
      </c>
      <c r="C132" s="211" t="s">
        <v>3</v>
      </c>
      <c r="D132" s="211">
        <f t="shared" si="7"/>
        <v>300</v>
      </c>
      <c r="E132" s="211" t="s">
        <v>3</v>
      </c>
      <c r="F132" s="209">
        <f t="shared" si="8"/>
        <v>1850</v>
      </c>
      <c r="G132" s="211" t="s">
        <v>3</v>
      </c>
      <c r="H132" s="208">
        <v>2</v>
      </c>
      <c r="I132" s="210" t="s">
        <v>529</v>
      </c>
      <c r="J132" s="103">
        <v>90</v>
      </c>
      <c r="K132" s="66">
        <v>300</v>
      </c>
      <c r="L132" s="66">
        <v>1850</v>
      </c>
      <c r="M132" s="164">
        <v>19.84095438128</v>
      </c>
      <c r="N132" s="78">
        <v>5410.4777999999997</v>
      </c>
      <c r="O132" s="113">
        <v>65622.579195597908</v>
      </c>
      <c r="P132" s="113">
        <v>70806.474767682841</v>
      </c>
      <c r="Q132" s="110">
        <v>24797.389237167612</v>
      </c>
      <c r="R132" s="113">
        <v>90419.968432765512</v>
      </c>
      <c r="S132" s="113">
        <v>95603.864004850446</v>
      </c>
      <c r="U132" s="7" t="s">
        <v>6451</v>
      </c>
    </row>
    <row r="133" spans="1:21" ht="16.5" thickBot="1">
      <c r="A133" s="207" t="s">
        <v>10</v>
      </c>
      <c r="B133" s="211">
        <f t="shared" si="6"/>
        <v>90</v>
      </c>
      <c r="C133" s="211" t="s">
        <v>3</v>
      </c>
      <c r="D133" s="211">
        <f t="shared" si="7"/>
        <v>300</v>
      </c>
      <c r="E133" s="211" t="s">
        <v>3</v>
      </c>
      <c r="F133" s="209">
        <f t="shared" si="8"/>
        <v>1900</v>
      </c>
      <c r="G133" s="211" t="s">
        <v>3</v>
      </c>
      <c r="H133" s="208">
        <v>2</v>
      </c>
      <c r="I133" s="210" t="s">
        <v>529</v>
      </c>
      <c r="J133" s="103">
        <v>90</v>
      </c>
      <c r="K133" s="66">
        <v>300</v>
      </c>
      <c r="L133" s="66">
        <v>1900</v>
      </c>
      <c r="M133" s="164">
        <v>20.296687770047502</v>
      </c>
      <c r="N133" s="78">
        <v>5590.8270599999996</v>
      </c>
      <c r="O133" s="113">
        <v>66732.990568708774</v>
      </c>
      <c r="P133" s="113">
        <v>72063.474843367192</v>
      </c>
      <c r="Q133" s="110">
        <v>25321.031023168125</v>
      </c>
      <c r="R133" s="113">
        <v>92054.021591876895</v>
      </c>
      <c r="S133" s="113">
        <v>97384.505866535314</v>
      </c>
      <c r="U133" s="7" t="s">
        <v>6452</v>
      </c>
    </row>
    <row r="134" spans="1:21" ht="16.5" thickBot="1">
      <c r="A134" s="207" t="s">
        <v>10</v>
      </c>
      <c r="B134" s="211">
        <f t="shared" si="6"/>
        <v>90</v>
      </c>
      <c r="C134" s="211" t="s">
        <v>3</v>
      </c>
      <c r="D134" s="211">
        <f t="shared" si="7"/>
        <v>300</v>
      </c>
      <c r="E134" s="211" t="s">
        <v>3</v>
      </c>
      <c r="F134" s="209">
        <f t="shared" si="8"/>
        <v>1950</v>
      </c>
      <c r="G134" s="211" t="s">
        <v>3</v>
      </c>
      <c r="H134" s="208">
        <v>2</v>
      </c>
      <c r="I134" s="210" t="s">
        <v>529</v>
      </c>
      <c r="J134" s="103">
        <v>90</v>
      </c>
      <c r="K134" s="66">
        <v>300</v>
      </c>
      <c r="L134" s="66">
        <v>1950</v>
      </c>
      <c r="M134" s="164">
        <v>20.905671158815004</v>
      </c>
      <c r="N134" s="78">
        <v>5771.1763199999996</v>
      </c>
      <c r="O134" s="113">
        <v>68016.931404401999</v>
      </c>
      <c r="P134" s="113">
        <v>73482.949614246885</v>
      </c>
      <c r="Q134" s="110">
        <v>25844.672656139872</v>
      </c>
      <c r="R134" s="113">
        <v>93861.604060541868</v>
      </c>
      <c r="S134" s="113">
        <v>99327.622270386753</v>
      </c>
      <c r="U134" s="7" t="s">
        <v>6453</v>
      </c>
    </row>
    <row r="135" spans="1:21" ht="16.5" thickBot="1">
      <c r="A135" s="207" t="s">
        <v>10</v>
      </c>
      <c r="B135" s="211">
        <f t="shared" si="6"/>
        <v>90</v>
      </c>
      <c r="C135" s="211" t="s">
        <v>3</v>
      </c>
      <c r="D135" s="211">
        <f t="shared" si="7"/>
        <v>300</v>
      </c>
      <c r="E135" s="211" t="s">
        <v>3</v>
      </c>
      <c r="F135" s="209">
        <f t="shared" si="8"/>
        <v>2000</v>
      </c>
      <c r="G135" s="211" t="s">
        <v>3</v>
      </c>
      <c r="H135" s="208">
        <v>2</v>
      </c>
      <c r="I135" s="210" t="s">
        <v>529</v>
      </c>
      <c r="J135" s="103">
        <v>90</v>
      </c>
      <c r="K135" s="66">
        <v>300</v>
      </c>
      <c r="L135" s="66">
        <v>2000</v>
      </c>
      <c r="M135" s="164">
        <v>21.470006947582501</v>
      </c>
      <c r="N135" s="78">
        <v>5951.5255799999995</v>
      </c>
      <c r="O135" s="113">
        <v>69161.380789756528</v>
      </c>
      <c r="P135" s="113">
        <v>74979.199658779573</v>
      </c>
      <c r="Q135" s="110">
        <v>26619.648426895383</v>
      </c>
      <c r="R135" s="113">
        <v>95781.029216651907</v>
      </c>
      <c r="S135" s="113">
        <v>101598.84808567495</v>
      </c>
      <c r="U135" s="7" t="s">
        <v>6454</v>
      </c>
    </row>
    <row r="136" spans="1:21" ht="16.5" thickBot="1">
      <c r="A136" s="207" t="s">
        <v>10</v>
      </c>
      <c r="B136" s="211">
        <f t="shared" si="6"/>
        <v>90</v>
      </c>
      <c r="C136" s="211" t="s">
        <v>3</v>
      </c>
      <c r="D136" s="211">
        <f t="shared" si="7"/>
        <v>300</v>
      </c>
      <c r="E136" s="211" t="s">
        <v>3</v>
      </c>
      <c r="F136" s="209">
        <f t="shared" si="8"/>
        <v>2050</v>
      </c>
      <c r="G136" s="211" t="s">
        <v>3</v>
      </c>
      <c r="H136" s="208">
        <v>2</v>
      </c>
      <c r="I136" s="210" t="s">
        <v>529</v>
      </c>
      <c r="J136" s="103">
        <v>90</v>
      </c>
      <c r="K136" s="66">
        <v>300</v>
      </c>
      <c r="L136" s="66">
        <v>2050</v>
      </c>
      <c r="M136" s="164">
        <v>21.925740336350003</v>
      </c>
      <c r="N136" s="78">
        <v>6131.8748399999995</v>
      </c>
      <c r="O136" s="113">
        <v>72417.910550760513</v>
      </c>
      <c r="P136" s="113">
        <v>78245.598038257638</v>
      </c>
      <c r="Q136" s="110">
        <v>27143.290212895896</v>
      </c>
      <c r="R136" s="113">
        <v>99561.200763656409</v>
      </c>
      <c r="S136" s="113">
        <v>105388.88825115353</v>
      </c>
      <c r="U136" s="7" t="s">
        <v>6455</v>
      </c>
    </row>
    <row r="137" spans="1:21" ht="16.5" thickBot="1">
      <c r="A137" s="207" t="s">
        <v>10</v>
      </c>
      <c r="B137" s="208">
        <f t="shared" si="6"/>
        <v>90</v>
      </c>
      <c r="C137" s="208" t="s">
        <v>3</v>
      </c>
      <c r="D137" s="208">
        <f t="shared" si="7"/>
        <v>300</v>
      </c>
      <c r="E137" s="208" t="s">
        <v>3</v>
      </c>
      <c r="F137" s="209">
        <f t="shared" si="8"/>
        <v>2100</v>
      </c>
      <c r="G137" s="208" t="s">
        <v>3</v>
      </c>
      <c r="H137" s="208">
        <v>2</v>
      </c>
      <c r="I137" s="210" t="s">
        <v>529</v>
      </c>
      <c r="J137" s="103">
        <v>90</v>
      </c>
      <c r="K137" s="66">
        <v>300</v>
      </c>
      <c r="L137" s="66">
        <v>2100</v>
      </c>
      <c r="M137" s="164">
        <v>22.398513725117503</v>
      </c>
      <c r="N137" s="78">
        <v>6312.2240999999995</v>
      </c>
      <c r="O137" s="113">
        <v>73405.016157688311</v>
      </c>
      <c r="P137" s="113">
        <v>79387.147673890373</v>
      </c>
      <c r="Q137" s="110">
        <v>27918.265983651414</v>
      </c>
      <c r="R137" s="113">
        <v>101323.28214133973</v>
      </c>
      <c r="S137" s="113">
        <v>107305.41365754179</v>
      </c>
      <c r="U137" s="7" t="s">
        <v>6456</v>
      </c>
    </row>
    <row r="138" spans="1:21" ht="16.5" thickBot="1">
      <c r="A138" s="207" t="s">
        <v>10</v>
      </c>
      <c r="B138" s="211">
        <f t="shared" si="6"/>
        <v>90</v>
      </c>
      <c r="C138" s="211" t="s">
        <v>3</v>
      </c>
      <c r="D138" s="211">
        <f t="shared" si="7"/>
        <v>300</v>
      </c>
      <c r="E138" s="211" t="s">
        <v>3</v>
      </c>
      <c r="F138" s="209">
        <f t="shared" si="8"/>
        <v>2150</v>
      </c>
      <c r="G138" s="211" t="s">
        <v>3</v>
      </c>
      <c r="H138" s="208">
        <v>2</v>
      </c>
      <c r="I138" s="210" t="s">
        <v>529</v>
      </c>
      <c r="J138" s="103">
        <v>90</v>
      </c>
      <c r="K138" s="66">
        <v>300</v>
      </c>
      <c r="L138" s="66">
        <v>2150</v>
      </c>
      <c r="M138" s="164">
        <v>22.978247113885004</v>
      </c>
      <c r="N138" s="78">
        <v>6492.5733599999994</v>
      </c>
      <c r="O138" s="113">
        <v>74553.024770227945</v>
      </c>
      <c r="P138" s="113">
        <v>80679.34992814908</v>
      </c>
      <c r="Q138" s="110">
        <v>28441.907769651927</v>
      </c>
      <c r="R138" s="113">
        <v>102994.93253987987</v>
      </c>
      <c r="S138" s="113">
        <v>109121.257697801</v>
      </c>
      <c r="U138" s="7" t="s">
        <v>6457</v>
      </c>
    </row>
    <row r="139" spans="1:21" ht="16.5" thickBot="1">
      <c r="A139" s="207" t="s">
        <v>10</v>
      </c>
      <c r="B139" s="211">
        <f t="shared" si="6"/>
        <v>90</v>
      </c>
      <c r="C139" s="211" t="s">
        <v>3</v>
      </c>
      <c r="D139" s="211">
        <f t="shared" si="7"/>
        <v>300</v>
      </c>
      <c r="E139" s="211" t="s">
        <v>3</v>
      </c>
      <c r="F139" s="209">
        <f t="shared" si="8"/>
        <v>2200</v>
      </c>
      <c r="G139" s="211" t="s">
        <v>3</v>
      </c>
      <c r="H139" s="208">
        <v>2</v>
      </c>
      <c r="I139" s="210" t="s">
        <v>529</v>
      </c>
      <c r="J139" s="103">
        <v>90</v>
      </c>
      <c r="K139" s="66">
        <v>300</v>
      </c>
      <c r="L139" s="66">
        <v>2200</v>
      </c>
      <c r="M139" s="164">
        <v>23.451020502652501</v>
      </c>
      <c r="N139" s="78">
        <v>6672.9226200000003</v>
      </c>
      <c r="O139" s="113">
        <v>75700.980962764093</v>
      </c>
      <c r="P139" s="113">
        <v>81971.503014265545</v>
      </c>
      <c r="Q139" s="110">
        <v>29216.883540407438</v>
      </c>
      <c r="R139" s="113">
        <v>104917.86450317153</v>
      </c>
      <c r="S139" s="113">
        <v>111188.38655467298</v>
      </c>
      <c r="U139" s="7" t="s">
        <v>6458</v>
      </c>
    </row>
    <row r="140" spans="1:21" ht="16.5" thickBot="1">
      <c r="A140" s="207" t="s">
        <v>10</v>
      </c>
      <c r="B140" s="211">
        <f t="shared" si="6"/>
        <v>90</v>
      </c>
      <c r="C140" s="211" t="s">
        <v>3</v>
      </c>
      <c r="D140" s="211">
        <f t="shared" si="7"/>
        <v>300</v>
      </c>
      <c r="E140" s="211" t="s">
        <v>3</v>
      </c>
      <c r="F140" s="209">
        <f t="shared" si="8"/>
        <v>2250</v>
      </c>
      <c r="G140" s="211" t="s">
        <v>3</v>
      </c>
      <c r="H140" s="208">
        <v>2</v>
      </c>
      <c r="I140" s="210" t="s">
        <v>529</v>
      </c>
      <c r="J140" s="103">
        <v>90</v>
      </c>
      <c r="K140" s="66">
        <v>300</v>
      </c>
      <c r="L140" s="66">
        <v>2250</v>
      </c>
      <c r="M140" s="164">
        <v>23.906753891420003</v>
      </c>
      <c r="N140" s="78">
        <v>6853.2718799999993</v>
      </c>
      <c r="O140" s="113">
        <v>77197.313214349269</v>
      </c>
      <c r="P140" s="113">
        <v>83589.838596562375</v>
      </c>
      <c r="Q140" s="110">
        <v>29740.525173379188</v>
      </c>
      <c r="R140" s="113">
        <v>106937.83838772847</v>
      </c>
      <c r="S140" s="113">
        <v>113330.36376994156</v>
      </c>
      <c r="U140" s="7" t="s">
        <v>6459</v>
      </c>
    </row>
    <row r="141" spans="1:21" ht="16.5" thickBot="1">
      <c r="A141" s="207" t="s">
        <v>10</v>
      </c>
      <c r="B141" s="211">
        <f t="shared" si="6"/>
        <v>90</v>
      </c>
      <c r="C141" s="211" t="s">
        <v>3</v>
      </c>
      <c r="D141" s="211">
        <f t="shared" si="7"/>
        <v>300</v>
      </c>
      <c r="E141" s="211" t="s">
        <v>3</v>
      </c>
      <c r="F141" s="209">
        <f t="shared" si="8"/>
        <v>2300</v>
      </c>
      <c r="G141" s="211" t="s">
        <v>3</v>
      </c>
      <c r="H141" s="208">
        <v>2</v>
      </c>
      <c r="I141" s="210" t="s">
        <v>529</v>
      </c>
      <c r="J141" s="103">
        <v>90</v>
      </c>
      <c r="K141" s="66">
        <v>300</v>
      </c>
      <c r="L141" s="66">
        <v>2300</v>
      </c>
      <c r="M141" s="164">
        <v>24.362487280187501</v>
      </c>
      <c r="N141" s="78">
        <v>7033.6211399999993</v>
      </c>
      <c r="O141" s="113">
        <v>78080.502472961918</v>
      </c>
      <c r="P141" s="113">
        <v>84634.091892956392</v>
      </c>
      <c r="Q141" s="110">
        <v>30264.166959379701</v>
      </c>
      <c r="R141" s="113">
        <v>108344.66943234162</v>
      </c>
      <c r="S141" s="113">
        <v>114898.25885233609</v>
      </c>
      <c r="U141" s="7" t="s">
        <v>6460</v>
      </c>
    </row>
    <row r="142" spans="1:21" ht="16.5" thickBot="1">
      <c r="A142" s="207" t="s">
        <v>10</v>
      </c>
      <c r="B142" s="211">
        <f t="shared" si="6"/>
        <v>90</v>
      </c>
      <c r="C142" s="211" t="s">
        <v>3</v>
      </c>
      <c r="D142" s="211">
        <f t="shared" si="7"/>
        <v>300</v>
      </c>
      <c r="E142" s="211" t="s">
        <v>3</v>
      </c>
      <c r="F142" s="209">
        <f t="shared" si="8"/>
        <v>2350</v>
      </c>
      <c r="G142" s="211" t="s">
        <v>3</v>
      </c>
      <c r="H142" s="208">
        <v>2</v>
      </c>
      <c r="I142" s="210" t="s">
        <v>529</v>
      </c>
      <c r="J142" s="103">
        <v>90</v>
      </c>
      <c r="K142" s="66">
        <v>300</v>
      </c>
      <c r="L142" s="66">
        <v>2350</v>
      </c>
      <c r="M142" s="164">
        <v>24.835260668955002</v>
      </c>
      <c r="N142" s="78">
        <v>7213.9703999999992</v>
      </c>
      <c r="O142" s="113">
        <v>78963.639311571067</v>
      </c>
      <c r="P142" s="113">
        <v>85678.29615128263</v>
      </c>
      <c r="Q142" s="110">
        <v>31039.142730135216</v>
      </c>
      <c r="R142" s="113">
        <v>110002.78204170629</v>
      </c>
      <c r="S142" s="113">
        <v>116717.43888141785</v>
      </c>
      <c r="U142" s="7" t="s">
        <v>6461</v>
      </c>
    </row>
    <row r="143" spans="1:21" ht="16.5" thickBot="1">
      <c r="A143" s="207" t="s">
        <v>10</v>
      </c>
      <c r="B143" s="211">
        <f t="shared" si="6"/>
        <v>90</v>
      </c>
      <c r="C143" s="211" t="s">
        <v>3</v>
      </c>
      <c r="D143" s="211">
        <f t="shared" si="7"/>
        <v>300</v>
      </c>
      <c r="E143" s="211" t="s">
        <v>3</v>
      </c>
      <c r="F143" s="209">
        <f t="shared" si="8"/>
        <v>2400</v>
      </c>
      <c r="G143" s="211" t="s">
        <v>3</v>
      </c>
      <c r="H143" s="208">
        <v>2</v>
      </c>
      <c r="I143" s="210" t="s">
        <v>529</v>
      </c>
      <c r="J143" s="103">
        <v>90</v>
      </c>
      <c r="K143" s="66">
        <v>300</v>
      </c>
      <c r="L143" s="66">
        <v>2400</v>
      </c>
      <c r="M143" s="164">
        <v>25.2909940577225</v>
      </c>
      <c r="N143" s="78">
        <v>7394.3196599999992</v>
      </c>
      <c r="O143" s="113">
        <v>79846.723730176716</v>
      </c>
      <c r="P143" s="113">
        <v>86722.451241466624</v>
      </c>
      <c r="Q143" s="110">
        <v>31562.784363106966</v>
      </c>
      <c r="R143" s="113">
        <v>111409.50809328369</v>
      </c>
      <c r="S143" s="113">
        <v>118285.23560457359</v>
      </c>
      <c r="U143" s="7" t="s">
        <v>6462</v>
      </c>
    </row>
    <row r="144" spans="1:21" ht="16.5" thickBot="1">
      <c r="A144" s="207" t="s">
        <v>10</v>
      </c>
      <c r="B144" s="211">
        <f t="shared" si="6"/>
        <v>90</v>
      </c>
      <c r="C144" s="211" t="s">
        <v>3</v>
      </c>
      <c r="D144" s="211">
        <f t="shared" si="7"/>
        <v>300</v>
      </c>
      <c r="E144" s="211" t="s">
        <v>3</v>
      </c>
      <c r="F144" s="209">
        <f t="shared" si="8"/>
        <v>2450</v>
      </c>
      <c r="G144" s="211" t="s">
        <v>3</v>
      </c>
      <c r="H144" s="208">
        <v>2</v>
      </c>
      <c r="I144" s="210" t="s">
        <v>529</v>
      </c>
      <c r="J144" s="103">
        <v>90</v>
      </c>
      <c r="K144" s="66">
        <v>300</v>
      </c>
      <c r="L144" s="66">
        <v>2450</v>
      </c>
      <c r="M144" s="164">
        <v>26.465332339289997</v>
      </c>
      <c r="N144" s="78">
        <v>7574.6689199999992</v>
      </c>
      <c r="O144" s="113">
        <v>81306.104692053603</v>
      </c>
      <c r="P144" s="113">
        <v>88440.939988155355</v>
      </c>
      <c r="Q144" s="110">
        <v>32337.760286891244</v>
      </c>
      <c r="R144" s="113">
        <v>113643.86497894485</v>
      </c>
      <c r="S144" s="113">
        <v>120778.70027504661</v>
      </c>
      <c r="U144" s="7" t="s">
        <v>6463</v>
      </c>
    </row>
    <row r="145" spans="1:21" ht="16.5" thickBot="1">
      <c r="A145" s="207" t="s">
        <v>10</v>
      </c>
      <c r="B145" s="211">
        <f t="shared" si="6"/>
        <v>90</v>
      </c>
      <c r="C145" s="211" t="s">
        <v>3</v>
      </c>
      <c r="D145" s="211">
        <f t="shared" si="7"/>
        <v>300</v>
      </c>
      <c r="E145" s="211" t="s">
        <v>3</v>
      </c>
      <c r="F145" s="209">
        <f t="shared" si="8"/>
        <v>2500</v>
      </c>
      <c r="G145" s="211" t="s">
        <v>3</v>
      </c>
      <c r="H145" s="208">
        <v>2</v>
      </c>
      <c r="I145" s="210" t="s">
        <v>529</v>
      </c>
      <c r="J145" s="103">
        <v>90</v>
      </c>
      <c r="K145" s="66">
        <v>300</v>
      </c>
      <c r="L145" s="66">
        <v>2500</v>
      </c>
      <c r="M145" s="164">
        <v>26.938065728057502</v>
      </c>
      <c r="N145" s="78">
        <v>7755.0181799999991</v>
      </c>
      <c r="O145" s="113">
        <v>82189.084270652267</v>
      </c>
      <c r="P145" s="113">
        <v>89484.996872129341</v>
      </c>
      <c r="Q145" s="110">
        <v>32861.40191986299</v>
      </c>
      <c r="R145" s="113">
        <v>115050.48619051525</v>
      </c>
      <c r="S145" s="113">
        <v>122346.39879199234</v>
      </c>
      <c r="U145" s="7" t="s">
        <v>6464</v>
      </c>
    </row>
    <row r="146" spans="1:21" ht="16.5" thickBot="1">
      <c r="A146" s="207" t="s">
        <v>10</v>
      </c>
      <c r="B146" s="211">
        <f t="shared" si="6"/>
        <v>90</v>
      </c>
      <c r="C146" s="211" t="s">
        <v>3</v>
      </c>
      <c r="D146" s="211">
        <f t="shared" si="7"/>
        <v>300</v>
      </c>
      <c r="E146" s="211" t="s">
        <v>3</v>
      </c>
      <c r="F146" s="209">
        <f t="shared" si="8"/>
        <v>2550</v>
      </c>
      <c r="G146" s="211" t="s">
        <v>3</v>
      </c>
      <c r="H146" s="208">
        <v>2</v>
      </c>
      <c r="I146" s="210" t="s">
        <v>529</v>
      </c>
      <c r="J146" s="103">
        <v>90</v>
      </c>
      <c r="K146" s="66">
        <v>300</v>
      </c>
      <c r="L146" s="66">
        <v>2550</v>
      </c>
      <c r="M146" s="164">
        <v>27.410839116825002</v>
      </c>
      <c r="N146" s="78">
        <v>7935.36744</v>
      </c>
      <c r="O146" s="113">
        <v>86662.837340421655</v>
      </c>
      <c r="P146" s="113">
        <v>93891.074676792923</v>
      </c>
      <c r="Q146" s="110">
        <v>33636.377843647271</v>
      </c>
      <c r="R146" s="113">
        <v>120299.21518406892</v>
      </c>
      <c r="S146" s="113">
        <v>127527.45252044019</v>
      </c>
      <c r="U146" s="7" t="s">
        <v>6465</v>
      </c>
    </row>
    <row r="147" spans="1:21" ht="16.5" thickBot="1">
      <c r="A147" s="207" t="s">
        <v>10</v>
      </c>
      <c r="B147" s="208">
        <f t="shared" si="6"/>
        <v>90</v>
      </c>
      <c r="C147" s="208" t="s">
        <v>3</v>
      </c>
      <c r="D147" s="208">
        <f t="shared" si="7"/>
        <v>300</v>
      </c>
      <c r="E147" s="208" t="s">
        <v>3</v>
      </c>
      <c r="F147" s="209">
        <f t="shared" si="8"/>
        <v>2600</v>
      </c>
      <c r="G147" s="208" t="s">
        <v>3</v>
      </c>
      <c r="H147" s="208">
        <v>2</v>
      </c>
      <c r="I147" s="210" t="s">
        <v>529</v>
      </c>
      <c r="J147" s="103">
        <v>90</v>
      </c>
      <c r="K147" s="66">
        <v>300</v>
      </c>
      <c r="L147" s="66">
        <v>2600</v>
      </c>
      <c r="M147" s="164">
        <v>27.866572505592501</v>
      </c>
      <c r="N147" s="78">
        <v>8115.7166999999999</v>
      </c>
      <c r="O147" s="113">
        <v>87840.669943236775</v>
      </c>
      <c r="P147" s="113">
        <v>95211.200793756303</v>
      </c>
      <c r="Q147" s="110">
        <v>34160.019476619018</v>
      </c>
      <c r="R147" s="113">
        <v>122000.6894198558</v>
      </c>
      <c r="S147" s="113">
        <v>129371.22027037531</v>
      </c>
      <c r="U147" s="7" t="s">
        <v>6466</v>
      </c>
    </row>
    <row r="148" spans="1:21" ht="16.5" thickBot="1">
      <c r="A148" s="207" t="s">
        <v>10</v>
      </c>
      <c r="B148" s="211">
        <f t="shared" si="6"/>
        <v>90</v>
      </c>
      <c r="C148" s="211" t="s">
        <v>3</v>
      </c>
      <c r="D148" s="211">
        <f t="shared" si="7"/>
        <v>300</v>
      </c>
      <c r="E148" s="211" t="s">
        <v>3</v>
      </c>
      <c r="F148" s="209">
        <f t="shared" si="8"/>
        <v>2650</v>
      </c>
      <c r="G148" s="211" t="s">
        <v>3</v>
      </c>
      <c r="H148" s="208">
        <v>2</v>
      </c>
      <c r="I148" s="210" t="s">
        <v>529</v>
      </c>
      <c r="J148" s="103">
        <v>90</v>
      </c>
      <c r="K148" s="66">
        <v>300</v>
      </c>
      <c r="L148" s="66">
        <v>2650</v>
      </c>
      <c r="M148" s="164">
        <v>28.446345894360004</v>
      </c>
      <c r="N148" s="78">
        <v>8296.0659599999999</v>
      </c>
      <c r="O148" s="113">
        <v>88549.126810750153</v>
      </c>
      <c r="P148" s="113">
        <v>96091.853210363653</v>
      </c>
      <c r="Q148" s="110">
        <v>34934.995247374536</v>
      </c>
      <c r="R148" s="113">
        <v>123484.12205812469</v>
      </c>
      <c r="S148" s="113">
        <v>131026.84845773819</v>
      </c>
      <c r="U148" s="7" t="s">
        <v>6467</v>
      </c>
    </row>
    <row r="149" spans="1:21" ht="16.5" thickBot="1">
      <c r="A149" s="207" t="s">
        <v>10</v>
      </c>
      <c r="B149" s="211">
        <f t="shared" si="6"/>
        <v>90</v>
      </c>
      <c r="C149" s="211" t="s">
        <v>3</v>
      </c>
      <c r="D149" s="211">
        <f t="shared" si="7"/>
        <v>300</v>
      </c>
      <c r="E149" s="211" t="s">
        <v>3</v>
      </c>
      <c r="F149" s="209">
        <f t="shared" si="8"/>
        <v>2700</v>
      </c>
      <c r="G149" s="211" t="s">
        <v>3</v>
      </c>
      <c r="H149" s="208">
        <v>2</v>
      </c>
      <c r="I149" s="210" t="s">
        <v>529</v>
      </c>
      <c r="J149" s="103">
        <v>90</v>
      </c>
      <c r="K149" s="66">
        <v>300</v>
      </c>
      <c r="L149" s="66">
        <v>2700</v>
      </c>
      <c r="M149" s="164">
        <v>28.941329283127502</v>
      </c>
      <c r="N149" s="78">
        <v>8476.415219999999</v>
      </c>
      <c r="O149" s="113">
        <v>89296.094950854967</v>
      </c>
      <c r="P149" s="113">
        <v>97008.563435279808</v>
      </c>
      <c r="Q149" s="110">
        <v>35458.637033375046</v>
      </c>
      <c r="R149" s="113">
        <v>124754.73198423002</v>
      </c>
      <c r="S149" s="113">
        <v>132467.20046865486</v>
      </c>
      <c r="U149" s="7" t="s">
        <v>6468</v>
      </c>
    </row>
    <row r="150" spans="1:21" ht="16.5" thickBot="1">
      <c r="A150" s="207" t="s">
        <v>10</v>
      </c>
      <c r="B150" s="211">
        <f t="shared" si="6"/>
        <v>90</v>
      </c>
      <c r="C150" s="211" t="s">
        <v>3</v>
      </c>
      <c r="D150" s="211">
        <f t="shared" si="7"/>
        <v>300</v>
      </c>
      <c r="E150" s="211" t="s">
        <v>3</v>
      </c>
      <c r="F150" s="209">
        <f t="shared" si="8"/>
        <v>2750</v>
      </c>
      <c r="G150" s="211" t="s">
        <v>3</v>
      </c>
      <c r="H150" s="208">
        <v>2</v>
      </c>
      <c r="I150" s="210" t="s">
        <v>529</v>
      </c>
      <c r="J150" s="103">
        <v>90</v>
      </c>
      <c r="K150" s="66">
        <v>300</v>
      </c>
      <c r="L150" s="66">
        <v>2750</v>
      </c>
      <c r="M150" s="164">
        <v>29.397062671895</v>
      </c>
      <c r="N150" s="78">
        <v>8656.7644799999998</v>
      </c>
      <c r="O150" s="113">
        <v>90093.559033183672</v>
      </c>
      <c r="P150" s="113">
        <v>97972.552861262535</v>
      </c>
      <c r="Q150" s="110">
        <v>35982.278666346792</v>
      </c>
      <c r="R150" s="113">
        <v>126075.83769953047</v>
      </c>
      <c r="S150" s="113">
        <v>133954.83152760932</v>
      </c>
      <c r="U150" s="7" t="s">
        <v>6469</v>
      </c>
    </row>
    <row r="151" spans="1:21" ht="16.5" thickBot="1">
      <c r="A151" s="207" t="s">
        <v>10</v>
      </c>
      <c r="B151" s="211">
        <f t="shared" si="6"/>
        <v>90</v>
      </c>
      <c r="C151" s="211" t="s">
        <v>3</v>
      </c>
      <c r="D151" s="211">
        <f t="shared" si="7"/>
        <v>300</v>
      </c>
      <c r="E151" s="211" t="s">
        <v>3</v>
      </c>
      <c r="F151" s="209">
        <f t="shared" si="8"/>
        <v>2800</v>
      </c>
      <c r="G151" s="211" t="s">
        <v>3</v>
      </c>
      <c r="H151" s="208">
        <v>2</v>
      </c>
      <c r="I151" s="210" t="s">
        <v>529</v>
      </c>
      <c r="J151" s="103">
        <v>90</v>
      </c>
      <c r="K151" s="66">
        <v>300</v>
      </c>
      <c r="L151" s="66">
        <v>2800</v>
      </c>
      <c r="M151" s="164">
        <v>29.869836060662504</v>
      </c>
      <c r="N151" s="78">
        <v>8837.1137399999989</v>
      </c>
      <c r="O151" s="113">
        <v>90800.670410582577</v>
      </c>
      <c r="P151" s="113">
        <v>98851.945506818185</v>
      </c>
      <c r="Q151" s="110">
        <v>36757.25443710231</v>
      </c>
      <c r="R151" s="113">
        <v>127557.92484768489</v>
      </c>
      <c r="S151" s="113">
        <v>135609.19994392048</v>
      </c>
      <c r="U151" s="7" t="s">
        <v>6470</v>
      </c>
    </row>
    <row r="152" spans="1:21" ht="16.5" thickBot="1">
      <c r="A152" s="207" t="s">
        <v>10</v>
      </c>
      <c r="B152" s="211">
        <f t="shared" si="6"/>
        <v>90</v>
      </c>
      <c r="C152" s="211" t="s">
        <v>3</v>
      </c>
      <c r="D152" s="211">
        <f t="shared" si="7"/>
        <v>300</v>
      </c>
      <c r="E152" s="211" t="s">
        <v>3</v>
      </c>
      <c r="F152" s="209">
        <f t="shared" si="8"/>
        <v>2850</v>
      </c>
      <c r="G152" s="211" t="s">
        <v>3</v>
      </c>
      <c r="H152" s="208">
        <v>2</v>
      </c>
      <c r="I152" s="210" t="s">
        <v>529</v>
      </c>
      <c r="J152" s="103">
        <v>90</v>
      </c>
      <c r="K152" s="66">
        <v>300</v>
      </c>
      <c r="L152" s="66">
        <v>2850</v>
      </c>
      <c r="M152" s="164">
        <v>30.325569449430002</v>
      </c>
      <c r="N152" s="78">
        <v>9017.4629999999997</v>
      </c>
      <c r="O152" s="113">
        <v>91507.729498052431</v>
      </c>
      <c r="P152" s="113">
        <v>99731.289114306055</v>
      </c>
      <c r="Q152" s="110">
        <v>37280.89622310282</v>
      </c>
      <c r="R152" s="113">
        <v>128788.62572115526</v>
      </c>
      <c r="S152" s="113">
        <v>137012.18533740888</v>
      </c>
      <c r="U152" s="7" t="s">
        <v>6471</v>
      </c>
    </row>
    <row r="153" spans="1:21" ht="16.5" thickBot="1">
      <c r="A153" s="207" t="s">
        <v>10</v>
      </c>
      <c r="B153" s="211">
        <f t="shared" si="6"/>
        <v>90</v>
      </c>
      <c r="C153" s="211" t="s">
        <v>3</v>
      </c>
      <c r="D153" s="211">
        <f t="shared" si="7"/>
        <v>300</v>
      </c>
      <c r="E153" s="211" t="s">
        <v>3</v>
      </c>
      <c r="F153" s="209">
        <f t="shared" si="8"/>
        <v>2900</v>
      </c>
      <c r="G153" s="211" t="s">
        <v>3</v>
      </c>
      <c r="H153" s="208">
        <v>2</v>
      </c>
      <c r="I153" s="210" t="s">
        <v>529</v>
      </c>
      <c r="J153" s="103">
        <v>90</v>
      </c>
      <c r="K153" s="66">
        <v>300</v>
      </c>
      <c r="L153" s="66">
        <v>2900</v>
      </c>
      <c r="M153" s="164">
        <v>30.974342838197501</v>
      </c>
      <c r="N153" s="78">
        <v>9197.8122599999988</v>
      </c>
      <c r="O153" s="113">
        <v>92214.736035444337</v>
      </c>
      <c r="P153" s="113">
        <v>100610.58368372613</v>
      </c>
      <c r="Q153" s="110">
        <v>38055.871993858338</v>
      </c>
      <c r="R153" s="113">
        <v>130270.60802930268</v>
      </c>
      <c r="S153" s="113">
        <v>138666.45567758445</v>
      </c>
      <c r="U153" s="7" t="s">
        <v>6472</v>
      </c>
    </row>
    <row r="154" spans="1:21" ht="16.5" thickBot="1">
      <c r="A154" s="207" t="s">
        <v>10</v>
      </c>
      <c r="B154" s="211">
        <f t="shared" si="6"/>
        <v>90</v>
      </c>
      <c r="C154" s="211" t="s">
        <v>3</v>
      </c>
      <c r="D154" s="211">
        <f t="shared" si="7"/>
        <v>300</v>
      </c>
      <c r="E154" s="211" t="s">
        <v>3</v>
      </c>
      <c r="F154" s="209">
        <f t="shared" si="8"/>
        <v>2950</v>
      </c>
      <c r="G154" s="211" t="s">
        <v>3</v>
      </c>
      <c r="H154" s="208">
        <v>2</v>
      </c>
      <c r="I154" s="210" t="s">
        <v>529</v>
      </c>
      <c r="J154" s="103">
        <v>90</v>
      </c>
      <c r="K154" s="66">
        <v>300</v>
      </c>
      <c r="L154" s="66">
        <v>2950</v>
      </c>
      <c r="M154" s="164">
        <v>31.430076226965006</v>
      </c>
      <c r="N154" s="78">
        <v>9378.1615199999997</v>
      </c>
      <c r="O154" s="113">
        <v>92921.690282907206</v>
      </c>
      <c r="P154" s="113">
        <v>101489.82908500396</v>
      </c>
      <c r="Q154" s="110">
        <v>38579.513779858848</v>
      </c>
      <c r="R154" s="113">
        <v>131501.20406276605</v>
      </c>
      <c r="S154" s="113">
        <v>140069.34286486282</v>
      </c>
      <c r="U154" s="7" t="s">
        <v>6473</v>
      </c>
    </row>
    <row r="155" spans="1:21" ht="16.5" thickBot="1">
      <c r="A155" s="212" t="s">
        <v>10</v>
      </c>
      <c r="B155" s="213">
        <f t="shared" si="6"/>
        <v>90</v>
      </c>
      <c r="C155" s="213" t="s">
        <v>3</v>
      </c>
      <c r="D155" s="213">
        <f t="shared" si="7"/>
        <v>300</v>
      </c>
      <c r="E155" s="213" t="s">
        <v>3</v>
      </c>
      <c r="F155" s="214">
        <f t="shared" si="8"/>
        <v>3000</v>
      </c>
      <c r="G155" s="213" t="s">
        <v>3</v>
      </c>
      <c r="H155" s="215">
        <v>2</v>
      </c>
      <c r="I155" s="210" t="s">
        <v>529</v>
      </c>
      <c r="J155" s="287">
        <v>90</v>
      </c>
      <c r="K155" s="266">
        <v>300</v>
      </c>
      <c r="L155" s="266">
        <v>3000</v>
      </c>
      <c r="M155" s="249">
        <v>31.902849615732499</v>
      </c>
      <c r="N155" s="250">
        <v>9558.5107799999987</v>
      </c>
      <c r="O155" s="251">
        <v>95499.944090965073</v>
      </c>
      <c r="P155" s="251">
        <v>104121.16172364647</v>
      </c>
      <c r="Q155" s="252">
        <v>39354.489550614366</v>
      </c>
      <c r="R155" s="251">
        <v>134854.43364157944</v>
      </c>
      <c r="S155" s="251">
        <v>143475.65127426083</v>
      </c>
      <c r="U155" s="7" t="s">
        <v>6474</v>
      </c>
    </row>
    <row r="156" spans="1:21" ht="22.5" customHeight="1" thickBot="1">
      <c r="A156" s="2968" t="s">
        <v>44</v>
      </c>
      <c r="B156" s="2969"/>
      <c r="C156" s="2969"/>
      <c r="D156" s="2969"/>
      <c r="E156" s="2969"/>
      <c r="F156" s="2969"/>
      <c r="G156" s="2969"/>
      <c r="H156" s="2969"/>
      <c r="I156" s="2969"/>
      <c r="J156" s="2969"/>
      <c r="K156" s="2969"/>
      <c r="L156" s="2969"/>
      <c r="M156" s="2969"/>
      <c r="N156" s="2969"/>
      <c r="O156" s="2969"/>
      <c r="P156" s="2969"/>
      <c r="Q156" s="2969"/>
      <c r="R156" s="2969"/>
      <c r="S156" s="2970"/>
    </row>
    <row r="157" spans="1:21" ht="16.5" customHeight="1" thickBot="1">
      <c r="A157" s="2974" t="s">
        <v>113</v>
      </c>
      <c r="B157" s="2975"/>
      <c r="C157" s="2975"/>
      <c r="D157" s="2975"/>
      <c r="E157" s="2975"/>
      <c r="F157" s="2975"/>
      <c r="G157" s="2975"/>
      <c r="H157" s="2975"/>
      <c r="I157" s="2975"/>
      <c r="J157" s="2975"/>
      <c r="K157" s="2975"/>
      <c r="L157" s="2975"/>
      <c r="M157" s="2975"/>
      <c r="N157" s="2975"/>
      <c r="O157" s="2975"/>
      <c r="P157" s="2975"/>
      <c r="Q157" s="2975"/>
      <c r="R157" s="2975"/>
      <c r="S157" s="2976"/>
    </row>
    <row r="158" spans="1:21" ht="16.5" thickBot="1">
      <c r="A158" s="207" t="s">
        <v>10</v>
      </c>
      <c r="B158" s="208">
        <f t="shared" ref="B158:B204" si="9">J158</f>
        <v>90</v>
      </c>
      <c r="C158" s="208" t="s">
        <v>3</v>
      </c>
      <c r="D158" s="208">
        <f t="shared" ref="D158:D204" si="10">K158</f>
        <v>360</v>
      </c>
      <c r="E158" s="208" t="s">
        <v>3</v>
      </c>
      <c r="F158" s="209">
        <f t="shared" ref="F158:F204" si="11">L158</f>
        <v>700</v>
      </c>
      <c r="G158" s="208" t="s">
        <v>3</v>
      </c>
      <c r="H158" s="208">
        <v>4</v>
      </c>
      <c r="I158" s="210" t="s">
        <v>529</v>
      </c>
      <c r="J158" s="286">
        <v>90</v>
      </c>
      <c r="K158" s="271">
        <v>360</v>
      </c>
      <c r="L158" s="271">
        <v>700</v>
      </c>
      <c r="M158" s="245">
        <v>10.655379967823421</v>
      </c>
      <c r="N158" s="246">
        <v>1566.6159599999999</v>
      </c>
      <c r="O158" s="247">
        <v>32163.959787411535</v>
      </c>
      <c r="P158" s="247">
        <v>35015.26119897703</v>
      </c>
      <c r="Q158" s="248">
        <v>11490.936859530682</v>
      </c>
      <c r="R158" s="247">
        <v>43654.896646942216</v>
      </c>
      <c r="S158" s="247">
        <v>46506.198058507711</v>
      </c>
      <c r="U158" s="7" t="s">
        <v>6475</v>
      </c>
    </row>
    <row r="159" spans="1:21" ht="16.5" thickBot="1">
      <c r="A159" s="207" t="s">
        <v>10</v>
      </c>
      <c r="B159" s="211">
        <f t="shared" si="9"/>
        <v>90</v>
      </c>
      <c r="C159" s="211" t="s">
        <v>3</v>
      </c>
      <c r="D159" s="211">
        <f t="shared" si="10"/>
        <v>360</v>
      </c>
      <c r="E159" s="211" t="s">
        <v>3</v>
      </c>
      <c r="F159" s="209">
        <f t="shared" si="11"/>
        <v>750</v>
      </c>
      <c r="G159" s="211" t="s">
        <v>3</v>
      </c>
      <c r="H159" s="208">
        <v>4</v>
      </c>
      <c r="I159" s="210" t="s">
        <v>529</v>
      </c>
      <c r="J159" s="103">
        <v>90</v>
      </c>
      <c r="K159" s="66">
        <v>360</v>
      </c>
      <c r="L159" s="66">
        <v>750</v>
      </c>
      <c r="M159" s="164">
        <v>11.272919367200526</v>
      </c>
      <c r="N159" s="78">
        <v>1790.41824</v>
      </c>
      <c r="O159" s="113">
        <v>34131.02666208132</v>
      </c>
      <c r="P159" s="113">
        <v>37108.175234440932</v>
      </c>
      <c r="Q159" s="110">
        <v>12094.357743768871</v>
      </c>
      <c r="R159" s="113">
        <v>46225.384405850193</v>
      </c>
      <c r="S159" s="113">
        <v>49202.532978209805</v>
      </c>
      <c r="U159" s="7" t="s">
        <v>6476</v>
      </c>
    </row>
    <row r="160" spans="1:21" ht="16.5" thickBot="1">
      <c r="A160" s="207" t="s">
        <v>10</v>
      </c>
      <c r="B160" s="211">
        <f t="shared" si="9"/>
        <v>90</v>
      </c>
      <c r="C160" s="211" t="s">
        <v>3</v>
      </c>
      <c r="D160" s="211">
        <f t="shared" si="10"/>
        <v>360</v>
      </c>
      <c r="E160" s="211" t="s">
        <v>3</v>
      </c>
      <c r="F160" s="209">
        <f t="shared" si="11"/>
        <v>800</v>
      </c>
      <c r="G160" s="211" t="s">
        <v>3</v>
      </c>
      <c r="H160" s="208">
        <v>4</v>
      </c>
      <c r="I160" s="210" t="s">
        <v>529</v>
      </c>
      <c r="J160" s="103">
        <v>90</v>
      </c>
      <c r="K160" s="66">
        <v>360</v>
      </c>
      <c r="L160" s="66">
        <v>800</v>
      </c>
      <c r="M160" s="164">
        <v>11.890458766577632</v>
      </c>
      <c r="N160" s="78">
        <v>2014.2205199999996</v>
      </c>
      <c r="O160" s="113">
        <v>36098.093536751105</v>
      </c>
      <c r="P160" s="113">
        <v>39201.08939997929</v>
      </c>
      <c r="Q160" s="110">
        <v>12697.77862800706</v>
      </c>
      <c r="R160" s="113">
        <v>48795.872164758162</v>
      </c>
      <c r="S160" s="113">
        <v>51898.868027986347</v>
      </c>
      <c r="U160" s="7" t="s">
        <v>6477</v>
      </c>
    </row>
    <row r="161" spans="1:21" ht="16.5" thickBot="1">
      <c r="A161" s="207" t="s">
        <v>10</v>
      </c>
      <c r="B161" s="211">
        <f t="shared" si="9"/>
        <v>90</v>
      </c>
      <c r="C161" s="211" t="s">
        <v>3</v>
      </c>
      <c r="D161" s="211">
        <f t="shared" si="10"/>
        <v>360</v>
      </c>
      <c r="E161" s="211" t="s">
        <v>3</v>
      </c>
      <c r="F161" s="209">
        <f t="shared" si="11"/>
        <v>850</v>
      </c>
      <c r="G161" s="211" t="s">
        <v>3</v>
      </c>
      <c r="H161" s="208">
        <v>4</v>
      </c>
      <c r="I161" s="210" t="s">
        <v>529</v>
      </c>
      <c r="J161" s="103">
        <v>90</v>
      </c>
      <c r="K161" s="66">
        <v>360</v>
      </c>
      <c r="L161" s="66">
        <v>850</v>
      </c>
      <c r="M161" s="164">
        <v>12.525038165954737</v>
      </c>
      <c r="N161" s="78">
        <v>2238.0227999999997</v>
      </c>
      <c r="O161" s="113">
        <v>38065.160411420889</v>
      </c>
      <c r="P161" s="113">
        <v>41294.003435443199</v>
      </c>
      <c r="Q161" s="110">
        <v>13552.533650029018</v>
      </c>
      <c r="R161" s="113">
        <v>51617.694061449904</v>
      </c>
      <c r="S161" s="113">
        <v>54846.537085472213</v>
      </c>
      <c r="U161" s="7" t="s">
        <v>6478</v>
      </c>
    </row>
    <row r="162" spans="1:21" ht="16.5" thickBot="1">
      <c r="A162" s="207" t="s">
        <v>10</v>
      </c>
      <c r="B162" s="211">
        <f t="shared" si="9"/>
        <v>90</v>
      </c>
      <c r="C162" s="211" t="s">
        <v>3</v>
      </c>
      <c r="D162" s="211">
        <f t="shared" si="10"/>
        <v>360</v>
      </c>
      <c r="E162" s="211" t="s">
        <v>3</v>
      </c>
      <c r="F162" s="209">
        <f t="shared" si="11"/>
        <v>900</v>
      </c>
      <c r="G162" s="211" t="s">
        <v>3</v>
      </c>
      <c r="H162" s="208">
        <v>4</v>
      </c>
      <c r="I162" s="210" t="s">
        <v>529</v>
      </c>
      <c r="J162" s="103">
        <v>90</v>
      </c>
      <c r="K162" s="66">
        <v>360</v>
      </c>
      <c r="L162" s="66">
        <v>900</v>
      </c>
      <c r="M162" s="164">
        <v>13.180577565331843</v>
      </c>
      <c r="N162" s="78">
        <v>2461.8250799999996</v>
      </c>
      <c r="O162" s="113">
        <v>40032.227286090674</v>
      </c>
      <c r="P162" s="113">
        <v>43386.917470907101</v>
      </c>
      <c r="Q162" s="110">
        <v>14155.954534267206</v>
      </c>
      <c r="R162" s="113">
        <v>54188.18182035788</v>
      </c>
      <c r="S162" s="113">
        <v>57542.872005174308</v>
      </c>
      <c r="U162" s="7" t="s">
        <v>6479</v>
      </c>
    </row>
    <row r="163" spans="1:21" ht="16.5" thickBot="1">
      <c r="A163" s="207" t="s">
        <v>10</v>
      </c>
      <c r="B163" s="211">
        <f t="shared" si="9"/>
        <v>90</v>
      </c>
      <c r="C163" s="211" t="s">
        <v>3</v>
      </c>
      <c r="D163" s="211">
        <f t="shared" si="10"/>
        <v>360</v>
      </c>
      <c r="E163" s="211" t="s">
        <v>3</v>
      </c>
      <c r="F163" s="209">
        <f t="shared" si="11"/>
        <v>950</v>
      </c>
      <c r="G163" s="211" t="s">
        <v>3</v>
      </c>
      <c r="H163" s="208">
        <v>4</v>
      </c>
      <c r="I163" s="210" t="s">
        <v>529</v>
      </c>
      <c r="J163" s="103">
        <v>90</v>
      </c>
      <c r="K163" s="66">
        <v>360</v>
      </c>
      <c r="L163" s="66">
        <v>950</v>
      </c>
      <c r="M163" s="164">
        <v>13.884156964708946</v>
      </c>
      <c r="N163" s="78">
        <v>2685.6273599999995</v>
      </c>
      <c r="O163" s="113">
        <v>41999.294160760459</v>
      </c>
      <c r="P163" s="113">
        <v>45479.831506371011</v>
      </c>
      <c r="Q163" s="110">
        <v>15010.709556289165</v>
      </c>
      <c r="R163" s="113">
        <v>57010.003717049622</v>
      </c>
      <c r="S163" s="113">
        <v>60490.541062660173</v>
      </c>
      <c r="U163" s="7" t="s">
        <v>6480</v>
      </c>
    </row>
    <row r="164" spans="1:21" ht="16.5" thickBot="1">
      <c r="A164" s="207" t="s">
        <v>10</v>
      </c>
      <c r="B164" s="211">
        <f t="shared" si="9"/>
        <v>90</v>
      </c>
      <c r="C164" s="211" t="s">
        <v>3</v>
      </c>
      <c r="D164" s="211">
        <f t="shared" si="10"/>
        <v>360</v>
      </c>
      <c r="E164" s="211" t="s">
        <v>3</v>
      </c>
      <c r="F164" s="209">
        <f t="shared" si="11"/>
        <v>1000</v>
      </c>
      <c r="G164" s="211" t="s">
        <v>3</v>
      </c>
      <c r="H164" s="208">
        <v>4</v>
      </c>
      <c r="I164" s="210" t="s">
        <v>529</v>
      </c>
      <c r="J164" s="103">
        <v>90</v>
      </c>
      <c r="K164" s="66">
        <v>360</v>
      </c>
      <c r="L164" s="66">
        <v>1000</v>
      </c>
      <c r="M164" s="164">
        <v>14.501696364086051</v>
      </c>
      <c r="N164" s="78">
        <v>2909.4296399999998</v>
      </c>
      <c r="O164" s="113">
        <v>43862.667114425203</v>
      </c>
      <c r="P164" s="113">
        <v>47475.657581865664</v>
      </c>
      <c r="Q164" s="110">
        <v>15614.130440527351</v>
      </c>
      <c r="R164" s="113">
        <v>59476.797554952558</v>
      </c>
      <c r="S164" s="113">
        <v>63089.788022393011</v>
      </c>
      <c r="U164" s="7" t="s">
        <v>6481</v>
      </c>
    </row>
    <row r="165" spans="1:21" ht="16.5" thickBot="1">
      <c r="A165" s="207" t="s">
        <v>10</v>
      </c>
      <c r="B165" s="211">
        <f t="shared" si="9"/>
        <v>90</v>
      </c>
      <c r="C165" s="211" t="s">
        <v>3</v>
      </c>
      <c r="D165" s="211">
        <f t="shared" si="10"/>
        <v>360</v>
      </c>
      <c r="E165" s="211" t="s">
        <v>3</v>
      </c>
      <c r="F165" s="209">
        <f t="shared" si="11"/>
        <v>1050</v>
      </c>
      <c r="G165" s="211" t="s">
        <v>3</v>
      </c>
      <c r="H165" s="208">
        <v>4</v>
      </c>
      <c r="I165" s="210" t="s">
        <v>529</v>
      </c>
      <c r="J165" s="103">
        <v>90</v>
      </c>
      <c r="K165" s="66">
        <v>360</v>
      </c>
      <c r="L165" s="66">
        <v>1050</v>
      </c>
      <c r="M165" s="164">
        <v>15.136275763463157</v>
      </c>
      <c r="N165" s="78">
        <v>3133.2319199999997</v>
      </c>
      <c r="O165" s="113">
        <v>46076.007197815728</v>
      </c>
      <c r="P165" s="113">
        <v>49799.155766146148</v>
      </c>
      <c r="Q165" s="110">
        <v>16468.885462549311</v>
      </c>
      <c r="R165" s="113">
        <v>62544.89266036504</v>
      </c>
      <c r="S165" s="113">
        <v>66268.041228695452</v>
      </c>
      <c r="U165" s="7" t="s">
        <v>6482</v>
      </c>
    </row>
    <row r="166" spans="1:21" ht="16.5" thickBot="1">
      <c r="A166" s="207" t="s">
        <v>10</v>
      </c>
      <c r="B166" s="208">
        <f t="shared" si="9"/>
        <v>90</v>
      </c>
      <c r="C166" s="208" t="s">
        <v>3</v>
      </c>
      <c r="D166" s="208">
        <f t="shared" si="10"/>
        <v>360</v>
      </c>
      <c r="E166" s="208" t="s">
        <v>3</v>
      </c>
      <c r="F166" s="209">
        <f t="shared" si="11"/>
        <v>1100</v>
      </c>
      <c r="G166" s="208" t="s">
        <v>3</v>
      </c>
      <c r="H166" s="208">
        <v>4</v>
      </c>
      <c r="I166" s="210" t="s">
        <v>529</v>
      </c>
      <c r="J166" s="103">
        <v>90</v>
      </c>
      <c r="K166" s="66">
        <v>360</v>
      </c>
      <c r="L166" s="66">
        <v>1100</v>
      </c>
      <c r="M166" s="164">
        <v>15.753815162840262</v>
      </c>
      <c r="N166" s="78">
        <v>3357.0341999999996</v>
      </c>
      <c r="O166" s="113">
        <v>48043.074072485506</v>
      </c>
      <c r="P166" s="113">
        <v>51892.069801610058</v>
      </c>
      <c r="Q166" s="110">
        <v>17072.3063467875</v>
      </c>
      <c r="R166" s="113">
        <v>65115.380419273002</v>
      </c>
      <c r="S166" s="113">
        <v>68964.376148397554</v>
      </c>
      <c r="U166" s="7" t="s">
        <v>6483</v>
      </c>
    </row>
    <row r="167" spans="1:21" ht="16.5" thickBot="1">
      <c r="A167" s="207" t="s">
        <v>10</v>
      </c>
      <c r="B167" s="211">
        <f t="shared" si="9"/>
        <v>90</v>
      </c>
      <c r="C167" s="211" t="s">
        <v>3</v>
      </c>
      <c r="D167" s="211">
        <f t="shared" si="10"/>
        <v>360</v>
      </c>
      <c r="E167" s="211" t="s">
        <v>3</v>
      </c>
      <c r="F167" s="209">
        <f t="shared" si="11"/>
        <v>1150</v>
      </c>
      <c r="G167" s="211" t="s">
        <v>3</v>
      </c>
      <c r="H167" s="208">
        <v>4</v>
      </c>
      <c r="I167" s="210" t="s">
        <v>529</v>
      </c>
      <c r="J167" s="103">
        <v>90</v>
      </c>
      <c r="K167" s="66">
        <v>360</v>
      </c>
      <c r="L167" s="66">
        <v>1150</v>
      </c>
      <c r="M167" s="164">
        <v>16.37135456221737</v>
      </c>
      <c r="N167" s="78">
        <v>3580.8364799999999</v>
      </c>
      <c r="O167" s="113">
        <v>49186.817543797966</v>
      </c>
      <c r="P167" s="113">
        <v>53214.111004706036</v>
      </c>
      <c r="Q167" s="110">
        <v>17675.727231025689</v>
      </c>
      <c r="R167" s="113">
        <v>66862.544774823647</v>
      </c>
      <c r="S167" s="113">
        <v>70889.838235731731</v>
      </c>
      <c r="U167" s="7" t="s">
        <v>6484</v>
      </c>
    </row>
    <row r="168" spans="1:21" ht="16.5" thickBot="1">
      <c r="A168" s="207" t="s">
        <v>10</v>
      </c>
      <c r="B168" s="211">
        <f t="shared" si="9"/>
        <v>90</v>
      </c>
      <c r="C168" s="211" t="s">
        <v>3</v>
      </c>
      <c r="D168" s="211">
        <f t="shared" si="10"/>
        <v>360</v>
      </c>
      <c r="E168" s="211" t="s">
        <v>3</v>
      </c>
      <c r="F168" s="209">
        <f t="shared" si="11"/>
        <v>1200</v>
      </c>
      <c r="G168" s="211" t="s">
        <v>3</v>
      </c>
      <c r="H168" s="208">
        <v>4</v>
      </c>
      <c r="I168" s="210" t="s">
        <v>529</v>
      </c>
      <c r="J168" s="103">
        <v>90</v>
      </c>
      <c r="K168" s="66">
        <v>360</v>
      </c>
      <c r="L168" s="66">
        <v>1200</v>
      </c>
      <c r="M168" s="164">
        <v>17.260433961594472</v>
      </c>
      <c r="N168" s="78">
        <v>3804.6387599999998</v>
      </c>
      <c r="O168" s="113">
        <v>50395.28983376675</v>
      </c>
      <c r="P168" s="113">
        <v>54596.757146084245</v>
      </c>
      <c r="Q168" s="110">
        <v>18530.482406076411</v>
      </c>
      <c r="R168" s="113">
        <v>68925.772239843165</v>
      </c>
      <c r="S168" s="113">
        <v>73127.239552160652</v>
      </c>
      <c r="U168" s="7" t="s">
        <v>6485</v>
      </c>
    </row>
    <row r="169" spans="1:21" ht="16.5" thickBot="1">
      <c r="A169" s="207" t="s">
        <v>10</v>
      </c>
      <c r="B169" s="211">
        <f t="shared" si="9"/>
        <v>90</v>
      </c>
      <c r="C169" s="211" t="s">
        <v>3</v>
      </c>
      <c r="D169" s="211">
        <f t="shared" si="10"/>
        <v>360</v>
      </c>
      <c r="E169" s="211" t="s">
        <v>3</v>
      </c>
      <c r="F169" s="209">
        <f t="shared" si="11"/>
        <v>1250</v>
      </c>
      <c r="G169" s="211" t="s">
        <v>3</v>
      </c>
      <c r="H169" s="208">
        <v>4</v>
      </c>
      <c r="I169" s="210" t="s">
        <v>529</v>
      </c>
      <c r="J169" s="103">
        <v>90</v>
      </c>
      <c r="K169" s="66">
        <v>360</v>
      </c>
      <c r="L169" s="66">
        <v>1250</v>
      </c>
      <c r="M169" s="164">
        <v>17.877973360971581</v>
      </c>
      <c r="N169" s="78">
        <v>4028.4410399999992</v>
      </c>
      <c r="O169" s="113">
        <v>51538.508974969816</v>
      </c>
      <c r="P169" s="113">
        <v>55918.307448204585</v>
      </c>
      <c r="Q169" s="110">
        <v>19133.9032903146</v>
      </c>
      <c r="R169" s="113">
        <v>70672.412265284423</v>
      </c>
      <c r="S169" s="113">
        <v>75052.210738519178</v>
      </c>
      <c r="U169" s="7" t="s">
        <v>6486</v>
      </c>
    </row>
    <row r="170" spans="1:21" ht="16.5" thickBot="1">
      <c r="A170" s="207" t="s">
        <v>10</v>
      </c>
      <c r="B170" s="211">
        <f t="shared" si="9"/>
        <v>90</v>
      </c>
      <c r="C170" s="211" t="s">
        <v>3</v>
      </c>
      <c r="D170" s="211">
        <f t="shared" si="10"/>
        <v>360</v>
      </c>
      <c r="E170" s="211" t="s">
        <v>3</v>
      </c>
      <c r="F170" s="209">
        <f t="shared" si="11"/>
        <v>1300</v>
      </c>
      <c r="G170" s="211" t="s">
        <v>3</v>
      </c>
      <c r="H170" s="208">
        <v>4</v>
      </c>
      <c r="I170" s="210" t="s">
        <v>529</v>
      </c>
      <c r="J170" s="103">
        <v>90</v>
      </c>
      <c r="K170" s="66">
        <v>360</v>
      </c>
      <c r="L170" s="66">
        <v>1300</v>
      </c>
      <c r="M170" s="164">
        <v>18.574552760348684</v>
      </c>
      <c r="N170" s="78">
        <v>4252.2433199999996</v>
      </c>
      <c r="O170" s="113">
        <v>55354.82636008026</v>
      </c>
      <c r="P170" s="113">
        <v>59742.664084719298</v>
      </c>
      <c r="Q170" s="110">
        <v>19988.658312336556</v>
      </c>
      <c r="R170" s="113">
        <v>75343.484672416816</v>
      </c>
      <c r="S170" s="113">
        <v>79731.322397055861</v>
      </c>
      <c r="U170" s="7" t="s">
        <v>6487</v>
      </c>
    </row>
    <row r="171" spans="1:21" ht="16.5" thickBot="1">
      <c r="A171" s="207" t="s">
        <v>10</v>
      </c>
      <c r="B171" s="211">
        <f t="shared" si="9"/>
        <v>90</v>
      </c>
      <c r="C171" s="211" t="s">
        <v>3</v>
      </c>
      <c r="D171" s="211">
        <f t="shared" si="10"/>
        <v>360</v>
      </c>
      <c r="E171" s="211" t="s">
        <v>3</v>
      </c>
      <c r="F171" s="209">
        <f t="shared" si="11"/>
        <v>1350</v>
      </c>
      <c r="G171" s="211" t="s">
        <v>3</v>
      </c>
      <c r="H171" s="208">
        <v>4</v>
      </c>
      <c r="I171" s="210" t="s">
        <v>529</v>
      </c>
      <c r="J171" s="103">
        <v>90</v>
      </c>
      <c r="K171" s="66">
        <v>360</v>
      </c>
      <c r="L171" s="66">
        <v>1350</v>
      </c>
      <c r="M171" s="164">
        <v>19.192092159725789</v>
      </c>
      <c r="N171" s="78">
        <v>4476.0455999999995</v>
      </c>
      <c r="O171" s="113">
        <v>56770.214581953252</v>
      </c>
      <c r="P171" s="113">
        <v>61319.044673351513</v>
      </c>
      <c r="Q171" s="110">
        <v>20592.079196574745</v>
      </c>
      <c r="R171" s="113">
        <v>77362.293778527994</v>
      </c>
      <c r="S171" s="113">
        <v>81911.123869926261</v>
      </c>
      <c r="U171" s="7" t="s">
        <v>6488</v>
      </c>
    </row>
    <row r="172" spans="1:21" ht="16.5" thickBot="1">
      <c r="A172" s="207" t="s">
        <v>10</v>
      </c>
      <c r="B172" s="211">
        <f t="shared" si="9"/>
        <v>90</v>
      </c>
      <c r="C172" s="211" t="s">
        <v>3</v>
      </c>
      <c r="D172" s="211">
        <f t="shared" si="10"/>
        <v>360</v>
      </c>
      <c r="E172" s="211" t="s">
        <v>3</v>
      </c>
      <c r="F172" s="209">
        <f t="shared" si="11"/>
        <v>1400</v>
      </c>
      <c r="G172" s="211" t="s">
        <v>3</v>
      </c>
      <c r="H172" s="208">
        <v>4</v>
      </c>
      <c r="I172" s="210" t="s">
        <v>529</v>
      </c>
      <c r="J172" s="103">
        <v>90</v>
      </c>
      <c r="K172" s="66">
        <v>360</v>
      </c>
      <c r="L172" s="66">
        <v>1400</v>
      </c>
      <c r="M172" s="164">
        <v>19.826671559102891</v>
      </c>
      <c r="N172" s="78">
        <v>4699.8478800000003</v>
      </c>
      <c r="O172" s="113">
        <v>58542.051023115491</v>
      </c>
      <c r="P172" s="113">
        <v>63229.165473953137</v>
      </c>
      <c r="Q172" s="110">
        <v>21446.834218596705</v>
      </c>
      <c r="R172" s="113">
        <v>79988.885241712196</v>
      </c>
      <c r="S172" s="113">
        <v>84675.999692549842</v>
      </c>
      <c r="U172" s="7" t="s">
        <v>6489</v>
      </c>
    </row>
    <row r="173" spans="1:21" ht="16.5" thickBot="1">
      <c r="A173" s="207" t="s">
        <v>10</v>
      </c>
      <c r="B173" s="211">
        <f t="shared" si="9"/>
        <v>90</v>
      </c>
      <c r="C173" s="211" t="s">
        <v>3</v>
      </c>
      <c r="D173" s="211">
        <f t="shared" si="10"/>
        <v>360</v>
      </c>
      <c r="E173" s="211" t="s">
        <v>3</v>
      </c>
      <c r="F173" s="209">
        <f t="shared" si="11"/>
        <v>1450</v>
      </c>
      <c r="G173" s="211" t="s">
        <v>3</v>
      </c>
      <c r="H173" s="208">
        <v>4</v>
      </c>
      <c r="I173" s="210" t="s">
        <v>529</v>
      </c>
      <c r="J173" s="103">
        <v>90</v>
      </c>
      <c r="K173" s="66">
        <v>360</v>
      </c>
      <c r="L173" s="66">
        <v>1450</v>
      </c>
      <c r="M173" s="164">
        <v>20.444210958480003</v>
      </c>
      <c r="N173" s="78">
        <v>4923.6501599999992</v>
      </c>
      <c r="O173" s="113">
        <v>59957.439244988469</v>
      </c>
      <c r="P173" s="113">
        <v>64805.546062585352</v>
      </c>
      <c r="Q173" s="110">
        <v>22050.255102834893</v>
      </c>
      <c r="R173" s="113">
        <v>82007.694347823359</v>
      </c>
      <c r="S173" s="113">
        <v>86855.801165420242</v>
      </c>
      <c r="U173" s="7" t="s">
        <v>6490</v>
      </c>
    </row>
    <row r="174" spans="1:21" ht="16.5" thickBot="1">
      <c r="A174" s="207" t="s">
        <v>10</v>
      </c>
      <c r="B174" s="211">
        <f t="shared" si="9"/>
        <v>90</v>
      </c>
      <c r="C174" s="211" t="s">
        <v>3</v>
      </c>
      <c r="D174" s="211">
        <f t="shared" si="10"/>
        <v>360</v>
      </c>
      <c r="E174" s="211" t="s">
        <v>3</v>
      </c>
      <c r="F174" s="209">
        <f t="shared" si="11"/>
        <v>1500</v>
      </c>
      <c r="G174" s="211" t="s">
        <v>3</v>
      </c>
      <c r="H174" s="208">
        <v>4</v>
      </c>
      <c r="I174" s="210" t="s">
        <v>529</v>
      </c>
      <c r="J174" s="103">
        <v>90</v>
      </c>
      <c r="K174" s="66">
        <v>360</v>
      </c>
      <c r="L174" s="66">
        <v>1500</v>
      </c>
      <c r="M174" s="164">
        <v>21.697556306657106</v>
      </c>
      <c r="N174" s="78">
        <v>5147.4524399999991</v>
      </c>
      <c r="O174" s="113">
        <v>61987.225027907683</v>
      </c>
      <c r="P174" s="113">
        <v>67129.140501959089</v>
      </c>
      <c r="Q174" s="110">
        <v>22905.01012485685</v>
      </c>
      <c r="R174" s="113">
        <v>84892.235152764537</v>
      </c>
      <c r="S174" s="113">
        <v>90034.150626815943</v>
      </c>
      <c r="U174" s="7" t="s">
        <v>6491</v>
      </c>
    </row>
    <row r="175" spans="1:21" ht="16.5" thickBot="1">
      <c r="A175" s="207" t="s">
        <v>10</v>
      </c>
      <c r="B175" s="211">
        <f t="shared" si="9"/>
        <v>90</v>
      </c>
      <c r="C175" s="211" t="s">
        <v>3</v>
      </c>
      <c r="D175" s="211">
        <f t="shared" si="10"/>
        <v>360</v>
      </c>
      <c r="E175" s="211" t="s">
        <v>3</v>
      </c>
      <c r="F175" s="209">
        <f t="shared" si="11"/>
        <v>1550</v>
      </c>
      <c r="G175" s="211" t="s">
        <v>3</v>
      </c>
      <c r="H175" s="208">
        <v>4</v>
      </c>
      <c r="I175" s="210" t="s">
        <v>529</v>
      </c>
      <c r="J175" s="103">
        <v>90</v>
      </c>
      <c r="K175" s="66">
        <v>360</v>
      </c>
      <c r="L175" s="66">
        <v>1550</v>
      </c>
      <c r="M175" s="164">
        <v>22.384095706034209</v>
      </c>
      <c r="N175" s="78">
        <v>5371.254719999999</v>
      </c>
      <c r="O175" s="113">
        <v>63402.613379855124</v>
      </c>
      <c r="P175" s="113">
        <v>68705.521090591312</v>
      </c>
      <c r="Q175" s="110">
        <v>23508.431009095038</v>
      </c>
      <c r="R175" s="113">
        <v>86911.044388950162</v>
      </c>
      <c r="S175" s="113">
        <v>92213.952099686343</v>
      </c>
      <c r="U175" s="7" t="s">
        <v>6492</v>
      </c>
    </row>
    <row r="176" spans="1:21" ht="16.5" thickBot="1">
      <c r="A176" s="207" t="s">
        <v>10</v>
      </c>
      <c r="B176" s="208">
        <f t="shared" si="9"/>
        <v>90</v>
      </c>
      <c r="C176" s="208" t="s">
        <v>3</v>
      </c>
      <c r="D176" s="208">
        <f t="shared" si="10"/>
        <v>360</v>
      </c>
      <c r="E176" s="208" t="s">
        <v>3</v>
      </c>
      <c r="F176" s="209">
        <f t="shared" si="11"/>
        <v>1600</v>
      </c>
      <c r="G176" s="208" t="s">
        <v>3</v>
      </c>
      <c r="H176" s="208">
        <v>4</v>
      </c>
      <c r="I176" s="210" t="s">
        <v>529</v>
      </c>
      <c r="J176" s="103">
        <v>90</v>
      </c>
      <c r="K176" s="66">
        <v>360</v>
      </c>
      <c r="L176" s="66">
        <v>1600</v>
      </c>
      <c r="M176" s="164">
        <v>23.00163510541131</v>
      </c>
      <c r="N176" s="78">
        <v>5595.0569999999989</v>
      </c>
      <c r="O176" s="113">
        <v>66939.186798679148</v>
      </c>
      <c r="P176" s="113">
        <v>72267.955131188472</v>
      </c>
      <c r="Q176" s="110">
        <v>24111.851893333227</v>
      </c>
      <c r="R176" s="113">
        <v>91051.038692012371</v>
      </c>
      <c r="S176" s="113">
        <v>96379.807024521695</v>
      </c>
      <c r="U176" s="7" t="s">
        <v>6493</v>
      </c>
    </row>
    <row r="177" spans="1:21" ht="16.5" thickBot="1">
      <c r="A177" s="207" t="s">
        <v>10</v>
      </c>
      <c r="B177" s="211">
        <f t="shared" si="9"/>
        <v>90</v>
      </c>
      <c r="C177" s="211" t="s">
        <v>3</v>
      </c>
      <c r="D177" s="211">
        <f t="shared" si="10"/>
        <v>360</v>
      </c>
      <c r="E177" s="211" t="s">
        <v>3</v>
      </c>
      <c r="F177" s="209">
        <f t="shared" si="11"/>
        <v>1650</v>
      </c>
      <c r="G177" s="211" t="s">
        <v>3</v>
      </c>
      <c r="H177" s="208">
        <v>4</v>
      </c>
      <c r="I177" s="210" t="s">
        <v>529</v>
      </c>
      <c r="J177" s="103">
        <v>90</v>
      </c>
      <c r="K177" s="66">
        <v>360</v>
      </c>
      <c r="L177" s="66">
        <v>1650</v>
      </c>
      <c r="M177" s="164">
        <v>23.67421450478842</v>
      </c>
      <c r="N177" s="78">
        <v>5818.8592799999997</v>
      </c>
      <c r="O177" s="113">
        <v>70750.7236875901</v>
      </c>
      <c r="P177" s="113">
        <v>76087.835905866421</v>
      </c>
      <c r="Q177" s="110">
        <v>24966.606915355183</v>
      </c>
      <c r="R177" s="113">
        <v>95717.33060294528</v>
      </c>
      <c r="S177" s="113">
        <v>101054.4428212216</v>
      </c>
      <c r="U177" s="7" t="s">
        <v>6494</v>
      </c>
    </row>
    <row r="178" spans="1:21" ht="16.5" thickBot="1">
      <c r="A178" s="207" t="s">
        <v>10</v>
      </c>
      <c r="B178" s="211">
        <f t="shared" si="9"/>
        <v>90</v>
      </c>
      <c r="C178" s="211" t="s">
        <v>3</v>
      </c>
      <c r="D178" s="211">
        <f t="shared" si="10"/>
        <v>360</v>
      </c>
      <c r="E178" s="211" t="s">
        <v>3</v>
      </c>
      <c r="F178" s="209">
        <f t="shared" si="11"/>
        <v>1700</v>
      </c>
      <c r="G178" s="211" t="s">
        <v>3</v>
      </c>
      <c r="H178" s="208">
        <v>4</v>
      </c>
      <c r="I178" s="210" t="s">
        <v>529</v>
      </c>
      <c r="J178" s="103">
        <v>90</v>
      </c>
      <c r="K178" s="66">
        <v>360</v>
      </c>
      <c r="L178" s="66">
        <v>1700</v>
      </c>
      <c r="M178" s="164">
        <v>24.291753904165528</v>
      </c>
      <c r="N178" s="78">
        <v>6042.6615599999996</v>
      </c>
      <c r="O178" s="113">
        <v>71942.50131207901</v>
      </c>
      <c r="P178" s="113">
        <v>77454.851130619776</v>
      </c>
      <c r="Q178" s="110">
        <v>25570.027799593372</v>
      </c>
      <c r="R178" s="113">
        <v>97512.529111672382</v>
      </c>
      <c r="S178" s="113">
        <v>103024.87893021315</v>
      </c>
      <c r="U178" s="7" t="s">
        <v>6495</v>
      </c>
    </row>
    <row r="179" spans="1:21" ht="16.5" thickBot="1">
      <c r="A179" s="207" t="s">
        <v>10</v>
      </c>
      <c r="B179" s="211">
        <f t="shared" si="9"/>
        <v>90</v>
      </c>
      <c r="C179" s="211" t="s">
        <v>3</v>
      </c>
      <c r="D179" s="211">
        <f t="shared" si="10"/>
        <v>360</v>
      </c>
      <c r="E179" s="211" t="s">
        <v>3</v>
      </c>
      <c r="F179" s="209">
        <f t="shared" si="11"/>
        <v>1750</v>
      </c>
      <c r="G179" s="211" t="s">
        <v>3</v>
      </c>
      <c r="H179" s="208">
        <v>4</v>
      </c>
      <c r="I179" s="210" t="s">
        <v>529</v>
      </c>
      <c r="J179" s="103">
        <v>90</v>
      </c>
      <c r="K179" s="66">
        <v>360</v>
      </c>
      <c r="L179" s="66">
        <v>1750</v>
      </c>
      <c r="M179" s="164">
        <v>24.926333303542627</v>
      </c>
      <c r="N179" s="78">
        <v>6266.4638399999994</v>
      </c>
      <c r="O179" s="113">
        <v>73051.271405775275</v>
      </c>
      <c r="P179" s="113">
        <v>78744.146741210818</v>
      </c>
      <c r="Q179" s="110">
        <v>26424.782821615332</v>
      </c>
      <c r="R179" s="113">
        <v>99476.054227390603</v>
      </c>
      <c r="S179" s="113">
        <v>105168.92956282615</v>
      </c>
      <c r="U179" s="7" t="s">
        <v>6496</v>
      </c>
    </row>
    <row r="180" spans="1:21" ht="16.5" thickBot="1">
      <c r="A180" s="207" t="s">
        <v>10</v>
      </c>
      <c r="B180" s="211">
        <f t="shared" si="9"/>
        <v>90</v>
      </c>
      <c r="C180" s="211" t="s">
        <v>3</v>
      </c>
      <c r="D180" s="211">
        <f t="shared" si="10"/>
        <v>360</v>
      </c>
      <c r="E180" s="211" t="s">
        <v>3</v>
      </c>
      <c r="F180" s="209">
        <f t="shared" si="11"/>
        <v>1800</v>
      </c>
      <c r="G180" s="211" t="s">
        <v>3</v>
      </c>
      <c r="H180" s="208">
        <v>4</v>
      </c>
      <c r="I180" s="210" t="s">
        <v>529</v>
      </c>
      <c r="J180" s="103">
        <v>90</v>
      </c>
      <c r="K180" s="66">
        <v>360</v>
      </c>
      <c r="L180" s="66">
        <v>1800</v>
      </c>
      <c r="M180" s="164">
        <v>25.612872702919734</v>
      </c>
      <c r="N180" s="78">
        <v>6490.2661199999993</v>
      </c>
      <c r="O180" s="113">
        <v>74243.80827483091</v>
      </c>
      <c r="P180" s="113">
        <v>80111.872822835372</v>
      </c>
      <c r="Q180" s="110">
        <v>27028.203705853517</v>
      </c>
      <c r="R180" s="113">
        <v>101272.01198068443</v>
      </c>
      <c r="S180" s="113">
        <v>107140.07652868889</v>
      </c>
      <c r="U180" s="7" t="s">
        <v>6497</v>
      </c>
    </row>
    <row r="181" spans="1:21" ht="16.5" thickBot="1">
      <c r="A181" s="207" t="s">
        <v>10</v>
      </c>
      <c r="B181" s="211">
        <f t="shared" si="9"/>
        <v>90</v>
      </c>
      <c r="C181" s="211" t="s">
        <v>3</v>
      </c>
      <c r="D181" s="211">
        <f t="shared" si="10"/>
        <v>360</v>
      </c>
      <c r="E181" s="211" t="s">
        <v>3</v>
      </c>
      <c r="F181" s="209">
        <f t="shared" si="11"/>
        <v>1850</v>
      </c>
      <c r="G181" s="211" t="s">
        <v>3</v>
      </c>
      <c r="H181" s="208">
        <v>4</v>
      </c>
      <c r="I181" s="210" t="s">
        <v>529</v>
      </c>
      <c r="J181" s="103">
        <v>90</v>
      </c>
      <c r="K181" s="66">
        <v>360</v>
      </c>
      <c r="L181" s="66">
        <v>1850</v>
      </c>
      <c r="M181" s="164">
        <v>26.309452102296845</v>
      </c>
      <c r="N181" s="78">
        <v>6714.0683999999992</v>
      </c>
      <c r="O181" s="113">
        <v>75436.29272388306</v>
      </c>
      <c r="P181" s="113">
        <v>81479.549866392132</v>
      </c>
      <c r="Q181" s="110">
        <v>27882.958880904247</v>
      </c>
      <c r="R181" s="113">
        <v>103319.25160478731</v>
      </c>
      <c r="S181" s="113">
        <v>109362.50874729638</v>
      </c>
      <c r="U181" s="7" t="s">
        <v>6498</v>
      </c>
    </row>
    <row r="182" spans="1:21" ht="16.5" thickBot="1">
      <c r="A182" s="207" t="s">
        <v>10</v>
      </c>
      <c r="B182" s="211">
        <f t="shared" si="9"/>
        <v>90</v>
      </c>
      <c r="C182" s="211" t="s">
        <v>3</v>
      </c>
      <c r="D182" s="211">
        <f t="shared" si="10"/>
        <v>360</v>
      </c>
      <c r="E182" s="211" t="s">
        <v>3</v>
      </c>
      <c r="F182" s="209">
        <f t="shared" si="11"/>
        <v>1900</v>
      </c>
      <c r="G182" s="211" t="s">
        <v>3</v>
      </c>
      <c r="H182" s="208">
        <v>4</v>
      </c>
      <c r="I182" s="210" t="s">
        <v>529</v>
      </c>
      <c r="J182" s="103">
        <v>90</v>
      </c>
      <c r="K182" s="66">
        <v>360</v>
      </c>
      <c r="L182" s="66">
        <v>1900</v>
      </c>
      <c r="M182" s="164">
        <v>26.92699150167395</v>
      </c>
      <c r="N182" s="78">
        <v>6937.87068</v>
      </c>
      <c r="O182" s="113">
        <v>76819.586505949599</v>
      </c>
      <c r="P182" s="113">
        <v>83025.88039535415</v>
      </c>
      <c r="Q182" s="110">
        <v>28486.379765142432</v>
      </c>
      <c r="R182" s="113">
        <v>105305.96627109204</v>
      </c>
      <c r="S182" s="113">
        <v>111512.26016049657</v>
      </c>
      <c r="U182" s="7" t="s">
        <v>6499</v>
      </c>
    </row>
    <row r="183" spans="1:21" ht="16.5" thickBot="1">
      <c r="A183" s="207" t="s">
        <v>10</v>
      </c>
      <c r="B183" s="211">
        <f t="shared" si="9"/>
        <v>90</v>
      </c>
      <c r="C183" s="211" t="s">
        <v>3</v>
      </c>
      <c r="D183" s="211">
        <f t="shared" si="10"/>
        <v>360</v>
      </c>
      <c r="E183" s="211" t="s">
        <v>3</v>
      </c>
      <c r="F183" s="209">
        <f t="shared" si="11"/>
        <v>1950</v>
      </c>
      <c r="G183" s="211" t="s">
        <v>3</v>
      </c>
      <c r="H183" s="208">
        <v>4</v>
      </c>
      <c r="I183" s="210" t="s">
        <v>529</v>
      </c>
      <c r="J183" s="103">
        <v>90</v>
      </c>
      <c r="K183" s="66">
        <v>360</v>
      </c>
      <c r="L183" s="66">
        <v>1950</v>
      </c>
      <c r="M183" s="164">
        <v>27.737030901051053</v>
      </c>
      <c r="N183" s="78">
        <v>7161.6729599999999</v>
      </c>
      <c r="O183" s="113">
        <v>78402.836716528487</v>
      </c>
      <c r="P183" s="113">
        <v>84759.429161905122</v>
      </c>
      <c r="Q183" s="110">
        <v>29089.800649380621</v>
      </c>
      <c r="R183" s="113">
        <v>107492.6373659091</v>
      </c>
      <c r="S183" s="113">
        <v>113849.22981128574</v>
      </c>
      <c r="U183" s="7" t="s">
        <v>6500</v>
      </c>
    </row>
    <row r="184" spans="1:21" ht="16.5" thickBot="1">
      <c r="A184" s="207" t="s">
        <v>10</v>
      </c>
      <c r="B184" s="211">
        <f t="shared" si="9"/>
        <v>90</v>
      </c>
      <c r="C184" s="211" t="s">
        <v>3</v>
      </c>
      <c r="D184" s="211">
        <f t="shared" si="10"/>
        <v>360</v>
      </c>
      <c r="E184" s="211" t="s">
        <v>3</v>
      </c>
      <c r="F184" s="209">
        <f t="shared" si="11"/>
        <v>2000</v>
      </c>
      <c r="G184" s="211" t="s">
        <v>3</v>
      </c>
      <c r="H184" s="208">
        <v>4</v>
      </c>
      <c r="I184" s="210" t="s">
        <v>529</v>
      </c>
      <c r="J184" s="103">
        <v>90</v>
      </c>
      <c r="K184" s="66">
        <v>360</v>
      </c>
      <c r="L184" s="66">
        <v>2000</v>
      </c>
      <c r="M184" s="164">
        <v>28.46317270042816</v>
      </c>
      <c r="N184" s="78">
        <v>7385.4752399999979</v>
      </c>
      <c r="O184" s="113">
        <v>79820.168510838688</v>
      </c>
      <c r="P184" s="113">
        <v>86545.009659715346</v>
      </c>
      <c r="Q184" s="110">
        <v>29944.555671402581</v>
      </c>
      <c r="R184" s="113">
        <v>109764.72418224128</v>
      </c>
      <c r="S184" s="113">
        <v>116489.56533111792</v>
      </c>
      <c r="U184" s="7" t="s">
        <v>6501</v>
      </c>
    </row>
    <row r="185" spans="1:21" ht="16.5" thickBot="1">
      <c r="A185" s="207" t="s">
        <v>10</v>
      </c>
      <c r="B185" s="211">
        <f t="shared" si="9"/>
        <v>90</v>
      </c>
      <c r="C185" s="211" t="s">
        <v>3</v>
      </c>
      <c r="D185" s="211">
        <f t="shared" si="10"/>
        <v>360</v>
      </c>
      <c r="E185" s="211" t="s">
        <v>3</v>
      </c>
      <c r="F185" s="209">
        <f t="shared" si="11"/>
        <v>2050</v>
      </c>
      <c r="G185" s="211" t="s">
        <v>3</v>
      </c>
      <c r="H185" s="208">
        <v>4</v>
      </c>
      <c r="I185" s="210" t="s">
        <v>529</v>
      </c>
      <c r="J185" s="103">
        <v>90</v>
      </c>
      <c r="K185" s="66">
        <v>360</v>
      </c>
      <c r="L185" s="66">
        <v>2050</v>
      </c>
      <c r="M185" s="164">
        <v>29.080712099805265</v>
      </c>
      <c r="N185" s="78">
        <v>7609.2775199999996</v>
      </c>
      <c r="O185" s="113">
        <v>83349.580550723913</v>
      </c>
      <c r="P185" s="113">
        <v>90100.738622545541</v>
      </c>
      <c r="Q185" s="110">
        <v>30547.976555640766</v>
      </c>
      <c r="R185" s="113">
        <v>113897.55710636468</v>
      </c>
      <c r="S185" s="113">
        <v>120648.71517818631</v>
      </c>
      <c r="U185" s="7" t="s">
        <v>6502</v>
      </c>
    </row>
    <row r="186" spans="1:21" ht="16.5" thickBot="1">
      <c r="A186" s="207" t="s">
        <v>10</v>
      </c>
      <c r="B186" s="208">
        <f t="shared" si="9"/>
        <v>90</v>
      </c>
      <c r="C186" s="208" t="s">
        <v>3</v>
      </c>
      <c r="D186" s="208">
        <f t="shared" si="10"/>
        <v>360</v>
      </c>
      <c r="E186" s="208" t="s">
        <v>3</v>
      </c>
      <c r="F186" s="209">
        <f t="shared" si="11"/>
        <v>2100</v>
      </c>
      <c r="G186" s="208" t="s">
        <v>3</v>
      </c>
      <c r="H186" s="208">
        <v>4</v>
      </c>
      <c r="I186" s="210" t="s">
        <v>529</v>
      </c>
      <c r="J186" s="103">
        <v>90</v>
      </c>
      <c r="K186" s="66">
        <v>360</v>
      </c>
      <c r="L186" s="66">
        <v>2100</v>
      </c>
      <c r="M186" s="164">
        <v>29.715291499182371</v>
      </c>
      <c r="N186" s="78">
        <v>7833.0797999999986</v>
      </c>
      <c r="O186" s="113">
        <v>84609.568566607384</v>
      </c>
      <c r="P186" s="113">
        <v>91531.618711455958</v>
      </c>
      <c r="Q186" s="110">
        <v>31402.731577662726</v>
      </c>
      <c r="R186" s="113">
        <v>116012.30014427011</v>
      </c>
      <c r="S186" s="113">
        <v>122934.35028911868</v>
      </c>
      <c r="U186" s="7" t="s">
        <v>6503</v>
      </c>
    </row>
    <row r="187" spans="1:21" ht="16.5" thickBot="1">
      <c r="A187" s="207" t="s">
        <v>10</v>
      </c>
      <c r="B187" s="211">
        <f t="shared" si="9"/>
        <v>90</v>
      </c>
      <c r="C187" s="211" t="s">
        <v>3</v>
      </c>
      <c r="D187" s="211">
        <f t="shared" si="10"/>
        <v>360</v>
      </c>
      <c r="E187" s="211" t="s">
        <v>3</v>
      </c>
      <c r="F187" s="209">
        <f t="shared" si="11"/>
        <v>2150</v>
      </c>
      <c r="G187" s="211" t="s">
        <v>3</v>
      </c>
      <c r="H187" s="208">
        <v>4</v>
      </c>
      <c r="I187" s="210" t="s">
        <v>529</v>
      </c>
      <c r="J187" s="103">
        <v>90</v>
      </c>
      <c r="K187" s="66">
        <v>360</v>
      </c>
      <c r="L187" s="66">
        <v>2150</v>
      </c>
      <c r="M187" s="164">
        <v>30.456830898559474</v>
      </c>
      <c r="N187" s="78">
        <v>8056.8820799999985</v>
      </c>
      <c r="O187" s="113">
        <v>86030.459458028228</v>
      </c>
      <c r="P187" s="113">
        <v>93113.151418992333</v>
      </c>
      <c r="Q187" s="110">
        <v>32006.152461900914</v>
      </c>
      <c r="R187" s="113">
        <v>118036.61191992914</v>
      </c>
      <c r="S187" s="113">
        <v>125119.30388089325</v>
      </c>
      <c r="U187" s="7" t="s">
        <v>6504</v>
      </c>
    </row>
    <row r="188" spans="1:21" ht="16.5" thickBot="1">
      <c r="A188" s="207" t="s">
        <v>10</v>
      </c>
      <c r="B188" s="211">
        <f t="shared" si="9"/>
        <v>90</v>
      </c>
      <c r="C188" s="211" t="s">
        <v>3</v>
      </c>
      <c r="D188" s="211">
        <f t="shared" si="10"/>
        <v>360</v>
      </c>
      <c r="E188" s="211" t="s">
        <v>3</v>
      </c>
      <c r="F188" s="209">
        <f t="shared" si="11"/>
        <v>2200</v>
      </c>
      <c r="G188" s="211" t="s">
        <v>3</v>
      </c>
      <c r="H188" s="208">
        <v>4</v>
      </c>
      <c r="I188" s="210" t="s">
        <v>529</v>
      </c>
      <c r="J188" s="103">
        <v>90</v>
      </c>
      <c r="K188" s="66">
        <v>360</v>
      </c>
      <c r="L188" s="66">
        <v>2200</v>
      </c>
      <c r="M188" s="164">
        <v>31.091410297936577</v>
      </c>
      <c r="N188" s="78">
        <v>8280.6843599999993</v>
      </c>
      <c r="O188" s="113">
        <v>87451.297929445616</v>
      </c>
      <c r="P188" s="113">
        <v>94694.634958386479</v>
      </c>
      <c r="Q188" s="110">
        <v>32860.907483922878</v>
      </c>
      <c r="R188" s="113">
        <v>120312.2054133685</v>
      </c>
      <c r="S188" s="113">
        <v>127555.54244230935</v>
      </c>
      <c r="U188" s="7" t="s">
        <v>6505</v>
      </c>
    </row>
    <row r="189" spans="1:21" ht="16.5" thickBot="1">
      <c r="A189" s="207" t="s">
        <v>10</v>
      </c>
      <c r="B189" s="211">
        <f t="shared" si="9"/>
        <v>90</v>
      </c>
      <c r="C189" s="211" t="s">
        <v>3</v>
      </c>
      <c r="D189" s="211">
        <f t="shared" si="10"/>
        <v>360</v>
      </c>
      <c r="E189" s="211" t="s">
        <v>3</v>
      </c>
      <c r="F189" s="209">
        <f t="shared" si="11"/>
        <v>2250</v>
      </c>
      <c r="G189" s="211" t="s">
        <v>3</v>
      </c>
      <c r="H189" s="208">
        <v>4</v>
      </c>
      <c r="I189" s="210" t="s">
        <v>529</v>
      </c>
      <c r="J189" s="103">
        <v>90</v>
      </c>
      <c r="K189" s="66">
        <v>360</v>
      </c>
      <c r="L189" s="66">
        <v>2250</v>
      </c>
      <c r="M189" s="164">
        <v>31.708949697313688</v>
      </c>
      <c r="N189" s="78">
        <v>8504.4866399999992</v>
      </c>
      <c r="O189" s="113">
        <v>89220.512459912017</v>
      </c>
      <c r="P189" s="113">
        <v>96602.300993960962</v>
      </c>
      <c r="Q189" s="110">
        <v>33464.328368161063</v>
      </c>
      <c r="R189" s="113">
        <v>122684.84082807308</v>
      </c>
      <c r="S189" s="113">
        <v>130066.62936212202</v>
      </c>
      <c r="U189" s="7" t="s">
        <v>6506</v>
      </c>
    </row>
    <row r="190" spans="1:21" ht="16.5" thickBot="1">
      <c r="A190" s="207" t="s">
        <v>10</v>
      </c>
      <c r="B190" s="211">
        <f t="shared" si="9"/>
        <v>90</v>
      </c>
      <c r="C190" s="211" t="s">
        <v>3</v>
      </c>
      <c r="D190" s="211">
        <f t="shared" si="10"/>
        <v>360</v>
      </c>
      <c r="E190" s="211" t="s">
        <v>3</v>
      </c>
      <c r="F190" s="209">
        <f t="shared" si="11"/>
        <v>2300</v>
      </c>
      <c r="G190" s="211" t="s">
        <v>3</v>
      </c>
      <c r="H190" s="208">
        <v>4</v>
      </c>
      <c r="I190" s="210" t="s">
        <v>529</v>
      </c>
      <c r="J190" s="103">
        <v>90</v>
      </c>
      <c r="K190" s="66">
        <v>360</v>
      </c>
      <c r="L190" s="66">
        <v>2300</v>
      </c>
      <c r="M190" s="164">
        <v>32.326489096690793</v>
      </c>
      <c r="N190" s="78">
        <v>8728.2889199999991</v>
      </c>
      <c r="O190" s="113">
        <v>90376.583997405876</v>
      </c>
      <c r="P190" s="113">
        <v>97935.884743632661</v>
      </c>
      <c r="Q190" s="110">
        <v>34067.749252399248</v>
      </c>
      <c r="R190" s="113">
        <v>124444.33324980512</v>
      </c>
      <c r="S190" s="113">
        <v>132003.63399603192</v>
      </c>
      <c r="U190" s="7" t="s">
        <v>6507</v>
      </c>
    </row>
    <row r="191" spans="1:21" ht="16.5" thickBot="1">
      <c r="A191" s="207" t="s">
        <v>10</v>
      </c>
      <c r="B191" s="211">
        <f t="shared" si="9"/>
        <v>90</v>
      </c>
      <c r="C191" s="211" t="s">
        <v>3</v>
      </c>
      <c r="D191" s="211">
        <f t="shared" si="10"/>
        <v>360</v>
      </c>
      <c r="E191" s="211" t="s">
        <v>3</v>
      </c>
      <c r="F191" s="209">
        <f t="shared" si="11"/>
        <v>2350</v>
      </c>
      <c r="G191" s="211" t="s">
        <v>3</v>
      </c>
      <c r="H191" s="208">
        <v>4</v>
      </c>
      <c r="I191" s="210" t="s">
        <v>529</v>
      </c>
      <c r="J191" s="103">
        <v>90</v>
      </c>
      <c r="K191" s="66">
        <v>360</v>
      </c>
      <c r="L191" s="66">
        <v>2350</v>
      </c>
      <c r="M191" s="164">
        <v>32.961068496067895</v>
      </c>
      <c r="N191" s="78">
        <v>8952.0911999999989</v>
      </c>
      <c r="O191" s="113">
        <v>91532.60311489625</v>
      </c>
      <c r="P191" s="113">
        <v>99269.419455236566</v>
      </c>
      <c r="Q191" s="110">
        <v>34922.504274421211</v>
      </c>
      <c r="R191" s="113">
        <v>126455.10738931746</v>
      </c>
      <c r="S191" s="113">
        <v>134191.92372965778</v>
      </c>
      <c r="U191" s="7" t="s">
        <v>6508</v>
      </c>
    </row>
    <row r="192" spans="1:21" ht="16.5" thickBot="1">
      <c r="A192" s="207" t="s">
        <v>10</v>
      </c>
      <c r="B192" s="211">
        <f t="shared" si="9"/>
        <v>90</v>
      </c>
      <c r="C192" s="211" t="s">
        <v>3</v>
      </c>
      <c r="D192" s="211">
        <f t="shared" si="10"/>
        <v>360</v>
      </c>
      <c r="E192" s="211" t="s">
        <v>3</v>
      </c>
      <c r="F192" s="209">
        <f t="shared" si="11"/>
        <v>2400</v>
      </c>
      <c r="G192" s="211" t="s">
        <v>3</v>
      </c>
      <c r="H192" s="208">
        <v>4</v>
      </c>
      <c r="I192" s="210" t="s">
        <v>529</v>
      </c>
      <c r="J192" s="103">
        <v>90</v>
      </c>
      <c r="K192" s="66">
        <v>360</v>
      </c>
      <c r="L192" s="66">
        <v>2400</v>
      </c>
      <c r="M192" s="164">
        <v>33.578607895445003</v>
      </c>
      <c r="N192" s="78">
        <v>9175.893479999997</v>
      </c>
      <c r="O192" s="113">
        <v>92688.569812383139</v>
      </c>
      <c r="P192" s="113">
        <v>100602.90512877269</v>
      </c>
      <c r="Q192" s="110">
        <v>35525.925158659396</v>
      </c>
      <c r="R192" s="113">
        <v>128214.49497104253</v>
      </c>
      <c r="S192" s="113">
        <v>136128.83028743209</v>
      </c>
      <c r="U192" s="7" t="s">
        <v>6509</v>
      </c>
    </row>
    <row r="193" spans="1:21" ht="16.5" thickBot="1">
      <c r="A193" s="207" t="s">
        <v>10</v>
      </c>
      <c r="B193" s="211">
        <f t="shared" si="9"/>
        <v>90</v>
      </c>
      <c r="C193" s="211" t="s">
        <v>3</v>
      </c>
      <c r="D193" s="211">
        <f t="shared" si="10"/>
        <v>360</v>
      </c>
      <c r="E193" s="211" t="s">
        <v>3</v>
      </c>
      <c r="F193" s="209">
        <f t="shared" si="11"/>
        <v>2450</v>
      </c>
      <c r="G193" s="211" t="s">
        <v>3</v>
      </c>
      <c r="H193" s="208">
        <v>4</v>
      </c>
      <c r="I193" s="210" t="s">
        <v>529</v>
      </c>
      <c r="J193" s="103">
        <v>90</v>
      </c>
      <c r="K193" s="66">
        <v>360</v>
      </c>
      <c r="L193" s="66">
        <v>2450</v>
      </c>
      <c r="M193" s="164">
        <v>34.945953243622107</v>
      </c>
      <c r="N193" s="78">
        <v>9399.6957600000005</v>
      </c>
      <c r="O193" s="113">
        <v>94458.881520838288</v>
      </c>
      <c r="P193" s="113">
        <v>102683.55548490811</v>
      </c>
      <c r="Q193" s="110">
        <v>36380.680180681353</v>
      </c>
      <c r="R193" s="113">
        <v>130839.56170151965</v>
      </c>
      <c r="S193" s="113">
        <v>139064.23566558945</v>
      </c>
      <c r="U193" s="7" t="s">
        <v>6510</v>
      </c>
    </row>
    <row r="194" spans="1:21" ht="16.5" thickBot="1">
      <c r="A194" s="207" t="s">
        <v>10</v>
      </c>
      <c r="B194" s="211">
        <f t="shared" si="9"/>
        <v>90</v>
      </c>
      <c r="C194" s="211" t="s">
        <v>3</v>
      </c>
      <c r="D194" s="211">
        <f t="shared" si="10"/>
        <v>360</v>
      </c>
      <c r="E194" s="211" t="s">
        <v>3</v>
      </c>
      <c r="F194" s="209">
        <f t="shared" si="11"/>
        <v>2500</v>
      </c>
      <c r="G194" s="211" t="s">
        <v>3</v>
      </c>
      <c r="H194" s="208">
        <v>4</v>
      </c>
      <c r="I194" s="210" t="s">
        <v>529</v>
      </c>
      <c r="J194" s="103">
        <v>90</v>
      </c>
      <c r="K194" s="66">
        <v>360</v>
      </c>
      <c r="L194" s="66">
        <v>2500</v>
      </c>
      <c r="M194" s="164">
        <v>35.580492642999218</v>
      </c>
      <c r="N194" s="78">
        <v>9623.4980399999986</v>
      </c>
      <c r="O194" s="113">
        <v>95614.743378318191</v>
      </c>
      <c r="P194" s="113">
        <v>104016.94282215976</v>
      </c>
      <c r="Q194" s="110">
        <v>36984.101064919538</v>
      </c>
      <c r="R194" s="113">
        <v>132598.84444323773</v>
      </c>
      <c r="S194" s="113">
        <v>141001.04388707929</v>
      </c>
      <c r="U194" s="7" t="s">
        <v>6511</v>
      </c>
    </row>
    <row r="195" spans="1:21" ht="16.5" thickBot="1">
      <c r="A195" s="207" t="s">
        <v>10</v>
      </c>
      <c r="B195" s="211">
        <f t="shared" si="9"/>
        <v>90</v>
      </c>
      <c r="C195" s="211" t="s">
        <v>3</v>
      </c>
      <c r="D195" s="211">
        <f t="shared" si="10"/>
        <v>360</v>
      </c>
      <c r="E195" s="211" t="s">
        <v>3</v>
      </c>
      <c r="F195" s="209">
        <f t="shared" si="11"/>
        <v>2550</v>
      </c>
      <c r="G195" s="211" t="s">
        <v>3</v>
      </c>
      <c r="H195" s="208">
        <v>4</v>
      </c>
      <c r="I195" s="210" t="s">
        <v>529</v>
      </c>
      <c r="J195" s="103">
        <v>90</v>
      </c>
      <c r="K195" s="66">
        <v>360</v>
      </c>
      <c r="L195" s="66">
        <v>2550</v>
      </c>
      <c r="M195" s="164">
        <v>36.215072042376313</v>
      </c>
      <c r="N195" s="78">
        <v>9847.3003199999985</v>
      </c>
      <c r="O195" s="113">
        <v>100361.37885704325</v>
      </c>
      <c r="P195" s="113">
        <v>108712.35108010103</v>
      </c>
      <c r="Q195" s="110">
        <v>37838.856239970264</v>
      </c>
      <c r="R195" s="113">
        <v>138200.23509701353</v>
      </c>
      <c r="S195" s="113">
        <v>146551.20732007129</v>
      </c>
      <c r="U195" s="7" t="s">
        <v>6512</v>
      </c>
    </row>
    <row r="196" spans="1:21" ht="16.5" thickBot="1">
      <c r="A196" s="207" t="s">
        <v>10</v>
      </c>
      <c r="B196" s="208">
        <f t="shared" si="9"/>
        <v>90</v>
      </c>
      <c r="C196" s="208" t="s">
        <v>3</v>
      </c>
      <c r="D196" s="208">
        <f t="shared" si="10"/>
        <v>360</v>
      </c>
      <c r="E196" s="208" t="s">
        <v>3</v>
      </c>
      <c r="F196" s="209">
        <f t="shared" si="11"/>
        <v>2600</v>
      </c>
      <c r="G196" s="208" t="s">
        <v>3</v>
      </c>
      <c r="H196" s="208">
        <v>4</v>
      </c>
      <c r="I196" s="210" t="s">
        <v>529</v>
      </c>
      <c r="J196" s="103">
        <v>90</v>
      </c>
      <c r="K196" s="66">
        <v>360</v>
      </c>
      <c r="L196" s="66">
        <v>2600</v>
      </c>
      <c r="M196" s="164">
        <v>36.832611441753421</v>
      </c>
      <c r="N196" s="78">
        <v>10071.102599999998</v>
      </c>
      <c r="O196" s="113">
        <v>101812.09360866513</v>
      </c>
      <c r="P196" s="113">
        <v>110321.80765034207</v>
      </c>
      <c r="Q196" s="110">
        <v>38442.277124208456</v>
      </c>
      <c r="R196" s="113">
        <v>140254.37073287359</v>
      </c>
      <c r="S196" s="113">
        <v>148764.08477455052</v>
      </c>
      <c r="U196" s="7" t="s">
        <v>6513</v>
      </c>
    </row>
    <row r="197" spans="1:21" ht="16.5" thickBot="1">
      <c r="A197" s="207" t="s">
        <v>10</v>
      </c>
      <c r="B197" s="211">
        <f t="shared" si="9"/>
        <v>90</v>
      </c>
      <c r="C197" s="211" t="s">
        <v>3</v>
      </c>
      <c r="D197" s="211">
        <f t="shared" si="10"/>
        <v>360</v>
      </c>
      <c r="E197" s="211" t="s">
        <v>3</v>
      </c>
      <c r="F197" s="209">
        <f t="shared" si="11"/>
        <v>2650</v>
      </c>
      <c r="G197" s="211" t="s">
        <v>3</v>
      </c>
      <c r="H197" s="208">
        <v>4</v>
      </c>
      <c r="I197" s="210" t="s">
        <v>529</v>
      </c>
      <c r="J197" s="103">
        <v>90</v>
      </c>
      <c r="K197" s="66">
        <v>360</v>
      </c>
      <c r="L197" s="66">
        <v>2650</v>
      </c>
      <c r="M197" s="164">
        <v>37.57419084113053</v>
      </c>
      <c r="N197" s="78">
        <v>10294.904879999998</v>
      </c>
      <c r="O197" s="113">
        <v>102793.4328851342</v>
      </c>
      <c r="P197" s="113">
        <v>111491.79065030154</v>
      </c>
      <c r="Q197" s="110">
        <v>39297.032146230413</v>
      </c>
      <c r="R197" s="113">
        <v>142090.46503136461</v>
      </c>
      <c r="S197" s="113">
        <v>150788.82279653195</v>
      </c>
      <c r="U197" s="7" t="s">
        <v>6514</v>
      </c>
    </row>
    <row r="198" spans="1:21" ht="16.5" thickBot="1">
      <c r="A198" s="207" t="s">
        <v>10</v>
      </c>
      <c r="B198" s="211">
        <f t="shared" si="9"/>
        <v>90</v>
      </c>
      <c r="C198" s="211" t="s">
        <v>3</v>
      </c>
      <c r="D198" s="211">
        <f t="shared" si="10"/>
        <v>360</v>
      </c>
      <c r="E198" s="211" t="s">
        <v>3</v>
      </c>
      <c r="F198" s="209">
        <f t="shared" si="11"/>
        <v>2700</v>
      </c>
      <c r="G198" s="211" t="s">
        <v>3</v>
      </c>
      <c r="H198" s="208">
        <v>4</v>
      </c>
      <c r="I198" s="210" t="s">
        <v>529</v>
      </c>
      <c r="J198" s="103">
        <v>90</v>
      </c>
      <c r="K198" s="66">
        <v>360</v>
      </c>
      <c r="L198" s="66">
        <v>2700</v>
      </c>
      <c r="M198" s="164">
        <v>38.270230240507637</v>
      </c>
      <c r="N198" s="78">
        <v>10518.70716</v>
      </c>
      <c r="O198" s="113">
        <v>103839.71040012465</v>
      </c>
      <c r="P198" s="113">
        <v>112722.57487088884</v>
      </c>
      <c r="Q198" s="110">
        <v>39900.453030468605</v>
      </c>
      <c r="R198" s="113">
        <v>143740.16343059327</v>
      </c>
      <c r="S198" s="113">
        <v>152623.02790135745</v>
      </c>
      <c r="U198" s="7" t="s">
        <v>6515</v>
      </c>
    </row>
    <row r="199" spans="1:21" ht="16.5" thickBot="1">
      <c r="A199" s="207" t="s">
        <v>10</v>
      </c>
      <c r="B199" s="211">
        <f t="shared" si="9"/>
        <v>90</v>
      </c>
      <c r="C199" s="211" t="s">
        <v>3</v>
      </c>
      <c r="D199" s="211">
        <f t="shared" si="10"/>
        <v>360</v>
      </c>
      <c r="E199" s="211" t="s">
        <v>3</v>
      </c>
      <c r="F199" s="209">
        <f t="shared" si="11"/>
        <v>2750</v>
      </c>
      <c r="G199" s="211" t="s">
        <v>3</v>
      </c>
      <c r="H199" s="208">
        <v>4</v>
      </c>
      <c r="I199" s="210" t="s">
        <v>529</v>
      </c>
      <c r="J199" s="103">
        <v>90</v>
      </c>
      <c r="K199" s="66">
        <v>360</v>
      </c>
      <c r="L199" s="66">
        <v>2750</v>
      </c>
      <c r="M199" s="164">
        <v>38.887769639884738</v>
      </c>
      <c r="N199" s="78">
        <v>10742.509439999998</v>
      </c>
      <c r="O199" s="113">
        <v>104910.05676133459</v>
      </c>
      <c r="P199" s="113">
        <v>113975.89475014925</v>
      </c>
      <c r="Q199" s="110">
        <v>40503.87391470679</v>
      </c>
      <c r="R199" s="113">
        <v>145413.93067604137</v>
      </c>
      <c r="S199" s="113">
        <v>154479.76866485603</v>
      </c>
      <c r="U199" s="7" t="s">
        <v>6516</v>
      </c>
    </row>
    <row r="200" spans="1:21" ht="16.5" thickBot="1">
      <c r="A200" s="207" t="s">
        <v>10</v>
      </c>
      <c r="B200" s="211">
        <f t="shared" si="9"/>
        <v>90</v>
      </c>
      <c r="C200" s="211" t="s">
        <v>3</v>
      </c>
      <c r="D200" s="211">
        <f t="shared" si="10"/>
        <v>360</v>
      </c>
      <c r="E200" s="211" t="s">
        <v>3</v>
      </c>
      <c r="F200" s="209">
        <f t="shared" si="11"/>
        <v>2800</v>
      </c>
      <c r="G200" s="211" t="s">
        <v>3</v>
      </c>
      <c r="H200" s="208">
        <v>4</v>
      </c>
      <c r="I200" s="210" t="s">
        <v>529</v>
      </c>
      <c r="J200" s="103">
        <v>90</v>
      </c>
      <c r="K200" s="66">
        <v>360</v>
      </c>
      <c r="L200" s="66">
        <v>2800</v>
      </c>
      <c r="M200" s="164">
        <v>39.522349039261847</v>
      </c>
      <c r="N200" s="78">
        <v>10966.31172</v>
      </c>
      <c r="O200" s="113">
        <v>105890.05054768917</v>
      </c>
      <c r="P200" s="113">
        <v>115144.61784898258</v>
      </c>
      <c r="Q200" s="110">
        <v>41358.628936728746</v>
      </c>
      <c r="R200" s="113">
        <v>147248.67948441792</v>
      </c>
      <c r="S200" s="113">
        <v>156503.24678571132</v>
      </c>
      <c r="U200" s="7" t="s">
        <v>6517</v>
      </c>
    </row>
    <row r="201" spans="1:21" ht="16.5" thickBot="1">
      <c r="A201" s="207" t="s">
        <v>10</v>
      </c>
      <c r="B201" s="211">
        <f t="shared" si="9"/>
        <v>90</v>
      </c>
      <c r="C201" s="211" t="s">
        <v>3</v>
      </c>
      <c r="D201" s="211">
        <f t="shared" si="10"/>
        <v>360</v>
      </c>
      <c r="E201" s="211" t="s">
        <v>3</v>
      </c>
      <c r="F201" s="209">
        <f t="shared" si="11"/>
        <v>2850</v>
      </c>
      <c r="G201" s="211" t="s">
        <v>3</v>
      </c>
      <c r="H201" s="208">
        <v>4</v>
      </c>
      <c r="I201" s="210" t="s">
        <v>529</v>
      </c>
      <c r="J201" s="103">
        <v>90</v>
      </c>
      <c r="K201" s="66">
        <v>360</v>
      </c>
      <c r="L201" s="66">
        <v>2850</v>
      </c>
      <c r="M201" s="164">
        <v>40.139888438638941</v>
      </c>
      <c r="N201" s="78">
        <v>11190.113999999998</v>
      </c>
      <c r="O201" s="113">
        <v>106869.99191404025</v>
      </c>
      <c r="P201" s="113">
        <v>116313.29190974811</v>
      </c>
      <c r="Q201" s="110">
        <v>41962.049820966939</v>
      </c>
      <c r="R201" s="113">
        <v>148832.04173500719</v>
      </c>
      <c r="S201" s="113">
        <v>158275.34173071504</v>
      </c>
      <c r="U201" s="7" t="s">
        <v>6518</v>
      </c>
    </row>
    <row r="202" spans="1:21" ht="16.5" thickBot="1">
      <c r="A202" s="207" t="s">
        <v>10</v>
      </c>
      <c r="B202" s="211">
        <f t="shared" si="9"/>
        <v>90</v>
      </c>
      <c r="C202" s="211" t="s">
        <v>3</v>
      </c>
      <c r="D202" s="211">
        <f t="shared" si="10"/>
        <v>360</v>
      </c>
      <c r="E202" s="211" t="s">
        <v>3</v>
      </c>
      <c r="F202" s="209">
        <f t="shared" si="11"/>
        <v>2900</v>
      </c>
      <c r="G202" s="211" t="s">
        <v>3</v>
      </c>
      <c r="H202" s="208">
        <v>4</v>
      </c>
      <c r="I202" s="210" t="s">
        <v>529</v>
      </c>
      <c r="J202" s="103">
        <v>90</v>
      </c>
      <c r="K202" s="66">
        <v>360</v>
      </c>
      <c r="L202" s="66">
        <v>2900</v>
      </c>
      <c r="M202" s="164">
        <v>40.950467838016053</v>
      </c>
      <c r="N202" s="78">
        <v>11413.916279999999</v>
      </c>
      <c r="O202" s="113">
        <v>107849.88086038784</v>
      </c>
      <c r="P202" s="113">
        <v>117481.91693244586</v>
      </c>
      <c r="Q202" s="110">
        <v>42816.804842988895</v>
      </c>
      <c r="R202" s="113">
        <v>150666.68570337674</v>
      </c>
      <c r="S202" s="113">
        <v>160298.72177543477</v>
      </c>
      <c r="U202" s="7" t="s">
        <v>6519</v>
      </c>
    </row>
    <row r="203" spans="1:21" ht="16.5" thickBot="1">
      <c r="A203" s="207" t="s">
        <v>10</v>
      </c>
      <c r="B203" s="211">
        <f t="shared" si="9"/>
        <v>90</v>
      </c>
      <c r="C203" s="211" t="s">
        <v>3</v>
      </c>
      <c r="D203" s="211">
        <f t="shared" si="10"/>
        <v>360</v>
      </c>
      <c r="E203" s="211" t="s">
        <v>3</v>
      </c>
      <c r="F203" s="209">
        <f t="shared" si="11"/>
        <v>2950</v>
      </c>
      <c r="G203" s="211" t="s">
        <v>3</v>
      </c>
      <c r="H203" s="208">
        <v>4</v>
      </c>
      <c r="I203" s="210" t="s">
        <v>529</v>
      </c>
      <c r="J203" s="103">
        <v>90</v>
      </c>
      <c r="K203" s="66">
        <v>360</v>
      </c>
      <c r="L203" s="66">
        <v>2950</v>
      </c>
      <c r="M203" s="164">
        <v>41.568007237393161</v>
      </c>
      <c r="N203" s="78">
        <v>11637.718559999999</v>
      </c>
      <c r="O203" s="113">
        <v>108829.71738673192</v>
      </c>
      <c r="P203" s="113">
        <v>118650.49291707583</v>
      </c>
      <c r="Q203" s="110">
        <v>43420.22572722708</v>
      </c>
      <c r="R203" s="113">
        <v>152249.94311395899</v>
      </c>
      <c r="S203" s="113">
        <v>162070.71864430292</v>
      </c>
      <c r="U203" s="7" t="s">
        <v>6520</v>
      </c>
    </row>
    <row r="204" spans="1:21" ht="16.5" thickBot="1">
      <c r="A204" s="212" t="s">
        <v>10</v>
      </c>
      <c r="B204" s="213">
        <f t="shared" si="9"/>
        <v>90</v>
      </c>
      <c r="C204" s="213" t="s">
        <v>3</v>
      </c>
      <c r="D204" s="213">
        <f t="shared" si="10"/>
        <v>360</v>
      </c>
      <c r="E204" s="213" t="s">
        <v>3</v>
      </c>
      <c r="F204" s="214">
        <f t="shared" si="11"/>
        <v>3000</v>
      </c>
      <c r="G204" s="213" t="s">
        <v>3</v>
      </c>
      <c r="H204" s="215">
        <v>4</v>
      </c>
      <c r="I204" s="210" t="s">
        <v>529</v>
      </c>
      <c r="J204" s="287">
        <v>90</v>
      </c>
      <c r="K204" s="266">
        <v>360</v>
      </c>
      <c r="L204" s="266">
        <v>3000</v>
      </c>
      <c r="M204" s="281">
        <v>42.202586636770263</v>
      </c>
      <c r="N204" s="250">
        <v>11861.520839999999</v>
      </c>
      <c r="O204" s="251">
        <v>111680.85347367101</v>
      </c>
      <c r="P204" s="251">
        <v>121571.15587892153</v>
      </c>
      <c r="Q204" s="252">
        <v>44274.980749249036</v>
      </c>
      <c r="R204" s="251">
        <v>155955.83422292006</v>
      </c>
      <c r="S204" s="251">
        <v>165846.13662817056</v>
      </c>
      <c r="U204" s="7" t="s">
        <v>6521</v>
      </c>
    </row>
    <row r="205" spans="1:21" ht="22.5" customHeight="1" thickBot="1">
      <c r="A205" s="2968" t="s">
        <v>60</v>
      </c>
      <c r="B205" s="2969"/>
      <c r="C205" s="2969"/>
      <c r="D205" s="2969"/>
      <c r="E205" s="2969"/>
      <c r="F205" s="2969"/>
      <c r="G205" s="2969"/>
      <c r="H205" s="2969"/>
      <c r="I205" s="2969"/>
      <c r="J205" s="2969"/>
      <c r="K205" s="2969"/>
      <c r="L205" s="2969"/>
      <c r="M205" s="2969"/>
      <c r="N205" s="2969"/>
      <c r="O205" s="2969"/>
      <c r="P205" s="2969"/>
      <c r="Q205" s="2969"/>
      <c r="R205" s="2969"/>
      <c r="S205" s="2970"/>
    </row>
    <row r="206" spans="1:21" ht="16.5" customHeight="1" thickBot="1">
      <c r="A206" s="2974" t="s">
        <v>113</v>
      </c>
      <c r="B206" s="2975"/>
      <c r="C206" s="2975"/>
      <c r="D206" s="2975"/>
      <c r="E206" s="2975"/>
      <c r="F206" s="2975"/>
      <c r="G206" s="2975"/>
      <c r="H206" s="2975"/>
      <c r="I206" s="2975"/>
      <c r="J206" s="2975"/>
      <c r="K206" s="2975"/>
      <c r="L206" s="2975"/>
      <c r="M206" s="2975"/>
      <c r="N206" s="2975"/>
      <c r="O206" s="2975"/>
      <c r="P206" s="2975"/>
      <c r="Q206" s="2975"/>
      <c r="R206" s="2975"/>
      <c r="S206" s="2976"/>
    </row>
    <row r="207" spans="1:21" ht="16.5" thickBot="1">
      <c r="A207" s="207" t="s">
        <v>10</v>
      </c>
      <c r="B207" s="208">
        <f t="shared" ref="B207:B253" si="12">J207</f>
        <v>90</v>
      </c>
      <c r="C207" s="208" t="s">
        <v>3</v>
      </c>
      <c r="D207" s="208">
        <f t="shared" ref="D207:D253" si="13">K207</f>
        <v>400</v>
      </c>
      <c r="E207" s="208" t="s">
        <v>3</v>
      </c>
      <c r="F207" s="209">
        <f t="shared" ref="F207:F253" si="14">L207</f>
        <v>700</v>
      </c>
      <c r="G207" s="208" t="s">
        <v>3</v>
      </c>
      <c r="H207" s="208">
        <v>4</v>
      </c>
      <c r="I207" s="210" t="s">
        <v>529</v>
      </c>
      <c r="J207" s="286">
        <v>90</v>
      </c>
      <c r="K207" s="271">
        <v>400</v>
      </c>
      <c r="L207" s="271">
        <v>700</v>
      </c>
      <c r="M207" s="245">
        <v>11.188148966214593</v>
      </c>
      <c r="N207" s="246">
        <v>1733.5063199999997</v>
      </c>
      <c r="O207" s="247">
        <v>32629.017311110343</v>
      </c>
      <c r="P207" s="247">
        <v>35843.514554077308</v>
      </c>
      <c r="Q207" s="248">
        <v>12324.7019970418</v>
      </c>
      <c r="R207" s="247">
        <v>44953.71930815214</v>
      </c>
      <c r="S207" s="247">
        <v>48168.216551119112</v>
      </c>
      <c r="U207" s="7" t="s">
        <v>6522</v>
      </c>
    </row>
    <row r="208" spans="1:21" ht="16.5" thickBot="1">
      <c r="A208" s="207" t="s">
        <v>10</v>
      </c>
      <c r="B208" s="211">
        <f t="shared" si="12"/>
        <v>90</v>
      </c>
      <c r="C208" s="211" t="s">
        <v>3</v>
      </c>
      <c r="D208" s="211">
        <f t="shared" si="13"/>
        <v>400</v>
      </c>
      <c r="E208" s="211" t="s">
        <v>3</v>
      </c>
      <c r="F208" s="209">
        <f t="shared" si="14"/>
        <v>750</v>
      </c>
      <c r="G208" s="211" t="s">
        <v>3</v>
      </c>
      <c r="H208" s="208">
        <v>4</v>
      </c>
      <c r="I208" s="210" t="s">
        <v>529</v>
      </c>
      <c r="J208" s="103">
        <v>90</v>
      </c>
      <c r="K208" s="66">
        <v>400</v>
      </c>
      <c r="L208" s="66">
        <v>750</v>
      </c>
      <c r="M208" s="164">
        <v>11.836565335560552</v>
      </c>
      <c r="N208" s="78">
        <v>1981.1500799999999</v>
      </c>
      <c r="O208" s="113">
        <v>34628.174983501965</v>
      </c>
      <c r="P208" s="113">
        <v>37986.297442839947</v>
      </c>
      <c r="Q208" s="110">
        <v>12981.309099800537</v>
      </c>
      <c r="R208" s="113">
        <v>47609.484083302501</v>
      </c>
      <c r="S208" s="113">
        <v>50967.606542640482</v>
      </c>
      <c r="U208" s="7" t="s">
        <v>6523</v>
      </c>
    </row>
    <row r="209" spans="1:21" ht="16.5" thickBot="1">
      <c r="A209" s="207" t="s">
        <v>10</v>
      </c>
      <c r="B209" s="211">
        <f t="shared" si="12"/>
        <v>90</v>
      </c>
      <c r="C209" s="211" t="s">
        <v>3</v>
      </c>
      <c r="D209" s="211">
        <f t="shared" si="13"/>
        <v>400</v>
      </c>
      <c r="E209" s="211" t="s">
        <v>3</v>
      </c>
      <c r="F209" s="209">
        <f t="shared" si="14"/>
        <v>800</v>
      </c>
      <c r="G209" s="211" t="s">
        <v>3</v>
      </c>
      <c r="H209" s="208">
        <v>4</v>
      </c>
      <c r="I209" s="210" t="s">
        <v>529</v>
      </c>
      <c r="J209" s="103">
        <v>90</v>
      </c>
      <c r="K209" s="66">
        <v>400</v>
      </c>
      <c r="L209" s="66">
        <v>800</v>
      </c>
      <c r="M209" s="164">
        <v>12.484981704906515</v>
      </c>
      <c r="N209" s="78">
        <v>2228.7938399999998</v>
      </c>
      <c r="O209" s="113">
        <v>36612.16220282299</v>
      </c>
      <c r="P209" s="113">
        <v>40114.876331698135</v>
      </c>
      <c r="Q209" s="110">
        <v>13637.916049530511</v>
      </c>
      <c r="R209" s="113">
        <v>50250.078252353502</v>
      </c>
      <c r="S209" s="113">
        <v>53752.792381228646</v>
      </c>
      <c r="U209" s="7" t="s">
        <v>6524</v>
      </c>
    </row>
    <row r="210" spans="1:21" ht="16.5" thickBot="1">
      <c r="A210" s="207" t="s">
        <v>10</v>
      </c>
      <c r="B210" s="211">
        <f t="shared" si="12"/>
        <v>90</v>
      </c>
      <c r="C210" s="211" t="s">
        <v>3</v>
      </c>
      <c r="D210" s="211">
        <f t="shared" si="13"/>
        <v>400</v>
      </c>
      <c r="E210" s="211" t="s">
        <v>3</v>
      </c>
      <c r="F210" s="209">
        <f t="shared" si="14"/>
        <v>850</v>
      </c>
      <c r="G210" s="211" t="s">
        <v>3</v>
      </c>
      <c r="H210" s="208">
        <v>4</v>
      </c>
      <c r="I210" s="210" t="s">
        <v>529</v>
      </c>
      <c r="J210" s="103">
        <v>90</v>
      </c>
      <c r="K210" s="66">
        <v>400</v>
      </c>
      <c r="L210" s="66">
        <v>850</v>
      </c>
      <c r="M210" s="164">
        <v>13.151290074252474</v>
      </c>
      <c r="N210" s="78">
        <v>2476.4375999999997</v>
      </c>
      <c r="O210" s="113">
        <v>38596.149292069567</v>
      </c>
      <c r="P210" s="113">
        <v>42243.455090481868</v>
      </c>
      <c r="Q210" s="110">
        <v>14545.85729007302</v>
      </c>
      <c r="R210" s="113">
        <v>53142.006582142589</v>
      </c>
      <c r="S210" s="113">
        <v>56789.312380554889</v>
      </c>
      <c r="U210" s="7" t="s">
        <v>6525</v>
      </c>
    </row>
    <row r="211" spans="1:21" ht="16.5" thickBot="1">
      <c r="A211" s="207" t="s">
        <v>10</v>
      </c>
      <c r="B211" s="211">
        <f t="shared" si="12"/>
        <v>90</v>
      </c>
      <c r="C211" s="211" t="s">
        <v>3</v>
      </c>
      <c r="D211" s="211">
        <f t="shared" si="13"/>
        <v>400</v>
      </c>
      <c r="E211" s="211" t="s">
        <v>3</v>
      </c>
      <c r="F211" s="209">
        <f t="shared" si="14"/>
        <v>900</v>
      </c>
      <c r="G211" s="211" t="s">
        <v>3</v>
      </c>
      <c r="H211" s="208">
        <v>4</v>
      </c>
      <c r="I211" s="210" t="s">
        <v>529</v>
      </c>
      <c r="J211" s="103">
        <v>90</v>
      </c>
      <c r="K211" s="66">
        <v>400</v>
      </c>
      <c r="L211" s="66">
        <v>900</v>
      </c>
      <c r="M211" s="164">
        <v>13.839606443598436</v>
      </c>
      <c r="N211" s="78">
        <v>2724.0813600000001</v>
      </c>
      <c r="O211" s="113">
        <v>40580.136511390592</v>
      </c>
      <c r="P211" s="113">
        <v>44372.033979340056</v>
      </c>
      <c r="Q211" s="110">
        <v>15202.464239802994</v>
      </c>
      <c r="R211" s="113">
        <v>55782.60075119359</v>
      </c>
      <c r="S211" s="113">
        <v>59574.498219143046</v>
      </c>
      <c r="U211" s="7" t="s">
        <v>6526</v>
      </c>
    </row>
    <row r="212" spans="1:21" ht="16.5" thickBot="1">
      <c r="A212" s="207" t="s">
        <v>10</v>
      </c>
      <c r="B212" s="211">
        <f t="shared" si="12"/>
        <v>90</v>
      </c>
      <c r="C212" s="211" t="s">
        <v>3</v>
      </c>
      <c r="D212" s="211">
        <f t="shared" si="13"/>
        <v>400</v>
      </c>
      <c r="E212" s="211" t="s">
        <v>3</v>
      </c>
      <c r="F212" s="209">
        <f t="shared" si="14"/>
        <v>950</v>
      </c>
      <c r="G212" s="211" t="s">
        <v>3</v>
      </c>
      <c r="H212" s="208">
        <v>4</v>
      </c>
      <c r="I212" s="210" t="s">
        <v>529</v>
      </c>
      <c r="J212" s="103">
        <v>90</v>
      </c>
      <c r="K212" s="66">
        <v>400</v>
      </c>
      <c r="L212" s="66">
        <v>950</v>
      </c>
      <c r="M212" s="164">
        <v>14.578364812944395</v>
      </c>
      <c r="N212" s="78">
        <v>2971.7251199999996</v>
      </c>
      <c r="O212" s="113">
        <v>42564.123600637176</v>
      </c>
      <c r="P212" s="113">
        <v>46500.612738123797</v>
      </c>
      <c r="Q212" s="110">
        <v>16110.4054803455</v>
      </c>
      <c r="R212" s="113">
        <v>58674.529080982677</v>
      </c>
      <c r="S212" s="113">
        <v>62611.018218469297</v>
      </c>
      <c r="U212" s="7" t="s">
        <v>6527</v>
      </c>
    </row>
    <row r="213" spans="1:21" ht="16.5" thickBot="1">
      <c r="A213" s="207" t="s">
        <v>10</v>
      </c>
      <c r="B213" s="211">
        <f t="shared" si="12"/>
        <v>90</v>
      </c>
      <c r="C213" s="211" t="s">
        <v>3</v>
      </c>
      <c r="D213" s="211">
        <f t="shared" si="13"/>
        <v>400</v>
      </c>
      <c r="E213" s="211" t="s">
        <v>3</v>
      </c>
      <c r="F213" s="209">
        <f t="shared" si="14"/>
        <v>1000</v>
      </c>
      <c r="G213" s="211" t="s">
        <v>3</v>
      </c>
      <c r="H213" s="208">
        <v>4</v>
      </c>
      <c r="I213" s="210" t="s">
        <v>529</v>
      </c>
      <c r="J213" s="103">
        <v>90</v>
      </c>
      <c r="K213" s="66">
        <v>400</v>
      </c>
      <c r="L213" s="66">
        <v>1000</v>
      </c>
      <c r="M213" s="164">
        <v>15.226781182290354</v>
      </c>
      <c r="N213" s="78">
        <v>3219.3688799999995</v>
      </c>
      <c r="O213" s="113">
        <v>44444.416898953154</v>
      </c>
      <c r="P213" s="113">
        <v>48532.103536938281</v>
      </c>
      <c r="Q213" s="110">
        <v>16767.012583104239</v>
      </c>
      <c r="R213" s="113">
        <v>61211.429482057392</v>
      </c>
      <c r="S213" s="113">
        <v>65299.116120042519</v>
      </c>
      <c r="U213" s="7" t="s">
        <v>6528</v>
      </c>
    </row>
    <row r="214" spans="1:21" ht="16.5" thickBot="1">
      <c r="A214" s="207" t="s">
        <v>10</v>
      </c>
      <c r="B214" s="211">
        <f t="shared" si="12"/>
        <v>90</v>
      </c>
      <c r="C214" s="211" t="s">
        <v>3</v>
      </c>
      <c r="D214" s="211">
        <f t="shared" si="13"/>
        <v>400</v>
      </c>
      <c r="E214" s="211" t="s">
        <v>3</v>
      </c>
      <c r="F214" s="209">
        <f t="shared" si="14"/>
        <v>1050</v>
      </c>
      <c r="G214" s="211" t="s">
        <v>3</v>
      </c>
      <c r="H214" s="208">
        <v>4</v>
      </c>
      <c r="I214" s="210" t="s">
        <v>529</v>
      </c>
      <c r="J214" s="103">
        <v>90</v>
      </c>
      <c r="K214" s="66">
        <v>400</v>
      </c>
      <c r="L214" s="66">
        <v>1050</v>
      </c>
      <c r="M214" s="164">
        <v>15.893089551636315</v>
      </c>
      <c r="N214" s="78">
        <v>3467.0126399999995</v>
      </c>
      <c r="O214" s="113">
        <v>46674.677196920478</v>
      </c>
      <c r="P214" s="113">
        <v>50891.266444538589</v>
      </c>
      <c r="Q214" s="110">
        <v>17674.953670617982</v>
      </c>
      <c r="R214" s="113">
        <v>64349.630867538464</v>
      </c>
      <c r="S214" s="113">
        <v>68566.220115156568</v>
      </c>
      <c r="U214" s="7" t="s">
        <v>6529</v>
      </c>
    </row>
    <row r="215" spans="1:21" ht="16.5" thickBot="1">
      <c r="A215" s="207" t="s">
        <v>10</v>
      </c>
      <c r="B215" s="208">
        <f t="shared" si="12"/>
        <v>90</v>
      </c>
      <c r="C215" s="208" t="s">
        <v>3</v>
      </c>
      <c r="D215" s="208">
        <f t="shared" si="13"/>
        <v>400</v>
      </c>
      <c r="E215" s="208" t="s">
        <v>3</v>
      </c>
      <c r="F215" s="209">
        <f t="shared" si="14"/>
        <v>1100</v>
      </c>
      <c r="G215" s="208" t="s">
        <v>3</v>
      </c>
      <c r="H215" s="208">
        <v>4</v>
      </c>
      <c r="I215" s="210" t="s">
        <v>529</v>
      </c>
      <c r="J215" s="103">
        <v>90</v>
      </c>
      <c r="K215" s="66">
        <v>400</v>
      </c>
      <c r="L215" s="66">
        <v>1100</v>
      </c>
      <c r="M215" s="164">
        <v>16.541505920982274</v>
      </c>
      <c r="N215" s="78">
        <v>3714.6563999999998</v>
      </c>
      <c r="O215" s="113">
        <v>48658.664286167055</v>
      </c>
      <c r="P215" s="113">
        <v>53019.845333396777</v>
      </c>
      <c r="Q215" s="110">
        <v>18331.560773376717</v>
      </c>
      <c r="R215" s="113">
        <v>66990.225059543765</v>
      </c>
      <c r="S215" s="113">
        <v>71351.406106773502</v>
      </c>
      <c r="U215" s="7" t="s">
        <v>6530</v>
      </c>
    </row>
    <row r="216" spans="1:21" ht="16.5" thickBot="1">
      <c r="A216" s="207" t="s">
        <v>10</v>
      </c>
      <c r="B216" s="211">
        <f t="shared" si="12"/>
        <v>90</v>
      </c>
      <c r="C216" s="211" t="s">
        <v>3</v>
      </c>
      <c r="D216" s="211">
        <f t="shared" si="13"/>
        <v>400</v>
      </c>
      <c r="E216" s="211" t="s">
        <v>3</v>
      </c>
      <c r="F216" s="209">
        <f t="shared" si="14"/>
        <v>1150</v>
      </c>
      <c r="G216" s="211" t="s">
        <v>3</v>
      </c>
      <c r="H216" s="208">
        <v>4</v>
      </c>
      <c r="I216" s="210" t="s">
        <v>529</v>
      </c>
      <c r="J216" s="103">
        <v>90</v>
      </c>
      <c r="K216" s="66">
        <v>400</v>
      </c>
      <c r="L216" s="66">
        <v>1150</v>
      </c>
      <c r="M216" s="164">
        <v>17.189922290328241</v>
      </c>
      <c r="N216" s="78">
        <v>3962.3001599999998</v>
      </c>
      <c r="O216" s="113">
        <v>49819.328102130748</v>
      </c>
      <c r="P216" s="113">
        <v>54377.551129738138</v>
      </c>
      <c r="Q216" s="110">
        <v>18988.167723106693</v>
      </c>
      <c r="R216" s="113">
        <v>68807.495825237449</v>
      </c>
      <c r="S216" s="113">
        <v>73365.718852844831</v>
      </c>
      <c r="U216" s="7" t="s">
        <v>6531</v>
      </c>
    </row>
    <row r="217" spans="1:21" ht="16.5" thickBot="1">
      <c r="A217" s="207" t="s">
        <v>10</v>
      </c>
      <c r="B217" s="211">
        <f t="shared" si="12"/>
        <v>90</v>
      </c>
      <c r="C217" s="211" t="s">
        <v>3</v>
      </c>
      <c r="D217" s="211">
        <f t="shared" si="13"/>
        <v>400</v>
      </c>
      <c r="E217" s="211" t="s">
        <v>3</v>
      </c>
      <c r="F217" s="209">
        <f t="shared" si="14"/>
        <v>1200</v>
      </c>
      <c r="G217" s="211" t="s">
        <v>3</v>
      </c>
      <c r="H217" s="208">
        <v>4</v>
      </c>
      <c r="I217" s="210" t="s">
        <v>529</v>
      </c>
      <c r="J217" s="103">
        <v>90</v>
      </c>
      <c r="K217" s="66">
        <v>400</v>
      </c>
      <c r="L217" s="66">
        <v>1200</v>
      </c>
      <c r="M217" s="164">
        <v>18.123455659674196</v>
      </c>
      <c r="N217" s="78">
        <v>4209.9439199999997</v>
      </c>
      <c r="O217" s="113">
        <v>51044.720606676317</v>
      </c>
      <c r="P217" s="113">
        <v>55795.862124510626</v>
      </c>
      <c r="Q217" s="110">
        <v>19896.1089636492</v>
      </c>
      <c r="R217" s="113">
        <v>70940.829570325513</v>
      </c>
      <c r="S217" s="113">
        <v>75691.971088159829</v>
      </c>
      <c r="U217" s="7" t="s">
        <v>6532</v>
      </c>
    </row>
    <row r="218" spans="1:21" ht="16.5" thickBot="1">
      <c r="A218" s="207" t="s">
        <v>10</v>
      </c>
      <c r="B218" s="211">
        <f t="shared" si="12"/>
        <v>90</v>
      </c>
      <c r="C218" s="211" t="s">
        <v>3</v>
      </c>
      <c r="D218" s="211">
        <f t="shared" si="13"/>
        <v>400</v>
      </c>
      <c r="E218" s="211" t="s">
        <v>3</v>
      </c>
      <c r="F218" s="209">
        <f t="shared" si="14"/>
        <v>1250</v>
      </c>
      <c r="G218" s="211" t="s">
        <v>3</v>
      </c>
      <c r="H218" s="208">
        <v>4</v>
      </c>
      <c r="I218" s="210" t="s">
        <v>529</v>
      </c>
      <c r="J218" s="103">
        <v>90</v>
      </c>
      <c r="K218" s="66">
        <v>400</v>
      </c>
      <c r="L218" s="66">
        <v>1250</v>
      </c>
      <c r="M218" s="164">
        <v>18.771872029020159</v>
      </c>
      <c r="N218" s="78">
        <v>4457.5876799999996</v>
      </c>
      <c r="O218" s="113">
        <v>52204.860222605086</v>
      </c>
      <c r="P218" s="113">
        <v>57153.07714995079</v>
      </c>
      <c r="Q218" s="110">
        <v>20552.715913379172</v>
      </c>
      <c r="R218" s="113">
        <v>72757.576135984258</v>
      </c>
      <c r="S218" s="113">
        <v>77705.793063329969</v>
      </c>
      <c r="U218" s="7" t="s">
        <v>6533</v>
      </c>
    </row>
    <row r="219" spans="1:21" ht="16.5" thickBot="1">
      <c r="A219" s="207" t="s">
        <v>10</v>
      </c>
      <c r="B219" s="211">
        <f t="shared" si="12"/>
        <v>90</v>
      </c>
      <c r="C219" s="211" t="s">
        <v>3</v>
      </c>
      <c r="D219" s="211">
        <f t="shared" si="13"/>
        <v>400</v>
      </c>
      <c r="E219" s="211" t="s">
        <v>3</v>
      </c>
      <c r="F219" s="209">
        <f t="shared" si="14"/>
        <v>1300</v>
      </c>
      <c r="G219" s="211" t="s">
        <v>3</v>
      </c>
      <c r="H219" s="208">
        <v>4</v>
      </c>
      <c r="I219" s="210" t="s">
        <v>529</v>
      </c>
      <c r="J219" s="103">
        <v>90</v>
      </c>
      <c r="K219" s="66">
        <v>400</v>
      </c>
      <c r="L219" s="66">
        <v>1300</v>
      </c>
      <c r="M219" s="164">
        <v>19.503280398366119</v>
      </c>
      <c r="N219" s="78">
        <v>4705.2314399999996</v>
      </c>
      <c r="O219" s="113">
        <v>56038.097692217867</v>
      </c>
      <c r="P219" s="113">
        <v>61013.098509785334</v>
      </c>
      <c r="Q219" s="110">
        <v>21460.657153921682</v>
      </c>
      <c r="R219" s="113">
        <v>77498.754846139549</v>
      </c>
      <c r="S219" s="113">
        <v>82473.755663707008</v>
      </c>
      <c r="U219" s="7" t="s">
        <v>6534</v>
      </c>
    </row>
    <row r="220" spans="1:21" ht="16.5" thickBot="1">
      <c r="A220" s="207" t="s">
        <v>10</v>
      </c>
      <c r="B220" s="211">
        <f t="shared" si="12"/>
        <v>90</v>
      </c>
      <c r="C220" s="211" t="s">
        <v>3</v>
      </c>
      <c r="D220" s="211">
        <f t="shared" si="13"/>
        <v>400</v>
      </c>
      <c r="E220" s="211" t="s">
        <v>3</v>
      </c>
      <c r="F220" s="209">
        <f t="shared" si="14"/>
        <v>1350</v>
      </c>
      <c r="G220" s="211" t="s">
        <v>3</v>
      </c>
      <c r="H220" s="208">
        <v>4</v>
      </c>
      <c r="I220" s="210" t="s">
        <v>529</v>
      </c>
      <c r="J220" s="103">
        <v>90</v>
      </c>
      <c r="K220" s="66">
        <v>400</v>
      </c>
      <c r="L220" s="66">
        <v>1350</v>
      </c>
      <c r="M220" s="164">
        <v>20.151696767712078</v>
      </c>
      <c r="N220" s="78">
        <v>4952.8751999999995</v>
      </c>
      <c r="O220" s="113">
        <v>57470.406258742099</v>
      </c>
      <c r="P220" s="113">
        <v>62625.14382173738</v>
      </c>
      <c r="Q220" s="110">
        <v>22117.264103651651</v>
      </c>
      <c r="R220" s="113">
        <v>79587.67036239375</v>
      </c>
      <c r="S220" s="113">
        <v>84742.407925389038</v>
      </c>
      <c r="U220" s="7" t="s">
        <v>6535</v>
      </c>
    </row>
    <row r="221" spans="1:21" ht="16.5" thickBot="1">
      <c r="A221" s="207" t="s">
        <v>10</v>
      </c>
      <c r="B221" s="211">
        <f t="shared" si="12"/>
        <v>90</v>
      </c>
      <c r="C221" s="211" t="s">
        <v>3</v>
      </c>
      <c r="D221" s="211">
        <f t="shared" si="13"/>
        <v>400</v>
      </c>
      <c r="E221" s="211" t="s">
        <v>3</v>
      </c>
      <c r="F221" s="209">
        <f t="shared" si="14"/>
        <v>1400</v>
      </c>
      <c r="G221" s="211" t="s">
        <v>3</v>
      </c>
      <c r="H221" s="208">
        <v>4</v>
      </c>
      <c r="I221" s="210" t="s">
        <v>529</v>
      </c>
      <c r="J221" s="103">
        <v>90</v>
      </c>
      <c r="K221" s="66">
        <v>400</v>
      </c>
      <c r="L221" s="66">
        <v>1400</v>
      </c>
      <c r="M221" s="164">
        <v>20.818005137058037</v>
      </c>
      <c r="N221" s="78">
        <v>5200.5189600000003</v>
      </c>
      <c r="O221" s="113">
        <v>59259.162914481123</v>
      </c>
      <c r="P221" s="113">
        <v>64570.929475733283</v>
      </c>
      <c r="Q221" s="110">
        <v>23025.205344194161</v>
      </c>
      <c r="R221" s="113">
        <v>82284.368258675284</v>
      </c>
      <c r="S221" s="113">
        <v>87596.134819927451</v>
      </c>
      <c r="U221" s="7" t="s">
        <v>6536</v>
      </c>
    </row>
    <row r="222" spans="1:21" ht="16.5" thickBot="1">
      <c r="A222" s="207" t="s">
        <v>10</v>
      </c>
      <c r="B222" s="211">
        <f t="shared" si="12"/>
        <v>90</v>
      </c>
      <c r="C222" s="211" t="s">
        <v>3</v>
      </c>
      <c r="D222" s="211">
        <f t="shared" si="13"/>
        <v>400</v>
      </c>
      <c r="E222" s="211" t="s">
        <v>3</v>
      </c>
      <c r="F222" s="209">
        <f t="shared" si="14"/>
        <v>1450</v>
      </c>
      <c r="G222" s="211" t="s">
        <v>3</v>
      </c>
      <c r="H222" s="208">
        <v>4</v>
      </c>
      <c r="I222" s="210" t="s">
        <v>529</v>
      </c>
      <c r="J222" s="103">
        <v>90</v>
      </c>
      <c r="K222" s="66">
        <v>400</v>
      </c>
      <c r="L222" s="66">
        <v>1450</v>
      </c>
      <c r="M222" s="164">
        <v>21.466421506404004</v>
      </c>
      <c r="N222" s="78">
        <v>5448.1627200000003</v>
      </c>
      <c r="O222" s="113">
        <v>60691.471481005356</v>
      </c>
      <c r="P222" s="113">
        <v>66182.974787685322</v>
      </c>
      <c r="Q222" s="110">
        <v>23681.812293924133</v>
      </c>
      <c r="R222" s="113">
        <v>84373.283774929485</v>
      </c>
      <c r="S222" s="113">
        <v>89864.787081609451</v>
      </c>
      <c r="U222" s="7" t="s">
        <v>6537</v>
      </c>
    </row>
    <row r="223" spans="1:21" ht="16.5" thickBot="1">
      <c r="A223" s="207" t="s">
        <v>10</v>
      </c>
      <c r="B223" s="211">
        <f t="shared" si="12"/>
        <v>90</v>
      </c>
      <c r="C223" s="211" t="s">
        <v>3</v>
      </c>
      <c r="D223" s="211">
        <f t="shared" si="13"/>
        <v>400</v>
      </c>
      <c r="E223" s="211" t="s">
        <v>3</v>
      </c>
      <c r="F223" s="209">
        <f t="shared" si="14"/>
        <v>1500</v>
      </c>
      <c r="G223" s="211" t="s">
        <v>3</v>
      </c>
      <c r="H223" s="208">
        <v>4</v>
      </c>
      <c r="I223" s="210" t="s">
        <v>529</v>
      </c>
      <c r="J223" s="103">
        <v>90</v>
      </c>
      <c r="K223" s="66">
        <v>400</v>
      </c>
      <c r="L223" s="66">
        <v>1500</v>
      </c>
      <c r="M223" s="164">
        <v>22.782434121989962</v>
      </c>
      <c r="N223" s="78">
        <v>5695.8064799999984</v>
      </c>
      <c r="O223" s="113">
        <v>62814.111820832528</v>
      </c>
      <c r="P223" s="113">
        <v>68631.033176148107</v>
      </c>
      <c r="Q223" s="110">
        <v>24589.753534466639</v>
      </c>
      <c r="R223" s="113">
        <v>87403.865355299175</v>
      </c>
      <c r="S223" s="113">
        <v>93220.786710614746</v>
      </c>
      <c r="U223" s="7" t="s">
        <v>6538</v>
      </c>
    </row>
    <row r="224" spans="1:21" ht="16.5" thickBot="1">
      <c r="A224" s="207" t="s">
        <v>10</v>
      </c>
      <c r="B224" s="211">
        <f t="shared" si="12"/>
        <v>90</v>
      </c>
      <c r="C224" s="211" t="s">
        <v>3</v>
      </c>
      <c r="D224" s="211">
        <f t="shared" si="13"/>
        <v>400</v>
      </c>
      <c r="E224" s="211" t="s">
        <v>3</v>
      </c>
      <c r="F224" s="209">
        <f t="shared" si="14"/>
        <v>1550</v>
      </c>
      <c r="G224" s="211" t="s">
        <v>3</v>
      </c>
      <c r="H224" s="208">
        <v>4</v>
      </c>
      <c r="I224" s="210" t="s">
        <v>529</v>
      </c>
      <c r="J224" s="103">
        <v>90</v>
      </c>
      <c r="K224" s="66">
        <v>400</v>
      </c>
      <c r="L224" s="66">
        <v>1550</v>
      </c>
      <c r="M224" s="164">
        <v>23.503300491335921</v>
      </c>
      <c r="N224" s="78">
        <v>5943.4502399999992</v>
      </c>
      <c r="O224" s="113">
        <v>64246.42038735676</v>
      </c>
      <c r="P224" s="113">
        <v>70243.078488100145</v>
      </c>
      <c r="Q224" s="110">
        <v>25246.360484196612</v>
      </c>
      <c r="R224" s="113">
        <v>89492.780871553376</v>
      </c>
      <c r="S224" s="113">
        <v>95489.438972296761</v>
      </c>
      <c r="U224" s="7" t="s">
        <v>6539</v>
      </c>
    </row>
    <row r="225" spans="1:21" ht="16.5" thickBot="1">
      <c r="A225" s="207" t="s">
        <v>10</v>
      </c>
      <c r="B225" s="208">
        <f t="shared" si="12"/>
        <v>90</v>
      </c>
      <c r="C225" s="208" t="s">
        <v>3</v>
      </c>
      <c r="D225" s="208">
        <f t="shared" si="13"/>
        <v>400</v>
      </c>
      <c r="E225" s="208" t="s">
        <v>3</v>
      </c>
      <c r="F225" s="209">
        <f t="shared" si="14"/>
        <v>1600</v>
      </c>
      <c r="G225" s="208" t="s">
        <v>3</v>
      </c>
      <c r="H225" s="208">
        <v>4</v>
      </c>
      <c r="I225" s="210" t="s">
        <v>529</v>
      </c>
      <c r="J225" s="103">
        <v>90</v>
      </c>
      <c r="K225" s="66">
        <v>400</v>
      </c>
      <c r="L225" s="66">
        <v>1600</v>
      </c>
      <c r="M225" s="164">
        <v>24.151716860681876</v>
      </c>
      <c r="N225" s="78">
        <v>6191.0939999999991</v>
      </c>
      <c r="O225" s="113">
        <v>67799.914020757569</v>
      </c>
      <c r="P225" s="113">
        <v>73841.177252017005</v>
      </c>
      <c r="Q225" s="110">
        <v>25902.96758695535</v>
      </c>
      <c r="R225" s="113">
        <v>93702.881607712916</v>
      </c>
      <c r="S225" s="113">
        <v>99744.144838972352</v>
      </c>
      <c r="U225" s="7" t="s">
        <v>6540</v>
      </c>
    </row>
    <row r="226" spans="1:21" ht="16.5" thickBot="1">
      <c r="A226" s="207" t="s">
        <v>10</v>
      </c>
      <c r="B226" s="211">
        <f t="shared" si="12"/>
        <v>90</v>
      </c>
      <c r="C226" s="211" t="s">
        <v>3</v>
      </c>
      <c r="D226" s="211">
        <f t="shared" si="13"/>
        <v>400</v>
      </c>
      <c r="E226" s="211" t="s">
        <v>3</v>
      </c>
      <c r="F226" s="209">
        <f t="shared" si="14"/>
        <v>1650</v>
      </c>
      <c r="G226" s="211" t="s">
        <v>3</v>
      </c>
      <c r="H226" s="208">
        <v>4</v>
      </c>
      <c r="I226" s="210" t="s">
        <v>529</v>
      </c>
      <c r="J226" s="103">
        <v>90</v>
      </c>
      <c r="K226" s="66">
        <v>400</v>
      </c>
      <c r="L226" s="66">
        <v>1650</v>
      </c>
      <c r="M226" s="164">
        <v>24.857925230027842</v>
      </c>
      <c r="N226" s="78">
        <v>6438.7377599999991</v>
      </c>
      <c r="O226" s="113">
        <v>71628.371254319762</v>
      </c>
      <c r="P226" s="113">
        <v>77696.722880089364</v>
      </c>
      <c r="Q226" s="110">
        <v>26810.908827497857</v>
      </c>
      <c r="R226" s="113">
        <v>98439.280081817618</v>
      </c>
      <c r="S226" s="113">
        <v>104507.63170758722</v>
      </c>
      <c r="U226" s="7" t="s">
        <v>6541</v>
      </c>
    </row>
    <row r="227" spans="1:21" ht="16.5" thickBot="1">
      <c r="A227" s="207" t="s">
        <v>10</v>
      </c>
      <c r="B227" s="211">
        <f t="shared" si="12"/>
        <v>90</v>
      </c>
      <c r="C227" s="211" t="s">
        <v>3</v>
      </c>
      <c r="D227" s="211">
        <f t="shared" si="13"/>
        <v>400</v>
      </c>
      <c r="E227" s="211" t="s">
        <v>3</v>
      </c>
      <c r="F227" s="209">
        <f t="shared" si="14"/>
        <v>1700</v>
      </c>
      <c r="G227" s="211" t="s">
        <v>3</v>
      </c>
      <c r="H227" s="208">
        <v>4</v>
      </c>
      <c r="I227" s="210" t="s">
        <v>529</v>
      </c>
      <c r="J227" s="103">
        <v>90</v>
      </c>
      <c r="K227" s="66">
        <v>400</v>
      </c>
      <c r="L227" s="66">
        <v>1700</v>
      </c>
      <c r="M227" s="164">
        <v>25.506341599373805</v>
      </c>
      <c r="N227" s="78">
        <v>6686.3815199999999</v>
      </c>
      <c r="O227" s="113">
        <v>72837.069223459912</v>
      </c>
      <c r="P227" s="113">
        <v>79099.402828162551</v>
      </c>
      <c r="Q227" s="110">
        <v>27467.515777227836</v>
      </c>
      <c r="R227" s="113">
        <v>100304.58500068774</v>
      </c>
      <c r="S227" s="113">
        <v>106566.91860539038</v>
      </c>
      <c r="U227" s="7" t="s">
        <v>6542</v>
      </c>
    </row>
    <row r="228" spans="1:21" ht="16.5" thickBot="1">
      <c r="A228" s="207" t="s">
        <v>10</v>
      </c>
      <c r="B228" s="211">
        <f t="shared" si="12"/>
        <v>90</v>
      </c>
      <c r="C228" s="211" t="s">
        <v>3</v>
      </c>
      <c r="D228" s="211">
        <f t="shared" si="13"/>
        <v>400</v>
      </c>
      <c r="E228" s="211" t="s">
        <v>3</v>
      </c>
      <c r="F228" s="209">
        <f t="shared" si="14"/>
        <v>1750</v>
      </c>
      <c r="G228" s="211" t="s">
        <v>3</v>
      </c>
      <c r="H228" s="208">
        <v>4</v>
      </c>
      <c r="I228" s="210" t="s">
        <v>529</v>
      </c>
      <c r="J228" s="103">
        <v>90</v>
      </c>
      <c r="K228" s="66">
        <v>400</v>
      </c>
      <c r="L228" s="66">
        <v>1750</v>
      </c>
      <c r="M228" s="164">
        <v>26.17264996871976</v>
      </c>
      <c r="N228" s="78">
        <v>6934.0252799999989</v>
      </c>
      <c r="O228" s="113">
        <v>73962.759531732969</v>
      </c>
      <c r="P228" s="113">
        <v>80424.363162073423</v>
      </c>
      <c r="Q228" s="110">
        <v>28375.457017770343</v>
      </c>
      <c r="R228" s="113">
        <v>102338.21654950331</v>
      </c>
      <c r="S228" s="113">
        <v>108799.82017984377</v>
      </c>
      <c r="U228" s="7" t="s">
        <v>6543</v>
      </c>
    </row>
    <row r="229" spans="1:21" ht="16.5" thickBot="1">
      <c r="A229" s="207" t="s">
        <v>10</v>
      </c>
      <c r="B229" s="211">
        <f t="shared" si="12"/>
        <v>90</v>
      </c>
      <c r="C229" s="211" t="s">
        <v>3</v>
      </c>
      <c r="D229" s="211">
        <f t="shared" si="13"/>
        <v>400</v>
      </c>
      <c r="E229" s="211" t="s">
        <v>3</v>
      </c>
      <c r="F229" s="209">
        <f t="shared" si="14"/>
        <v>1800</v>
      </c>
      <c r="G229" s="211" t="s">
        <v>3</v>
      </c>
      <c r="H229" s="208">
        <v>4</v>
      </c>
      <c r="I229" s="210" t="s">
        <v>529</v>
      </c>
      <c r="J229" s="103">
        <v>90</v>
      </c>
      <c r="K229" s="66">
        <v>400</v>
      </c>
      <c r="L229" s="66">
        <v>1800</v>
      </c>
      <c r="M229" s="164">
        <v>26.893516338065723</v>
      </c>
      <c r="N229" s="78">
        <v>7181.6690399999989</v>
      </c>
      <c r="O229" s="113">
        <v>75172.216745439859</v>
      </c>
      <c r="P229" s="113">
        <v>81827.753967017808</v>
      </c>
      <c r="Q229" s="110">
        <v>29032.063967500315</v>
      </c>
      <c r="R229" s="113">
        <v>104204.28071294018</v>
      </c>
      <c r="S229" s="113">
        <v>110859.81793451813</v>
      </c>
      <c r="U229" s="7" t="s">
        <v>6544</v>
      </c>
    </row>
    <row r="230" spans="1:21" ht="16.5" thickBot="1">
      <c r="A230" s="207" t="s">
        <v>10</v>
      </c>
      <c r="B230" s="211">
        <f t="shared" si="12"/>
        <v>90</v>
      </c>
      <c r="C230" s="211" t="s">
        <v>3</v>
      </c>
      <c r="D230" s="211">
        <f t="shared" si="13"/>
        <v>400</v>
      </c>
      <c r="E230" s="211" t="s">
        <v>3</v>
      </c>
      <c r="F230" s="209">
        <f t="shared" si="14"/>
        <v>1850</v>
      </c>
      <c r="G230" s="211" t="s">
        <v>3</v>
      </c>
      <c r="H230" s="208">
        <v>4</v>
      </c>
      <c r="I230" s="210" t="s">
        <v>529</v>
      </c>
      <c r="J230" s="103">
        <v>90</v>
      </c>
      <c r="K230" s="66">
        <v>400</v>
      </c>
      <c r="L230" s="66">
        <v>1850</v>
      </c>
      <c r="M230" s="164">
        <v>27.62492470741169</v>
      </c>
      <c r="N230" s="78">
        <v>7429.3127999999997</v>
      </c>
      <c r="O230" s="113">
        <v>76381.621409068801</v>
      </c>
      <c r="P230" s="113">
        <v>83231.095733894399</v>
      </c>
      <c r="Q230" s="110">
        <v>29940.005208042821</v>
      </c>
      <c r="R230" s="113">
        <v>106321.62661711161</v>
      </c>
      <c r="S230" s="113">
        <v>113171.10094193721</v>
      </c>
      <c r="U230" s="7" t="s">
        <v>6545</v>
      </c>
    </row>
    <row r="231" spans="1:21" ht="16.5" thickBot="1">
      <c r="A231" s="207" t="s">
        <v>10</v>
      </c>
      <c r="B231" s="211">
        <f t="shared" si="12"/>
        <v>90</v>
      </c>
      <c r="C231" s="211" t="s">
        <v>3</v>
      </c>
      <c r="D231" s="211">
        <f t="shared" si="13"/>
        <v>400</v>
      </c>
      <c r="E231" s="211" t="s">
        <v>3</v>
      </c>
      <c r="F231" s="209">
        <f t="shared" si="14"/>
        <v>1900</v>
      </c>
      <c r="G231" s="211" t="s">
        <v>3</v>
      </c>
      <c r="H231" s="208">
        <v>4</v>
      </c>
      <c r="I231" s="210" t="s">
        <v>529</v>
      </c>
      <c r="J231" s="103">
        <v>90</v>
      </c>
      <c r="K231" s="66">
        <v>400</v>
      </c>
      <c r="L231" s="66">
        <v>1900</v>
      </c>
      <c r="M231" s="164">
        <v>28.273341076757649</v>
      </c>
      <c r="N231" s="78">
        <v>7676.9565599999996</v>
      </c>
      <c r="O231" s="113">
        <v>77781.835405712132</v>
      </c>
      <c r="P231" s="113">
        <v>84813.091116250696</v>
      </c>
      <c r="Q231" s="110">
        <v>30596.612157772794</v>
      </c>
      <c r="R231" s="113">
        <v>108378.44756348492</v>
      </c>
      <c r="S231" s="113">
        <v>115409.70327402349</v>
      </c>
      <c r="U231" s="7" t="s">
        <v>6546</v>
      </c>
    </row>
    <row r="232" spans="1:21" ht="16.5" thickBot="1">
      <c r="A232" s="207" t="s">
        <v>10</v>
      </c>
      <c r="B232" s="211">
        <f t="shared" si="12"/>
        <v>90</v>
      </c>
      <c r="C232" s="211" t="s">
        <v>3</v>
      </c>
      <c r="D232" s="211">
        <f t="shared" si="13"/>
        <v>400</v>
      </c>
      <c r="E232" s="211" t="s">
        <v>3</v>
      </c>
      <c r="F232" s="209">
        <f t="shared" si="14"/>
        <v>1950</v>
      </c>
      <c r="G232" s="211" t="s">
        <v>3</v>
      </c>
      <c r="H232" s="208">
        <v>4</v>
      </c>
      <c r="I232" s="210" t="s">
        <v>529</v>
      </c>
      <c r="J232" s="103">
        <v>90</v>
      </c>
      <c r="K232" s="66">
        <v>400</v>
      </c>
      <c r="L232" s="66">
        <v>1950</v>
      </c>
      <c r="M232" s="164">
        <v>29.123882446103607</v>
      </c>
      <c r="N232" s="78">
        <v>7924.6003199999996</v>
      </c>
      <c r="O232" s="113">
        <v>79382.005960942246</v>
      </c>
      <c r="P232" s="113">
        <v>86582.304606121499</v>
      </c>
      <c r="Q232" s="110">
        <v>31253.219260531532</v>
      </c>
      <c r="R232" s="113">
        <v>110635.22522147378</v>
      </c>
      <c r="S232" s="113">
        <v>117835.52386665303</v>
      </c>
      <c r="U232" s="7" t="s">
        <v>6547</v>
      </c>
    </row>
    <row r="233" spans="1:21" ht="16.5" thickBot="1">
      <c r="A233" s="207" t="s">
        <v>10</v>
      </c>
      <c r="B233" s="211">
        <f t="shared" si="12"/>
        <v>90</v>
      </c>
      <c r="C233" s="211" t="s">
        <v>3</v>
      </c>
      <c r="D233" s="211">
        <f t="shared" si="13"/>
        <v>400</v>
      </c>
      <c r="E233" s="211" t="s">
        <v>3</v>
      </c>
      <c r="F233" s="209">
        <f t="shared" si="14"/>
        <v>2000</v>
      </c>
      <c r="G233" s="211" t="s">
        <v>3</v>
      </c>
      <c r="H233" s="208">
        <v>4</v>
      </c>
      <c r="I233" s="210" t="s">
        <v>529</v>
      </c>
      <c r="J233" s="103">
        <v>90</v>
      </c>
      <c r="K233" s="66">
        <v>400</v>
      </c>
      <c r="L233" s="66">
        <v>2000</v>
      </c>
      <c r="M233" s="164">
        <v>29.886331335449569</v>
      </c>
      <c r="N233" s="78">
        <v>8172.2440799999995</v>
      </c>
      <c r="O233" s="113">
        <v>80816.257969829239</v>
      </c>
      <c r="P233" s="113">
        <v>88403.54982725154</v>
      </c>
      <c r="Q233" s="110">
        <v>32161.160348045276</v>
      </c>
      <c r="R233" s="113">
        <v>112977.41831787452</v>
      </c>
      <c r="S233" s="113">
        <v>120564.71017529682</v>
      </c>
      <c r="U233" s="7" t="s">
        <v>6548</v>
      </c>
    </row>
    <row r="234" spans="1:21" ht="16.5" thickBot="1">
      <c r="A234" s="207" t="s">
        <v>10</v>
      </c>
      <c r="B234" s="211">
        <f t="shared" si="12"/>
        <v>90</v>
      </c>
      <c r="C234" s="211" t="s">
        <v>3</v>
      </c>
      <c r="D234" s="211">
        <f t="shared" si="13"/>
        <v>400</v>
      </c>
      <c r="E234" s="211" t="s">
        <v>3</v>
      </c>
      <c r="F234" s="209">
        <f t="shared" si="14"/>
        <v>2050</v>
      </c>
      <c r="G234" s="211" t="s">
        <v>3</v>
      </c>
      <c r="H234" s="208">
        <v>4</v>
      </c>
      <c r="I234" s="210" t="s">
        <v>529</v>
      </c>
      <c r="J234" s="103">
        <v>90</v>
      </c>
      <c r="K234" s="66">
        <v>400</v>
      </c>
      <c r="L234" s="66">
        <v>2050</v>
      </c>
      <c r="M234" s="164">
        <v>30.534747704795528</v>
      </c>
      <c r="N234" s="78">
        <v>8419.8878399999994</v>
      </c>
      <c r="O234" s="113">
        <v>84362.590354365704</v>
      </c>
      <c r="P234" s="113">
        <v>91994.943513401566</v>
      </c>
      <c r="Q234" s="110">
        <v>32817.767450804015</v>
      </c>
      <c r="R234" s="113">
        <v>117180.35780516971</v>
      </c>
      <c r="S234" s="113">
        <v>124812.71096420559</v>
      </c>
      <c r="U234" s="7" t="s">
        <v>6549</v>
      </c>
    </row>
    <row r="235" spans="1:21" ht="16.5" thickBot="1">
      <c r="A235" s="207" t="s">
        <v>10</v>
      </c>
      <c r="B235" s="208">
        <f t="shared" si="12"/>
        <v>90</v>
      </c>
      <c r="C235" s="208" t="s">
        <v>3</v>
      </c>
      <c r="D235" s="208">
        <f t="shared" si="13"/>
        <v>400</v>
      </c>
      <c r="E235" s="208" t="s">
        <v>3</v>
      </c>
      <c r="F235" s="209">
        <f t="shared" si="14"/>
        <v>2100</v>
      </c>
      <c r="G235" s="208" t="s">
        <v>3</v>
      </c>
      <c r="H235" s="208">
        <v>4</v>
      </c>
      <c r="I235" s="210" t="s">
        <v>529</v>
      </c>
      <c r="J235" s="103">
        <v>90</v>
      </c>
      <c r="K235" s="66">
        <v>400</v>
      </c>
      <c r="L235" s="66">
        <v>2100</v>
      </c>
      <c r="M235" s="164">
        <v>31.201056074141491</v>
      </c>
      <c r="N235" s="78">
        <v>8667.5315999999984</v>
      </c>
      <c r="O235" s="113">
        <v>85639.498584825968</v>
      </c>
      <c r="P235" s="113">
        <v>93461.488455706261</v>
      </c>
      <c r="Q235" s="110">
        <v>33725.708538317755</v>
      </c>
      <c r="R235" s="113">
        <v>119365.20712314371</v>
      </c>
      <c r="S235" s="113">
        <v>127187.19699402401</v>
      </c>
      <c r="U235" s="7" t="s">
        <v>6550</v>
      </c>
    </row>
    <row r="236" spans="1:21" ht="16.5" thickBot="1">
      <c r="A236" s="207" t="s">
        <v>10</v>
      </c>
      <c r="B236" s="211">
        <f t="shared" si="12"/>
        <v>90</v>
      </c>
      <c r="C236" s="211" t="s">
        <v>3</v>
      </c>
      <c r="D236" s="211">
        <f t="shared" si="13"/>
        <v>400</v>
      </c>
      <c r="E236" s="211" t="s">
        <v>3</v>
      </c>
      <c r="F236" s="209">
        <f t="shared" si="14"/>
        <v>2150</v>
      </c>
      <c r="G236" s="211" t="s">
        <v>3</v>
      </c>
      <c r="H236" s="208">
        <v>4</v>
      </c>
      <c r="I236" s="210" t="s">
        <v>529</v>
      </c>
      <c r="J236" s="103">
        <v>90</v>
      </c>
      <c r="K236" s="66">
        <v>400</v>
      </c>
      <c r="L236" s="66">
        <v>2150</v>
      </c>
      <c r="M236" s="164">
        <v>31.979672443487448</v>
      </c>
      <c r="N236" s="78">
        <v>8915.1753599999993</v>
      </c>
      <c r="O236" s="113">
        <v>87077.309820898066</v>
      </c>
      <c r="P236" s="113">
        <v>95078.685886562482</v>
      </c>
      <c r="Q236" s="110">
        <v>34382.315641076493</v>
      </c>
      <c r="R236" s="113">
        <v>121459.62546197456</v>
      </c>
      <c r="S236" s="113">
        <v>129461.00152763897</v>
      </c>
      <c r="U236" s="7" t="s">
        <v>6551</v>
      </c>
    </row>
    <row r="237" spans="1:21" ht="16.5" thickBot="1">
      <c r="A237" s="207" t="s">
        <v>10</v>
      </c>
      <c r="B237" s="211">
        <f t="shared" si="12"/>
        <v>90</v>
      </c>
      <c r="C237" s="211" t="s">
        <v>3</v>
      </c>
      <c r="D237" s="211">
        <f t="shared" si="13"/>
        <v>400</v>
      </c>
      <c r="E237" s="211" t="s">
        <v>3</v>
      </c>
      <c r="F237" s="209">
        <f t="shared" si="14"/>
        <v>2200</v>
      </c>
      <c r="G237" s="211" t="s">
        <v>3</v>
      </c>
      <c r="H237" s="208">
        <v>4</v>
      </c>
      <c r="I237" s="210" t="s">
        <v>529</v>
      </c>
      <c r="J237" s="103">
        <v>90</v>
      </c>
      <c r="K237" s="66">
        <v>400</v>
      </c>
      <c r="L237" s="66">
        <v>2200</v>
      </c>
      <c r="M237" s="164">
        <v>32.645980812833407</v>
      </c>
      <c r="N237" s="78">
        <v>9162.8191200000001</v>
      </c>
      <c r="O237" s="113">
        <v>88515.06863696668</v>
      </c>
      <c r="P237" s="113">
        <v>96695.834149276445</v>
      </c>
      <c r="Q237" s="110">
        <v>35290.256728590233</v>
      </c>
      <c r="R237" s="113">
        <v>123805.32536555691</v>
      </c>
      <c r="S237" s="113">
        <v>131986.09087786666</v>
      </c>
      <c r="U237" s="7" t="s">
        <v>6552</v>
      </c>
    </row>
    <row r="238" spans="1:21" ht="16.5" thickBot="1">
      <c r="A238" s="207" t="s">
        <v>10</v>
      </c>
      <c r="B238" s="211">
        <f t="shared" si="12"/>
        <v>90</v>
      </c>
      <c r="C238" s="211" t="s">
        <v>3</v>
      </c>
      <c r="D238" s="211">
        <f t="shared" si="13"/>
        <v>400</v>
      </c>
      <c r="E238" s="211" t="s">
        <v>3</v>
      </c>
      <c r="F238" s="209">
        <f t="shared" si="14"/>
        <v>2250</v>
      </c>
      <c r="G238" s="211" t="s">
        <v>3</v>
      </c>
      <c r="H238" s="208">
        <v>4</v>
      </c>
      <c r="I238" s="210" t="s">
        <v>529</v>
      </c>
      <c r="J238" s="103">
        <v>90</v>
      </c>
      <c r="K238" s="66">
        <v>400</v>
      </c>
      <c r="L238" s="66">
        <v>2250</v>
      </c>
      <c r="M238" s="164">
        <v>33.294397182179374</v>
      </c>
      <c r="N238" s="78">
        <v>9410.4628799999991</v>
      </c>
      <c r="O238" s="113">
        <v>90301.203382009873</v>
      </c>
      <c r="P238" s="113">
        <v>98639.164908170758</v>
      </c>
      <c r="Q238" s="110">
        <v>35946.863831348819</v>
      </c>
      <c r="R238" s="113">
        <v>126248.06721335869</v>
      </c>
      <c r="S238" s="113">
        <v>134586.02873951959</v>
      </c>
      <c r="U238" s="7" t="s">
        <v>6553</v>
      </c>
    </row>
    <row r="239" spans="1:21" ht="16.5" thickBot="1">
      <c r="A239" s="207" t="s">
        <v>10</v>
      </c>
      <c r="B239" s="211">
        <f t="shared" si="12"/>
        <v>90</v>
      </c>
      <c r="C239" s="211" t="s">
        <v>3</v>
      </c>
      <c r="D239" s="211">
        <f t="shared" si="13"/>
        <v>400</v>
      </c>
      <c r="E239" s="211" t="s">
        <v>3</v>
      </c>
      <c r="F239" s="209">
        <f t="shared" si="14"/>
        <v>2300</v>
      </c>
      <c r="G239" s="211" t="s">
        <v>3</v>
      </c>
      <c r="H239" s="208">
        <v>4</v>
      </c>
      <c r="I239" s="210" t="s">
        <v>529</v>
      </c>
      <c r="J239" s="103">
        <v>90</v>
      </c>
      <c r="K239" s="66">
        <v>400</v>
      </c>
      <c r="L239" s="66">
        <v>2300</v>
      </c>
      <c r="M239" s="164">
        <v>33.942813551525333</v>
      </c>
      <c r="N239" s="78">
        <v>9658.10664</v>
      </c>
      <c r="O239" s="113">
        <v>91474.195264154987</v>
      </c>
      <c r="P239" s="113">
        <v>100008.41351123675</v>
      </c>
      <c r="Q239" s="110">
        <v>36603.470781078948</v>
      </c>
      <c r="R239" s="113">
        <v>128077.66604523393</v>
      </c>
      <c r="S239" s="113">
        <v>136611.88429231569</v>
      </c>
      <c r="U239" s="7" t="s">
        <v>6554</v>
      </c>
    </row>
    <row r="240" spans="1:21" ht="16.5" thickBot="1">
      <c r="A240" s="207" t="s">
        <v>10</v>
      </c>
      <c r="B240" s="211">
        <f t="shared" si="12"/>
        <v>90</v>
      </c>
      <c r="C240" s="211" t="s">
        <v>3</v>
      </c>
      <c r="D240" s="211">
        <f t="shared" si="13"/>
        <v>400</v>
      </c>
      <c r="E240" s="211" t="s">
        <v>3</v>
      </c>
      <c r="F240" s="209">
        <f t="shared" si="14"/>
        <v>2350</v>
      </c>
      <c r="G240" s="211" t="s">
        <v>3</v>
      </c>
      <c r="H240" s="208">
        <v>4</v>
      </c>
      <c r="I240" s="210" t="s">
        <v>529</v>
      </c>
      <c r="J240" s="103">
        <v>90</v>
      </c>
      <c r="K240" s="66">
        <v>400</v>
      </c>
      <c r="L240" s="66">
        <v>2350</v>
      </c>
      <c r="M240" s="164">
        <v>34.609121920871289</v>
      </c>
      <c r="N240" s="78">
        <v>9905.750399999999</v>
      </c>
      <c r="O240" s="113">
        <v>92647.134596222153</v>
      </c>
      <c r="P240" s="113">
        <v>101377.61294616049</v>
      </c>
      <c r="Q240" s="110">
        <v>37511.412021621458</v>
      </c>
      <c r="R240" s="113">
        <v>130158.54661784362</v>
      </c>
      <c r="S240" s="113">
        <v>138889.02496778194</v>
      </c>
      <c r="U240" s="7" t="s">
        <v>6555</v>
      </c>
    </row>
    <row r="241" spans="1:21" ht="16.5" thickBot="1">
      <c r="A241" s="207" t="s">
        <v>10</v>
      </c>
      <c r="B241" s="211">
        <f t="shared" si="12"/>
        <v>90</v>
      </c>
      <c r="C241" s="211" t="s">
        <v>3</v>
      </c>
      <c r="D241" s="211">
        <f t="shared" si="13"/>
        <v>400</v>
      </c>
      <c r="E241" s="211" t="s">
        <v>3</v>
      </c>
      <c r="F241" s="209">
        <f t="shared" si="14"/>
        <v>2400</v>
      </c>
      <c r="G241" s="211" t="s">
        <v>3</v>
      </c>
      <c r="H241" s="208">
        <v>4</v>
      </c>
      <c r="I241" s="210" t="s">
        <v>529</v>
      </c>
      <c r="J241" s="103">
        <v>90</v>
      </c>
      <c r="K241" s="66">
        <v>400</v>
      </c>
      <c r="L241" s="66">
        <v>2400</v>
      </c>
      <c r="M241" s="164">
        <v>35.257538290217255</v>
      </c>
      <c r="N241" s="78">
        <v>10153.394159999998</v>
      </c>
      <c r="O241" s="113">
        <v>93820.021638360282</v>
      </c>
      <c r="P241" s="113">
        <v>102746.76334301644</v>
      </c>
      <c r="Q241" s="110">
        <v>38168.019124380196</v>
      </c>
      <c r="R241" s="113">
        <v>131988.04076274048</v>
      </c>
      <c r="S241" s="113">
        <v>140914.78246739664</v>
      </c>
      <c r="U241" s="7" t="s">
        <v>6556</v>
      </c>
    </row>
    <row r="242" spans="1:21" ht="16.5" thickBot="1">
      <c r="A242" s="207" t="s">
        <v>10</v>
      </c>
      <c r="B242" s="211">
        <f t="shared" si="12"/>
        <v>90</v>
      </c>
      <c r="C242" s="211" t="s">
        <v>3</v>
      </c>
      <c r="D242" s="211">
        <f t="shared" si="13"/>
        <v>400</v>
      </c>
      <c r="E242" s="211" t="s">
        <v>3</v>
      </c>
      <c r="F242" s="209">
        <f t="shared" si="14"/>
        <v>2450</v>
      </c>
      <c r="G242" s="211" t="s">
        <v>3</v>
      </c>
      <c r="H242" s="208">
        <v>4</v>
      </c>
      <c r="I242" s="210" t="s">
        <v>529</v>
      </c>
      <c r="J242" s="103">
        <v>90</v>
      </c>
      <c r="K242" s="66">
        <v>400</v>
      </c>
      <c r="L242" s="66">
        <v>2450</v>
      </c>
      <c r="M242" s="164">
        <v>36.693250905803211</v>
      </c>
      <c r="N242" s="78">
        <v>10401.037920000001</v>
      </c>
      <c r="O242" s="113">
        <v>95683.18777364894</v>
      </c>
      <c r="P242" s="113">
        <v>104951.87751816644</v>
      </c>
      <c r="Q242" s="110">
        <v>39075.960211893937</v>
      </c>
      <c r="R242" s="113">
        <v>134759.14798554289</v>
      </c>
      <c r="S242" s="113">
        <v>144027.83773006039</v>
      </c>
      <c r="U242" s="7" t="s">
        <v>6557</v>
      </c>
    </row>
    <row r="243" spans="1:21" ht="16.5" thickBot="1">
      <c r="A243" s="207" t="s">
        <v>10</v>
      </c>
      <c r="B243" s="211">
        <f t="shared" si="12"/>
        <v>90</v>
      </c>
      <c r="C243" s="211" t="s">
        <v>3</v>
      </c>
      <c r="D243" s="211">
        <f t="shared" si="13"/>
        <v>400</v>
      </c>
      <c r="E243" s="211" t="s">
        <v>3</v>
      </c>
      <c r="F243" s="209">
        <f t="shared" si="14"/>
        <v>2500</v>
      </c>
      <c r="G243" s="211" t="s">
        <v>3</v>
      </c>
      <c r="H243" s="208">
        <v>4</v>
      </c>
      <c r="I243" s="210" t="s">
        <v>529</v>
      </c>
      <c r="J243" s="103">
        <v>90</v>
      </c>
      <c r="K243" s="66">
        <v>400</v>
      </c>
      <c r="L243" s="66">
        <v>2500</v>
      </c>
      <c r="M243" s="164">
        <v>37.35951727514918</v>
      </c>
      <c r="N243" s="78">
        <v>10648.681679999998</v>
      </c>
      <c r="O243" s="113">
        <v>96855.969845705622</v>
      </c>
      <c r="P243" s="113">
        <v>106320.92970881237</v>
      </c>
      <c r="Q243" s="110">
        <v>39732.567314652675</v>
      </c>
      <c r="R243" s="113">
        <v>136588.5371603583</v>
      </c>
      <c r="S243" s="113">
        <v>146053.49702346505</v>
      </c>
      <c r="U243" s="7" t="s">
        <v>6558</v>
      </c>
    </row>
    <row r="244" spans="1:21" ht="16.5" thickBot="1">
      <c r="A244" s="207" t="s">
        <v>10</v>
      </c>
      <c r="B244" s="211">
        <f t="shared" si="12"/>
        <v>90</v>
      </c>
      <c r="C244" s="211" t="s">
        <v>3</v>
      </c>
      <c r="D244" s="211">
        <f t="shared" si="13"/>
        <v>400</v>
      </c>
      <c r="E244" s="211" t="s">
        <v>3</v>
      </c>
      <c r="F244" s="209">
        <f t="shared" si="14"/>
        <v>2550</v>
      </c>
      <c r="G244" s="211" t="s">
        <v>3</v>
      </c>
      <c r="H244" s="208">
        <v>4</v>
      </c>
      <c r="I244" s="210" t="s">
        <v>529</v>
      </c>
      <c r="J244" s="103">
        <v>90</v>
      </c>
      <c r="K244" s="66">
        <v>400</v>
      </c>
      <c r="L244" s="66">
        <v>2550</v>
      </c>
      <c r="M244" s="164">
        <v>38.025825644495129</v>
      </c>
      <c r="N244" s="78">
        <v>10896.325440000001</v>
      </c>
      <c r="O244" s="113">
        <v>101619.52566908192</v>
      </c>
      <c r="P244" s="113">
        <v>111052.00269007345</v>
      </c>
      <c r="Q244" s="110">
        <v>40640.508402166415</v>
      </c>
      <c r="R244" s="113">
        <v>142260.03407124834</v>
      </c>
      <c r="S244" s="113">
        <v>151692.51109223987</v>
      </c>
      <c r="U244" s="7" t="s">
        <v>6559</v>
      </c>
    </row>
    <row r="245" spans="1:21" ht="16.5" thickBot="1">
      <c r="A245" s="207" t="s">
        <v>10</v>
      </c>
      <c r="B245" s="208">
        <f t="shared" si="12"/>
        <v>90</v>
      </c>
      <c r="C245" s="208" t="s">
        <v>3</v>
      </c>
      <c r="D245" s="208">
        <f t="shared" si="13"/>
        <v>400</v>
      </c>
      <c r="E245" s="208" t="s">
        <v>3</v>
      </c>
      <c r="F245" s="209">
        <f t="shared" si="14"/>
        <v>2600</v>
      </c>
      <c r="G245" s="208" t="s">
        <v>3</v>
      </c>
      <c r="H245" s="208">
        <v>4</v>
      </c>
      <c r="I245" s="210" t="s">
        <v>529</v>
      </c>
      <c r="J245" s="103">
        <v>90</v>
      </c>
      <c r="K245" s="66">
        <v>400</v>
      </c>
      <c r="L245" s="66">
        <v>2600</v>
      </c>
      <c r="M245" s="164">
        <v>38.674242013841095</v>
      </c>
      <c r="N245" s="78">
        <v>11143.9692</v>
      </c>
      <c r="O245" s="113">
        <v>103087.16076535506</v>
      </c>
      <c r="P245" s="113">
        <v>112697.12411370878</v>
      </c>
      <c r="Q245" s="110">
        <v>41297.115504925154</v>
      </c>
      <c r="R245" s="113">
        <v>144384.27627028021</v>
      </c>
      <c r="S245" s="113">
        <v>153994.23961863393</v>
      </c>
      <c r="U245" s="7" t="s">
        <v>6560</v>
      </c>
    </row>
    <row r="246" spans="1:21" ht="16.5" thickBot="1">
      <c r="A246" s="207" t="s">
        <v>10</v>
      </c>
      <c r="B246" s="211">
        <f t="shared" si="12"/>
        <v>90</v>
      </c>
      <c r="C246" s="211" t="s">
        <v>3</v>
      </c>
      <c r="D246" s="211">
        <f t="shared" si="13"/>
        <v>400</v>
      </c>
      <c r="E246" s="211" t="s">
        <v>3</v>
      </c>
      <c r="F246" s="209">
        <f t="shared" si="14"/>
        <v>2650</v>
      </c>
      <c r="G246" s="211" t="s">
        <v>3</v>
      </c>
      <c r="H246" s="208">
        <v>4</v>
      </c>
      <c r="I246" s="210" t="s">
        <v>529</v>
      </c>
      <c r="J246" s="103">
        <v>90</v>
      </c>
      <c r="K246" s="66">
        <v>400</v>
      </c>
      <c r="L246" s="66">
        <v>2650</v>
      </c>
      <c r="M246" s="164">
        <v>39.452900383187057</v>
      </c>
      <c r="N246" s="78">
        <v>11391.612959999997</v>
      </c>
      <c r="O246" s="113">
        <v>104085.42025640092</v>
      </c>
      <c r="P246" s="113">
        <v>113902.77170691364</v>
      </c>
      <c r="Q246" s="110">
        <v>42205.056592438901</v>
      </c>
      <c r="R246" s="113">
        <v>146290.47684883981</v>
      </c>
      <c r="S246" s="113">
        <v>156107.82829935255</v>
      </c>
      <c r="U246" s="7" t="s">
        <v>6561</v>
      </c>
    </row>
    <row r="247" spans="1:21" ht="16.5" thickBot="1">
      <c r="A247" s="207" t="s">
        <v>10</v>
      </c>
      <c r="B247" s="211">
        <f t="shared" si="12"/>
        <v>90</v>
      </c>
      <c r="C247" s="211" t="s">
        <v>3</v>
      </c>
      <c r="D247" s="211">
        <f t="shared" si="13"/>
        <v>400</v>
      </c>
      <c r="E247" s="211" t="s">
        <v>3</v>
      </c>
      <c r="F247" s="209">
        <f t="shared" si="14"/>
        <v>2700</v>
      </c>
      <c r="G247" s="211" t="s">
        <v>3</v>
      </c>
      <c r="H247" s="208">
        <v>4</v>
      </c>
      <c r="I247" s="210" t="s">
        <v>529</v>
      </c>
      <c r="J247" s="103">
        <v>90</v>
      </c>
      <c r="K247" s="66">
        <v>400</v>
      </c>
      <c r="L247" s="66">
        <v>2700</v>
      </c>
      <c r="M247" s="164">
        <v>40.183741752533017</v>
      </c>
      <c r="N247" s="78">
        <v>11639.256719999999</v>
      </c>
      <c r="O247" s="113">
        <v>105148.61811604262</v>
      </c>
      <c r="P247" s="113">
        <v>115169.22078089521</v>
      </c>
      <c r="Q247" s="110">
        <v>42861.66369519764</v>
      </c>
      <c r="R247" s="113">
        <v>148010.28181124025</v>
      </c>
      <c r="S247" s="113">
        <v>158030.88447609285</v>
      </c>
      <c r="U247" s="7" t="s">
        <v>6562</v>
      </c>
    </row>
    <row r="248" spans="1:21" ht="16.5" thickBot="1">
      <c r="A248" s="207" t="s">
        <v>10</v>
      </c>
      <c r="B248" s="211">
        <f t="shared" si="12"/>
        <v>90</v>
      </c>
      <c r="C248" s="211" t="s">
        <v>3</v>
      </c>
      <c r="D248" s="211">
        <f t="shared" si="13"/>
        <v>400</v>
      </c>
      <c r="E248" s="211" t="s">
        <v>3</v>
      </c>
      <c r="F248" s="209">
        <f t="shared" si="14"/>
        <v>2750</v>
      </c>
      <c r="G248" s="211" t="s">
        <v>3</v>
      </c>
      <c r="H248" s="208">
        <v>4</v>
      </c>
      <c r="I248" s="210" t="s">
        <v>529</v>
      </c>
      <c r="J248" s="103">
        <v>90</v>
      </c>
      <c r="K248" s="66">
        <v>400</v>
      </c>
      <c r="L248" s="66">
        <v>2750</v>
      </c>
      <c r="M248" s="164">
        <v>40.832158121878976</v>
      </c>
      <c r="N248" s="78">
        <v>11886.900479999998</v>
      </c>
      <c r="O248" s="113">
        <v>106235.88482190379</v>
      </c>
      <c r="P248" s="113">
        <v>116458.20538347545</v>
      </c>
      <c r="Q248" s="110">
        <v>43518.270644927608</v>
      </c>
      <c r="R248" s="113">
        <v>149754.15546683141</v>
      </c>
      <c r="S248" s="113">
        <v>159976.47602840306</v>
      </c>
      <c r="U248" s="7" t="s">
        <v>6563</v>
      </c>
    </row>
    <row r="249" spans="1:21" ht="16.5" thickBot="1">
      <c r="A249" s="207" t="s">
        <v>10</v>
      </c>
      <c r="B249" s="211">
        <f t="shared" si="12"/>
        <v>90</v>
      </c>
      <c r="C249" s="211" t="s">
        <v>3</v>
      </c>
      <c r="D249" s="211">
        <f t="shared" si="13"/>
        <v>400</v>
      </c>
      <c r="E249" s="211" t="s">
        <v>3</v>
      </c>
      <c r="F249" s="209">
        <f t="shared" si="14"/>
        <v>2800</v>
      </c>
      <c r="G249" s="211" t="s">
        <v>3</v>
      </c>
      <c r="H249" s="208">
        <v>4</v>
      </c>
      <c r="I249" s="210" t="s">
        <v>529</v>
      </c>
      <c r="J249" s="103">
        <v>90</v>
      </c>
      <c r="K249" s="66">
        <v>400</v>
      </c>
      <c r="L249" s="66">
        <v>2800</v>
      </c>
      <c r="M249" s="164">
        <v>41.498466491224939</v>
      </c>
      <c r="N249" s="78">
        <v>12134.544239999999</v>
      </c>
      <c r="O249" s="113">
        <v>107232.79882283516</v>
      </c>
      <c r="P249" s="113">
        <v>117662.5932056286</v>
      </c>
      <c r="Q249" s="110">
        <v>44426.211885470118</v>
      </c>
      <c r="R249" s="113">
        <v>151659.01070830529</v>
      </c>
      <c r="S249" s="113">
        <v>162088.80509109871</v>
      </c>
      <c r="U249" s="7" t="s">
        <v>6564</v>
      </c>
    </row>
    <row r="250" spans="1:21" ht="16.5" thickBot="1">
      <c r="A250" s="207" t="s">
        <v>10</v>
      </c>
      <c r="B250" s="211">
        <f t="shared" si="12"/>
        <v>90</v>
      </c>
      <c r="C250" s="211" t="s">
        <v>3</v>
      </c>
      <c r="D250" s="211">
        <f t="shared" si="13"/>
        <v>400</v>
      </c>
      <c r="E250" s="211" t="s">
        <v>3</v>
      </c>
      <c r="F250" s="209">
        <f t="shared" si="14"/>
        <v>2850</v>
      </c>
      <c r="G250" s="211" t="s">
        <v>3</v>
      </c>
      <c r="H250" s="208">
        <v>4</v>
      </c>
      <c r="I250" s="210" t="s">
        <v>529</v>
      </c>
      <c r="J250" s="103">
        <v>90</v>
      </c>
      <c r="K250" s="66">
        <v>400</v>
      </c>
      <c r="L250" s="66">
        <v>2850</v>
      </c>
      <c r="M250" s="164">
        <v>42.146882860570891</v>
      </c>
      <c r="N250" s="78">
        <v>12382.187999999998</v>
      </c>
      <c r="O250" s="113">
        <v>108229.66040376303</v>
      </c>
      <c r="P250" s="113">
        <v>118866.93211978841</v>
      </c>
      <c r="Q250" s="110">
        <v>45082.818835200087</v>
      </c>
      <c r="R250" s="113">
        <v>153312.4792389631</v>
      </c>
      <c r="S250" s="113">
        <v>163949.7509549885</v>
      </c>
      <c r="U250" s="7" t="s">
        <v>6565</v>
      </c>
    </row>
    <row r="251" spans="1:21" ht="16.5" thickBot="1">
      <c r="A251" s="207" t="s">
        <v>10</v>
      </c>
      <c r="B251" s="211">
        <f t="shared" si="12"/>
        <v>90</v>
      </c>
      <c r="C251" s="211" t="s">
        <v>3</v>
      </c>
      <c r="D251" s="211">
        <f t="shared" si="13"/>
        <v>400</v>
      </c>
      <c r="E251" s="211" t="s">
        <v>3</v>
      </c>
      <c r="F251" s="209">
        <f t="shared" si="14"/>
        <v>2900</v>
      </c>
      <c r="G251" s="211" t="s">
        <v>3</v>
      </c>
      <c r="H251" s="208">
        <v>4</v>
      </c>
      <c r="I251" s="210" t="s">
        <v>529</v>
      </c>
      <c r="J251" s="103">
        <v>90</v>
      </c>
      <c r="K251" s="66">
        <v>400</v>
      </c>
      <c r="L251" s="66">
        <v>2900</v>
      </c>
      <c r="M251" s="164">
        <v>42.997991229916856</v>
      </c>
      <c r="N251" s="78">
        <v>12629.831759999999</v>
      </c>
      <c r="O251" s="113">
        <v>109226.46969476185</v>
      </c>
      <c r="P251" s="113">
        <v>120071.221865806</v>
      </c>
      <c r="Q251" s="110">
        <v>45990.760075742597</v>
      </c>
      <c r="R251" s="113">
        <v>155217.22977050446</v>
      </c>
      <c r="S251" s="113">
        <v>166061.98194154858</v>
      </c>
      <c r="U251" s="7" t="s">
        <v>6566</v>
      </c>
    </row>
    <row r="252" spans="1:21" ht="16.5" thickBot="1">
      <c r="A252" s="207" t="s">
        <v>10</v>
      </c>
      <c r="B252" s="211">
        <f t="shared" si="12"/>
        <v>90</v>
      </c>
      <c r="C252" s="211" t="s">
        <v>3</v>
      </c>
      <c r="D252" s="211">
        <f t="shared" si="13"/>
        <v>400</v>
      </c>
      <c r="E252" s="211" t="s">
        <v>3</v>
      </c>
      <c r="F252" s="209">
        <f t="shared" si="14"/>
        <v>2950</v>
      </c>
      <c r="G252" s="211" t="s">
        <v>3</v>
      </c>
      <c r="H252" s="208">
        <v>4</v>
      </c>
      <c r="I252" s="210" t="s">
        <v>529</v>
      </c>
      <c r="J252" s="103">
        <v>90</v>
      </c>
      <c r="K252" s="66">
        <v>400</v>
      </c>
      <c r="L252" s="66">
        <v>2950</v>
      </c>
      <c r="M252" s="164">
        <v>43.646407599262822</v>
      </c>
      <c r="N252" s="78">
        <v>12877.475519999998</v>
      </c>
      <c r="O252" s="113">
        <v>110223.22643568274</v>
      </c>
      <c r="P252" s="113">
        <v>121275.46244368133</v>
      </c>
      <c r="Q252" s="110">
        <v>46647.367025472573</v>
      </c>
      <c r="R252" s="113">
        <v>156870.59346115531</v>
      </c>
      <c r="S252" s="113">
        <v>167922.82946915389</v>
      </c>
      <c r="U252" s="7" t="s">
        <v>6567</v>
      </c>
    </row>
    <row r="253" spans="1:21" ht="16.5" thickBot="1">
      <c r="A253" s="207" t="s">
        <v>10</v>
      </c>
      <c r="B253" s="211">
        <f t="shared" si="12"/>
        <v>90</v>
      </c>
      <c r="C253" s="211" t="s">
        <v>3</v>
      </c>
      <c r="D253" s="211">
        <f t="shared" si="13"/>
        <v>400</v>
      </c>
      <c r="E253" s="211" t="s">
        <v>3</v>
      </c>
      <c r="F253" s="209">
        <f t="shared" si="14"/>
        <v>3000</v>
      </c>
      <c r="G253" s="211" t="s">
        <v>3</v>
      </c>
      <c r="H253" s="208">
        <v>4</v>
      </c>
      <c r="I253" s="210" t="s">
        <v>529</v>
      </c>
      <c r="J253" s="125">
        <v>90</v>
      </c>
      <c r="K253" s="126">
        <v>400</v>
      </c>
      <c r="L253" s="126">
        <v>3000</v>
      </c>
      <c r="M253" s="157">
        <v>44.377815968608779</v>
      </c>
      <c r="N253" s="127">
        <v>13125.119279999999</v>
      </c>
      <c r="O253" s="128">
        <v>113091.28286727307</v>
      </c>
      <c r="P253" s="128">
        <v>124231.79025892133</v>
      </c>
      <c r="Q253" s="136">
        <v>47555.308266015076</v>
      </c>
      <c r="R253" s="128">
        <v>160646.59113328814</v>
      </c>
      <c r="S253" s="128">
        <v>171787.09852493642</v>
      </c>
      <c r="U253" s="7" t="s">
        <v>6568</v>
      </c>
    </row>
  </sheetData>
  <mergeCells count="21">
    <mergeCell ref="Q4:Q5"/>
    <mergeCell ref="R4:R5"/>
    <mergeCell ref="S4:S5"/>
    <mergeCell ref="O6:S6"/>
    <mergeCell ref="A4:I6"/>
    <mergeCell ref="J4:M5"/>
    <mergeCell ref="N4:N6"/>
    <mergeCell ref="O4:O5"/>
    <mergeCell ref="P4:P5"/>
    <mergeCell ref="A206:S206"/>
    <mergeCell ref="A58:S58"/>
    <mergeCell ref="A59:S59"/>
    <mergeCell ref="A107:S107"/>
    <mergeCell ref="A108:S108"/>
    <mergeCell ref="A156:S156"/>
    <mergeCell ref="A157:S157"/>
    <mergeCell ref="A10:S10"/>
    <mergeCell ref="A7:S7"/>
    <mergeCell ref="A8:S8"/>
    <mergeCell ref="A9:S9"/>
    <mergeCell ref="A205:S205"/>
  </mergeCells>
  <hyperlinks>
    <hyperlink ref="A1:I1" location="Главная!A1" display="Вернуться на главную страницу" xr:uid="{00000000-0004-0000-0B00-000000000000}"/>
    <hyperlink ref="A2" location="'Калькулятор теплоотдач ВКВ'!R1C1" display="Вернуться Калькулятор теплоотдач ВКВ" xr:uid="{00000000-0004-0000-0B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5">
    <tabColor rgb="FF3366FF"/>
  </sheetPr>
  <dimension ref="A1:U253"/>
  <sheetViews>
    <sheetView zoomScale="70" zoomScaleNormal="70" workbookViewId="0">
      <pane ySplit="6" topLeftCell="A7" activePane="bottomLeft" state="frozen"/>
      <selection pane="bottomLeft" activeCell="Z6" sqref="Z6"/>
    </sheetView>
  </sheetViews>
  <sheetFormatPr defaultRowHeight="15.75"/>
  <cols>
    <col min="1" max="1" width="5.570312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8.140625" style="7" customWidth="1"/>
    <col min="10" max="10" width="11.28515625" style="7" customWidth="1"/>
    <col min="11" max="12" width="11.28515625" style="87" customWidth="1"/>
    <col min="13" max="13" width="15.5703125" style="9" customWidth="1"/>
    <col min="14" max="14" width="19.140625" style="7" customWidth="1"/>
    <col min="15" max="16" width="27.7109375" style="199" customWidth="1"/>
    <col min="17" max="17" width="26.28515625" style="108" customWidth="1"/>
    <col min="18" max="19" width="27.7109375" style="199" customWidth="1"/>
    <col min="20" max="20" width="9.140625" style="7"/>
    <col min="21" max="21" width="29" style="7" customWidth="1"/>
    <col min="22" max="16384" width="9.140625" style="7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1"/>
      <c r="O1" s="108"/>
      <c r="P1" s="108"/>
      <c r="R1" s="108"/>
      <c r="S1" s="108"/>
    </row>
    <row r="2" spans="1:21" s="65" customFormat="1" ht="16.5" customHeight="1">
      <c r="A2" s="895" t="s">
        <v>345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ht="13.5" customHeight="1" thickBot="1">
      <c r="A3" s="16"/>
      <c r="B3" s="16"/>
      <c r="C3" s="16"/>
      <c r="D3" s="16"/>
      <c r="E3" s="16"/>
      <c r="F3" s="100"/>
      <c r="G3" s="16"/>
      <c r="H3" s="16"/>
      <c r="I3" s="1132"/>
      <c r="J3" s="16"/>
      <c r="K3" s="99"/>
      <c r="L3" s="99"/>
      <c r="M3" s="140"/>
      <c r="O3" s="106"/>
      <c r="P3" s="106"/>
      <c r="Q3" s="107"/>
      <c r="R3" s="107"/>
      <c r="S3" s="107"/>
    </row>
    <row r="4" spans="1:21" s="65" customFormat="1" ht="69" customHeight="1">
      <c r="A4" s="2989" t="s">
        <v>8</v>
      </c>
      <c r="B4" s="2990"/>
      <c r="C4" s="2990"/>
      <c r="D4" s="2990"/>
      <c r="E4" s="2990"/>
      <c r="F4" s="2990"/>
      <c r="G4" s="2990"/>
      <c r="H4" s="2990"/>
      <c r="I4" s="2991"/>
      <c r="J4" s="2998" t="s">
        <v>78</v>
      </c>
      <c r="K4" s="2999"/>
      <c r="L4" s="2999"/>
      <c r="M4" s="3000"/>
      <c r="N4" s="3004" t="s">
        <v>77</v>
      </c>
      <c r="O4" s="2977" t="s">
        <v>145</v>
      </c>
      <c r="P4" s="3013" t="s">
        <v>146</v>
      </c>
      <c r="Q4" s="2977" t="s">
        <v>64</v>
      </c>
      <c r="R4" s="2979" t="s">
        <v>5752</v>
      </c>
      <c r="S4" s="2981" t="s">
        <v>5753</v>
      </c>
    </row>
    <row r="5" spans="1:21" s="65" customFormat="1" ht="72" customHeight="1" thickBot="1">
      <c r="A5" s="2992"/>
      <c r="B5" s="2993"/>
      <c r="C5" s="2993"/>
      <c r="D5" s="2993"/>
      <c r="E5" s="2993"/>
      <c r="F5" s="2993"/>
      <c r="G5" s="2993"/>
      <c r="H5" s="2993"/>
      <c r="I5" s="2994"/>
      <c r="J5" s="3001"/>
      <c r="K5" s="3002"/>
      <c r="L5" s="3002"/>
      <c r="M5" s="3003"/>
      <c r="N5" s="3005"/>
      <c r="O5" s="3007"/>
      <c r="P5" s="3014"/>
      <c r="Q5" s="2978"/>
      <c r="R5" s="2980"/>
      <c r="S5" s="2982"/>
    </row>
    <row r="6" spans="1:21" s="65" customFormat="1" ht="61.5" customHeight="1" thickBot="1">
      <c r="A6" s="2995"/>
      <c r="B6" s="2996"/>
      <c r="C6" s="2996"/>
      <c r="D6" s="2996"/>
      <c r="E6" s="2996"/>
      <c r="F6" s="2996"/>
      <c r="G6" s="2996"/>
      <c r="H6" s="2996"/>
      <c r="I6" s="2997"/>
      <c r="J6" s="235" t="s">
        <v>0</v>
      </c>
      <c r="K6" s="240" t="s">
        <v>1</v>
      </c>
      <c r="L6" s="240" t="s">
        <v>2</v>
      </c>
      <c r="M6" s="206" t="s">
        <v>75</v>
      </c>
      <c r="N6" s="3006"/>
      <c r="O6" s="2983" t="s">
        <v>141</v>
      </c>
      <c r="P6" s="2984"/>
      <c r="Q6" s="2984"/>
      <c r="R6" s="2984"/>
      <c r="S6" s="2985"/>
    </row>
    <row r="7" spans="1:21" ht="30" customHeight="1" thickBot="1">
      <c r="A7" s="2986" t="s">
        <v>131</v>
      </c>
      <c r="B7" s="2987"/>
      <c r="C7" s="2987"/>
      <c r="D7" s="2987"/>
      <c r="E7" s="2987"/>
      <c r="F7" s="2987"/>
      <c r="G7" s="2987"/>
      <c r="H7" s="2987"/>
      <c r="I7" s="2987"/>
      <c r="J7" s="2987"/>
      <c r="K7" s="2987"/>
      <c r="L7" s="2987"/>
      <c r="M7" s="2987"/>
      <c r="N7" s="2987"/>
      <c r="O7" s="2987"/>
      <c r="P7" s="2987"/>
      <c r="Q7" s="2987"/>
      <c r="R7" s="2987"/>
      <c r="S7" s="2988"/>
    </row>
    <row r="8" spans="1:21" ht="22.5" customHeight="1" thickBot="1">
      <c r="A8" s="2968" t="s">
        <v>46</v>
      </c>
      <c r="B8" s="2969"/>
      <c r="C8" s="2969"/>
      <c r="D8" s="2969"/>
      <c r="E8" s="2969"/>
      <c r="F8" s="2969"/>
      <c r="G8" s="2969"/>
      <c r="H8" s="2969"/>
      <c r="I8" s="2969"/>
      <c r="J8" s="2969"/>
      <c r="K8" s="2969"/>
      <c r="L8" s="2969"/>
      <c r="M8" s="2969"/>
      <c r="N8" s="2969"/>
      <c r="O8" s="2969"/>
      <c r="P8" s="2969"/>
      <c r="Q8" s="2969"/>
      <c r="R8" s="2969"/>
      <c r="S8" s="2970"/>
    </row>
    <row r="9" spans="1:21" ht="22.5" customHeight="1" thickBot="1">
      <c r="A9" s="2971" t="s">
        <v>63</v>
      </c>
      <c r="B9" s="2972"/>
      <c r="C9" s="2972"/>
      <c r="D9" s="2972"/>
      <c r="E9" s="2972"/>
      <c r="F9" s="2972"/>
      <c r="G9" s="2972"/>
      <c r="H9" s="2972"/>
      <c r="I9" s="2972"/>
      <c r="J9" s="2972"/>
      <c r="K9" s="2972"/>
      <c r="L9" s="2972"/>
      <c r="M9" s="2972"/>
      <c r="N9" s="2972"/>
      <c r="O9" s="2972"/>
      <c r="P9" s="2972"/>
      <c r="Q9" s="2972"/>
      <c r="R9" s="2972"/>
      <c r="S9" s="2973"/>
    </row>
    <row r="10" spans="1:21" ht="16.5" customHeight="1" thickBot="1">
      <c r="A10" s="3015" t="s">
        <v>112</v>
      </c>
      <c r="B10" s="3016"/>
      <c r="C10" s="3016"/>
      <c r="D10" s="3016"/>
      <c r="E10" s="3016"/>
      <c r="F10" s="3016"/>
      <c r="G10" s="3016"/>
      <c r="H10" s="3016"/>
      <c r="I10" s="3016"/>
      <c r="J10" s="3016"/>
      <c r="K10" s="3016"/>
      <c r="L10" s="3016"/>
      <c r="M10" s="3016"/>
      <c r="N10" s="3016"/>
      <c r="O10" s="3016"/>
      <c r="P10" s="3016"/>
      <c r="Q10" s="3016"/>
      <c r="R10" s="3016"/>
      <c r="S10" s="3017"/>
    </row>
    <row r="11" spans="1:21" ht="16.5" customHeight="1" thickBot="1">
      <c r="A11" s="207" t="s">
        <v>10</v>
      </c>
      <c r="B11" s="211">
        <f t="shared" ref="B11:B57" si="0">J11</f>
        <v>110</v>
      </c>
      <c r="C11" s="211" t="s">
        <v>3</v>
      </c>
      <c r="D11" s="211">
        <f t="shared" ref="D11:D57" si="1">K11</f>
        <v>200</v>
      </c>
      <c r="E11" s="211" t="s">
        <v>3</v>
      </c>
      <c r="F11" s="209">
        <f t="shared" ref="F11:F57" si="2">L11</f>
        <v>700</v>
      </c>
      <c r="G11" s="211" t="s">
        <v>3</v>
      </c>
      <c r="H11" s="208">
        <v>2</v>
      </c>
      <c r="I11" s="210" t="s">
        <v>529</v>
      </c>
      <c r="J11" s="103">
        <v>110</v>
      </c>
      <c r="K11" s="66">
        <v>200</v>
      </c>
      <c r="L11" s="66">
        <v>700</v>
      </c>
      <c r="M11" s="164">
        <v>6.7729431148801309</v>
      </c>
      <c r="N11" s="78">
        <v>1029.5973111354838</v>
      </c>
      <c r="O11" s="113">
        <v>27961.249613720884</v>
      </c>
      <c r="P11" s="113">
        <v>31543.956897470351</v>
      </c>
      <c r="Q11" s="110">
        <v>8155.8760034286815</v>
      </c>
      <c r="R11" s="113">
        <v>36117.125617149562</v>
      </c>
      <c r="S11" s="113">
        <v>39699.832900899033</v>
      </c>
      <c r="U11" s="7" t="s">
        <v>6569</v>
      </c>
    </row>
    <row r="12" spans="1:21" ht="16.5" customHeight="1" thickBot="1">
      <c r="A12" s="207" t="s">
        <v>10</v>
      </c>
      <c r="B12" s="211">
        <f t="shared" si="0"/>
        <v>110</v>
      </c>
      <c r="C12" s="211" t="s">
        <v>3</v>
      </c>
      <c r="D12" s="211">
        <f t="shared" si="1"/>
        <v>200</v>
      </c>
      <c r="E12" s="211" t="s">
        <v>3</v>
      </c>
      <c r="F12" s="209">
        <f t="shared" si="2"/>
        <v>750</v>
      </c>
      <c r="G12" s="211" t="s">
        <v>3</v>
      </c>
      <c r="H12" s="208">
        <v>2</v>
      </c>
      <c r="I12" s="210" t="s">
        <v>529</v>
      </c>
      <c r="J12" s="103">
        <v>110</v>
      </c>
      <c r="K12" s="66">
        <v>200</v>
      </c>
      <c r="L12" s="66">
        <v>750</v>
      </c>
      <c r="M12" s="164">
        <v>7.1615927839107894</v>
      </c>
      <c r="N12" s="78">
        <v>1176.6826412976961</v>
      </c>
      <c r="O12" s="113">
        <v>29629.789771472806</v>
      </c>
      <c r="P12" s="113">
        <v>33396.727911167094</v>
      </c>
      <c r="Q12" s="110">
        <v>8546.5523196422018</v>
      </c>
      <c r="R12" s="113">
        <v>38176.34209111501</v>
      </c>
      <c r="S12" s="113">
        <v>41943.280230809294</v>
      </c>
      <c r="U12" s="7" t="s">
        <v>6570</v>
      </c>
    </row>
    <row r="13" spans="1:21" ht="16.5" customHeight="1" thickBot="1">
      <c r="A13" s="207" t="s">
        <v>10</v>
      </c>
      <c r="B13" s="211">
        <f t="shared" si="0"/>
        <v>110</v>
      </c>
      <c r="C13" s="211" t="s">
        <v>3</v>
      </c>
      <c r="D13" s="211">
        <f t="shared" si="1"/>
        <v>200</v>
      </c>
      <c r="E13" s="211" t="s">
        <v>3</v>
      </c>
      <c r="F13" s="209">
        <f t="shared" si="2"/>
        <v>800</v>
      </c>
      <c r="G13" s="211" t="s">
        <v>3</v>
      </c>
      <c r="H13" s="208">
        <v>2</v>
      </c>
      <c r="I13" s="210" t="s">
        <v>529</v>
      </c>
      <c r="J13" s="103">
        <v>110</v>
      </c>
      <c r="K13" s="66">
        <v>200</v>
      </c>
      <c r="L13" s="66">
        <v>800</v>
      </c>
      <c r="M13" s="164">
        <v>7.5502424529414469</v>
      </c>
      <c r="N13" s="78">
        <v>1323.7679714599078</v>
      </c>
      <c r="O13" s="113">
        <v>31298.329929224732</v>
      </c>
      <c r="P13" s="113">
        <v>35249.49892486383</v>
      </c>
      <c r="Q13" s="110">
        <v>8937.2286358557212</v>
      </c>
      <c r="R13" s="113">
        <v>40235.558565080457</v>
      </c>
      <c r="S13" s="113">
        <v>44186.727560719548</v>
      </c>
      <c r="U13" s="7" t="s">
        <v>6571</v>
      </c>
    </row>
    <row r="14" spans="1:21" ht="16.5" customHeight="1" thickBot="1">
      <c r="A14" s="207" t="s">
        <v>10</v>
      </c>
      <c r="B14" s="211">
        <f t="shared" si="0"/>
        <v>110</v>
      </c>
      <c r="C14" s="211" t="s">
        <v>3</v>
      </c>
      <c r="D14" s="211">
        <f t="shared" si="1"/>
        <v>200</v>
      </c>
      <c r="E14" s="211" t="s">
        <v>3</v>
      </c>
      <c r="F14" s="209">
        <f t="shared" si="2"/>
        <v>850</v>
      </c>
      <c r="G14" s="211" t="s">
        <v>3</v>
      </c>
      <c r="H14" s="208">
        <v>2</v>
      </c>
      <c r="I14" s="210" t="s">
        <v>529</v>
      </c>
      <c r="J14" s="103">
        <v>110</v>
      </c>
      <c r="K14" s="66">
        <v>200</v>
      </c>
      <c r="L14" s="66">
        <v>850</v>
      </c>
      <c r="M14" s="164">
        <v>7.9559321219721042</v>
      </c>
      <c r="N14" s="78">
        <v>1470.8533016221199</v>
      </c>
      <c r="O14" s="113">
        <v>32966.870086976654</v>
      </c>
      <c r="P14" s="113">
        <v>37102.270076286462</v>
      </c>
      <c r="Q14" s="110">
        <v>9579.239089853012</v>
      </c>
      <c r="R14" s="113">
        <v>42546.109176829668</v>
      </c>
      <c r="S14" s="113">
        <v>46681.509166139476</v>
      </c>
      <c r="U14" s="7" t="s">
        <v>6572</v>
      </c>
    </row>
    <row r="15" spans="1:21" ht="16.5" customHeight="1" thickBot="1">
      <c r="A15" s="207" t="s">
        <v>10</v>
      </c>
      <c r="B15" s="211">
        <f t="shared" si="0"/>
        <v>110</v>
      </c>
      <c r="C15" s="211" t="s">
        <v>3</v>
      </c>
      <c r="D15" s="211">
        <f t="shared" si="1"/>
        <v>200</v>
      </c>
      <c r="E15" s="211" t="s">
        <v>3</v>
      </c>
      <c r="F15" s="209">
        <f t="shared" si="2"/>
        <v>900</v>
      </c>
      <c r="G15" s="211" t="s">
        <v>3</v>
      </c>
      <c r="H15" s="208">
        <v>2</v>
      </c>
      <c r="I15" s="210" t="s">
        <v>529</v>
      </c>
      <c r="J15" s="103">
        <v>110</v>
      </c>
      <c r="K15" s="66">
        <v>200</v>
      </c>
      <c r="L15" s="66">
        <v>900</v>
      </c>
      <c r="M15" s="164">
        <v>8.3825817910027638</v>
      </c>
      <c r="N15" s="78">
        <v>1617.9386317843318</v>
      </c>
      <c r="O15" s="113">
        <v>34635.410244728584</v>
      </c>
      <c r="P15" s="113">
        <v>38955.041089983206</v>
      </c>
      <c r="Q15" s="110">
        <v>9969.915559095296</v>
      </c>
      <c r="R15" s="113">
        <v>44605.325803823878</v>
      </c>
      <c r="S15" s="113">
        <v>48924.9566490785</v>
      </c>
      <c r="U15" s="7" t="s">
        <v>6573</v>
      </c>
    </row>
    <row r="16" spans="1:21" ht="16.5" customHeight="1" thickBot="1">
      <c r="A16" s="207" t="s">
        <v>10</v>
      </c>
      <c r="B16" s="211">
        <f t="shared" si="0"/>
        <v>110</v>
      </c>
      <c r="C16" s="211" t="s">
        <v>3</v>
      </c>
      <c r="D16" s="211">
        <f t="shared" si="1"/>
        <v>200</v>
      </c>
      <c r="E16" s="211" t="s">
        <v>3</v>
      </c>
      <c r="F16" s="209">
        <f t="shared" si="2"/>
        <v>950</v>
      </c>
      <c r="G16" s="211" t="s">
        <v>3</v>
      </c>
      <c r="H16" s="208">
        <v>2</v>
      </c>
      <c r="I16" s="210" t="s">
        <v>529</v>
      </c>
      <c r="J16" s="103">
        <v>110</v>
      </c>
      <c r="K16" s="66">
        <v>200</v>
      </c>
      <c r="L16" s="66">
        <v>950</v>
      </c>
      <c r="M16" s="164">
        <v>8.8572714600334201</v>
      </c>
      <c r="N16" s="78">
        <v>1765.023961946544</v>
      </c>
      <c r="O16" s="113">
        <v>36303.950402480506</v>
      </c>
      <c r="P16" s="113">
        <v>40807.812103679942</v>
      </c>
      <c r="Q16" s="110">
        <v>10611.926013092587</v>
      </c>
      <c r="R16" s="113">
        <v>46915.87641557309</v>
      </c>
      <c r="S16" s="113">
        <v>51419.738116772525</v>
      </c>
      <c r="U16" s="7" t="s">
        <v>6574</v>
      </c>
    </row>
    <row r="17" spans="1:21" ht="16.5" customHeight="1" thickBot="1">
      <c r="A17" s="207" t="s">
        <v>10</v>
      </c>
      <c r="B17" s="211">
        <f t="shared" si="0"/>
        <v>110</v>
      </c>
      <c r="C17" s="211" t="s">
        <v>3</v>
      </c>
      <c r="D17" s="211">
        <f t="shared" si="1"/>
        <v>200</v>
      </c>
      <c r="E17" s="211" t="s">
        <v>3</v>
      </c>
      <c r="F17" s="209">
        <f t="shared" si="2"/>
        <v>1000</v>
      </c>
      <c r="G17" s="211" t="s">
        <v>3</v>
      </c>
      <c r="H17" s="208">
        <v>2</v>
      </c>
      <c r="I17" s="210" t="s">
        <v>529</v>
      </c>
      <c r="J17" s="103">
        <v>110</v>
      </c>
      <c r="K17" s="66">
        <v>200</v>
      </c>
      <c r="L17" s="66">
        <v>1000</v>
      </c>
      <c r="M17" s="164">
        <v>9.2459211290640777</v>
      </c>
      <c r="N17" s="78">
        <v>1912.1092921087561</v>
      </c>
      <c r="O17" s="113">
        <v>37868.796639227388</v>
      </c>
      <c r="P17" s="113">
        <v>42557.783963212627</v>
      </c>
      <c r="Q17" s="110">
        <v>11002.602329306106</v>
      </c>
      <c r="R17" s="113">
        <v>48871.398968533496</v>
      </c>
      <c r="S17" s="113">
        <v>53560.386292518735</v>
      </c>
      <c r="U17" s="7" t="s">
        <v>6575</v>
      </c>
    </row>
    <row r="18" spans="1:21" ht="16.5" customHeight="1" thickBot="1">
      <c r="A18" s="207" t="s">
        <v>10</v>
      </c>
      <c r="B18" s="211">
        <f t="shared" si="0"/>
        <v>110</v>
      </c>
      <c r="C18" s="211" t="s">
        <v>3</v>
      </c>
      <c r="D18" s="211">
        <f t="shared" si="1"/>
        <v>200</v>
      </c>
      <c r="E18" s="211" t="s">
        <v>3</v>
      </c>
      <c r="F18" s="209">
        <f t="shared" si="2"/>
        <v>1050</v>
      </c>
      <c r="G18" s="211" t="s">
        <v>3</v>
      </c>
      <c r="H18" s="208">
        <v>2</v>
      </c>
      <c r="I18" s="210" t="s">
        <v>529</v>
      </c>
      <c r="J18" s="103">
        <v>110</v>
      </c>
      <c r="K18" s="66">
        <v>200</v>
      </c>
      <c r="L18" s="66">
        <v>1050</v>
      </c>
      <c r="M18" s="164">
        <v>9.6516107980947368</v>
      </c>
      <c r="N18" s="78">
        <v>2059.1946222709676</v>
      </c>
      <c r="O18" s="113">
        <v>39783.610005700059</v>
      </c>
      <c r="P18" s="113">
        <v>44654.703036911764</v>
      </c>
      <c r="Q18" s="110">
        <v>11644.612783303395</v>
      </c>
      <c r="R18" s="113">
        <v>51428.222789003456</v>
      </c>
      <c r="S18" s="113">
        <v>56299.315820215161</v>
      </c>
      <c r="U18" s="7" t="s">
        <v>6576</v>
      </c>
    </row>
    <row r="19" spans="1:21" ht="16.5" customHeight="1" thickBot="1">
      <c r="A19" s="207" t="s">
        <v>10</v>
      </c>
      <c r="B19" s="208">
        <f t="shared" si="0"/>
        <v>110</v>
      </c>
      <c r="C19" s="208" t="s">
        <v>3</v>
      </c>
      <c r="D19" s="208">
        <f t="shared" si="1"/>
        <v>200</v>
      </c>
      <c r="E19" s="208" t="s">
        <v>3</v>
      </c>
      <c r="F19" s="209">
        <f t="shared" si="2"/>
        <v>1100</v>
      </c>
      <c r="G19" s="208" t="s">
        <v>3</v>
      </c>
      <c r="H19" s="208">
        <v>2</v>
      </c>
      <c r="I19" s="210" t="s">
        <v>529</v>
      </c>
      <c r="J19" s="103">
        <v>110</v>
      </c>
      <c r="K19" s="66">
        <v>200</v>
      </c>
      <c r="L19" s="66">
        <v>1100</v>
      </c>
      <c r="M19" s="164">
        <v>10.040260467125394</v>
      </c>
      <c r="N19" s="78">
        <v>2206.2799524331799</v>
      </c>
      <c r="O19" s="113">
        <v>41452.150163451981</v>
      </c>
      <c r="P19" s="113">
        <v>46507.474050608507</v>
      </c>
      <c r="Q19" s="110">
        <v>12035.289252545683</v>
      </c>
      <c r="R19" s="113">
        <v>53487.439415997665</v>
      </c>
      <c r="S19" s="113">
        <v>58542.763303154192</v>
      </c>
      <c r="U19" s="7" t="s">
        <v>6577</v>
      </c>
    </row>
    <row r="20" spans="1:21" ht="16.5" customHeight="1" thickBot="1">
      <c r="A20" s="207" t="s">
        <v>10</v>
      </c>
      <c r="B20" s="211">
        <f t="shared" si="0"/>
        <v>110</v>
      </c>
      <c r="C20" s="211" t="s">
        <v>3</v>
      </c>
      <c r="D20" s="211">
        <f t="shared" si="1"/>
        <v>200</v>
      </c>
      <c r="E20" s="211" t="s">
        <v>3</v>
      </c>
      <c r="F20" s="209">
        <f t="shared" si="2"/>
        <v>1150</v>
      </c>
      <c r="G20" s="211" t="s">
        <v>3</v>
      </c>
      <c r="H20" s="208">
        <v>2</v>
      </c>
      <c r="I20" s="210" t="s">
        <v>529</v>
      </c>
      <c r="J20" s="103">
        <v>110</v>
      </c>
      <c r="K20" s="66">
        <v>200</v>
      </c>
      <c r="L20" s="66">
        <v>1150</v>
      </c>
      <c r="M20" s="164">
        <v>10.428910136156052</v>
      </c>
      <c r="N20" s="78">
        <v>2353.3652825953923</v>
      </c>
      <c r="O20" s="113">
        <v>42297.367047921027</v>
      </c>
      <c r="P20" s="113">
        <v>47544.026633483911</v>
      </c>
      <c r="Q20" s="110">
        <v>12425.965568759202</v>
      </c>
      <c r="R20" s="113">
        <v>54723.332616680229</v>
      </c>
      <c r="S20" s="113">
        <v>59969.992202243113</v>
      </c>
      <c r="U20" s="7" t="s">
        <v>6578</v>
      </c>
    </row>
    <row r="21" spans="1:21" ht="16.5" customHeight="1" thickBot="1">
      <c r="A21" s="207" t="s">
        <v>10</v>
      </c>
      <c r="B21" s="211">
        <f t="shared" si="0"/>
        <v>110</v>
      </c>
      <c r="C21" s="211" t="s">
        <v>3</v>
      </c>
      <c r="D21" s="211">
        <f t="shared" si="1"/>
        <v>200</v>
      </c>
      <c r="E21" s="211" t="s">
        <v>3</v>
      </c>
      <c r="F21" s="209">
        <f t="shared" si="2"/>
        <v>1200</v>
      </c>
      <c r="G21" s="211" t="s">
        <v>3</v>
      </c>
      <c r="H21" s="208">
        <v>2</v>
      </c>
      <c r="I21" s="210" t="s">
        <v>529</v>
      </c>
      <c r="J21" s="103">
        <v>110</v>
      </c>
      <c r="K21" s="66">
        <v>200</v>
      </c>
      <c r="L21" s="66">
        <v>1200</v>
      </c>
      <c r="M21" s="164">
        <v>11.04984980518671</v>
      </c>
      <c r="N21" s="78">
        <v>2500.4506127576037</v>
      </c>
      <c r="O21" s="113">
        <v>43180.88539489307</v>
      </c>
      <c r="P21" s="113">
        <v>48618.550243849764</v>
      </c>
      <c r="Q21" s="110">
        <v>13067.976022756491</v>
      </c>
      <c r="R21" s="113">
        <v>56248.861417649561</v>
      </c>
      <c r="S21" s="113">
        <v>61686.526266606255</v>
      </c>
      <c r="U21" s="7" t="s">
        <v>6579</v>
      </c>
    </row>
    <row r="22" spans="1:21" ht="16.5" customHeight="1" thickBot="1">
      <c r="A22" s="207" t="s">
        <v>10</v>
      </c>
      <c r="B22" s="211">
        <f t="shared" si="0"/>
        <v>110</v>
      </c>
      <c r="C22" s="211" t="s">
        <v>3</v>
      </c>
      <c r="D22" s="211">
        <f t="shared" si="1"/>
        <v>200</v>
      </c>
      <c r="E22" s="211" t="s">
        <v>3</v>
      </c>
      <c r="F22" s="209">
        <f t="shared" si="2"/>
        <v>1250</v>
      </c>
      <c r="G22" s="211" t="s">
        <v>3</v>
      </c>
      <c r="H22" s="208">
        <v>2</v>
      </c>
      <c r="I22" s="210" t="s">
        <v>529</v>
      </c>
      <c r="J22" s="103">
        <v>110</v>
      </c>
      <c r="K22" s="66">
        <v>200</v>
      </c>
      <c r="L22" s="66">
        <v>1250</v>
      </c>
      <c r="M22" s="164">
        <v>11.43849947421737</v>
      </c>
      <c r="N22" s="78">
        <v>2647.5359429198156</v>
      </c>
      <c r="O22" s="113">
        <v>44025.577949252729</v>
      </c>
      <c r="P22" s="113">
        <v>49654.583186947435</v>
      </c>
      <c r="Q22" s="110">
        <v>13458.652338970012</v>
      </c>
      <c r="R22" s="113">
        <v>57484.230288222738</v>
      </c>
      <c r="S22" s="113">
        <v>63113.235525917451</v>
      </c>
      <c r="U22" s="7" t="s">
        <v>6580</v>
      </c>
    </row>
    <row r="23" spans="1:21" ht="16.5" customHeight="1" thickBot="1">
      <c r="A23" s="207" t="s">
        <v>10</v>
      </c>
      <c r="B23" s="211">
        <f t="shared" si="0"/>
        <v>110</v>
      </c>
      <c r="C23" s="211" t="s">
        <v>3</v>
      </c>
      <c r="D23" s="211">
        <f t="shared" si="1"/>
        <v>200</v>
      </c>
      <c r="E23" s="211" t="s">
        <v>3</v>
      </c>
      <c r="F23" s="209">
        <f t="shared" si="2"/>
        <v>1300</v>
      </c>
      <c r="G23" s="211" t="s">
        <v>3</v>
      </c>
      <c r="H23" s="208">
        <v>2</v>
      </c>
      <c r="I23" s="210" t="s">
        <v>529</v>
      </c>
      <c r="J23" s="103">
        <v>110</v>
      </c>
      <c r="K23" s="66">
        <v>200</v>
      </c>
      <c r="L23" s="66">
        <v>1300</v>
      </c>
      <c r="M23" s="164">
        <v>11.906189143248026</v>
      </c>
      <c r="N23" s="78">
        <v>2794.6212730820275</v>
      </c>
      <c r="O23" s="113">
        <v>47543.368487370863</v>
      </c>
      <c r="P23" s="113">
        <v>53340.646366462672</v>
      </c>
      <c r="Q23" s="110">
        <v>14100.662792967301</v>
      </c>
      <c r="R23" s="113">
        <v>61644.031280338168</v>
      </c>
      <c r="S23" s="113">
        <v>67441.309159429977</v>
      </c>
      <c r="U23" s="7" t="s">
        <v>6581</v>
      </c>
    </row>
    <row r="24" spans="1:21" ht="16.5" customHeight="1" thickBot="1">
      <c r="A24" s="207" t="s">
        <v>10</v>
      </c>
      <c r="B24" s="211">
        <f t="shared" si="0"/>
        <v>110</v>
      </c>
      <c r="C24" s="211" t="s">
        <v>3</v>
      </c>
      <c r="D24" s="211">
        <f t="shared" si="1"/>
        <v>200</v>
      </c>
      <c r="E24" s="211" t="s">
        <v>3</v>
      </c>
      <c r="F24" s="209">
        <f t="shared" si="2"/>
        <v>1350</v>
      </c>
      <c r="G24" s="211" t="s">
        <v>3</v>
      </c>
      <c r="H24" s="208">
        <v>2</v>
      </c>
      <c r="I24" s="210" t="s">
        <v>529</v>
      </c>
      <c r="J24" s="103">
        <v>110</v>
      </c>
      <c r="K24" s="66">
        <v>200</v>
      </c>
      <c r="L24" s="66">
        <v>1350</v>
      </c>
      <c r="M24" s="164">
        <v>12.294838812278684</v>
      </c>
      <c r="N24" s="78">
        <v>2941.7066032442399</v>
      </c>
      <c r="O24" s="113">
        <v>48660.230122400433</v>
      </c>
      <c r="P24" s="113">
        <v>54646.499612925858</v>
      </c>
      <c r="Q24" s="110">
        <v>14491.339262209587</v>
      </c>
      <c r="R24" s="113">
        <v>63151.569384610018</v>
      </c>
      <c r="S24" s="113">
        <v>69137.838875135451</v>
      </c>
      <c r="U24" s="7" t="s">
        <v>6582</v>
      </c>
    </row>
    <row r="25" spans="1:21" ht="16.5" customHeight="1" thickBot="1">
      <c r="A25" s="207" t="s">
        <v>10</v>
      </c>
      <c r="B25" s="211">
        <f t="shared" si="0"/>
        <v>110</v>
      </c>
      <c r="C25" s="211" t="s">
        <v>3</v>
      </c>
      <c r="D25" s="211">
        <f t="shared" si="1"/>
        <v>200</v>
      </c>
      <c r="E25" s="211" t="s">
        <v>3</v>
      </c>
      <c r="F25" s="209">
        <f t="shared" si="2"/>
        <v>1400</v>
      </c>
      <c r="G25" s="211" t="s">
        <v>3</v>
      </c>
      <c r="H25" s="208">
        <v>2</v>
      </c>
      <c r="I25" s="210" t="s">
        <v>529</v>
      </c>
      <c r="J25" s="103">
        <v>110</v>
      </c>
      <c r="K25" s="66">
        <v>200</v>
      </c>
      <c r="L25" s="66">
        <v>1400</v>
      </c>
      <c r="M25" s="164">
        <v>12.700528481309341</v>
      </c>
      <c r="N25" s="78">
        <v>3088.7919334064522</v>
      </c>
      <c r="O25" s="113">
        <v>50133.539716570362</v>
      </c>
      <c r="P25" s="113">
        <v>56305.724848533122</v>
      </c>
      <c r="Q25" s="110">
        <v>15133.349716206876</v>
      </c>
      <c r="R25" s="113">
        <v>65266.889432777236</v>
      </c>
      <c r="S25" s="113">
        <v>71439.074564740004</v>
      </c>
      <c r="U25" s="7" t="s">
        <v>6583</v>
      </c>
    </row>
    <row r="26" spans="1:21" ht="16.5" customHeight="1" thickBot="1">
      <c r="A26" s="207" t="s">
        <v>10</v>
      </c>
      <c r="B26" s="211">
        <f t="shared" si="0"/>
        <v>110</v>
      </c>
      <c r="C26" s="211" t="s">
        <v>3</v>
      </c>
      <c r="D26" s="211">
        <f t="shared" si="1"/>
        <v>200</v>
      </c>
      <c r="E26" s="211" t="s">
        <v>3</v>
      </c>
      <c r="F26" s="209">
        <f t="shared" si="2"/>
        <v>1450</v>
      </c>
      <c r="G26" s="211" t="s">
        <v>3</v>
      </c>
      <c r="H26" s="208">
        <v>2</v>
      </c>
      <c r="I26" s="210" t="s">
        <v>529</v>
      </c>
      <c r="J26" s="103">
        <v>110</v>
      </c>
      <c r="K26" s="66">
        <v>200</v>
      </c>
      <c r="L26" s="66">
        <v>1450</v>
      </c>
      <c r="M26" s="164">
        <v>13.08917815034</v>
      </c>
      <c r="N26" s="78">
        <v>3235.8772635686637</v>
      </c>
      <c r="O26" s="113">
        <v>51250.401351599947</v>
      </c>
      <c r="P26" s="113">
        <v>57611.578094996308</v>
      </c>
      <c r="Q26" s="110">
        <v>15524.026032420395</v>
      </c>
      <c r="R26" s="113">
        <v>66774.427384020339</v>
      </c>
      <c r="S26" s="113">
        <v>73135.604127416707</v>
      </c>
      <c r="U26" s="7" t="s">
        <v>6584</v>
      </c>
    </row>
    <row r="27" spans="1:21" ht="16.5" customHeight="1" thickBot="1">
      <c r="A27" s="207" t="s">
        <v>10</v>
      </c>
      <c r="B27" s="211">
        <f t="shared" si="0"/>
        <v>110</v>
      </c>
      <c r="C27" s="211" t="s">
        <v>3</v>
      </c>
      <c r="D27" s="211">
        <f t="shared" si="1"/>
        <v>200</v>
      </c>
      <c r="E27" s="211" t="s">
        <v>3</v>
      </c>
      <c r="F27" s="209">
        <f t="shared" si="2"/>
        <v>1500</v>
      </c>
      <c r="G27" s="211" t="s">
        <v>3</v>
      </c>
      <c r="H27" s="208">
        <v>2</v>
      </c>
      <c r="I27" s="210" t="s">
        <v>529</v>
      </c>
      <c r="J27" s="103">
        <v>110</v>
      </c>
      <c r="K27" s="66">
        <v>200</v>
      </c>
      <c r="L27" s="66">
        <v>1500</v>
      </c>
      <c r="M27" s="164">
        <v>14.044893941670658</v>
      </c>
      <c r="N27" s="78">
        <v>3382.9625937308756</v>
      </c>
      <c r="O27" s="113">
        <v>52838.385491725086</v>
      </c>
      <c r="P27" s="113">
        <v>59488.607871261476</v>
      </c>
      <c r="Q27" s="110">
        <v>16166.036486417688</v>
      </c>
      <c r="R27" s="113">
        <v>69004.421978142782</v>
      </c>
      <c r="S27" s="113">
        <v>75654.644357679164</v>
      </c>
      <c r="U27" s="7" t="s">
        <v>6585</v>
      </c>
    </row>
    <row r="28" spans="1:21" ht="16.5" customHeight="1" thickBot="1">
      <c r="A28" s="207" t="s">
        <v>10</v>
      </c>
      <c r="B28" s="211">
        <f t="shared" si="0"/>
        <v>110</v>
      </c>
      <c r="C28" s="211" t="s">
        <v>3</v>
      </c>
      <c r="D28" s="211">
        <f t="shared" si="1"/>
        <v>200</v>
      </c>
      <c r="E28" s="211" t="s">
        <v>3</v>
      </c>
      <c r="F28" s="209">
        <f t="shared" si="2"/>
        <v>1550</v>
      </c>
      <c r="G28" s="211" t="s">
        <v>3</v>
      </c>
      <c r="H28" s="208">
        <v>2</v>
      </c>
      <c r="I28" s="210" t="s">
        <v>529</v>
      </c>
      <c r="J28" s="103">
        <v>110</v>
      </c>
      <c r="K28" s="66">
        <v>200</v>
      </c>
      <c r="L28" s="66">
        <v>1550</v>
      </c>
      <c r="M28" s="164">
        <v>14.502543610701313</v>
      </c>
      <c r="N28" s="78">
        <v>3530.047923893088</v>
      </c>
      <c r="O28" s="113">
        <v>53955.246996680216</v>
      </c>
      <c r="P28" s="113">
        <v>60794.461117724662</v>
      </c>
      <c r="Q28" s="110">
        <v>16556.712955659972</v>
      </c>
      <c r="R28" s="113">
        <v>70511.959952340185</v>
      </c>
      <c r="S28" s="113">
        <v>77351.174073384638</v>
      </c>
      <c r="U28" s="7" t="s">
        <v>6586</v>
      </c>
    </row>
    <row r="29" spans="1:21" ht="16.5" customHeight="1" thickBot="1">
      <c r="A29" s="207" t="s">
        <v>10</v>
      </c>
      <c r="B29" s="208">
        <f t="shared" si="0"/>
        <v>110</v>
      </c>
      <c r="C29" s="208" t="s">
        <v>3</v>
      </c>
      <c r="D29" s="208">
        <f t="shared" si="1"/>
        <v>200</v>
      </c>
      <c r="E29" s="208" t="s">
        <v>3</v>
      </c>
      <c r="F29" s="209">
        <f t="shared" si="2"/>
        <v>1600</v>
      </c>
      <c r="G29" s="208" t="s">
        <v>3</v>
      </c>
      <c r="H29" s="208">
        <v>2</v>
      </c>
      <c r="I29" s="210" t="s">
        <v>529</v>
      </c>
      <c r="J29" s="103">
        <v>110</v>
      </c>
      <c r="K29" s="66">
        <v>200</v>
      </c>
      <c r="L29" s="66">
        <v>1600</v>
      </c>
      <c r="M29" s="164">
        <v>14.891193279731972</v>
      </c>
      <c r="N29" s="78">
        <v>3677.1332540552999</v>
      </c>
      <c r="O29" s="113">
        <v>57193.293828660833</v>
      </c>
      <c r="P29" s="113">
        <v>64203.194489797774</v>
      </c>
      <c r="Q29" s="110">
        <v>16947.389271873493</v>
      </c>
      <c r="R29" s="113">
        <v>74140.683100534327</v>
      </c>
      <c r="S29" s="113">
        <v>81150.583761671267</v>
      </c>
      <c r="U29" s="7" t="s">
        <v>6587</v>
      </c>
    </row>
    <row r="30" spans="1:21" ht="16.5" customHeight="1" thickBot="1">
      <c r="A30" s="207" t="s">
        <v>10</v>
      </c>
      <c r="B30" s="211">
        <f t="shared" si="0"/>
        <v>110</v>
      </c>
      <c r="C30" s="211" t="s">
        <v>3</v>
      </c>
      <c r="D30" s="211">
        <f t="shared" si="1"/>
        <v>200</v>
      </c>
      <c r="E30" s="211" t="s">
        <v>3</v>
      </c>
      <c r="F30" s="209">
        <f t="shared" si="2"/>
        <v>1650</v>
      </c>
      <c r="G30" s="211" t="s">
        <v>3</v>
      </c>
      <c r="H30" s="208">
        <v>2</v>
      </c>
      <c r="I30" s="210" t="s">
        <v>529</v>
      </c>
      <c r="J30" s="103">
        <v>110</v>
      </c>
      <c r="K30" s="66">
        <v>200</v>
      </c>
      <c r="L30" s="66">
        <v>1650</v>
      </c>
      <c r="M30" s="164">
        <v>15.334882948762631</v>
      </c>
      <c r="N30" s="78">
        <v>3824.2185842175122</v>
      </c>
      <c r="O30" s="113">
        <v>60706.304000653923</v>
      </c>
      <c r="P30" s="113">
        <v>67884.518521485865</v>
      </c>
      <c r="Q30" s="110">
        <v>17589.399725870782</v>
      </c>
      <c r="R30" s="113">
        <v>78295.703726524705</v>
      </c>
      <c r="S30" s="113">
        <v>85473.918247356647</v>
      </c>
      <c r="U30" s="7" t="s">
        <v>6588</v>
      </c>
    </row>
    <row r="31" spans="1:21" ht="16.5" customHeight="1" thickBot="1">
      <c r="A31" s="207" t="s">
        <v>10</v>
      </c>
      <c r="B31" s="211">
        <f t="shared" si="0"/>
        <v>110</v>
      </c>
      <c r="C31" s="211" t="s">
        <v>3</v>
      </c>
      <c r="D31" s="211">
        <f t="shared" si="1"/>
        <v>200</v>
      </c>
      <c r="E31" s="211" t="s">
        <v>3</v>
      </c>
      <c r="F31" s="209">
        <f t="shared" si="2"/>
        <v>1700</v>
      </c>
      <c r="G31" s="211" t="s">
        <v>3</v>
      </c>
      <c r="H31" s="208">
        <v>2</v>
      </c>
      <c r="I31" s="210" t="s">
        <v>529</v>
      </c>
      <c r="J31" s="103">
        <v>110</v>
      </c>
      <c r="K31" s="66">
        <v>200</v>
      </c>
      <c r="L31" s="66">
        <v>1700</v>
      </c>
      <c r="M31" s="164">
        <v>15.723532617793289</v>
      </c>
      <c r="N31" s="78">
        <v>3971.3039143797241</v>
      </c>
      <c r="O31" s="113">
        <v>61599.554908224978</v>
      </c>
      <c r="P31" s="113">
        <v>68968.690794430251</v>
      </c>
      <c r="Q31" s="110">
        <v>17980.076042084303</v>
      </c>
      <c r="R31" s="113">
        <v>79579.630950309278</v>
      </c>
      <c r="S31" s="113">
        <v>86948.766836514551</v>
      </c>
      <c r="U31" s="7" t="s">
        <v>6589</v>
      </c>
    </row>
    <row r="32" spans="1:21" ht="16.5" customHeight="1" thickBot="1">
      <c r="A32" s="207" t="s">
        <v>10</v>
      </c>
      <c r="B32" s="211">
        <f t="shared" si="0"/>
        <v>110</v>
      </c>
      <c r="C32" s="211" t="s">
        <v>3</v>
      </c>
      <c r="D32" s="211">
        <f t="shared" si="1"/>
        <v>200</v>
      </c>
      <c r="E32" s="211" t="s">
        <v>3</v>
      </c>
      <c r="F32" s="209">
        <f t="shared" si="2"/>
        <v>1750</v>
      </c>
      <c r="G32" s="211" t="s">
        <v>3</v>
      </c>
      <c r="H32" s="208">
        <v>2</v>
      </c>
      <c r="I32" s="210" t="s">
        <v>529</v>
      </c>
      <c r="J32" s="103">
        <v>110</v>
      </c>
      <c r="K32" s="66">
        <v>200</v>
      </c>
      <c r="L32" s="66">
        <v>1750</v>
      </c>
      <c r="M32" s="164">
        <v>16.129222286823946</v>
      </c>
      <c r="N32" s="78">
        <v>4118.3892445419351</v>
      </c>
      <c r="O32" s="113">
        <v>62409.798285003388</v>
      </c>
      <c r="P32" s="113">
        <v>69970.571711202792</v>
      </c>
      <c r="Q32" s="110">
        <v>18622.086496081592</v>
      </c>
      <c r="R32" s="113">
        <v>81031.884781084984</v>
      </c>
      <c r="S32" s="113">
        <v>88592.658207284388</v>
      </c>
      <c r="U32" s="7" t="s">
        <v>6590</v>
      </c>
    </row>
    <row r="33" spans="1:21" ht="16.5" customHeight="1" thickBot="1">
      <c r="A33" s="207" t="s">
        <v>10</v>
      </c>
      <c r="B33" s="211">
        <f t="shared" si="0"/>
        <v>110</v>
      </c>
      <c r="C33" s="211" t="s">
        <v>3</v>
      </c>
      <c r="D33" s="211">
        <f t="shared" si="1"/>
        <v>200</v>
      </c>
      <c r="E33" s="211" t="s">
        <v>3</v>
      </c>
      <c r="F33" s="209">
        <f t="shared" si="2"/>
        <v>1800</v>
      </c>
      <c r="G33" s="211" t="s">
        <v>3</v>
      </c>
      <c r="H33" s="208">
        <v>2</v>
      </c>
      <c r="I33" s="210" t="s">
        <v>529</v>
      </c>
      <c r="J33" s="103">
        <v>110</v>
      </c>
      <c r="K33" s="66">
        <v>200</v>
      </c>
      <c r="L33" s="66">
        <v>1800</v>
      </c>
      <c r="M33" s="164">
        <v>16.586871955854605</v>
      </c>
      <c r="N33" s="78">
        <v>4265.4745747041479</v>
      </c>
      <c r="O33" s="113">
        <v>63303.808437141168</v>
      </c>
      <c r="P33" s="113">
        <v>71055.496656128438</v>
      </c>
      <c r="Q33" s="110">
        <v>19012.762965323876</v>
      </c>
      <c r="R33" s="113">
        <v>82316.571402465052</v>
      </c>
      <c r="S33" s="113">
        <v>90068.259621452307</v>
      </c>
      <c r="U33" s="7" t="s">
        <v>6591</v>
      </c>
    </row>
    <row r="34" spans="1:21" ht="16.5" customHeight="1" thickBot="1">
      <c r="A34" s="207" t="s">
        <v>10</v>
      </c>
      <c r="B34" s="211">
        <f t="shared" si="0"/>
        <v>110</v>
      </c>
      <c r="C34" s="211" t="s">
        <v>3</v>
      </c>
      <c r="D34" s="211">
        <f t="shared" si="1"/>
        <v>200</v>
      </c>
      <c r="E34" s="211" t="s">
        <v>3</v>
      </c>
      <c r="F34" s="209">
        <f t="shared" si="2"/>
        <v>1850</v>
      </c>
      <c r="G34" s="211" t="s">
        <v>3</v>
      </c>
      <c r="H34" s="208">
        <v>2</v>
      </c>
      <c r="I34" s="210" t="s">
        <v>529</v>
      </c>
      <c r="J34" s="103">
        <v>110</v>
      </c>
      <c r="K34" s="66">
        <v>200</v>
      </c>
      <c r="L34" s="66">
        <v>1850</v>
      </c>
      <c r="M34" s="164">
        <v>17.054561624885263</v>
      </c>
      <c r="N34" s="78">
        <v>4412.5599048663598</v>
      </c>
      <c r="O34" s="113">
        <v>64197.766299349896</v>
      </c>
      <c r="P34" s="113">
        <v>72140.369678394098</v>
      </c>
      <c r="Q34" s="110">
        <v>19654.773419321165</v>
      </c>
      <c r="R34" s="113">
        <v>83852.539718671062</v>
      </c>
      <c r="S34" s="113">
        <v>91795.143097715263</v>
      </c>
      <c r="U34" s="7" t="s">
        <v>6592</v>
      </c>
    </row>
    <row r="35" spans="1:21" ht="16.5" customHeight="1" thickBot="1">
      <c r="A35" s="207" t="s">
        <v>10</v>
      </c>
      <c r="B35" s="211">
        <f t="shared" si="0"/>
        <v>110</v>
      </c>
      <c r="C35" s="211" t="s">
        <v>3</v>
      </c>
      <c r="D35" s="211">
        <f t="shared" si="1"/>
        <v>200</v>
      </c>
      <c r="E35" s="211" t="s">
        <v>3</v>
      </c>
      <c r="F35" s="209">
        <f t="shared" si="2"/>
        <v>1900</v>
      </c>
      <c r="G35" s="211" t="s">
        <v>3</v>
      </c>
      <c r="H35" s="208">
        <v>2</v>
      </c>
      <c r="I35" s="210" t="s">
        <v>529</v>
      </c>
      <c r="J35" s="103">
        <v>110</v>
      </c>
      <c r="K35" s="66">
        <v>200</v>
      </c>
      <c r="L35" s="66">
        <v>1900</v>
      </c>
      <c r="M35" s="164">
        <v>17.443211293915919</v>
      </c>
      <c r="N35" s="78">
        <v>4559.6452350285717</v>
      </c>
      <c r="O35" s="113">
        <v>65282.533234424125</v>
      </c>
      <c r="P35" s="113">
        <v>73414.405352344125</v>
      </c>
      <c r="Q35" s="110">
        <v>20045.449735534687</v>
      </c>
      <c r="R35" s="113">
        <v>85327.982969958815</v>
      </c>
      <c r="S35" s="113">
        <v>93459.855087878808</v>
      </c>
      <c r="U35" s="7" t="s">
        <v>6593</v>
      </c>
    </row>
    <row r="36" spans="1:21" ht="16.5" customHeight="1" thickBot="1">
      <c r="A36" s="207" t="s">
        <v>10</v>
      </c>
      <c r="B36" s="211">
        <f t="shared" si="0"/>
        <v>110</v>
      </c>
      <c r="C36" s="211" t="s">
        <v>3</v>
      </c>
      <c r="D36" s="211">
        <f t="shared" si="1"/>
        <v>200</v>
      </c>
      <c r="E36" s="211" t="s">
        <v>3</v>
      </c>
      <c r="F36" s="209">
        <f t="shared" si="2"/>
        <v>1950</v>
      </c>
      <c r="G36" s="211" t="s">
        <v>3</v>
      </c>
      <c r="H36" s="208">
        <v>2</v>
      </c>
      <c r="I36" s="210" t="s">
        <v>529</v>
      </c>
      <c r="J36" s="103">
        <v>110</v>
      </c>
      <c r="K36" s="66">
        <v>200</v>
      </c>
      <c r="L36" s="66">
        <v>1950</v>
      </c>
      <c r="M36" s="164">
        <v>17.985110962946578</v>
      </c>
      <c r="N36" s="78">
        <v>4706.7305651907845</v>
      </c>
      <c r="O36" s="113">
        <v>66540.829762155161</v>
      </c>
      <c r="P36" s="113">
        <v>74860.472781049379</v>
      </c>
      <c r="Q36" s="110">
        <v>20436.126051748208</v>
      </c>
      <c r="R36" s="113">
        <v>86976.955813903362</v>
      </c>
      <c r="S36" s="113">
        <v>95296.598832797579</v>
      </c>
      <c r="U36" s="7" t="s">
        <v>6594</v>
      </c>
    </row>
    <row r="37" spans="1:21" ht="16.5" customHeight="1" thickBot="1">
      <c r="A37" s="207" t="s">
        <v>10</v>
      </c>
      <c r="B37" s="211">
        <f t="shared" si="0"/>
        <v>110</v>
      </c>
      <c r="C37" s="211" t="s">
        <v>3</v>
      </c>
      <c r="D37" s="211">
        <f t="shared" si="1"/>
        <v>200</v>
      </c>
      <c r="E37" s="211" t="s">
        <v>3</v>
      </c>
      <c r="F37" s="209">
        <f t="shared" si="2"/>
        <v>2000</v>
      </c>
      <c r="G37" s="211" t="s">
        <v>3</v>
      </c>
      <c r="H37" s="208">
        <v>2</v>
      </c>
      <c r="I37" s="210" t="s">
        <v>529</v>
      </c>
      <c r="J37" s="103">
        <v>110</v>
      </c>
      <c r="K37" s="66">
        <v>200</v>
      </c>
      <c r="L37" s="66">
        <v>2000</v>
      </c>
      <c r="M37" s="164">
        <v>18.482363031977236</v>
      </c>
      <c r="N37" s="78">
        <v>4853.8158953529955</v>
      </c>
      <c r="O37" s="113">
        <v>67659.634709473074</v>
      </c>
      <c r="P37" s="113">
        <v>76387.83181370105</v>
      </c>
      <c r="Q37" s="110">
        <v>21078.136658774263</v>
      </c>
      <c r="R37" s="113">
        <v>88737.77136824734</v>
      </c>
      <c r="S37" s="113">
        <v>97465.968472475317</v>
      </c>
      <c r="U37" s="7" t="s">
        <v>6595</v>
      </c>
    </row>
    <row r="38" spans="1:21" ht="16.5" customHeight="1" thickBot="1">
      <c r="A38" s="207" t="s">
        <v>10</v>
      </c>
      <c r="B38" s="211">
        <f t="shared" si="0"/>
        <v>110</v>
      </c>
      <c r="C38" s="211" t="s">
        <v>3</v>
      </c>
      <c r="D38" s="211">
        <f t="shared" si="1"/>
        <v>200</v>
      </c>
      <c r="E38" s="211" t="s">
        <v>3</v>
      </c>
      <c r="F38" s="209">
        <f t="shared" si="2"/>
        <v>2050</v>
      </c>
      <c r="G38" s="211" t="s">
        <v>3</v>
      </c>
      <c r="H38" s="208">
        <v>2</v>
      </c>
      <c r="I38" s="210" t="s">
        <v>529</v>
      </c>
      <c r="J38" s="103">
        <v>110</v>
      </c>
      <c r="K38" s="66">
        <v>200</v>
      </c>
      <c r="L38" s="66">
        <v>2050</v>
      </c>
      <c r="M38" s="164">
        <v>18.871012701007896</v>
      </c>
      <c r="N38" s="78">
        <v>5000.9012255152074</v>
      </c>
      <c r="O38" s="113">
        <v>70890.520032440429</v>
      </c>
      <c r="P38" s="113">
        <v>79789.465553942078</v>
      </c>
      <c r="Q38" s="110">
        <v>21468.812974987781</v>
      </c>
      <c r="R38" s="113">
        <v>92359.333007428213</v>
      </c>
      <c r="S38" s="113">
        <v>101258.27852892986</v>
      </c>
      <c r="U38" s="7" t="s">
        <v>6596</v>
      </c>
    </row>
    <row r="39" spans="1:21" ht="16.5" customHeight="1" thickBot="1">
      <c r="A39" s="207" t="s">
        <v>10</v>
      </c>
      <c r="B39" s="208">
        <f t="shared" si="0"/>
        <v>110</v>
      </c>
      <c r="C39" s="208" t="s">
        <v>3</v>
      </c>
      <c r="D39" s="208">
        <f t="shared" si="1"/>
        <v>200</v>
      </c>
      <c r="E39" s="208" t="s">
        <v>3</v>
      </c>
      <c r="F39" s="209">
        <f t="shared" si="2"/>
        <v>2100</v>
      </c>
      <c r="G39" s="208" t="s">
        <v>3</v>
      </c>
      <c r="H39" s="208">
        <v>2</v>
      </c>
      <c r="I39" s="210" t="s">
        <v>529</v>
      </c>
      <c r="J39" s="103">
        <v>110</v>
      </c>
      <c r="K39" s="66">
        <v>200</v>
      </c>
      <c r="L39" s="66">
        <v>2100</v>
      </c>
      <c r="M39" s="164">
        <v>19.276702370038553</v>
      </c>
      <c r="N39" s="78">
        <v>5147.9865556774193</v>
      </c>
      <c r="O39" s="113">
        <v>71851.981331406045</v>
      </c>
      <c r="P39" s="113">
        <v>80941.259585484542</v>
      </c>
      <c r="Q39" s="110">
        <v>22110.823428985073</v>
      </c>
      <c r="R39" s="113">
        <v>93962.804760391125</v>
      </c>
      <c r="S39" s="113">
        <v>103052.08301446962</v>
      </c>
      <c r="U39" s="7" t="s">
        <v>6597</v>
      </c>
    </row>
    <row r="40" spans="1:21" ht="16.5" customHeight="1" thickBot="1">
      <c r="A40" s="207" t="s">
        <v>10</v>
      </c>
      <c r="B40" s="211">
        <f t="shared" si="0"/>
        <v>110</v>
      </c>
      <c r="C40" s="211" t="s">
        <v>3</v>
      </c>
      <c r="D40" s="211">
        <f t="shared" si="1"/>
        <v>200</v>
      </c>
      <c r="E40" s="211" t="s">
        <v>3</v>
      </c>
      <c r="F40" s="209">
        <f t="shared" si="2"/>
        <v>2150</v>
      </c>
      <c r="G40" s="211" t="s">
        <v>3</v>
      </c>
      <c r="H40" s="208">
        <v>2</v>
      </c>
      <c r="I40" s="210" t="s">
        <v>529</v>
      </c>
      <c r="J40" s="103">
        <v>110</v>
      </c>
      <c r="K40" s="66">
        <v>200</v>
      </c>
      <c r="L40" s="66">
        <v>2150</v>
      </c>
      <c r="M40" s="164">
        <v>19.789352039069211</v>
      </c>
      <c r="N40" s="78">
        <v>5295.0718858396312</v>
      </c>
      <c r="O40" s="113">
        <v>72974.345635983496</v>
      </c>
      <c r="P40" s="113">
        <v>82252.567878943897</v>
      </c>
      <c r="Q40" s="110">
        <v>22501.499745198591</v>
      </c>
      <c r="R40" s="113">
        <v>95475.845381182095</v>
      </c>
      <c r="S40" s="113">
        <v>104754.06762414248</v>
      </c>
      <c r="U40" s="7" t="s">
        <v>6598</v>
      </c>
    </row>
    <row r="41" spans="1:21" ht="16.5" customHeight="1" thickBot="1">
      <c r="A41" s="207" t="s">
        <v>10</v>
      </c>
      <c r="B41" s="211">
        <f t="shared" si="0"/>
        <v>110</v>
      </c>
      <c r="C41" s="211" t="s">
        <v>3</v>
      </c>
      <c r="D41" s="211">
        <f t="shared" si="1"/>
        <v>200</v>
      </c>
      <c r="E41" s="211" t="s">
        <v>3</v>
      </c>
      <c r="F41" s="209">
        <f t="shared" si="2"/>
        <v>2200</v>
      </c>
      <c r="G41" s="211" t="s">
        <v>3</v>
      </c>
      <c r="H41" s="208">
        <v>2</v>
      </c>
      <c r="I41" s="210" t="s">
        <v>529</v>
      </c>
      <c r="J41" s="103">
        <v>110</v>
      </c>
      <c r="K41" s="66">
        <v>200</v>
      </c>
      <c r="L41" s="66">
        <v>2200</v>
      </c>
      <c r="M41" s="164">
        <v>20.195041708099868</v>
      </c>
      <c r="N41" s="78">
        <v>5442.1572160018441</v>
      </c>
      <c r="O41" s="113">
        <v>74096.657390483</v>
      </c>
      <c r="P41" s="113">
        <v>83563.824387469125</v>
      </c>
      <c r="Q41" s="110">
        <v>23143.510199195884</v>
      </c>
      <c r="R41" s="113">
        <v>97240.16758967888</v>
      </c>
      <c r="S41" s="113">
        <v>106707.33458666501</v>
      </c>
      <c r="U41" s="7" t="s">
        <v>6599</v>
      </c>
    </row>
    <row r="42" spans="1:21" ht="16.5" customHeight="1" thickBot="1">
      <c r="A42" s="207" t="s">
        <v>10</v>
      </c>
      <c r="B42" s="211">
        <f t="shared" si="0"/>
        <v>110</v>
      </c>
      <c r="C42" s="211" t="s">
        <v>3</v>
      </c>
      <c r="D42" s="211">
        <f t="shared" si="1"/>
        <v>200</v>
      </c>
      <c r="E42" s="211" t="s">
        <v>3</v>
      </c>
      <c r="F42" s="209">
        <f t="shared" si="2"/>
        <v>2250</v>
      </c>
      <c r="G42" s="211" t="s">
        <v>3</v>
      </c>
      <c r="H42" s="208">
        <v>2</v>
      </c>
      <c r="I42" s="210" t="s">
        <v>529</v>
      </c>
      <c r="J42" s="103">
        <v>110</v>
      </c>
      <c r="K42" s="66">
        <v>200</v>
      </c>
      <c r="L42" s="66">
        <v>2250</v>
      </c>
      <c r="M42" s="164">
        <v>20.583691377130524</v>
      </c>
      <c r="N42" s="78">
        <v>5589.2425461640551</v>
      </c>
      <c r="O42" s="113">
        <v>75567.345204031546</v>
      </c>
      <c r="P42" s="113">
        <v>85220.450460106484</v>
      </c>
      <c r="Q42" s="110">
        <v>23534.186668438168</v>
      </c>
      <c r="R42" s="113">
        <v>99101.531872469714</v>
      </c>
      <c r="S42" s="113">
        <v>108754.63712854465</v>
      </c>
      <c r="U42" s="7" t="s">
        <v>6600</v>
      </c>
    </row>
    <row r="43" spans="1:21" ht="16.5" customHeight="1" thickBot="1">
      <c r="A43" s="207" t="s">
        <v>10</v>
      </c>
      <c r="B43" s="211">
        <f t="shared" si="0"/>
        <v>110</v>
      </c>
      <c r="C43" s="211" t="s">
        <v>3</v>
      </c>
      <c r="D43" s="211">
        <f t="shared" si="1"/>
        <v>200</v>
      </c>
      <c r="E43" s="211" t="s">
        <v>3</v>
      </c>
      <c r="F43" s="209">
        <f t="shared" si="2"/>
        <v>2300</v>
      </c>
      <c r="G43" s="211" t="s">
        <v>3</v>
      </c>
      <c r="H43" s="208">
        <v>2</v>
      </c>
      <c r="I43" s="210" t="s">
        <v>529</v>
      </c>
      <c r="J43" s="103">
        <v>110</v>
      </c>
      <c r="K43" s="66">
        <v>200</v>
      </c>
      <c r="L43" s="66">
        <v>2300</v>
      </c>
      <c r="M43" s="164">
        <v>20.972341046161183</v>
      </c>
      <c r="N43" s="78">
        <v>5736.3278763262679</v>
      </c>
      <c r="O43" s="113">
        <v>76424.89002460755</v>
      </c>
      <c r="P43" s="113">
        <v>86269.224700611478</v>
      </c>
      <c r="Q43" s="110">
        <v>23924.862984651689</v>
      </c>
      <c r="R43" s="113">
        <v>100349.75300925924</v>
      </c>
      <c r="S43" s="113">
        <v>110194.08768526316</v>
      </c>
      <c r="U43" s="7" t="s">
        <v>6601</v>
      </c>
    </row>
    <row r="44" spans="1:21" ht="16.5" customHeight="1" thickBot="1">
      <c r="A44" s="207" t="s">
        <v>10</v>
      </c>
      <c r="B44" s="211">
        <f t="shared" si="0"/>
        <v>110</v>
      </c>
      <c r="C44" s="211" t="s">
        <v>3</v>
      </c>
      <c r="D44" s="211">
        <f t="shared" si="1"/>
        <v>200</v>
      </c>
      <c r="E44" s="211" t="s">
        <v>3</v>
      </c>
      <c r="F44" s="209">
        <f t="shared" si="2"/>
        <v>2350</v>
      </c>
      <c r="G44" s="211" t="s">
        <v>3</v>
      </c>
      <c r="H44" s="208">
        <v>2</v>
      </c>
      <c r="I44" s="210" t="s">
        <v>529</v>
      </c>
      <c r="J44" s="103">
        <v>110</v>
      </c>
      <c r="K44" s="66">
        <v>200</v>
      </c>
      <c r="L44" s="66">
        <v>2350</v>
      </c>
      <c r="M44" s="164">
        <v>21.378030715191841</v>
      </c>
      <c r="N44" s="78">
        <v>5883.4132064884798</v>
      </c>
      <c r="O44" s="113">
        <v>77282.382425180069</v>
      </c>
      <c r="P44" s="113">
        <v>87317.947018456456</v>
      </c>
      <c r="Q44" s="110">
        <v>24566.873438648978</v>
      </c>
      <c r="R44" s="113">
        <v>101849.25586382905</v>
      </c>
      <c r="S44" s="113">
        <v>111884.82045710544</v>
      </c>
      <c r="U44" s="7" t="s">
        <v>6602</v>
      </c>
    </row>
    <row r="45" spans="1:21" ht="16.5" customHeight="1" thickBot="1">
      <c r="A45" s="207" t="s">
        <v>10</v>
      </c>
      <c r="B45" s="211">
        <f t="shared" si="0"/>
        <v>110</v>
      </c>
      <c r="C45" s="211" t="s">
        <v>3</v>
      </c>
      <c r="D45" s="211">
        <f t="shared" si="1"/>
        <v>200</v>
      </c>
      <c r="E45" s="211" t="s">
        <v>3</v>
      </c>
      <c r="F45" s="209">
        <f t="shared" si="2"/>
        <v>2400</v>
      </c>
      <c r="G45" s="211" t="s">
        <v>3</v>
      </c>
      <c r="H45" s="208">
        <v>2</v>
      </c>
      <c r="I45" s="210" t="s">
        <v>529</v>
      </c>
      <c r="J45" s="103">
        <v>110</v>
      </c>
      <c r="K45" s="66">
        <v>200</v>
      </c>
      <c r="L45" s="66">
        <v>2400</v>
      </c>
      <c r="M45" s="164">
        <v>21.7666803842225</v>
      </c>
      <c r="N45" s="78">
        <v>6030.4985366506908</v>
      </c>
      <c r="O45" s="113">
        <v>78139.822405749088</v>
      </c>
      <c r="P45" s="113">
        <v>88366.617275915531</v>
      </c>
      <c r="Q45" s="110">
        <v>24957.549754862499</v>
      </c>
      <c r="R45" s="113">
        <v>103097.37216061159</v>
      </c>
      <c r="S45" s="113">
        <v>113324.16703077803</v>
      </c>
      <c r="U45" s="7" t="s">
        <v>6603</v>
      </c>
    </row>
    <row r="46" spans="1:21" ht="16.5" customHeight="1" thickBot="1">
      <c r="A46" s="207" t="s">
        <v>10</v>
      </c>
      <c r="B46" s="211">
        <f t="shared" si="0"/>
        <v>110</v>
      </c>
      <c r="C46" s="211" t="s">
        <v>3</v>
      </c>
      <c r="D46" s="211">
        <f t="shared" si="1"/>
        <v>200</v>
      </c>
      <c r="E46" s="211" t="s">
        <v>3</v>
      </c>
      <c r="F46" s="209">
        <f t="shared" si="2"/>
        <v>2450</v>
      </c>
      <c r="G46" s="211" t="s">
        <v>3</v>
      </c>
      <c r="H46" s="208">
        <v>2</v>
      </c>
      <c r="I46" s="210" t="s">
        <v>529</v>
      </c>
      <c r="J46" s="103">
        <v>110</v>
      </c>
      <c r="K46" s="66">
        <v>200</v>
      </c>
      <c r="L46" s="66">
        <v>2450</v>
      </c>
      <c r="M46" s="164">
        <v>22.836396175553158</v>
      </c>
      <c r="N46" s="78">
        <v>6177.5838668129045</v>
      </c>
      <c r="O46" s="113">
        <v>79468.332471410176</v>
      </c>
      <c r="P46" s="113">
        <v>89986.412278242467</v>
      </c>
      <c r="Q46" s="110">
        <v>25599.560361888554</v>
      </c>
      <c r="R46" s="113">
        <v>105067.89283329873</v>
      </c>
      <c r="S46" s="113">
        <v>115585.97264013102</v>
      </c>
      <c r="U46" s="7" t="s">
        <v>6604</v>
      </c>
    </row>
    <row r="47" spans="1:21" ht="16.5" customHeight="1" thickBot="1">
      <c r="A47" s="207" t="s">
        <v>10</v>
      </c>
      <c r="B47" s="211">
        <f t="shared" si="0"/>
        <v>110</v>
      </c>
      <c r="C47" s="211" t="s">
        <v>3</v>
      </c>
      <c r="D47" s="211">
        <f t="shared" si="1"/>
        <v>200</v>
      </c>
      <c r="E47" s="211" t="s">
        <v>3</v>
      </c>
      <c r="F47" s="209">
        <f t="shared" si="2"/>
        <v>2500</v>
      </c>
      <c r="G47" s="211" t="s">
        <v>3</v>
      </c>
      <c r="H47" s="208">
        <v>2</v>
      </c>
      <c r="I47" s="210" t="s">
        <v>529</v>
      </c>
      <c r="J47" s="103">
        <v>110</v>
      </c>
      <c r="K47" s="66">
        <v>200</v>
      </c>
      <c r="L47" s="66">
        <v>2500</v>
      </c>
      <c r="M47" s="164">
        <v>23.242045844583821</v>
      </c>
      <c r="N47" s="78">
        <v>6324.6691969751155</v>
      </c>
      <c r="O47" s="113">
        <v>80325.667611972211</v>
      </c>
      <c r="P47" s="113">
        <v>91034.978552655652</v>
      </c>
      <c r="Q47" s="110">
        <v>25990.236678102072</v>
      </c>
      <c r="R47" s="113">
        <v>106315.90429007428</v>
      </c>
      <c r="S47" s="113">
        <v>117025.21523075772</v>
      </c>
      <c r="U47" s="7" t="s">
        <v>6605</v>
      </c>
    </row>
    <row r="48" spans="1:21" ht="16.5" customHeight="1" thickBot="1">
      <c r="A48" s="207" t="s">
        <v>10</v>
      </c>
      <c r="B48" s="211">
        <f t="shared" si="0"/>
        <v>110</v>
      </c>
      <c r="C48" s="211" t="s">
        <v>3</v>
      </c>
      <c r="D48" s="211">
        <f t="shared" si="1"/>
        <v>200</v>
      </c>
      <c r="E48" s="211" t="s">
        <v>3</v>
      </c>
      <c r="F48" s="209">
        <f t="shared" si="2"/>
        <v>2550</v>
      </c>
      <c r="G48" s="211" t="s">
        <v>3</v>
      </c>
      <c r="H48" s="208">
        <v>2</v>
      </c>
      <c r="I48" s="210" t="s">
        <v>529</v>
      </c>
      <c r="J48" s="103">
        <v>110</v>
      </c>
      <c r="K48" s="66">
        <v>200</v>
      </c>
      <c r="L48" s="66">
        <v>2550</v>
      </c>
      <c r="M48" s="164">
        <v>23.647735513614471</v>
      </c>
      <c r="N48" s="78">
        <v>6471.7545271373274</v>
      </c>
      <c r="O48" s="113">
        <v>84773.776373779416</v>
      </c>
      <c r="P48" s="113">
        <v>95643.331684269593</v>
      </c>
      <c r="Q48" s="110">
        <v>26632.247132099365</v>
      </c>
      <c r="R48" s="113">
        <v>111406.02350587878</v>
      </c>
      <c r="S48" s="113">
        <v>122275.57881636896</v>
      </c>
      <c r="U48" s="7" t="s">
        <v>6606</v>
      </c>
    </row>
    <row r="49" spans="1:21" ht="16.5" customHeight="1" thickBot="1">
      <c r="A49" s="207" t="s">
        <v>10</v>
      </c>
      <c r="B49" s="208">
        <f t="shared" si="0"/>
        <v>110</v>
      </c>
      <c r="C49" s="208" t="s">
        <v>3</v>
      </c>
      <c r="D49" s="208">
        <f t="shared" si="1"/>
        <v>200</v>
      </c>
      <c r="E49" s="208" t="s">
        <v>3</v>
      </c>
      <c r="F49" s="209">
        <f t="shared" si="2"/>
        <v>2600</v>
      </c>
      <c r="G49" s="208" t="s">
        <v>3</v>
      </c>
      <c r="H49" s="208">
        <v>2</v>
      </c>
      <c r="I49" s="210" t="s">
        <v>529</v>
      </c>
      <c r="J49" s="103">
        <v>110</v>
      </c>
      <c r="K49" s="66">
        <v>200</v>
      </c>
      <c r="L49" s="66">
        <v>2600</v>
      </c>
      <c r="M49" s="164">
        <v>24.036385182645134</v>
      </c>
      <c r="N49" s="78">
        <v>6618.8398572995402</v>
      </c>
      <c r="O49" s="113">
        <v>85925.964538557906</v>
      </c>
      <c r="P49" s="113">
        <v>96984.206558318605</v>
      </c>
      <c r="Q49" s="110">
        <v>27022.923448312882</v>
      </c>
      <c r="R49" s="113">
        <v>112948.88798687079</v>
      </c>
      <c r="S49" s="113">
        <v>124007.13000663149</v>
      </c>
      <c r="U49" s="7" t="s">
        <v>6607</v>
      </c>
    </row>
    <row r="50" spans="1:21" ht="16.5" customHeight="1" thickBot="1">
      <c r="A50" s="207" t="s">
        <v>10</v>
      </c>
      <c r="B50" s="211">
        <f t="shared" si="0"/>
        <v>110</v>
      </c>
      <c r="C50" s="211" t="s">
        <v>3</v>
      </c>
      <c r="D50" s="211">
        <f t="shared" si="1"/>
        <v>200</v>
      </c>
      <c r="E50" s="211" t="s">
        <v>3</v>
      </c>
      <c r="F50" s="209">
        <f t="shared" si="2"/>
        <v>2650</v>
      </c>
      <c r="G50" s="211" t="s">
        <v>3</v>
      </c>
      <c r="H50" s="208">
        <v>2</v>
      </c>
      <c r="I50" s="210" t="s">
        <v>529</v>
      </c>
      <c r="J50" s="103">
        <v>110</v>
      </c>
      <c r="K50" s="66">
        <v>200</v>
      </c>
      <c r="L50" s="66">
        <v>2650</v>
      </c>
      <c r="M50" s="164">
        <v>24.549074851675798</v>
      </c>
      <c r="N50" s="78">
        <v>6765.9251874617512</v>
      </c>
      <c r="O50" s="113">
        <v>86608.777098109087</v>
      </c>
      <c r="P50" s="113">
        <v>97859.756337872997</v>
      </c>
      <c r="Q50" s="110">
        <v>27664.933902310175</v>
      </c>
      <c r="R50" s="113">
        <v>114273.71100041927</v>
      </c>
      <c r="S50" s="113">
        <v>125524.69024018318</v>
      </c>
      <c r="U50" s="7" t="s">
        <v>6608</v>
      </c>
    </row>
    <row r="51" spans="1:21" ht="16.5" customHeight="1" thickBot="1">
      <c r="A51" s="207" t="s">
        <v>10</v>
      </c>
      <c r="B51" s="211">
        <f t="shared" si="0"/>
        <v>110</v>
      </c>
      <c r="C51" s="211" t="s">
        <v>3</v>
      </c>
      <c r="D51" s="211">
        <f t="shared" si="1"/>
        <v>200</v>
      </c>
      <c r="E51" s="211" t="s">
        <v>3</v>
      </c>
      <c r="F51" s="209">
        <f t="shared" si="2"/>
        <v>2700</v>
      </c>
      <c r="G51" s="211" t="s">
        <v>3</v>
      </c>
      <c r="H51" s="208">
        <v>2</v>
      </c>
      <c r="I51" s="210" t="s">
        <v>529</v>
      </c>
      <c r="J51" s="103">
        <v>110</v>
      </c>
      <c r="K51" s="66">
        <v>200</v>
      </c>
      <c r="L51" s="66">
        <v>2700</v>
      </c>
      <c r="M51" s="164">
        <v>24.976974520706452</v>
      </c>
      <c r="N51" s="78">
        <v>6913.010517623964</v>
      </c>
      <c r="O51" s="113">
        <v>87330.100800177272</v>
      </c>
      <c r="P51" s="113">
        <v>98773.48511100965</v>
      </c>
      <c r="Q51" s="110">
        <v>28055.610371552459</v>
      </c>
      <c r="R51" s="113">
        <v>115385.71117172972</v>
      </c>
      <c r="S51" s="113">
        <v>126829.09548256212</v>
      </c>
      <c r="U51" s="7" t="s">
        <v>6609</v>
      </c>
    </row>
    <row r="52" spans="1:21" ht="16.5" customHeight="1" thickBot="1">
      <c r="A52" s="207" t="s">
        <v>10</v>
      </c>
      <c r="B52" s="211">
        <f t="shared" si="0"/>
        <v>110</v>
      </c>
      <c r="C52" s="211" t="s">
        <v>3</v>
      </c>
      <c r="D52" s="211">
        <f t="shared" si="1"/>
        <v>200</v>
      </c>
      <c r="E52" s="211" t="s">
        <v>3</v>
      </c>
      <c r="F52" s="209">
        <f t="shared" si="2"/>
        <v>2750</v>
      </c>
      <c r="G52" s="211" t="s">
        <v>3</v>
      </c>
      <c r="H52" s="208">
        <v>2</v>
      </c>
      <c r="I52" s="210" t="s">
        <v>529</v>
      </c>
      <c r="J52" s="103">
        <v>110</v>
      </c>
      <c r="K52" s="66">
        <v>200</v>
      </c>
      <c r="L52" s="66">
        <v>2750</v>
      </c>
      <c r="M52" s="164">
        <v>25.365624189737112</v>
      </c>
      <c r="N52" s="78">
        <v>7060.0958477861759</v>
      </c>
      <c r="O52" s="113">
        <v>88101.920444469346</v>
      </c>
      <c r="P52" s="113">
        <v>99737.273939235616</v>
      </c>
      <c r="Q52" s="110">
        <v>28446.286687765976</v>
      </c>
      <c r="R52" s="113">
        <v>116548.20713223531</v>
      </c>
      <c r="S52" s="113">
        <v>128183.5606270016</v>
      </c>
      <c r="U52" s="7" t="s">
        <v>6610</v>
      </c>
    </row>
    <row r="53" spans="1:21" ht="16.5" customHeight="1" thickBot="1">
      <c r="A53" s="207" t="s">
        <v>10</v>
      </c>
      <c r="B53" s="211">
        <f t="shared" si="0"/>
        <v>110</v>
      </c>
      <c r="C53" s="211" t="s">
        <v>3</v>
      </c>
      <c r="D53" s="211">
        <f t="shared" si="1"/>
        <v>200</v>
      </c>
      <c r="E53" s="211" t="s">
        <v>3</v>
      </c>
      <c r="F53" s="209">
        <f t="shared" si="2"/>
        <v>2800</v>
      </c>
      <c r="G53" s="211" t="s">
        <v>3</v>
      </c>
      <c r="H53" s="208">
        <v>2</v>
      </c>
      <c r="I53" s="210" t="s">
        <v>529</v>
      </c>
      <c r="J53" s="103">
        <v>110</v>
      </c>
      <c r="K53" s="66">
        <v>200</v>
      </c>
      <c r="L53" s="66">
        <v>2800</v>
      </c>
      <c r="M53" s="164">
        <v>25.771313858767769</v>
      </c>
      <c r="N53" s="78">
        <v>7207.1811779483878</v>
      </c>
      <c r="O53" s="113">
        <v>88783.38751390604</v>
      </c>
      <c r="P53" s="113">
        <v>100611.48998128469</v>
      </c>
      <c r="Q53" s="110">
        <v>29088.297141763269</v>
      </c>
      <c r="R53" s="113">
        <v>117871.68465566931</v>
      </c>
      <c r="S53" s="113">
        <v>129699.78712304795</v>
      </c>
      <c r="U53" s="7" t="s">
        <v>6611</v>
      </c>
    </row>
    <row r="54" spans="1:21" ht="16.5" customHeight="1" thickBot="1">
      <c r="A54" s="207" t="s">
        <v>10</v>
      </c>
      <c r="B54" s="211">
        <f t="shared" si="0"/>
        <v>110</v>
      </c>
      <c r="C54" s="211" t="s">
        <v>3</v>
      </c>
      <c r="D54" s="211">
        <f t="shared" si="1"/>
        <v>200</v>
      </c>
      <c r="E54" s="211" t="s">
        <v>3</v>
      </c>
      <c r="F54" s="209">
        <f t="shared" si="2"/>
        <v>2850</v>
      </c>
      <c r="G54" s="211" t="s">
        <v>3</v>
      </c>
      <c r="H54" s="208">
        <v>2</v>
      </c>
      <c r="I54" s="210" t="s">
        <v>529</v>
      </c>
      <c r="J54" s="103">
        <v>110</v>
      </c>
      <c r="K54" s="66">
        <v>200</v>
      </c>
      <c r="L54" s="66">
        <v>2850</v>
      </c>
      <c r="M54" s="164">
        <v>26.159963527798425</v>
      </c>
      <c r="N54" s="78">
        <v>7354.2665081105997</v>
      </c>
      <c r="O54" s="113">
        <v>89464.802163339278</v>
      </c>
      <c r="P54" s="113">
        <v>101485.65396294785</v>
      </c>
      <c r="Q54" s="110">
        <v>29478.973457976786</v>
      </c>
      <c r="R54" s="113">
        <v>118943.77562131606</v>
      </c>
      <c r="S54" s="113">
        <v>130964.62742092463</v>
      </c>
      <c r="U54" s="7" t="s">
        <v>6612</v>
      </c>
    </row>
    <row r="55" spans="1:21" ht="16.5" customHeight="1" thickBot="1">
      <c r="A55" s="207" t="s">
        <v>10</v>
      </c>
      <c r="B55" s="211">
        <f t="shared" si="0"/>
        <v>110</v>
      </c>
      <c r="C55" s="211" t="s">
        <v>3</v>
      </c>
      <c r="D55" s="211">
        <f t="shared" si="1"/>
        <v>200</v>
      </c>
      <c r="E55" s="211" t="s">
        <v>3</v>
      </c>
      <c r="F55" s="209">
        <f t="shared" si="2"/>
        <v>2900</v>
      </c>
      <c r="G55" s="211" t="s">
        <v>3</v>
      </c>
      <c r="H55" s="208">
        <v>2</v>
      </c>
      <c r="I55" s="210" t="s">
        <v>529</v>
      </c>
      <c r="J55" s="103">
        <v>110</v>
      </c>
      <c r="K55" s="66">
        <v>200</v>
      </c>
      <c r="L55" s="66">
        <v>2900</v>
      </c>
      <c r="M55" s="164">
        <v>26.741653196829077</v>
      </c>
      <c r="N55" s="78">
        <v>7501.3518382728116</v>
      </c>
      <c r="O55" s="113">
        <v>90146.164392769002</v>
      </c>
      <c r="P55" s="113">
        <v>102359.76588422514</v>
      </c>
      <c r="Q55" s="110">
        <v>30120.983911974079</v>
      </c>
      <c r="R55" s="113">
        <v>120267.14830474308</v>
      </c>
      <c r="S55" s="113">
        <v>132480.7497961992</v>
      </c>
      <c r="U55" s="7" t="s">
        <v>6613</v>
      </c>
    </row>
    <row r="56" spans="1:21" ht="16.5" customHeight="1" thickBot="1">
      <c r="A56" s="207" t="s">
        <v>10</v>
      </c>
      <c r="B56" s="211">
        <f t="shared" si="0"/>
        <v>110</v>
      </c>
      <c r="C56" s="211" t="s">
        <v>3</v>
      </c>
      <c r="D56" s="211">
        <f t="shared" si="1"/>
        <v>200</v>
      </c>
      <c r="E56" s="211" t="s">
        <v>3</v>
      </c>
      <c r="F56" s="209">
        <f t="shared" si="2"/>
        <v>2950</v>
      </c>
      <c r="G56" s="211" t="s">
        <v>3</v>
      </c>
      <c r="H56" s="208">
        <v>2</v>
      </c>
      <c r="I56" s="210" t="s">
        <v>529</v>
      </c>
      <c r="J56" s="103">
        <v>110</v>
      </c>
      <c r="K56" s="66">
        <v>200</v>
      </c>
      <c r="L56" s="66">
        <v>2950</v>
      </c>
      <c r="M56" s="164">
        <v>27.13030286585974</v>
      </c>
      <c r="N56" s="78">
        <v>7648.4371684350244</v>
      </c>
      <c r="O56" s="113">
        <v>90827.474072120778</v>
      </c>
      <c r="P56" s="113">
        <v>103233.82602056829</v>
      </c>
      <c r="Q56" s="110">
        <v>30511.660381216363</v>
      </c>
      <c r="R56" s="113">
        <v>121339.13445333714</v>
      </c>
      <c r="S56" s="113">
        <v>133745.48640178464</v>
      </c>
      <c r="U56" s="7" t="s">
        <v>6614</v>
      </c>
    </row>
    <row r="57" spans="1:21" ht="16.5" customHeight="1" thickBot="1">
      <c r="A57" s="212" t="s">
        <v>10</v>
      </c>
      <c r="B57" s="213">
        <f t="shared" si="0"/>
        <v>110</v>
      </c>
      <c r="C57" s="213" t="s">
        <v>3</v>
      </c>
      <c r="D57" s="213">
        <f t="shared" si="1"/>
        <v>200</v>
      </c>
      <c r="E57" s="213" t="s">
        <v>3</v>
      </c>
      <c r="F57" s="214">
        <f t="shared" si="2"/>
        <v>3000</v>
      </c>
      <c r="G57" s="213" t="s">
        <v>3</v>
      </c>
      <c r="H57" s="215">
        <v>2</v>
      </c>
      <c r="I57" s="210" t="s">
        <v>529</v>
      </c>
      <c r="J57" s="287">
        <v>110</v>
      </c>
      <c r="K57" s="266">
        <v>200</v>
      </c>
      <c r="L57" s="266">
        <v>3000</v>
      </c>
      <c r="M57" s="249">
        <v>27.535992534890397</v>
      </c>
      <c r="N57" s="250">
        <v>7795.5224985972354</v>
      </c>
      <c r="O57" s="251">
        <v>93380.083572216463</v>
      </c>
      <c r="P57" s="251">
        <v>105963.03721168928</v>
      </c>
      <c r="Q57" s="252">
        <v>31153.670835213656</v>
      </c>
      <c r="R57" s="251">
        <v>124533.75440743013</v>
      </c>
      <c r="S57" s="251">
        <v>137116.70804690293</v>
      </c>
      <c r="U57" s="7" t="s">
        <v>6615</v>
      </c>
    </row>
    <row r="58" spans="1:21" ht="22.5" customHeight="1" thickBot="1">
      <c r="A58" s="2968" t="s">
        <v>45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69"/>
      <c r="R58" s="2969"/>
      <c r="S58" s="2970"/>
    </row>
    <row r="59" spans="1:21" ht="16.5" customHeight="1" thickBot="1">
      <c r="A59" s="3015" t="s">
        <v>112</v>
      </c>
      <c r="B59" s="3016"/>
      <c r="C59" s="3016"/>
      <c r="D59" s="3016"/>
      <c r="E59" s="3016"/>
      <c r="F59" s="3016"/>
      <c r="G59" s="3016"/>
      <c r="H59" s="3016"/>
      <c r="I59" s="3016"/>
      <c r="J59" s="3016"/>
      <c r="K59" s="3016"/>
      <c r="L59" s="3016"/>
      <c r="M59" s="3016"/>
      <c r="N59" s="3016"/>
      <c r="O59" s="3016"/>
      <c r="P59" s="3016"/>
      <c r="Q59" s="3016"/>
      <c r="R59" s="3016"/>
      <c r="S59" s="3017"/>
    </row>
    <row r="60" spans="1:21" ht="16.5" customHeight="1" thickBot="1">
      <c r="A60" s="207" t="s">
        <v>10</v>
      </c>
      <c r="B60" s="208">
        <f t="shared" ref="B60:B106" si="3">J60</f>
        <v>110</v>
      </c>
      <c r="C60" s="208" t="s">
        <v>3</v>
      </c>
      <c r="D60" s="208">
        <f t="shared" ref="D60:D106" si="4">K60</f>
        <v>260</v>
      </c>
      <c r="E60" s="208" t="s">
        <v>3</v>
      </c>
      <c r="F60" s="209">
        <f t="shared" ref="F60:F106" si="5">L60</f>
        <v>700</v>
      </c>
      <c r="G60" s="208" t="s">
        <v>3</v>
      </c>
      <c r="H60" s="208">
        <v>2</v>
      </c>
      <c r="I60" s="210" t="s">
        <v>529</v>
      </c>
      <c r="J60" s="286">
        <v>110</v>
      </c>
      <c r="K60" s="271">
        <v>260</v>
      </c>
      <c r="L60" s="271">
        <v>700</v>
      </c>
      <c r="M60" s="245">
        <v>7.6921225462485516</v>
      </c>
      <c r="N60" s="246">
        <v>1300.1297400000001</v>
      </c>
      <c r="O60" s="247">
        <v>28568.969542709165</v>
      </c>
      <c r="P60" s="247">
        <v>32829.312399931339</v>
      </c>
      <c r="Q60" s="248">
        <v>9406.5237862097401</v>
      </c>
      <c r="R60" s="247">
        <v>37975.493328918907</v>
      </c>
      <c r="S60" s="247">
        <v>42235.836186141081</v>
      </c>
      <c r="U60" s="7" t="s">
        <v>6616</v>
      </c>
    </row>
    <row r="61" spans="1:21" ht="16.5" customHeight="1" thickBot="1">
      <c r="A61" s="207" t="s">
        <v>10</v>
      </c>
      <c r="B61" s="211">
        <f t="shared" si="3"/>
        <v>110</v>
      </c>
      <c r="C61" s="211" t="s">
        <v>3</v>
      </c>
      <c r="D61" s="211">
        <f t="shared" si="4"/>
        <v>260</v>
      </c>
      <c r="E61" s="211" t="s">
        <v>3</v>
      </c>
      <c r="F61" s="209">
        <f t="shared" si="5"/>
        <v>750</v>
      </c>
      <c r="G61" s="211" t="s">
        <v>3</v>
      </c>
      <c r="H61" s="208">
        <v>2</v>
      </c>
      <c r="I61" s="210" t="s">
        <v>529</v>
      </c>
      <c r="J61" s="103">
        <v>110</v>
      </c>
      <c r="K61" s="66">
        <v>260</v>
      </c>
      <c r="L61" s="66">
        <v>750</v>
      </c>
      <c r="M61" s="164">
        <v>8.128552777121314</v>
      </c>
      <c r="N61" s="78">
        <v>1485.8625599999998</v>
      </c>
      <c r="O61" s="113">
        <v>30262.890087363503</v>
      </c>
      <c r="P61" s="113">
        <v>34738.727454822518</v>
      </c>
      <c r="Q61" s="110">
        <v>9876.9793536897032</v>
      </c>
      <c r="R61" s="113">
        <v>40139.869441053204</v>
      </c>
      <c r="S61" s="113">
        <v>44615.706808512223</v>
      </c>
      <c r="U61" s="7" t="s">
        <v>6617</v>
      </c>
    </row>
    <row r="62" spans="1:21" ht="16.5" customHeight="1" thickBot="1">
      <c r="A62" s="207" t="s">
        <v>10</v>
      </c>
      <c r="B62" s="211">
        <f t="shared" si="3"/>
        <v>110</v>
      </c>
      <c r="C62" s="211" t="s">
        <v>3</v>
      </c>
      <c r="D62" s="211">
        <f t="shared" si="4"/>
        <v>260</v>
      </c>
      <c r="E62" s="211" t="s">
        <v>3</v>
      </c>
      <c r="F62" s="209">
        <f t="shared" si="5"/>
        <v>800</v>
      </c>
      <c r="G62" s="211" t="s">
        <v>3</v>
      </c>
      <c r="H62" s="208">
        <v>2</v>
      </c>
      <c r="I62" s="210" t="s">
        <v>529</v>
      </c>
      <c r="J62" s="103">
        <v>110</v>
      </c>
      <c r="K62" s="66">
        <v>260</v>
      </c>
      <c r="L62" s="66">
        <v>800</v>
      </c>
      <c r="M62" s="164">
        <v>8.5649830079940781</v>
      </c>
      <c r="N62" s="78">
        <v>1671.59538</v>
      </c>
      <c r="O62" s="113">
        <v>31956.810762092293</v>
      </c>
      <c r="P62" s="113">
        <v>36648.142509713696</v>
      </c>
      <c r="Q62" s="110">
        <v>10347.434921169664</v>
      </c>
      <c r="R62" s="113">
        <v>42304.245683261957</v>
      </c>
      <c r="S62" s="113">
        <v>46995.577430883364</v>
      </c>
      <c r="U62" s="7" t="s">
        <v>6618</v>
      </c>
    </row>
    <row r="63" spans="1:21" ht="16.5" customHeight="1" thickBot="1">
      <c r="A63" s="207" t="s">
        <v>10</v>
      </c>
      <c r="B63" s="211">
        <f t="shared" si="3"/>
        <v>110</v>
      </c>
      <c r="C63" s="211" t="s">
        <v>3</v>
      </c>
      <c r="D63" s="211">
        <f t="shared" si="4"/>
        <v>260</v>
      </c>
      <c r="E63" s="211" t="s">
        <v>3</v>
      </c>
      <c r="F63" s="209">
        <f t="shared" si="5"/>
        <v>850</v>
      </c>
      <c r="G63" s="211" t="s">
        <v>3</v>
      </c>
      <c r="H63" s="208">
        <v>2</v>
      </c>
      <c r="I63" s="210" t="s">
        <v>529</v>
      </c>
      <c r="J63" s="103">
        <v>110</v>
      </c>
      <c r="K63" s="66">
        <v>260</v>
      </c>
      <c r="L63" s="66">
        <v>850</v>
      </c>
      <c r="M63" s="164">
        <v>9.0184532388668419</v>
      </c>
      <c r="N63" s="78">
        <v>1857.3281999999999</v>
      </c>
      <c r="O63" s="113">
        <v>33650.731306746624</v>
      </c>
      <c r="P63" s="113">
        <v>38557.557564604875</v>
      </c>
      <c r="Q63" s="110">
        <v>11069.224626433395</v>
      </c>
      <c r="R63" s="113">
        <v>44719.955933180019</v>
      </c>
      <c r="S63" s="113">
        <v>49626.78219103827</v>
      </c>
      <c r="U63" s="7" t="s">
        <v>6619</v>
      </c>
    </row>
    <row r="64" spans="1:21" ht="16.5" customHeight="1" thickBot="1">
      <c r="A64" s="207" t="s">
        <v>10</v>
      </c>
      <c r="B64" s="211">
        <f t="shared" si="3"/>
        <v>110</v>
      </c>
      <c r="C64" s="211" t="s">
        <v>3</v>
      </c>
      <c r="D64" s="211">
        <f t="shared" si="4"/>
        <v>260</v>
      </c>
      <c r="E64" s="211" t="s">
        <v>3</v>
      </c>
      <c r="F64" s="209">
        <f t="shared" si="5"/>
        <v>900</v>
      </c>
      <c r="G64" s="211" t="s">
        <v>3</v>
      </c>
      <c r="H64" s="208">
        <v>2</v>
      </c>
      <c r="I64" s="210" t="s">
        <v>529</v>
      </c>
      <c r="J64" s="103">
        <v>110</v>
      </c>
      <c r="K64" s="66">
        <v>260</v>
      </c>
      <c r="L64" s="66">
        <v>900</v>
      </c>
      <c r="M64" s="164">
        <v>9.4928834697396045</v>
      </c>
      <c r="N64" s="78">
        <v>2043.0610200000001</v>
      </c>
      <c r="O64" s="113">
        <v>35344.651851400966</v>
      </c>
      <c r="P64" s="113">
        <v>40466.972619496053</v>
      </c>
      <c r="Q64" s="110">
        <v>11539.680193913358</v>
      </c>
      <c r="R64" s="113">
        <v>46884.332045314324</v>
      </c>
      <c r="S64" s="113">
        <v>52006.652813409411</v>
      </c>
      <c r="U64" s="7" t="s">
        <v>6620</v>
      </c>
    </row>
    <row r="65" spans="1:21" ht="16.5" customHeight="1" thickBot="1">
      <c r="A65" s="207" t="s">
        <v>10</v>
      </c>
      <c r="B65" s="211">
        <f t="shared" si="3"/>
        <v>110</v>
      </c>
      <c r="C65" s="211" t="s">
        <v>3</v>
      </c>
      <c r="D65" s="211">
        <f t="shared" si="4"/>
        <v>260</v>
      </c>
      <c r="E65" s="211" t="s">
        <v>3</v>
      </c>
      <c r="F65" s="209">
        <f t="shared" si="5"/>
        <v>950</v>
      </c>
      <c r="G65" s="211" t="s">
        <v>3</v>
      </c>
      <c r="H65" s="208">
        <v>2</v>
      </c>
      <c r="I65" s="210" t="s">
        <v>529</v>
      </c>
      <c r="J65" s="103">
        <v>110</v>
      </c>
      <c r="K65" s="66">
        <v>260</v>
      </c>
      <c r="L65" s="66">
        <v>950</v>
      </c>
      <c r="M65" s="164">
        <v>10.015353700612369</v>
      </c>
      <c r="N65" s="78">
        <v>2228.7938399999998</v>
      </c>
      <c r="O65" s="113">
        <v>37038.572526129756</v>
      </c>
      <c r="P65" s="113">
        <v>42376.387674387232</v>
      </c>
      <c r="Q65" s="110">
        <v>12261.469899177091</v>
      </c>
      <c r="R65" s="113">
        <v>49300.042425306849</v>
      </c>
      <c r="S65" s="113">
        <v>54637.857573564324</v>
      </c>
      <c r="U65" s="7" t="s">
        <v>6621</v>
      </c>
    </row>
    <row r="66" spans="1:21" ht="16.5" customHeight="1" thickBot="1">
      <c r="A66" s="207" t="s">
        <v>10</v>
      </c>
      <c r="B66" s="211">
        <f t="shared" si="3"/>
        <v>110</v>
      </c>
      <c r="C66" s="211" t="s">
        <v>3</v>
      </c>
      <c r="D66" s="211">
        <f t="shared" si="4"/>
        <v>260</v>
      </c>
      <c r="E66" s="211" t="s">
        <v>3</v>
      </c>
      <c r="F66" s="209">
        <f t="shared" si="5"/>
        <v>1000</v>
      </c>
      <c r="G66" s="211" t="s">
        <v>3</v>
      </c>
      <c r="H66" s="208">
        <v>2</v>
      </c>
      <c r="I66" s="210" t="s">
        <v>529</v>
      </c>
      <c r="J66" s="103">
        <v>110</v>
      </c>
      <c r="K66" s="66">
        <v>260</v>
      </c>
      <c r="L66" s="66">
        <v>1000</v>
      </c>
      <c r="M66" s="164">
        <v>10.451783931485133</v>
      </c>
      <c r="N66" s="78">
        <v>2414.52666</v>
      </c>
      <c r="O66" s="113">
        <v>38628.799149779043</v>
      </c>
      <c r="P66" s="113">
        <v>44183.003575114482</v>
      </c>
      <c r="Q66" s="110">
        <v>12731.925466657052</v>
      </c>
      <c r="R66" s="113">
        <v>51360.724616436099</v>
      </c>
      <c r="S66" s="113">
        <v>56914.929041771538</v>
      </c>
      <c r="U66" s="7" t="s">
        <v>6622</v>
      </c>
    </row>
    <row r="67" spans="1:21" ht="16.5" customHeight="1" thickBot="1">
      <c r="A67" s="207" t="s">
        <v>10</v>
      </c>
      <c r="B67" s="211">
        <f t="shared" si="3"/>
        <v>110</v>
      </c>
      <c r="C67" s="211" t="s">
        <v>3</v>
      </c>
      <c r="D67" s="211">
        <f t="shared" si="4"/>
        <v>260</v>
      </c>
      <c r="E67" s="211" t="s">
        <v>3</v>
      </c>
      <c r="F67" s="209">
        <f t="shared" si="5"/>
        <v>1050</v>
      </c>
      <c r="G67" s="211" t="s">
        <v>3</v>
      </c>
      <c r="H67" s="208">
        <v>2</v>
      </c>
      <c r="I67" s="210" t="s">
        <v>529</v>
      </c>
      <c r="J67" s="103">
        <v>110</v>
      </c>
      <c r="K67" s="66">
        <v>260</v>
      </c>
      <c r="L67" s="66">
        <v>1050</v>
      </c>
      <c r="M67" s="164">
        <v>10.905254162357895</v>
      </c>
      <c r="N67" s="78">
        <v>2600.2594800000002</v>
      </c>
      <c r="O67" s="113">
        <v>40568.992903154125</v>
      </c>
      <c r="P67" s="113">
        <v>46336.566552282042</v>
      </c>
      <c r="Q67" s="110">
        <v>13453.71501889202</v>
      </c>
      <c r="R67" s="113">
        <v>54022.707922046146</v>
      </c>
      <c r="S67" s="113">
        <v>59790.281571174062</v>
      </c>
      <c r="U67" s="7" t="s">
        <v>6623</v>
      </c>
    </row>
    <row r="68" spans="1:21" ht="16.5" customHeight="1" thickBot="1">
      <c r="A68" s="207" t="s">
        <v>10</v>
      </c>
      <c r="B68" s="208">
        <f t="shared" si="3"/>
        <v>110</v>
      </c>
      <c r="C68" s="208" t="s">
        <v>3</v>
      </c>
      <c r="D68" s="208">
        <f t="shared" si="4"/>
        <v>260</v>
      </c>
      <c r="E68" s="208" t="s">
        <v>3</v>
      </c>
      <c r="F68" s="209">
        <f t="shared" si="5"/>
        <v>1100</v>
      </c>
      <c r="G68" s="208" t="s">
        <v>3</v>
      </c>
      <c r="H68" s="208">
        <v>2</v>
      </c>
      <c r="I68" s="210" t="s">
        <v>529</v>
      </c>
      <c r="J68" s="103">
        <v>110</v>
      </c>
      <c r="K68" s="66">
        <v>260</v>
      </c>
      <c r="L68" s="66">
        <v>1100</v>
      </c>
      <c r="M68" s="164">
        <v>11.341684393230658</v>
      </c>
      <c r="N68" s="78">
        <v>2785.9922999999999</v>
      </c>
      <c r="O68" s="113">
        <v>42262.91344780846</v>
      </c>
      <c r="P68" s="113">
        <v>48245.98160717322</v>
      </c>
      <c r="Q68" s="110">
        <v>13924.170586371982</v>
      </c>
      <c r="R68" s="113">
        <v>56187.084034180443</v>
      </c>
      <c r="S68" s="113">
        <v>62170.152193545204</v>
      </c>
      <c r="U68" s="7" t="s">
        <v>6624</v>
      </c>
    </row>
    <row r="69" spans="1:21" ht="16.5" customHeight="1" thickBot="1">
      <c r="A69" s="207" t="s">
        <v>10</v>
      </c>
      <c r="B69" s="211">
        <f t="shared" si="3"/>
        <v>110</v>
      </c>
      <c r="C69" s="211" t="s">
        <v>3</v>
      </c>
      <c r="D69" s="211">
        <f t="shared" si="4"/>
        <v>260</v>
      </c>
      <c r="E69" s="211" t="s">
        <v>3</v>
      </c>
      <c r="F69" s="209">
        <f t="shared" si="5"/>
        <v>1150</v>
      </c>
      <c r="G69" s="211" t="s">
        <v>3</v>
      </c>
      <c r="H69" s="208">
        <v>2</v>
      </c>
      <c r="I69" s="210" t="s">
        <v>529</v>
      </c>
      <c r="J69" s="103">
        <v>110</v>
      </c>
      <c r="K69" s="66">
        <v>260</v>
      </c>
      <c r="L69" s="66">
        <v>1150</v>
      </c>
      <c r="M69" s="164">
        <v>11.77811462410342</v>
      </c>
      <c r="N69" s="78">
        <v>2971.7251199999996</v>
      </c>
      <c r="O69" s="113">
        <v>43133.510719179925</v>
      </c>
      <c r="P69" s="113">
        <v>49339.17836896894</v>
      </c>
      <c r="Q69" s="110">
        <v>14394.626153851941</v>
      </c>
      <c r="R69" s="113">
        <v>57528.136873031865</v>
      </c>
      <c r="S69" s="113">
        <v>63733.804522820879</v>
      </c>
      <c r="U69" s="7" t="s">
        <v>6625</v>
      </c>
    </row>
    <row r="70" spans="1:21" ht="16.5" customHeight="1" thickBot="1">
      <c r="A70" s="207" t="s">
        <v>10</v>
      </c>
      <c r="B70" s="211">
        <f t="shared" si="3"/>
        <v>110</v>
      </c>
      <c r="C70" s="211" t="s">
        <v>3</v>
      </c>
      <c r="D70" s="211">
        <f t="shared" si="4"/>
        <v>260</v>
      </c>
      <c r="E70" s="211" t="s">
        <v>3</v>
      </c>
      <c r="F70" s="209">
        <f t="shared" si="5"/>
        <v>1200</v>
      </c>
      <c r="G70" s="211" t="s">
        <v>3</v>
      </c>
      <c r="H70" s="208">
        <v>2</v>
      </c>
      <c r="I70" s="210" t="s">
        <v>529</v>
      </c>
      <c r="J70" s="103">
        <v>110</v>
      </c>
      <c r="K70" s="66">
        <v>260</v>
      </c>
      <c r="L70" s="66">
        <v>1200</v>
      </c>
      <c r="M70" s="164">
        <v>12.446834854976185</v>
      </c>
      <c r="N70" s="78">
        <v>3157.4579399999998</v>
      </c>
      <c r="O70" s="113">
        <v>44042.409583128821</v>
      </c>
      <c r="P70" s="113">
        <v>50470.346020529243</v>
      </c>
      <c r="Q70" s="110">
        <v>15116.415859115676</v>
      </c>
      <c r="R70" s="113">
        <v>59158.825442244495</v>
      </c>
      <c r="S70" s="113">
        <v>65586.761879644924</v>
      </c>
      <c r="U70" s="7" t="s">
        <v>6626</v>
      </c>
    </row>
    <row r="71" spans="1:21" ht="16.5" customHeight="1" thickBot="1">
      <c r="A71" s="207" t="s">
        <v>10</v>
      </c>
      <c r="B71" s="211">
        <f t="shared" si="3"/>
        <v>110</v>
      </c>
      <c r="C71" s="211" t="s">
        <v>3</v>
      </c>
      <c r="D71" s="211">
        <f t="shared" si="4"/>
        <v>260</v>
      </c>
      <c r="E71" s="211" t="s">
        <v>3</v>
      </c>
      <c r="F71" s="209">
        <f t="shared" si="5"/>
        <v>1250</v>
      </c>
      <c r="G71" s="211" t="s">
        <v>3</v>
      </c>
      <c r="H71" s="208">
        <v>2</v>
      </c>
      <c r="I71" s="210" t="s">
        <v>529</v>
      </c>
      <c r="J71" s="103">
        <v>110</v>
      </c>
      <c r="K71" s="66">
        <v>260</v>
      </c>
      <c r="L71" s="66">
        <v>1250</v>
      </c>
      <c r="M71" s="164">
        <v>12.883265085848947</v>
      </c>
      <c r="N71" s="78">
        <v>3343.19076</v>
      </c>
      <c r="O71" s="113">
        <v>44912.482524390893</v>
      </c>
      <c r="P71" s="113">
        <v>51563.02286709546</v>
      </c>
      <c r="Q71" s="110">
        <v>15586.871426595639</v>
      </c>
      <c r="R71" s="113">
        <v>60499.35395098653</v>
      </c>
      <c r="S71" s="113">
        <v>67149.894293691104</v>
      </c>
      <c r="U71" s="7" t="s">
        <v>6627</v>
      </c>
    </row>
    <row r="72" spans="1:21" ht="16.5" customHeight="1" thickBot="1">
      <c r="A72" s="207" t="s">
        <v>10</v>
      </c>
      <c r="B72" s="211">
        <f t="shared" si="3"/>
        <v>110</v>
      </c>
      <c r="C72" s="211" t="s">
        <v>3</v>
      </c>
      <c r="D72" s="211">
        <f t="shared" si="4"/>
        <v>260</v>
      </c>
      <c r="E72" s="211" t="s">
        <v>3</v>
      </c>
      <c r="F72" s="209">
        <f t="shared" si="5"/>
        <v>1300</v>
      </c>
      <c r="G72" s="211" t="s">
        <v>3</v>
      </c>
      <c r="H72" s="208">
        <v>2</v>
      </c>
      <c r="I72" s="210" t="s">
        <v>529</v>
      </c>
      <c r="J72" s="103">
        <v>110</v>
      </c>
      <c r="K72" s="66">
        <v>260</v>
      </c>
      <c r="L72" s="66">
        <v>1300</v>
      </c>
      <c r="M72" s="164">
        <v>13.398735316721712</v>
      </c>
      <c r="N72" s="78">
        <v>3528.9235800000001</v>
      </c>
      <c r="O72" s="113">
        <v>48455.653449411438</v>
      </c>
      <c r="P72" s="113">
        <v>55305.730087805139</v>
      </c>
      <c r="Q72" s="110">
        <v>16308.66113185937</v>
      </c>
      <c r="R72" s="113">
        <v>64764.31458127081</v>
      </c>
      <c r="S72" s="113">
        <v>71614.391219664511</v>
      </c>
      <c r="U72" s="7" t="s">
        <v>6628</v>
      </c>
    </row>
    <row r="73" spans="1:21" ht="16.5" customHeight="1" thickBot="1">
      <c r="A73" s="207" t="s">
        <v>10</v>
      </c>
      <c r="B73" s="211">
        <f t="shared" si="3"/>
        <v>110</v>
      </c>
      <c r="C73" s="211" t="s">
        <v>3</v>
      </c>
      <c r="D73" s="211">
        <f t="shared" si="4"/>
        <v>260</v>
      </c>
      <c r="E73" s="211" t="s">
        <v>3</v>
      </c>
      <c r="F73" s="209">
        <f t="shared" si="5"/>
        <v>1350</v>
      </c>
      <c r="G73" s="211" t="s">
        <v>3</v>
      </c>
      <c r="H73" s="208">
        <v>2</v>
      </c>
      <c r="I73" s="210" t="s">
        <v>529</v>
      </c>
      <c r="J73" s="103">
        <v>110</v>
      </c>
      <c r="K73" s="66">
        <v>260</v>
      </c>
      <c r="L73" s="66">
        <v>1350</v>
      </c>
      <c r="M73" s="164">
        <v>13.835165547594475</v>
      </c>
      <c r="N73" s="78">
        <v>3714.6563999999998</v>
      </c>
      <c r="O73" s="113">
        <v>49597.895601417884</v>
      </c>
      <c r="P73" s="113">
        <v>56668.227375462753</v>
      </c>
      <c r="Q73" s="110">
        <v>16779.116699339331</v>
      </c>
      <c r="R73" s="113">
        <v>66377.012300757211</v>
      </c>
      <c r="S73" s="113">
        <v>73447.34407480208</v>
      </c>
      <c r="U73" s="7" t="s">
        <v>6629</v>
      </c>
    </row>
    <row r="74" spans="1:21" ht="16.5" customHeight="1" thickBot="1">
      <c r="A74" s="207" t="s">
        <v>10</v>
      </c>
      <c r="B74" s="211">
        <f t="shared" si="3"/>
        <v>110</v>
      </c>
      <c r="C74" s="211" t="s">
        <v>3</v>
      </c>
      <c r="D74" s="211">
        <f t="shared" si="4"/>
        <v>260</v>
      </c>
      <c r="E74" s="211" t="s">
        <v>3</v>
      </c>
      <c r="F74" s="209">
        <f t="shared" si="5"/>
        <v>1400</v>
      </c>
      <c r="G74" s="211" t="s">
        <v>3</v>
      </c>
      <c r="H74" s="208">
        <v>2</v>
      </c>
      <c r="I74" s="210" t="s">
        <v>529</v>
      </c>
      <c r="J74" s="103">
        <v>110</v>
      </c>
      <c r="K74" s="66">
        <v>260</v>
      </c>
      <c r="L74" s="66">
        <v>1400</v>
      </c>
      <c r="M74" s="164">
        <v>14.288635778467235</v>
      </c>
      <c r="N74" s="78">
        <v>3900.3892199999996</v>
      </c>
      <c r="O74" s="113">
        <v>51096.585582490217</v>
      </c>
      <c r="P74" s="113">
        <v>58384.096652264452</v>
      </c>
      <c r="Q74" s="110">
        <v>17500.906404603062</v>
      </c>
      <c r="R74" s="113">
        <v>68597.491987093279</v>
      </c>
      <c r="S74" s="113">
        <v>75885.003056867514</v>
      </c>
      <c r="U74" s="7" t="s">
        <v>6630</v>
      </c>
    </row>
    <row r="75" spans="1:21" ht="16.5" customHeight="1" thickBot="1">
      <c r="A75" s="207" t="s">
        <v>10</v>
      </c>
      <c r="B75" s="211">
        <f t="shared" si="3"/>
        <v>110</v>
      </c>
      <c r="C75" s="211" t="s">
        <v>3</v>
      </c>
      <c r="D75" s="211">
        <f t="shared" si="4"/>
        <v>260</v>
      </c>
      <c r="E75" s="211" t="s">
        <v>3</v>
      </c>
      <c r="F75" s="209">
        <f t="shared" si="5"/>
        <v>1450</v>
      </c>
      <c r="G75" s="211" t="s">
        <v>3</v>
      </c>
      <c r="H75" s="208">
        <v>2</v>
      </c>
      <c r="I75" s="210" t="s">
        <v>529</v>
      </c>
      <c r="J75" s="103">
        <v>110</v>
      </c>
      <c r="K75" s="66">
        <v>260</v>
      </c>
      <c r="L75" s="66">
        <v>1450</v>
      </c>
      <c r="M75" s="164">
        <v>14.725066009339997</v>
      </c>
      <c r="N75" s="78">
        <v>4086.1220400000002</v>
      </c>
      <c r="O75" s="113">
        <v>52238.827604422215</v>
      </c>
      <c r="P75" s="113">
        <v>59746.593802196185</v>
      </c>
      <c r="Q75" s="110">
        <v>17971.361972083025</v>
      </c>
      <c r="R75" s="113">
        <v>70210.189576505247</v>
      </c>
      <c r="S75" s="113">
        <v>77717.955774279209</v>
      </c>
      <c r="U75" s="7" t="s">
        <v>6631</v>
      </c>
    </row>
    <row r="76" spans="1:21" ht="16.5" customHeight="1" thickBot="1">
      <c r="A76" s="207" t="s">
        <v>10</v>
      </c>
      <c r="B76" s="211">
        <f t="shared" si="3"/>
        <v>110</v>
      </c>
      <c r="C76" s="211" t="s">
        <v>3</v>
      </c>
      <c r="D76" s="211">
        <f t="shared" si="4"/>
        <v>260</v>
      </c>
      <c r="E76" s="211" t="s">
        <v>3</v>
      </c>
      <c r="F76" s="209">
        <f t="shared" si="5"/>
        <v>1500</v>
      </c>
      <c r="G76" s="211" t="s">
        <v>3</v>
      </c>
      <c r="H76" s="208">
        <v>2</v>
      </c>
      <c r="I76" s="210" t="s">
        <v>529</v>
      </c>
      <c r="J76" s="103">
        <v>110</v>
      </c>
      <c r="K76" s="66">
        <v>260</v>
      </c>
      <c r="L76" s="66">
        <v>1500</v>
      </c>
      <c r="M76" s="164">
        <v>15.764638583512763</v>
      </c>
      <c r="N76" s="78">
        <v>4271.8548599999995</v>
      </c>
      <c r="O76" s="113">
        <v>53901.305642415289</v>
      </c>
      <c r="P76" s="113">
        <v>61773.746862937318</v>
      </c>
      <c r="Q76" s="110">
        <v>18693.151677346756</v>
      </c>
      <c r="R76" s="113">
        <v>72594.457319762048</v>
      </c>
      <c r="S76" s="113">
        <v>80466.898540284077</v>
      </c>
      <c r="U76" s="7" t="s">
        <v>6632</v>
      </c>
    </row>
    <row r="77" spans="1:21" ht="16.5" customHeight="1" thickBot="1">
      <c r="A77" s="207" t="s">
        <v>10</v>
      </c>
      <c r="B77" s="211">
        <f t="shared" si="3"/>
        <v>110</v>
      </c>
      <c r="C77" s="211" t="s">
        <v>3</v>
      </c>
      <c r="D77" s="211">
        <f t="shared" si="4"/>
        <v>260</v>
      </c>
      <c r="E77" s="211" t="s">
        <v>3</v>
      </c>
      <c r="F77" s="209">
        <f t="shared" si="5"/>
        <v>1550</v>
      </c>
      <c r="G77" s="211" t="s">
        <v>3</v>
      </c>
      <c r="H77" s="208">
        <v>2</v>
      </c>
      <c r="I77" s="210" t="s">
        <v>529</v>
      </c>
      <c r="J77" s="103">
        <v>110</v>
      </c>
      <c r="K77" s="66">
        <v>260</v>
      </c>
      <c r="L77" s="66">
        <v>1550</v>
      </c>
      <c r="M77" s="164">
        <v>16.270068814385525</v>
      </c>
      <c r="N77" s="78">
        <v>4457.5876799999996</v>
      </c>
      <c r="O77" s="113">
        <v>55043.547664347279</v>
      </c>
      <c r="P77" s="113">
        <v>63136.244150594939</v>
      </c>
      <c r="Q77" s="110">
        <v>19163.607244826719</v>
      </c>
      <c r="R77" s="113">
        <v>74207.154909174002</v>
      </c>
      <c r="S77" s="113">
        <v>82299.851395421661</v>
      </c>
      <c r="U77" s="7" t="s">
        <v>6633</v>
      </c>
    </row>
    <row r="78" spans="1:21" ht="16.5" customHeight="1" thickBot="1">
      <c r="A78" s="207" t="s">
        <v>10</v>
      </c>
      <c r="B78" s="208">
        <f t="shared" si="3"/>
        <v>110</v>
      </c>
      <c r="C78" s="208" t="s">
        <v>3</v>
      </c>
      <c r="D78" s="208">
        <f t="shared" si="4"/>
        <v>260</v>
      </c>
      <c r="E78" s="208" t="s">
        <v>3</v>
      </c>
      <c r="F78" s="209">
        <f t="shared" si="5"/>
        <v>1600</v>
      </c>
      <c r="G78" s="208" t="s">
        <v>3</v>
      </c>
      <c r="H78" s="208">
        <v>2</v>
      </c>
      <c r="I78" s="210" t="s">
        <v>529</v>
      </c>
      <c r="J78" s="103">
        <v>110</v>
      </c>
      <c r="K78" s="66">
        <v>260</v>
      </c>
      <c r="L78" s="66">
        <v>1600</v>
      </c>
      <c r="M78" s="164">
        <v>16.70649904525829</v>
      </c>
      <c r="N78" s="78">
        <v>4643.3204999999998</v>
      </c>
      <c r="O78" s="113">
        <v>58306.974753155861</v>
      </c>
      <c r="P78" s="113">
        <v>66601.6215638625</v>
      </c>
      <c r="Q78" s="110">
        <v>19634.062812306682</v>
      </c>
      <c r="R78" s="113">
        <v>77941.037565462539</v>
      </c>
      <c r="S78" s="113">
        <v>86235.684376169185</v>
      </c>
      <c r="U78" s="7" t="s">
        <v>6634</v>
      </c>
    </row>
    <row r="79" spans="1:21" ht="16.5" customHeight="1" thickBot="1">
      <c r="A79" s="207" t="s">
        <v>10</v>
      </c>
      <c r="B79" s="211">
        <f t="shared" si="3"/>
        <v>110</v>
      </c>
      <c r="C79" s="211" t="s">
        <v>3</v>
      </c>
      <c r="D79" s="211">
        <f t="shared" si="4"/>
        <v>260</v>
      </c>
      <c r="E79" s="211" t="s">
        <v>3</v>
      </c>
      <c r="F79" s="209">
        <f t="shared" si="5"/>
        <v>1650</v>
      </c>
      <c r="G79" s="211" t="s">
        <v>3</v>
      </c>
      <c r="H79" s="208">
        <v>2</v>
      </c>
      <c r="I79" s="210" t="s">
        <v>529</v>
      </c>
      <c r="J79" s="103">
        <v>110</v>
      </c>
      <c r="K79" s="66">
        <v>260</v>
      </c>
      <c r="L79" s="66">
        <v>1650</v>
      </c>
      <c r="M79" s="164">
        <v>17.197969276131055</v>
      </c>
      <c r="N79" s="78">
        <v>4829.05332</v>
      </c>
      <c r="O79" s="113">
        <v>61845.365442125803</v>
      </c>
      <c r="P79" s="113">
        <v>70339.589636745019</v>
      </c>
      <c r="Q79" s="110">
        <v>20355.852364541646</v>
      </c>
      <c r="R79" s="113">
        <v>82201.217806667453</v>
      </c>
      <c r="S79" s="113">
        <v>90695.442001286661</v>
      </c>
      <c r="U79" s="7" t="s">
        <v>6635</v>
      </c>
    </row>
    <row r="80" spans="1:21" ht="16.5" customHeight="1" thickBot="1">
      <c r="A80" s="207" t="s">
        <v>10</v>
      </c>
      <c r="B80" s="211">
        <f t="shared" si="3"/>
        <v>110</v>
      </c>
      <c r="C80" s="211" t="s">
        <v>3</v>
      </c>
      <c r="D80" s="211">
        <f t="shared" si="4"/>
        <v>260</v>
      </c>
      <c r="E80" s="211" t="s">
        <v>3</v>
      </c>
      <c r="F80" s="209">
        <f t="shared" si="5"/>
        <v>1700</v>
      </c>
      <c r="G80" s="211" t="s">
        <v>3</v>
      </c>
      <c r="H80" s="208">
        <v>2</v>
      </c>
      <c r="I80" s="210" t="s">
        <v>529</v>
      </c>
      <c r="J80" s="103">
        <v>110</v>
      </c>
      <c r="K80" s="66">
        <v>260</v>
      </c>
      <c r="L80" s="66">
        <v>1700</v>
      </c>
      <c r="M80" s="164">
        <v>17.634399507003817</v>
      </c>
      <c r="N80" s="78">
        <v>5014.7861400000002</v>
      </c>
      <c r="O80" s="113">
        <v>62763.996866673719</v>
      </c>
      <c r="P80" s="113">
        <v>71480.405813157951</v>
      </c>
      <c r="Q80" s="110">
        <v>20826.307932021609</v>
      </c>
      <c r="R80" s="113">
        <v>83590.304798695332</v>
      </c>
      <c r="S80" s="113">
        <v>92306.713745179557</v>
      </c>
      <c r="U80" s="7" t="s">
        <v>6636</v>
      </c>
    </row>
    <row r="81" spans="1:21" ht="16.5" customHeight="1" thickBot="1">
      <c r="A81" s="207" t="s">
        <v>10</v>
      </c>
      <c r="B81" s="211">
        <f t="shared" si="3"/>
        <v>110</v>
      </c>
      <c r="C81" s="211" t="s">
        <v>3</v>
      </c>
      <c r="D81" s="211">
        <f t="shared" si="4"/>
        <v>260</v>
      </c>
      <c r="E81" s="211" t="s">
        <v>3</v>
      </c>
      <c r="F81" s="209">
        <f t="shared" si="5"/>
        <v>1750</v>
      </c>
      <c r="G81" s="211" t="s">
        <v>3</v>
      </c>
      <c r="H81" s="208">
        <v>2</v>
      </c>
      <c r="I81" s="210" t="s">
        <v>529</v>
      </c>
      <c r="J81" s="103">
        <v>110</v>
      </c>
      <c r="K81" s="66">
        <v>260</v>
      </c>
      <c r="L81" s="66">
        <v>1750</v>
      </c>
      <c r="M81" s="164">
        <v>18.087869737876577</v>
      </c>
      <c r="N81" s="78">
        <v>5200.5189600000003</v>
      </c>
      <c r="O81" s="113">
        <v>63599.62063035454</v>
      </c>
      <c r="P81" s="113">
        <v>72538.930771124928</v>
      </c>
      <c r="Q81" s="110">
        <v>21548.09763728534</v>
      </c>
      <c r="R81" s="113">
        <v>85147.718267639881</v>
      </c>
      <c r="S81" s="113">
        <v>94087.02840841026</v>
      </c>
      <c r="U81" s="7" t="s">
        <v>6637</v>
      </c>
    </row>
    <row r="82" spans="1:21" ht="16.5" customHeight="1" thickBot="1">
      <c r="A82" s="207" t="s">
        <v>10</v>
      </c>
      <c r="B82" s="211">
        <f t="shared" si="3"/>
        <v>110</v>
      </c>
      <c r="C82" s="211" t="s">
        <v>3</v>
      </c>
      <c r="D82" s="211">
        <f t="shared" si="4"/>
        <v>260</v>
      </c>
      <c r="E82" s="211" t="s">
        <v>3</v>
      </c>
      <c r="F82" s="209">
        <f t="shared" si="5"/>
        <v>1800</v>
      </c>
      <c r="G82" s="211" t="s">
        <v>3</v>
      </c>
      <c r="H82" s="208">
        <v>2</v>
      </c>
      <c r="I82" s="210" t="s">
        <v>529</v>
      </c>
      <c r="J82" s="103">
        <v>110</v>
      </c>
      <c r="K82" s="66">
        <v>260</v>
      </c>
      <c r="L82" s="66">
        <v>1800</v>
      </c>
      <c r="M82" s="164">
        <v>18.593299968749342</v>
      </c>
      <c r="N82" s="78">
        <v>5386.2517799999996</v>
      </c>
      <c r="O82" s="113">
        <v>64519.011169394733</v>
      </c>
      <c r="P82" s="113">
        <v>73680.499757245023</v>
      </c>
      <c r="Q82" s="110">
        <v>22018.553204765303</v>
      </c>
      <c r="R82" s="113">
        <v>86537.564374160036</v>
      </c>
      <c r="S82" s="113">
        <v>95699.052962010319</v>
      </c>
      <c r="U82" s="7" t="s">
        <v>6638</v>
      </c>
    </row>
    <row r="83" spans="1:21" ht="16.5" customHeight="1" thickBot="1">
      <c r="A83" s="207" t="s">
        <v>10</v>
      </c>
      <c r="B83" s="211">
        <f t="shared" si="3"/>
        <v>110</v>
      </c>
      <c r="C83" s="211" t="s">
        <v>3</v>
      </c>
      <c r="D83" s="211">
        <f t="shared" si="4"/>
        <v>260</v>
      </c>
      <c r="E83" s="211" t="s">
        <v>3</v>
      </c>
      <c r="F83" s="209">
        <f t="shared" si="5"/>
        <v>1850</v>
      </c>
      <c r="G83" s="211" t="s">
        <v>3</v>
      </c>
      <c r="H83" s="208">
        <v>2</v>
      </c>
      <c r="I83" s="210" t="s">
        <v>529</v>
      </c>
      <c r="J83" s="103">
        <v>110</v>
      </c>
      <c r="K83" s="66">
        <v>260</v>
      </c>
      <c r="L83" s="66">
        <v>1850</v>
      </c>
      <c r="M83" s="164">
        <v>19.108770199622107</v>
      </c>
      <c r="N83" s="78">
        <v>5571.9845999999998</v>
      </c>
      <c r="O83" s="113">
        <v>65438.349418505881</v>
      </c>
      <c r="P83" s="113">
        <v>74822.016682979214</v>
      </c>
      <c r="Q83" s="110">
        <v>22740.342910029034</v>
      </c>
      <c r="R83" s="113">
        <v>88178.692328534918</v>
      </c>
      <c r="S83" s="113">
        <v>97562.359593008252</v>
      </c>
      <c r="U83" s="7" t="s">
        <v>6639</v>
      </c>
    </row>
    <row r="84" spans="1:21" ht="16.5" customHeight="1" thickBot="1">
      <c r="A84" s="207" t="s">
        <v>10</v>
      </c>
      <c r="B84" s="211">
        <f t="shared" si="3"/>
        <v>110</v>
      </c>
      <c r="C84" s="211" t="s">
        <v>3</v>
      </c>
      <c r="D84" s="211">
        <f t="shared" si="4"/>
        <v>260</v>
      </c>
      <c r="E84" s="211" t="s">
        <v>3</v>
      </c>
      <c r="F84" s="209">
        <f t="shared" si="5"/>
        <v>1900</v>
      </c>
      <c r="G84" s="211" t="s">
        <v>3</v>
      </c>
      <c r="H84" s="208">
        <v>2</v>
      </c>
      <c r="I84" s="210" t="s">
        <v>529</v>
      </c>
      <c r="J84" s="103">
        <v>110</v>
      </c>
      <c r="K84" s="66">
        <v>260</v>
      </c>
      <c r="L84" s="66">
        <v>1900</v>
      </c>
      <c r="M84" s="164">
        <v>19.545200430494869</v>
      </c>
      <c r="N84" s="78">
        <v>5757.7174199999999</v>
      </c>
      <c r="O84" s="113">
        <v>66548.496870556977</v>
      </c>
      <c r="P84" s="113">
        <v>76152.696398123691</v>
      </c>
      <c r="Q84" s="110">
        <v>23210.798477508997</v>
      </c>
      <c r="R84" s="113">
        <v>89759.295348065978</v>
      </c>
      <c r="S84" s="113">
        <v>99363.494875632692</v>
      </c>
      <c r="U84" s="7" t="s">
        <v>6640</v>
      </c>
    </row>
    <row r="85" spans="1:21" ht="16.5" customHeight="1" thickBot="1">
      <c r="A85" s="207" t="s">
        <v>10</v>
      </c>
      <c r="B85" s="211">
        <f t="shared" si="3"/>
        <v>110</v>
      </c>
      <c r="C85" s="211" t="s">
        <v>3</v>
      </c>
      <c r="D85" s="211">
        <f t="shared" si="4"/>
        <v>260</v>
      </c>
      <c r="E85" s="211" t="s">
        <v>3</v>
      </c>
      <c r="F85" s="209">
        <f t="shared" si="5"/>
        <v>1950</v>
      </c>
      <c r="G85" s="211" t="s">
        <v>3</v>
      </c>
      <c r="H85" s="208">
        <v>2</v>
      </c>
      <c r="I85" s="210" t="s">
        <v>529</v>
      </c>
      <c r="J85" s="103">
        <v>110</v>
      </c>
      <c r="K85" s="66">
        <v>260</v>
      </c>
      <c r="L85" s="66">
        <v>1950</v>
      </c>
      <c r="M85" s="164">
        <v>20.134880661367632</v>
      </c>
      <c r="N85" s="78">
        <v>5943.4502399999992</v>
      </c>
      <c r="O85" s="113">
        <v>67832.17365511597</v>
      </c>
      <c r="P85" s="113">
        <v>77655.408005749268</v>
      </c>
      <c r="Q85" s="110">
        <v>23681.25404498896</v>
      </c>
      <c r="R85" s="113">
        <v>91513.427700104934</v>
      </c>
      <c r="S85" s="113">
        <v>101336.66205073823</v>
      </c>
      <c r="U85" s="7" t="s">
        <v>6641</v>
      </c>
    </row>
    <row r="86" spans="1:21" ht="16.5" customHeight="1" thickBot="1">
      <c r="A86" s="207" t="s">
        <v>10</v>
      </c>
      <c r="B86" s="211">
        <f t="shared" si="3"/>
        <v>110</v>
      </c>
      <c r="C86" s="211" t="s">
        <v>3</v>
      </c>
      <c r="D86" s="211">
        <f t="shared" si="4"/>
        <v>260</v>
      </c>
      <c r="E86" s="211" t="s">
        <v>3</v>
      </c>
      <c r="F86" s="209">
        <f t="shared" si="5"/>
        <v>2000</v>
      </c>
      <c r="G86" s="211" t="s">
        <v>3</v>
      </c>
      <c r="H86" s="208">
        <v>2</v>
      </c>
      <c r="I86" s="210" t="s">
        <v>529</v>
      </c>
      <c r="J86" s="103">
        <v>110</v>
      </c>
      <c r="K86" s="66">
        <v>260</v>
      </c>
      <c r="L86" s="66">
        <v>2000</v>
      </c>
      <c r="M86" s="164">
        <v>20.679913292240396</v>
      </c>
      <c r="N86" s="78">
        <v>6129.1830599999994</v>
      </c>
      <c r="O86" s="113">
        <v>68976.359119410743</v>
      </c>
      <c r="P86" s="113">
        <v>79239.410941869486</v>
      </c>
      <c r="Q86" s="110">
        <v>24403.043750252691</v>
      </c>
      <c r="R86" s="113">
        <v>93379.402869663434</v>
      </c>
      <c r="S86" s="113">
        <v>103642.45469212218</v>
      </c>
      <c r="U86" s="7" t="s">
        <v>6642</v>
      </c>
    </row>
    <row r="87" spans="1:21" ht="16.5" customHeight="1" thickBot="1">
      <c r="A87" s="207" t="s">
        <v>10</v>
      </c>
      <c r="B87" s="211">
        <f t="shared" si="3"/>
        <v>110</v>
      </c>
      <c r="C87" s="211" t="s">
        <v>3</v>
      </c>
      <c r="D87" s="211">
        <f t="shared" si="4"/>
        <v>260</v>
      </c>
      <c r="E87" s="211" t="s">
        <v>3</v>
      </c>
      <c r="F87" s="209">
        <f t="shared" si="5"/>
        <v>2050</v>
      </c>
      <c r="G87" s="211" t="s">
        <v>3</v>
      </c>
      <c r="H87" s="208">
        <v>2</v>
      </c>
      <c r="I87" s="210" t="s">
        <v>529</v>
      </c>
      <c r="J87" s="103">
        <v>110</v>
      </c>
      <c r="K87" s="66">
        <v>260</v>
      </c>
      <c r="L87" s="66">
        <v>2050</v>
      </c>
      <c r="M87" s="164">
        <v>21.116343523113159</v>
      </c>
      <c r="N87" s="78">
        <v>6314.9158799999996</v>
      </c>
      <c r="O87" s="113">
        <v>72232.62482928051</v>
      </c>
      <c r="P87" s="113">
        <v>82697.688723304949</v>
      </c>
      <c r="Q87" s="110">
        <v>24873.499317732651</v>
      </c>
      <c r="R87" s="113">
        <v>97106.124147013164</v>
      </c>
      <c r="S87" s="113">
        <v>107571.1880410376</v>
      </c>
      <c r="U87" s="7" t="s">
        <v>6643</v>
      </c>
    </row>
    <row r="88" spans="1:21" ht="16.5" customHeight="1" thickBot="1">
      <c r="A88" s="207" t="s">
        <v>10</v>
      </c>
      <c r="B88" s="208">
        <f t="shared" si="3"/>
        <v>110</v>
      </c>
      <c r="C88" s="208" t="s">
        <v>3</v>
      </c>
      <c r="D88" s="208">
        <f t="shared" si="4"/>
        <v>260</v>
      </c>
      <c r="E88" s="208" t="s">
        <v>3</v>
      </c>
      <c r="F88" s="209">
        <f t="shared" si="5"/>
        <v>2100</v>
      </c>
      <c r="G88" s="208" t="s">
        <v>3</v>
      </c>
      <c r="H88" s="208">
        <v>2</v>
      </c>
      <c r="I88" s="210" t="s">
        <v>529</v>
      </c>
      <c r="J88" s="103">
        <v>110</v>
      </c>
      <c r="K88" s="66">
        <v>260</v>
      </c>
      <c r="L88" s="66">
        <v>2100</v>
      </c>
      <c r="M88" s="164">
        <v>21.569813753985922</v>
      </c>
      <c r="N88" s="78">
        <v>6500.6487000000006</v>
      </c>
      <c r="O88" s="113">
        <v>73219.466645222987</v>
      </c>
      <c r="P88" s="113">
        <v>83906.126796041848</v>
      </c>
      <c r="Q88" s="110">
        <v>25595.289022996385</v>
      </c>
      <c r="R88" s="113">
        <v>98814.755668219368</v>
      </c>
      <c r="S88" s="113">
        <v>109501.41581903823</v>
      </c>
      <c r="U88" s="7" t="s">
        <v>6644</v>
      </c>
    </row>
    <row r="89" spans="1:21" ht="16.5" customHeight="1" thickBot="1">
      <c r="A89" s="207" t="s">
        <v>10</v>
      </c>
      <c r="B89" s="211">
        <f t="shared" si="3"/>
        <v>110</v>
      </c>
      <c r="C89" s="211" t="s">
        <v>3</v>
      </c>
      <c r="D89" s="211">
        <f t="shared" si="4"/>
        <v>260</v>
      </c>
      <c r="E89" s="211" t="s">
        <v>3</v>
      </c>
      <c r="F89" s="209">
        <f t="shared" si="5"/>
        <v>2150</v>
      </c>
      <c r="G89" s="211" t="s">
        <v>3</v>
      </c>
      <c r="H89" s="208">
        <v>2</v>
      </c>
      <c r="I89" s="210" t="s">
        <v>529</v>
      </c>
      <c r="J89" s="103">
        <v>110</v>
      </c>
      <c r="K89" s="66">
        <v>260</v>
      </c>
      <c r="L89" s="66">
        <v>2150</v>
      </c>
      <c r="M89" s="164">
        <v>22.130243984858687</v>
      </c>
      <c r="N89" s="78">
        <v>6686.3815199999999</v>
      </c>
      <c r="O89" s="113">
        <v>74367.211206628388</v>
      </c>
      <c r="P89" s="113">
        <v>85274.079130695638</v>
      </c>
      <c r="Q89" s="110">
        <v>26065.744590476344</v>
      </c>
      <c r="R89" s="113">
        <v>100432.95579710473</v>
      </c>
      <c r="S89" s="113">
        <v>111339.82372117198</v>
      </c>
      <c r="U89" s="7" t="s">
        <v>6645</v>
      </c>
    </row>
    <row r="90" spans="1:21" ht="16.5" customHeight="1" thickBot="1">
      <c r="A90" s="207" t="s">
        <v>10</v>
      </c>
      <c r="B90" s="211">
        <f t="shared" si="3"/>
        <v>110</v>
      </c>
      <c r="C90" s="211" t="s">
        <v>3</v>
      </c>
      <c r="D90" s="211">
        <f t="shared" si="4"/>
        <v>260</v>
      </c>
      <c r="E90" s="211" t="s">
        <v>3</v>
      </c>
      <c r="F90" s="209">
        <f t="shared" si="5"/>
        <v>2200</v>
      </c>
      <c r="G90" s="211" t="s">
        <v>3</v>
      </c>
      <c r="H90" s="208">
        <v>2</v>
      </c>
      <c r="I90" s="210" t="s">
        <v>529</v>
      </c>
      <c r="J90" s="103">
        <v>110</v>
      </c>
      <c r="K90" s="66">
        <v>260</v>
      </c>
      <c r="L90" s="66">
        <v>2200</v>
      </c>
      <c r="M90" s="164">
        <v>22.583714215731447</v>
      </c>
      <c r="N90" s="78">
        <v>6872.1143400000001</v>
      </c>
      <c r="O90" s="113">
        <v>75514.903478104767</v>
      </c>
      <c r="P90" s="113">
        <v>86641.979542689427</v>
      </c>
      <c r="Q90" s="110">
        <v>26787.534295740079</v>
      </c>
      <c r="R90" s="113">
        <v>102302.43777384484</v>
      </c>
      <c r="S90" s="113">
        <v>113429.5138384295</v>
      </c>
      <c r="U90" s="7" t="s">
        <v>6646</v>
      </c>
    </row>
    <row r="91" spans="1:21" ht="16.5" customHeight="1" thickBot="1">
      <c r="A91" s="207" t="s">
        <v>10</v>
      </c>
      <c r="B91" s="211">
        <f t="shared" si="3"/>
        <v>110</v>
      </c>
      <c r="C91" s="211" t="s">
        <v>3</v>
      </c>
      <c r="D91" s="211">
        <f t="shared" si="4"/>
        <v>260</v>
      </c>
      <c r="E91" s="211" t="s">
        <v>3</v>
      </c>
      <c r="F91" s="209">
        <f t="shared" si="5"/>
        <v>2250</v>
      </c>
      <c r="G91" s="211" t="s">
        <v>3</v>
      </c>
      <c r="H91" s="208">
        <v>2</v>
      </c>
      <c r="I91" s="210" t="s">
        <v>529</v>
      </c>
      <c r="J91" s="103">
        <v>110</v>
      </c>
      <c r="K91" s="66">
        <v>260</v>
      </c>
      <c r="L91" s="66">
        <v>2250</v>
      </c>
      <c r="M91" s="164">
        <v>23.020144446604213</v>
      </c>
      <c r="N91" s="78">
        <v>7057.8471600000003</v>
      </c>
      <c r="O91" s="113">
        <v>77010.971808630173</v>
      </c>
      <c r="P91" s="113">
        <v>88355.24965652122</v>
      </c>
      <c r="Q91" s="110">
        <v>27257.989710191272</v>
      </c>
      <c r="R91" s="113">
        <v>104268.96151882145</v>
      </c>
      <c r="S91" s="113">
        <v>115613.23936671249</v>
      </c>
      <c r="U91" s="7" t="s">
        <v>6647</v>
      </c>
    </row>
    <row r="92" spans="1:21" ht="16.5" customHeight="1" thickBot="1">
      <c r="A92" s="207" t="s">
        <v>10</v>
      </c>
      <c r="B92" s="211">
        <f t="shared" si="3"/>
        <v>110</v>
      </c>
      <c r="C92" s="211" t="s">
        <v>3</v>
      </c>
      <c r="D92" s="211">
        <f t="shared" si="4"/>
        <v>260</v>
      </c>
      <c r="E92" s="211" t="s">
        <v>3</v>
      </c>
      <c r="F92" s="209">
        <f t="shared" si="5"/>
        <v>2300</v>
      </c>
      <c r="G92" s="211" t="s">
        <v>3</v>
      </c>
      <c r="H92" s="208">
        <v>2</v>
      </c>
      <c r="I92" s="210" t="s">
        <v>529</v>
      </c>
      <c r="J92" s="103">
        <v>110</v>
      </c>
      <c r="K92" s="66">
        <v>260</v>
      </c>
      <c r="L92" s="66">
        <v>2300</v>
      </c>
      <c r="M92" s="164">
        <v>23.456574677476972</v>
      </c>
      <c r="N92" s="78">
        <v>7243.5799799999995</v>
      </c>
      <c r="O92" s="113">
        <v>77893.897016108589</v>
      </c>
      <c r="P92" s="113">
        <v>89460.667938220649</v>
      </c>
      <c r="Q92" s="110">
        <v>27728.445277671239</v>
      </c>
      <c r="R92" s="113">
        <v>105622.34229377983</v>
      </c>
      <c r="S92" s="113">
        <v>117189.11321589189</v>
      </c>
      <c r="U92" s="7" t="s">
        <v>6648</v>
      </c>
    </row>
    <row r="93" spans="1:21" ht="16.5" customHeight="1" thickBot="1">
      <c r="A93" s="207" t="s">
        <v>10</v>
      </c>
      <c r="B93" s="211">
        <f t="shared" si="3"/>
        <v>110</v>
      </c>
      <c r="C93" s="211" t="s">
        <v>3</v>
      </c>
      <c r="D93" s="211">
        <f t="shared" si="4"/>
        <v>260</v>
      </c>
      <c r="E93" s="211" t="s">
        <v>3</v>
      </c>
      <c r="F93" s="209">
        <f t="shared" si="5"/>
        <v>2350</v>
      </c>
      <c r="G93" s="211" t="s">
        <v>3</v>
      </c>
      <c r="H93" s="208">
        <v>2</v>
      </c>
      <c r="I93" s="210" t="s">
        <v>529</v>
      </c>
      <c r="J93" s="103">
        <v>110</v>
      </c>
      <c r="K93" s="66">
        <v>260</v>
      </c>
      <c r="L93" s="66">
        <v>2350</v>
      </c>
      <c r="M93" s="164">
        <v>23.91004490834974</v>
      </c>
      <c r="N93" s="78">
        <v>7429.3127999999997</v>
      </c>
      <c r="O93" s="113">
        <v>78776.76980358352</v>
      </c>
      <c r="P93" s="113">
        <v>90566.034297260063</v>
      </c>
      <c r="Q93" s="110">
        <v>28450.234982934966</v>
      </c>
      <c r="R93" s="113">
        <v>107227.00478651849</v>
      </c>
      <c r="S93" s="113">
        <v>119016.26928019503</v>
      </c>
      <c r="U93" s="7" t="s">
        <v>6649</v>
      </c>
    </row>
    <row r="94" spans="1:21" ht="16.5" customHeight="1" thickBot="1">
      <c r="A94" s="207" t="s">
        <v>10</v>
      </c>
      <c r="B94" s="211">
        <f t="shared" si="3"/>
        <v>110</v>
      </c>
      <c r="C94" s="211" t="s">
        <v>3</v>
      </c>
      <c r="D94" s="211">
        <f t="shared" si="4"/>
        <v>260</v>
      </c>
      <c r="E94" s="211" t="s">
        <v>3</v>
      </c>
      <c r="F94" s="209">
        <f t="shared" si="5"/>
        <v>2400</v>
      </c>
      <c r="G94" s="211" t="s">
        <v>3</v>
      </c>
      <c r="H94" s="208">
        <v>2</v>
      </c>
      <c r="I94" s="210" t="s">
        <v>529</v>
      </c>
      <c r="J94" s="103">
        <v>110</v>
      </c>
      <c r="K94" s="66">
        <v>260</v>
      </c>
      <c r="L94" s="66">
        <v>2400</v>
      </c>
      <c r="M94" s="164">
        <v>24.346475139222502</v>
      </c>
      <c r="N94" s="78">
        <v>7615.0456199999999</v>
      </c>
      <c r="O94" s="113">
        <v>79659.590301129399</v>
      </c>
      <c r="P94" s="113">
        <v>91671.348595913587</v>
      </c>
      <c r="Q94" s="110">
        <v>28920.690550414929</v>
      </c>
      <c r="R94" s="113">
        <v>108580.28085154433</v>
      </c>
      <c r="S94" s="113">
        <v>120592.03914632852</v>
      </c>
      <c r="U94" s="7" t="s">
        <v>6650</v>
      </c>
    </row>
    <row r="95" spans="1:21" ht="16.5" customHeight="1" thickBot="1">
      <c r="A95" s="207" t="s">
        <v>10</v>
      </c>
      <c r="B95" s="211">
        <f t="shared" si="3"/>
        <v>110</v>
      </c>
      <c r="C95" s="211" t="s">
        <v>3</v>
      </c>
      <c r="D95" s="211">
        <f t="shared" si="4"/>
        <v>260</v>
      </c>
      <c r="E95" s="211" t="s">
        <v>3</v>
      </c>
      <c r="F95" s="209">
        <f t="shared" si="5"/>
        <v>2450</v>
      </c>
      <c r="G95" s="211" t="s">
        <v>3</v>
      </c>
      <c r="H95" s="208">
        <v>2</v>
      </c>
      <c r="I95" s="210" t="s">
        <v>529</v>
      </c>
      <c r="J95" s="103">
        <v>110</v>
      </c>
      <c r="K95" s="66">
        <v>260</v>
      </c>
      <c r="L95" s="66">
        <v>2450</v>
      </c>
      <c r="M95" s="164">
        <v>25.500047713395265</v>
      </c>
      <c r="N95" s="78">
        <v>7800.7784399999991</v>
      </c>
      <c r="O95" s="113">
        <v>81062.594134583967</v>
      </c>
      <c r="P95" s="113">
        <v>93441.266744990586</v>
      </c>
      <c r="Q95" s="110">
        <v>29642.480255678664</v>
      </c>
      <c r="R95" s="113">
        <v>110705.07439026263</v>
      </c>
      <c r="S95" s="113">
        <v>123083.74700066925</v>
      </c>
      <c r="U95" s="7" t="s">
        <v>6651</v>
      </c>
    </row>
    <row r="96" spans="1:21" ht="16.5" customHeight="1" thickBot="1">
      <c r="A96" s="207" t="s">
        <v>10</v>
      </c>
      <c r="B96" s="211">
        <f t="shared" si="3"/>
        <v>110</v>
      </c>
      <c r="C96" s="211" t="s">
        <v>3</v>
      </c>
      <c r="D96" s="211">
        <f t="shared" si="4"/>
        <v>260</v>
      </c>
      <c r="E96" s="211" t="s">
        <v>3</v>
      </c>
      <c r="F96" s="209">
        <f t="shared" si="5"/>
        <v>2500</v>
      </c>
      <c r="G96" s="211" t="s">
        <v>3</v>
      </c>
      <c r="H96" s="208">
        <v>2</v>
      </c>
      <c r="I96" s="210" t="s">
        <v>529</v>
      </c>
      <c r="J96" s="103">
        <v>110</v>
      </c>
      <c r="K96" s="66">
        <v>260</v>
      </c>
      <c r="L96" s="66">
        <v>2500</v>
      </c>
      <c r="M96" s="164">
        <v>25.95347794426803</v>
      </c>
      <c r="N96" s="78">
        <v>7986.5112599999993</v>
      </c>
      <c r="O96" s="113">
        <v>81945.309662048414</v>
      </c>
      <c r="P96" s="113">
        <v>94546.477060598205</v>
      </c>
      <c r="Q96" s="110">
        <v>30112.935823158623</v>
      </c>
      <c r="R96" s="113">
        <v>112058.24548520704</v>
      </c>
      <c r="S96" s="113">
        <v>124659.41288375683</v>
      </c>
      <c r="U96" s="7" t="s">
        <v>6652</v>
      </c>
    </row>
    <row r="97" spans="1:21" ht="16.5" customHeight="1" thickBot="1">
      <c r="A97" s="207" t="s">
        <v>10</v>
      </c>
      <c r="B97" s="211">
        <f t="shared" si="3"/>
        <v>110</v>
      </c>
      <c r="C97" s="211" t="s">
        <v>3</v>
      </c>
      <c r="D97" s="211">
        <f t="shared" si="4"/>
        <v>260</v>
      </c>
      <c r="E97" s="211" t="s">
        <v>3</v>
      </c>
      <c r="F97" s="209">
        <f t="shared" si="5"/>
        <v>2550</v>
      </c>
      <c r="G97" s="211" t="s">
        <v>3</v>
      </c>
      <c r="H97" s="208">
        <v>2</v>
      </c>
      <c r="I97" s="210" t="s">
        <v>529</v>
      </c>
      <c r="J97" s="103">
        <v>110</v>
      </c>
      <c r="K97" s="66">
        <v>260</v>
      </c>
      <c r="L97" s="66">
        <v>2550</v>
      </c>
      <c r="M97" s="164">
        <v>26.406948175140791</v>
      </c>
      <c r="N97" s="78">
        <v>8172.2440800000004</v>
      </c>
      <c r="O97" s="113">
        <v>86418.798940832494</v>
      </c>
      <c r="P97" s="113">
        <v>99211.474095680678</v>
      </c>
      <c r="Q97" s="110">
        <v>30834.725528422357</v>
      </c>
      <c r="R97" s="113">
        <v>117253.52446925486</v>
      </c>
      <c r="S97" s="113">
        <v>130046.19962410303</v>
      </c>
      <c r="U97" s="7" t="s">
        <v>6653</v>
      </c>
    </row>
    <row r="98" spans="1:21" ht="16.5" customHeight="1" thickBot="1">
      <c r="A98" s="207" t="s">
        <v>10</v>
      </c>
      <c r="B98" s="208">
        <f t="shared" si="3"/>
        <v>110</v>
      </c>
      <c r="C98" s="208" t="s">
        <v>3</v>
      </c>
      <c r="D98" s="208">
        <f t="shared" si="4"/>
        <v>260</v>
      </c>
      <c r="E98" s="208" t="s">
        <v>3</v>
      </c>
      <c r="F98" s="209">
        <f t="shared" si="5"/>
        <v>2600</v>
      </c>
      <c r="G98" s="208" t="s">
        <v>3</v>
      </c>
      <c r="H98" s="208">
        <v>2</v>
      </c>
      <c r="I98" s="210" t="s">
        <v>529</v>
      </c>
      <c r="J98" s="103">
        <v>110</v>
      </c>
      <c r="K98" s="66">
        <v>260</v>
      </c>
      <c r="L98" s="66">
        <v>2600</v>
      </c>
      <c r="M98" s="164">
        <v>26.843378406013557</v>
      </c>
      <c r="N98" s="78">
        <v>8357.9768999999997</v>
      </c>
      <c r="O98" s="113">
        <v>87596.367492513382</v>
      </c>
      <c r="P98" s="113">
        <v>100608.99314865003</v>
      </c>
      <c r="Q98" s="110">
        <v>31305.181095902317</v>
      </c>
      <c r="R98" s="113">
        <v>118901.5485884157</v>
      </c>
      <c r="S98" s="113">
        <v>131914.17424455236</v>
      </c>
      <c r="U98" s="7" t="s">
        <v>6654</v>
      </c>
    </row>
    <row r="99" spans="1:21" ht="16.5" customHeight="1" thickBot="1">
      <c r="A99" s="207" t="s">
        <v>10</v>
      </c>
      <c r="B99" s="211">
        <f t="shared" si="3"/>
        <v>110</v>
      </c>
      <c r="C99" s="211" t="s">
        <v>3</v>
      </c>
      <c r="D99" s="211">
        <f t="shared" si="4"/>
        <v>260</v>
      </c>
      <c r="E99" s="211" t="s">
        <v>3</v>
      </c>
      <c r="F99" s="209">
        <f t="shared" si="5"/>
        <v>2650</v>
      </c>
      <c r="G99" s="211" t="s">
        <v>3</v>
      </c>
      <c r="H99" s="208">
        <v>2</v>
      </c>
      <c r="I99" s="210" t="s">
        <v>529</v>
      </c>
      <c r="J99" s="103">
        <v>110</v>
      </c>
      <c r="K99" s="66">
        <v>260</v>
      </c>
      <c r="L99" s="66">
        <v>2650</v>
      </c>
      <c r="M99" s="164">
        <v>27.403848636886323</v>
      </c>
      <c r="N99" s="78">
        <v>8543.7097199999989</v>
      </c>
      <c r="O99" s="113">
        <v>88304.56043896699</v>
      </c>
      <c r="P99" s="113">
        <v>101541.18696939886</v>
      </c>
      <c r="Q99" s="110">
        <v>32026.970801166051</v>
      </c>
      <c r="R99" s="113">
        <v>120331.53124013304</v>
      </c>
      <c r="S99" s="113">
        <v>133568.1577705649</v>
      </c>
      <c r="U99" s="7" t="s">
        <v>6655</v>
      </c>
    </row>
    <row r="100" spans="1:21" ht="16.5" customHeight="1" thickBot="1">
      <c r="A100" s="207" t="s">
        <v>10</v>
      </c>
      <c r="B100" s="211">
        <f t="shared" si="3"/>
        <v>110</v>
      </c>
      <c r="C100" s="211" t="s">
        <v>3</v>
      </c>
      <c r="D100" s="211">
        <f t="shared" si="4"/>
        <v>260</v>
      </c>
      <c r="E100" s="211" t="s">
        <v>3</v>
      </c>
      <c r="F100" s="209">
        <f t="shared" si="5"/>
        <v>2700</v>
      </c>
      <c r="G100" s="211" t="s">
        <v>3</v>
      </c>
      <c r="H100" s="208">
        <v>2</v>
      </c>
      <c r="I100" s="210" t="s">
        <v>529</v>
      </c>
      <c r="J100" s="103">
        <v>110</v>
      </c>
      <c r="K100" s="66">
        <v>260</v>
      </c>
      <c r="L100" s="66">
        <v>2700</v>
      </c>
      <c r="M100" s="164">
        <v>27.879528867759085</v>
      </c>
      <c r="N100" s="78">
        <v>8729.44254</v>
      </c>
      <c r="O100" s="113">
        <v>89051.264527937572</v>
      </c>
      <c r="P100" s="113">
        <v>102511.55964600407</v>
      </c>
      <c r="Q100" s="110">
        <v>32497.426368646011</v>
      </c>
      <c r="R100" s="113">
        <v>121548.69089658358</v>
      </c>
      <c r="S100" s="113">
        <v>135008.98601465009</v>
      </c>
      <c r="U100" s="7" t="s">
        <v>6656</v>
      </c>
    </row>
    <row r="101" spans="1:21" ht="16.5" customHeight="1" thickBot="1">
      <c r="A101" s="207" t="s">
        <v>10</v>
      </c>
      <c r="B101" s="211">
        <f t="shared" si="3"/>
        <v>110</v>
      </c>
      <c r="C101" s="211" t="s">
        <v>3</v>
      </c>
      <c r="D101" s="211">
        <f t="shared" si="4"/>
        <v>260</v>
      </c>
      <c r="E101" s="211" t="s">
        <v>3</v>
      </c>
      <c r="F101" s="209">
        <f t="shared" si="5"/>
        <v>2750</v>
      </c>
      <c r="G101" s="211" t="s">
        <v>3</v>
      </c>
      <c r="H101" s="208">
        <v>2</v>
      </c>
      <c r="I101" s="210" t="s">
        <v>529</v>
      </c>
      <c r="J101" s="103">
        <v>110</v>
      </c>
      <c r="K101" s="66">
        <v>260</v>
      </c>
      <c r="L101" s="66">
        <v>2750</v>
      </c>
      <c r="M101" s="164">
        <v>28.315959098631847</v>
      </c>
      <c r="N101" s="78">
        <v>8915.1753599999993</v>
      </c>
      <c r="O101" s="113">
        <v>89848.464689206507</v>
      </c>
      <c r="P101" s="113">
        <v>103531.99251542448</v>
      </c>
      <c r="Q101" s="110">
        <v>32967.881936125974</v>
      </c>
      <c r="R101" s="113">
        <v>122816.34662533249</v>
      </c>
      <c r="S101" s="113">
        <v>136499.87445155045</v>
      </c>
      <c r="U101" s="7" t="s">
        <v>6657</v>
      </c>
    </row>
    <row r="102" spans="1:21" ht="16.5" customHeight="1" thickBot="1">
      <c r="A102" s="207" t="s">
        <v>10</v>
      </c>
      <c r="B102" s="211">
        <f t="shared" si="3"/>
        <v>110</v>
      </c>
      <c r="C102" s="211" t="s">
        <v>3</v>
      </c>
      <c r="D102" s="211">
        <f t="shared" si="4"/>
        <v>260</v>
      </c>
      <c r="E102" s="211" t="s">
        <v>3</v>
      </c>
      <c r="F102" s="209">
        <f t="shared" si="5"/>
        <v>2800</v>
      </c>
      <c r="G102" s="211" t="s">
        <v>3</v>
      </c>
      <c r="H102" s="208">
        <v>2</v>
      </c>
      <c r="I102" s="210" t="s">
        <v>529</v>
      </c>
      <c r="J102" s="103">
        <v>110</v>
      </c>
      <c r="K102" s="66">
        <v>260</v>
      </c>
      <c r="L102" s="66">
        <v>2800</v>
      </c>
      <c r="M102" s="164">
        <v>28.769429329504604</v>
      </c>
      <c r="N102" s="78">
        <v>9100.9081800000004</v>
      </c>
      <c r="O102" s="113">
        <v>90555.312145545628</v>
      </c>
      <c r="P102" s="113">
        <v>104462.85259866797</v>
      </c>
      <c r="Q102" s="110">
        <v>33689.671488360938</v>
      </c>
      <c r="R102" s="113">
        <v>124244.98363390657</v>
      </c>
      <c r="S102" s="113">
        <v>138152.52408702893</v>
      </c>
      <c r="U102" s="7" t="s">
        <v>6658</v>
      </c>
    </row>
    <row r="103" spans="1:21" ht="16.5" customHeight="1" thickBot="1">
      <c r="A103" s="207" t="s">
        <v>10</v>
      </c>
      <c r="B103" s="211">
        <f t="shared" si="3"/>
        <v>110</v>
      </c>
      <c r="C103" s="211" t="s">
        <v>3</v>
      </c>
      <c r="D103" s="211">
        <f t="shared" si="4"/>
        <v>260</v>
      </c>
      <c r="E103" s="211" t="s">
        <v>3</v>
      </c>
      <c r="F103" s="209">
        <f t="shared" si="5"/>
        <v>2850</v>
      </c>
      <c r="G103" s="211" t="s">
        <v>3</v>
      </c>
      <c r="H103" s="208">
        <v>2</v>
      </c>
      <c r="I103" s="210" t="s">
        <v>529</v>
      </c>
      <c r="J103" s="103">
        <v>110</v>
      </c>
      <c r="K103" s="66">
        <v>260</v>
      </c>
      <c r="L103" s="66">
        <v>2850</v>
      </c>
      <c r="M103" s="164">
        <v>29.20585956037737</v>
      </c>
      <c r="N103" s="78">
        <v>9286.6409999999996</v>
      </c>
      <c r="O103" s="113">
        <v>91262.107181881249</v>
      </c>
      <c r="P103" s="113">
        <v>105393.66062152559</v>
      </c>
      <c r="Q103" s="110">
        <v>34160.127055840901</v>
      </c>
      <c r="R103" s="113">
        <v>125422.23423772215</v>
      </c>
      <c r="S103" s="113">
        <v>139553.78767736649</v>
      </c>
      <c r="U103" s="7" t="s">
        <v>6659</v>
      </c>
    </row>
    <row r="104" spans="1:21" ht="16.5" customHeight="1" thickBot="1">
      <c r="A104" s="207" t="s">
        <v>10</v>
      </c>
      <c r="B104" s="211">
        <f t="shared" si="3"/>
        <v>110</v>
      </c>
      <c r="C104" s="211" t="s">
        <v>3</v>
      </c>
      <c r="D104" s="211">
        <f t="shared" si="4"/>
        <v>260</v>
      </c>
      <c r="E104" s="211" t="s">
        <v>3</v>
      </c>
      <c r="F104" s="209">
        <f t="shared" si="5"/>
        <v>2900</v>
      </c>
      <c r="G104" s="211" t="s">
        <v>3</v>
      </c>
      <c r="H104" s="208">
        <v>2</v>
      </c>
      <c r="I104" s="210" t="s">
        <v>529</v>
      </c>
      <c r="J104" s="103">
        <v>110</v>
      </c>
      <c r="K104" s="66">
        <v>260</v>
      </c>
      <c r="L104" s="66">
        <v>2900</v>
      </c>
      <c r="M104" s="164">
        <v>29.835329791250132</v>
      </c>
      <c r="N104" s="78">
        <v>9472.3738199999989</v>
      </c>
      <c r="O104" s="113">
        <v>91968.849798213414</v>
      </c>
      <c r="P104" s="113">
        <v>106324.41658399731</v>
      </c>
      <c r="Q104" s="110">
        <v>34881.916761104636</v>
      </c>
      <c r="R104" s="113">
        <v>126850.76655931806</v>
      </c>
      <c r="S104" s="113">
        <v>141206.33334510194</v>
      </c>
      <c r="U104" s="7" t="s">
        <v>6660</v>
      </c>
    </row>
    <row r="105" spans="1:21" ht="16.5" customHeight="1" thickBot="1">
      <c r="A105" s="207" t="s">
        <v>10</v>
      </c>
      <c r="B105" s="211">
        <f t="shared" si="3"/>
        <v>110</v>
      </c>
      <c r="C105" s="211" t="s">
        <v>3</v>
      </c>
      <c r="D105" s="211">
        <f t="shared" si="4"/>
        <v>260</v>
      </c>
      <c r="E105" s="211" t="s">
        <v>3</v>
      </c>
      <c r="F105" s="209">
        <f t="shared" si="5"/>
        <v>2950</v>
      </c>
      <c r="G105" s="211" t="s">
        <v>3</v>
      </c>
      <c r="H105" s="208">
        <v>2</v>
      </c>
      <c r="I105" s="210" t="s">
        <v>529</v>
      </c>
      <c r="J105" s="103">
        <v>110</v>
      </c>
      <c r="K105" s="66">
        <v>260</v>
      </c>
      <c r="L105" s="66">
        <v>2950</v>
      </c>
      <c r="M105" s="164">
        <v>30.271760022122894</v>
      </c>
      <c r="N105" s="78">
        <v>9658.10664</v>
      </c>
      <c r="O105" s="113">
        <v>92675.53999454205</v>
      </c>
      <c r="P105" s="113">
        <v>107255.12062380901</v>
      </c>
      <c r="Q105" s="110">
        <v>35352.372328584599</v>
      </c>
      <c r="R105" s="113">
        <v>128027.91232312666</v>
      </c>
      <c r="S105" s="113">
        <v>142607.4929523936</v>
      </c>
      <c r="U105" s="7" t="s">
        <v>6661</v>
      </c>
    </row>
    <row r="106" spans="1:21" ht="16.5" customHeight="1" thickBot="1">
      <c r="A106" s="212" t="s">
        <v>10</v>
      </c>
      <c r="B106" s="213">
        <f t="shared" si="3"/>
        <v>110</v>
      </c>
      <c r="C106" s="213" t="s">
        <v>3</v>
      </c>
      <c r="D106" s="213">
        <f t="shared" si="4"/>
        <v>260</v>
      </c>
      <c r="E106" s="213" t="s">
        <v>3</v>
      </c>
      <c r="F106" s="214">
        <f t="shared" si="5"/>
        <v>3000</v>
      </c>
      <c r="G106" s="213" t="s">
        <v>3</v>
      </c>
      <c r="H106" s="215">
        <v>2</v>
      </c>
      <c r="I106" s="210" t="s">
        <v>529</v>
      </c>
      <c r="J106" s="287">
        <v>110</v>
      </c>
      <c r="K106" s="266">
        <v>260</v>
      </c>
      <c r="L106" s="266">
        <v>3000</v>
      </c>
      <c r="M106" s="249">
        <v>30.725230252995658</v>
      </c>
      <c r="N106" s="250">
        <v>9843.8394599999992</v>
      </c>
      <c r="O106" s="251">
        <v>95253.529881540133</v>
      </c>
      <c r="P106" s="251">
        <v>110040.97585612445</v>
      </c>
      <c r="Q106" s="252">
        <v>36074.162033848326</v>
      </c>
      <c r="R106" s="251">
        <v>131327.69191538845</v>
      </c>
      <c r="S106" s="251">
        <v>146115.13788997277</v>
      </c>
      <c r="U106" s="7" t="s">
        <v>6662</v>
      </c>
    </row>
    <row r="107" spans="1:21" ht="22.5" customHeight="1" thickBot="1">
      <c r="A107" s="2968" t="s">
        <v>43</v>
      </c>
      <c r="B107" s="2969"/>
      <c r="C107" s="2969"/>
      <c r="D107" s="2969"/>
      <c r="E107" s="2969"/>
      <c r="F107" s="2969"/>
      <c r="G107" s="2969"/>
      <c r="H107" s="2969"/>
      <c r="I107" s="2969"/>
      <c r="J107" s="2969"/>
      <c r="K107" s="2969"/>
      <c r="L107" s="2969"/>
      <c r="M107" s="2969"/>
      <c r="N107" s="2969"/>
      <c r="O107" s="2969"/>
      <c r="P107" s="2969"/>
      <c r="Q107" s="2969"/>
      <c r="R107" s="2969"/>
      <c r="S107" s="2970"/>
    </row>
    <row r="108" spans="1:21" ht="16.5" customHeight="1" thickBot="1">
      <c r="A108" s="3015" t="s">
        <v>112</v>
      </c>
      <c r="B108" s="3016"/>
      <c r="C108" s="3016"/>
      <c r="D108" s="3016"/>
      <c r="E108" s="3016"/>
      <c r="F108" s="3016"/>
      <c r="G108" s="3016"/>
      <c r="H108" s="3016"/>
      <c r="I108" s="3016"/>
      <c r="J108" s="3016"/>
      <c r="K108" s="3016"/>
      <c r="L108" s="3016"/>
      <c r="M108" s="3016"/>
      <c r="N108" s="3016"/>
      <c r="O108" s="3016"/>
      <c r="P108" s="3016"/>
      <c r="Q108" s="3016"/>
      <c r="R108" s="3016"/>
      <c r="S108" s="3017"/>
    </row>
    <row r="109" spans="1:21" ht="16.5" customHeight="1" thickBot="1">
      <c r="A109" s="207" t="s">
        <v>10</v>
      </c>
      <c r="B109" s="208">
        <f t="shared" ref="B109:B155" si="6">J109</f>
        <v>110</v>
      </c>
      <c r="C109" s="208" t="s">
        <v>3</v>
      </c>
      <c r="D109" s="208">
        <f t="shared" ref="D109:D155" si="7">K109</f>
        <v>300</v>
      </c>
      <c r="E109" s="208" t="s">
        <v>3</v>
      </c>
      <c r="F109" s="209">
        <f t="shared" ref="F109:F155" si="8">L109</f>
        <v>700</v>
      </c>
      <c r="G109" s="208" t="s">
        <v>3</v>
      </c>
      <c r="H109" s="208">
        <v>2</v>
      </c>
      <c r="I109" s="210" t="s">
        <v>529</v>
      </c>
      <c r="J109" s="286">
        <v>110</v>
      </c>
      <c r="K109" s="271">
        <v>300</v>
      </c>
      <c r="L109" s="271">
        <v>700</v>
      </c>
      <c r="M109" s="245">
        <v>8.3049088338275006</v>
      </c>
      <c r="N109" s="246">
        <v>1437.4105199999997</v>
      </c>
      <c r="O109" s="247">
        <v>29063.776263874497</v>
      </c>
      <c r="P109" s="247">
        <v>33761.867475685998</v>
      </c>
      <c r="Q109" s="248">
        <v>10240.289076749623</v>
      </c>
      <c r="R109" s="247">
        <v>39304.065340624118</v>
      </c>
      <c r="S109" s="247">
        <v>44002.156552435619</v>
      </c>
      <c r="U109" s="7" t="s">
        <v>6663</v>
      </c>
    </row>
    <row r="110" spans="1:21" ht="16.5" customHeight="1" thickBot="1">
      <c r="A110" s="207" t="s">
        <v>10</v>
      </c>
      <c r="B110" s="211">
        <f t="shared" si="6"/>
        <v>110</v>
      </c>
      <c r="C110" s="211" t="s">
        <v>3</v>
      </c>
      <c r="D110" s="211">
        <f t="shared" si="7"/>
        <v>300</v>
      </c>
      <c r="E110" s="211" t="s">
        <v>3</v>
      </c>
      <c r="F110" s="209">
        <f t="shared" si="8"/>
        <v>750</v>
      </c>
      <c r="G110" s="211" t="s">
        <v>3</v>
      </c>
      <c r="H110" s="208">
        <v>2</v>
      </c>
      <c r="I110" s="210" t="s">
        <v>529</v>
      </c>
      <c r="J110" s="103">
        <v>110</v>
      </c>
      <c r="K110" s="66">
        <v>300</v>
      </c>
      <c r="L110" s="66">
        <v>750</v>
      </c>
      <c r="M110" s="164">
        <v>8.7731927725949994</v>
      </c>
      <c r="N110" s="78">
        <v>1642.75488</v>
      </c>
      <c r="O110" s="113">
        <v>30773.957805791222</v>
      </c>
      <c r="P110" s="113">
        <v>35708.391669456701</v>
      </c>
      <c r="Q110" s="110">
        <v>10763.930709721371</v>
      </c>
      <c r="R110" s="113">
        <v>41537.88851551259</v>
      </c>
      <c r="S110" s="113">
        <v>46472.322379178077</v>
      </c>
      <c r="U110" s="7" t="s">
        <v>6664</v>
      </c>
    </row>
    <row r="111" spans="1:21" ht="16.5" customHeight="1" thickBot="1">
      <c r="A111" s="207" t="s">
        <v>10</v>
      </c>
      <c r="B111" s="211">
        <f t="shared" si="6"/>
        <v>110</v>
      </c>
      <c r="C111" s="211" t="s">
        <v>3</v>
      </c>
      <c r="D111" s="211">
        <f t="shared" si="7"/>
        <v>300</v>
      </c>
      <c r="E111" s="211" t="s">
        <v>3</v>
      </c>
      <c r="F111" s="209">
        <f t="shared" si="8"/>
        <v>800</v>
      </c>
      <c r="G111" s="211" t="s">
        <v>3</v>
      </c>
      <c r="H111" s="208">
        <v>2</v>
      </c>
      <c r="I111" s="210" t="s">
        <v>529</v>
      </c>
      <c r="J111" s="103">
        <v>110</v>
      </c>
      <c r="K111" s="66">
        <v>300</v>
      </c>
      <c r="L111" s="66">
        <v>800</v>
      </c>
      <c r="M111" s="164">
        <v>9.2414767113625</v>
      </c>
      <c r="N111" s="78">
        <v>1848.0992399999998</v>
      </c>
      <c r="O111" s="113">
        <v>32484.798695096801</v>
      </c>
      <c r="P111" s="113">
        <v>37655.569372568876</v>
      </c>
      <c r="Q111" s="110">
        <v>11287.572342693116</v>
      </c>
      <c r="R111" s="113">
        <v>43772.371037789919</v>
      </c>
      <c r="S111" s="113">
        <v>48943.141715261991</v>
      </c>
      <c r="U111" s="7" t="s">
        <v>6665</v>
      </c>
    </row>
    <row r="112" spans="1:21" ht="16.5" customHeight="1" thickBot="1">
      <c r="A112" s="207" t="s">
        <v>10</v>
      </c>
      <c r="B112" s="211">
        <f t="shared" si="6"/>
        <v>110</v>
      </c>
      <c r="C112" s="211" t="s">
        <v>3</v>
      </c>
      <c r="D112" s="211">
        <f t="shared" si="7"/>
        <v>300</v>
      </c>
      <c r="E112" s="211" t="s">
        <v>3</v>
      </c>
      <c r="F112" s="209">
        <f t="shared" si="8"/>
        <v>850</v>
      </c>
      <c r="G112" s="211" t="s">
        <v>3</v>
      </c>
      <c r="H112" s="208">
        <v>2</v>
      </c>
      <c r="I112" s="210" t="s">
        <v>529</v>
      </c>
      <c r="J112" s="103">
        <v>110</v>
      </c>
      <c r="K112" s="66">
        <v>300</v>
      </c>
      <c r="L112" s="66">
        <v>850</v>
      </c>
      <c r="M112" s="164">
        <v>9.7268006501299986</v>
      </c>
      <c r="N112" s="78">
        <v>2053.4435999999996</v>
      </c>
      <c r="O112" s="113">
        <v>34195.639584402379</v>
      </c>
      <c r="P112" s="113">
        <v>39602.747075681051</v>
      </c>
      <c r="Q112" s="110">
        <v>12062.548266477399</v>
      </c>
      <c r="R112" s="113">
        <v>46258.187850879782</v>
      </c>
      <c r="S112" s="113">
        <v>51665.295342158453</v>
      </c>
      <c r="U112" s="7" t="s">
        <v>6666</v>
      </c>
    </row>
    <row r="113" spans="1:21" ht="16.5" customHeight="1" thickBot="1">
      <c r="A113" s="207" t="s">
        <v>10</v>
      </c>
      <c r="B113" s="211">
        <f t="shared" si="6"/>
        <v>110</v>
      </c>
      <c r="C113" s="211" t="s">
        <v>3</v>
      </c>
      <c r="D113" s="211">
        <f t="shared" si="7"/>
        <v>300</v>
      </c>
      <c r="E113" s="211" t="s">
        <v>3</v>
      </c>
      <c r="F113" s="209">
        <f t="shared" si="8"/>
        <v>900</v>
      </c>
      <c r="G113" s="211" t="s">
        <v>3</v>
      </c>
      <c r="H113" s="208">
        <v>2</v>
      </c>
      <c r="I113" s="210" t="s">
        <v>529</v>
      </c>
      <c r="J113" s="103">
        <v>110</v>
      </c>
      <c r="K113" s="66">
        <v>300</v>
      </c>
      <c r="L113" s="66">
        <v>900</v>
      </c>
      <c r="M113" s="164">
        <v>10.233084588897501</v>
      </c>
      <c r="N113" s="78">
        <v>2258.7879600000001</v>
      </c>
      <c r="O113" s="113">
        <v>35906.480473707961</v>
      </c>
      <c r="P113" s="113">
        <v>41549.924778793225</v>
      </c>
      <c r="Q113" s="110">
        <v>12586.189899449146</v>
      </c>
      <c r="R113" s="113">
        <v>48492.670373157103</v>
      </c>
      <c r="S113" s="113">
        <v>54136.114678242375</v>
      </c>
      <c r="U113" s="7" t="s">
        <v>6667</v>
      </c>
    </row>
    <row r="114" spans="1:21" ht="16.5" customHeight="1" thickBot="1">
      <c r="A114" s="207" t="s">
        <v>10</v>
      </c>
      <c r="B114" s="211">
        <f t="shared" si="6"/>
        <v>110</v>
      </c>
      <c r="C114" s="211" t="s">
        <v>3</v>
      </c>
      <c r="D114" s="211">
        <f t="shared" si="7"/>
        <v>300</v>
      </c>
      <c r="E114" s="211" t="s">
        <v>3</v>
      </c>
      <c r="F114" s="209">
        <f t="shared" si="8"/>
        <v>950</v>
      </c>
      <c r="G114" s="211" t="s">
        <v>3</v>
      </c>
      <c r="H114" s="208">
        <v>2</v>
      </c>
      <c r="I114" s="210" t="s">
        <v>529</v>
      </c>
      <c r="J114" s="103">
        <v>110</v>
      </c>
      <c r="K114" s="66">
        <v>300</v>
      </c>
      <c r="L114" s="66">
        <v>950</v>
      </c>
      <c r="M114" s="164">
        <v>10.787408527665001</v>
      </c>
      <c r="N114" s="78">
        <v>2464.1323199999997</v>
      </c>
      <c r="O114" s="113">
        <v>37617.321232939088</v>
      </c>
      <c r="P114" s="113">
        <v>43497.102619631289</v>
      </c>
      <c r="Q114" s="110">
        <v>13361.165670204662</v>
      </c>
      <c r="R114" s="113">
        <v>50978.486903143748</v>
      </c>
      <c r="S114" s="113">
        <v>56858.268289835949</v>
      </c>
      <c r="U114" s="7" t="s">
        <v>6668</v>
      </c>
    </row>
    <row r="115" spans="1:21" ht="16.5" customHeight="1" thickBot="1">
      <c r="A115" s="207" t="s">
        <v>10</v>
      </c>
      <c r="B115" s="211">
        <f t="shared" si="6"/>
        <v>110</v>
      </c>
      <c r="C115" s="211" t="s">
        <v>3</v>
      </c>
      <c r="D115" s="211">
        <f t="shared" si="7"/>
        <v>300</v>
      </c>
      <c r="E115" s="211" t="s">
        <v>3</v>
      </c>
      <c r="F115" s="209">
        <f t="shared" si="8"/>
        <v>1000</v>
      </c>
      <c r="G115" s="211" t="s">
        <v>3</v>
      </c>
      <c r="H115" s="208">
        <v>2</v>
      </c>
      <c r="I115" s="210" t="s">
        <v>529</v>
      </c>
      <c r="J115" s="103">
        <v>110</v>
      </c>
      <c r="K115" s="66">
        <v>300</v>
      </c>
      <c r="L115" s="66">
        <v>1000</v>
      </c>
      <c r="M115" s="164">
        <v>11.2556924664325</v>
      </c>
      <c r="N115" s="78">
        <v>2669.4766799999998</v>
      </c>
      <c r="O115" s="113">
        <v>39224.468201239622</v>
      </c>
      <c r="P115" s="113">
        <v>45341.481168579536</v>
      </c>
      <c r="Q115" s="110">
        <v>13884.807456205173</v>
      </c>
      <c r="R115" s="113">
        <v>53109.275657444799</v>
      </c>
      <c r="S115" s="113">
        <v>59226.288624784705</v>
      </c>
      <c r="U115" s="7" t="s">
        <v>6669</v>
      </c>
    </row>
    <row r="116" spans="1:21" ht="16.5" customHeight="1" thickBot="1">
      <c r="A116" s="207" t="s">
        <v>10</v>
      </c>
      <c r="B116" s="211">
        <f t="shared" si="6"/>
        <v>110</v>
      </c>
      <c r="C116" s="211" t="s">
        <v>3</v>
      </c>
      <c r="D116" s="211">
        <f t="shared" si="7"/>
        <v>300</v>
      </c>
      <c r="E116" s="211" t="s">
        <v>3</v>
      </c>
      <c r="F116" s="209">
        <f t="shared" si="8"/>
        <v>1050</v>
      </c>
      <c r="G116" s="211" t="s">
        <v>3</v>
      </c>
      <c r="H116" s="208">
        <v>2</v>
      </c>
      <c r="I116" s="210" t="s">
        <v>529</v>
      </c>
      <c r="J116" s="103">
        <v>110</v>
      </c>
      <c r="K116" s="66">
        <v>300</v>
      </c>
      <c r="L116" s="66">
        <v>1050</v>
      </c>
      <c r="M116" s="164">
        <v>11.7410164052</v>
      </c>
      <c r="N116" s="78">
        <v>2874.8210399999994</v>
      </c>
      <c r="O116" s="113">
        <v>41181.582299265945</v>
      </c>
      <c r="P116" s="113">
        <v>47532.806793968084</v>
      </c>
      <c r="Q116" s="110">
        <v>14659.78322696069</v>
      </c>
      <c r="R116" s="113">
        <v>55841.365526226633</v>
      </c>
      <c r="S116" s="113">
        <v>62192.590020928772</v>
      </c>
      <c r="U116" s="7" t="s">
        <v>6670</v>
      </c>
    </row>
    <row r="117" spans="1:21" ht="16.5" customHeight="1" thickBot="1">
      <c r="A117" s="207" t="s">
        <v>10</v>
      </c>
      <c r="B117" s="208">
        <f t="shared" si="6"/>
        <v>110</v>
      </c>
      <c r="C117" s="208" t="s">
        <v>3</v>
      </c>
      <c r="D117" s="208">
        <f t="shared" si="7"/>
        <v>300</v>
      </c>
      <c r="E117" s="208" t="s">
        <v>3</v>
      </c>
      <c r="F117" s="209">
        <f t="shared" si="8"/>
        <v>1100</v>
      </c>
      <c r="G117" s="208" t="s">
        <v>3</v>
      </c>
      <c r="H117" s="208">
        <v>2</v>
      </c>
      <c r="I117" s="210" t="s">
        <v>529</v>
      </c>
      <c r="J117" s="103">
        <v>110</v>
      </c>
      <c r="K117" s="66">
        <v>300</v>
      </c>
      <c r="L117" s="66">
        <v>1100</v>
      </c>
      <c r="M117" s="164">
        <v>12.209300343967499</v>
      </c>
      <c r="N117" s="78">
        <v>3080.1653999999999</v>
      </c>
      <c r="O117" s="113">
        <v>42892.423188571527</v>
      </c>
      <c r="P117" s="113">
        <v>49479.984634806155</v>
      </c>
      <c r="Q117" s="110">
        <v>15183.425012961201</v>
      </c>
      <c r="R117" s="113">
        <v>58075.848201532732</v>
      </c>
      <c r="S117" s="113">
        <v>64663.409647767359</v>
      </c>
      <c r="U117" s="7" t="s">
        <v>6671</v>
      </c>
    </row>
    <row r="118" spans="1:21" ht="16.5" customHeight="1" thickBot="1">
      <c r="A118" s="207" t="s">
        <v>10</v>
      </c>
      <c r="B118" s="211">
        <f t="shared" si="6"/>
        <v>110</v>
      </c>
      <c r="C118" s="211" t="s">
        <v>3</v>
      </c>
      <c r="D118" s="211">
        <f t="shared" si="7"/>
        <v>300</v>
      </c>
      <c r="E118" s="211" t="s">
        <v>3</v>
      </c>
      <c r="F118" s="209">
        <f t="shared" si="8"/>
        <v>1150</v>
      </c>
      <c r="G118" s="211" t="s">
        <v>3</v>
      </c>
      <c r="H118" s="208">
        <v>2</v>
      </c>
      <c r="I118" s="210" t="s">
        <v>529</v>
      </c>
      <c r="J118" s="103">
        <v>110</v>
      </c>
      <c r="K118" s="66">
        <v>300</v>
      </c>
      <c r="L118" s="66">
        <v>1150</v>
      </c>
      <c r="M118" s="164">
        <v>12.677584282735001</v>
      </c>
      <c r="N118" s="78">
        <v>3285.5097599999999</v>
      </c>
      <c r="O118" s="113">
        <v>43779.940674519778</v>
      </c>
      <c r="P118" s="113">
        <v>50610.943907096982</v>
      </c>
      <c r="Q118" s="110">
        <v>15707.066645932946</v>
      </c>
      <c r="R118" s="113">
        <v>59487.007320452722</v>
      </c>
      <c r="S118" s="113">
        <v>66318.010553029933</v>
      </c>
      <c r="U118" s="7" t="s">
        <v>6672</v>
      </c>
    </row>
    <row r="119" spans="1:21" ht="16.5" customHeight="1" thickBot="1">
      <c r="A119" s="207" t="s">
        <v>10</v>
      </c>
      <c r="B119" s="211">
        <f t="shared" si="6"/>
        <v>110</v>
      </c>
      <c r="C119" s="211" t="s">
        <v>3</v>
      </c>
      <c r="D119" s="211">
        <f t="shared" si="7"/>
        <v>300</v>
      </c>
      <c r="E119" s="211" t="s">
        <v>3</v>
      </c>
      <c r="F119" s="209">
        <f t="shared" si="8"/>
        <v>1200</v>
      </c>
      <c r="G119" s="211" t="s">
        <v>3</v>
      </c>
      <c r="H119" s="208">
        <v>2</v>
      </c>
      <c r="I119" s="210" t="s">
        <v>529</v>
      </c>
      <c r="J119" s="103">
        <v>110</v>
      </c>
      <c r="K119" s="66">
        <v>300</v>
      </c>
      <c r="L119" s="66">
        <v>1200</v>
      </c>
      <c r="M119" s="164">
        <v>13.378158221502503</v>
      </c>
      <c r="N119" s="78">
        <v>3490.8541199999995</v>
      </c>
      <c r="O119" s="113">
        <v>44705.759753045473</v>
      </c>
      <c r="P119" s="113">
        <v>51779.874206878274</v>
      </c>
      <c r="Q119" s="110">
        <v>16482.042416688462</v>
      </c>
      <c r="R119" s="113">
        <v>61187.802169733935</v>
      </c>
      <c r="S119" s="113">
        <v>68261.916623566736</v>
      </c>
      <c r="U119" s="7" t="s">
        <v>6673</v>
      </c>
    </row>
    <row r="120" spans="1:21" ht="16.5" customHeight="1" thickBot="1">
      <c r="A120" s="207" t="s">
        <v>10</v>
      </c>
      <c r="B120" s="211">
        <f t="shared" si="6"/>
        <v>110</v>
      </c>
      <c r="C120" s="211" t="s">
        <v>3</v>
      </c>
      <c r="D120" s="211">
        <f t="shared" si="7"/>
        <v>300</v>
      </c>
      <c r="E120" s="211" t="s">
        <v>3</v>
      </c>
      <c r="F120" s="209">
        <f t="shared" si="8"/>
        <v>1250</v>
      </c>
      <c r="G120" s="211" t="s">
        <v>3</v>
      </c>
      <c r="H120" s="208">
        <v>2</v>
      </c>
      <c r="I120" s="210" t="s">
        <v>529</v>
      </c>
      <c r="J120" s="103">
        <v>110</v>
      </c>
      <c r="K120" s="66">
        <v>300</v>
      </c>
      <c r="L120" s="66">
        <v>1250</v>
      </c>
      <c r="M120" s="164">
        <v>13.846442160269998</v>
      </c>
      <c r="N120" s="78">
        <v>3696.1984799999996</v>
      </c>
      <c r="O120" s="113">
        <v>45592.753038958785</v>
      </c>
      <c r="P120" s="113">
        <v>52910.313839391369</v>
      </c>
      <c r="Q120" s="110">
        <v>17005.684202688975</v>
      </c>
      <c r="R120" s="113">
        <v>62598.437241647756</v>
      </c>
      <c r="S120" s="113">
        <v>69915.998042080348</v>
      </c>
      <c r="U120" s="7" t="s">
        <v>6674</v>
      </c>
    </row>
    <row r="121" spans="1:21" ht="16.5" customHeight="1" thickBot="1">
      <c r="A121" s="207" t="s">
        <v>10</v>
      </c>
      <c r="B121" s="211">
        <f t="shared" si="6"/>
        <v>110</v>
      </c>
      <c r="C121" s="211" t="s">
        <v>3</v>
      </c>
      <c r="D121" s="211">
        <f t="shared" si="7"/>
        <v>300</v>
      </c>
      <c r="E121" s="211" t="s">
        <v>3</v>
      </c>
      <c r="F121" s="209">
        <f t="shared" si="8"/>
        <v>1300</v>
      </c>
      <c r="G121" s="211" t="s">
        <v>3</v>
      </c>
      <c r="H121" s="208">
        <v>2</v>
      </c>
      <c r="I121" s="210" t="s">
        <v>529</v>
      </c>
      <c r="J121" s="103">
        <v>110</v>
      </c>
      <c r="K121" s="66">
        <v>300</v>
      </c>
      <c r="L121" s="66">
        <v>1300</v>
      </c>
      <c r="M121" s="164">
        <v>14.393766099037501</v>
      </c>
      <c r="N121" s="78">
        <v>3901.5428399999992</v>
      </c>
      <c r="O121" s="113">
        <v>49152.844308630571</v>
      </c>
      <c r="P121" s="113">
        <v>56690.783708322051</v>
      </c>
      <c r="Q121" s="110">
        <v>17780.65997344449</v>
      </c>
      <c r="R121" s="113">
        <v>66933.504282075068</v>
      </c>
      <c r="S121" s="113">
        <v>74471.443681766541</v>
      </c>
      <c r="U121" s="7" t="s">
        <v>6675</v>
      </c>
    </row>
    <row r="122" spans="1:21" ht="16.5" customHeight="1" thickBot="1">
      <c r="A122" s="207" t="s">
        <v>10</v>
      </c>
      <c r="B122" s="211">
        <f t="shared" si="6"/>
        <v>110</v>
      </c>
      <c r="C122" s="211" t="s">
        <v>3</v>
      </c>
      <c r="D122" s="211">
        <f t="shared" si="7"/>
        <v>300</v>
      </c>
      <c r="E122" s="211" t="s">
        <v>3</v>
      </c>
      <c r="F122" s="209">
        <f t="shared" si="8"/>
        <v>1350</v>
      </c>
      <c r="G122" s="211" t="s">
        <v>3</v>
      </c>
      <c r="H122" s="208">
        <v>2</v>
      </c>
      <c r="I122" s="210" t="s">
        <v>529</v>
      </c>
      <c r="J122" s="103">
        <v>110</v>
      </c>
      <c r="K122" s="66">
        <v>300</v>
      </c>
      <c r="L122" s="66">
        <v>1350</v>
      </c>
      <c r="M122" s="164">
        <v>14.862050037805002</v>
      </c>
      <c r="N122" s="78">
        <v>4106.8871999999992</v>
      </c>
      <c r="O122" s="113">
        <v>50312.006545139353</v>
      </c>
      <c r="P122" s="113">
        <v>58091.043644200661</v>
      </c>
      <c r="Q122" s="110">
        <v>18304.301606416237</v>
      </c>
      <c r="R122" s="113">
        <v>68616.308151555597</v>
      </c>
      <c r="S122" s="113">
        <v>76395.345250616898</v>
      </c>
      <c r="U122" s="7" t="s">
        <v>6676</v>
      </c>
    </row>
    <row r="123" spans="1:21" ht="16.5" customHeight="1" thickBot="1">
      <c r="A123" s="207" t="s">
        <v>10</v>
      </c>
      <c r="B123" s="211">
        <f t="shared" si="6"/>
        <v>110</v>
      </c>
      <c r="C123" s="211" t="s">
        <v>3</v>
      </c>
      <c r="D123" s="211">
        <f t="shared" si="7"/>
        <v>300</v>
      </c>
      <c r="E123" s="211" t="s">
        <v>3</v>
      </c>
      <c r="F123" s="209">
        <f t="shared" si="8"/>
        <v>1400</v>
      </c>
      <c r="G123" s="211" t="s">
        <v>3</v>
      </c>
      <c r="H123" s="208">
        <v>2</v>
      </c>
      <c r="I123" s="210" t="s">
        <v>529</v>
      </c>
      <c r="J123" s="103">
        <v>110</v>
      </c>
      <c r="K123" s="66">
        <v>300</v>
      </c>
      <c r="L123" s="66">
        <v>1400</v>
      </c>
      <c r="M123" s="164">
        <v>15.347373976572502</v>
      </c>
      <c r="N123" s="78">
        <v>4312.2315600000002</v>
      </c>
      <c r="O123" s="113">
        <v>51827.616870862934</v>
      </c>
      <c r="P123" s="113">
        <v>59844.675569223364</v>
      </c>
      <c r="Q123" s="110">
        <v>19079.277530200521</v>
      </c>
      <c r="R123" s="113">
        <v>70906.894401063459</v>
      </c>
      <c r="S123" s="113">
        <v>78923.953099423888</v>
      </c>
      <c r="U123" s="7" t="s">
        <v>6677</v>
      </c>
    </row>
    <row r="124" spans="1:21" ht="16.5" customHeight="1" thickBot="1">
      <c r="A124" s="207" t="s">
        <v>10</v>
      </c>
      <c r="B124" s="211">
        <f t="shared" si="6"/>
        <v>110</v>
      </c>
      <c r="C124" s="211" t="s">
        <v>3</v>
      </c>
      <c r="D124" s="211">
        <f t="shared" si="7"/>
        <v>300</v>
      </c>
      <c r="E124" s="211" t="s">
        <v>3</v>
      </c>
      <c r="F124" s="209">
        <f t="shared" si="8"/>
        <v>1450</v>
      </c>
      <c r="G124" s="211" t="s">
        <v>3</v>
      </c>
      <c r="H124" s="208">
        <v>2</v>
      </c>
      <c r="I124" s="210" t="s">
        <v>529</v>
      </c>
      <c r="J124" s="103">
        <v>110</v>
      </c>
      <c r="K124" s="66">
        <v>300</v>
      </c>
      <c r="L124" s="66">
        <v>1450</v>
      </c>
      <c r="M124" s="164">
        <v>15.815657915340001</v>
      </c>
      <c r="N124" s="78">
        <v>4517.5759200000002</v>
      </c>
      <c r="O124" s="113">
        <v>52986.779237446164</v>
      </c>
      <c r="P124" s="113">
        <v>61244.935505101981</v>
      </c>
      <c r="Q124" s="110">
        <v>19602.919163172111</v>
      </c>
      <c r="R124" s="113">
        <v>72589.698400618276</v>
      </c>
      <c r="S124" s="113">
        <v>80847.854668274085</v>
      </c>
      <c r="U124" s="7" t="s">
        <v>6678</v>
      </c>
    </row>
    <row r="125" spans="1:21" ht="16.5" customHeight="1" thickBot="1">
      <c r="A125" s="207" t="s">
        <v>10</v>
      </c>
      <c r="B125" s="211">
        <f t="shared" si="6"/>
        <v>110</v>
      </c>
      <c r="C125" s="211" t="s">
        <v>3</v>
      </c>
      <c r="D125" s="211">
        <f t="shared" si="7"/>
        <v>300</v>
      </c>
      <c r="E125" s="211" t="s">
        <v>3</v>
      </c>
      <c r="F125" s="209">
        <f t="shared" si="8"/>
        <v>1500</v>
      </c>
      <c r="G125" s="211" t="s">
        <v>3</v>
      </c>
      <c r="H125" s="208">
        <v>2</v>
      </c>
      <c r="I125" s="210" t="s">
        <v>529</v>
      </c>
      <c r="J125" s="103">
        <v>110</v>
      </c>
      <c r="K125" s="66">
        <v>300</v>
      </c>
      <c r="L125" s="66">
        <v>1500</v>
      </c>
      <c r="M125" s="164">
        <v>16.911135011407502</v>
      </c>
      <c r="N125" s="78">
        <v>4722.9202799999994</v>
      </c>
      <c r="O125" s="113">
        <v>54745.442908946367</v>
      </c>
      <c r="P125" s="113">
        <v>63411.374062418246</v>
      </c>
      <c r="Q125" s="110">
        <v>20377.895086956549</v>
      </c>
      <c r="R125" s="113">
        <v>75123.337995902912</v>
      </c>
      <c r="S125" s="113">
        <v>83789.269149374799</v>
      </c>
      <c r="U125" s="7" t="s">
        <v>6679</v>
      </c>
    </row>
    <row r="126" spans="1:21" ht="16.5" customHeight="1" thickBot="1">
      <c r="A126" s="207" t="s">
        <v>10</v>
      </c>
      <c r="B126" s="211">
        <f t="shared" si="6"/>
        <v>110</v>
      </c>
      <c r="C126" s="211" t="s">
        <v>3</v>
      </c>
      <c r="D126" s="211">
        <f t="shared" si="7"/>
        <v>300</v>
      </c>
      <c r="E126" s="211" t="s">
        <v>3</v>
      </c>
      <c r="F126" s="209">
        <f t="shared" si="8"/>
        <v>1550</v>
      </c>
      <c r="G126" s="211" t="s">
        <v>3</v>
      </c>
      <c r="H126" s="208">
        <v>2</v>
      </c>
      <c r="I126" s="210" t="s">
        <v>529</v>
      </c>
      <c r="J126" s="103">
        <v>110</v>
      </c>
      <c r="K126" s="66">
        <v>300</v>
      </c>
      <c r="L126" s="66">
        <v>1550</v>
      </c>
      <c r="M126" s="164">
        <v>17.448418950175</v>
      </c>
      <c r="N126" s="78">
        <v>4928.2646399999994</v>
      </c>
      <c r="O126" s="113">
        <v>55904.605275529597</v>
      </c>
      <c r="P126" s="113">
        <v>64811.633998296871</v>
      </c>
      <c r="Q126" s="110">
        <v>20901.536719928292</v>
      </c>
      <c r="R126" s="113">
        <v>76806.141995457889</v>
      </c>
      <c r="S126" s="113">
        <v>85713.170718225156</v>
      </c>
      <c r="U126" s="7" t="s">
        <v>6680</v>
      </c>
    </row>
    <row r="127" spans="1:21" ht="16.5" customHeight="1" thickBot="1">
      <c r="A127" s="207" t="s">
        <v>10</v>
      </c>
      <c r="B127" s="208">
        <f t="shared" si="6"/>
        <v>110</v>
      </c>
      <c r="C127" s="208" t="s">
        <v>3</v>
      </c>
      <c r="D127" s="208">
        <f t="shared" si="7"/>
        <v>300</v>
      </c>
      <c r="E127" s="208" t="s">
        <v>3</v>
      </c>
      <c r="F127" s="209">
        <f t="shared" si="8"/>
        <v>1600</v>
      </c>
      <c r="G127" s="208" t="s">
        <v>3</v>
      </c>
      <c r="H127" s="208">
        <v>2</v>
      </c>
      <c r="I127" s="210" t="s">
        <v>529</v>
      </c>
      <c r="J127" s="103">
        <v>110</v>
      </c>
      <c r="K127" s="66">
        <v>300</v>
      </c>
      <c r="L127" s="66">
        <v>1600</v>
      </c>
      <c r="M127" s="164">
        <v>17.916702888942499</v>
      </c>
      <c r="N127" s="78">
        <v>5133.6089999999995</v>
      </c>
      <c r="O127" s="113">
        <v>59184.952708989425</v>
      </c>
      <c r="P127" s="113">
        <v>68314.774059785428</v>
      </c>
      <c r="Q127" s="110">
        <v>21425.178352900039</v>
      </c>
      <c r="R127" s="113">
        <v>80610.131061889464</v>
      </c>
      <c r="S127" s="113">
        <v>89739.952412685467</v>
      </c>
      <c r="U127" s="7" t="s">
        <v>6681</v>
      </c>
    </row>
    <row r="128" spans="1:21" ht="16.5" customHeight="1" thickBot="1">
      <c r="A128" s="207" t="s">
        <v>10</v>
      </c>
      <c r="B128" s="211">
        <f t="shared" si="6"/>
        <v>110</v>
      </c>
      <c r="C128" s="211" t="s">
        <v>3</v>
      </c>
      <c r="D128" s="211">
        <f t="shared" si="7"/>
        <v>300</v>
      </c>
      <c r="E128" s="211" t="s">
        <v>3</v>
      </c>
      <c r="F128" s="209">
        <f t="shared" si="8"/>
        <v>1650</v>
      </c>
      <c r="G128" s="211" t="s">
        <v>3</v>
      </c>
      <c r="H128" s="208">
        <v>2</v>
      </c>
      <c r="I128" s="210" t="s">
        <v>529</v>
      </c>
      <c r="J128" s="103">
        <v>110</v>
      </c>
      <c r="K128" s="66">
        <v>300</v>
      </c>
      <c r="L128" s="66">
        <v>1650</v>
      </c>
      <c r="M128" s="164">
        <v>18.44002682771</v>
      </c>
      <c r="N128" s="78">
        <v>5338.9533599999995</v>
      </c>
      <c r="O128" s="113">
        <v>62740.263612536168</v>
      </c>
      <c r="P128" s="113">
        <v>72090.504780888936</v>
      </c>
      <c r="Q128" s="110">
        <v>22200.154276684319</v>
      </c>
      <c r="R128" s="113">
        <v>84940.417889220495</v>
      </c>
      <c r="S128" s="113">
        <v>94290.659057573255</v>
      </c>
      <c r="U128" s="7" t="s">
        <v>6682</v>
      </c>
    </row>
    <row r="129" spans="1:21" ht="16.5" customHeight="1" thickBot="1">
      <c r="A129" s="207" t="s">
        <v>10</v>
      </c>
      <c r="B129" s="211">
        <f t="shared" si="6"/>
        <v>110</v>
      </c>
      <c r="C129" s="211" t="s">
        <v>3</v>
      </c>
      <c r="D129" s="211">
        <f t="shared" si="7"/>
        <v>300</v>
      </c>
      <c r="E129" s="211" t="s">
        <v>3</v>
      </c>
      <c r="F129" s="209">
        <f t="shared" si="8"/>
        <v>1700</v>
      </c>
      <c r="G129" s="211" t="s">
        <v>3</v>
      </c>
      <c r="H129" s="208">
        <v>2</v>
      </c>
      <c r="I129" s="210" t="s">
        <v>529</v>
      </c>
      <c r="J129" s="103">
        <v>110</v>
      </c>
      <c r="K129" s="66">
        <v>300</v>
      </c>
      <c r="L129" s="66">
        <v>1700</v>
      </c>
      <c r="M129" s="164">
        <v>18.908310766477502</v>
      </c>
      <c r="N129" s="78">
        <v>5544.2977199999996</v>
      </c>
      <c r="O129" s="113">
        <v>63675.815251660868</v>
      </c>
      <c r="P129" s="113">
        <v>73269.083743248761</v>
      </c>
      <c r="Q129" s="110">
        <v>22723.795909656066</v>
      </c>
      <c r="R129" s="113">
        <v>86399.611161316934</v>
      </c>
      <c r="S129" s="113">
        <v>95992.879652904827</v>
      </c>
      <c r="U129" s="7" t="s">
        <v>6683</v>
      </c>
    </row>
    <row r="130" spans="1:21" ht="16.5" customHeight="1" thickBot="1">
      <c r="A130" s="207" t="s">
        <v>10</v>
      </c>
      <c r="B130" s="211">
        <f t="shared" si="6"/>
        <v>110</v>
      </c>
      <c r="C130" s="211" t="s">
        <v>3</v>
      </c>
      <c r="D130" s="211">
        <f t="shared" si="7"/>
        <v>300</v>
      </c>
      <c r="E130" s="211" t="s">
        <v>3</v>
      </c>
      <c r="F130" s="209">
        <f t="shared" si="8"/>
        <v>1750</v>
      </c>
      <c r="G130" s="211" t="s">
        <v>3</v>
      </c>
      <c r="H130" s="208">
        <v>2</v>
      </c>
      <c r="I130" s="210" t="s">
        <v>529</v>
      </c>
      <c r="J130" s="103">
        <v>110</v>
      </c>
      <c r="K130" s="66">
        <v>300</v>
      </c>
      <c r="L130" s="66">
        <v>1750</v>
      </c>
      <c r="M130" s="164">
        <v>19.393634705244999</v>
      </c>
      <c r="N130" s="78">
        <v>5749.6420799999987</v>
      </c>
      <c r="O130" s="113">
        <v>64528.359359992937</v>
      </c>
      <c r="P130" s="113">
        <v>74365.371349436726</v>
      </c>
      <c r="Q130" s="110">
        <v>23498.771833440347</v>
      </c>
      <c r="R130" s="113">
        <v>88027.131193433277</v>
      </c>
      <c r="S130" s="113">
        <v>97864.143182877073</v>
      </c>
      <c r="U130" s="7" t="s">
        <v>6684</v>
      </c>
    </row>
    <row r="131" spans="1:21" ht="16.5" customHeight="1" thickBot="1">
      <c r="A131" s="207" t="s">
        <v>10</v>
      </c>
      <c r="B131" s="211">
        <f t="shared" si="6"/>
        <v>110</v>
      </c>
      <c r="C131" s="211" t="s">
        <v>3</v>
      </c>
      <c r="D131" s="211">
        <f t="shared" si="7"/>
        <v>300</v>
      </c>
      <c r="E131" s="211" t="s">
        <v>3</v>
      </c>
      <c r="F131" s="209">
        <f t="shared" si="8"/>
        <v>1800</v>
      </c>
      <c r="G131" s="211" t="s">
        <v>3</v>
      </c>
      <c r="H131" s="208">
        <v>2</v>
      </c>
      <c r="I131" s="210" t="s">
        <v>529</v>
      </c>
      <c r="J131" s="103">
        <v>110</v>
      </c>
      <c r="K131" s="66">
        <v>300</v>
      </c>
      <c r="L131" s="66">
        <v>1800</v>
      </c>
      <c r="M131" s="164">
        <v>19.9309186440125</v>
      </c>
      <c r="N131" s="78">
        <v>5954.9864399999988</v>
      </c>
      <c r="O131" s="113">
        <v>65464.67024368437</v>
      </c>
      <c r="P131" s="113">
        <v>75544.702983777825</v>
      </c>
      <c r="Q131" s="110">
        <v>24022.413466412094</v>
      </c>
      <c r="R131" s="113">
        <v>89487.083710096456</v>
      </c>
      <c r="S131" s="113">
        <v>99567.116450189918</v>
      </c>
      <c r="U131" s="7" t="s">
        <v>6685</v>
      </c>
    </row>
    <row r="132" spans="1:21" ht="16.5" customHeight="1" thickBot="1">
      <c r="A132" s="207" t="s">
        <v>10</v>
      </c>
      <c r="B132" s="211">
        <f t="shared" si="6"/>
        <v>110</v>
      </c>
      <c r="C132" s="211" t="s">
        <v>3</v>
      </c>
      <c r="D132" s="211">
        <f t="shared" si="7"/>
        <v>300</v>
      </c>
      <c r="E132" s="211" t="s">
        <v>3</v>
      </c>
      <c r="F132" s="209">
        <f t="shared" si="8"/>
        <v>1850</v>
      </c>
      <c r="G132" s="211" t="s">
        <v>3</v>
      </c>
      <c r="H132" s="208">
        <v>2</v>
      </c>
      <c r="I132" s="210" t="s">
        <v>529</v>
      </c>
      <c r="J132" s="103">
        <v>110</v>
      </c>
      <c r="K132" s="66">
        <v>300</v>
      </c>
      <c r="L132" s="66">
        <v>1850</v>
      </c>
      <c r="M132" s="164">
        <v>20.478242582780002</v>
      </c>
      <c r="N132" s="78">
        <v>6160.3307999999997</v>
      </c>
      <c r="O132" s="113">
        <v>66400.92870737231</v>
      </c>
      <c r="P132" s="113">
        <v>76723.982695458893</v>
      </c>
      <c r="Q132" s="110">
        <v>24797.389237167612</v>
      </c>
      <c r="R132" s="113">
        <v>91198.317944539915</v>
      </c>
      <c r="S132" s="113">
        <v>101521.3719326265</v>
      </c>
      <c r="U132" s="7" t="s">
        <v>6686</v>
      </c>
    </row>
    <row r="133" spans="1:21" ht="16.5" customHeight="1" thickBot="1">
      <c r="A133" s="207" t="s">
        <v>10</v>
      </c>
      <c r="B133" s="211">
        <f t="shared" si="6"/>
        <v>110</v>
      </c>
      <c r="C133" s="211" t="s">
        <v>3</v>
      </c>
      <c r="D133" s="211">
        <f t="shared" si="7"/>
        <v>300</v>
      </c>
      <c r="E133" s="211" t="s">
        <v>3</v>
      </c>
      <c r="F133" s="209">
        <f t="shared" si="8"/>
        <v>1900</v>
      </c>
      <c r="G133" s="211" t="s">
        <v>3</v>
      </c>
      <c r="H133" s="208">
        <v>2</v>
      </c>
      <c r="I133" s="210" t="s">
        <v>529</v>
      </c>
      <c r="J133" s="103">
        <v>110</v>
      </c>
      <c r="K133" s="66">
        <v>300</v>
      </c>
      <c r="L133" s="66">
        <v>1900</v>
      </c>
      <c r="M133" s="164">
        <v>20.946526521547504</v>
      </c>
      <c r="N133" s="78">
        <v>6365.6751599999998</v>
      </c>
      <c r="O133" s="113">
        <v>67527.996374000199</v>
      </c>
      <c r="P133" s="113">
        <v>78092.425058824374</v>
      </c>
      <c r="Q133" s="110">
        <v>25321.031023168125</v>
      </c>
      <c r="R133" s="113">
        <v>92849.02739716832</v>
      </c>
      <c r="S133" s="113">
        <v>103413.4560819925</v>
      </c>
      <c r="U133" s="7" t="s">
        <v>6687</v>
      </c>
    </row>
    <row r="134" spans="1:21" ht="16.5" customHeight="1" thickBot="1">
      <c r="A134" s="207" t="s">
        <v>10</v>
      </c>
      <c r="B134" s="211">
        <f t="shared" si="6"/>
        <v>110</v>
      </c>
      <c r="C134" s="211" t="s">
        <v>3</v>
      </c>
      <c r="D134" s="211">
        <f t="shared" si="7"/>
        <v>300</v>
      </c>
      <c r="E134" s="211" t="s">
        <v>3</v>
      </c>
      <c r="F134" s="209">
        <f t="shared" si="8"/>
        <v>1950</v>
      </c>
      <c r="G134" s="211" t="s">
        <v>3</v>
      </c>
      <c r="H134" s="208">
        <v>2</v>
      </c>
      <c r="I134" s="210" t="s">
        <v>529</v>
      </c>
      <c r="J134" s="103">
        <v>110</v>
      </c>
      <c r="K134" s="66">
        <v>300</v>
      </c>
      <c r="L134" s="66">
        <v>1950</v>
      </c>
      <c r="M134" s="164">
        <v>21.568060460315003</v>
      </c>
      <c r="N134" s="78">
        <v>6571.0195199999998</v>
      </c>
      <c r="O134" s="113">
        <v>68828.593503210432</v>
      </c>
      <c r="P134" s="113">
        <v>79632.899176945051</v>
      </c>
      <c r="Q134" s="110">
        <v>25844.672656139872</v>
      </c>
      <c r="R134" s="113">
        <v>94673.2661593503</v>
      </c>
      <c r="S134" s="113">
        <v>105477.57183308492</v>
      </c>
      <c r="U134" s="7" t="s">
        <v>6688</v>
      </c>
    </row>
    <row r="135" spans="1:21" ht="16.5" customHeight="1" thickBot="1">
      <c r="A135" s="207" t="s">
        <v>10</v>
      </c>
      <c r="B135" s="211">
        <f t="shared" si="6"/>
        <v>110</v>
      </c>
      <c r="C135" s="211" t="s">
        <v>3</v>
      </c>
      <c r="D135" s="211">
        <f t="shared" si="7"/>
        <v>300</v>
      </c>
      <c r="E135" s="211" t="s">
        <v>3</v>
      </c>
      <c r="F135" s="209">
        <f t="shared" si="8"/>
        <v>2000</v>
      </c>
      <c r="G135" s="211" t="s">
        <v>3</v>
      </c>
      <c r="H135" s="208">
        <v>2</v>
      </c>
      <c r="I135" s="210" t="s">
        <v>529</v>
      </c>
      <c r="J135" s="103">
        <v>110</v>
      </c>
      <c r="K135" s="66">
        <v>300</v>
      </c>
      <c r="L135" s="66">
        <v>2000</v>
      </c>
      <c r="M135" s="164">
        <v>22.144946799082501</v>
      </c>
      <c r="N135" s="78">
        <v>6776.363879999999</v>
      </c>
      <c r="O135" s="113">
        <v>69989.699312156445</v>
      </c>
      <c r="P135" s="113">
        <v>81254.664899012161</v>
      </c>
      <c r="Q135" s="110">
        <v>26619.648426895383</v>
      </c>
      <c r="R135" s="113">
        <v>96609.347739051824</v>
      </c>
      <c r="S135" s="113">
        <v>107874.31332590754</v>
      </c>
      <c r="U135" s="7" t="s">
        <v>6689</v>
      </c>
    </row>
    <row r="136" spans="1:21" ht="16.5" customHeight="1" thickBot="1">
      <c r="A136" s="207" t="s">
        <v>10</v>
      </c>
      <c r="B136" s="211">
        <f t="shared" si="6"/>
        <v>110</v>
      </c>
      <c r="C136" s="211" t="s">
        <v>3</v>
      </c>
      <c r="D136" s="211">
        <f t="shared" si="7"/>
        <v>300</v>
      </c>
      <c r="E136" s="211" t="s">
        <v>3</v>
      </c>
      <c r="F136" s="209">
        <f t="shared" si="8"/>
        <v>2050</v>
      </c>
      <c r="G136" s="211" t="s">
        <v>3</v>
      </c>
      <c r="H136" s="208">
        <v>2</v>
      </c>
      <c r="I136" s="210" t="s">
        <v>529</v>
      </c>
      <c r="J136" s="103">
        <v>110</v>
      </c>
      <c r="K136" s="66">
        <v>300</v>
      </c>
      <c r="L136" s="66">
        <v>2050</v>
      </c>
      <c r="M136" s="164">
        <v>22.613230737850003</v>
      </c>
      <c r="N136" s="78">
        <v>6981.708239999999</v>
      </c>
      <c r="O136" s="113">
        <v>73262.885366677452</v>
      </c>
      <c r="P136" s="113">
        <v>84750.705466394502</v>
      </c>
      <c r="Q136" s="110">
        <v>27143.290212895896</v>
      </c>
      <c r="R136" s="113">
        <v>100406.17557957335</v>
      </c>
      <c r="S136" s="113">
        <v>111893.9956792904</v>
      </c>
      <c r="U136" s="7" t="s">
        <v>6690</v>
      </c>
    </row>
    <row r="137" spans="1:21" ht="16.5" customHeight="1" thickBot="1">
      <c r="A137" s="207" t="s">
        <v>10</v>
      </c>
      <c r="B137" s="208">
        <f t="shared" si="6"/>
        <v>110</v>
      </c>
      <c r="C137" s="208" t="s">
        <v>3</v>
      </c>
      <c r="D137" s="208">
        <f t="shared" si="7"/>
        <v>300</v>
      </c>
      <c r="E137" s="208" t="s">
        <v>3</v>
      </c>
      <c r="F137" s="209">
        <f t="shared" si="8"/>
        <v>2100</v>
      </c>
      <c r="G137" s="208" t="s">
        <v>3</v>
      </c>
      <c r="H137" s="208">
        <v>2</v>
      </c>
      <c r="I137" s="210" t="s">
        <v>529</v>
      </c>
      <c r="J137" s="103">
        <v>110</v>
      </c>
      <c r="K137" s="66">
        <v>300</v>
      </c>
      <c r="L137" s="66">
        <v>2100</v>
      </c>
      <c r="M137" s="164">
        <v>23.0985546766175</v>
      </c>
      <c r="N137" s="78">
        <v>7187.0525999999991</v>
      </c>
      <c r="O137" s="113">
        <v>74266.647267122273</v>
      </c>
      <c r="P137" s="113">
        <v>85996.906049626516</v>
      </c>
      <c r="Q137" s="110">
        <v>27918.265983651414</v>
      </c>
      <c r="R137" s="113">
        <v>102184.91325077368</v>
      </c>
      <c r="S137" s="113">
        <v>113915.17203327792</v>
      </c>
      <c r="U137" s="7" t="s">
        <v>6691</v>
      </c>
    </row>
    <row r="138" spans="1:21" ht="16.5" customHeight="1" thickBot="1">
      <c r="A138" s="207" t="s">
        <v>10</v>
      </c>
      <c r="B138" s="211">
        <f t="shared" si="6"/>
        <v>110</v>
      </c>
      <c r="C138" s="211" t="s">
        <v>3</v>
      </c>
      <c r="D138" s="211">
        <f t="shared" si="7"/>
        <v>300</v>
      </c>
      <c r="E138" s="211" t="s">
        <v>3</v>
      </c>
      <c r="F138" s="209">
        <f t="shared" si="8"/>
        <v>2150</v>
      </c>
      <c r="G138" s="211" t="s">
        <v>3</v>
      </c>
      <c r="H138" s="208">
        <v>2</v>
      </c>
      <c r="I138" s="210" t="s">
        <v>529</v>
      </c>
      <c r="J138" s="103">
        <v>110</v>
      </c>
      <c r="K138" s="66">
        <v>300</v>
      </c>
      <c r="L138" s="66">
        <v>2150</v>
      </c>
      <c r="M138" s="164">
        <v>23.690838615385005</v>
      </c>
      <c r="N138" s="78">
        <v>7392.3969599999991</v>
      </c>
      <c r="O138" s="113">
        <v>75431.312303253377</v>
      </c>
      <c r="P138" s="113">
        <v>87402.621170227198</v>
      </c>
      <c r="Q138" s="110">
        <v>28441.907769651927</v>
      </c>
      <c r="R138" s="113">
        <v>103873.2200729053</v>
      </c>
      <c r="S138" s="113">
        <v>115844.52893987912</v>
      </c>
      <c r="U138" s="7" t="s">
        <v>6692</v>
      </c>
    </row>
    <row r="139" spans="1:21" ht="16.5" customHeight="1" thickBot="1">
      <c r="A139" s="207" t="s">
        <v>10</v>
      </c>
      <c r="B139" s="211">
        <f t="shared" si="6"/>
        <v>110</v>
      </c>
      <c r="C139" s="211" t="s">
        <v>3</v>
      </c>
      <c r="D139" s="211">
        <f t="shared" si="7"/>
        <v>300</v>
      </c>
      <c r="E139" s="211" t="s">
        <v>3</v>
      </c>
      <c r="F139" s="209">
        <f t="shared" si="8"/>
        <v>2200</v>
      </c>
      <c r="G139" s="211" t="s">
        <v>3</v>
      </c>
      <c r="H139" s="208">
        <v>2</v>
      </c>
      <c r="I139" s="210" t="s">
        <v>529</v>
      </c>
      <c r="J139" s="103">
        <v>110</v>
      </c>
      <c r="K139" s="66">
        <v>300</v>
      </c>
      <c r="L139" s="66">
        <v>2200</v>
      </c>
      <c r="M139" s="164">
        <v>24.176162554152498</v>
      </c>
      <c r="N139" s="78">
        <v>7597.7413200000001</v>
      </c>
      <c r="O139" s="113">
        <v>76595.924789306533</v>
      </c>
      <c r="P139" s="113">
        <v>88808.28423044183</v>
      </c>
      <c r="Q139" s="110">
        <v>29216.883540407438</v>
      </c>
      <c r="R139" s="113">
        <v>105812.80832971397</v>
      </c>
      <c r="S139" s="113">
        <v>118025.16777084926</v>
      </c>
      <c r="U139" s="7" t="s">
        <v>6693</v>
      </c>
    </row>
    <row r="140" spans="1:21" ht="16.5" customHeight="1" thickBot="1">
      <c r="A140" s="207" t="s">
        <v>10</v>
      </c>
      <c r="B140" s="211">
        <f t="shared" si="6"/>
        <v>110</v>
      </c>
      <c r="C140" s="211" t="s">
        <v>3</v>
      </c>
      <c r="D140" s="211">
        <f t="shared" si="7"/>
        <v>300</v>
      </c>
      <c r="E140" s="211" t="s">
        <v>3</v>
      </c>
      <c r="F140" s="209">
        <f t="shared" si="8"/>
        <v>2250</v>
      </c>
      <c r="G140" s="211" t="s">
        <v>3</v>
      </c>
      <c r="H140" s="208">
        <v>2</v>
      </c>
      <c r="I140" s="210" t="s">
        <v>529</v>
      </c>
      <c r="J140" s="103">
        <v>110</v>
      </c>
      <c r="K140" s="66">
        <v>300</v>
      </c>
      <c r="L140" s="66">
        <v>2250</v>
      </c>
      <c r="M140" s="164">
        <v>24.644446492920004</v>
      </c>
      <c r="N140" s="78">
        <v>7803.0856799999983</v>
      </c>
      <c r="O140" s="113">
        <v>78108.913334408731</v>
      </c>
      <c r="P140" s="113">
        <v>90559.316992494758</v>
      </c>
      <c r="Q140" s="110">
        <v>29740.525173379188</v>
      </c>
      <c r="R140" s="113">
        <v>107849.43850778791</v>
      </c>
      <c r="S140" s="113">
        <v>120299.84216587394</v>
      </c>
      <c r="U140" s="7" t="s">
        <v>6694</v>
      </c>
    </row>
    <row r="141" spans="1:21" ht="16.5" customHeight="1" thickBot="1">
      <c r="A141" s="207" t="s">
        <v>10</v>
      </c>
      <c r="B141" s="211">
        <f t="shared" si="6"/>
        <v>110</v>
      </c>
      <c r="C141" s="211" t="s">
        <v>3</v>
      </c>
      <c r="D141" s="211">
        <f t="shared" si="7"/>
        <v>300</v>
      </c>
      <c r="E141" s="211" t="s">
        <v>3</v>
      </c>
      <c r="F141" s="209">
        <f t="shared" si="8"/>
        <v>2300</v>
      </c>
      <c r="G141" s="211" t="s">
        <v>3</v>
      </c>
      <c r="H141" s="208">
        <v>2</v>
      </c>
      <c r="I141" s="210" t="s">
        <v>529</v>
      </c>
      <c r="J141" s="103">
        <v>110</v>
      </c>
      <c r="K141" s="66">
        <v>300</v>
      </c>
      <c r="L141" s="66">
        <v>2300</v>
      </c>
      <c r="M141" s="164">
        <v>25.112730431687503</v>
      </c>
      <c r="N141" s="78">
        <v>8008.4300399999993</v>
      </c>
      <c r="O141" s="113">
        <v>79008.758886538388</v>
      </c>
      <c r="P141" s="113">
        <v>91702.498060141064</v>
      </c>
      <c r="Q141" s="110">
        <v>30264.166959379701</v>
      </c>
      <c r="R141" s="113">
        <v>109272.92584591809</v>
      </c>
      <c r="S141" s="113">
        <v>121966.66501952076</v>
      </c>
      <c r="U141" s="7" t="s">
        <v>6695</v>
      </c>
    </row>
    <row r="142" spans="1:21" ht="16.5" customHeight="1" thickBot="1">
      <c r="A142" s="207" t="s">
        <v>10</v>
      </c>
      <c r="B142" s="211">
        <f t="shared" si="6"/>
        <v>110</v>
      </c>
      <c r="C142" s="211" t="s">
        <v>3</v>
      </c>
      <c r="D142" s="211">
        <f t="shared" si="7"/>
        <v>300</v>
      </c>
      <c r="E142" s="211" t="s">
        <v>3</v>
      </c>
      <c r="F142" s="209">
        <f t="shared" si="8"/>
        <v>2350</v>
      </c>
      <c r="G142" s="211" t="s">
        <v>3</v>
      </c>
      <c r="H142" s="208">
        <v>2</v>
      </c>
      <c r="I142" s="210" t="s">
        <v>529</v>
      </c>
      <c r="J142" s="103">
        <v>110</v>
      </c>
      <c r="K142" s="66">
        <v>300</v>
      </c>
      <c r="L142" s="66">
        <v>2350</v>
      </c>
      <c r="M142" s="164">
        <v>25.598054370455003</v>
      </c>
      <c r="N142" s="78">
        <v>8213.7743999999984</v>
      </c>
      <c r="O142" s="113">
        <v>79908.552018664559</v>
      </c>
      <c r="P142" s="113">
        <v>92845.627067401467</v>
      </c>
      <c r="Q142" s="110">
        <v>31039.142730135216</v>
      </c>
      <c r="R142" s="113">
        <v>110947.69474879978</v>
      </c>
      <c r="S142" s="113">
        <v>123884.76979753669</v>
      </c>
      <c r="U142" s="7" t="s">
        <v>6696</v>
      </c>
    </row>
    <row r="143" spans="1:21" ht="16.5" customHeight="1" thickBot="1">
      <c r="A143" s="207" t="s">
        <v>10</v>
      </c>
      <c r="B143" s="211">
        <f t="shared" si="6"/>
        <v>110</v>
      </c>
      <c r="C143" s="211" t="s">
        <v>3</v>
      </c>
      <c r="D143" s="211">
        <f t="shared" si="7"/>
        <v>300</v>
      </c>
      <c r="E143" s="211" t="s">
        <v>3</v>
      </c>
      <c r="F143" s="209">
        <f t="shared" si="8"/>
        <v>2400</v>
      </c>
      <c r="G143" s="211" t="s">
        <v>3</v>
      </c>
      <c r="H143" s="208">
        <v>2</v>
      </c>
      <c r="I143" s="210" t="s">
        <v>529</v>
      </c>
      <c r="J143" s="103">
        <v>110</v>
      </c>
      <c r="K143" s="66">
        <v>300</v>
      </c>
      <c r="L143" s="66">
        <v>2400</v>
      </c>
      <c r="M143" s="164">
        <v>26.066338309222502</v>
      </c>
      <c r="N143" s="78">
        <v>8419.1187599999976</v>
      </c>
      <c r="O143" s="113">
        <v>80808.292600712783</v>
      </c>
      <c r="P143" s="113">
        <v>93988.704014275994</v>
      </c>
      <c r="Q143" s="110">
        <v>31562.784363106966</v>
      </c>
      <c r="R143" s="113">
        <v>112371.07696381975</v>
      </c>
      <c r="S143" s="113">
        <v>125551.48837738296</v>
      </c>
      <c r="U143" s="7" t="s">
        <v>6697</v>
      </c>
    </row>
    <row r="144" spans="1:21" ht="16.5" customHeight="1" thickBot="1">
      <c r="A144" s="207" t="s">
        <v>10</v>
      </c>
      <c r="B144" s="211">
        <f t="shared" si="6"/>
        <v>110</v>
      </c>
      <c r="C144" s="211" t="s">
        <v>3</v>
      </c>
      <c r="D144" s="211">
        <f t="shared" si="7"/>
        <v>300</v>
      </c>
      <c r="E144" s="211" t="s">
        <v>3</v>
      </c>
      <c r="F144" s="209">
        <f t="shared" si="8"/>
        <v>2450</v>
      </c>
      <c r="G144" s="211" t="s">
        <v>3</v>
      </c>
      <c r="H144" s="208">
        <v>2</v>
      </c>
      <c r="I144" s="210" t="s">
        <v>529</v>
      </c>
      <c r="J144" s="103">
        <v>110</v>
      </c>
      <c r="K144" s="66">
        <v>300</v>
      </c>
      <c r="L144" s="66">
        <v>2450</v>
      </c>
      <c r="M144" s="164">
        <v>27.275815405289997</v>
      </c>
      <c r="N144" s="78">
        <v>8624.4631200000003</v>
      </c>
      <c r="O144" s="113">
        <v>82307.482327823396</v>
      </c>
      <c r="P144" s="113">
        <v>95897.907659928154</v>
      </c>
      <c r="Q144" s="110">
        <v>32337.760286891244</v>
      </c>
      <c r="R144" s="113">
        <v>114645.24261471463</v>
      </c>
      <c r="S144" s="113">
        <v>128235.66794681939</v>
      </c>
      <c r="U144" s="7" t="s">
        <v>6698</v>
      </c>
    </row>
    <row r="145" spans="1:21" ht="16.5" customHeight="1" thickBot="1">
      <c r="A145" s="207" t="s">
        <v>10</v>
      </c>
      <c r="B145" s="211">
        <f t="shared" si="6"/>
        <v>110</v>
      </c>
      <c r="C145" s="211" t="s">
        <v>3</v>
      </c>
      <c r="D145" s="211">
        <f t="shared" si="7"/>
        <v>300</v>
      </c>
      <c r="E145" s="211" t="s">
        <v>3</v>
      </c>
      <c r="F145" s="209">
        <f t="shared" si="8"/>
        <v>2500</v>
      </c>
      <c r="G145" s="211" t="s">
        <v>3</v>
      </c>
      <c r="H145" s="208">
        <v>2</v>
      </c>
      <c r="I145" s="210" t="s">
        <v>529</v>
      </c>
      <c r="J145" s="103">
        <v>110</v>
      </c>
      <c r="K145" s="66">
        <v>300</v>
      </c>
      <c r="L145" s="66">
        <v>2500</v>
      </c>
      <c r="M145" s="164">
        <v>27.761099344057502</v>
      </c>
      <c r="N145" s="78">
        <v>8829.8074799999995</v>
      </c>
      <c r="O145" s="113">
        <v>83207.11806986462</v>
      </c>
      <c r="P145" s="113">
        <v>97040.880761482636</v>
      </c>
      <c r="Q145" s="110">
        <v>32861.40191986299</v>
      </c>
      <c r="R145" s="113">
        <v>116068.51998972762</v>
      </c>
      <c r="S145" s="113">
        <v>129902.28268134562</v>
      </c>
      <c r="U145" s="7" t="s">
        <v>6699</v>
      </c>
    </row>
    <row r="146" spans="1:21" ht="16.5" customHeight="1" thickBot="1">
      <c r="A146" s="207" t="s">
        <v>10</v>
      </c>
      <c r="B146" s="211">
        <f t="shared" si="6"/>
        <v>110</v>
      </c>
      <c r="C146" s="211" t="s">
        <v>3</v>
      </c>
      <c r="D146" s="211">
        <f t="shared" si="7"/>
        <v>300</v>
      </c>
      <c r="E146" s="211" t="s">
        <v>3</v>
      </c>
      <c r="F146" s="209">
        <f t="shared" si="8"/>
        <v>2550</v>
      </c>
      <c r="G146" s="211" t="s">
        <v>3</v>
      </c>
      <c r="H146" s="208">
        <v>2</v>
      </c>
      <c r="I146" s="210" t="s">
        <v>529</v>
      </c>
      <c r="J146" s="103">
        <v>110</v>
      </c>
      <c r="K146" s="66">
        <v>300</v>
      </c>
      <c r="L146" s="66">
        <v>2550</v>
      </c>
      <c r="M146" s="164">
        <v>28.246423282825006</v>
      </c>
      <c r="N146" s="78">
        <v>9035.1518400000004</v>
      </c>
      <c r="O146" s="113">
        <v>87697.527563225492</v>
      </c>
      <c r="P146" s="113">
        <v>101743.64044478614</v>
      </c>
      <c r="Q146" s="110">
        <v>33636.377843647271</v>
      </c>
      <c r="R146" s="113">
        <v>121333.90540687277</v>
      </c>
      <c r="S146" s="113">
        <v>135380.01828843341</v>
      </c>
      <c r="U146" s="7" t="s">
        <v>6700</v>
      </c>
    </row>
    <row r="147" spans="1:21" ht="16.5" customHeight="1" thickBot="1">
      <c r="A147" s="207" t="s">
        <v>10</v>
      </c>
      <c r="B147" s="208">
        <f t="shared" si="6"/>
        <v>110</v>
      </c>
      <c r="C147" s="208" t="s">
        <v>3</v>
      </c>
      <c r="D147" s="208">
        <f t="shared" si="7"/>
        <v>300</v>
      </c>
      <c r="E147" s="208" t="s">
        <v>3</v>
      </c>
      <c r="F147" s="209">
        <f t="shared" si="8"/>
        <v>2600</v>
      </c>
      <c r="G147" s="208" t="s">
        <v>3</v>
      </c>
      <c r="H147" s="208">
        <v>2</v>
      </c>
      <c r="I147" s="210" t="s">
        <v>529</v>
      </c>
      <c r="J147" s="103">
        <v>110</v>
      </c>
      <c r="K147" s="66">
        <v>300</v>
      </c>
      <c r="L147" s="66">
        <v>2600</v>
      </c>
      <c r="M147" s="164">
        <v>28.714707221592505</v>
      </c>
      <c r="N147" s="78">
        <v>9240.4961999999996</v>
      </c>
      <c r="O147" s="113">
        <v>88892.016459557621</v>
      </c>
      <c r="P147" s="113">
        <v>103178.92214597647</v>
      </c>
      <c r="Q147" s="110">
        <v>34160.019476619018</v>
      </c>
      <c r="R147" s="113">
        <v>123052.03593617663</v>
      </c>
      <c r="S147" s="113">
        <v>137338.94162259548</v>
      </c>
      <c r="U147" s="7" t="s">
        <v>6701</v>
      </c>
    </row>
    <row r="148" spans="1:21" ht="16.5" customHeight="1" thickBot="1">
      <c r="A148" s="207" t="s">
        <v>10</v>
      </c>
      <c r="B148" s="211">
        <f t="shared" si="6"/>
        <v>110</v>
      </c>
      <c r="C148" s="211" t="s">
        <v>3</v>
      </c>
      <c r="D148" s="211">
        <f t="shared" si="7"/>
        <v>300</v>
      </c>
      <c r="E148" s="211" t="s">
        <v>3</v>
      </c>
      <c r="F148" s="209">
        <f t="shared" si="8"/>
        <v>2650</v>
      </c>
      <c r="G148" s="211" t="s">
        <v>3</v>
      </c>
      <c r="H148" s="208">
        <v>2</v>
      </c>
      <c r="I148" s="210" t="s">
        <v>529</v>
      </c>
      <c r="J148" s="103">
        <v>110</v>
      </c>
      <c r="K148" s="66">
        <v>300</v>
      </c>
      <c r="L148" s="66">
        <v>2650</v>
      </c>
      <c r="M148" s="164">
        <v>29.307031160360001</v>
      </c>
      <c r="N148" s="78">
        <v>9445.8405599999987</v>
      </c>
      <c r="O148" s="113">
        <v>89617.129620588035</v>
      </c>
      <c r="P148" s="113">
        <v>104148.87861494628</v>
      </c>
      <c r="Q148" s="110">
        <v>34934.995247374536</v>
      </c>
      <c r="R148" s="113">
        <v>124552.12486796257</v>
      </c>
      <c r="S148" s="113">
        <v>139083.87386232082</v>
      </c>
      <c r="U148" s="7" t="s">
        <v>6702</v>
      </c>
    </row>
    <row r="149" spans="1:21" ht="16.5" customHeight="1" thickBot="1">
      <c r="A149" s="207" t="s">
        <v>10</v>
      </c>
      <c r="B149" s="211">
        <f t="shared" si="6"/>
        <v>110</v>
      </c>
      <c r="C149" s="211" t="s">
        <v>3</v>
      </c>
      <c r="D149" s="211">
        <f t="shared" si="7"/>
        <v>300</v>
      </c>
      <c r="E149" s="211" t="s">
        <v>3</v>
      </c>
      <c r="F149" s="209">
        <f t="shared" si="8"/>
        <v>2700</v>
      </c>
      <c r="G149" s="211" t="s">
        <v>3</v>
      </c>
      <c r="H149" s="208">
        <v>2</v>
      </c>
      <c r="I149" s="210" t="s">
        <v>529</v>
      </c>
      <c r="J149" s="103">
        <v>110</v>
      </c>
      <c r="K149" s="66">
        <v>300</v>
      </c>
      <c r="L149" s="66">
        <v>2700</v>
      </c>
      <c r="M149" s="164">
        <v>29.814565099127499</v>
      </c>
      <c r="N149" s="78">
        <v>9651.1849199999997</v>
      </c>
      <c r="O149" s="113">
        <v>90380.754054209843</v>
      </c>
      <c r="P149" s="113">
        <v>105157.01393977249</v>
      </c>
      <c r="Q149" s="110">
        <v>35458.637033375046</v>
      </c>
      <c r="R149" s="113">
        <v>125839.3910875849</v>
      </c>
      <c r="S149" s="113">
        <v>140615.65097314754</v>
      </c>
      <c r="U149" s="7" t="s">
        <v>6703</v>
      </c>
    </row>
    <row r="150" spans="1:21" ht="16.5" customHeight="1" thickBot="1">
      <c r="A150" s="207" t="s">
        <v>10</v>
      </c>
      <c r="B150" s="211">
        <f t="shared" si="6"/>
        <v>110</v>
      </c>
      <c r="C150" s="211" t="s">
        <v>3</v>
      </c>
      <c r="D150" s="211">
        <f t="shared" si="7"/>
        <v>300</v>
      </c>
      <c r="E150" s="211" t="s">
        <v>3</v>
      </c>
      <c r="F150" s="209">
        <f t="shared" si="8"/>
        <v>2750</v>
      </c>
      <c r="G150" s="211" t="s">
        <v>3</v>
      </c>
      <c r="H150" s="208">
        <v>2</v>
      </c>
      <c r="I150" s="210" t="s">
        <v>529</v>
      </c>
      <c r="J150" s="103">
        <v>110</v>
      </c>
      <c r="K150" s="66">
        <v>300</v>
      </c>
      <c r="L150" s="66">
        <v>2750</v>
      </c>
      <c r="M150" s="164">
        <v>30.282849037895005</v>
      </c>
      <c r="N150" s="78">
        <v>9856.5292799999988</v>
      </c>
      <c r="O150" s="113">
        <v>91194.874430055585</v>
      </c>
      <c r="P150" s="113">
        <v>106215.20959513979</v>
      </c>
      <c r="Q150" s="110">
        <v>35982.278666346792</v>
      </c>
      <c r="R150" s="113">
        <v>127177.15309640238</v>
      </c>
      <c r="S150" s="113">
        <v>142197.48826148658</v>
      </c>
      <c r="U150" s="7" t="s">
        <v>6704</v>
      </c>
    </row>
    <row r="151" spans="1:21" ht="16.5" customHeight="1" thickBot="1">
      <c r="A151" s="207" t="s">
        <v>10</v>
      </c>
      <c r="B151" s="211">
        <f t="shared" si="6"/>
        <v>110</v>
      </c>
      <c r="C151" s="211" t="s">
        <v>3</v>
      </c>
      <c r="D151" s="211">
        <f t="shared" si="7"/>
        <v>300</v>
      </c>
      <c r="E151" s="211" t="s">
        <v>3</v>
      </c>
      <c r="F151" s="209">
        <f t="shared" si="8"/>
        <v>2800</v>
      </c>
      <c r="G151" s="211" t="s">
        <v>3</v>
      </c>
      <c r="H151" s="208">
        <v>2</v>
      </c>
      <c r="I151" s="210" t="s">
        <v>529</v>
      </c>
      <c r="J151" s="103">
        <v>110</v>
      </c>
      <c r="K151" s="66">
        <v>300</v>
      </c>
      <c r="L151" s="66">
        <v>2800</v>
      </c>
      <c r="M151" s="164">
        <v>30.768172976662502</v>
      </c>
      <c r="N151" s="78">
        <v>10061.87364</v>
      </c>
      <c r="O151" s="113">
        <v>91918.642231045946</v>
      </c>
      <c r="P151" s="113">
        <v>107183.8321888784</v>
      </c>
      <c r="Q151" s="110">
        <v>36757.25443710231</v>
      </c>
      <c r="R151" s="113">
        <v>128675.89666814826</v>
      </c>
      <c r="S151" s="113">
        <v>143941.08662598071</v>
      </c>
      <c r="U151" s="7" t="s">
        <v>6705</v>
      </c>
    </row>
    <row r="152" spans="1:21" ht="16.5" customHeight="1" thickBot="1">
      <c r="A152" s="207" t="s">
        <v>10</v>
      </c>
      <c r="B152" s="211">
        <f t="shared" si="6"/>
        <v>110</v>
      </c>
      <c r="C152" s="211" t="s">
        <v>3</v>
      </c>
      <c r="D152" s="211">
        <f t="shared" si="7"/>
        <v>300</v>
      </c>
      <c r="E152" s="211" t="s">
        <v>3</v>
      </c>
      <c r="F152" s="209">
        <f t="shared" si="8"/>
        <v>2850</v>
      </c>
      <c r="G152" s="211" t="s">
        <v>3</v>
      </c>
      <c r="H152" s="208">
        <v>2</v>
      </c>
      <c r="I152" s="210" t="s">
        <v>529</v>
      </c>
      <c r="J152" s="103">
        <v>110</v>
      </c>
      <c r="K152" s="66">
        <v>300</v>
      </c>
      <c r="L152" s="66">
        <v>2850</v>
      </c>
      <c r="M152" s="164">
        <v>31.236456915430004</v>
      </c>
      <c r="N152" s="78">
        <v>10267.217999999999</v>
      </c>
      <c r="O152" s="113">
        <v>92642.357612032822</v>
      </c>
      <c r="P152" s="113">
        <v>108152.40285995702</v>
      </c>
      <c r="Q152" s="110">
        <v>37280.89622310282</v>
      </c>
      <c r="R152" s="113">
        <v>129923.25383513563</v>
      </c>
      <c r="S152" s="113">
        <v>145433.29908305983</v>
      </c>
      <c r="U152" s="7" t="s">
        <v>6706</v>
      </c>
    </row>
    <row r="153" spans="1:21" ht="16.5" customHeight="1" thickBot="1">
      <c r="A153" s="207" t="s">
        <v>10</v>
      </c>
      <c r="B153" s="211">
        <f t="shared" si="6"/>
        <v>110</v>
      </c>
      <c r="C153" s="211" t="s">
        <v>3</v>
      </c>
      <c r="D153" s="211">
        <f t="shared" si="7"/>
        <v>300</v>
      </c>
      <c r="E153" s="211" t="s">
        <v>3</v>
      </c>
      <c r="F153" s="209">
        <f t="shared" si="8"/>
        <v>2900</v>
      </c>
      <c r="G153" s="211" t="s">
        <v>3</v>
      </c>
      <c r="H153" s="208">
        <v>2</v>
      </c>
      <c r="I153" s="210" t="s">
        <v>529</v>
      </c>
      <c r="J153" s="103">
        <v>110</v>
      </c>
      <c r="K153" s="66">
        <v>300</v>
      </c>
      <c r="L153" s="66">
        <v>2900</v>
      </c>
      <c r="M153" s="164">
        <v>31.897780854197507</v>
      </c>
      <c r="N153" s="78">
        <v>10472.56236</v>
      </c>
      <c r="O153" s="113">
        <v>93366.020442941735</v>
      </c>
      <c r="P153" s="113">
        <v>109120.9216083756</v>
      </c>
      <c r="Q153" s="110">
        <v>38055.871993858338</v>
      </c>
      <c r="R153" s="113">
        <v>131421.89243680006</v>
      </c>
      <c r="S153" s="113">
        <v>147176.79360223393</v>
      </c>
      <c r="U153" s="7" t="s">
        <v>6707</v>
      </c>
    </row>
    <row r="154" spans="1:21" ht="16.5" customHeight="1" thickBot="1">
      <c r="A154" s="207" t="s">
        <v>10</v>
      </c>
      <c r="B154" s="211">
        <f t="shared" si="6"/>
        <v>110</v>
      </c>
      <c r="C154" s="211" t="s">
        <v>3</v>
      </c>
      <c r="D154" s="211">
        <f t="shared" si="7"/>
        <v>300</v>
      </c>
      <c r="E154" s="211" t="s">
        <v>3</v>
      </c>
      <c r="F154" s="209">
        <f t="shared" si="8"/>
        <v>2950</v>
      </c>
      <c r="G154" s="211" t="s">
        <v>3</v>
      </c>
      <c r="H154" s="208">
        <v>2</v>
      </c>
      <c r="I154" s="210" t="s">
        <v>529</v>
      </c>
      <c r="J154" s="103">
        <v>110</v>
      </c>
      <c r="K154" s="66">
        <v>300</v>
      </c>
      <c r="L154" s="66">
        <v>2950</v>
      </c>
      <c r="M154" s="164">
        <v>32.366064792965005</v>
      </c>
      <c r="N154" s="78">
        <v>10677.906719999999</v>
      </c>
      <c r="O154" s="113">
        <v>94089.630983921626</v>
      </c>
      <c r="P154" s="113">
        <v>110089.38843413418</v>
      </c>
      <c r="Q154" s="110">
        <v>38579.513779858848</v>
      </c>
      <c r="R154" s="113">
        <v>132669.14476378047</v>
      </c>
      <c r="S154" s="113">
        <v>148668.90221399302</v>
      </c>
      <c r="U154" s="7" t="s">
        <v>6708</v>
      </c>
    </row>
    <row r="155" spans="1:21" ht="16.5" customHeight="1" thickBot="1">
      <c r="A155" s="212" t="s">
        <v>10</v>
      </c>
      <c r="B155" s="213">
        <f t="shared" si="6"/>
        <v>110</v>
      </c>
      <c r="C155" s="213" t="s">
        <v>3</v>
      </c>
      <c r="D155" s="213">
        <f t="shared" si="7"/>
        <v>300</v>
      </c>
      <c r="E155" s="213" t="s">
        <v>3</v>
      </c>
      <c r="F155" s="214">
        <f t="shared" si="8"/>
        <v>3000</v>
      </c>
      <c r="G155" s="213" t="s">
        <v>3</v>
      </c>
      <c r="H155" s="215">
        <v>2</v>
      </c>
      <c r="I155" s="210" t="s">
        <v>529</v>
      </c>
      <c r="J155" s="287">
        <v>110</v>
      </c>
      <c r="K155" s="266">
        <v>300</v>
      </c>
      <c r="L155" s="266">
        <v>3000</v>
      </c>
      <c r="M155" s="249">
        <v>32.851388731732499</v>
      </c>
      <c r="N155" s="250">
        <v>10883.25108</v>
      </c>
      <c r="O155" s="251">
        <v>96684.541215570964</v>
      </c>
      <c r="P155" s="251">
        <v>112913.00617694475</v>
      </c>
      <c r="Q155" s="252">
        <v>39354.489550614366</v>
      </c>
      <c r="R155" s="251">
        <v>136039.03076618531</v>
      </c>
      <c r="S155" s="251">
        <v>152267.49572755912</v>
      </c>
      <c r="U155" s="7" t="s">
        <v>6709</v>
      </c>
    </row>
    <row r="156" spans="1:21" ht="22.5" customHeight="1" thickBot="1">
      <c r="A156" s="2968" t="s">
        <v>44</v>
      </c>
      <c r="B156" s="2969"/>
      <c r="C156" s="2969"/>
      <c r="D156" s="2969"/>
      <c r="E156" s="2969"/>
      <c r="F156" s="2969"/>
      <c r="G156" s="2969"/>
      <c r="H156" s="2969"/>
      <c r="I156" s="2969"/>
      <c r="J156" s="2969"/>
      <c r="K156" s="2969"/>
      <c r="L156" s="2969"/>
      <c r="M156" s="2969"/>
      <c r="N156" s="2969"/>
      <c r="O156" s="2969"/>
      <c r="P156" s="2969"/>
      <c r="Q156" s="2969"/>
      <c r="R156" s="2969"/>
      <c r="S156" s="2970"/>
    </row>
    <row r="157" spans="1:21" ht="16.5" customHeight="1" thickBot="1">
      <c r="A157" s="3015" t="s">
        <v>113</v>
      </c>
      <c r="B157" s="3016"/>
      <c r="C157" s="3016"/>
      <c r="D157" s="3016"/>
      <c r="E157" s="3016"/>
      <c r="F157" s="3016"/>
      <c r="G157" s="3016"/>
      <c r="H157" s="3016"/>
      <c r="I157" s="3016"/>
      <c r="J157" s="3016"/>
      <c r="K157" s="3016"/>
      <c r="L157" s="3016"/>
      <c r="M157" s="3016"/>
      <c r="N157" s="3016"/>
      <c r="O157" s="3016"/>
      <c r="P157" s="3016"/>
      <c r="Q157" s="3016"/>
      <c r="R157" s="3016"/>
      <c r="S157" s="3017"/>
    </row>
    <row r="158" spans="1:21" ht="16.5" thickBot="1">
      <c r="A158" s="207" t="s">
        <v>10</v>
      </c>
      <c r="B158" s="208">
        <f t="shared" ref="B158:B204" si="9">J158</f>
        <v>110</v>
      </c>
      <c r="C158" s="208" t="s">
        <v>3</v>
      </c>
      <c r="D158" s="208">
        <f t="shared" ref="D158:D204" si="10">K158</f>
        <v>360</v>
      </c>
      <c r="E158" s="208" t="s">
        <v>3</v>
      </c>
      <c r="F158" s="209">
        <f t="shared" ref="F158:F204" si="11">L158</f>
        <v>700</v>
      </c>
      <c r="G158" s="208" t="s">
        <v>3</v>
      </c>
      <c r="H158" s="208">
        <v>4</v>
      </c>
      <c r="I158" s="210" t="s">
        <v>529</v>
      </c>
      <c r="J158" s="286">
        <v>110</v>
      </c>
      <c r="K158" s="271">
        <v>360</v>
      </c>
      <c r="L158" s="271">
        <v>700</v>
      </c>
      <c r="M158" s="245">
        <v>10.07966824482342</v>
      </c>
      <c r="N158" s="246">
        <v>1925.3469718233548</v>
      </c>
      <c r="O158" s="247">
        <v>32572.770777436188</v>
      </c>
      <c r="P158" s="247">
        <v>37986.023498396054</v>
      </c>
      <c r="Q158" s="248">
        <v>11490.936859530682</v>
      </c>
      <c r="R158" s="247">
        <v>44063.707636966872</v>
      </c>
      <c r="S158" s="247">
        <v>49476.960357926735</v>
      </c>
      <c r="U158" s="7" t="s">
        <v>6710</v>
      </c>
    </row>
    <row r="159" spans="1:21" ht="16.5" thickBot="1">
      <c r="A159" s="207" t="s">
        <v>10</v>
      </c>
      <c r="B159" s="211">
        <f t="shared" si="9"/>
        <v>110</v>
      </c>
      <c r="C159" s="211" t="s">
        <v>3</v>
      </c>
      <c r="D159" s="211">
        <f t="shared" si="10"/>
        <v>360</v>
      </c>
      <c r="E159" s="211" t="s">
        <v>3</v>
      </c>
      <c r="F159" s="209">
        <f t="shared" si="11"/>
        <v>750</v>
      </c>
      <c r="G159" s="211" t="s">
        <v>3</v>
      </c>
      <c r="H159" s="208">
        <v>4</v>
      </c>
      <c r="I159" s="210" t="s">
        <v>529</v>
      </c>
      <c r="J159" s="103">
        <v>110</v>
      </c>
      <c r="K159" s="66">
        <v>360</v>
      </c>
      <c r="L159" s="66">
        <v>750</v>
      </c>
      <c r="M159" s="164">
        <v>10.691458194200525</v>
      </c>
      <c r="N159" s="78">
        <v>2200.3965392266919</v>
      </c>
      <c r="O159" s="113">
        <v>34555.83472830859</v>
      </c>
      <c r="P159" s="113">
        <v>40238.897446146642</v>
      </c>
      <c r="Q159" s="110">
        <v>12094.357743768871</v>
      </c>
      <c r="R159" s="113">
        <v>46650.192472077462</v>
      </c>
      <c r="S159" s="113">
        <v>52333.255189915515</v>
      </c>
      <c r="U159" s="7" t="s">
        <v>6711</v>
      </c>
    </row>
    <row r="160" spans="1:21" ht="16.5" thickBot="1">
      <c r="A160" s="207" t="s">
        <v>10</v>
      </c>
      <c r="B160" s="211">
        <f t="shared" si="9"/>
        <v>110</v>
      </c>
      <c r="C160" s="211" t="s">
        <v>3</v>
      </c>
      <c r="D160" s="211">
        <f t="shared" si="10"/>
        <v>360</v>
      </c>
      <c r="E160" s="211" t="s">
        <v>3</v>
      </c>
      <c r="F160" s="209">
        <f t="shared" si="11"/>
        <v>800</v>
      </c>
      <c r="G160" s="211" t="s">
        <v>3</v>
      </c>
      <c r="H160" s="208">
        <v>4</v>
      </c>
      <c r="I160" s="210" t="s">
        <v>529</v>
      </c>
      <c r="J160" s="103">
        <v>110</v>
      </c>
      <c r="K160" s="66">
        <v>360</v>
      </c>
      <c r="L160" s="66">
        <v>800</v>
      </c>
      <c r="M160" s="164">
        <v>11.303248143577632</v>
      </c>
      <c r="N160" s="78">
        <v>2475.4461066300282</v>
      </c>
      <c r="O160" s="113">
        <v>36539.557896495397</v>
      </c>
      <c r="P160" s="113">
        <v>42492.425178690479</v>
      </c>
      <c r="Q160" s="110">
        <v>12697.77862800706</v>
      </c>
      <c r="R160" s="113">
        <v>49237.336524502454</v>
      </c>
      <c r="S160" s="113">
        <v>55190.203806697536</v>
      </c>
      <c r="U160" s="7" t="s">
        <v>6712</v>
      </c>
    </row>
    <row r="161" spans="1:21" ht="16.5" thickBot="1">
      <c r="A161" s="207" t="s">
        <v>10</v>
      </c>
      <c r="B161" s="211">
        <f t="shared" si="9"/>
        <v>110</v>
      </c>
      <c r="C161" s="211" t="s">
        <v>3</v>
      </c>
      <c r="D161" s="211">
        <f t="shared" si="10"/>
        <v>360</v>
      </c>
      <c r="E161" s="211" t="s">
        <v>3</v>
      </c>
      <c r="F161" s="209">
        <f t="shared" si="11"/>
        <v>850</v>
      </c>
      <c r="G161" s="211" t="s">
        <v>3</v>
      </c>
      <c r="H161" s="208">
        <v>4</v>
      </c>
      <c r="I161" s="210" t="s">
        <v>529</v>
      </c>
      <c r="J161" s="103">
        <v>110</v>
      </c>
      <c r="K161" s="66">
        <v>360</v>
      </c>
      <c r="L161" s="66">
        <v>850</v>
      </c>
      <c r="M161" s="164">
        <v>11.932078092954736</v>
      </c>
      <c r="N161" s="78">
        <v>2750.4956740333641</v>
      </c>
      <c r="O161" s="113">
        <v>38523.281064682196</v>
      </c>
      <c r="P161" s="113">
        <v>44745.952773508427</v>
      </c>
      <c r="Q161" s="110">
        <v>13552.533650029018</v>
      </c>
      <c r="R161" s="113">
        <v>52075.814714711218</v>
      </c>
      <c r="S161" s="113">
        <v>58298.486423537441</v>
      </c>
      <c r="U161" s="7" t="s">
        <v>6713</v>
      </c>
    </row>
    <row r="162" spans="1:21" ht="16.5" thickBot="1">
      <c r="A162" s="207" t="s">
        <v>10</v>
      </c>
      <c r="B162" s="211">
        <f t="shared" si="9"/>
        <v>110</v>
      </c>
      <c r="C162" s="211" t="s">
        <v>3</v>
      </c>
      <c r="D162" s="211">
        <f t="shared" si="10"/>
        <v>360</v>
      </c>
      <c r="E162" s="211" t="s">
        <v>3</v>
      </c>
      <c r="F162" s="209">
        <f t="shared" si="11"/>
        <v>900</v>
      </c>
      <c r="G162" s="211" t="s">
        <v>3</v>
      </c>
      <c r="H162" s="208">
        <v>4</v>
      </c>
      <c r="I162" s="210" t="s">
        <v>529</v>
      </c>
      <c r="J162" s="103">
        <v>110</v>
      </c>
      <c r="K162" s="66">
        <v>360</v>
      </c>
      <c r="L162" s="66">
        <v>900</v>
      </c>
      <c r="M162" s="164">
        <v>12.581868042331845</v>
      </c>
      <c r="N162" s="78">
        <v>3025.5452414367014</v>
      </c>
      <c r="O162" s="113">
        <v>40507.004232869003</v>
      </c>
      <c r="P162" s="113">
        <v>46999.480368326367</v>
      </c>
      <c r="Q162" s="110">
        <v>14155.954534267206</v>
      </c>
      <c r="R162" s="113">
        <v>54662.95876713621</v>
      </c>
      <c r="S162" s="113">
        <v>61155.434902593573</v>
      </c>
      <c r="U162" s="7" t="s">
        <v>6714</v>
      </c>
    </row>
    <row r="163" spans="1:21" ht="16.5" thickBot="1">
      <c r="A163" s="207" t="s">
        <v>10</v>
      </c>
      <c r="B163" s="211">
        <f t="shared" si="9"/>
        <v>110</v>
      </c>
      <c r="C163" s="211" t="s">
        <v>3</v>
      </c>
      <c r="D163" s="211">
        <f t="shared" si="10"/>
        <v>360</v>
      </c>
      <c r="E163" s="211" t="s">
        <v>3</v>
      </c>
      <c r="F163" s="209">
        <f t="shared" si="11"/>
        <v>950</v>
      </c>
      <c r="G163" s="211" t="s">
        <v>3</v>
      </c>
      <c r="H163" s="208">
        <v>4</v>
      </c>
      <c r="I163" s="210" t="s">
        <v>529</v>
      </c>
      <c r="J163" s="103">
        <v>110</v>
      </c>
      <c r="K163" s="66">
        <v>360</v>
      </c>
      <c r="L163" s="66">
        <v>950</v>
      </c>
      <c r="M163" s="164">
        <v>13.279697991708947</v>
      </c>
      <c r="N163" s="78">
        <v>3300.5948088400369</v>
      </c>
      <c r="O163" s="113">
        <v>42490.727401055803</v>
      </c>
      <c r="P163" s="113">
        <v>49253.008100870211</v>
      </c>
      <c r="Q163" s="110">
        <v>15010.709556289165</v>
      </c>
      <c r="R163" s="113">
        <v>57501.436957344966</v>
      </c>
      <c r="S163" s="113">
        <v>64263.717657159374</v>
      </c>
      <c r="U163" s="7" t="s">
        <v>6715</v>
      </c>
    </row>
    <row r="164" spans="1:21" ht="16.5" thickBot="1">
      <c r="A164" s="207" t="s">
        <v>10</v>
      </c>
      <c r="B164" s="211">
        <f t="shared" si="9"/>
        <v>110</v>
      </c>
      <c r="C164" s="211" t="s">
        <v>3</v>
      </c>
      <c r="D164" s="211">
        <f t="shared" si="10"/>
        <v>360</v>
      </c>
      <c r="E164" s="211" t="s">
        <v>3</v>
      </c>
      <c r="F164" s="209">
        <f t="shared" si="11"/>
        <v>1000</v>
      </c>
      <c r="G164" s="211" t="s">
        <v>3</v>
      </c>
      <c r="H164" s="208">
        <v>4</v>
      </c>
      <c r="I164" s="210" t="s">
        <v>529</v>
      </c>
      <c r="J164" s="103">
        <v>110</v>
      </c>
      <c r="K164" s="66">
        <v>360</v>
      </c>
      <c r="L164" s="66">
        <v>1000</v>
      </c>
      <c r="M164" s="164">
        <v>13.891487941086051</v>
      </c>
      <c r="N164" s="78">
        <v>3575.6443762433737</v>
      </c>
      <c r="O164" s="113">
        <v>44370.756648237562</v>
      </c>
      <c r="P164" s="113">
        <v>51403.736541524224</v>
      </c>
      <c r="Q164" s="110">
        <v>15614.130440527351</v>
      </c>
      <c r="R164" s="113">
        <v>59984.88708876491</v>
      </c>
      <c r="S164" s="113">
        <v>67017.866982051579</v>
      </c>
      <c r="U164" s="7" t="s">
        <v>6716</v>
      </c>
    </row>
    <row r="165" spans="1:21" ht="16.5" thickBot="1">
      <c r="A165" s="207" t="s">
        <v>10</v>
      </c>
      <c r="B165" s="211">
        <f t="shared" si="9"/>
        <v>110</v>
      </c>
      <c r="C165" s="211" t="s">
        <v>3</v>
      </c>
      <c r="D165" s="211">
        <f t="shared" si="10"/>
        <v>360</v>
      </c>
      <c r="E165" s="211" t="s">
        <v>3</v>
      </c>
      <c r="F165" s="209">
        <f t="shared" si="11"/>
        <v>1050</v>
      </c>
      <c r="G165" s="211" t="s">
        <v>3</v>
      </c>
      <c r="H165" s="208">
        <v>4</v>
      </c>
      <c r="I165" s="210" t="s">
        <v>529</v>
      </c>
      <c r="J165" s="103">
        <v>110</v>
      </c>
      <c r="K165" s="66">
        <v>360</v>
      </c>
      <c r="L165" s="66">
        <v>1050</v>
      </c>
      <c r="M165" s="164">
        <v>14.520317890463158</v>
      </c>
      <c r="N165" s="78">
        <v>3850.6939436467096</v>
      </c>
      <c r="O165" s="113">
        <v>46600.753025145117</v>
      </c>
      <c r="P165" s="113">
        <v>53901.412058618545</v>
      </c>
      <c r="Q165" s="110">
        <v>16468.885462549311</v>
      </c>
      <c r="R165" s="113">
        <v>63069.638487694428</v>
      </c>
      <c r="S165" s="113">
        <v>70370.297521167857</v>
      </c>
      <c r="U165" s="7" t="s">
        <v>6717</v>
      </c>
    </row>
    <row r="166" spans="1:21" ht="16.5" thickBot="1">
      <c r="A166" s="207" t="s">
        <v>10</v>
      </c>
      <c r="B166" s="208">
        <f t="shared" si="9"/>
        <v>110</v>
      </c>
      <c r="C166" s="208" t="s">
        <v>3</v>
      </c>
      <c r="D166" s="208">
        <f t="shared" si="10"/>
        <v>360</v>
      </c>
      <c r="E166" s="208" t="s">
        <v>3</v>
      </c>
      <c r="F166" s="209">
        <f t="shared" si="11"/>
        <v>1100</v>
      </c>
      <c r="G166" s="208" t="s">
        <v>3</v>
      </c>
      <c r="H166" s="208">
        <v>4</v>
      </c>
      <c r="I166" s="210" t="s">
        <v>529</v>
      </c>
      <c r="J166" s="103">
        <v>110</v>
      </c>
      <c r="K166" s="66">
        <v>360</v>
      </c>
      <c r="L166" s="66">
        <v>1100</v>
      </c>
      <c r="M166" s="164">
        <v>15.132107839840263</v>
      </c>
      <c r="N166" s="78">
        <v>4125.7435110500464</v>
      </c>
      <c r="O166" s="113">
        <v>48584.476193331917</v>
      </c>
      <c r="P166" s="113">
        <v>56154.939791162375</v>
      </c>
      <c r="Q166" s="110">
        <v>17072.3063467875</v>
      </c>
      <c r="R166" s="113">
        <v>65656.782540119413</v>
      </c>
      <c r="S166" s="113">
        <v>73227.246137949871</v>
      </c>
      <c r="U166" s="7" t="s">
        <v>6718</v>
      </c>
    </row>
    <row r="167" spans="1:21" ht="16.5" thickBot="1">
      <c r="A167" s="207" t="s">
        <v>10</v>
      </c>
      <c r="B167" s="211">
        <f t="shared" si="9"/>
        <v>110</v>
      </c>
      <c r="C167" s="211" t="s">
        <v>3</v>
      </c>
      <c r="D167" s="211">
        <f t="shared" si="10"/>
        <v>360</v>
      </c>
      <c r="E167" s="211" t="s">
        <v>3</v>
      </c>
      <c r="F167" s="209">
        <f t="shared" si="11"/>
        <v>1150</v>
      </c>
      <c r="G167" s="211" t="s">
        <v>3</v>
      </c>
      <c r="H167" s="208">
        <v>4</v>
      </c>
      <c r="I167" s="210" t="s">
        <v>529</v>
      </c>
      <c r="J167" s="103">
        <v>110</v>
      </c>
      <c r="K167" s="66">
        <v>360</v>
      </c>
      <c r="L167" s="66">
        <v>1150</v>
      </c>
      <c r="M167" s="164">
        <v>15.743897789217367</v>
      </c>
      <c r="N167" s="78">
        <v>4400.7930784533837</v>
      </c>
      <c r="O167" s="113">
        <v>49744.876088235833</v>
      </c>
      <c r="P167" s="113">
        <v>57592.24909288474</v>
      </c>
      <c r="Q167" s="110">
        <v>17675.727231025689</v>
      </c>
      <c r="R167" s="113">
        <v>67420.603319261514</v>
      </c>
      <c r="S167" s="113">
        <v>75267.976323910436</v>
      </c>
      <c r="U167" s="7" t="s">
        <v>6719</v>
      </c>
    </row>
    <row r="168" spans="1:21" ht="16.5" thickBot="1">
      <c r="A168" s="207" t="s">
        <v>10</v>
      </c>
      <c r="B168" s="211">
        <f t="shared" si="9"/>
        <v>110</v>
      </c>
      <c r="C168" s="211" t="s">
        <v>3</v>
      </c>
      <c r="D168" s="211">
        <f t="shared" si="10"/>
        <v>360</v>
      </c>
      <c r="E168" s="211" t="s">
        <v>3</v>
      </c>
      <c r="F168" s="209">
        <f t="shared" si="11"/>
        <v>1200</v>
      </c>
      <c r="G168" s="211" t="s">
        <v>3</v>
      </c>
      <c r="H168" s="208">
        <v>4</v>
      </c>
      <c r="I168" s="210" t="s">
        <v>529</v>
      </c>
      <c r="J168" s="103">
        <v>110</v>
      </c>
      <c r="K168" s="66">
        <v>360</v>
      </c>
      <c r="L168" s="66">
        <v>1200</v>
      </c>
      <c r="M168" s="164">
        <v>16.62722773859447</v>
      </c>
      <c r="N168" s="78">
        <v>4675.8426458567192</v>
      </c>
      <c r="O168" s="113">
        <v>50970.004541647191</v>
      </c>
      <c r="P168" s="113">
        <v>59093.728329259146</v>
      </c>
      <c r="Q168" s="110">
        <v>18530.482406076411</v>
      </c>
      <c r="R168" s="113">
        <v>69500.486947723606</v>
      </c>
      <c r="S168" s="113">
        <v>77624.210735335553</v>
      </c>
      <c r="U168" s="7" t="s">
        <v>6720</v>
      </c>
    </row>
    <row r="169" spans="1:21" ht="16.5" thickBot="1">
      <c r="A169" s="207" t="s">
        <v>10</v>
      </c>
      <c r="B169" s="211">
        <f t="shared" si="9"/>
        <v>110</v>
      </c>
      <c r="C169" s="211" t="s">
        <v>3</v>
      </c>
      <c r="D169" s="211">
        <f t="shared" si="10"/>
        <v>360</v>
      </c>
      <c r="E169" s="211" t="s">
        <v>3</v>
      </c>
      <c r="F169" s="209">
        <f t="shared" si="11"/>
        <v>1250</v>
      </c>
      <c r="G169" s="211" t="s">
        <v>3</v>
      </c>
      <c r="H169" s="208">
        <v>4</v>
      </c>
      <c r="I169" s="210" t="s">
        <v>529</v>
      </c>
      <c r="J169" s="103">
        <v>110</v>
      </c>
      <c r="K169" s="66">
        <v>360</v>
      </c>
      <c r="L169" s="66">
        <v>1250</v>
      </c>
      <c r="M169" s="164">
        <v>17.239017687971579</v>
      </c>
      <c r="N169" s="78">
        <v>4950.8922132600565</v>
      </c>
      <c r="O169" s="113">
        <v>52129.880106441728</v>
      </c>
      <c r="P169" s="113">
        <v>60530.517853477875</v>
      </c>
      <c r="Q169" s="110">
        <v>19133.9032903146</v>
      </c>
      <c r="R169" s="113">
        <v>71263.783396756335</v>
      </c>
      <c r="S169" s="113">
        <v>79664.421143792482</v>
      </c>
      <c r="U169" s="7" t="s">
        <v>6721</v>
      </c>
    </row>
    <row r="170" spans="1:21" ht="16.5" thickBot="1">
      <c r="A170" s="207" t="s">
        <v>10</v>
      </c>
      <c r="B170" s="211">
        <f t="shared" si="9"/>
        <v>110</v>
      </c>
      <c r="C170" s="211" t="s">
        <v>3</v>
      </c>
      <c r="D170" s="211">
        <f t="shared" si="10"/>
        <v>360</v>
      </c>
      <c r="E170" s="211" t="s">
        <v>3</v>
      </c>
      <c r="F170" s="209">
        <f t="shared" si="11"/>
        <v>1300</v>
      </c>
      <c r="G170" s="211" t="s">
        <v>3</v>
      </c>
      <c r="H170" s="208">
        <v>4</v>
      </c>
      <c r="I170" s="210" t="s">
        <v>529</v>
      </c>
      <c r="J170" s="103">
        <v>110</v>
      </c>
      <c r="K170" s="66">
        <v>360</v>
      </c>
      <c r="L170" s="66">
        <v>1300</v>
      </c>
      <c r="M170" s="164">
        <v>17.929847637348683</v>
      </c>
      <c r="N170" s="78">
        <v>5225.9417806633919</v>
      </c>
      <c r="O170" s="113">
        <v>55962.853654994731</v>
      </c>
      <c r="P170" s="113">
        <v>64617.337614114447</v>
      </c>
      <c r="Q170" s="110">
        <v>19988.658312336556</v>
      </c>
      <c r="R170" s="113">
        <v>75951.511967331287</v>
      </c>
      <c r="S170" s="113">
        <v>84605.995926450996</v>
      </c>
      <c r="U170" s="7" t="s">
        <v>6722</v>
      </c>
    </row>
    <row r="171" spans="1:21" ht="16.5" thickBot="1">
      <c r="A171" s="207" t="s">
        <v>10</v>
      </c>
      <c r="B171" s="211">
        <f t="shared" si="9"/>
        <v>110</v>
      </c>
      <c r="C171" s="211" t="s">
        <v>3</v>
      </c>
      <c r="D171" s="211">
        <f t="shared" si="10"/>
        <v>360</v>
      </c>
      <c r="E171" s="211" t="s">
        <v>3</v>
      </c>
      <c r="F171" s="209">
        <f t="shared" si="11"/>
        <v>1350</v>
      </c>
      <c r="G171" s="211" t="s">
        <v>3</v>
      </c>
      <c r="H171" s="208">
        <v>4</v>
      </c>
      <c r="I171" s="210" t="s">
        <v>529</v>
      </c>
      <c r="J171" s="103">
        <v>110</v>
      </c>
      <c r="K171" s="66">
        <v>360</v>
      </c>
      <c r="L171" s="66">
        <v>1350</v>
      </c>
      <c r="M171" s="164">
        <v>18.541637586725784</v>
      </c>
      <c r="N171" s="78">
        <v>5500.9913480667283</v>
      </c>
      <c r="O171" s="113">
        <v>57394.898300459194</v>
      </c>
      <c r="P171" s="113">
        <v>66323.947441698838</v>
      </c>
      <c r="Q171" s="110">
        <v>20592.079196574745</v>
      </c>
      <c r="R171" s="113">
        <v>77986.977497033935</v>
      </c>
      <c r="S171" s="113">
        <v>86916.026638273586</v>
      </c>
      <c r="U171" s="7" t="s">
        <v>6723</v>
      </c>
    </row>
    <row r="172" spans="1:21" ht="16.5" thickBot="1">
      <c r="A172" s="207" t="s">
        <v>10</v>
      </c>
      <c r="B172" s="211">
        <f t="shared" si="9"/>
        <v>110</v>
      </c>
      <c r="C172" s="211" t="s">
        <v>3</v>
      </c>
      <c r="D172" s="211">
        <f t="shared" si="10"/>
        <v>360</v>
      </c>
      <c r="E172" s="211" t="s">
        <v>3</v>
      </c>
      <c r="F172" s="209">
        <f t="shared" si="11"/>
        <v>1400</v>
      </c>
      <c r="G172" s="211" t="s">
        <v>3</v>
      </c>
      <c r="H172" s="208">
        <v>4</v>
      </c>
      <c r="I172" s="210" t="s">
        <v>529</v>
      </c>
      <c r="J172" s="103">
        <v>110</v>
      </c>
      <c r="K172" s="66">
        <v>360</v>
      </c>
      <c r="L172" s="66">
        <v>1400</v>
      </c>
      <c r="M172" s="164">
        <v>19.170467536102894</v>
      </c>
      <c r="N172" s="78">
        <v>5776.0409154700646</v>
      </c>
      <c r="O172" s="113">
        <v>59183.39103513844</v>
      </c>
      <c r="P172" s="113">
        <v>68383.929258427306</v>
      </c>
      <c r="Q172" s="110">
        <v>21446.834218596705</v>
      </c>
      <c r="R172" s="113">
        <v>80630.225253735145</v>
      </c>
      <c r="S172" s="113">
        <v>89830.763477024011</v>
      </c>
      <c r="U172" s="7" t="s">
        <v>6724</v>
      </c>
    </row>
    <row r="173" spans="1:21" ht="16.5" thickBot="1">
      <c r="A173" s="207" t="s">
        <v>10</v>
      </c>
      <c r="B173" s="211">
        <f t="shared" si="9"/>
        <v>110</v>
      </c>
      <c r="C173" s="211" t="s">
        <v>3</v>
      </c>
      <c r="D173" s="211">
        <f t="shared" si="10"/>
        <v>360</v>
      </c>
      <c r="E173" s="211" t="s">
        <v>3</v>
      </c>
      <c r="F173" s="209">
        <f t="shared" si="11"/>
        <v>1450</v>
      </c>
      <c r="G173" s="211" t="s">
        <v>3</v>
      </c>
      <c r="H173" s="208">
        <v>4</v>
      </c>
      <c r="I173" s="210" t="s">
        <v>529</v>
      </c>
      <c r="J173" s="103">
        <v>110</v>
      </c>
      <c r="K173" s="66">
        <v>360</v>
      </c>
      <c r="L173" s="66">
        <v>1450</v>
      </c>
      <c r="M173" s="164">
        <v>19.782257485480002</v>
      </c>
      <c r="N173" s="78">
        <v>6051.0904828734028</v>
      </c>
      <c r="O173" s="113">
        <v>60615.435680602903</v>
      </c>
      <c r="P173" s="113">
        <v>70090.539223737593</v>
      </c>
      <c r="Q173" s="110">
        <v>22050.255102834893</v>
      </c>
      <c r="R173" s="113">
        <v>82665.690783437793</v>
      </c>
      <c r="S173" s="113">
        <v>92140.79432657249</v>
      </c>
      <c r="U173" s="7" t="s">
        <v>6725</v>
      </c>
    </row>
    <row r="174" spans="1:21" ht="16.5" thickBot="1">
      <c r="A174" s="207" t="s">
        <v>10</v>
      </c>
      <c r="B174" s="211">
        <f t="shared" si="9"/>
        <v>110</v>
      </c>
      <c r="C174" s="211" t="s">
        <v>3</v>
      </c>
      <c r="D174" s="211">
        <f t="shared" si="10"/>
        <v>360</v>
      </c>
      <c r="E174" s="211" t="s">
        <v>3</v>
      </c>
      <c r="F174" s="209">
        <f t="shared" si="11"/>
        <v>1500</v>
      </c>
      <c r="G174" s="211" t="s">
        <v>3</v>
      </c>
      <c r="H174" s="208">
        <v>4</v>
      </c>
      <c r="I174" s="210" t="s">
        <v>529</v>
      </c>
      <c r="J174" s="103">
        <v>110</v>
      </c>
      <c r="K174" s="66">
        <v>360</v>
      </c>
      <c r="L174" s="66">
        <v>1500</v>
      </c>
      <c r="M174" s="164">
        <v>21.057316813157108</v>
      </c>
      <c r="N174" s="78">
        <v>6326.1400502767374</v>
      </c>
      <c r="O174" s="113">
        <v>62690.026908691696</v>
      </c>
      <c r="P174" s="113">
        <v>72651.693291522854</v>
      </c>
      <c r="Q174" s="110">
        <v>22905.01012485685</v>
      </c>
      <c r="R174" s="113">
        <v>85595.03703354855</v>
      </c>
      <c r="S174" s="113">
        <v>95556.703416379707</v>
      </c>
      <c r="U174" s="7" t="s">
        <v>6726</v>
      </c>
    </row>
    <row r="175" spans="1:21" ht="16.5" thickBot="1">
      <c r="A175" s="207" t="s">
        <v>10</v>
      </c>
      <c r="B175" s="211">
        <f t="shared" si="9"/>
        <v>110</v>
      </c>
      <c r="C175" s="211" t="s">
        <v>3</v>
      </c>
      <c r="D175" s="211">
        <f t="shared" si="10"/>
        <v>360</v>
      </c>
      <c r="E175" s="211" t="s">
        <v>3</v>
      </c>
      <c r="F175" s="209">
        <f t="shared" si="11"/>
        <v>1550</v>
      </c>
      <c r="G175" s="211" t="s">
        <v>3</v>
      </c>
      <c r="H175" s="208">
        <v>4</v>
      </c>
      <c r="I175" s="210" t="s">
        <v>529</v>
      </c>
      <c r="J175" s="103">
        <v>110</v>
      </c>
      <c r="K175" s="66">
        <v>360</v>
      </c>
      <c r="L175" s="66">
        <v>1550</v>
      </c>
      <c r="M175" s="164">
        <v>21.738106762534208</v>
      </c>
      <c r="N175" s="78">
        <v>6601.1896176800738</v>
      </c>
      <c r="O175" s="113">
        <v>64122.071554156289</v>
      </c>
      <c r="P175" s="113">
        <v>74358.303119107251</v>
      </c>
      <c r="Q175" s="110">
        <v>23508.431009095038</v>
      </c>
      <c r="R175" s="113">
        <v>87630.502563251328</v>
      </c>
      <c r="S175" s="113">
        <v>97866.734128202283</v>
      </c>
      <c r="U175" s="7" t="s">
        <v>6727</v>
      </c>
    </row>
    <row r="176" spans="1:21" ht="16.5" thickBot="1">
      <c r="A176" s="207" t="s">
        <v>10</v>
      </c>
      <c r="B176" s="208">
        <f t="shared" si="9"/>
        <v>110</v>
      </c>
      <c r="C176" s="208" t="s">
        <v>3</v>
      </c>
      <c r="D176" s="208">
        <f t="shared" si="10"/>
        <v>360</v>
      </c>
      <c r="E176" s="208" t="s">
        <v>3</v>
      </c>
      <c r="F176" s="209">
        <f t="shared" si="11"/>
        <v>1600</v>
      </c>
      <c r="G176" s="208" t="s">
        <v>3</v>
      </c>
      <c r="H176" s="208">
        <v>4</v>
      </c>
      <c r="I176" s="210" t="s">
        <v>529</v>
      </c>
      <c r="J176" s="103">
        <v>110</v>
      </c>
      <c r="K176" s="66">
        <v>360</v>
      </c>
      <c r="L176" s="66">
        <v>1600</v>
      </c>
      <c r="M176" s="164">
        <v>22.349896711911313</v>
      </c>
      <c r="N176" s="78">
        <v>6876.2391850834101</v>
      </c>
      <c r="O176" s="113">
        <v>67675.301266497336</v>
      </c>
      <c r="P176" s="113">
        <v>78167.79307230156</v>
      </c>
      <c r="Q176" s="110">
        <v>24111.851893333227</v>
      </c>
      <c r="R176" s="113">
        <v>91787.153159830559</v>
      </c>
      <c r="S176" s="113">
        <v>102279.64496563478</v>
      </c>
      <c r="U176" s="7" t="s">
        <v>6728</v>
      </c>
    </row>
    <row r="177" spans="1:21" ht="16.5" thickBot="1">
      <c r="A177" s="207" t="s">
        <v>10</v>
      </c>
      <c r="B177" s="211">
        <f t="shared" si="9"/>
        <v>110</v>
      </c>
      <c r="C177" s="211" t="s">
        <v>3</v>
      </c>
      <c r="D177" s="211">
        <f t="shared" si="10"/>
        <v>360</v>
      </c>
      <c r="E177" s="211" t="s">
        <v>3</v>
      </c>
      <c r="F177" s="209">
        <f t="shared" si="11"/>
        <v>1650</v>
      </c>
      <c r="G177" s="211" t="s">
        <v>3</v>
      </c>
      <c r="H177" s="208">
        <v>4</v>
      </c>
      <c r="I177" s="210" t="s">
        <v>529</v>
      </c>
      <c r="J177" s="103">
        <v>110</v>
      </c>
      <c r="K177" s="66">
        <v>360</v>
      </c>
      <c r="L177" s="66">
        <v>1650</v>
      </c>
      <c r="M177" s="164">
        <v>23.016726661288423</v>
      </c>
      <c r="N177" s="78">
        <v>7151.2887524867474</v>
      </c>
      <c r="O177" s="113">
        <v>71503.494578999758</v>
      </c>
      <c r="P177" s="113">
        <v>82249.873822836744</v>
      </c>
      <c r="Q177" s="110">
        <v>24966.606915355183</v>
      </c>
      <c r="R177" s="113">
        <v>96470.101494354938</v>
      </c>
      <c r="S177" s="113">
        <v>107216.48073819192</v>
      </c>
      <c r="U177" s="7" t="s">
        <v>6729</v>
      </c>
    </row>
    <row r="178" spans="1:21" ht="16.5" thickBot="1">
      <c r="A178" s="207" t="s">
        <v>10</v>
      </c>
      <c r="B178" s="211">
        <f t="shared" si="9"/>
        <v>110</v>
      </c>
      <c r="C178" s="211" t="s">
        <v>3</v>
      </c>
      <c r="D178" s="211">
        <f t="shared" si="10"/>
        <v>360</v>
      </c>
      <c r="E178" s="211" t="s">
        <v>3</v>
      </c>
      <c r="F178" s="209">
        <f t="shared" si="11"/>
        <v>1700</v>
      </c>
      <c r="G178" s="211" t="s">
        <v>3</v>
      </c>
      <c r="H178" s="208">
        <v>4</v>
      </c>
      <c r="I178" s="210" t="s">
        <v>529</v>
      </c>
      <c r="J178" s="103">
        <v>110</v>
      </c>
      <c r="K178" s="66">
        <v>360</v>
      </c>
      <c r="L178" s="66">
        <v>1700</v>
      </c>
      <c r="M178" s="164">
        <v>23.628516610665528</v>
      </c>
      <c r="N178" s="78">
        <v>7426.3383198900838</v>
      </c>
      <c r="O178" s="113">
        <v>72711.928497005545</v>
      </c>
      <c r="P178" s="113">
        <v>83734.802676902342</v>
      </c>
      <c r="Q178" s="110">
        <v>25570.027799593372</v>
      </c>
      <c r="R178" s="113">
        <v>98281.956296598917</v>
      </c>
      <c r="S178" s="113">
        <v>109304.83047649571</v>
      </c>
      <c r="U178" s="7" t="s">
        <v>6730</v>
      </c>
    </row>
    <row r="179" spans="1:21" ht="16.5" thickBot="1">
      <c r="A179" s="207" t="s">
        <v>10</v>
      </c>
      <c r="B179" s="211">
        <f t="shared" si="9"/>
        <v>110</v>
      </c>
      <c r="C179" s="211" t="s">
        <v>3</v>
      </c>
      <c r="D179" s="211">
        <f t="shared" si="10"/>
        <v>360</v>
      </c>
      <c r="E179" s="211" t="s">
        <v>3</v>
      </c>
      <c r="F179" s="209">
        <f t="shared" si="11"/>
        <v>1750</v>
      </c>
      <c r="G179" s="211" t="s">
        <v>3</v>
      </c>
      <c r="H179" s="208">
        <v>4</v>
      </c>
      <c r="I179" s="210" t="s">
        <v>529</v>
      </c>
      <c r="J179" s="103">
        <v>110</v>
      </c>
      <c r="K179" s="66">
        <v>360</v>
      </c>
      <c r="L179" s="66">
        <v>1750</v>
      </c>
      <c r="M179" s="164">
        <v>24.257346560042627</v>
      </c>
      <c r="N179" s="78">
        <v>7701.3878872934192</v>
      </c>
      <c r="O179" s="113">
        <v>73837.354754144515</v>
      </c>
      <c r="P179" s="113">
        <v>85137.44017479608</v>
      </c>
      <c r="Q179" s="110">
        <v>26424.782821615332</v>
      </c>
      <c r="R179" s="113">
        <v>100262.13757575984</v>
      </c>
      <c r="S179" s="113">
        <v>111562.22299641141</v>
      </c>
      <c r="U179" s="7" t="s">
        <v>6731</v>
      </c>
    </row>
    <row r="180" spans="1:21" ht="16.5" thickBot="1">
      <c r="A180" s="207" t="s">
        <v>10</v>
      </c>
      <c r="B180" s="211">
        <f t="shared" si="9"/>
        <v>110</v>
      </c>
      <c r="C180" s="211" t="s">
        <v>3</v>
      </c>
      <c r="D180" s="211">
        <f t="shared" si="10"/>
        <v>360</v>
      </c>
      <c r="E180" s="211" t="s">
        <v>3</v>
      </c>
      <c r="F180" s="209">
        <f t="shared" si="11"/>
        <v>1800</v>
      </c>
      <c r="G180" s="211" t="s">
        <v>3</v>
      </c>
      <c r="H180" s="208">
        <v>4</v>
      </c>
      <c r="I180" s="210" t="s">
        <v>529</v>
      </c>
      <c r="J180" s="103">
        <v>110</v>
      </c>
      <c r="K180" s="66">
        <v>360</v>
      </c>
      <c r="L180" s="66">
        <v>1800</v>
      </c>
      <c r="M180" s="164">
        <v>24.938136509419735</v>
      </c>
      <c r="N180" s="78">
        <v>7976.4374546967565</v>
      </c>
      <c r="O180" s="113">
        <v>75046.54804679162</v>
      </c>
      <c r="P180" s="113">
        <v>86623.121700842938</v>
      </c>
      <c r="Q180" s="110">
        <v>27028.203705853517</v>
      </c>
      <c r="R180" s="113">
        <v>102074.75175264514</v>
      </c>
      <c r="S180" s="113">
        <v>113651.32540669646</v>
      </c>
      <c r="U180" s="7" t="s">
        <v>6732</v>
      </c>
    </row>
    <row r="181" spans="1:21" ht="16.5" thickBot="1">
      <c r="A181" s="207" t="s">
        <v>10</v>
      </c>
      <c r="B181" s="211">
        <f t="shared" si="9"/>
        <v>110</v>
      </c>
      <c r="C181" s="211" t="s">
        <v>3</v>
      </c>
      <c r="D181" s="211">
        <f t="shared" si="10"/>
        <v>360</v>
      </c>
      <c r="E181" s="211" t="s">
        <v>3</v>
      </c>
      <c r="F181" s="209">
        <f t="shared" si="11"/>
        <v>1850</v>
      </c>
      <c r="G181" s="211" t="s">
        <v>3</v>
      </c>
      <c r="H181" s="208">
        <v>4</v>
      </c>
      <c r="I181" s="210" t="s">
        <v>529</v>
      </c>
      <c r="J181" s="103">
        <v>110</v>
      </c>
      <c r="K181" s="66">
        <v>360</v>
      </c>
      <c r="L181" s="66">
        <v>1850</v>
      </c>
      <c r="M181" s="164">
        <v>25.628966458796846</v>
      </c>
      <c r="N181" s="78">
        <v>8251.4870221000929</v>
      </c>
      <c r="O181" s="113">
        <v>76255.688789360793</v>
      </c>
      <c r="P181" s="113">
        <v>88108.751304229794</v>
      </c>
      <c r="Q181" s="110">
        <v>27882.958880904247</v>
      </c>
      <c r="R181" s="113">
        <v>104138.64767026504</v>
      </c>
      <c r="S181" s="113">
        <v>115991.71018513404</v>
      </c>
      <c r="U181" s="7" t="s">
        <v>6733</v>
      </c>
    </row>
    <row r="182" spans="1:21" ht="16.5" thickBot="1">
      <c r="A182" s="207" t="s">
        <v>10</v>
      </c>
      <c r="B182" s="211">
        <f t="shared" si="9"/>
        <v>110</v>
      </c>
      <c r="C182" s="211" t="s">
        <v>3</v>
      </c>
      <c r="D182" s="211">
        <f t="shared" si="10"/>
        <v>360</v>
      </c>
      <c r="E182" s="211" t="s">
        <v>3</v>
      </c>
      <c r="F182" s="209">
        <f t="shared" si="11"/>
        <v>1900</v>
      </c>
      <c r="G182" s="211" t="s">
        <v>3</v>
      </c>
      <c r="H182" s="208">
        <v>4</v>
      </c>
      <c r="I182" s="210" t="s">
        <v>529</v>
      </c>
      <c r="J182" s="103">
        <v>110</v>
      </c>
      <c r="K182" s="66">
        <v>360</v>
      </c>
      <c r="L182" s="66">
        <v>1900</v>
      </c>
      <c r="M182" s="164">
        <v>26.240756408173947</v>
      </c>
      <c r="N182" s="78">
        <v>8526.5365895034302</v>
      </c>
      <c r="O182" s="113">
        <v>77655.63886494434</v>
      </c>
      <c r="P182" s="113">
        <v>89783.543559301033</v>
      </c>
      <c r="Q182" s="110">
        <v>28486.379765142432</v>
      </c>
      <c r="R182" s="113">
        <v>106142.01863008676</v>
      </c>
      <c r="S182" s="113">
        <v>118269.92332444346</v>
      </c>
      <c r="U182" s="7" t="s">
        <v>6734</v>
      </c>
    </row>
    <row r="183" spans="1:21" ht="16.5" thickBot="1">
      <c r="A183" s="207" t="s">
        <v>10</v>
      </c>
      <c r="B183" s="211">
        <f t="shared" si="9"/>
        <v>110</v>
      </c>
      <c r="C183" s="211" t="s">
        <v>3</v>
      </c>
      <c r="D183" s="211">
        <f t="shared" si="10"/>
        <v>360</v>
      </c>
      <c r="E183" s="211" t="s">
        <v>3</v>
      </c>
      <c r="F183" s="209">
        <f t="shared" si="11"/>
        <v>1950</v>
      </c>
      <c r="G183" s="211" t="s">
        <v>3</v>
      </c>
      <c r="H183" s="208">
        <v>4</v>
      </c>
      <c r="I183" s="210" t="s">
        <v>529</v>
      </c>
      <c r="J183" s="103">
        <v>110</v>
      </c>
      <c r="K183" s="66">
        <v>360</v>
      </c>
      <c r="L183" s="66">
        <v>1950</v>
      </c>
      <c r="M183" s="164">
        <v>27.045046357551055</v>
      </c>
      <c r="N183" s="78">
        <v>8801.5861569067674</v>
      </c>
      <c r="O183" s="113">
        <v>79255.54536904025</v>
      </c>
      <c r="P183" s="113">
        <v>91656.566751740582</v>
      </c>
      <c r="Q183" s="110">
        <v>29089.800649380621</v>
      </c>
      <c r="R183" s="113">
        <v>108345.34601842087</v>
      </c>
      <c r="S183" s="113">
        <v>120746.3674011212</v>
      </c>
      <c r="U183" s="7" t="s">
        <v>6735</v>
      </c>
    </row>
    <row r="184" spans="1:21" ht="16.5" thickBot="1">
      <c r="A184" s="207" t="s">
        <v>10</v>
      </c>
      <c r="B184" s="211">
        <f t="shared" si="9"/>
        <v>110</v>
      </c>
      <c r="C184" s="211" t="s">
        <v>3</v>
      </c>
      <c r="D184" s="211">
        <f t="shared" si="10"/>
        <v>360</v>
      </c>
      <c r="E184" s="211" t="s">
        <v>3</v>
      </c>
      <c r="F184" s="209">
        <f t="shared" si="11"/>
        <v>2000</v>
      </c>
      <c r="G184" s="211" t="s">
        <v>3</v>
      </c>
      <c r="H184" s="208">
        <v>4</v>
      </c>
      <c r="I184" s="210" t="s">
        <v>529</v>
      </c>
      <c r="J184" s="103">
        <v>110</v>
      </c>
      <c r="K184" s="66">
        <v>360</v>
      </c>
      <c r="L184" s="66">
        <v>2000</v>
      </c>
      <c r="M184" s="164">
        <v>27.765438706928158</v>
      </c>
      <c r="N184" s="78">
        <v>9076.6357243101011</v>
      </c>
      <c r="O184" s="113">
        <v>80689.533456867473</v>
      </c>
      <c r="P184" s="113">
        <v>93584.68236551345</v>
      </c>
      <c r="Q184" s="110">
        <v>29944.555671402581</v>
      </c>
      <c r="R184" s="113">
        <v>110634.08912827005</v>
      </c>
      <c r="S184" s="113">
        <v>123529.23803691604</v>
      </c>
      <c r="U184" s="7" t="s">
        <v>6736</v>
      </c>
    </row>
    <row r="185" spans="1:21" ht="16.5" thickBot="1">
      <c r="A185" s="207" t="s">
        <v>10</v>
      </c>
      <c r="B185" s="211">
        <f t="shared" si="9"/>
        <v>110</v>
      </c>
      <c r="C185" s="211" t="s">
        <v>3</v>
      </c>
      <c r="D185" s="211">
        <f t="shared" si="10"/>
        <v>360</v>
      </c>
      <c r="E185" s="211" t="s">
        <v>3</v>
      </c>
      <c r="F185" s="209">
        <f t="shared" si="11"/>
        <v>2050</v>
      </c>
      <c r="G185" s="211" t="s">
        <v>3</v>
      </c>
      <c r="H185" s="208">
        <v>4</v>
      </c>
      <c r="I185" s="210" t="s">
        <v>529</v>
      </c>
      <c r="J185" s="103">
        <v>110</v>
      </c>
      <c r="K185" s="66">
        <v>360</v>
      </c>
      <c r="L185" s="66">
        <v>2050</v>
      </c>
      <c r="M185" s="164">
        <v>28.377228656305263</v>
      </c>
      <c r="N185" s="78">
        <v>9351.6852917134383</v>
      </c>
      <c r="O185" s="113">
        <v>84235.601790269706</v>
      </c>
      <c r="P185" s="113">
        <v>97387.07268687569</v>
      </c>
      <c r="Q185" s="110">
        <v>30547.976555640766</v>
      </c>
      <c r="R185" s="113">
        <v>114783.57834591047</v>
      </c>
      <c r="S185" s="113">
        <v>127935.04924251646</v>
      </c>
      <c r="U185" s="7" t="s">
        <v>6737</v>
      </c>
    </row>
    <row r="186" spans="1:21" ht="16.5" thickBot="1">
      <c r="A186" s="207" t="s">
        <v>10</v>
      </c>
      <c r="B186" s="208">
        <f t="shared" si="9"/>
        <v>110</v>
      </c>
      <c r="C186" s="208" t="s">
        <v>3</v>
      </c>
      <c r="D186" s="208">
        <f t="shared" si="10"/>
        <v>360</v>
      </c>
      <c r="E186" s="208" t="s">
        <v>3</v>
      </c>
      <c r="F186" s="209">
        <f t="shared" si="11"/>
        <v>2100</v>
      </c>
      <c r="G186" s="208" t="s">
        <v>3</v>
      </c>
      <c r="H186" s="208">
        <v>4</v>
      </c>
      <c r="I186" s="210" t="s">
        <v>529</v>
      </c>
      <c r="J186" s="103">
        <v>110</v>
      </c>
      <c r="K186" s="66">
        <v>360</v>
      </c>
      <c r="L186" s="66">
        <v>2100</v>
      </c>
      <c r="M186" s="164">
        <v>29.006058605682369</v>
      </c>
      <c r="N186" s="78">
        <v>9626.7348591167756</v>
      </c>
      <c r="O186" s="113">
        <v>85512.246099670199</v>
      </c>
      <c r="P186" s="113">
        <v>98939.623299539351</v>
      </c>
      <c r="Q186" s="110">
        <v>31402.731577662726</v>
      </c>
      <c r="R186" s="113">
        <v>116914.97767733292</v>
      </c>
      <c r="S186" s="113">
        <v>130342.35487720207</v>
      </c>
      <c r="U186" s="7" t="s">
        <v>6738</v>
      </c>
    </row>
    <row r="187" spans="1:21" ht="16.5" thickBot="1">
      <c r="A187" s="207" t="s">
        <v>10</v>
      </c>
      <c r="B187" s="211">
        <f t="shared" si="9"/>
        <v>110</v>
      </c>
      <c r="C187" s="211" t="s">
        <v>3</v>
      </c>
      <c r="D187" s="211">
        <f t="shared" si="10"/>
        <v>360</v>
      </c>
      <c r="E187" s="211" t="s">
        <v>3</v>
      </c>
      <c r="F187" s="209">
        <f t="shared" si="11"/>
        <v>2150</v>
      </c>
      <c r="G187" s="211" t="s">
        <v>3</v>
      </c>
      <c r="H187" s="208">
        <v>4</v>
      </c>
      <c r="I187" s="210" t="s">
        <v>529</v>
      </c>
      <c r="J187" s="103">
        <v>110</v>
      </c>
      <c r="K187" s="66">
        <v>360</v>
      </c>
      <c r="L187" s="66">
        <v>2150</v>
      </c>
      <c r="M187" s="164">
        <v>29.741848555059477</v>
      </c>
      <c r="N187" s="78">
        <v>9901.7844265201129</v>
      </c>
      <c r="O187" s="113">
        <v>86949.793414682528</v>
      </c>
      <c r="P187" s="113">
        <v>100651.68831184579</v>
      </c>
      <c r="Q187" s="110">
        <v>32006.152461900914</v>
      </c>
      <c r="R187" s="113">
        <v>118955.94587658344</v>
      </c>
      <c r="S187" s="113">
        <v>132657.84077374672</v>
      </c>
      <c r="U187" s="7" t="s">
        <v>6739</v>
      </c>
    </row>
    <row r="188" spans="1:21" ht="16.5" thickBot="1">
      <c r="A188" s="207" t="s">
        <v>10</v>
      </c>
      <c r="B188" s="211">
        <f t="shared" si="9"/>
        <v>110</v>
      </c>
      <c r="C188" s="211" t="s">
        <v>3</v>
      </c>
      <c r="D188" s="211">
        <f t="shared" si="10"/>
        <v>360</v>
      </c>
      <c r="E188" s="211" t="s">
        <v>3</v>
      </c>
      <c r="F188" s="209">
        <f t="shared" si="11"/>
        <v>2200</v>
      </c>
      <c r="G188" s="211" t="s">
        <v>3</v>
      </c>
      <c r="H188" s="208">
        <v>4</v>
      </c>
      <c r="I188" s="210" t="s">
        <v>529</v>
      </c>
      <c r="J188" s="103">
        <v>110</v>
      </c>
      <c r="K188" s="66">
        <v>360</v>
      </c>
      <c r="L188" s="66">
        <v>2200</v>
      </c>
      <c r="M188" s="164">
        <v>30.370678504436579</v>
      </c>
      <c r="N188" s="78">
        <v>10176.833993923448</v>
      </c>
      <c r="O188" s="113">
        <v>88387.288179616909</v>
      </c>
      <c r="P188" s="113">
        <v>102363.70126376634</v>
      </c>
      <c r="Q188" s="110">
        <v>32860.907483922878</v>
      </c>
      <c r="R188" s="113">
        <v>121248.19566353978</v>
      </c>
      <c r="S188" s="113">
        <v>135224.60874768923</v>
      </c>
      <c r="U188" s="7" t="s">
        <v>6740</v>
      </c>
    </row>
    <row r="189" spans="1:21" ht="16.5" thickBot="1">
      <c r="A189" s="207" t="s">
        <v>10</v>
      </c>
      <c r="B189" s="211">
        <f t="shared" si="9"/>
        <v>110</v>
      </c>
      <c r="C189" s="211" t="s">
        <v>3</v>
      </c>
      <c r="D189" s="211">
        <f t="shared" si="10"/>
        <v>360</v>
      </c>
      <c r="E189" s="211" t="s">
        <v>3</v>
      </c>
      <c r="F189" s="209">
        <f t="shared" si="11"/>
        <v>2250</v>
      </c>
      <c r="G189" s="211" t="s">
        <v>3</v>
      </c>
      <c r="H189" s="208">
        <v>4</v>
      </c>
      <c r="I189" s="210" t="s">
        <v>529</v>
      </c>
      <c r="J189" s="103">
        <v>110</v>
      </c>
      <c r="K189" s="66">
        <v>360</v>
      </c>
      <c r="L189" s="66">
        <v>2250</v>
      </c>
      <c r="M189" s="164">
        <v>30.982468453813688</v>
      </c>
      <c r="N189" s="78">
        <v>10451.883561326784</v>
      </c>
      <c r="O189" s="113">
        <v>90173.159003600333</v>
      </c>
      <c r="P189" s="113">
        <v>104421.08405525082</v>
      </c>
      <c r="Q189" s="110">
        <v>33464.328368161063</v>
      </c>
      <c r="R189" s="113">
        <v>123637.4873717614</v>
      </c>
      <c r="S189" s="113">
        <v>137885.41242341188</v>
      </c>
      <c r="U189" s="7" t="s">
        <v>6741</v>
      </c>
    </row>
    <row r="190" spans="1:21" ht="16.5" thickBot="1">
      <c r="A190" s="207" t="s">
        <v>10</v>
      </c>
      <c r="B190" s="211">
        <f t="shared" si="9"/>
        <v>110</v>
      </c>
      <c r="C190" s="211" t="s">
        <v>3</v>
      </c>
      <c r="D190" s="211">
        <f t="shared" si="10"/>
        <v>360</v>
      </c>
      <c r="E190" s="211" t="s">
        <v>3</v>
      </c>
      <c r="F190" s="209">
        <f t="shared" si="11"/>
        <v>2300</v>
      </c>
      <c r="G190" s="211" t="s">
        <v>3</v>
      </c>
      <c r="H190" s="208">
        <v>4</v>
      </c>
      <c r="I190" s="210" t="s">
        <v>529</v>
      </c>
      <c r="J190" s="103">
        <v>110</v>
      </c>
      <c r="K190" s="66">
        <v>360</v>
      </c>
      <c r="L190" s="66">
        <v>2300</v>
      </c>
      <c r="M190" s="164">
        <v>31.594258403190789</v>
      </c>
      <c r="N190" s="78">
        <v>10726.933128730121</v>
      </c>
      <c r="O190" s="113">
        <v>91345.886834611229</v>
      </c>
      <c r="P190" s="113">
        <v>105870.61487687698</v>
      </c>
      <c r="Q190" s="110">
        <v>34067.749252399248</v>
      </c>
      <c r="R190" s="113">
        <v>125413.63608701047</v>
      </c>
      <c r="S190" s="113">
        <v>139938.36412927622</v>
      </c>
      <c r="U190" s="7" t="s">
        <v>6742</v>
      </c>
    </row>
    <row r="191" spans="1:21" ht="16.5" thickBot="1">
      <c r="A191" s="207" t="s">
        <v>10</v>
      </c>
      <c r="B191" s="211">
        <f t="shared" si="9"/>
        <v>110</v>
      </c>
      <c r="C191" s="211" t="s">
        <v>3</v>
      </c>
      <c r="D191" s="211">
        <f t="shared" si="10"/>
        <v>360</v>
      </c>
      <c r="E191" s="211" t="s">
        <v>3</v>
      </c>
      <c r="F191" s="209">
        <f t="shared" si="11"/>
        <v>2350</v>
      </c>
      <c r="G191" s="211" t="s">
        <v>3</v>
      </c>
      <c r="H191" s="208">
        <v>4</v>
      </c>
      <c r="I191" s="210" t="s">
        <v>529</v>
      </c>
      <c r="J191" s="103">
        <v>110</v>
      </c>
      <c r="K191" s="66">
        <v>360</v>
      </c>
      <c r="L191" s="66">
        <v>2350</v>
      </c>
      <c r="M191" s="164">
        <v>32.223088352567892</v>
      </c>
      <c r="N191" s="78">
        <v>11001.982696133457</v>
      </c>
      <c r="O191" s="113">
        <v>92518.56224561861</v>
      </c>
      <c r="P191" s="113">
        <v>107320.09377584317</v>
      </c>
      <c r="Q191" s="110">
        <v>34922.504274421211</v>
      </c>
      <c r="R191" s="113">
        <v>127441.06652003982</v>
      </c>
      <c r="S191" s="113">
        <v>142242.59805026438</v>
      </c>
      <c r="U191" s="7" t="s">
        <v>6743</v>
      </c>
    </row>
    <row r="192" spans="1:21" ht="16.5" thickBot="1">
      <c r="A192" s="207" t="s">
        <v>10</v>
      </c>
      <c r="B192" s="211">
        <f t="shared" si="9"/>
        <v>110</v>
      </c>
      <c r="C192" s="211" t="s">
        <v>3</v>
      </c>
      <c r="D192" s="211">
        <f t="shared" si="10"/>
        <v>360</v>
      </c>
      <c r="E192" s="211" t="s">
        <v>3</v>
      </c>
      <c r="F192" s="209">
        <f t="shared" si="11"/>
        <v>2400</v>
      </c>
      <c r="G192" s="211" t="s">
        <v>3</v>
      </c>
      <c r="H192" s="208">
        <v>4</v>
      </c>
      <c r="I192" s="210" t="s">
        <v>529</v>
      </c>
      <c r="J192" s="103">
        <v>110</v>
      </c>
      <c r="K192" s="66">
        <v>360</v>
      </c>
      <c r="L192" s="66">
        <v>2400</v>
      </c>
      <c r="M192" s="164">
        <v>32.834878301944997</v>
      </c>
      <c r="N192" s="78">
        <v>11277.032263536794</v>
      </c>
      <c r="O192" s="113">
        <v>93691.185236622521</v>
      </c>
      <c r="P192" s="113">
        <v>108769.52061442345</v>
      </c>
      <c r="Q192" s="110">
        <v>35525.925158659396</v>
      </c>
      <c r="R192" s="113">
        <v>129217.11039528192</v>
      </c>
      <c r="S192" s="113">
        <v>144295.44577308284</v>
      </c>
      <c r="U192" s="7" t="s">
        <v>6744</v>
      </c>
    </row>
    <row r="193" spans="1:21" ht="16.5" thickBot="1">
      <c r="A193" s="207" t="s">
        <v>10</v>
      </c>
      <c r="B193" s="211">
        <f t="shared" si="9"/>
        <v>110</v>
      </c>
      <c r="C193" s="211" t="s">
        <v>3</v>
      </c>
      <c r="D193" s="211">
        <f t="shared" si="10"/>
        <v>360</v>
      </c>
      <c r="E193" s="211" t="s">
        <v>3</v>
      </c>
      <c r="F193" s="209">
        <f t="shared" si="11"/>
        <v>2450</v>
      </c>
      <c r="G193" s="211" t="s">
        <v>3</v>
      </c>
      <c r="H193" s="208">
        <v>4</v>
      </c>
      <c r="I193" s="210" t="s">
        <v>529</v>
      </c>
      <c r="J193" s="103">
        <v>110</v>
      </c>
      <c r="K193" s="66">
        <v>360</v>
      </c>
      <c r="L193" s="66">
        <v>2450</v>
      </c>
      <c r="M193" s="164">
        <v>34.2239376296221</v>
      </c>
      <c r="N193" s="78">
        <v>11552.081830940129</v>
      </c>
      <c r="O193" s="113">
        <v>95506.302520321842</v>
      </c>
      <c r="P193" s="113">
        <v>111073.43990827049</v>
      </c>
      <c r="Q193" s="110">
        <v>36380.680180681353</v>
      </c>
      <c r="R193" s="113">
        <v>131886.9827010032</v>
      </c>
      <c r="S193" s="113">
        <v>147454.12008895184</v>
      </c>
      <c r="U193" s="7" t="s">
        <v>6745</v>
      </c>
    </row>
    <row r="194" spans="1:21" ht="16.5" thickBot="1">
      <c r="A194" s="207" t="s">
        <v>10</v>
      </c>
      <c r="B194" s="211">
        <f t="shared" si="9"/>
        <v>110</v>
      </c>
      <c r="C194" s="211" t="s">
        <v>3</v>
      </c>
      <c r="D194" s="211">
        <f t="shared" si="10"/>
        <v>360</v>
      </c>
      <c r="E194" s="211" t="s">
        <v>3</v>
      </c>
      <c r="F194" s="209">
        <f t="shared" si="11"/>
        <v>2500</v>
      </c>
      <c r="G194" s="211" t="s">
        <v>3</v>
      </c>
      <c r="H194" s="208">
        <v>4</v>
      </c>
      <c r="I194" s="210" t="s">
        <v>529</v>
      </c>
      <c r="J194" s="103">
        <v>110</v>
      </c>
      <c r="K194" s="66">
        <v>360</v>
      </c>
      <c r="L194" s="66">
        <v>2500</v>
      </c>
      <c r="M194" s="164">
        <v>34.852727578999207</v>
      </c>
      <c r="N194" s="78">
        <v>11827.131398343467</v>
      </c>
      <c r="O194" s="113">
        <v>96678.820671318739</v>
      </c>
      <c r="P194" s="113">
        <v>112522.76290153078</v>
      </c>
      <c r="Q194" s="110">
        <v>36984.101064919538</v>
      </c>
      <c r="R194" s="113">
        <v>133662.92173623829</v>
      </c>
      <c r="S194" s="113">
        <v>149506.86396645033</v>
      </c>
      <c r="U194" s="7" t="s">
        <v>6746</v>
      </c>
    </row>
    <row r="195" spans="1:21" ht="16.5" thickBot="1">
      <c r="A195" s="207" t="s">
        <v>10</v>
      </c>
      <c r="B195" s="211">
        <f t="shared" si="9"/>
        <v>110</v>
      </c>
      <c r="C195" s="211" t="s">
        <v>3</v>
      </c>
      <c r="D195" s="211">
        <f t="shared" si="10"/>
        <v>360</v>
      </c>
      <c r="E195" s="211" t="s">
        <v>3</v>
      </c>
      <c r="F195" s="209">
        <f t="shared" si="11"/>
        <v>2550</v>
      </c>
      <c r="G195" s="211" t="s">
        <v>3</v>
      </c>
      <c r="H195" s="208">
        <v>4</v>
      </c>
      <c r="I195" s="210" t="s">
        <v>529</v>
      </c>
      <c r="J195" s="103">
        <v>110</v>
      </c>
      <c r="K195" s="66">
        <v>360</v>
      </c>
      <c r="L195" s="66">
        <v>2550</v>
      </c>
      <c r="M195" s="164">
        <v>35.481557528376314</v>
      </c>
      <c r="N195" s="78">
        <v>12102.180965746806</v>
      </c>
      <c r="O195" s="113">
        <v>101442.11244356084</v>
      </c>
      <c r="P195" s="113">
        <v>117531.87247654003</v>
      </c>
      <c r="Q195" s="110">
        <v>37838.856239970264</v>
      </c>
      <c r="R195" s="113">
        <v>139280.9686835311</v>
      </c>
      <c r="S195" s="113">
        <v>155370.72871651029</v>
      </c>
      <c r="U195" s="7" t="s">
        <v>6747</v>
      </c>
    </row>
    <row r="196" spans="1:21" ht="16.5" thickBot="1">
      <c r="A196" s="207" t="s">
        <v>10</v>
      </c>
      <c r="B196" s="208">
        <f t="shared" si="9"/>
        <v>110</v>
      </c>
      <c r="C196" s="208" t="s">
        <v>3</v>
      </c>
      <c r="D196" s="208">
        <f t="shared" si="10"/>
        <v>360</v>
      </c>
      <c r="E196" s="208" t="s">
        <v>3</v>
      </c>
      <c r="F196" s="209">
        <f t="shared" si="11"/>
        <v>2600</v>
      </c>
      <c r="G196" s="208" t="s">
        <v>3</v>
      </c>
      <c r="H196" s="208">
        <v>4</v>
      </c>
      <c r="I196" s="210" t="s">
        <v>529</v>
      </c>
      <c r="J196" s="103">
        <v>110</v>
      </c>
      <c r="K196" s="66">
        <v>360</v>
      </c>
      <c r="L196" s="66">
        <v>2600</v>
      </c>
      <c r="M196" s="164">
        <v>36.093347477753419</v>
      </c>
      <c r="N196" s="78">
        <v>12377.230533150139</v>
      </c>
      <c r="O196" s="113">
        <v>102909.48361877419</v>
      </c>
      <c r="P196" s="113">
        <v>119273.50406943614</v>
      </c>
      <c r="Q196" s="110">
        <v>38442.277124208456</v>
      </c>
      <c r="R196" s="113">
        <v>141351.76074298265</v>
      </c>
      <c r="S196" s="113">
        <v>157715.78119364459</v>
      </c>
      <c r="U196" s="7" t="s">
        <v>6748</v>
      </c>
    </row>
    <row r="197" spans="1:21" ht="16.5" thickBot="1">
      <c r="A197" s="207" t="s">
        <v>10</v>
      </c>
      <c r="B197" s="211">
        <f t="shared" si="9"/>
        <v>110</v>
      </c>
      <c r="C197" s="211" t="s">
        <v>3</v>
      </c>
      <c r="D197" s="211">
        <f t="shared" si="10"/>
        <v>360</v>
      </c>
      <c r="E197" s="211" t="s">
        <v>3</v>
      </c>
      <c r="F197" s="209">
        <f t="shared" si="11"/>
        <v>2650</v>
      </c>
      <c r="G197" s="211" t="s">
        <v>3</v>
      </c>
      <c r="H197" s="208">
        <v>4</v>
      </c>
      <c r="I197" s="210" t="s">
        <v>529</v>
      </c>
      <c r="J197" s="103">
        <v>110</v>
      </c>
      <c r="K197" s="66">
        <v>360</v>
      </c>
      <c r="L197" s="66">
        <v>2650</v>
      </c>
      <c r="M197" s="164">
        <v>36.829177427130531</v>
      </c>
      <c r="N197" s="78">
        <v>12652.280100553475</v>
      </c>
      <c r="O197" s="113">
        <v>103907.47905868581</v>
      </c>
      <c r="P197" s="113">
        <v>120549.81043011173</v>
      </c>
      <c r="Q197" s="110">
        <v>39297.032146230413</v>
      </c>
      <c r="R197" s="113">
        <v>143204.51120491623</v>
      </c>
      <c r="S197" s="113">
        <v>159846.84257634214</v>
      </c>
      <c r="U197" s="7" t="s">
        <v>6749</v>
      </c>
    </row>
    <row r="198" spans="1:21" ht="16.5" thickBot="1">
      <c r="A198" s="207" t="s">
        <v>10</v>
      </c>
      <c r="B198" s="211">
        <f t="shared" si="9"/>
        <v>110</v>
      </c>
      <c r="C198" s="211" t="s">
        <v>3</v>
      </c>
      <c r="D198" s="211">
        <f t="shared" si="10"/>
        <v>360</v>
      </c>
      <c r="E198" s="211" t="s">
        <v>3</v>
      </c>
      <c r="F198" s="209">
        <f t="shared" si="11"/>
        <v>2700</v>
      </c>
      <c r="G198" s="211" t="s">
        <v>3</v>
      </c>
      <c r="H198" s="208">
        <v>4</v>
      </c>
      <c r="I198" s="210" t="s">
        <v>529</v>
      </c>
      <c r="J198" s="103">
        <v>110</v>
      </c>
      <c r="K198" s="66">
        <v>360</v>
      </c>
      <c r="L198" s="66">
        <v>2700</v>
      </c>
      <c r="M198" s="164">
        <v>37.519467376507635</v>
      </c>
      <c r="N198" s="78">
        <v>12927.329667956814</v>
      </c>
      <c r="O198" s="113">
        <v>104970.41299726775</v>
      </c>
      <c r="P198" s="113">
        <v>121890.4948292568</v>
      </c>
      <c r="Q198" s="110">
        <v>39900.453030468605</v>
      </c>
      <c r="R198" s="113">
        <v>144870.86602773634</v>
      </c>
      <c r="S198" s="113">
        <v>161790.94785972539</v>
      </c>
      <c r="U198" s="7" t="s">
        <v>6750</v>
      </c>
    </row>
    <row r="199" spans="1:21" ht="16.5" thickBot="1">
      <c r="A199" s="207" t="s">
        <v>10</v>
      </c>
      <c r="B199" s="211">
        <f t="shared" si="9"/>
        <v>110</v>
      </c>
      <c r="C199" s="211" t="s">
        <v>3</v>
      </c>
      <c r="D199" s="211">
        <f t="shared" si="10"/>
        <v>360</v>
      </c>
      <c r="E199" s="211" t="s">
        <v>3</v>
      </c>
      <c r="F199" s="209">
        <f t="shared" si="11"/>
        <v>2750</v>
      </c>
      <c r="G199" s="211" t="s">
        <v>3</v>
      </c>
      <c r="H199" s="208">
        <v>4</v>
      </c>
      <c r="I199" s="210" t="s">
        <v>529</v>
      </c>
      <c r="J199" s="103">
        <v>110</v>
      </c>
      <c r="K199" s="66">
        <v>360</v>
      </c>
      <c r="L199" s="66">
        <v>2750</v>
      </c>
      <c r="M199" s="164">
        <v>38.131257325884746</v>
      </c>
      <c r="N199" s="78">
        <v>13202.379235360148</v>
      </c>
      <c r="O199" s="113">
        <v>106057.4156519947</v>
      </c>
      <c r="P199" s="113">
        <v>123255.04037632985</v>
      </c>
      <c r="Q199" s="110">
        <v>40503.87391470679</v>
      </c>
      <c r="R199" s="113">
        <v>146561.28956670148</v>
      </c>
      <c r="S199" s="113">
        <v>163758.91429103664</v>
      </c>
      <c r="U199" s="7" t="s">
        <v>6751</v>
      </c>
    </row>
    <row r="200" spans="1:21" ht="16.5" thickBot="1">
      <c r="A200" s="207" t="s">
        <v>10</v>
      </c>
      <c r="B200" s="211">
        <f t="shared" si="9"/>
        <v>110</v>
      </c>
      <c r="C200" s="211" t="s">
        <v>3</v>
      </c>
      <c r="D200" s="211">
        <f t="shared" si="10"/>
        <v>360</v>
      </c>
      <c r="E200" s="211" t="s">
        <v>3</v>
      </c>
      <c r="F200" s="209">
        <f t="shared" si="11"/>
        <v>2800</v>
      </c>
      <c r="G200" s="211" t="s">
        <v>3</v>
      </c>
      <c r="H200" s="208">
        <v>4</v>
      </c>
      <c r="I200" s="210" t="s">
        <v>529</v>
      </c>
      <c r="J200" s="103">
        <v>110</v>
      </c>
      <c r="K200" s="66">
        <v>360</v>
      </c>
      <c r="L200" s="66">
        <v>2800</v>
      </c>
      <c r="M200" s="164">
        <v>38.760087275261853</v>
      </c>
      <c r="N200" s="78">
        <v>13477.428802763487</v>
      </c>
      <c r="O200" s="113">
        <v>107054.06573186629</v>
      </c>
      <c r="P200" s="113">
        <v>124530.01286177423</v>
      </c>
      <c r="Q200" s="110">
        <v>41358.628936728746</v>
      </c>
      <c r="R200" s="113">
        <v>148412.69466859504</v>
      </c>
      <c r="S200" s="113">
        <v>165888.64179850297</v>
      </c>
      <c r="U200" s="7" t="s">
        <v>6752</v>
      </c>
    </row>
    <row r="201" spans="1:21" ht="16.5" thickBot="1">
      <c r="A201" s="207" t="s">
        <v>10</v>
      </c>
      <c r="B201" s="211">
        <f t="shared" si="9"/>
        <v>110</v>
      </c>
      <c r="C201" s="211" t="s">
        <v>3</v>
      </c>
      <c r="D201" s="211">
        <f t="shared" si="10"/>
        <v>360</v>
      </c>
      <c r="E201" s="211" t="s">
        <v>3</v>
      </c>
      <c r="F201" s="209">
        <f t="shared" si="11"/>
        <v>2850</v>
      </c>
      <c r="G201" s="211" t="s">
        <v>3</v>
      </c>
      <c r="H201" s="208">
        <v>4</v>
      </c>
      <c r="I201" s="210" t="s">
        <v>529</v>
      </c>
      <c r="J201" s="103">
        <v>110</v>
      </c>
      <c r="K201" s="66">
        <v>360</v>
      </c>
      <c r="L201" s="66">
        <v>2850</v>
      </c>
      <c r="M201" s="164">
        <v>39.371877224638943</v>
      </c>
      <c r="N201" s="78">
        <v>13752.47837016682</v>
      </c>
      <c r="O201" s="113">
        <v>108050.6633917344</v>
      </c>
      <c r="P201" s="113">
        <v>125804.9335622845</v>
      </c>
      <c r="Q201" s="110">
        <v>41962.049820966939</v>
      </c>
      <c r="R201" s="113">
        <v>150012.71321270135</v>
      </c>
      <c r="S201" s="113">
        <v>167766.98338325144</v>
      </c>
      <c r="U201" s="7" t="s">
        <v>6753</v>
      </c>
    </row>
    <row r="202" spans="1:21" ht="16.5" thickBot="1">
      <c r="A202" s="207" t="s">
        <v>10</v>
      </c>
      <c r="B202" s="211">
        <f t="shared" si="9"/>
        <v>110</v>
      </c>
      <c r="C202" s="211" t="s">
        <v>3</v>
      </c>
      <c r="D202" s="211">
        <f t="shared" si="10"/>
        <v>360</v>
      </c>
      <c r="E202" s="211" t="s">
        <v>3</v>
      </c>
      <c r="F202" s="209">
        <f t="shared" si="11"/>
        <v>2900</v>
      </c>
      <c r="G202" s="211" t="s">
        <v>3</v>
      </c>
      <c r="H202" s="208">
        <v>4</v>
      </c>
      <c r="I202" s="210" t="s">
        <v>529</v>
      </c>
      <c r="J202" s="103">
        <v>110</v>
      </c>
      <c r="K202" s="66">
        <v>360</v>
      </c>
      <c r="L202" s="66">
        <v>2900</v>
      </c>
      <c r="M202" s="164">
        <v>40.176707174016045</v>
      </c>
      <c r="N202" s="78">
        <v>14027.527937570158</v>
      </c>
      <c r="O202" s="113">
        <v>109047.208631599</v>
      </c>
      <c r="P202" s="113">
        <v>127079.80220240886</v>
      </c>
      <c r="Q202" s="110">
        <v>42816.804842988895</v>
      </c>
      <c r="R202" s="113">
        <v>151864.0134745879</v>
      </c>
      <c r="S202" s="113">
        <v>169896.60704539774</v>
      </c>
      <c r="U202" s="7" t="s">
        <v>6754</v>
      </c>
    </row>
    <row r="203" spans="1:21" ht="16.5" thickBot="1">
      <c r="A203" s="207" t="s">
        <v>10</v>
      </c>
      <c r="B203" s="211">
        <f t="shared" si="9"/>
        <v>110</v>
      </c>
      <c r="C203" s="211" t="s">
        <v>3</v>
      </c>
      <c r="D203" s="211">
        <f t="shared" si="10"/>
        <v>360</v>
      </c>
      <c r="E203" s="211" t="s">
        <v>3</v>
      </c>
      <c r="F203" s="209">
        <f t="shared" si="11"/>
        <v>2950</v>
      </c>
      <c r="G203" s="211" t="s">
        <v>3</v>
      </c>
      <c r="H203" s="208">
        <v>4</v>
      </c>
      <c r="I203" s="210" t="s">
        <v>529</v>
      </c>
      <c r="J203" s="103">
        <v>110</v>
      </c>
      <c r="K203" s="66">
        <v>360</v>
      </c>
      <c r="L203" s="66">
        <v>2950</v>
      </c>
      <c r="M203" s="164">
        <v>40.788497123393149</v>
      </c>
      <c r="N203" s="78">
        <v>14302.577504973495</v>
      </c>
      <c r="O203" s="113">
        <v>110043.7014514601</v>
      </c>
      <c r="P203" s="113">
        <v>128354.61878214734</v>
      </c>
      <c r="Q203" s="110">
        <v>43420.22572722708</v>
      </c>
      <c r="R203" s="113">
        <v>153463.92717868718</v>
      </c>
      <c r="S203" s="113">
        <v>171774.84450937441</v>
      </c>
      <c r="U203" s="7" t="s">
        <v>6755</v>
      </c>
    </row>
    <row r="204" spans="1:21" ht="16.5" thickBot="1">
      <c r="A204" s="207" t="s">
        <v>10</v>
      </c>
      <c r="B204" s="211">
        <f t="shared" si="9"/>
        <v>110</v>
      </c>
      <c r="C204" s="211" t="s">
        <v>3</v>
      </c>
      <c r="D204" s="211">
        <f t="shared" si="10"/>
        <v>360</v>
      </c>
      <c r="E204" s="211" t="s">
        <v>3</v>
      </c>
      <c r="F204" s="209">
        <f t="shared" si="11"/>
        <v>3000</v>
      </c>
      <c r="G204" s="211" t="s">
        <v>3</v>
      </c>
      <c r="H204" s="208">
        <v>4</v>
      </c>
      <c r="I204" s="210" t="s">
        <v>529</v>
      </c>
      <c r="J204" s="125">
        <v>110</v>
      </c>
      <c r="K204" s="126">
        <v>360</v>
      </c>
      <c r="L204" s="126">
        <v>3000</v>
      </c>
      <c r="M204" s="157">
        <v>41.417327072770263</v>
      </c>
      <c r="N204" s="127">
        <v>14577.62707237683</v>
      </c>
      <c r="O204" s="128">
        <v>112911.49396199065</v>
      </c>
      <c r="P204" s="128">
        <v>131484.58655438956</v>
      </c>
      <c r="Q204" s="136">
        <v>44274.980749249036</v>
      </c>
      <c r="R204" s="128">
        <v>157186.47471123969</v>
      </c>
      <c r="S204" s="128">
        <v>175759.56730363861</v>
      </c>
      <c r="U204" s="7" t="s">
        <v>6756</v>
      </c>
    </row>
    <row r="205" spans="1:21" ht="19.5" thickBot="1">
      <c r="A205" s="2968" t="s">
        <v>60</v>
      </c>
      <c r="B205" s="2969"/>
      <c r="C205" s="2969"/>
      <c r="D205" s="2969"/>
      <c r="E205" s="2969"/>
      <c r="F205" s="2969"/>
      <c r="G205" s="2969"/>
      <c r="H205" s="2969"/>
      <c r="I205" s="2969"/>
      <c r="J205" s="2969"/>
      <c r="K205" s="2969"/>
      <c r="L205" s="2969"/>
      <c r="M205" s="2969"/>
      <c r="N205" s="2969"/>
      <c r="O205" s="2969"/>
      <c r="P205" s="2969"/>
      <c r="Q205" s="2969"/>
      <c r="R205" s="2969"/>
      <c r="S205" s="2970"/>
    </row>
    <row r="206" spans="1:21" ht="19.5" thickBot="1">
      <c r="A206" s="3015" t="s">
        <v>113</v>
      </c>
      <c r="B206" s="3016"/>
      <c r="C206" s="3016"/>
      <c r="D206" s="3016"/>
      <c r="E206" s="3016"/>
      <c r="F206" s="3016"/>
      <c r="G206" s="3016"/>
      <c r="H206" s="3016"/>
      <c r="I206" s="3016"/>
      <c r="J206" s="3016"/>
      <c r="K206" s="3016"/>
      <c r="L206" s="3016"/>
      <c r="M206" s="3016"/>
      <c r="N206" s="3016"/>
      <c r="O206" s="3016"/>
      <c r="P206" s="3016"/>
      <c r="Q206" s="3016"/>
      <c r="R206" s="3016"/>
      <c r="S206" s="3017"/>
    </row>
    <row r="207" spans="1:21" ht="16.5" thickBot="1">
      <c r="A207" s="1093" t="s">
        <v>10</v>
      </c>
      <c r="B207" s="211">
        <f t="shared" ref="B207:B253" si="12">J207</f>
        <v>110</v>
      </c>
      <c r="C207" s="211" t="s">
        <v>3</v>
      </c>
      <c r="D207" s="211">
        <f t="shared" ref="D207:D253" si="13">K207</f>
        <v>400</v>
      </c>
      <c r="E207" s="211" t="s">
        <v>3</v>
      </c>
      <c r="F207" s="1094">
        <f t="shared" ref="F207:F253" si="14">L207</f>
        <v>700</v>
      </c>
      <c r="G207" s="211" t="s">
        <v>3</v>
      </c>
      <c r="H207" s="211">
        <v>4</v>
      </c>
      <c r="I207" s="1169" t="s">
        <v>529</v>
      </c>
      <c r="J207" s="121">
        <v>110</v>
      </c>
      <c r="K207" s="122">
        <v>400</v>
      </c>
      <c r="L207" s="122">
        <v>700</v>
      </c>
      <c r="M207" s="163">
        <v>11.087635069305763</v>
      </c>
      <c r="N207" s="123">
        <v>2099.5883999999996</v>
      </c>
      <c r="O207" s="124">
        <v>33620.247188635592</v>
      </c>
      <c r="P207" s="124">
        <v>39207.579411119747</v>
      </c>
      <c r="Q207" s="139">
        <v>12324.7019970418</v>
      </c>
      <c r="R207" s="124">
        <v>45944.949185677397</v>
      </c>
      <c r="S207" s="124">
        <v>51532.281408161551</v>
      </c>
      <c r="U207" s="7" t="s">
        <v>6757</v>
      </c>
    </row>
    <row r="208" spans="1:21" ht="16.5" thickBot="1">
      <c r="A208" s="207" t="s">
        <v>10</v>
      </c>
      <c r="B208" s="211">
        <f t="shared" si="12"/>
        <v>110</v>
      </c>
      <c r="C208" s="211" t="s">
        <v>3</v>
      </c>
      <c r="D208" s="211">
        <f t="shared" si="13"/>
        <v>400</v>
      </c>
      <c r="E208" s="211" t="s">
        <v>3</v>
      </c>
      <c r="F208" s="209">
        <f t="shared" si="14"/>
        <v>750</v>
      </c>
      <c r="G208" s="211" t="s">
        <v>3</v>
      </c>
      <c r="H208" s="208">
        <v>4</v>
      </c>
      <c r="I208" s="210" t="s">
        <v>529</v>
      </c>
      <c r="J208" s="103">
        <v>110</v>
      </c>
      <c r="K208" s="66">
        <v>400</v>
      </c>
      <c r="L208" s="66">
        <v>750</v>
      </c>
      <c r="M208" s="245">
        <v>11.760604013620579</v>
      </c>
      <c r="N208" s="78">
        <v>2399.5295999999998</v>
      </c>
      <c r="O208" s="113">
        <v>35653.880703870789</v>
      </c>
      <c r="P208" s="113">
        <v>41517.528482096124</v>
      </c>
      <c r="Q208" s="110">
        <v>12981.309099800537</v>
      </c>
      <c r="R208" s="113">
        <v>48635.189803671325</v>
      </c>
      <c r="S208" s="113">
        <v>54498.83758189666</v>
      </c>
      <c r="U208" s="7" t="s">
        <v>6758</v>
      </c>
    </row>
    <row r="209" spans="1:21" ht="16.5" thickBot="1">
      <c r="A209" s="207" t="s">
        <v>10</v>
      </c>
      <c r="B209" s="211">
        <f t="shared" si="12"/>
        <v>110</v>
      </c>
      <c r="C209" s="211" t="s">
        <v>3</v>
      </c>
      <c r="D209" s="211">
        <f t="shared" si="13"/>
        <v>400</v>
      </c>
      <c r="E209" s="211" t="s">
        <v>3</v>
      </c>
      <c r="F209" s="209">
        <f t="shared" si="14"/>
        <v>800</v>
      </c>
      <c r="G209" s="211" t="s">
        <v>3</v>
      </c>
      <c r="H209" s="208">
        <v>4</v>
      </c>
      <c r="I209" s="210" t="s">
        <v>529</v>
      </c>
      <c r="J209" s="103">
        <v>110</v>
      </c>
      <c r="K209" s="66">
        <v>400</v>
      </c>
      <c r="L209" s="66">
        <v>800</v>
      </c>
      <c r="M209" s="245">
        <v>12.433572957935395</v>
      </c>
      <c r="N209" s="78">
        <v>2699.4707999999996</v>
      </c>
      <c r="O209" s="113">
        <v>37686.970768052401</v>
      </c>
      <c r="P209" s="113">
        <v>43826.769504279153</v>
      </c>
      <c r="Q209" s="110">
        <v>13637.916049530511</v>
      </c>
      <c r="R209" s="113">
        <v>51324.886817582912</v>
      </c>
      <c r="S209" s="113">
        <v>57464.685553809664</v>
      </c>
      <c r="U209" s="7" t="s">
        <v>6759</v>
      </c>
    </row>
    <row r="210" spans="1:21" ht="16.5" thickBot="1">
      <c r="A210" s="207" t="s">
        <v>10</v>
      </c>
      <c r="B210" s="211">
        <f t="shared" si="12"/>
        <v>110</v>
      </c>
      <c r="C210" s="211" t="s">
        <v>3</v>
      </c>
      <c r="D210" s="211">
        <f t="shared" si="13"/>
        <v>400</v>
      </c>
      <c r="E210" s="211" t="s">
        <v>3</v>
      </c>
      <c r="F210" s="209">
        <f t="shared" si="14"/>
        <v>850</v>
      </c>
      <c r="G210" s="211" t="s">
        <v>3</v>
      </c>
      <c r="H210" s="208">
        <v>4</v>
      </c>
      <c r="I210" s="210" t="s">
        <v>529</v>
      </c>
      <c r="J210" s="103">
        <v>110</v>
      </c>
      <c r="K210" s="66">
        <v>400</v>
      </c>
      <c r="L210" s="66">
        <v>850</v>
      </c>
      <c r="M210" s="245">
        <v>13.12528590225021</v>
      </c>
      <c r="N210" s="78">
        <v>2999.4119999999998</v>
      </c>
      <c r="O210" s="113">
        <v>39720.505686854223</v>
      </c>
      <c r="P210" s="113">
        <v>46136.565286341516</v>
      </c>
      <c r="Q210" s="110">
        <v>14545.85729007302</v>
      </c>
      <c r="R210" s="113">
        <v>54266.362976927245</v>
      </c>
      <c r="S210" s="113">
        <v>60682.422576414538</v>
      </c>
      <c r="U210" s="7" t="s">
        <v>6760</v>
      </c>
    </row>
    <row r="211" spans="1:21" ht="16.5" thickBot="1">
      <c r="A211" s="207" t="s">
        <v>10</v>
      </c>
      <c r="B211" s="211">
        <f t="shared" si="12"/>
        <v>110</v>
      </c>
      <c r="C211" s="211" t="s">
        <v>3</v>
      </c>
      <c r="D211" s="211">
        <f t="shared" si="13"/>
        <v>400</v>
      </c>
      <c r="E211" s="211" t="s">
        <v>3</v>
      </c>
      <c r="F211" s="209">
        <f t="shared" si="14"/>
        <v>900</v>
      </c>
      <c r="G211" s="211" t="s">
        <v>3</v>
      </c>
      <c r="H211" s="208">
        <v>4</v>
      </c>
      <c r="I211" s="210" t="s">
        <v>529</v>
      </c>
      <c r="J211" s="103">
        <v>110</v>
      </c>
      <c r="K211" s="66">
        <v>400</v>
      </c>
      <c r="L211" s="66">
        <v>900</v>
      </c>
      <c r="M211" s="245">
        <v>13.84005484656503</v>
      </c>
      <c r="N211" s="78">
        <v>3299.3532</v>
      </c>
      <c r="O211" s="113">
        <v>41753.716720274664</v>
      </c>
      <c r="P211" s="113">
        <v>48446.016340504677</v>
      </c>
      <c r="Q211" s="110">
        <v>15202.464239802994</v>
      </c>
      <c r="R211" s="113">
        <v>56956.180960077661</v>
      </c>
      <c r="S211" s="113">
        <v>63648.480580307674</v>
      </c>
      <c r="U211" s="7" t="s">
        <v>6761</v>
      </c>
    </row>
    <row r="212" spans="1:21" ht="16.5" thickBot="1">
      <c r="A212" s="207" t="s">
        <v>10</v>
      </c>
      <c r="B212" s="211">
        <f t="shared" si="12"/>
        <v>110</v>
      </c>
      <c r="C212" s="211" t="s">
        <v>3</v>
      </c>
      <c r="D212" s="211">
        <f t="shared" si="13"/>
        <v>400</v>
      </c>
      <c r="E212" s="211" t="s">
        <v>3</v>
      </c>
      <c r="F212" s="209">
        <f t="shared" si="14"/>
        <v>950</v>
      </c>
      <c r="G212" s="211" t="s">
        <v>3</v>
      </c>
      <c r="H212" s="208">
        <v>4</v>
      </c>
      <c r="I212" s="210" t="s">
        <v>529</v>
      </c>
      <c r="J212" s="103">
        <v>110</v>
      </c>
      <c r="K212" s="66">
        <v>400</v>
      </c>
      <c r="L212" s="66">
        <v>950</v>
      </c>
      <c r="M212" s="245">
        <v>14.607667790879843</v>
      </c>
      <c r="N212" s="78">
        <v>3599.2943999999993</v>
      </c>
      <c r="O212" s="113">
        <v>43786.637947819712</v>
      </c>
      <c r="P212" s="113">
        <v>50755.159164129123</v>
      </c>
      <c r="Q212" s="110">
        <v>16110.4054803455</v>
      </c>
      <c r="R212" s="113">
        <v>59897.043428165212</v>
      </c>
      <c r="S212" s="113">
        <v>66865.564644474623</v>
      </c>
      <c r="U212" s="7" t="s">
        <v>6762</v>
      </c>
    </row>
    <row r="213" spans="1:21" ht="16.5" thickBot="1">
      <c r="A213" s="207" t="s">
        <v>10</v>
      </c>
      <c r="B213" s="211">
        <f t="shared" si="12"/>
        <v>110</v>
      </c>
      <c r="C213" s="211" t="s">
        <v>3</v>
      </c>
      <c r="D213" s="211">
        <f t="shared" si="13"/>
        <v>400</v>
      </c>
      <c r="E213" s="211" t="s">
        <v>3</v>
      </c>
      <c r="F213" s="209">
        <f t="shared" si="14"/>
        <v>1000</v>
      </c>
      <c r="G213" s="211" t="s">
        <v>3</v>
      </c>
      <c r="H213" s="208">
        <v>4</v>
      </c>
      <c r="I213" s="210" t="s">
        <v>529</v>
      </c>
      <c r="J213" s="103">
        <v>110</v>
      </c>
      <c r="K213" s="66">
        <v>400</v>
      </c>
      <c r="L213" s="66">
        <v>1000</v>
      </c>
      <c r="M213" s="245">
        <v>15.280636735194658</v>
      </c>
      <c r="N213" s="78">
        <v>3899.2355999999995</v>
      </c>
      <c r="O213" s="113">
        <v>45724.636694845038</v>
      </c>
      <c r="P213" s="113">
        <v>52972.213087317599</v>
      </c>
      <c r="Q213" s="110">
        <v>16767.012583104239</v>
      </c>
      <c r="R213" s="113">
        <v>62491.649277949276</v>
      </c>
      <c r="S213" s="113">
        <v>69739.225670421845</v>
      </c>
      <c r="U213" s="7" t="s">
        <v>6763</v>
      </c>
    </row>
    <row r="214" spans="1:21" ht="16.5" thickBot="1">
      <c r="A214" s="207" t="s">
        <v>10</v>
      </c>
      <c r="B214" s="211">
        <f t="shared" si="12"/>
        <v>110</v>
      </c>
      <c r="C214" s="211" t="s">
        <v>3</v>
      </c>
      <c r="D214" s="211">
        <f t="shared" si="13"/>
        <v>400</v>
      </c>
      <c r="E214" s="211" t="s">
        <v>3</v>
      </c>
      <c r="F214" s="209">
        <f t="shared" si="14"/>
        <v>1050</v>
      </c>
      <c r="G214" s="211" t="s">
        <v>3</v>
      </c>
      <c r="H214" s="208">
        <v>4</v>
      </c>
      <c r="I214" s="210" t="s">
        <v>529</v>
      </c>
      <c r="J214" s="103">
        <v>110</v>
      </c>
      <c r="K214" s="66">
        <v>400</v>
      </c>
      <c r="L214" s="66">
        <v>1050</v>
      </c>
      <c r="M214" s="245">
        <v>15.972349679509476</v>
      </c>
      <c r="N214" s="78">
        <v>4199.1767999999993</v>
      </c>
      <c r="O214" s="113">
        <v>48010.979242455716</v>
      </c>
      <c r="P214" s="113">
        <v>55532.569997659579</v>
      </c>
      <c r="Q214" s="110">
        <v>17674.953670617982</v>
      </c>
      <c r="R214" s="113">
        <v>65685.932913073702</v>
      </c>
      <c r="S214" s="113">
        <v>73207.523668277558</v>
      </c>
      <c r="U214" s="7" t="s">
        <v>6764</v>
      </c>
    </row>
    <row r="215" spans="1:21" ht="16.5" thickBot="1">
      <c r="A215" s="207" t="s">
        <v>10</v>
      </c>
      <c r="B215" s="208">
        <f t="shared" si="12"/>
        <v>110</v>
      </c>
      <c r="C215" s="208" t="s">
        <v>3</v>
      </c>
      <c r="D215" s="208">
        <f t="shared" si="13"/>
        <v>400</v>
      </c>
      <c r="E215" s="208" t="s">
        <v>3</v>
      </c>
      <c r="F215" s="209">
        <f t="shared" si="14"/>
        <v>1100</v>
      </c>
      <c r="G215" s="208" t="s">
        <v>3</v>
      </c>
      <c r="H215" s="208">
        <v>4</v>
      </c>
      <c r="I215" s="210" t="s">
        <v>529</v>
      </c>
      <c r="J215" s="103">
        <v>110</v>
      </c>
      <c r="K215" s="66">
        <v>400</v>
      </c>
      <c r="L215" s="66">
        <v>1100</v>
      </c>
      <c r="M215" s="245">
        <v>16.645318623824291</v>
      </c>
      <c r="N215" s="78">
        <v>4499.1179999999995</v>
      </c>
      <c r="O215" s="113">
        <v>50043.31487482525</v>
      </c>
      <c r="P215" s="113">
        <v>57841.095533851265</v>
      </c>
      <c r="Q215" s="110">
        <v>18331.560773376717</v>
      </c>
      <c r="R215" s="113">
        <v>68374.875648201967</v>
      </c>
      <c r="S215" s="113">
        <v>76172.656307227982</v>
      </c>
      <c r="U215" s="7" t="s">
        <v>6765</v>
      </c>
    </row>
    <row r="216" spans="1:21" ht="16.5" thickBot="1">
      <c r="A216" s="207" t="s">
        <v>10</v>
      </c>
      <c r="B216" s="211">
        <f t="shared" si="12"/>
        <v>110</v>
      </c>
      <c r="C216" s="211" t="s">
        <v>3</v>
      </c>
      <c r="D216" s="211">
        <f t="shared" si="13"/>
        <v>400</v>
      </c>
      <c r="E216" s="211" t="s">
        <v>3</v>
      </c>
      <c r="F216" s="209">
        <f t="shared" si="14"/>
        <v>1150</v>
      </c>
      <c r="G216" s="211" t="s">
        <v>3</v>
      </c>
      <c r="H216" s="208">
        <v>4</v>
      </c>
      <c r="I216" s="210" t="s">
        <v>529</v>
      </c>
      <c r="J216" s="103">
        <v>110</v>
      </c>
      <c r="K216" s="66">
        <v>400</v>
      </c>
      <c r="L216" s="66">
        <v>1150</v>
      </c>
      <c r="M216" s="245">
        <v>17.318287568139105</v>
      </c>
      <c r="N216" s="78">
        <v>4799.0591999999997</v>
      </c>
      <c r="O216" s="113">
        <v>51227.587983975311</v>
      </c>
      <c r="P216" s="113">
        <v>59308.862227210833</v>
      </c>
      <c r="Q216" s="110">
        <v>18988.167723106693</v>
      </c>
      <c r="R216" s="113">
        <v>70215.755707082004</v>
      </c>
      <c r="S216" s="113">
        <v>78297.029950317519</v>
      </c>
      <c r="U216" s="7" t="s">
        <v>6766</v>
      </c>
    </row>
    <row r="217" spans="1:21" ht="16.5" thickBot="1">
      <c r="A217" s="207" t="s">
        <v>10</v>
      </c>
      <c r="B217" s="211">
        <f t="shared" si="12"/>
        <v>110</v>
      </c>
      <c r="C217" s="211" t="s">
        <v>3</v>
      </c>
      <c r="D217" s="211">
        <f t="shared" si="13"/>
        <v>400</v>
      </c>
      <c r="E217" s="211" t="s">
        <v>3</v>
      </c>
      <c r="F217" s="209">
        <f t="shared" si="14"/>
        <v>1200</v>
      </c>
      <c r="G217" s="211" t="s">
        <v>3</v>
      </c>
      <c r="H217" s="208">
        <v>4</v>
      </c>
      <c r="I217" s="210" t="s">
        <v>529</v>
      </c>
      <c r="J217" s="103">
        <v>110</v>
      </c>
      <c r="K217" s="66">
        <v>400</v>
      </c>
      <c r="L217" s="66">
        <v>1200</v>
      </c>
      <c r="M217" s="245">
        <v>18.28995051245392</v>
      </c>
      <c r="N217" s="78">
        <v>5099.0003999999999</v>
      </c>
      <c r="O217" s="113">
        <v>52478.665900009386</v>
      </c>
      <c r="P217" s="113">
        <v>60842.84380921656</v>
      </c>
      <c r="Q217" s="110">
        <v>19896.1089636492</v>
      </c>
      <c r="R217" s="113">
        <v>72374.774863658589</v>
      </c>
      <c r="S217" s="113">
        <v>80738.952772865756</v>
      </c>
      <c r="U217" s="7" t="s">
        <v>6767</v>
      </c>
    </row>
    <row r="218" spans="1:21" ht="16.5" thickBot="1">
      <c r="A218" s="207" t="s">
        <v>10</v>
      </c>
      <c r="B218" s="211">
        <f t="shared" si="12"/>
        <v>110</v>
      </c>
      <c r="C218" s="211" t="s">
        <v>3</v>
      </c>
      <c r="D218" s="211">
        <f t="shared" si="13"/>
        <v>400</v>
      </c>
      <c r="E218" s="211" t="s">
        <v>3</v>
      </c>
      <c r="F218" s="209">
        <f t="shared" si="14"/>
        <v>1250</v>
      </c>
      <c r="G218" s="211" t="s">
        <v>3</v>
      </c>
      <c r="H218" s="208">
        <v>4</v>
      </c>
      <c r="I218" s="210" t="s">
        <v>529</v>
      </c>
      <c r="J218" s="103">
        <v>110</v>
      </c>
      <c r="K218" s="66">
        <v>400</v>
      </c>
      <c r="L218" s="66">
        <v>1250</v>
      </c>
      <c r="M218" s="245">
        <v>18.962919456768738</v>
      </c>
      <c r="N218" s="78">
        <v>5398.9415999999992</v>
      </c>
      <c r="O218" s="113">
        <v>53662.69316844827</v>
      </c>
      <c r="P218" s="113">
        <v>62310.340973012251</v>
      </c>
      <c r="Q218" s="110">
        <v>20552.715913379172</v>
      </c>
      <c r="R218" s="113">
        <v>74215.409081827442</v>
      </c>
      <c r="S218" s="113">
        <v>82863.056886391423</v>
      </c>
      <c r="U218" s="7" t="s">
        <v>6768</v>
      </c>
    </row>
    <row r="219" spans="1:21" ht="16.5" thickBot="1">
      <c r="A219" s="207" t="s">
        <v>10</v>
      </c>
      <c r="B219" s="211">
        <f t="shared" si="12"/>
        <v>110</v>
      </c>
      <c r="C219" s="211" t="s">
        <v>3</v>
      </c>
      <c r="D219" s="211">
        <f t="shared" si="13"/>
        <v>400</v>
      </c>
      <c r="E219" s="211" t="s">
        <v>3</v>
      </c>
      <c r="F219" s="209">
        <f t="shared" si="14"/>
        <v>1300</v>
      </c>
      <c r="G219" s="211" t="s">
        <v>3</v>
      </c>
      <c r="H219" s="208">
        <v>4</v>
      </c>
      <c r="I219" s="210" t="s">
        <v>529</v>
      </c>
      <c r="J219" s="103">
        <v>110</v>
      </c>
      <c r="K219" s="66">
        <v>400</v>
      </c>
      <c r="L219" s="66">
        <v>1300</v>
      </c>
      <c r="M219" s="245">
        <v>19.722832401083554</v>
      </c>
      <c r="N219" s="78">
        <v>5698.8827999999985</v>
      </c>
      <c r="O219" s="113">
        <v>57594.565183245046</v>
      </c>
      <c r="P219" s="113">
        <v>66501.388243003428</v>
      </c>
      <c r="Q219" s="110">
        <v>21460.657153921682</v>
      </c>
      <c r="R219" s="113">
        <v>79055.222337166721</v>
      </c>
      <c r="S219" s="113">
        <v>87962.04539692511</v>
      </c>
      <c r="U219" s="7" t="s">
        <v>6769</v>
      </c>
    </row>
    <row r="220" spans="1:21" ht="16.5" thickBot="1">
      <c r="A220" s="207" t="s">
        <v>10</v>
      </c>
      <c r="B220" s="211">
        <f t="shared" si="12"/>
        <v>110</v>
      </c>
      <c r="C220" s="211" t="s">
        <v>3</v>
      </c>
      <c r="D220" s="211">
        <f t="shared" si="13"/>
        <v>400</v>
      </c>
      <c r="E220" s="211" t="s">
        <v>3</v>
      </c>
      <c r="F220" s="209">
        <f t="shared" si="14"/>
        <v>1350</v>
      </c>
      <c r="G220" s="211" t="s">
        <v>3</v>
      </c>
      <c r="H220" s="208">
        <v>4</v>
      </c>
      <c r="I220" s="210" t="s">
        <v>529</v>
      </c>
      <c r="J220" s="103">
        <v>110</v>
      </c>
      <c r="K220" s="66">
        <v>400</v>
      </c>
      <c r="L220" s="66">
        <v>1350</v>
      </c>
      <c r="M220" s="245">
        <v>20.395801345398365</v>
      </c>
      <c r="N220" s="78">
        <v>5998.8239999999996</v>
      </c>
      <c r="O220" s="113">
        <v>59058.489515598412</v>
      </c>
      <c r="P220" s="113">
        <v>68246.347155642521</v>
      </c>
      <c r="Q220" s="110">
        <v>22117.264103651651</v>
      </c>
      <c r="R220" s="113">
        <v>81175.753619250056</v>
      </c>
      <c r="S220" s="113">
        <v>90363.611259294179</v>
      </c>
      <c r="U220" s="7" t="s">
        <v>6770</v>
      </c>
    </row>
    <row r="221" spans="1:21" ht="16.5" thickBot="1">
      <c r="A221" s="207" t="s">
        <v>10</v>
      </c>
      <c r="B221" s="211">
        <f t="shared" si="12"/>
        <v>110</v>
      </c>
      <c r="C221" s="211" t="s">
        <v>3</v>
      </c>
      <c r="D221" s="211">
        <f t="shared" si="13"/>
        <v>400</v>
      </c>
      <c r="E221" s="211" t="s">
        <v>3</v>
      </c>
      <c r="F221" s="209">
        <f t="shared" si="14"/>
        <v>1400</v>
      </c>
      <c r="G221" s="211" t="s">
        <v>3</v>
      </c>
      <c r="H221" s="208">
        <v>4</v>
      </c>
      <c r="I221" s="210" t="s">
        <v>529</v>
      </c>
      <c r="J221" s="103">
        <v>110</v>
      </c>
      <c r="K221" s="66">
        <v>400</v>
      </c>
      <c r="L221" s="66">
        <v>1400</v>
      </c>
      <c r="M221" s="245">
        <v>21.087514289713184</v>
      </c>
      <c r="N221" s="78">
        <v>6298.7651999999998</v>
      </c>
      <c r="O221" s="113">
        <v>60889.182824504547</v>
      </c>
      <c r="P221" s="113">
        <v>70354.900348330295</v>
      </c>
      <c r="Q221" s="110">
        <v>23025.205344194161</v>
      </c>
      <c r="R221" s="113">
        <v>83914.388168698701</v>
      </c>
      <c r="S221" s="113">
        <v>93380.105692524463</v>
      </c>
      <c r="U221" s="7" t="s">
        <v>6771</v>
      </c>
    </row>
    <row r="222" spans="1:21" ht="16.5" thickBot="1">
      <c r="A222" s="207" t="s">
        <v>10</v>
      </c>
      <c r="B222" s="211">
        <f t="shared" si="12"/>
        <v>110</v>
      </c>
      <c r="C222" s="211" t="s">
        <v>3</v>
      </c>
      <c r="D222" s="211">
        <f t="shared" si="13"/>
        <v>400</v>
      </c>
      <c r="E222" s="211" t="s">
        <v>3</v>
      </c>
      <c r="F222" s="209">
        <f t="shared" si="14"/>
        <v>1450</v>
      </c>
      <c r="G222" s="211" t="s">
        <v>3</v>
      </c>
      <c r="H222" s="208">
        <v>4</v>
      </c>
      <c r="I222" s="210" t="s">
        <v>529</v>
      </c>
      <c r="J222" s="103">
        <v>110</v>
      </c>
      <c r="K222" s="66">
        <v>400</v>
      </c>
      <c r="L222" s="66">
        <v>1450</v>
      </c>
      <c r="M222" s="245">
        <v>21.760483234028005</v>
      </c>
      <c r="N222" s="78">
        <v>6598.7064</v>
      </c>
      <c r="O222" s="113">
        <v>62353.143057406218</v>
      </c>
      <c r="P222" s="113">
        <v>72099.876338979579</v>
      </c>
      <c r="Q222" s="110">
        <v>23681.812293924133</v>
      </c>
      <c r="R222" s="113">
        <v>86034.955351330354</v>
      </c>
      <c r="S222" s="113">
        <v>95781.688632903708</v>
      </c>
      <c r="U222" s="7" t="s">
        <v>6772</v>
      </c>
    </row>
    <row r="223" spans="1:21" ht="16.5" thickBot="1">
      <c r="A223" s="207" t="s">
        <v>10</v>
      </c>
      <c r="B223" s="211">
        <f t="shared" si="12"/>
        <v>110</v>
      </c>
      <c r="C223" s="211" t="s">
        <v>3</v>
      </c>
      <c r="D223" s="211">
        <f t="shared" si="13"/>
        <v>400</v>
      </c>
      <c r="E223" s="211" t="s">
        <v>3</v>
      </c>
      <c r="F223" s="209">
        <f t="shared" si="14"/>
        <v>1500</v>
      </c>
      <c r="G223" s="211" t="s">
        <v>3</v>
      </c>
      <c r="H223" s="208">
        <v>4</v>
      </c>
      <c r="I223" s="210" t="s">
        <v>529</v>
      </c>
      <c r="J223" s="103">
        <v>110</v>
      </c>
      <c r="K223" s="66">
        <v>400</v>
      </c>
      <c r="L223" s="66">
        <v>1500</v>
      </c>
      <c r="M223" s="245">
        <v>23.163048494472822</v>
      </c>
      <c r="N223" s="78">
        <v>6898.6475999999993</v>
      </c>
      <c r="O223" s="113">
        <v>64529.238403128438</v>
      </c>
      <c r="P223" s="113">
        <v>74783.162006187413</v>
      </c>
      <c r="Q223" s="110">
        <v>24589.753534466639</v>
      </c>
      <c r="R223" s="113">
        <v>89118.99193759507</v>
      </c>
      <c r="S223" s="113">
        <v>99372.915540654052</v>
      </c>
      <c r="U223" s="7" t="s">
        <v>6773</v>
      </c>
    </row>
    <row r="224" spans="1:21" ht="16.5" thickBot="1">
      <c r="A224" s="207" t="s">
        <v>10</v>
      </c>
      <c r="B224" s="211">
        <f t="shared" si="12"/>
        <v>110</v>
      </c>
      <c r="C224" s="211" t="s">
        <v>3</v>
      </c>
      <c r="D224" s="211">
        <f t="shared" si="13"/>
        <v>400</v>
      </c>
      <c r="E224" s="211" t="s">
        <v>3</v>
      </c>
      <c r="F224" s="209">
        <f t="shared" si="14"/>
        <v>1550</v>
      </c>
      <c r="G224" s="211" t="s">
        <v>3</v>
      </c>
      <c r="H224" s="208">
        <v>4</v>
      </c>
      <c r="I224" s="210" t="s">
        <v>529</v>
      </c>
      <c r="J224" s="103">
        <v>110</v>
      </c>
      <c r="K224" s="66">
        <v>400</v>
      </c>
      <c r="L224" s="66">
        <v>1550</v>
      </c>
      <c r="M224" s="245">
        <v>23.911917438787633</v>
      </c>
      <c r="N224" s="78">
        <v>7198.5887999999986</v>
      </c>
      <c r="O224" s="113">
        <v>65993.307118121709</v>
      </c>
      <c r="P224" s="113">
        <v>76528.256578826797</v>
      </c>
      <c r="Q224" s="110">
        <v>25246.360484196612</v>
      </c>
      <c r="R224" s="113">
        <v>91239.667602318324</v>
      </c>
      <c r="S224" s="113">
        <v>101774.61706302341</v>
      </c>
      <c r="U224" s="7" t="s">
        <v>6774</v>
      </c>
    </row>
    <row r="225" spans="1:21" ht="16.5" thickBot="1">
      <c r="A225" s="207" t="s">
        <v>10</v>
      </c>
      <c r="B225" s="208">
        <f t="shared" si="12"/>
        <v>110</v>
      </c>
      <c r="C225" s="208" t="s">
        <v>3</v>
      </c>
      <c r="D225" s="208">
        <f t="shared" si="13"/>
        <v>400</v>
      </c>
      <c r="E225" s="208" t="s">
        <v>3</v>
      </c>
      <c r="F225" s="209">
        <f t="shared" si="14"/>
        <v>1600</v>
      </c>
      <c r="G225" s="208" t="s">
        <v>3</v>
      </c>
      <c r="H225" s="208">
        <v>4</v>
      </c>
      <c r="I225" s="210" t="s">
        <v>529</v>
      </c>
      <c r="J225" s="103">
        <v>110</v>
      </c>
      <c r="K225" s="66">
        <v>400</v>
      </c>
      <c r="L225" s="66">
        <v>1600</v>
      </c>
      <c r="M225" s="245">
        <v>24.584886383102447</v>
      </c>
      <c r="N225" s="78">
        <v>7498.53</v>
      </c>
      <c r="O225" s="113">
        <v>69640.182370103328</v>
      </c>
      <c r="P225" s="113">
        <v>80437.312570949856</v>
      </c>
      <c r="Q225" s="110">
        <v>25902.96758695535</v>
      </c>
      <c r="R225" s="113">
        <v>95543.149957058675</v>
      </c>
      <c r="S225" s="113">
        <v>106340.2801579052</v>
      </c>
      <c r="U225" s="7" t="s">
        <v>6775</v>
      </c>
    </row>
    <row r="226" spans="1:21" ht="16.5" thickBot="1">
      <c r="A226" s="207" t="s">
        <v>10</v>
      </c>
      <c r="B226" s="211">
        <f t="shared" si="12"/>
        <v>110</v>
      </c>
      <c r="C226" s="211" t="s">
        <v>3</v>
      </c>
      <c r="D226" s="211">
        <f t="shared" si="13"/>
        <v>400</v>
      </c>
      <c r="E226" s="211" t="s">
        <v>3</v>
      </c>
      <c r="F226" s="209">
        <f t="shared" si="14"/>
        <v>1650</v>
      </c>
      <c r="G226" s="211" t="s">
        <v>3</v>
      </c>
      <c r="H226" s="208">
        <v>4</v>
      </c>
      <c r="I226" s="210" t="s">
        <v>529</v>
      </c>
      <c r="J226" s="103">
        <v>110</v>
      </c>
      <c r="K226" s="66">
        <v>400</v>
      </c>
      <c r="L226" s="66">
        <v>1650</v>
      </c>
      <c r="M226" s="245">
        <v>25.318399327417268</v>
      </c>
      <c r="N226" s="78">
        <v>7798.471199999999</v>
      </c>
      <c r="O226" s="113">
        <v>73569.397093953768</v>
      </c>
      <c r="P226" s="113">
        <v>84626.264341545801</v>
      </c>
      <c r="Q226" s="110">
        <v>26810.908827497857</v>
      </c>
      <c r="R226" s="113">
        <v>100380.30592145163</v>
      </c>
      <c r="S226" s="113">
        <v>111437.17316904366</v>
      </c>
      <c r="U226" s="7" t="s">
        <v>6776</v>
      </c>
    </row>
    <row r="227" spans="1:21" ht="16.5" thickBot="1">
      <c r="A227" s="207" t="s">
        <v>10</v>
      </c>
      <c r="B227" s="211">
        <f t="shared" si="12"/>
        <v>110</v>
      </c>
      <c r="C227" s="211" t="s">
        <v>3</v>
      </c>
      <c r="D227" s="211">
        <f t="shared" si="13"/>
        <v>400</v>
      </c>
      <c r="E227" s="211" t="s">
        <v>3</v>
      </c>
      <c r="F227" s="209">
        <f t="shared" si="14"/>
        <v>1700</v>
      </c>
      <c r="G227" s="211" t="s">
        <v>3</v>
      </c>
      <c r="H227" s="208">
        <v>4</v>
      </c>
      <c r="I227" s="210" t="s">
        <v>529</v>
      </c>
      <c r="J227" s="103">
        <v>110</v>
      </c>
      <c r="K227" s="66">
        <v>400</v>
      </c>
      <c r="L227" s="66">
        <v>1700</v>
      </c>
      <c r="M227" s="245">
        <v>25.991368271732082</v>
      </c>
      <c r="N227" s="78">
        <v>8098.4124000000002</v>
      </c>
      <c r="O227" s="113">
        <v>74802.911707328502</v>
      </c>
      <c r="P227" s="113">
        <v>86142.771538256013</v>
      </c>
      <c r="Q227" s="110">
        <v>27467.515777227836</v>
      </c>
      <c r="R227" s="113">
        <v>102270.42748455633</v>
      </c>
      <c r="S227" s="113">
        <v>113610.28731548385</v>
      </c>
      <c r="U227" s="7" t="s">
        <v>6777</v>
      </c>
    </row>
    <row r="228" spans="1:21" ht="16.5" thickBot="1">
      <c r="A228" s="207" t="s">
        <v>10</v>
      </c>
      <c r="B228" s="211">
        <f t="shared" si="12"/>
        <v>110</v>
      </c>
      <c r="C228" s="211" t="s">
        <v>3</v>
      </c>
      <c r="D228" s="211">
        <f t="shared" si="13"/>
        <v>400</v>
      </c>
      <c r="E228" s="211" t="s">
        <v>3</v>
      </c>
      <c r="F228" s="209">
        <f t="shared" si="14"/>
        <v>1750</v>
      </c>
      <c r="G228" s="211" t="s">
        <v>3</v>
      </c>
      <c r="H228" s="208">
        <v>4</v>
      </c>
      <c r="I228" s="210" t="s">
        <v>529</v>
      </c>
      <c r="J228" s="103">
        <v>110</v>
      </c>
      <c r="K228" s="66">
        <v>400</v>
      </c>
      <c r="L228" s="66">
        <v>1750</v>
      </c>
      <c r="M228" s="245">
        <v>26.683081216046894</v>
      </c>
      <c r="N228" s="78">
        <v>8398.3535999999986</v>
      </c>
      <c r="O228" s="113">
        <v>75951.155364399921</v>
      </c>
      <c r="P228" s="113">
        <v>87574.737213226239</v>
      </c>
      <c r="Q228" s="110">
        <v>28375.457017770343</v>
      </c>
      <c r="R228" s="113">
        <v>104326.61238217026</v>
      </c>
      <c r="S228" s="113">
        <v>115950.19423099658</v>
      </c>
      <c r="U228" s="7" t="s">
        <v>6778</v>
      </c>
    </row>
    <row r="229" spans="1:21" ht="16.5" thickBot="1">
      <c r="A229" s="207" t="s">
        <v>10</v>
      </c>
      <c r="B229" s="211">
        <f t="shared" si="12"/>
        <v>110</v>
      </c>
      <c r="C229" s="211" t="s">
        <v>3</v>
      </c>
      <c r="D229" s="211">
        <f t="shared" si="13"/>
        <v>400</v>
      </c>
      <c r="E229" s="211" t="s">
        <v>3</v>
      </c>
      <c r="F229" s="209">
        <f t="shared" si="14"/>
        <v>1800</v>
      </c>
      <c r="G229" s="211" t="s">
        <v>3</v>
      </c>
      <c r="H229" s="208">
        <v>4</v>
      </c>
      <c r="I229" s="210" t="s">
        <v>529</v>
      </c>
      <c r="J229" s="103">
        <v>110</v>
      </c>
      <c r="K229" s="66">
        <v>400</v>
      </c>
      <c r="L229" s="66">
        <v>1800</v>
      </c>
      <c r="M229" s="245">
        <v>27.431950160361712</v>
      </c>
      <c r="N229" s="78">
        <v>8698.2947999999997</v>
      </c>
      <c r="O229" s="113">
        <v>77185.679875807211</v>
      </c>
      <c r="P229" s="113">
        <v>89092.233006364913</v>
      </c>
      <c r="Q229" s="110">
        <v>29032.063967500315</v>
      </c>
      <c r="R229" s="113">
        <v>106217.74384330753</v>
      </c>
      <c r="S229" s="113">
        <v>118124.29697386523</v>
      </c>
      <c r="U229" s="7" t="s">
        <v>6779</v>
      </c>
    </row>
    <row r="230" spans="1:21" ht="16.5" thickBot="1">
      <c r="A230" s="207" t="s">
        <v>10</v>
      </c>
      <c r="B230" s="211">
        <f t="shared" si="12"/>
        <v>110</v>
      </c>
      <c r="C230" s="211" t="s">
        <v>3</v>
      </c>
      <c r="D230" s="211">
        <f t="shared" si="13"/>
        <v>400</v>
      </c>
      <c r="E230" s="211" t="s">
        <v>3</v>
      </c>
      <c r="F230" s="209">
        <f t="shared" si="14"/>
        <v>1850</v>
      </c>
      <c r="G230" s="211" t="s">
        <v>3</v>
      </c>
      <c r="H230" s="208">
        <v>4</v>
      </c>
      <c r="I230" s="210" t="s">
        <v>529</v>
      </c>
      <c r="J230" s="103">
        <v>110</v>
      </c>
      <c r="K230" s="66">
        <v>400</v>
      </c>
      <c r="L230" s="66">
        <v>1850</v>
      </c>
      <c r="M230" s="245">
        <v>28.191863104676532</v>
      </c>
      <c r="N230" s="78">
        <v>8998.235999999999</v>
      </c>
      <c r="O230" s="113">
        <v>78420.249002750963</v>
      </c>
      <c r="P230" s="113">
        <v>90609.767225026517</v>
      </c>
      <c r="Q230" s="110">
        <v>29940.005208042821</v>
      </c>
      <c r="R230" s="113">
        <v>108360.25421079379</v>
      </c>
      <c r="S230" s="113">
        <v>120549.77243306933</v>
      </c>
      <c r="U230" s="7" t="s">
        <v>6780</v>
      </c>
    </row>
    <row r="231" spans="1:21" ht="16.5" thickBot="1">
      <c r="A231" s="207" t="s">
        <v>10</v>
      </c>
      <c r="B231" s="211">
        <f t="shared" si="12"/>
        <v>110</v>
      </c>
      <c r="C231" s="211" t="s">
        <v>3</v>
      </c>
      <c r="D231" s="211">
        <f t="shared" si="13"/>
        <v>400</v>
      </c>
      <c r="E231" s="211" t="s">
        <v>3</v>
      </c>
      <c r="F231" s="209">
        <f t="shared" si="14"/>
        <v>1900</v>
      </c>
      <c r="G231" s="211" t="s">
        <v>3</v>
      </c>
      <c r="H231" s="208">
        <v>4</v>
      </c>
      <c r="I231" s="210" t="s">
        <v>529</v>
      </c>
      <c r="J231" s="103">
        <v>110</v>
      </c>
      <c r="K231" s="66">
        <v>400</v>
      </c>
      <c r="L231" s="66">
        <v>1900</v>
      </c>
      <c r="M231" s="245">
        <v>28.864832048991346</v>
      </c>
      <c r="N231" s="78">
        <v>9298.1772000000001</v>
      </c>
      <c r="O231" s="113">
        <v>79851.114133099589</v>
      </c>
      <c r="P231" s="113">
        <v>92321.898208033599</v>
      </c>
      <c r="Q231" s="110">
        <v>30596.612157772794</v>
      </c>
      <c r="R231" s="113">
        <v>110447.72629087238</v>
      </c>
      <c r="S231" s="113">
        <v>122918.51036580639</v>
      </c>
      <c r="U231" s="7" t="s">
        <v>6781</v>
      </c>
    </row>
    <row r="232" spans="1:21" ht="16.5" thickBot="1">
      <c r="A232" s="207" t="s">
        <v>10</v>
      </c>
      <c r="B232" s="211">
        <f t="shared" si="12"/>
        <v>110</v>
      </c>
      <c r="C232" s="211" t="s">
        <v>3</v>
      </c>
      <c r="D232" s="211">
        <f t="shared" si="13"/>
        <v>400</v>
      </c>
      <c r="E232" s="211" t="s">
        <v>3</v>
      </c>
      <c r="F232" s="209">
        <f t="shared" si="14"/>
        <v>1950</v>
      </c>
      <c r="G232" s="211" t="s">
        <v>3</v>
      </c>
      <c r="H232" s="208">
        <v>4</v>
      </c>
      <c r="I232" s="210" t="s">
        <v>529</v>
      </c>
      <c r="J232" s="103">
        <v>110</v>
      </c>
      <c r="K232" s="66">
        <v>400</v>
      </c>
      <c r="L232" s="66">
        <v>1950</v>
      </c>
      <c r="M232" s="245">
        <v>29.749550993306162</v>
      </c>
      <c r="N232" s="78">
        <v>9598.1183999999994</v>
      </c>
      <c r="O232" s="113">
        <v>81487.612531197461</v>
      </c>
      <c r="P232" s="113">
        <v>94237.88265008571</v>
      </c>
      <c r="Q232" s="110">
        <v>31253.219260531532</v>
      </c>
      <c r="R232" s="113">
        <v>112740.831791729</v>
      </c>
      <c r="S232" s="113">
        <v>125491.10191061725</v>
      </c>
      <c r="U232" s="7" t="s">
        <v>6782</v>
      </c>
    </row>
    <row r="233" spans="1:21" ht="16.5" thickBot="1">
      <c r="A233" s="207" t="s">
        <v>10</v>
      </c>
      <c r="B233" s="211">
        <f t="shared" si="12"/>
        <v>110</v>
      </c>
      <c r="C233" s="211" t="s">
        <v>3</v>
      </c>
      <c r="D233" s="211">
        <f t="shared" si="13"/>
        <v>400</v>
      </c>
      <c r="E233" s="211" t="s">
        <v>3</v>
      </c>
      <c r="F233" s="209">
        <f t="shared" si="14"/>
        <v>2000</v>
      </c>
      <c r="G233" s="211" t="s">
        <v>3</v>
      </c>
      <c r="H233" s="208">
        <v>4</v>
      </c>
      <c r="I233" s="210" t="s">
        <v>529</v>
      </c>
      <c r="J233" s="103">
        <v>110</v>
      </c>
      <c r="K233" s="66">
        <v>400</v>
      </c>
      <c r="L233" s="66">
        <v>2000</v>
      </c>
      <c r="M233" s="245">
        <v>30.541982577620978</v>
      </c>
      <c r="N233" s="78">
        <v>9898.0595999999987</v>
      </c>
      <c r="O233" s="113">
        <v>82964.191936900446</v>
      </c>
      <c r="P233" s="113">
        <v>96222.858259246364</v>
      </c>
      <c r="Q233" s="110">
        <v>32161.160348045276</v>
      </c>
      <c r="R233" s="113">
        <v>115125.35228494572</v>
      </c>
      <c r="S233" s="113">
        <v>128384.01860729164</v>
      </c>
      <c r="U233" s="7" t="s">
        <v>6783</v>
      </c>
    </row>
    <row r="234" spans="1:21" ht="16.5" thickBot="1">
      <c r="A234" s="207" t="s">
        <v>10</v>
      </c>
      <c r="B234" s="211">
        <f t="shared" si="12"/>
        <v>110</v>
      </c>
      <c r="C234" s="211" t="s">
        <v>3</v>
      </c>
      <c r="D234" s="211">
        <f t="shared" si="13"/>
        <v>400</v>
      </c>
      <c r="E234" s="211" t="s">
        <v>3</v>
      </c>
      <c r="F234" s="209">
        <f t="shared" si="14"/>
        <v>2050</v>
      </c>
      <c r="G234" s="211" t="s">
        <v>3</v>
      </c>
      <c r="H234" s="208">
        <v>4</v>
      </c>
      <c r="I234" s="210" t="s">
        <v>529</v>
      </c>
      <c r="J234" s="103">
        <v>110</v>
      </c>
      <c r="K234" s="66">
        <v>400</v>
      </c>
      <c r="L234" s="66">
        <v>2050</v>
      </c>
      <c r="M234" s="245">
        <v>31.214951521935792</v>
      </c>
      <c r="N234" s="78">
        <v>10198.0008</v>
      </c>
      <c r="O234" s="113">
        <v>86601.076690647998</v>
      </c>
      <c r="P234" s="113">
        <v>100121.86274056672</v>
      </c>
      <c r="Q234" s="110">
        <v>32817.767450804015</v>
      </c>
      <c r="R234" s="113">
        <v>119418.84414145202</v>
      </c>
      <c r="S234" s="113">
        <v>132939.63019137073</v>
      </c>
      <c r="U234" s="7" t="s">
        <v>6784</v>
      </c>
    </row>
    <row r="235" spans="1:21" ht="16.5" thickBot="1">
      <c r="A235" s="207" t="s">
        <v>10</v>
      </c>
      <c r="B235" s="208">
        <f t="shared" si="12"/>
        <v>110</v>
      </c>
      <c r="C235" s="208" t="s">
        <v>3</v>
      </c>
      <c r="D235" s="208">
        <f t="shared" si="13"/>
        <v>400</v>
      </c>
      <c r="E235" s="208" t="s">
        <v>3</v>
      </c>
      <c r="F235" s="209">
        <f t="shared" si="14"/>
        <v>2100</v>
      </c>
      <c r="G235" s="208" t="s">
        <v>3</v>
      </c>
      <c r="H235" s="208">
        <v>4</v>
      </c>
      <c r="I235" s="210" t="s">
        <v>529</v>
      </c>
      <c r="J235" s="103">
        <v>110</v>
      </c>
      <c r="K235" s="66">
        <v>400</v>
      </c>
      <c r="L235" s="66">
        <v>2100</v>
      </c>
      <c r="M235" s="245">
        <v>31.906664466250611</v>
      </c>
      <c r="N235" s="78">
        <v>10497.941999999999</v>
      </c>
      <c r="O235" s="113">
        <v>87905.317985659436</v>
      </c>
      <c r="P235" s="113">
        <v>101708.46222286494</v>
      </c>
      <c r="Q235" s="110">
        <v>33725.708538317755</v>
      </c>
      <c r="R235" s="113">
        <v>121631.0265239772</v>
      </c>
      <c r="S235" s="113">
        <v>135434.1707611827</v>
      </c>
      <c r="U235" s="7" t="s">
        <v>6785</v>
      </c>
    </row>
    <row r="236" spans="1:21" ht="16.5" thickBot="1">
      <c r="A236" s="207" t="s">
        <v>10</v>
      </c>
      <c r="B236" s="211">
        <f t="shared" si="12"/>
        <v>110</v>
      </c>
      <c r="C236" s="211" t="s">
        <v>3</v>
      </c>
      <c r="D236" s="211">
        <f t="shared" si="13"/>
        <v>400</v>
      </c>
      <c r="E236" s="211" t="s">
        <v>3</v>
      </c>
      <c r="F236" s="209">
        <f t="shared" si="14"/>
        <v>2150</v>
      </c>
      <c r="G236" s="211" t="s">
        <v>3</v>
      </c>
      <c r="H236" s="208">
        <v>4</v>
      </c>
      <c r="I236" s="210" t="s">
        <v>529</v>
      </c>
      <c r="J236" s="103">
        <v>110</v>
      </c>
      <c r="K236" s="66">
        <v>400</v>
      </c>
      <c r="L236" s="66">
        <v>2150</v>
      </c>
      <c r="M236" s="245">
        <v>32.71603341056543</v>
      </c>
      <c r="N236" s="78">
        <v>10797.883199999998</v>
      </c>
      <c r="O236" s="113">
        <v>89375.008908620453</v>
      </c>
      <c r="P236" s="113">
        <v>103459.07891500824</v>
      </c>
      <c r="Q236" s="110">
        <v>34382.315641076493</v>
      </c>
      <c r="R236" s="113">
        <v>123757.32454969695</v>
      </c>
      <c r="S236" s="113">
        <v>137841.39455608474</v>
      </c>
      <c r="U236" s="7" t="s">
        <v>6786</v>
      </c>
    </row>
    <row r="237" spans="1:21" ht="16.5" thickBot="1">
      <c r="A237" s="207" t="s">
        <v>10</v>
      </c>
      <c r="B237" s="211">
        <f t="shared" si="12"/>
        <v>110</v>
      </c>
      <c r="C237" s="211" t="s">
        <v>3</v>
      </c>
      <c r="D237" s="211">
        <f t="shared" si="13"/>
        <v>400</v>
      </c>
      <c r="E237" s="211" t="s">
        <v>3</v>
      </c>
      <c r="F237" s="209">
        <f t="shared" si="14"/>
        <v>2200</v>
      </c>
      <c r="G237" s="211" t="s">
        <v>3</v>
      </c>
      <c r="H237" s="208">
        <v>4</v>
      </c>
      <c r="I237" s="210" t="s">
        <v>529</v>
      </c>
      <c r="J237" s="103">
        <v>110</v>
      </c>
      <c r="K237" s="66">
        <v>400</v>
      </c>
      <c r="L237" s="66">
        <v>2200</v>
      </c>
      <c r="M237" s="245">
        <v>33.407746354880238</v>
      </c>
      <c r="N237" s="78">
        <v>11097.8244</v>
      </c>
      <c r="O237" s="113">
        <v>90844.672646021325</v>
      </c>
      <c r="P237" s="113">
        <v>105209.66448110071</v>
      </c>
      <c r="Q237" s="110">
        <v>35290.256728590233</v>
      </c>
      <c r="R237" s="113">
        <v>126134.92937461156</v>
      </c>
      <c r="S237" s="113">
        <v>140499.92120969095</v>
      </c>
      <c r="U237" s="7" t="s">
        <v>6787</v>
      </c>
    </row>
    <row r="238" spans="1:21" ht="16.5" thickBot="1">
      <c r="A238" s="207" t="s">
        <v>10</v>
      </c>
      <c r="B238" s="211">
        <f t="shared" si="12"/>
        <v>110</v>
      </c>
      <c r="C238" s="211" t="s">
        <v>3</v>
      </c>
      <c r="D238" s="211">
        <f t="shared" si="13"/>
        <v>400</v>
      </c>
      <c r="E238" s="211" t="s">
        <v>3</v>
      </c>
      <c r="F238" s="209">
        <f t="shared" si="14"/>
        <v>2250</v>
      </c>
      <c r="G238" s="211" t="s">
        <v>3</v>
      </c>
      <c r="H238" s="208">
        <v>4</v>
      </c>
      <c r="I238" s="210" t="s">
        <v>529</v>
      </c>
      <c r="J238" s="103">
        <v>110</v>
      </c>
      <c r="K238" s="66">
        <v>400</v>
      </c>
      <c r="L238" s="66">
        <v>2250</v>
      </c>
      <c r="M238" s="245">
        <v>34.080715299195056</v>
      </c>
      <c r="N238" s="78">
        <v>11397.765599999997</v>
      </c>
      <c r="O238" s="113">
        <v>92672.393493587937</v>
      </c>
      <c r="P238" s="113">
        <v>107315.21318352841</v>
      </c>
      <c r="Q238" s="110">
        <v>35946.863831348819</v>
      </c>
      <c r="R238" s="113">
        <v>128619.25732493676</v>
      </c>
      <c r="S238" s="113">
        <v>143262.07701487723</v>
      </c>
      <c r="U238" s="7" t="s">
        <v>6788</v>
      </c>
    </row>
    <row r="239" spans="1:21" ht="16.5" thickBot="1">
      <c r="A239" s="207" t="s">
        <v>10</v>
      </c>
      <c r="B239" s="211">
        <f t="shared" si="12"/>
        <v>110</v>
      </c>
      <c r="C239" s="211" t="s">
        <v>3</v>
      </c>
      <c r="D239" s="211">
        <f t="shared" si="13"/>
        <v>400</v>
      </c>
      <c r="E239" s="211" t="s">
        <v>3</v>
      </c>
      <c r="F239" s="209">
        <f t="shared" si="14"/>
        <v>2300</v>
      </c>
      <c r="G239" s="211" t="s">
        <v>3</v>
      </c>
      <c r="H239" s="208">
        <v>4</v>
      </c>
      <c r="I239" s="210" t="s">
        <v>529</v>
      </c>
      <c r="J239" s="103">
        <v>110</v>
      </c>
      <c r="K239" s="66">
        <v>400</v>
      </c>
      <c r="L239" s="66">
        <v>2300</v>
      </c>
      <c r="M239" s="245">
        <v>34.753684243509873</v>
      </c>
      <c r="N239" s="78">
        <v>11697.706799999998</v>
      </c>
      <c r="O239" s="113">
        <v>93869.994421144831</v>
      </c>
      <c r="P239" s="113">
        <v>108796.07581845862</v>
      </c>
      <c r="Q239" s="110">
        <v>36603.470781078948</v>
      </c>
      <c r="R239" s="113">
        <v>130473.46520222377</v>
      </c>
      <c r="S239" s="113">
        <v>145399.54659953757</v>
      </c>
      <c r="U239" s="7" t="s">
        <v>6789</v>
      </c>
    </row>
    <row r="240" spans="1:21" ht="16.5" thickBot="1">
      <c r="A240" s="207" t="s">
        <v>10</v>
      </c>
      <c r="B240" s="211">
        <f t="shared" si="12"/>
        <v>110</v>
      </c>
      <c r="C240" s="211" t="s">
        <v>3</v>
      </c>
      <c r="D240" s="211">
        <f t="shared" si="13"/>
        <v>400</v>
      </c>
      <c r="E240" s="211" t="s">
        <v>3</v>
      </c>
      <c r="F240" s="209">
        <f t="shared" si="14"/>
        <v>2350</v>
      </c>
      <c r="G240" s="211" t="s">
        <v>3</v>
      </c>
      <c r="H240" s="208">
        <v>4</v>
      </c>
      <c r="I240" s="210" t="s">
        <v>529</v>
      </c>
      <c r="J240" s="103">
        <v>110</v>
      </c>
      <c r="K240" s="66">
        <v>400</v>
      </c>
      <c r="L240" s="66">
        <v>2350</v>
      </c>
      <c r="M240" s="245">
        <v>35.445397187824682</v>
      </c>
      <c r="N240" s="78">
        <v>11997.647999999999</v>
      </c>
      <c r="O240" s="113">
        <v>95064.329959700015</v>
      </c>
      <c r="P240" s="113">
        <v>110273.14465606109</v>
      </c>
      <c r="Q240" s="110">
        <v>37511.412021621458</v>
      </c>
      <c r="R240" s="113">
        <v>132575.74198132148</v>
      </c>
      <c r="S240" s="113">
        <v>147784.55667768256</v>
      </c>
      <c r="U240" s="7" t="s">
        <v>6790</v>
      </c>
    </row>
    <row r="241" spans="1:21" ht="16.5" thickBot="1">
      <c r="A241" s="207" t="s">
        <v>10</v>
      </c>
      <c r="B241" s="211">
        <f t="shared" si="12"/>
        <v>110</v>
      </c>
      <c r="C241" s="211" t="s">
        <v>3</v>
      </c>
      <c r="D241" s="211">
        <f t="shared" si="13"/>
        <v>400</v>
      </c>
      <c r="E241" s="211" t="s">
        <v>3</v>
      </c>
      <c r="F241" s="209">
        <f t="shared" si="14"/>
        <v>2400</v>
      </c>
      <c r="G241" s="211" t="s">
        <v>3</v>
      </c>
      <c r="H241" s="208">
        <v>4</v>
      </c>
      <c r="I241" s="210" t="s">
        <v>529</v>
      </c>
      <c r="J241" s="103">
        <v>110</v>
      </c>
      <c r="K241" s="66">
        <v>400</v>
      </c>
      <c r="L241" s="66">
        <v>2400</v>
      </c>
      <c r="M241" s="245">
        <v>36.118366132139499</v>
      </c>
      <c r="N241" s="78">
        <v>12297.589199999997</v>
      </c>
      <c r="O241" s="113">
        <v>96304.457948354189</v>
      </c>
      <c r="P241" s="113">
        <v>111803.36439314512</v>
      </c>
      <c r="Q241" s="110">
        <v>38168.019124380196</v>
      </c>
      <c r="R241" s="113">
        <v>134472.47707273439</v>
      </c>
      <c r="S241" s="113">
        <v>149971.38351752533</v>
      </c>
      <c r="U241" s="7" t="s">
        <v>6791</v>
      </c>
    </row>
    <row r="242" spans="1:21" ht="16.5" thickBot="1">
      <c r="A242" s="207" t="s">
        <v>10</v>
      </c>
      <c r="B242" s="211">
        <f t="shared" si="12"/>
        <v>110</v>
      </c>
      <c r="C242" s="211" t="s">
        <v>3</v>
      </c>
      <c r="D242" s="211">
        <f t="shared" si="13"/>
        <v>400</v>
      </c>
      <c r="E242" s="211" t="s">
        <v>3</v>
      </c>
      <c r="F242" s="209">
        <f t="shared" si="14"/>
        <v>2450</v>
      </c>
      <c r="G242" s="211" t="s">
        <v>3</v>
      </c>
      <c r="H242" s="208">
        <v>4</v>
      </c>
      <c r="I242" s="210" t="s">
        <v>529</v>
      </c>
      <c r="J242" s="103">
        <v>110</v>
      </c>
      <c r="K242" s="66">
        <v>400</v>
      </c>
      <c r="L242" s="66">
        <v>2450</v>
      </c>
      <c r="M242" s="245">
        <v>37.646331392584315</v>
      </c>
      <c r="N242" s="78">
        <v>12597.5304</v>
      </c>
      <c r="O242" s="113">
        <v>98162.453234017841</v>
      </c>
      <c r="P242" s="113">
        <v>114162.53228948319</v>
      </c>
      <c r="Q242" s="110">
        <v>39075.960211893937</v>
      </c>
      <c r="R242" s="113">
        <v>137238.41344591178</v>
      </c>
      <c r="S242" s="113">
        <v>153238.49250137713</v>
      </c>
      <c r="U242" s="7" t="s">
        <v>6792</v>
      </c>
    </row>
    <row r="243" spans="1:21" ht="16.5" thickBot="1">
      <c r="A243" s="207" t="s">
        <v>10</v>
      </c>
      <c r="B243" s="211">
        <f t="shared" si="12"/>
        <v>110</v>
      </c>
      <c r="C243" s="211" t="s">
        <v>3</v>
      </c>
      <c r="D243" s="211">
        <f t="shared" si="13"/>
        <v>400</v>
      </c>
      <c r="E243" s="211" t="s">
        <v>3</v>
      </c>
      <c r="F243" s="209">
        <f t="shared" si="14"/>
        <v>2500</v>
      </c>
      <c r="G243" s="211" t="s">
        <v>3</v>
      </c>
      <c r="H243" s="208">
        <v>4</v>
      </c>
      <c r="I243" s="210" t="s">
        <v>529</v>
      </c>
      <c r="J243" s="103">
        <v>110</v>
      </c>
      <c r="K243" s="66">
        <v>400</v>
      </c>
      <c r="L243" s="66">
        <v>2500</v>
      </c>
      <c r="M243" s="245">
        <v>38.338000336899128</v>
      </c>
      <c r="N243" s="78">
        <v>12897.471599999999</v>
      </c>
      <c r="O243" s="113">
        <v>99392.039598991818</v>
      </c>
      <c r="P243" s="113">
        <v>115680.63022020689</v>
      </c>
      <c r="Q243" s="110">
        <v>39732.567314652675</v>
      </c>
      <c r="R243" s="113">
        <v>139124.6069136445</v>
      </c>
      <c r="S243" s="113">
        <v>155413.19753485956</v>
      </c>
      <c r="U243" s="7" t="s">
        <v>6793</v>
      </c>
    </row>
    <row r="244" spans="1:21" ht="16.5" thickBot="1">
      <c r="A244" s="207" t="s">
        <v>10</v>
      </c>
      <c r="B244" s="211">
        <f t="shared" si="12"/>
        <v>110</v>
      </c>
      <c r="C244" s="211" t="s">
        <v>3</v>
      </c>
      <c r="D244" s="211">
        <f t="shared" si="13"/>
        <v>400</v>
      </c>
      <c r="E244" s="211" t="s">
        <v>3</v>
      </c>
      <c r="F244" s="209">
        <f t="shared" si="14"/>
        <v>2550</v>
      </c>
      <c r="G244" s="211" t="s">
        <v>3</v>
      </c>
      <c r="H244" s="208">
        <v>4</v>
      </c>
      <c r="I244" s="210" t="s">
        <v>529</v>
      </c>
      <c r="J244" s="103">
        <v>110</v>
      </c>
      <c r="K244" s="66">
        <v>400</v>
      </c>
      <c r="L244" s="66">
        <v>2550</v>
      </c>
      <c r="M244" s="245">
        <v>39.029713281213951</v>
      </c>
      <c r="N244" s="78">
        <v>13197.4128</v>
      </c>
      <c r="O244" s="113">
        <v>104280.09501185654</v>
      </c>
      <c r="P244" s="113">
        <v>120819.9882698841</v>
      </c>
      <c r="Q244" s="110">
        <v>40640.508402166415</v>
      </c>
      <c r="R244" s="113">
        <v>144920.60341402295</v>
      </c>
      <c r="S244" s="113">
        <v>161460.4966720505</v>
      </c>
      <c r="U244" s="7" t="s">
        <v>6794</v>
      </c>
    </row>
    <row r="245" spans="1:21" ht="16.5" thickBot="1">
      <c r="A245" s="207" t="s">
        <v>10</v>
      </c>
      <c r="B245" s="208">
        <f t="shared" si="12"/>
        <v>110</v>
      </c>
      <c r="C245" s="208" t="s">
        <v>3</v>
      </c>
      <c r="D245" s="208">
        <f t="shared" si="13"/>
        <v>400</v>
      </c>
      <c r="E245" s="208" t="s">
        <v>3</v>
      </c>
      <c r="F245" s="209">
        <f t="shared" si="14"/>
        <v>2600</v>
      </c>
      <c r="G245" s="208" t="s">
        <v>3</v>
      </c>
      <c r="H245" s="208">
        <v>4</v>
      </c>
      <c r="I245" s="210" t="s">
        <v>529</v>
      </c>
      <c r="J245" s="103">
        <v>110</v>
      </c>
      <c r="K245" s="66">
        <v>400</v>
      </c>
      <c r="L245" s="66">
        <v>2600</v>
      </c>
      <c r="M245" s="245">
        <v>39.702682225528761</v>
      </c>
      <c r="N245" s="78">
        <v>13497.353999999998</v>
      </c>
      <c r="O245" s="113">
        <v>105780.53670555183</v>
      </c>
      <c r="P245" s="113">
        <v>122601.09403061897</v>
      </c>
      <c r="Q245" s="110">
        <v>41297.115504925154</v>
      </c>
      <c r="R245" s="113">
        <v>147077.65221047698</v>
      </c>
      <c r="S245" s="113">
        <v>163898.20953554413</v>
      </c>
      <c r="U245" s="7" t="s">
        <v>6795</v>
      </c>
    </row>
    <row r="246" spans="1:21" ht="16.5" thickBot="1">
      <c r="A246" s="207" t="s">
        <v>10</v>
      </c>
      <c r="B246" s="211">
        <f t="shared" si="12"/>
        <v>110</v>
      </c>
      <c r="C246" s="211" t="s">
        <v>3</v>
      </c>
      <c r="D246" s="211">
        <f t="shared" si="13"/>
        <v>400</v>
      </c>
      <c r="E246" s="211" t="s">
        <v>3</v>
      </c>
      <c r="F246" s="209">
        <f t="shared" si="14"/>
        <v>2650</v>
      </c>
      <c r="G246" s="211" t="s">
        <v>3</v>
      </c>
      <c r="H246" s="208">
        <v>4</v>
      </c>
      <c r="I246" s="210" t="s">
        <v>529</v>
      </c>
      <c r="J246" s="103">
        <v>110</v>
      </c>
      <c r="K246" s="66">
        <v>400</v>
      </c>
      <c r="L246" s="66">
        <v>2650</v>
      </c>
      <c r="M246" s="245">
        <v>40.51209516984359</v>
      </c>
      <c r="N246" s="78">
        <v>13797.295199999999</v>
      </c>
      <c r="O246" s="113">
        <v>106798.55814769141</v>
      </c>
      <c r="P246" s="113">
        <v>123903.93879277131</v>
      </c>
      <c r="Q246" s="110">
        <v>42205.056592438901</v>
      </c>
      <c r="R246" s="113">
        <v>149003.61474013032</v>
      </c>
      <c r="S246" s="113">
        <v>166108.9953852102</v>
      </c>
      <c r="U246" s="7" t="s">
        <v>6796</v>
      </c>
    </row>
    <row r="247" spans="1:21" ht="16.5" thickBot="1">
      <c r="A247" s="207" t="s">
        <v>10</v>
      </c>
      <c r="B247" s="211">
        <f t="shared" si="12"/>
        <v>110</v>
      </c>
      <c r="C247" s="211" t="s">
        <v>3</v>
      </c>
      <c r="D247" s="211">
        <f t="shared" si="13"/>
        <v>400</v>
      </c>
      <c r="E247" s="211" t="s">
        <v>3</v>
      </c>
      <c r="F247" s="209">
        <f t="shared" si="14"/>
        <v>2700</v>
      </c>
      <c r="G247" s="211" t="s">
        <v>3</v>
      </c>
      <c r="H247" s="208">
        <v>4</v>
      </c>
      <c r="I247" s="210" t="s">
        <v>529</v>
      </c>
      <c r="J247" s="103">
        <v>110</v>
      </c>
      <c r="K247" s="66">
        <v>400</v>
      </c>
      <c r="L247" s="66">
        <v>2700</v>
      </c>
      <c r="M247" s="245">
        <v>41.271414114158404</v>
      </c>
      <c r="N247" s="78">
        <v>14097.2364</v>
      </c>
      <c r="O247" s="113">
        <v>107883.40286728695</v>
      </c>
      <c r="P247" s="113">
        <v>125273.0268151026</v>
      </c>
      <c r="Q247" s="110">
        <v>42861.66369519764</v>
      </c>
      <c r="R247" s="113">
        <v>150745.0665624846</v>
      </c>
      <c r="S247" s="113">
        <v>168134.69051030022</v>
      </c>
      <c r="U247" s="7" t="s">
        <v>6797</v>
      </c>
    </row>
    <row r="248" spans="1:21" ht="16.5" thickBot="1">
      <c r="A248" s="207" t="s">
        <v>10</v>
      </c>
      <c r="B248" s="211">
        <f t="shared" si="12"/>
        <v>110</v>
      </c>
      <c r="C248" s="211" t="s">
        <v>3</v>
      </c>
      <c r="D248" s="211">
        <f t="shared" si="13"/>
        <v>400</v>
      </c>
      <c r="E248" s="211" t="s">
        <v>3</v>
      </c>
      <c r="F248" s="209">
        <f t="shared" si="14"/>
        <v>2750</v>
      </c>
      <c r="G248" s="211" t="s">
        <v>3</v>
      </c>
      <c r="H248" s="208">
        <v>4</v>
      </c>
      <c r="I248" s="210" t="s">
        <v>529</v>
      </c>
      <c r="J248" s="103">
        <v>110</v>
      </c>
      <c r="K248" s="66">
        <v>400</v>
      </c>
      <c r="L248" s="66">
        <v>2750</v>
      </c>
      <c r="M248" s="245">
        <v>41.944383058473221</v>
      </c>
      <c r="N248" s="78">
        <v>14397.177599999997</v>
      </c>
      <c r="O248" s="113">
        <v>108993.05291463986</v>
      </c>
      <c r="P248" s="113">
        <v>126666.70262715021</v>
      </c>
      <c r="Q248" s="110">
        <v>43518.270644927608</v>
      </c>
      <c r="R248" s="113">
        <v>152511.32355956748</v>
      </c>
      <c r="S248" s="113">
        <v>170184.97327207783</v>
      </c>
      <c r="U248" s="7" t="s">
        <v>6798</v>
      </c>
    </row>
    <row r="249" spans="1:21" ht="16.5" thickBot="1">
      <c r="A249" s="207" t="s">
        <v>10</v>
      </c>
      <c r="B249" s="211">
        <f t="shared" si="12"/>
        <v>110</v>
      </c>
      <c r="C249" s="211" t="s">
        <v>3</v>
      </c>
      <c r="D249" s="211">
        <f t="shared" si="13"/>
        <v>400</v>
      </c>
      <c r="E249" s="211" t="s">
        <v>3</v>
      </c>
      <c r="F249" s="209">
        <f t="shared" si="14"/>
        <v>2800</v>
      </c>
      <c r="G249" s="211" t="s">
        <v>3</v>
      </c>
      <c r="H249" s="208">
        <v>4</v>
      </c>
      <c r="I249" s="210" t="s">
        <v>529</v>
      </c>
      <c r="J249" s="103">
        <v>110</v>
      </c>
      <c r="K249" s="66">
        <v>400</v>
      </c>
      <c r="L249" s="66">
        <v>2800</v>
      </c>
      <c r="M249" s="245">
        <v>42.636096002788044</v>
      </c>
      <c r="N249" s="78">
        <v>14697.1188</v>
      </c>
      <c r="O249" s="113">
        <v>110009.91929566028</v>
      </c>
      <c r="P249" s="113">
        <v>127968.39228227476</v>
      </c>
      <c r="Q249" s="110">
        <v>44426.211885470118</v>
      </c>
      <c r="R249" s="113">
        <v>154436.13118113039</v>
      </c>
      <c r="S249" s="113">
        <v>172394.60416774487</v>
      </c>
      <c r="U249" s="7" t="s">
        <v>6799</v>
      </c>
    </row>
    <row r="250" spans="1:21" ht="16.5" thickBot="1">
      <c r="A250" s="207" t="s">
        <v>10</v>
      </c>
      <c r="B250" s="211">
        <f t="shared" si="12"/>
        <v>110</v>
      </c>
      <c r="C250" s="211" t="s">
        <v>3</v>
      </c>
      <c r="D250" s="211">
        <f t="shared" si="13"/>
        <v>400</v>
      </c>
      <c r="E250" s="211" t="s">
        <v>3</v>
      </c>
      <c r="F250" s="209">
        <f t="shared" si="14"/>
        <v>2850</v>
      </c>
      <c r="G250" s="211" t="s">
        <v>3</v>
      </c>
      <c r="H250" s="208">
        <v>4</v>
      </c>
      <c r="I250" s="210" t="s">
        <v>529</v>
      </c>
      <c r="J250" s="103">
        <v>110</v>
      </c>
      <c r="K250" s="66">
        <v>400</v>
      </c>
      <c r="L250" s="66">
        <v>2850</v>
      </c>
      <c r="M250" s="245">
        <v>43.30906494710284</v>
      </c>
      <c r="N250" s="78">
        <v>14997.06</v>
      </c>
      <c r="O250" s="113">
        <v>111026.80518784824</v>
      </c>
      <c r="P250" s="113">
        <v>129270.09791360237</v>
      </c>
      <c r="Q250" s="110">
        <v>45082.818835200087</v>
      </c>
      <c r="R250" s="113">
        <v>156109.62402304832</v>
      </c>
      <c r="S250" s="113">
        <v>174352.91674880247</v>
      </c>
      <c r="U250" s="7" t="s">
        <v>6800</v>
      </c>
    </row>
    <row r="251" spans="1:21" ht="16.5" thickBot="1">
      <c r="A251" s="207" t="s">
        <v>10</v>
      </c>
      <c r="B251" s="211">
        <f t="shared" si="12"/>
        <v>110</v>
      </c>
      <c r="C251" s="211" t="s">
        <v>3</v>
      </c>
      <c r="D251" s="211">
        <f t="shared" si="13"/>
        <v>400</v>
      </c>
      <c r="E251" s="211" t="s">
        <v>3</v>
      </c>
      <c r="F251" s="209">
        <f t="shared" si="14"/>
        <v>2900</v>
      </c>
      <c r="G251" s="211" t="s">
        <v>3</v>
      </c>
      <c r="H251" s="208">
        <v>4</v>
      </c>
      <c r="I251" s="210" t="s">
        <v>529</v>
      </c>
      <c r="J251" s="103">
        <v>110</v>
      </c>
      <c r="K251" s="66">
        <v>400</v>
      </c>
      <c r="L251" s="66">
        <v>2900</v>
      </c>
      <c r="M251" s="245">
        <v>44.194377891417652</v>
      </c>
      <c r="N251" s="78">
        <v>15297.001199999997</v>
      </c>
      <c r="O251" s="113">
        <v>112043.70720926805</v>
      </c>
      <c r="P251" s="113">
        <v>130571.81676661529</v>
      </c>
      <c r="Q251" s="110">
        <v>45990.760075742597</v>
      </c>
      <c r="R251" s="113">
        <v>158034.46728501064</v>
      </c>
      <c r="S251" s="113">
        <v>176562.57684235787</v>
      </c>
      <c r="U251" s="7" t="s">
        <v>6801</v>
      </c>
    </row>
    <row r="252" spans="1:21" ht="16.5" thickBot="1">
      <c r="A252" s="207" t="s">
        <v>10</v>
      </c>
      <c r="B252" s="211">
        <f t="shared" si="12"/>
        <v>110</v>
      </c>
      <c r="C252" s="211" t="s">
        <v>3</v>
      </c>
      <c r="D252" s="211">
        <f t="shared" si="13"/>
        <v>400</v>
      </c>
      <c r="E252" s="211" t="s">
        <v>3</v>
      </c>
      <c r="F252" s="209">
        <f t="shared" si="14"/>
        <v>2950</v>
      </c>
      <c r="G252" s="211" t="s">
        <v>3</v>
      </c>
      <c r="H252" s="208">
        <v>4</v>
      </c>
      <c r="I252" s="210" t="s">
        <v>529</v>
      </c>
      <c r="J252" s="103">
        <v>110</v>
      </c>
      <c r="K252" s="66">
        <v>400</v>
      </c>
      <c r="L252" s="66">
        <v>2950</v>
      </c>
      <c r="M252" s="245">
        <v>44.867346835732469</v>
      </c>
      <c r="N252" s="78">
        <v>15596.942399999998</v>
      </c>
      <c r="O252" s="113">
        <v>113060.62262835624</v>
      </c>
      <c r="P252" s="113">
        <v>131873.54594906987</v>
      </c>
      <c r="Q252" s="110">
        <v>46647.367025472573</v>
      </c>
      <c r="R252" s="113">
        <v>159707.98965382882</v>
      </c>
      <c r="S252" s="113">
        <v>178520.91297454244</v>
      </c>
      <c r="U252" s="7" t="s">
        <v>6802</v>
      </c>
    </row>
    <row r="253" spans="1:21" ht="16.5" thickBot="1">
      <c r="A253" s="207" t="s">
        <v>10</v>
      </c>
      <c r="B253" s="211">
        <f t="shared" si="12"/>
        <v>110</v>
      </c>
      <c r="C253" s="211" t="s">
        <v>3</v>
      </c>
      <c r="D253" s="211">
        <f t="shared" si="13"/>
        <v>400</v>
      </c>
      <c r="E253" s="211" t="s">
        <v>3</v>
      </c>
      <c r="F253" s="209">
        <f t="shared" si="14"/>
        <v>3000</v>
      </c>
      <c r="G253" s="211" t="s">
        <v>3</v>
      </c>
      <c r="H253" s="208">
        <v>4</v>
      </c>
      <c r="I253" s="210" t="s">
        <v>529</v>
      </c>
      <c r="J253" s="125">
        <v>110</v>
      </c>
      <c r="K253" s="126">
        <v>400</v>
      </c>
      <c r="L253" s="126">
        <v>3000</v>
      </c>
      <c r="M253" s="1173">
        <v>45.559059780047292</v>
      </c>
      <c r="N253" s="127">
        <v>15896.883599999999</v>
      </c>
      <c r="O253" s="128">
        <v>116024.40865243075</v>
      </c>
      <c r="P253" s="128">
        <v>135109.55232610207</v>
      </c>
      <c r="Q253" s="136">
        <v>47555.308266015076</v>
      </c>
      <c r="R253" s="128">
        <v>163579.71691844583</v>
      </c>
      <c r="S253" s="128">
        <v>182664.86059211715</v>
      </c>
      <c r="U253" s="7" t="s">
        <v>6803</v>
      </c>
    </row>
  </sheetData>
  <mergeCells count="21">
    <mergeCell ref="Q4:Q5"/>
    <mergeCell ref="R4:R5"/>
    <mergeCell ref="S4:S5"/>
    <mergeCell ref="O6:S6"/>
    <mergeCell ref="A4:I6"/>
    <mergeCell ref="J4:M5"/>
    <mergeCell ref="N4:N6"/>
    <mergeCell ref="O4:O5"/>
    <mergeCell ref="P4:P5"/>
    <mergeCell ref="A58:S58"/>
    <mergeCell ref="A10:S10"/>
    <mergeCell ref="A7:S7"/>
    <mergeCell ref="A8:S8"/>
    <mergeCell ref="A9:S9"/>
    <mergeCell ref="A205:S205"/>
    <mergeCell ref="A206:S206"/>
    <mergeCell ref="A59:S59"/>
    <mergeCell ref="A107:S107"/>
    <mergeCell ref="A108:S108"/>
    <mergeCell ref="A156:S156"/>
    <mergeCell ref="A157:S157"/>
  </mergeCells>
  <hyperlinks>
    <hyperlink ref="A1:I1" location="Главная!A1" display="Вернуться на главную страницу" xr:uid="{00000000-0004-0000-0C00-000000000000}"/>
    <hyperlink ref="A2" location="'Калькулятор теплоотдач ВКВ'!R1C1" display="Вернуться Калькулятор теплоотдач ВКВ" xr:uid="{00000000-0004-0000-0C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3366FF"/>
  </sheetPr>
  <dimension ref="A1:U399"/>
  <sheetViews>
    <sheetView zoomScale="70" zoomScaleNormal="70" workbookViewId="0">
      <pane ySplit="6" topLeftCell="A7" activePane="bottomLeft" state="frozen"/>
      <selection pane="bottomLeft" activeCell="T7" sqref="T7"/>
    </sheetView>
  </sheetViews>
  <sheetFormatPr defaultRowHeight="15.75"/>
  <cols>
    <col min="1" max="1" width="5.570312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8.140625" style="7" customWidth="1"/>
    <col min="10" max="10" width="11.28515625" style="7" customWidth="1"/>
    <col min="11" max="12" width="11.28515625" style="87" customWidth="1"/>
    <col min="13" max="13" width="15.5703125" style="1" customWidth="1"/>
    <col min="14" max="14" width="19.140625" style="7" customWidth="1"/>
    <col min="15" max="16" width="27.7109375" style="112" customWidth="1"/>
    <col min="17" max="17" width="26.28515625" style="107" customWidth="1"/>
    <col min="18" max="19" width="27.7109375" style="112" customWidth="1"/>
    <col min="20" max="20" width="9.140625" style="65"/>
    <col min="21" max="21" width="29.7109375" style="65" customWidth="1"/>
    <col min="22" max="16384" width="9.140625" style="65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0"/>
      <c r="O1" s="107"/>
      <c r="P1" s="107"/>
      <c r="R1" s="107"/>
      <c r="S1" s="107"/>
    </row>
    <row r="2" spans="1:21" ht="16.5" customHeight="1">
      <c r="A2" s="895" t="s">
        <v>345</v>
      </c>
      <c r="B2" s="1121"/>
      <c r="C2" s="1121"/>
      <c r="D2" s="1121"/>
      <c r="E2" s="1121"/>
      <c r="F2" s="88"/>
      <c r="G2" s="1121"/>
      <c r="H2" s="1121"/>
      <c r="I2" s="1121"/>
      <c r="M2" s="140"/>
      <c r="O2" s="107"/>
      <c r="P2" s="107"/>
      <c r="R2" s="107"/>
      <c r="S2" s="107"/>
    </row>
    <row r="3" spans="1:21" ht="13.5" customHeight="1" thickBot="1">
      <c r="A3" s="16"/>
      <c r="B3" s="16"/>
      <c r="C3" s="16"/>
      <c r="D3" s="16"/>
      <c r="E3" s="16"/>
      <c r="F3" s="100"/>
      <c r="G3" s="16"/>
      <c r="H3" s="16"/>
      <c r="I3" s="1132"/>
      <c r="J3" s="16"/>
      <c r="K3" s="99"/>
      <c r="L3" s="99"/>
      <c r="M3" s="140"/>
      <c r="O3" s="106"/>
      <c r="P3" s="106"/>
      <c r="R3" s="107"/>
      <c r="S3" s="107"/>
    </row>
    <row r="4" spans="1:21" ht="69" customHeight="1">
      <c r="A4" s="2989" t="s">
        <v>8</v>
      </c>
      <c r="B4" s="2990"/>
      <c r="C4" s="2990"/>
      <c r="D4" s="2990"/>
      <c r="E4" s="2990"/>
      <c r="F4" s="2990"/>
      <c r="G4" s="2990"/>
      <c r="H4" s="2990"/>
      <c r="I4" s="2991"/>
      <c r="J4" s="2998" t="s">
        <v>78</v>
      </c>
      <c r="K4" s="2999"/>
      <c r="L4" s="2999"/>
      <c r="M4" s="3000"/>
      <c r="N4" s="3004" t="s">
        <v>77</v>
      </c>
      <c r="O4" s="2977" t="s">
        <v>145</v>
      </c>
      <c r="P4" s="3013" t="s">
        <v>146</v>
      </c>
      <c r="Q4" s="2977" t="s">
        <v>64</v>
      </c>
      <c r="R4" s="2979" t="s">
        <v>5752</v>
      </c>
      <c r="S4" s="2981" t="s">
        <v>5753</v>
      </c>
    </row>
    <row r="5" spans="1:21" ht="72" customHeight="1" thickBot="1">
      <c r="A5" s="2992"/>
      <c r="B5" s="2993"/>
      <c r="C5" s="2993"/>
      <c r="D5" s="2993"/>
      <c r="E5" s="2993"/>
      <c r="F5" s="2993"/>
      <c r="G5" s="2993"/>
      <c r="H5" s="2993"/>
      <c r="I5" s="2994"/>
      <c r="J5" s="3001"/>
      <c r="K5" s="3002"/>
      <c r="L5" s="3002"/>
      <c r="M5" s="3003"/>
      <c r="N5" s="3005"/>
      <c r="O5" s="3007"/>
      <c r="P5" s="3014"/>
      <c r="Q5" s="2978"/>
      <c r="R5" s="2980"/>
      <c r="S5" s="2982"/>
    </row>
    <row r="6" spans="1:21" ht="61.5" customHeight="1" thickBot="1">
      <c r="A6" s="2995"/>
      <c r="B6" s="2996"/>
      <c r="C6" s="2996"/>
      <c r="D6" s="2996"/>
      <c r="E6" s="2996"/>
      <c r="F6" s="2996"/>
      <c r="G6" s="2996"/>
      <c r="H6" s="2996"/>
      <c r="I6" s="2997"/>
      <c r="J6" s="235" t="s">
        <v>0</v>
      </c>
      <c r="K6" s="240" t="s">
        <v>1</v>
      </c>
      <c r="L6" s="240" t="s">
        <v>2</v>
      </c>
      <c r="M6" s="206" t="s">
        <v>75</v>
      </c>
      <c r="N6" s="3006"/>
      <c r="O6" s="2983" t="s">
        <v>141</v>
      </c>
      <c r="P6" s="2984"/>
      <c r="Q6" s="2984"/>
      <c r="R6" s="2984"/>
      <c r="S6" s="2985"/>
    </row>
    <row r="7" spans="1:21" ht="30" customHeight="1" thickBot="1">
      <c r="A7" s="2986" t="s">
        <v>131</v>
      </c>
      <c r="B7" s="2987"/>
      <c r="C7" s="2987"/>
      <c r="D7" s="2987"/>
      <c r="E7" s="2987"/>
      <c r="F7" s="2987"/>
      <c r="G7" s="2987"/>
      <c r="H7" s="2987"/>
      <c r="I7" s="2987"/>
      <c r="J7" s="2987"/>
      <c r="K7" s="2987"/>
      <c r="L7" s="2987"/>
      <c r="M7" s="2987"/>
      <c r="N7" s="2987"/>
      <c r="O7" s="2987"/>
      <c r="P7" s="2987"/>
      <c r="Q7" s="2987"/>
      <c r="R7" s="2987"/>
      <c r="S7" s="2988"/>
    </row>
    <row r="8" spans="1:21" ht="22.5" customHeight="1" thickBot="1">
      <c r="A8" s="2968" t="s">
        <v>136</v>
      </c>
      <c r="B8" s="2969"/>
      <c r="C8" s="2969"/>
      <c r="D8" s="2969"/>
      <c r="E8" s="2969"/>
      <c r="F8" s="2969"/>
      <c r="G8" s="2969"/>
      <c r="H8" s="2969"/>
      <c r="I8" s="2969"/>
      <c r="J8" s="2969"/>
      <c r="K8" s="2969"/>
      <c r="L8" s="2969"/>
      <c r="M8" s="2969"/>
      <c r="N8" s="2969"/>
      <c r="O8" s="2969"/>
      <c r="P8" s="2969"/>
      <c r="Q8" s="2969"/>
      <c r="R8" s="2969"/>
      <c r="S8" s="2970"/>
    </row>
    <row r="9" spans="1:21" ht="16.5" customHeight="1" thickBot="1">
      <c r="A9" s="3015" t="s">
        <v>112</v>
      </c>
      <c r="B9" s="3016"/>
      <c r="C9" s="3016"/>
      <c r="D9" s="3016"/>
      <c r="E9" s="3016"/>
      <c r="F9" s="3016"/>
      <c r="G9" s="3016"/>
      <c r="H9" s="3016"/>
      <c r="I9" s="3016"/>
      <c r="J9" s="3016"/>
      <c r="K9" s="3016"/>
      <c r="L9" s="3016"/>
      <c r="M9" s="3016"/>
      <c r="N9" s="3016"/>
      <c r="O9" s="3016"/>
      <c r="P9" s="3016"/>
      <c r="Q9" s="3016"/>
      <c r="R9" s="3016"/>
      <c r="S9" s="3017"/>
    </row>
    <row r="10" spans="1:21" ht="16.5" customHeight="1" thickBot="1">
      <c r="A10" s="207" t="s">
        <v>10</v>
      </c>
      <c r="B10" s="211">
        <f t="shared" ref="B10:B56" si="0">J10</f>
        <v>140</v>
      </c>
      <c r="C10" s="211" t="s">
        <v>3</v>
      </c>
      <c r="D10" s="211">
        <f t="shared" ref="D10:D56" si="1">K10</f>
        <v>160</v>
      </c>
      <c r="E10" s="211" t="s">
        <v>3</v>
      </c>
      <c r="F10" s="209">
        <f t="shared" ref="F10:F56" si="2">L10</f>
        <v>700</v>
      </c>
      <c r="G10" s="211" t="s">
        <v>3</v>
      </c>
      <c r="H10" s="208">
        <v>2</v>
      </c>
      <c r="I10" s="210" t="s">
        <v>529</v>
      </c>
      <c r="J10" s="103">
        <v>140</v>
      </c>
      <c r="K10" s="66">
        <v>160</v>
      </c>
      <c r="L10" s="66">
        <v>700</v>
      </c>
      <c r="M10" s="164">
        <v>6.7823233512341234</v>
      </c>
      <c r="N10" s="78">
        <v>748.10476649999998</v>
      </c>
      <c r="O10" s="113">
        <v>28140.718275706513</v>
      </c>
      <c r="P10" s="113">
        <v>33031.786350567381</v>
      </c>
      <c r="Q10" s="110">
        <v>7322.1107128887988</v>
      </c>
      <c r="R10" s="113">
        <v>35462.828988595313</v>
      </c>
      <c r="S10" s="113">
        <v>40353.897063456177</v>
      </c>
      <c r="U10" s="7" t="s">
        <v>6804</v>
      </c>
    </row>
    <row r="11" spans="1:21" ht="16.5" customHeight="1" thickBot="1">
      <c r="A11" s="207" t="s">
        <v>10</v>
      </c>
      <c r="B11" s="211">
        <f t="shared" si="0"/>
        <v>140</v>
      </c>
      <c r="C11" s="211" t="s">
        <v>3</v>
      </c>
      <c r="D11" s="211">
        <f t="shared" si="1"/>
        <v>160</v>
      </c>
      <c r="E11" s="211" t="s">
        <v>3</v>
      </c>
      <c r="F11" s="209">
        <f t="shared" si="2"/>
        <v>750</v>
      </c>
      <c r="G11" s="211" t="s">
        <v>3</v>
      </c>
      <c r="H11" s="208">
        <v>2</v>
      </c>
      <c r="I11" s="210" t="s">
        <v>529</v>
      </c>
      <c r="J11" s="103">
        <v>140</v>
      </c>
      <c r="K11" s="66">
        <v>160</v>
      </c>
      <c r="L11" s="66">
        <v>750</v>
      </c>
      <c r="M11" s="164">
        <v>7.1839578856632489</v>
      </c>
      <c r="N11" s="78">
        <v>854.97687600000017</v>
      </c>
      <c r="O11" s="113">
        <v>29825.650805915684</v>
      </c>
      <c r="P11" s="113">
        <v>34984.796997559759</v>
      </c>
      <c r="Q11" s="110">
        <v>7659.6009636105346</v>
      </c>
      <c r="R11" s="113">
        <v>37485.251769526221</v>
      </c>
      <c r="S11" s="113">
        <v>42644.397961170296</v>
      </c>
      <c r="U11" s="7" t="s">
        <v>6805</v>
      </c>
    </row>
    <row r="12" spans="1:21" ht="16.5" customHeight="1" thickBot="1">
      <c r="A12" s="207" t="s">
        <v>10</v>
      </c>
      <c r="B12" s="211">
        <f t="shared" si="0"/>
        <v>140</v>
      </c>
      <c r="C12" s="211" t="s">
        <v>3</v>
      </c>
      <c r="D12" s="211">
        <f t="shared" si="1"/>
        <v>160</v>
      </c>
      <c r="E12" s="211" t="s">
        <v>3</v>
      </c>
      <c r="F12" s="209">
        <f t="shared" si="2"/>
        <v>800</v>
      </c>
      <c r="G12" s="211" t="s">
        <v>3</v>
      </c>
      <c r="H12" s="208">
        <v>2</v>
      </c>
      <c r="I12" s="210" t="s">
        <v>529</v>
      </c>
      <c r="J12" s="103">
        <v>140</v>
      </c>
      <c r="K12" s="66">
        <v>160</v>
      </c>
      <c r="L12" s="66">
        <v>800</v>
      </c>
      <c r="M12" s="164">
        <v>7.5855924200923734</v>
      </c>
      <c r="N12" s="78">
        <v>961.84898550000003</v>
      </c>
      <c r="O12" s="113">
        <v>31510.583336124855</v>
      </c>
      <c r="P12" s="113">
        <v>36937.807644552136</v>
      </c>
      <c r="Q12" s="110">
        <v>7997.0912143322694</v>
      </c>
      <c r="R12" s="113">
        <v>39507.674550457123</v>
      </c>
      <c r="S12" s="113">
        <v>44934.898858884408</v>
      </c>
      <c r="U12" s="7" t="s">
        <v>6806</v>
      </c>
    </row>
    <row r="13" spans="1:21" ht="16.5" customHeight="1" thickBot="1">
      <c r="A13" s="207" t="s">
        <v>10</v>
      </c>
      <c r="B13" s="211">
        <f t="shared" si="0"/>
        <v>140</v>
      </c>
      <c r="C13" s="211" t="s">
        <v>3</v>
      </c>
      <c r="D13" s="211">
        <f t="shared" si="1"/>
        <v>160</v>
      </c>
      <c r="E13" s="211" t="s">
        <v>3</v>
      </c>
      <c r="F13" s="209">
        <f t="shared" si="2"/>
        <v>850</v>
      </c>
      <c r="G13" s="211" t="s">
        <v>3</v>
      </c>
      <c r="H13" s="208">
        <v>2</v>
      </c>
      <c r="I13" s="210" t="s">
        <v>529</v>
      </c>
      <c r="J13" s="103">
        <v>140</v>
      </c>
      <c r="K13" s="66">
        <v>160</v>
      </c>
      <c r="L13" s="66">
        <v>850</v>
      </c>
      <c r="M13" s="164">
        <v>8.0034149545214976</v>
      </c>
      <c r="N13" s="78">
        <v>1068.7210950000001</v>
      </c>
      <c r="O13" s="113">
        <v>33195.515866334026</v>
      </c>
      <c r="P13" s="113">
        <v>38890.818291544514</v>
      </c>
      <c r="Q13" s="110">
        <v>8585.9156028377747</v>
      </c>
      <c r="R13" s="113">
        <v>41781.431469171803</v>
      </c>
      <c r="S13" s="113">
        <v>47476.733894382291</v>
      </c>
      <c r="U13" s="7" t="s">
        <v>6807</v>
      </c>
    </row>
    <row r="14" spans="1:21" ht="16.5" customHeight="1" thickBot="1">
      <c r="A14" s="207" t="s">
        <v>10</v>
      </c>
      <c r="B14" s="211">
        <f t="shared" si="0"/>
        <v>140</v>
      </c>
      <c r="C14" s="211" t="s">
        <v>3</v>
      </c>
      <c r="D14" s="211">
        <f t="shared" si="1"/>
        <v>160</v>
      </c>
      <c r="E14" s="211" t="s">
        <v>3</v>
      </c>
      <c r="F14" s="209">
        <f t="shared" si="2"/>
        <v>900</v>
      </c>
      <c r="G14" s="211" t="s">
        <v>3</v>
      </c>
      <c r="H14" s="208">
        <v>2</v>
      </c>
      <c r="I14" s="210" t="s">
        <v>529</v>
      </c>
      <c r="J14" s="103">
        <v>140</v>
      </c>
      <c r="K14" s="66">
        <v>160</v>
      </c>
      <c r="L14" s="66">
        <v>900</v>
      </c>
      <c r="M14" s="164">
        <v>8.5560994889506254</v>
      </c>
      <c r="N14" s="78">
        <v>1175.5932045000002</v>
      </c>
      <c r="O14" s="113">
        <v>34880.448396543201</v>
      </c>
      <c r="P14" s="113">
        <v>40843.82908085364</v>
      </c>
      <c r="Q14" s="110">
        <v>8923.4057005307459</v>
      </c>
      <c r="R14" s="113">
        <v>43803.854097073949</v>
      </c>
      <c r="S14" s="113">
        <v>49767.234781384388</v>
      </c>
      <c r="U14" s="7" t="s">
        <v>6808</v>
      </c>
    </row>
    <row r="15" spans="1:21" ht="16.5" customHeight="1" thickBot="1">
      <c r="A15" s="207" t="s">
        <v>10</v>
      </c>
      <c r="B15" s="211">
        <f t="shared" si="0"/>
        <v>140</v>
      </c>
      <c r="C15" s="211" t="s">
        <v>3</v>
      </c>
      <c r="D15" s="211">
        <f t="shared" si="1"/>
        <v>160</v>
      </c>
      <c r="E15" s="211" t="s">
        <v>3</v>
      </c>
      <c r="F15" s="209">
        <f t="shared" si="2"/>
        <v>950</v>
      </c>
      <c r="G15" s="211" t="s">
        <v>3</v>
      </c>
      <c r="H15" s="208">
        <v>2</v>
      </c>
      <c r="I15" s="210" t="s">
        <v>529</v>
      </c>
      <c r="J15" s="103">
        <v>140</v>
      </c>
      <c r="K15" s="66">
        <v>160</v>
      </c>
      <c r="L15" s="66">
        <v>950</v>
      </c>
      <c r="M15" s="164">
        <v>8.9739220233797479</v>
      </c>
      <c r="N15" s="78">
        <v>1282.465314</v>
      </c>
      <c r="O15" s="113">
        <v>36565.380926752368</v>
      </c>
      <c r="P15" s="113">
        <v>42796.839727846018</v>
      </c>
      <c r="Q15" s="110">
        <v>9512.2300890362512</v>
      </c>
      <c r="R15" s="113">
        <v>46077.611015788621</v>
      </c>
      <c r="S15" s="113">
        <v>52309.069816882271</v>
      </c>
      <c r="U15" s="7" t="s">
        <v>6809</v>
      </c>
    </row>
    <row r="16" spans="1:21" s="7" customFormat="1" ht="16.5" customHeight="1" thickBot="1">
      <c r="A16" s="207" t="s">
        <v>10</v>
      </c>
      <c r="B16" s="211">
        <f t="shared" si="0"/>
        <v>140</v>
      </c>
      <c r="C16" s="211" t="s">
        <v>3</v>
      </c>
      <c r="D16" s="211">
        <f t="shared" si="1"/>
        <v>160</v>
      </c>
      <c r="E16" s="211" t="s">
        <v>3</v>
      </c>
      <c r="F16" s="209">
        <f t="shared" si="2"/>
        <v>1000</v>
      </c>
      <c r="G16" s="211" t="s">
        <v>3</v>
      </c>
      <c r="H16" s="208">
        <v>2</v>
      </c>
      <c r="I16" s="210" t="s">
        <v>529</v>
      </c>
      <c r="J16" s="103">
        <v>140</v>
      </c>
      <c r="K16" s="66">
        <v>160</v>
      </c>
      <c r="L16" s="66">
        <v>1000</v>
      </c>
      <c r="M16" s="164">
        <v>9.3755565578088724</v>
      </c>
      <c r="N16" s="78">
        <v>1389.3374235000001</v>
      </c>
      <c r="O16" s="113">
        <v>38146.61940588204</v>
      </c>
      <c r="P16" s="113">
        <v>44643.624582202334</v>
      </c>
      <c r="Q16" s="110">
        <v>9849.7203397579869</v>
      </c>
      <c r="R16" s="113">
        <v>47996.339745640027</v>
      </c>
      <c r="S16" s="113">
        <v>54493.344921960321</v>
      </c>
      <c r="U16" s="7" t="s">
        <v>6810</v>
      </c>
    </row>
    <row r="17" spans="1:21" s="7" customFormat="1" ht="16.5" customHeight="1" thickBot="1">
      <c r="A17" s="207" t="s">
        <v>10</v>
      </c>
      <c r="B17" s="211">
        <f t="shared" si="0"/>
        <v>140</v>
      </c>
      <c r="C17" s="211" t="s">
        <v>3</v>
      </c>
      <c r="D17" s="211">
        <f t="shared" si="1"/>
        <v>160</v>
      </c>
      <c r="E17" s="211" t="s">
        <v>3</v>
      </c>
      <c r="F17" s="209">
        <f t="shared" si="2"/>
        <v>1050</v>
      </c>
      <c r="G17" s="211" t="s">
        <v>3</v>
      </c>
      <c r="H17" s="208">
        <v>2</v>
      </c>
      <c r="I17" s="210" t="s">
        <v>529</v>
      </c>
      <c r="J17" s="103">
        <v>140</v>
      </c>
      <c r="K17" s="66">
        <v>160</v>
      </c>
      <c r="L17" s="66">
        <v>1050</v>
      </c>
      <c r="M17" s="164">
        <v>9.7933790922380002</v>
      </c>
      <c r="N17" s="78">
        <v>1496.209533</v>
      </c>
      <c r="O17" s="113">
        <v>40077.825144811963</v>
      </c>
      <c r="P17" s="113">
        <v>46848.921557863716</v>
      </c>
      <c r="Q17" s="110">
        <v>10438.544728263492</v>
      </c>
      <c r="R17" s="113">
        <v>50516.369873075455</v>
      </c>
      <c r="S17" s="113">
        <v>57287.466286127208</v>
      </c>
      <c r="U17" s="7" t="s">
        <v>6811</v>
      </c>
    </row>
    <row r="18" spans="1:21" s="7" customFormat="1" ht="16.5" customHeight="1" thickBot="1">
      <c r="A18" s="207" t="s">
        <v>10</v>
      </c>
      <c r="B18" s="208">
        <f t="shared" si="0"/>
        <v>140</v>
      </c>
      <c r="C18" s="208" t="s">
        <v>3</v>
      </c>
      <c r="D18" s="208">
        <f t="shared" si="1"/>
        <v>160</v>
      </c>
      <c r="E18" s="208" t="s">
        <v>3</v>
      </c>
      <c r="F18" s="209">
        <f t="shared" si="2"/>
        <v>1100</v>
      </c>
      <c r="G18" s="208" t="s">
        <v>3</v>
      </c>
      <c r="H18" s="208">
        <v>2</v>
      </c>
      <c r="I18" s="210" t="s">
        <v>529</v>
      </c>
      <c r="J18" s="103">
        <v>140</v>
      </c>
      <c r="K18" s="66">
        <v>160</v>
      </c>
      <c r="L18" s="66">
        <v>1100</v>
      </c>
      <c r="M18" s="164">
        <v>10.195013626667125</v>
      </c>
      <c r="N18" s="78">
        <v>1603.0816425</v>
      </c>
      <c r="O18" s="113">
        <v>41762.75767502113</v>
      </c>
      <c r="P18" s="113">
        <v>48801.932204856101</v>
      </c>
      <c r="Q18" s="110">
        <v>10776.034825956463</v>
      </c>
      <c r="R18" s="113">
        <v>52538.792500977594</v>
      </c>
      <c r="S18" s="113">
        <v>59577.967030812564</v>
      </c>
      <c r="U18" s="7" t="s">
        <v>6812</v>
      </c>
    </row>
    <row r="19" spans="1:21" s="7" customFormat="1" ht="16.5" customHeight="1" thickBot="1">
      <c r="A19" s="207" t="s">
        <v>10</v>
      </c>
      <c r="B19" s="211">
        <f t="shared" si="0"/>
        <v>140</v>
      </c>
      <c r="C19" s="211" t="s">
        <v>3</v>
      </c>
      <c r="D19" s="211">
        <f t="shared" si="1"/>
        <v>160</v>
      </c>
      <c r="E19" s="211" t="s">
        <v>3</v>
      </c>
      <c r="F19" s="209">
        <f t="shared" si="2"/>
        <v>1150</v>
      </c>
      <c r="G19" s="211" t="s">
        <v>3</v>
      </c>
      <c r="H19" s="208">
        <v>2</v>
      </c>
      <c r="I19" s="210" t="s">
        <v>529</v>
      </c>
      <c r="J19" s="103">
        <v>140</v>
      </c>
      <c r="K19" s="66">
        <v>160</v>
      </c>
      <c r="L19" s="66">
        <v>1150</v>
      </c>
      <c r="M19" s="164">
        <v>10.596648161096248</v>
      </c>
      <c r="N19" s="78">
        <v>1709.9537520000003</v>
      </c>
      <c r="O19" s="113">
        <v>42624.366801872966</v>
      </c>
      <c r="P19" s="113">
        <v>49911.517282316498</v>
      </c>
      <c r="Q19" s="110">
        <v>11113.525076678199</v>
      </c>
      <c r="R19" s="113">
        <v>53737.891878551163</v>
      </c>
      <c r="S19" s="113">
        <v>61025.042358994695</v>
      </c>
      <c r="U19" s="7" t="s">
        <v>6813</v>
      </c>
    </row>
    <row r="20" spans="1:21" s="7" customFormat="1" ht="16.5" customHeight="1" thickBot="1">
      <c r="A20" s="207" t="s">
        <v>10</v>
      </c>
      <c r="B20" s="211">
        <f t="shared" si="0"/>
        <v>140</v>
      </c>
      <c r="C20" s="211" t="s">
        <v>3</v>
      </c>
      <c r="D20" s="211">
        <f t="shared" si="1"/>
        <v>160</v>
      </c>
      <c r="E20" s="211" t="s">
        <v>3</v>
      </c>
      <c r="F20" s="209">
        <f t="shared" si="2"/>
        <v>1200</v>
      </c>
      <c r="G20" s="211" t="s">
        <v>3</v>
      </c>
      <c r="H20" s="208">
        <v>2</v>
      </c>
      <c r="I20" s="210" t="s">
        <v>529</v>
      </c>
      <c r="J20" s="103">
        <v>140</v>
      </c>
      <c r="K20" s="66">
        <v>160</v>
      </c>
      <c r="L20" s="66">
        <v>1200</v>
      </c>
      <c r="M20" s="164">
        <v>11.051758195525373</v>
      </c>
      <c r="N20" s="78">
        <v>1816.8258615</v>
      </c>
      <c r="O20" s="113">
        <v>43524.277521302254</v>
      </c>
      <c r="P20" s="113">
        <v>51060.33894586697</v>
      </c>
      <c r="Q20" s="110">
        <v>11702.349465183703</v>
      </c>
      <c r="R20" s="113">
        <v>55226.626986485957</v>
      </c>
      <c r="S20" s="113">
        <v>62762.688411050673</v>
      </c>
      <c r="U20" s="7" t="s">
        <v>6814</v>
      </c>
    </row>
    <row r="21" spans="1:21" s="7" customFormat="1" ht="16.5" customHeight="1" thickBot="1">
      <c r="A21" s="207" t="s">
        <v>10</v>
      </c>
      <c r="B21" s="211">
        <f t="shared" si="0"/>
        <v>140</v>
      </c>
      <c r="C21" s="211" t="s">
        <v>3</v>
      </c>
      <c r="D21" s="211">
        <f t="shared" si="1"/>
        <v>160</v>
      </c>
      <c r="E21" s="211" t="s">
        <v>3</v>
      </c>
      <c r="F21" s="209">
        <f t="shared" si="2"/>
        <v>1250</v>
      </c>
      <c r="G21" s="211" t="s">
        <v>3</v>
      </c>
      <c r="H21" s="208">
        <v>2</v>
      </c>
      <c r="I21" s="210" t="s">
        <v>529</v>
      </c>
      <c r="J21" s="103">
        <v>140</v>
      </c>
      <c r="K21" s="66">
        <v>160</v>
      </c>
      <c r="L21" s="66">
        <v>1250</v>
      </c>
      <c r="M21" s="164">
        <v>12.272292729954499</v>
      </c>
      <c r="N21" s="78">
        <v>1923.6979710000001</v>
      </c>
      <c r="O21" s="113">
        <v>44385.362448119158</v>
      </c>
      <c r="P21" s="113">
        <v>52169.386777590218</v>
      </c>
      <c r="Q21" s="110">
        <v>12039.83971590544</v>
      </c>
      <c r="R21" s="113">
        <v>56425.202164024595</v>
      </c>
      <c r="S21" s="113">
        <v>64209.226493495662</v>
      </c>
      <c r="U21" s="7" t="s">
        <v>6815</v>
      </c>
    </row>
    <row r="22" spans="1:21" s="7" customFormat="1" ht="16.5" customHeight="1" thickBot="1">
      <c r="A22" s="207" t="s">
        <v>10</v>
      </c>
      <c r="B22" s="211">
        <f t="shared" si="0"/>
        <v>140</v>
      </c>
      <c r="C22" s="211" t="s">
        <v>3</v>
      </c>
      <c r="D22" s="211">
        <f t="shared" si="1"/>
        <v>160</v>
      </c>
      <c r="E22" s="211" t="s">
        <v>3</v>
      </c>
      <c r="F22" s="209">
        <f t="shared" si="2"/>
        <v>1300</v>
      </c>
      <c r="G22" s="211" t="s">
        <v>3</v>
      </c>
      <c r="H22" s="208">
        <v>2</v>
      </c>
      <c r="I22" s="210" t="s">
        <v>529</v>
      </c>
      <c r="J22" s="103">
        <v>140</v>
      </c>
      <c r="K22" s="66">
        <v>160</v>
      </c>
      <c r="L22" s="66">
        <v>1300</v>
      </c>
      <c r="M22" s="164">
        <v>12.690115264383625</v>
      </c>
      <c r="N22" s="78">
        <v>2030.5700804999999</v>
      </c>
      <c r="O22" s="113">
        <v>47919.545358694544</v>
      </c>
      <c r="P22" s="113">
        <v>56016.799329261703</v>
      </c>
      <c r="Q22" s="110">
        <v>12628.663951382177</v>
      </c>
      <c r="R22" s="113">
        <v>60548.209310076723</v>
      </c>
      <c r="S22" s="113">
        <v>68645.463280643875</v>
      </c>
      <c r="U22" s="7" t="s">
        <v>6816</v>
      </c>
    </row>
    <row r="23" spans="1:21" s="7" customFormat="1" ht="16.5" customHeight="1" thickBot="1">
      <c r="A23" s="207" t="s">
        <v>10</v>
      </c>
      <c r="B23" s="211">
        <f t="shared" si="0"/>
        <v>140</v>
      </c>
      <c r="C23" s="211" t="s">
        <v>3</v>
      </c>
      <c r="D23" s="211">
        <f t="shared" si="1"/>
        <v>160</v>
      </c>
      <c r="E23" s="211" t="s">
        <v>3</v>
      </c>
      <c r="F23" s="209">
        <f t="shared" si="2"/>
        <v>1350</v>
      </c>
      <c r="G23" s="211" t="s">
        <v>3</v>
      </c>
      <c r="H23" s="208">
        <v>2</v>
      </c>
      <c r="I23" s="210" t="s">
        <v>529</v>
      </c>
      <c r="J23" s="103">
        <v>140</v>
      </c>
      <c r="K23" s="66">
        <v>160</v>
      </c>
      <c r="L23" s="66">
        <v>1350</v>
      </c>
      <c r="M23" s="164">
        <v>13.091749798812749</v>
      </c>
      <c r="N23" s="78">
        <v>2137.4421900000002</v>
      </c>
      <c r="O23" s="113">
        <v>49052.799236106919</v>
      </c>
      <c r="P23" s="113">
        <v>57404.661616779405</v>
      </c>
      <c r="Q23" s="110">
        <v>12966.154202103913</v>
      </c>
      <c r="R23" s="113">
        <v>62018.953438210832</v>
      </c>
      <c r="S23" s="113">
        <v>70370.815818883319</v>
      </c>
      <c r="U23" s="7" t="s">
        <v>6817</v>
      </c>
    </row>
    <row r="24" spans="1:21" s="7" customFormat="1" ht="16.5" customHeight="1" thickBot="1">
      <c r="A24" s="207" t="s">
        <v>10</v>
      </c>
      <c r="B24" s="211">
        <f t="shared" si="0"/>
        <v>140</v>
      </c>
      <c r="C24" s="211" t="s">
        <v>3</v>
      </c>
      <c r="D24" s="211">
        <f t="shared" si="1"/>
        <v>160</v>
      </c>
      <c r="E24" s="211" t="s">
        <v>3</v>
      </c>
      <c r="F24" s="209">
        <f t="shared" si="2"/>
        <v>1400</v>
      </c>
      <c r="G24" s="211" t="s">
        <v>3</v>
      </c>
      <c r="H24" s="208">
        <v>2</v>
      </c>
      <c r="I24" s="210" t="s">
        <v>529</v>
      </c>
      <c r="J24" s="103">
        <v>140</v>
      </c>
      <c r="K24" s="66">
        <v>160</v>
      </c>
      <c r="L24" s="66">
        <v>1400</v>
      </c>
      <c r="M24" s="164">
        <v>13.509572333241872</v>
      </c>
      <c r="N24" s="78">
        <v>2244.3142995000003</v>
      </c>
      <c r="O24" s="113">
        <v>50542.501332808533</v>
      </c>
      <c r="P24" s="113">
        <v>59157.674959745993</v>
      </c>
      <c r="Q24" s="110">
        <v>13554.97859060942</v>
      </c>
      <c r="R24" s="113">
        <v>64097.479923417952</v>
      </c>
      <c r="S24" s="113">
        <v>72712.653550355419</v>
      </c>
      <c r="U24" s="7" t="s">
        <v>6818</v>
      </c>
    </row>
    <row r="25" spans="1:21" s="7" customFormat="1" ht="16.5" customHeight="1" thickBot="1">
      <c r="A25" s="207" t="s">
        <v>10</v>
      </c>
      <c r="B25" s="211">
        <f t="shared" si="0"/>
        <v>140</v>
      </c>
      <c r="C25" s="211" t="s">
        <v>3</v>
      </c>
      <c r="D25" s="211">
        <f t="shared" si="1"/>
        <v>160</v>
      </c>
      <c r="E25" s="211" t="s">
        <v>3</v>
      </c>
      <c r="F25" s="209">
        <f t="shared" si="2"/>
        <v>1450</v>
      </c>
      <c r="G25" s="211" t="s">
        <v>3</v>
      </c>
      <c r="H25" s="208">
        <v>2</v>
      </c>
      <c r="I25" s="210" t="s">
        <v>529</v>
      </c>
      <c r="J25" s="103">
        <v>140</v>
      </c>
      <c r="K25" s="66">
        <v>160</v>
      </c>
      <c r="L25" s="66">
        <v>1450</v>
      </c>
      <c r="M25" s="164">
        <v>13.911206867671</v>
      </c>
      <c r="N25" s="78">
        <v>2351.1864090000004</v>
      </c>
      <c r="O25" s="113">
        <v>51675.755210220908</v>
      </c>
      <c r="P25" s="113">
        <v>60545.537247263688</v>
      </c>
      <c r="Q25" s="110">
        <v>13892.468841331156</v>
      </c>
      <c r="R25" s="113">
        <v>65568.224051552068</v>
      </c>
      <c r="S25" s="113">
        <v>74438.006088594848</v>
      </c>
      <c r="U25" s="7" t="s">
        <v>6819</v>
      </c>
    </row>
    <row r="26" spans="1:21" s="7" customFormat="1" ht="16.5" customHeight="1" thickBot="1">
      <c r="A26" s="207" t="s">
        <v>10</v>
      </c>
      <c r="B26" s="211">
        <f t="shared" si="0"/>
        <v>140</v>
      </c>
      <c r="C26" s="211" t="s">
        <v>3</v>
      </c>
      <c r="D26" s="211">
        <f t="shared" si="1"/>
        <v>160</v>
      </c>
      <c r="E26" s="211" t="s">
        <v>3</v>
      </c>
      <c r="F26" s="209">
        <f t="shared" si="2"/>
        <v>1500</v>
      </c>
      <c r="G26" s="211" t="s">
        <v>3</v>
      </c>
      <c r="H26" s="208">
        <v>2</v>
      </c>
      <c r="I26" s="210" t="s">
        <v>529</v>
      </c>
      <c r="J26" s="103">
        <v>140</v>
      </c>
      <c r="K26" s="66">
        <v>160</v>
      </c>
      <c r="L26" s="66">
        <v>1500</v>
      </c>
      <c r="M26" s="164">
        <v>14.167121253562124</v>
      </c>
      <c r="N26" s="78">
        <v>2458.0585184999995</v>
      </c>
      <c r="O26" s="113">
        <v>53249.412039862669</v>
      </c>
      <c r="P26" s="113">
        <v>62460.979972078108</v>
      </c>
      <c r="Q26" s="110">
        <v>14481.293076807897</v>
      </c>
      <c r="R26" s="113">
        <v>67730.705116670564</v>
      </c>
      <c r="S26" s="113">
        <v>76942.273048886011</v>
      </c>
      <c r="U26" s="7" t="s">
        <v>6820</v>
      </c>
    </row>
    <row r="27" spans="1:21" s="7" customFormat="1" ht="16.5" customHeight="1" thickBot="1">
      <c r="A27" s="207" t="s">
        <v>10</v>
      </c>
      <c r="B27" s="211">
        <f t="shared" si="0"/>
        <v>140</v>
      </c>
      <c r="C27" s="211" t="s">
        <v>3</v>
      </c>
      <c r="D27" s="211">
        <f t="shared" si="1"/>
        <v>160</v>
      </c>
      <c r="E27" s="211" t="s">
        <v>3</v>
      </c>
      <c r="F27" s="209">
        <f t="shared" si="2"/>
        <v>1550</v>
      </c>
      <c r="G27" s="211" t="s">
        <v>3</v>
      </c>
      <c r="H27" s="208">
        <v>2</v>
      </c>
      <c r="I27" s="210" t="s">
        <v>529</v>
      </c>
      <c r="J27" s="103">
        <v>140</v>
      </c>
      <c r="K27" s="66">
        <v>160</v>
      </c>
      <c r="L27" s="66">
        <v>1550</v>
      </c>
      <c r="M27" s="164">
        <v>14.568755787991247</v>
      </c>
      <c r="N27" s="78">
        <v>2564.9306280000001</v>
      </c>
      <c r="O27" s="113">
        <v>54382.666047349499</v>
      </c>
      <c r="P27" s="113">
        <v>63848.842259595818</v>
      </c>
      <c r="Q27" s="110">
        <v>14818.783327529631</v>
      </c>
      <c r="R27" s="113">
        <v>69201.449374879128</v>
      </c>
      <c r="S27" s="113">
        <v>78667.625587125454</v>
      </c>
      <c r="U27" s="7" t="s">
        <v>6821</v>
      </c>
    </row>
    <row r="28" spans="1:21" s="7" customFormat="1" ht="16.5" customHeight="1" thickBot="1">
      <c r="A28" s="207" t="s">
        <v>10</v>
      </c>
      <c r="B28" s="208">
        <f t="shared" si="0"/>
        <v>140</v>
      </c>
      <c r="C28" s="208" t="s">
        <v>3</v>
      </c>
      <c r="D28" s="208">
        <f t="shared" si="1"/>
        <v>160</v>
      </c>
      <c r="E28" s="208" t="s">
        <v>3</v>
      </c>
      <c r="F28" s="209">
        <f t="shared" si="2"/>
        <v>1600</v>
      </c>
      <c r="G28" s="208" t="s">
        <v>3</v>
      </c>
      <c r="H28" s="208">
        <v>2</v>
      </c>
      <c r="I28" s="210" t="s">
        <v>529</v>
      </c>
      <c r="J28" s="103">
        <v>140</v>
      </c>
      <c r="K28" s="66">
        <v>160</v>
      </c>
      <c r="L28" s="66">
        <v>1600</v>
      </c>
      <c r="M28" s="164">
        <v>14.970390322420373</v>
      </c>
      <c r="N28" s="78">
        <v>2671.8027375000001</v>
      </c>
      <c r="O28" s="113">
        <v>57637.105121712899</v>
      </c>
      <c r="P28" s="113">
        <v>67409.680676910459</v>
      </c>
      <c r="Q28" s="110">
        <v>15156.273578251366</v>
      </c>
      <c r="R28" s="113">
        <v>72793.378699964262</v>
      </c>
      <c r="S28" s="113">
        <v>82565.954255161821</v>
      </c>
      <c r="U28" s="7" t="s">
        <v>6822</v>
      </c>
    </row>
    <row r="29" spans="1:21" s="7" customFormat="1" ht="16.5" customHeight="1" thickBot="1">
      <c r="A29" s="207" t="s">
        <v>10</v>
      </c>
      <c r="B29" s="211">
        <f t="shared" si="0"/>
        <v>140</v>
      </c>
      <c r="C29" s="211" t="s">
        <v>3</v>
      </c>
      <c r="D29" s="211">
        <f t="shared" si="1"/>
        <v>160</v>
      </c>
      <c r="E29" s="211" t="s">
        <v>3</v>
      </c>
      <c r="F29" s="209">
        <f t="shared" si="2"/>
        <v>1650</v>
      </c>
      <c r="G29" s="211" t="s">
        <v>3</v>
      </c>
      <c r="H29" s="208">
        <v>2</v>
      </c>
      <c r="I29" s="210" t="s">
        <v>529</v>
      </c>
      <c r="J29" s="103">
        <v>140</v>
      </c>
      <c r="K29" s="66">
        <v>160</v>
      </c>
      <c r="L29" s="66">
        <v>1650</v>
      </c>
      <c r="M29" s="164">
        <v>15.388212856849503</v>
      </c>
      <c r="N29" s="78">
        <v>2778.6748470000002</v>
      </c>
      <c r="O29" s="113">
        <v>61166.507666163241</v>
      </c>
      <c r="P29" s="113">
        <v>71252.196109160548</v>
      </c>
      <c r="Q29" s="110">
        <v>15745.097966756874</v>
      </c>
      <c r="R29" s="113">
        <v>76911.605632920109</v>
      </c>
      <c r="S29" s="113">
        <v>86997.294075917423</v>
      </c>
      <c r="U29" s="7" t="s">
        <v>6823</v>
      </c>
    </row>
    <row r="30" spans="1:21" s="7" customFormat="1" ht="16.5" customHeight="1" thickBot="1">
      <c r="A30" s="207" t="s">
        <v>10</v>
      </c>
      <c r="B30" s="211">
        <f t="shared" si="0"/>
        <v>140</v>
      </c>
      <c r="C30" s="211" t="s">
        <v>3</v>
      </c>
      <c r="D30" s="211">
        <f t="shared" si="1"/>
        <v>160</v>
      </c>
      <c r="E30" s="211" t="s">
        <v>3</v>
      </c>
      <c r="F30" s="209">
        <f t="shared" si="2"/>
        <v>1700</v>
      </c>
      <c r="G30" s="211" t="s">
        <v>3</v>
      </c>
      <c r="H30" s="208">
        <v>2</v>
      </c>
      <c r="I30" s="210" t="s">
        <v>529</v>
      </c>
      <c r="J30" s="103">
        <v>140</v>
      </c>
      <c r="K30" s="66">
        <v>160</v>
      </c>
      <c r="L30" s="66">
        <v>1700</v>
      </c>
      <c r="M30" s="164">
        <v>16.608747391278627</v>
      </c>
      <c r="N30" s="78">
        <v>2885.5469565000003</v>
      </c>
      <c r="O30" s="113">
        <v>62076.150946191541</v>
      </c>
      <c r="P30" s="113">
        <v>72410.988057375493</v>
      </c>
      <c r="Q30" s="110">
        <v>16082.58806444969</v>
      </c>
      <c r="R30" s="113">
        <v>78158.739010641235</v>
      </c>
      <c r="S30" s="113">
        <v>88493.576121825186</v>
      </c>
      <c r="U30" s="7" t="s">
        <v>6824</v>
      </c>
    </row>
    <row r="31" spans="1:21" s="7" customFormat="1" ht="16.5" customHeight="1" thickBot="1">
      <c r="A31" s="207" t="s">
        <v>10</v>
      </c>
      <c r="B31" s="211">
        <f t="shared" si="0"/>
        <v>140</v>
      </c>
      <c r="C31" s="211" t="s">
        <v>3</v>
      </c>
      <c r="D31" s="211">
        <f t="shared" si="1"/>
        <v>160</v>
      </c>
      <c r="E31" s="211" t="s">
        <v>3</v>
      </c>
      <c r="F31" s="209">
        <f t="shared" si="2"/>
        <v>1750</v>
      </c>
      <c r="G31" s="211" t="s">
        <v>3</v>
      </c>
      <c r="H31" s="208">
        <v>2</v>
      </c>
      <c r="I31" s="210" t="s">
        <v>529</v>
      </c>
      <c r="J31" s="103">
        <v>140</v>
      </c>
      <c r="K31" s="66">
        <v>160</v>
      </c>
      <c r="L31" s="66">
        <v>1750</v>
      </c>
      <c r="M31" s="164">
        <v>17.026569925707747</v>
      </c>
      <c r="N31" s="78">
        <v>2992.4190659999999</v>
      </c>
      <c r="O31" s="113">
        <v>62902.786695427189</v>
      </c>
      <c r="P31" s="113">
        <v>73484.745604212847</v>
      </c>
      <c r="Q31" s="110">
        <v>16671.412452955348</v>
      </c>
      <c r="R31" s="113">
        <v>79574.19914838254</v>
      </c>
      <c r="S31" s="113">
        <v>90156.158057168199</v>
      </c>
      <c r="U31" s="7" t="s">
        <v>6825</v>
      </c>
    </row>
    <row r="32" spans="1:21" s="7" customFormat="1" ht="16.5" customHeight="1" thickBot="1">
      <c r="A32" s="207" t="s">
        <v>10</v>
      </c>
      <c r="B32" s="211">
        <f t="shared" si="0"/>
        <v>140</v>
      </c>
      <c r="C32" s="211" t="s">
        <v>3</v>
      </c>
      <c r="D32" s="211">
        <f t="shared" si="1"/>
        <v>160</v>
      </c>
      <c r="E32" s="211" t="s">
        <v>3</v>
      </c>
      <c r="F32" s="209">
        <f t="shared" si="2"/>
        <v>1800</v>
      </c>
      <c r="G32" s="211" t="s">
        <v>3</v>
      </c>
      <c r="H32" s="208">
        <v>2</v>
      </c>
      <c r="I32" s="210" t="s">
        <v>529</v>
      </c>
      <c r="J32" s="103">
        <v>140</v>
      </c>
      <c r="K32" s="66">
        <v>160</v>
      </c>
      <c r="L32" s="66">
        <v>1800</v>
      </c>
      <c r="M32" s="164">
        <v>17.428204460136872</v>
      </c>
      <c r="N32" s="78">
        <v>3099.2911755</v>
      </c>
      <c r="O32" s="113">
        <v>63813.189220022221</v>
      </c>
      <c r="P32" s="113">
        <v>74644.315313475105</v>
      </c>
      <c r="Q32" s="110">
        <v>17008.902703677086</v>
      </c>
      <c r="R32" s="113">
        <v>80822.091923699307</v>
      </c>
      <c r="S32" s="113">
        <v>91653.21801715219</v>
      </c>
      <c r="U32" s="7" t="s">
        <v>6826</v>
      </c>
    </row>
    <row r="33" spans="1:21" s="7" customFormat="1" ht="16.5" customHeight="1" thickBot="1">
      <c r="A33" s="207" t="s">
        <v>10</v>
      </c>
      <c r="B33" s="211">
        <f t="shared" si="0"/>
        <v>140</v>
      </c>
      <c r="C33" s="211" t="s">
        <v>3</v>
      </c>
      <c r="D33" s="211">
        <f t="shared" si="1"/>
        <v>160</v>
      </c>
      <c r="E33" s="211" t="s">
        <v>3</v>
      </c>
      <c r="F33" s="209">
        <f t="shared" si="2"/>
        <v>1850</v>
      </c>
      <c r="G33" s="211" t="s">
        <v>3</v>
      </c>
      <c r="H33" s="208">
        <v>2</v>
      </c>
      <c r="I33" s="210" t="s">
        <v>529</v>
      </c>
      <c r="J33" s="103">
        <v>140</v>
      </c>
      <c r="K33" s="66">
        <v>160</v>
      </c>
      <c r="L33" s="66">
        <v>1850</v>
      </c>
      <c r="M33" s="164">
        <v>17.846026994565996</v>
      </c>
      <c r="N33" s="78">
        <v>3206.1632850000001</v>
      </c>
      <c r="O33" s="113">
        <v>64723.539324613746</v>
      </c>
      <c r="P33" s="113">
        <v>75803.831369322026</v>
      </c>
      <c r="Q33" s="110">
        <v>17597.727092182588</v>
      </c>
      <c r="R33" s="113">
        <v>82321.266416796338</v>
      </c>
      <c r="S33" s="113">
        <v>93401.55846150461</v>
      </c>
      <c r="U33" s="7" t="s">
        <v>6827</v>
      </c>
    </row>
    <row r="34" spans="1:21" s="7" customFormat="1" ht="16.5" customHeight="1" thickBot="1">
      <c r="A34" s="207" t="s">
        <v>10</v>
      </c>
      <c r="B34" s="211">
        <f t="shared" si="0"/>
        <v>140</v>
      </c>
      <c r="C34" s="211" t="s">
        <v>3</v>
      </c>
      <c r="D34" s="211">
        <f t="shared" si="1"/>
        <v>160</v>
      </c>
      <c r="E34" s="211" t="s">
        <v>3</v>
      </c>
      <c r="F34" s="209">
        <f t="shared" si="2"/>
        <v>1900</v>
      </c>
      <c r="G34" s="211" t="s">
        <v>3</v>
      </c>
      <c r="H34" s="208">
        <v>2</v>
      </c>
      <c r="I34" s="210" t="s">
        <v>529</v>
      </c>
      <c r="J34" s="103">
        <v>140</v>
      </c>
      <c r="K34" s="66">
        <v>160</v>
      </c>
      <c r="L34" s="66">
        <v>1900</v>
      </c>
      <c r="M34" s="164">
        <v>18.247661528995124</v>
      </c>
      <c r="N34" s="78">
        <v>3313.0353945000002</v>
      </c>
      <c r="O34" s="113">
        <v>65824.698632145213</v>
      </c>
      <c r="P34" s="113">
        <v>77158.81549857615</v>
      </c>
      <c r="Q34" s="110">
        <v>17935.217189875559</v>
      </c>
      <c r="R34" s="113">
        <v>83759.915822020776</v>
      </c>
      <c r="S34" s="113">
        <v>95094.032688451713</v>
      </c>
      <c r="U34" s="7" t="s">
        <v>6828</v>
      </c>
    </row>
    <row r="35" spans="1:21" s="7" customFormat="1" ht="16.5" customHeight="1" thickBot="1">
      <c r="A35" s="207" t="s">
        <v>10</v>
      </c>
      <c r="B35" s="211">
        <f t="shared" si="0"/>
        <v>140</v>
      </c>
      <c r="C35" s="211" t="s">
        <v>3</v>
      </c>
      <c r="D35" s="211">
        <f t="shared" si="1"/>
        <v>160</v>
      </c>
      <c r="E35" s="211" t="s">
        <v>3</v>
      </c>
      <c r="F35" s="209">
        <f t="shared" si="2"/>
        <v>1950</v>
      </c>
      <c r="G35" s="211" t="s">
        <v>3</v>
      </c>
      <c r="H35" s="208">
        <v>2</v>
      </c>
      <c r="I35" s="210" t="s">
        <v>529</v>
      </c>
      <c r="J35" s="103">
        <v>140</v>
      </c>
      <c r="K35" s="66">
        <v>160</v>
      </c>
      <c r="L35" s="66">
        <v>1950</v>
      </c>
      <c r="M35" s="164">
        <v>18.686583563424247</v>
      </c>
      <c r="N35" s="78">
        <v>3419.9075040000007</v>
      </c>
      <c r="O35" s="113">
        <v>67099.387402259061</v>
      </c>
      <c r="P35" s="113">
        <v>78691.565774410643</v>
      </c>
      <c r="Q35" s="110">
        <v>18272.707440597296</v>
      </c>
      <c r="R35" s="113">
        <v>85372.094842856357</v>
      </c>
      <c r="S35" s="113">
        <v>96964.273215007939</v>
      </c>
      <c r="U35" s="7" t="s">
        <v>6829</v>
      </c>
    </row>
    <row r="36" spans="1:21" s="7" customFormat="1" ht="16.5" customHeight="1" thickBot="1">
      <c r="A36" s="207" t="s">
        <v>10</v>
      </c>
      <c r="B36" s="211">
        <f t="shared" si="0"/>
        <v>140</v>
      </c>
      <c r="C36" s="211" t="s">
        <v>3</v>
      </c>
      <c r="D36" s="211">
        <f t="shared" si="1"/>
        <v>160</v>
      </c>
      <c r="E36" s="211" t="s">
        <v>3</v>
      </c>
      <c r="F36" s="209">
        <f t="shared" si="2"/>
        <v>2000</v>
      </c>
      <c r="G36" s="211" t="s">
        <v>3</v>
      </c>
      <c r="H36" s="208">
        <v>2</v>
      </c>
      <c r="I36" s="210" t="s">
        <v>529</v>
      </c>
      <c r="J36" s="103">
        <v>140</v>
      </c>
      <c r="K36" s="66">
        <v>160</v>
      </c>
      <c r="L36" s="66">
        <v>2000</v>
      </c>
      <c r="M36" s="164">
        <v>19.191390377853374</v>
      </c>
      <c r="N36" s="78">
        <v>3526.7796134999999</v>
      </c>
      <c r="O36" s="113">
        <v>68234.584852108659</v>
      </c>
      <c r="P36" s="113">
        <v>80308.317374323102</v>
      </c>
      <c r="Q36" s="110">
        <v>18861.531829102802</v>
      </c>
      <c r="R36" s="113">
        <v>87096.116681211453</v>
      </c>
      <c r="S36" s="113">
        <v>99169.849203425896</v>
      </c>
      <c r="U36" s="7" t="s">
        <v>6830</v>
      </c>
    </row>
    <row r="37" spans="1:21" s="7" customFormat="1" ht="16.5" customHeight="1" thickBot="1">
      <c r="A37" s="207" t="s">
        <v>10</v>
      </c>
      <c r="B37" s="211">
        <f t="shared" si="0"/>
        <v>140</v>
      </c>
      <c r="C37" s="211" t="s">
        <v>3</v>
      </c>
      <c r="D37" s="211">
        <f t="shared" si="1"/>
        <v>160</v>
      </c>
      <c r="E37" s="211" t="s">
        <v>3</v>
      </c>
      <c r="F37" s="209">
        <f t="shared" si="2"/>
        <v>2050</v>
      </c>
      <c r="G37" s="211" t="s">
        <v>3</v>
      </c>
      <c r="H37" s="208">
        <v>2</v>
      </c>
      <c r="I37" s="210" t="s">
        <v>529</v>
      </c>
      <c r="J37" s="103">
        <v>140</v>
      </c>
      <c r="K37" s="66">
        <v>160</v>
      </c>
      <c r="L37" s="66">
        <v>2050</v>
      </c>
      <c r="M37" s="164">
        <v>20.411924912282498</v>
      </c>
      <c r="N37" s="78">
        <v>3633.6517229999999</v>
      </c>
      <c r="O37" s="113">
        <v>71481.862547533252</v>
      </c>
      <c r="P37" s="113">
        <v>83861.819647728</v>
      </c>
      <c r="Q37" s="110">
        <v>19199.022079824535</v>
      </c>
      <c r="R37" s="113">
        <v>90680.884627357795</v>
      </c>
      <c r="S37" s="113">
        <v>103060.84172755253</v>
      </c>
      <c r="U37" s="7" t="s">
        <v>6831</v>
      </c>
    </row>
    <row r="38" spans="1:21" s="7" customFormat="1" ht="16.5" customHeight="1" thickBot="1">
      <c r="A38" s="207" t="s">
        <v>10</v>
      </c>
      <c r="B38" s="208">
        <f t="shared" si="0"/>
        <v>140</v>
      </c>
      <c r="C38" s="208" t="s">
        <v>3</v>
      </c>
      <c r="D38" s="208">
        <f t="shared" si="1"/>
        <v>160</v>
      </c>
      <c r="E38" s="208" t="s">
        <v>3</v>
      </c>
      <c r="F38" s="209">
        <f t="shared" si="2"/>
        <v>2100</v>
      </c>
      <c r="G38" s="208" t="s">
        <v>3</v>
      </c>
      <c r="H38" s="208">
        <v>2</v>
      </c>
      <c r="I38" s="210" t="s">
        <v>529</v>
      </c>
      <c r="J38" s="103">
        <v>140</v>
      </c>
      <c r="K38" s="66">
        <v>160</v>
      </c>
      <c r="L38" s="66">
        <v>2100</v>
      </c>
      <c r="M38" s="164">
        <v>20.829747446711622</v>
      </c>
      <c r="N38" s="78">
        <v>3740.5238325</v>
      </c>
      <c r="O38" s="113">
        <v>72459.716088881672</v>
      </c>
      <c r="P38" s="113">
        <v>85090.487270844213</v>
      </c>
      <c r="Q38" s="110">
        <v>19787.846468330041</v>
      </c>
      <c r="R38" s="113">
        <v>92247.562557211713</v>
      </c>
      <c r="S38" s="113">
        <v>104878.33373917425</v>
      </c>
      <c r="U38" s="7" t="s">
        <v>6832</v>
      </c>
    </row>
    <row r="39" spans="1:21" s="7" customFormat="1" ht="16.5" customHeight="1" thickBot="1">
      <c r="A39" s="207" t="s">
        <v>10</v>
      </c>
      <c r="B39" s="211">
        <f t="shared" si="0"/>
        <v>140</v>
      </c>
      <c r="C39" s="211" t="s">
        <v>3</v>
      </c>
      <c r="D39" s="211">
        <f t="shared" si="1"/>
        <v>160</v>
      </c>
      <c r="E39" s="211" t="s">
        <v>3</v>
      </c>
      <c r="F39" s="209">
        <f t="shared" si="2"/>
        <v>2150</v>
      </c>
      <c r="G39" s="211" t="s">
        <v>3</v>
      </c>
      <c r="H39" s="208">
        <v>2</v>
      </c>
      <c r="I39" s="210" t="s">
        <v>529</v>
      </c>
      <c r="J39" s="103">
        <v>140</v>
      </c>
      <c r="K39" s="66">
        <v>160</v>
      </c>
      <c r="L39" s="66">
        <v>2150</v>
      </c>
      <c r="M39" s="164">
        <v>21.23138198114075</v>
      </c>
      <c r="N39" s="78">
        <v>3847.3959420000001</v>
      </c>
      <c r="O39" s="113">
        <v>73598.472765916362</v>
      </c>
      <c r="P39" s="113">
        <v>86483.986582574697</v>
      </c>
      <c r="Q39" s="110">
        <v>20125.336566023012</v>
      </c>
      <c r="R39" s="113">
        <v>93723.809331939381</v>
      </c>
      <c r="S39" s="113">
        <v>106609.3231485977</v>
      </c>
      <c r="U39" s="7" t="s">
        <v>6833</v>
      </c>
    </row>
    <row r="40" spans="1:21" s="7" customFormat="1" ht="16.5" customHeight="1" thickBot="1">
      <c r="A40" s="207" t="s">
        <v>10</v>
      </c>
      <c r="B40" s="211">
        <f t="shared" si="0"/>
        <v>140</v>
      </c>
      <c r="C40" s="211" t="s">
        <v>3</v>
      </c>
      <c r="D40" s="211">
        <f t="shared" si="1"/>
        <v>160</v>
      </c>
      <c r="E40" s="211" t="s">
        <v>3</v>
      </c>
      <c r="F40" s="209">
        <f t="shared" si="2"/>
        <v>2200</v>
      </c>
      <c r="G40" s="211" t="s">
        <v>3</v>
      </c>
      <c r="H40" s="208">
        <v>2</v>
      </c>
      <c r="I40" s="210" t="s">
        <v>529</v>
      </c>
      <c r="J40" s="103">
        <v>140</v>
      </c>
      <c r="K40" s="66">
        <v>160</v>
      </c>
      <c r="L40" s="66">
        <v>2200</v>
      </c>
      <c r="M40" s="164">
        <v>21.649204515569874</v>
      </c>
      <c r="N40" s="78">
        <v>3954.2680515000006</v>
      </c>
      <c r="O40" s="113">
        <v>74737.176892873118</v>
      </c>
      <c r="P40" s="113">
        <v>87877.432098573103</v>
      </c>
      <c r="Q40" s="110">
        <v>20714.160954528517</v>
      </c>
      <c r="R40" s="113">
        <v>95451.337847401635</v>
      </c>
      <c r="S40" s="113">
        <v>108591.59305310162</v>
      </c>
      <c r="U40" s="7" t="s">
        <v>6834</v>
      </c>
    </row>
    <row r="41" spans="1:21" s="7" customFormat="1" ht="16.5" customHeight="1" thickBot="1">
      <c r="A41" s="207" t="s">
        <v>10</v>
      </c>
      <c r="B41" s="211">
        <f t="shared" si="0"/>
        <v>140</v>
      </c>
      <c r="C41" s="211" t="s">
        <v>3</v>
      </c>
      <c r="D41" s="211">
        <f t="shared" si="1"/>
        <v>160</v>
      </c>
      <c r="E41" s="211" t="s">
        <v>3</v>
      </c>
      <c r="F41" s="209">
        <f t="shared" si="2"/>
        <v>2250</v>
      </c>
      <c r="G41" s="211" t="s">
        <v>3</v>
      </c>
      <c r="H41" s="208">
        <v>2</v>
      </c>
      <c r="I41" s="210" t="s">
        <v>529</v>
      </c>
      <c r="J41" s="103">
        <v>140</v>
      </c>
      <c r="K41" s="66">
        <v>160</v>
      </c>
      <c r="L41" s="66">
        <v>2250</v>
      </c>
      <c r="M41" s="164">
        <v>22.050839049999002</v>
      </c>
      <c r="N41" s="78">
        <v>4061.1401609999998</v>
      </c>
      <c r="O41" s="113">
        <v>76224.257078878902</v>
      </c>
      <c r="P41" s="113">
        <v>89627.759639804121</v>
      </c>
      <c r="Q41" s="110">
        <v>21051.651205250255</v>
      </c>
      <c r="R41" s="113">
        <v>97275.908284129153</v>
      </c>
      <c r="S41" s="113">
        <v>110679.41084505437</v>
      </c>
      <c r="U41" s="7" t="s">
        <v>6835</v>
      </c>
    </row>
    <row r="42" spans="1:21" s="7" customFormat="1" ht="16.5" customHeight="1" thickBot="1">
      <c r="A42" s="207" t="s">
        <v>10</v>
      </c>
      <c r="B42" s="211">
        <f t="shared" si="0"/>
        <v>140</v>
      </c>
      <c r="C42" s="211" t="s">
        <v>3</v>
      </c>
      <c r="D42" s="211">
        <f t="shared" si="1"/>
        <v>160</v>
      </c>
      <c r="E42" s="211" t="s">
        <v>3</v>
      </c>
      <c r="F42" s="209">
        <f t="shared" si="2"/>
        <v>2300</v>
      </c>
      <c r="G42" s="211" t="s">
        <v>3</v>
      </c>
      <c r="H42" s="208">
        <v>2</v>
      </c>
      <c r="I42" s="210" t="s">
        <v>529</v>
      </c>
      <c r="J42" s="103">
        <v>140</v>
      </c>
      <c r="K42" s="66">
        <v>160</v>
      </c>
      <c r="L42" s="66">
        <v>2300</v>
      </c>
      <c r="M42" s="164">
        <v>22.452473584428127</v>
      </c>
      <c r="N42" s="78">
        <v>4168.0122705000003</v>
      </c>
      <c r="O42" s="113">
        <v>77098.194271912158</v>
      </c>
      <c r="P42" s="113">
        <v>90749.973763481757</v>
      </c>
      <c r="Q42" s="110">
        <v>21389.141302943226</v>
      </c>
      <c r="R42" s="113">
        <v>98487.335574855388</v>
      </c>
      <c r="S42" s="113">
        <v>112139.11506642499</v>
      </c>
      <c r="U42" s="7" t="s">
        <v>6836</v>
      </c>
    </row>
    <row r="43" spans="1:21" s="7" customFormat="1" ht="16.5" customHeight="1" thickBot="1">
      <c r="A43" s="207" t="s">
        <v>10</v>
      </c>
      <c r="B43" s="211">
        <f t="shared" si="0"/>
        <v>140</v>
      </c>
      <c r="C43" s="211" t="s">
        <v>3</v>
      </c>
      <c r="D43" s="211">
        <f t="shared" si="1"/>
        <v>160</v>
      </c>
      <c r="E43" s="211" t="s">
        <v>3</v>
      </c>
      <c r="F43" s="209">
        <f t="shared" si="2"/>
        <v>2350</v>
      </c>
      <c r="G43" s="211" t="s">
        <v>3</v>
      </c>
      <c r="H43" s="208">
        <v>2</v>
      </c>
      <c r="I43" s="210" t="s">
        <v>529</v>
      </c>
      <c r="J43" s="103">
        <v>140</v>
      </c>
      <c r="K43" s="66">
        <v>160</v>
      </c>
      <c r="L43" s="66">
        <v>2350</v>
      </c>
      <c r="M43" s="164">
        <v>22.870296118857251</v>
      </c>
      <c r="N43" s="78">
        <v>4274.8843800000004</v>
      </c>
      <c r="O43" s="113">
        <v>77972.079044941915</v>
      </c>
      <c r="P43" s="113">
        <v>91872.134091427317</v>
      </c>
      <c r="Q43" s="110">
        <v>21977.965691448728</v>
      </c>
      <c r="R43" s="113">
        <v>99950.044736390642</v>
      </c>
      <c r="S43" s="113">
        <v>113850.09978287604</v>
      </c>
      <c r="U43" s="7" t="s">
        <v>6837</v>
      </c>
    </row>
    <row r="44" spans="1:21" s="7" customFormat="1" ht="16.5" customHeight="1" thickBot="1">
      <c r="A44" s="207" t="s">
        <v>10</v>
      </c>
      <c r="B44" s="211">
        <f t="shared" si="0"/>
        <v>140</v>
      </c>
      <c r="C44" s="211" t="s">
        <v>3</v>
      </c>
      <c r="D44" s="211">
        <f t="shared" si="1"/>
        <v>160</v>
      </c>
      <c r="E44" s="211" t="s">
        <v>3</v>
      </c>
      <c r="F44" s="209">
        <f t="shared" si="2"/>
        <v>2400</v>
      </c>
      <c r="G44" s="211" t="s">
        <v>3</v>
      </c>
      <c r="H44" s="208">
        <v>2</v>
      </c>
      <c r="I44" s="210" t="s">
        <v>529</v>
      </c>
      <c r="J44" s="103">
        <v>140</v>
      </c>
      <c r="K44" s="66">
        <v>160</v>
      </c>
      <c r="L44" s="66">
        <v>2400</v>
      </c>
      <c r="M44" s="164">
        <v>23.271930653286375</v>
      </c>
      <c r="N44" s="78">
        <v>4381.7564894999996</v>
      </c>
      <c r="O44" s="113">
        <v>78845.911267893724</v>
      </c>
      <c r="P44" s="113">
        <v>92994.24062364077</v>
      </c>
      <c r="Q44" s="110">
        <v>22315.455942170465</v>
      </c>
      <c r="R44" s="113">
        <v>101161.36721006419</v>
      </c>
      <c r="S44" s="113">
        <v>115309.69656581123</v>
      </c>
      <c r="U44" s="7" t="s">
        <v>6838</v>
      </c>
    </row>
    <row r="45" spans="1:21" s="7" customFormat="1" ht="16.5" customHeight="1" thickBot="1">
      <c r="A45" s="207" t="s">
        <v>10</v>
      </c>
      <c r="B45" s="211">
        <f t="shared" si="0"/>
        <v>140</v>
      </c>
      <c r="C45" s="211" t="s">
        <v>3</v>
      </c>
      <c r="D45" s="211">
        <f t="shared" si="1"/>
        <v>160</v>
      </c>
      <c r="E45" s="211" t="s">
        <v>3</v>
      </c>
      <c r="F45" s="209">
        <f t="shared" si="2"/>
        <v>2450</v>
      </c>
      <c r="G45" s="211" t="s">
        <v>3</v>
      </c>
      <c r="H45" s="208">
        <v>2</v>
      </c>
      <c r="I45" s="210" t="s">
        <v>529</v>
      </c>
      <c r="J45" s="103">
        <v>140</v>
      </c>
      <c r="K45" s="66">
        <v>160</v>
      </c>
      <c r="L45" s="66">
        <v>2450</v>
      </c>
      <c r="M45" s="164">
        <v>24.346745039177499</v>
      </c>
      <c r="N45" s="78">
        <v>4488.6285990000006</v>
      </c>
      <c r="O45" s="113">
        <v>80160.094153145881</v>
      </c>
      <c r="P45" s="113">
        <v>94643.873939735626</v>
      </c>
      <c r="Q45" s="110">
        <v>22904.280330675971</v>
      </c>
      <c r="R45" s="113">
        <v>103064.37448382186</v>
      </c>
      <c r="S45" s="113">
        <v>117548.1542704116</v>
      </c>
      <c r="U45" s="7" t="s">
        <v>6839</v>
      </c>
    </row>
    <row r="46" spans="1:21" s="7" customFormat="1" ht="16.5" customHeight="1" thickBot="1">
      <c r="A46" s="207" t="s">
        <v>10</v>
      </c>
      <c r="B46" s="211">
        <f t="shared" si="0"/>
        <v>140</v>
      </c>
      <c r="C46" s="211" t="s">
        <v>3</v>
      </c>
      <c r="D46" s="211">
        <f t="shared" si="1"/>
        <v>160</v>
      </c>
      <c r="E46" s="211" t="s">
        <v>3</v>
      </c>
      <c r="F46" s="209">
        <f t="shared" si="2"/>
        <v>2500</v>
      </c>
      <c r="G46" s="211" t="s">
        <v>3</v>
      </c>
      <c r="H46" s="208">
        <v>2</v>
      </c>
      <c r="I46" s="210" t="s">
        <v>529</v>
      </c>
      <c r="J46" s="103">
        <v>140</v>
      </c>
      <c r="K46" s="66">
        <v>160</v>
      </c>
      <c r="L46" s="66">
        <v>2500</v>
      </c>
      <c r="M46" s="164">
        <v>24.748379573606627</v>
      </c>
      <c r="N46" s="78">
        <v>4595.5007085000007</v>
      </c>
      <c r="O46" s="113">
        <v>81033.82153609072</v>
      </c>
      <c r="P46" s="113">
        <v>95765.873022801636</v>
      </c>
      <c r="Q46" s="110">
        <v>23241.770581397705</v>
      </c>
      <c r="R46" s="113">
        <v>104275.59211748843</v>
      </c>
      <c r="S46" s="113">
        <v>119007.64360419934</v>
      </c>
      <c r="U46" s="7" t="s">
        <v>6840</v>
      </c>
    </row>
    <row r="47" spans="1:21" s="7" customFormat="1" ht="16.5" customHeight="1" thickBot="1">
      <c r="A47" s="207" t="s">
        <v>10</v>
      </c>
      <c r="B47" s="211">
        <f t="shared" si="0"/>
        <v>140</v>
      </c>
      <c r="C47" s="211" t="s">
        <v>3</v>
      </c>
      <c r="D47" s="211">
        <f t="shared" si="1"/>
        <v>160</v>
      </c>
      <c r="E47" s="211" t="s">
        <v>3</v>
      </c>
      <c r="F47" s="209">
        <f t="shared" si="2"/>
        <v>2550</v>
      </c>
      <c r="G47" s="211" t="s">
        <v>3</v>
      </c>
      <c r="H47" s="208">
        <v>2</v>
      </c>
      <c r="I47" s="210" t="s">
        <v>529</v>
      </c>
      <c r="J47" s="103">
        <v>140</v>
      </c>
      <c r="K47" s="66">
        <v>160</v>
      </c>
      <c r="L47" s="66">
        <v>2550</v>
      </c>
      <c r="M47" s="164">
        <v>25.166202108035751</v>
      </c>
      <c r="N47" s="78">
        <v>4702.3728180000007</v>
      </c>
      <c r="O47" s="113">
        <v>85498.322670355163</v>
      </c>
      <c r="P47" s="113">
        <v>100566.31852497511</v>
      </c>
      <c r="Q47" s="110">
        <v>23830.594816874447</v>
      </c>
      <c r="R47" s="113">
        <v>109328.91748722961</v>
      </c>
      <c r="S47" s="113">
        <v>124396.91334184956</v>
      </c>
      <c r="U47" s="7" t="s">
        <v>6841</v>
      </c>
    </row>
    <row r="48" spans="1:21" ht="16.5" customHeight="1" thickBot="1">
      <c r="A48" s="207" t="s">
        <v>10</v>
      </c>
      <c r="B48" s="208">
        <f t="shared" si="0"/>
        <v>140</v>
      </c>
      <c r="C48" s="208" t="s">
        <v>3</v>
      </c>
      <c r="D48" s="208">
        <f t="shared" si="1"/>
        <v>160</v>
      </c>
      <c r="E48" s="208" t="s">
        <v>3</v>
      </c>
      <c r="F48" s="209">
        <f t="shared" si="2"/>
        <v>2600</v>
      </c>
      <c r="G48" s="208" t="s">
        <v>3</v>
      </c>
      <c r="H48" s="208">
        <v>2</v>
      </c>
      <c r="I48" s="210" t="s">
        <v>529</v>
      </c>
      <c r="J48" s="103">
        <v>140</v>
      </c>
      <c r="K48" s="66">
        <v>160</v>
      </c>
      <c r="L48" s="66">
        <v>2600</v>
      </c>
      <c r="M48" s="164">
        <v>25.567836642464876</v>
      </c>
      <c r="N48" s="78">
        <v>4809.2449274999999</v>
      </c>
      <c r="O48" s="113">
        <v>86666.903207590905</v>
      </c>
      <c r="P48" s="113">
        <v>101990.36982766484</v>
      </c>
      <c r="Q48" s="110">
        <v>24168.085067596181</v>
      </c>
      <c r="R48" s="113">
        <v>110834.98827518709</v>
      </c>
      <c r="S48" s="113">
        <v>126158.45489526102</v>
      </c>
      <c r="U48" s="7" t="s">
        <v>6842</v>
      </c>
    </row>
    <row r="49" spans="1:21" ht="16.5" customHeight="1" thickBot="1">
      <c r="A49" s="207" t="s">
        <v>10</v>
      </c>
      <c r="B49" s="211">
        <f t="shared" si="0"/>
        <v>140</v>
      </c>
      <c r="C49" s="211" t="s">
        <v>3</v>
      </c>
      <c r="D49" s="211">
        <f t="shared" si="1"/>
        <v>160</v>
      </c>
      <c r="E49" s="211" t="s">
        <v>3</v>
      </c>
      <c r="F49" s="209">
        <f t="shared" si="2"/>
        <v>2650</v>
      </c>
      <c r="G49" s="211" t="s">
        <v>3</v>
      </c>
      <c r="H49" s="208">
        <v>2</v>
      </c>
      <c r="I49" s="210" t="s">
        <v>529</v>
      </c>
      <c r="J49" s="103">
        <v>140</v>
      </c>
      <c r="K49" s="66">
        <v>160</v>
      </c>
      <c r="L49" s="66">
        <v>2650</v>
      </c>
      <c r="M49" s="164">
        <v>25.985659176894</v>
      </c>
      <c r="N49" s="78">
        <v>4916.1170369999991</v>
      </c>
      <c r="O49" s="113">
        <v>87366.108009524876</v>
      </c>
      <c r="P49" s="113">
        <v>102933.58534169356</v>
      </c>
      <c r="Q49" s="110">
        <v>24756.909456101686</v>
      </c>
      <c r="R49" s="113">
        <v>112123.01746562656</v>
      </c>
      <c r="S49" s="113">
        <v>127690.49479779524</v>
      </c>
      <c r="U49" s="7" t="s">
        <v>6843</v>
      </c>
    </row>
    <row r="50" spans="1:21" ht="16.5" customHeight="1" thickBot="1">
      <c r="A50" s="207" t="s">
        <v>10</v>
      </c>
      <c r="B50" s="211">
        <f t="shared" si="0"/>
        <v>140</v>
      </c>
      <c r="C50" s="211" t="s">
        <v>3</v>
      </c>
      <c r="D50" s="211">
        <f t="shared" si="1"/>
        <v>160</v>
      </c>
      <c r="E50" s="211" t="s">
        <v>3</v>
      </c>
      <c r="F50" s="209">
        <f t="shared" si="2"/>
        <v>2700</v>
      </c>
      <c r="G50" s="211" t="s">
        <v>3</v>
      </c>
      <c r="H50" s="208">
        <v>2</v>
      </c>
      <c r="I50" s="210" t="s">
        <v>529</v>
      </c>
      <c r="J50" s="103">
        <v>140</v>
      </c>
      <c r="K50" s="66">
        <v>160</v>
      </c>
      <c r="L50" s="66">
        <v>2700</v>
      </c>
      <c r="M50" s="164">
        <v>26.424581211323122</v>
      </c>
      <c r="N50" s="78">
        <v>5022.9891465000001</v>
      </c>
      <c r="O50" s="113">
        <v>88103.824084050313</v>
      </c>
      <c r="P50" s="113">
        <v>103916.25219779041</v>
      </c>
      <c r="Q50" s="110">
        <v>25094.399706823424</v>
      </c>
      <c r="R50" s="113">
        <v>113198.22379087374</v>
      </c>
      <c r="S50" s="113">
        <v>129010.65190461383</v>
      </c>
      <c r="U50" s="7" t="s">
        <v>6844</v>
      </c>
    </row>
    <row r="51" spans="1:21" ht="16.5" customHeight="1" thickBot="1">
      <c r="A51" s="207" t="s">
        <v>10</v>
      </c>
      <c r="B51" s="211">
        <f t="shared" si="0"/>
        <v>140</v>
      </c>
      <c r="C51" s="211" t="s">
        <v>3</v>
      </c>
      <c r="D51" s="211">
        <f t="shared" si="1"/>
        <v>160</v>
      </c>
      <c r="E51" s="211" t="s">
        <v>3</v>
      </c>
      <c r="F51" s="209">
        <f t="shared" si="2"/>
        <v>2750</v>
      </c>
      <c r="G51" s="211" t="s">
        <v>3</v>
      </c>
      <c r="H51" s="208">
        <v>2</v>
      </c>
      <c r="I51" s="210" t="s">
        <v>529</v>
      </c>
      <c r="J51" s="103">
        <v>140</v>
      </c>
      <c r="K51" s="66">
        <v>160</v>
      </c>
      <c r="L51" s="66">
        <v>2750</v>
      </c>
      <c r="M51" s="164">
        <v>26.826215745752251</v>
      </c>
      <c r="N51" s="78">
        <v>5129.8612560000001</v>
      </c>
      <c r="O51" s="113">
        <v>88892.036100799625</v>
      </c>
      <c r="P51" s="113">
        <v>104950.64791979635</v>
      </c>
      <c r="Q51" s="110">
        <v>25431.889804516391</v>
      </c>
      <c r="R51" s="113">
        <v>114323.92590531602</v>
      </c>
      <c r="S51" s="113">
        <v>130382.53772431274</v>
      </c>
      <c r="U51" s="7" t="s">
        <v>6845</v>
      </c>
    </row>
    <row r="52" spans="1:21" ht="16.5" customHeight="1" thickBot="1">
      <c r="A52" s="207" t="s">
        <v>10</v>
      </c>
      <c r="B52" s="211">
        <f t="shared" si="0"/>
        <v>140</v>
      </c>
      <c r="C52" s="211" t="s">
        <v>3</v>
      </c>
      <c r="D52" s="211">
        <f t="shared" si="1"/>
        <v>160</v>
      </c>
      <c r="E52" s="211" t="s">
        <v>3</v>
      </c>
      <c r="F52" s="209">
        <f t="shared" si="2"/>
        <v>2800</v>
      </c>
      <c r="G52" s="211" t="s">
        <v>3</v>
      </c>
      <c r="H52" s="208">
        <v>2</v>
      </c>
      <c r="I52" s="210" t="s">
        <v>529</v>
      </c>
      <c r="J52" s="103">
        <v>140</v>
      </c>
      <c r="K52" s="66">
        <v>160</v>
      </c>
      <c r="L52" s="66">
        <v>2800</v>
      </c>
      <c r="M52" s="164">
        <v>27.244038280181375</v>
      </c>
      <c r="N52" s="78">
        <v>5236.7333655000002</v>
      </c>
      <c r="O52" s="113">
        <v>89589.895542693586</v>
      </c>
      <c r="P52" s="113">
        <v>105892.48509608611</v>
      </c>
      <c r="Q52" s="110">
        <v>26020.714193021897</v>
      </c>
      <c r="R52" s="113">
        <v>115610.60973571548</v>
      </c>
      <c r="S52" s="113">
        <v>131913.19928910802</v>
      </c>
      <c r="U52" s="7" t="s">
        <v>6846</v>
      </c>
    </row>
    <row r="53" spans="1:21" ht="16.5" customHeight="1" thickBot="1">
      <c r="A53" s="207" t="s">
        <v>10</v>
      </c>
      <c r="B53" s="211">
        <f t="shared" si="0"/>
        <v>140</v>
      </c>
      <c r="C53" s="211" t="s">
        <v>3</v>
      </c>
      <c r="D53" s="211">
        <f t="shared" si="1"/>
        <v>160</v>
      </c>
      <c r="E53" s="211" t="s">
        <v>3</v>
      </c>
      <c r="F53" s="209">
        <f t="shared" si="2"/>
        <v>2850</v>
      </c>
      <c r="G53" s="211" t="s">
        <v>3</v>
      </c>
      <c r="H53" s="208">
        <v>2</v>
      </c>
      <c r="I53" s="210" t="s">
        <v>529</v>
      </c>
      <c r="J53" s="103">
        <v>140</v>
      </c>
      <c r="K53" s="66">
        <v>160</v>
      </c>
      <c r="L53" s="66">
        <v>2850</v>
      </c>
      <c r="M53" s="164">
        <v>28.464572814610502</v>
      </c>
      <c r="N53" s="78">
        <v>5343.6054750000003</v>
      </c>
      <c r="O53" s="113">
        <v>90287.702564584048</v>
      </c>
      <c r="P53" s="113">
        <v>106834.2684766438</v>
      </c>
      <c r="Q53" s="110">
        <v>26358.204443743634</v>
      </c>
      <c r="R53" s="113">
        <v>116645.90700832769</v>
      </c>
      <c r="S53" s="113">
        <v>133192.47292038743</v>
      </c>
      <c r="U53" s="7" t="s">
        <v>6847</v>
      </c>
    </row>
    <row r="54" spans="1:21" ht="16.5" customHeight="1" thickBot="1">
      <c r="A54" s="207" t="s">
        <v>10</v>
      </c>
      <c r="B54" s="211">
        <f t="shared" si="0"/>
        <v>140</v>
      </c>
      <c r="C54" s="211" t="s">
        <v>3</v>
      </c>
      <c r="D54" s="211">
        <f t="shared" si="1"/>
        <v>160</v>
      </c>
      <c r="E54" s="211" t="s">
        <v>3</v>
      </c>
      <c r="F54" s="209">
        <f t="shared" si="2"/>
        <v>2900</v>
      </c>
      <c r="G54" s="211" t="s">
        <v>3</v>
      </c>
      <c r="H54" s="208">
        <v>2</v>
      </c>
      <c r="I54" s="210" t="s">
        <v>529</v>
      </c>
      <c r="J54" s="103">
        <v>140</v>
      </c>
      <c r="K54" s="66">
        <v>160</v>
      </c>
      <c r="L54" s="66">
        <v>2900</v>
      </c>
      <c r="M54" s="164">
        <v>28.882395349039626</v>
      </c>
      <c r="N54" s="78">
        <v>5450.4775845000004</v>
      </c>
      <c r="O54" s="113">
        <v>90985.457036396576</v>
      </c>
      <c r="P54" s="113">
        <v>107775.99820378615</v>
      </c>
      <c r="Q54" s="110">
        <v>26947.028832249136</v>
      </c>
      <c r="R54" s="113">
        <v>117932.48586864572</v>
      </c>
      <c r="S54" s="113">
        <v>134723.02703603529</v>
      </c>
      <c r="U54" s="7" t="s">
        <v>6848</v>
      </c>
    </row>
    <row r="55" spans="1:21" ht="16.5" customHeight="1" thickBot="1">
      <c r="A55" s="207" t="s">
        <v>10</v>
      </c>
      <c r="B55" s="211">
        <f t="shared" si="0"/>
        <v>140</v>
      </c>
      <c r="C55" s="211" t="s">
        <v>3</v>
      </c>
      <c r="D55" s="211">
        <f t="shared" si="1"/>
        <v>160</v>
      </c>
      <c r="E55" s="211" t="s">
        <v>3</v>
      </c>
      <c r="F55" s="209">
        <f t="shared" si="2"/>
        <v>2950</v>
      </c>
      <c r="G55" s="211" t="s">
        <v>3</v>
      </c>
      <c r="H55" s="208">
        <v>2</v>
      </c>
      <c r="I55" s="210" t="s">
        <v>529</v>
      </c>
      <c r="J55" s="103">
        <v>140</v>
      </c>
      <c r="K55" s="66">
        <v>160</v>
      </c>
      <c r="L55" s="66">
        <v>2950</v>
      </c>
      <c r="M55" s="164">
        <v>29.284029883468747</v>
      </c>
      <c r="N55" s="78">
        <v>5557.3496940000005</v>
      </c>
      <c r="O55" s="113">
        <v>91683.159218280052</v>
      </c>
      <c r="P55" s="113">
        <v>108717.6741351964</v>
      </c>
      <c r="Q55" s="110">
        <v>27284.518929942107</v>
      </c>
      <c r="R55" s="113">
        <v>118967.67814822216</v>
      </c>
      <c r="S55" s="113">
        <v>136002.1930651385</v>
      </c>
      <c r="U55" s="7" t="s">
        <v>6849</v>
      </c>
    </row>
    <row r="56" spans="1:21" ht="16.5" customHeight="1" thickBot="1">
      <c r="A56" s="212" t="s">
        <v>10</v>
      </c>
      <c r="B56" s="213">
        <f t="shared" si="0"/>
        <v>140</v>
      </c>
      <c r="C56" s="213" t="s">
        <v>3</v>
      </c>
      <c r="D56" s="213">
        <f t="shared" si="1"/>
        <v>160</v>
      </c>
      <c r="E56" s="213" t="s">
        <v>3</v>
      </c>
      <c r="F56" s="214">
        <f t="shared" si="2"/>
        <v>3000</v>
      </c>
      <c r="G56" s="213" t="s">
        <v>3</v>
      </c>
      <c r="H56" s="215">
        <v>2</v>
      </c>
      <c r="I56" s="210" t="s">
        <v>529</v>
      </c>
      <c r="J56" s="103">
        <v>140</v>
      </c>
      <c r="K56" s="266">
        <v>160</v>
      </c>
      <c r="L56" s="266">
        <v>3000</v>
      </c>
      <c r="M56" s="249">
        <v>29.701852417897872</v>
      </c>
      <c r="N56" s="250">
        <v>5664.2218035000005</v>
      </c>
      <c r="O56" s="251">
        <v>94252.160960758512</v>
      </c>
      <c r="P56" s="251">
        <v>111576.33963219383</v>
      </c>
      <c r="Q56" s="252">
        <v>27873.343318447616</v>
      </c>
      <c r="R56" s="251">
        <v>122125.50427920613</v>
      </c>
      <c r="S56" s="251">
        <v>139449.68295064144</v>
      </c>
      <c r="U56" s="7" t="s">
        <v>6850</v>
      </c>
    </row>
    <row r="57" spans="1:21" ht="22.5" customHeight="1" thickBot="1">
      <c r="A57" s="2968" t="s">
        <v>46</v>
      </c>
      <c r="B57" s="2969"/>
      <c r="C57" s="2969"/>
      <c r="D57" s="2969"/>
      <c r="E57" s="2969"/>
      <c r="F57" s="2969"/>
      <c r="G57" s="2969"/>
      <c r="H57" s="2969"/>
      <c r="I57" s="2969"/>
      <c r="J57" s="2969"/>
      <c r="K57" s="2969"/>
      <c r="L57" s="2969"/>
      <c r="M57" s="2969"/>
      <c r="N57" s="2969"/>
      <c r="O57" s="2969"/>
      <c r="P57" s="2969"/>
      <c r="Q57" s="2969"/>
      <c r="R57" s="2969"/>
      <c r="S57" s="2970"/>
      <c r="U57" s="7"/>
    </row>
    <row r="58" spans="1:21" ht="16.5" customHeight="1" thickBot="1">
      <c r="A58" s="3015" t="s">
        <v>112</v>
      </c>
      <c r="B58" s="3016"/>
      <c r="C58" s="3016"/>
      <c r="D58" s="3016"/>
      <c r="E58" s="3016"/>
      <c r="F58" s="3016"/>
      <c r="G58" s="3016"/>
      <c r="H58" s="3016"/>
      <c r="I58" s="3016"/>
      <c r="J58" s="3016"/>
      <c r="K58" s="3016"/>
      <c r="L58" s="3016"/>
      <c r="M58" s="3016"/>
      <c r="N58" s="3016"/>
      <c r="O58" s="3016"/>
      <c r="P58" s="3016"/>
      <c r="Q58" s="3016"/>
      <c r="R58" s="3016"/>
      <c r="S58" s="3017"/>
      <c r="U58" s="7"/>
    </row>
    <row r="59" spans="1:21" ht="16.5" thickBot="1">
      <c r="A59" s="207" t="s">
        <v>10</v>
      </c>
      <c r="B59" s="208">
        <f t="shared" ref="B59:B105" si="3">J59</f>
        <v>140</v>
      </c>
      <c r="C59" s="208" t="s">
        <v>3</v>
      </c>
      <c r="D59" s="208">
        <f t="shared" ref="D59:D105" si="4">K59</f>
        <v>200</v>
      </c>
      <c r="E59" s="208" t="s">
        <v>3</v>
      </c>
      <c r="F59" s="209">
        <f t="shared" ref="F59:F105" si="5">L59</f>
        <v>700</v>
      </c>
      <c r="G59" s="208" t="s">
        <v>3</v>
      </c>
      <c r="H59" s="208">
        <v>2</v>
      </c>
      <c r="I59" s="210" t="s">
        <v>529</v>
      </c>
      <c r="J59" s="103">
        <v>140</v>
      </c>
      <c r="K59" s="271">
        <v>200</v>
      </c>
      <c r="L59" s="271">
        <v>700</v>
      </c>
      <c r="M59" s="245">
        <v>7.3360379902741233</v>
      </c>
      <c r="N59" s="246">
        <v>885.14358659999982</v>
      </c>
      <c r="O59" s="247">
        <v>28571.151541613894</v>
      </c>
      <c r="P59" s="247">
        <v>33537.032166140307</v>
      </c>
      <c r="Q59" s="248">
        <v>8155.8760034286815</v>
      </c>
      <c r="R59" s="247">
        <v>36727.027545042576</v>
      </c>
      <c r="S59" s="247">
        <v>41692.908169568989</v>
      </c>
      <c r="U59" s="7" t="s">
        <v>6851</v>
      </c>
    </row>
    <row r="60" spans="1:21" ht="16.5" thickBot="1">
      <c r="A60" s="207" t="s">
        <v>10</v>
      </c>
      <c r="B60" s="211">
        <f t="shared" si="3"/>
        <v>140</v>
      </c>
      <c r="C60" s="211" t="s">
        <v>3</v>
      </c>
      <c r="D60" s="211">
        <f t="shared" si="4"/>
        <v>200</v>
      </c>
      <c r="E60" s="211" t="s">
        <v>3</v>
      </c>
      <c r="F60" s="209">
        <f t="shared" si="5"/>
        <v>750</v>
      </c>
      <c r="G60" s="211" t="s">
        <v>3</v>
      </c>
      <c r="H60" s="208">
        <v>2</v>
      </c>
      <c r="I60" s="210" t="s">
        <v>529</v>
      </c>
      <c r="J60" s="103">
        <v>140</v>
      </c>
      <c r="K60" s="66">
        <v>200</v>
      </c>
      <c r="L60" s="66">
        <v>750</v>
      </c>
      <c r="M60" s="164">
        <v>7.7639360517032481</v>
      </c>
      <c r="N60" s="78">
        <v>1011.5926704</v>
      </c>
      <c r="O60" s="113">
        <v>30272.345069085448</v>
      </c>
      <c r="P60" s="113">
        <v>35508.759031447909</v>
      </c>
      <c r="Q60" s="110">
        <v>8546.5523196422018</v>
      </c>
      <c r="R60" s="113">
        <v>38818.897388727652</v>
      </c>
      <c r="S60" s="113">
        <v>44055.311351090109</v>
      </c>
      <c r="U60" s="7" t="s">
        <v>6852</v>
      </c>
    </row>
    <row r="61" spans="1:21" ht="16.5" thickBot="1">
      <c r="A61" s="207" t="s">
        <v>10</v>
      </c>
      <c r="B61" s="211">
        <f t="shared" si="3"/>
        <v>140</v>
      </c>
      <c r="C61" s="211" t="s">
        <v>3</v>
      </c>
      <c r="D61" s="211">
        <f t="shared" si="4"/>
        <v>200</v>
      </c>
      <c r="E61" s="211" t="s">
        <v>3</v>
      </c>
      <c r="F61" s="209">
        <f t="shared" si="5"/>
        <v>800</v>
      </c>
      <c r="G61" s="211" t="s">
        <v>3</v>
      </c>
      <c r="H61" s="208">
        <v>2</v>
      </c>
      <c r="I61" s="210" t="s">
        <v>529</v>
      </c>
      <c r="J61" s="103">
        <v>140</v>
      </c>
      <c r="K61" s="66">
        <v>200</v>
      </c>
      <c r="L61" s="66">
        <v>800</v>
      </c>
      <c r="M61" s="164">
        <v>8.1918341131323729</v>
      </c>
      <c r="N61" s="78">
        <v>1138.0417542</v>
      </c>
      <c r="O61" s="113">
        <v>31974.197813871411</v>
      </c>
      <c r="P61" s="113">
        <v>37481.272908391678</v>
      </c>
      <c r="Q61" s="110">
        <v>8937.2286358557212</v>
      </c>
      <c r="R61" s="113">
        <v>40911.426449727136</v>
      </c>
      <c r="S61" s="113">
        <v>46418.501544247396</v>
      </c>
      <c r="U61" s="7" t="s">
        <v>6853</v>
      </c>
    </row>
    <row r="62" spans="1:21" s="7" customFormat="1" ht="16.5" thickBot="1">
      <c r="A62" s="207" t="s">
        <v>10</v>
      </c>
      <c r="B62" s="211">
        <f t="shared" si="3"/>
        <v>140</v>
      </c>
      <c r="C62" s="211" t="s">
        <v>3</v>
      </c>
      <c r="D62" s="211">
        <f t="shared" si="4"/>
        <v>200</v>
      </c>
      <c r="E62" s="211" t="s">
        <v>3</v>
      </c>
      <c r="F62" s="209">
        <f t="shared" si="5"/>
        <v>850</v>
      </c>
      <c r="G62" s="211" t="s">
        <v>3</v>
      </c>
      <c r="H62" s="208">
        <v>2</v>
      </c>
      <c r="I62" s="210" t="s">
        <v>529</v>
      </c>
      <c r="J62" s="103">
        <v>140</v>
      </c>
      <c r="K62" s="66">
        <v>200</v>
      </c>
      <c r="L62" s="66">
        <v>850</v>
      </c>
      <c r="M62" s="164">
        <v>8.6359201745614982</v>
      </c>
      <c r="N62" s="78">
        <v>1264.4908379999999</v>
      </c>
      <c r="O62" s="113">
        <v>33676.050688731819</v>
      </c>
      <c r="P62" s="113">
        <v>39453.797743725314</v>
      </c>
      <c r="Q62" s="110">
        <v>9579.239089853012</v>
      </c>
      <c r="R62" s="113">
        <v>43255.289778584833</v>
      </c>
      <c r="S62" s="113">
        <v>49033.036833578328</v>
      </c>
      <c r="U62" s="7" t="s">
        <v>6854</v>
      </c>
    </row>
    <row r="63" spans="1:21" s="7" customFormat="1" ht="16.5" thickBot="1">
      <c r="A63" s="207" t="s">
        <v>10</v>
      </c>
      <c r="B63" s="211">
        <f t="shared" si="3"/>
        <v>140</v>
      </c>
      <c r="C63" s="211" t="s">
        <v>3</v>
      </c>
      <c r="D63" s="211">
        <f t="shared" si="4"/>
        <v>200</v>
      </c>
      <c r="E63" s="211" t="s">
        <v>3</v>
      </c>
      <c r="F63" s="209">
        <f t="shared" si="5"/>
        <v>900</v>
      </c>
      <c r="G63" s="211" t="s">
        <v>3</v>
      </c>
      <c r="H63" s="208">
        <v>2</v>
      </c>
      <c r="I63" s="210" t="s">
        <v>529</v>
      </c>
      <c r="J63" s="103">
        <v>140</v>
      </c>
      <c r="K63" s="66">
        <v>200</v>
      </c>
      <c r="L63" s="66">
        <v>900</v>
      </c>
      <c r="M63" s="164">
        <v>9.2148682359906235</v>
      </c>
      <c r="N63" s="78">
        <v>1390.9399218000001</v>
      </c>
      <c r="O63" s="113">
        <v>35377.903433517786</v>
      </c>
      <c r="P63" s="113">
        <v>41426.332256598056</v>
      </c>
      <c r="Q63" s="110">
        <v>9969.915559095296</v>
      </c>
      <c r="R63" s="113">
        <v>45347.81899261308</v>
      </c>
      <c r="S63" s="113">
        <v>51396.24781569335</v>
      </c>
      <c r="U63" s="7" t="s">
        <v>6855</v>
      </c>
    </row>
    <row r="64" spans="1:21" s="7" customFormat="1" ht="16.5" thickBot="1">
      <c r="A64" s="207" t="s">
        <v>10</v>
      </c>
      <c r="B64" s="211">
        <f t="shared" si="3"/>
        <v>140</v>
      </c>
      <c r="C64" s="211" t="s">
        <v>3</v>
      </c>
      <c r="D64" s="211">
        <f t="shared" si="4"/>
        <v>200</v>
      </c>
      <c r="E64" s="211" t="s">
        <v>3</v>
      </c>
      <c r="F64" s="209">
        <f t="shared" si="5"/>
        <v>950</v>
      </c>
      <c r="G64" s="211" t="s">
        <v>3</v>
      </c>
      <c r="H64" s="208">
        <v>2</v>
      </c>
      <c r="I64" s="210" t="s">
        <v>529</v>
      </c>
      <c r="J64" s="103">
        <v>140</v>
      </c>
      <c r="K64" s="66">
        <v>200</v>
      </c>
      <c r="L64" s="66">
        <v>950</v>
      </c>
      <c r="M64" s="164">
        <v>9.6589542974197506</v>
      </c>
      <c r="N64" s="78">
        <v>1517.3890055999998</v>
      </c>
      <c r="O64" s="113">
        <v>37079.756308378201</v>
      </c>
      <c r="P64" s="113">
        <v>43398.874739208884</v>
      </c>
      <c r="Q64" s="110">
        <v>10611.926013092587</v>
      </c>
      <c r="R64" s="113">
        <v>47691.682321470784</v>
      </c>
      <c r="S64" s="113">
        <v>54010.800752301468</v>
      </c>
      <c r="U64" s="7" t="s">
        <v>6856</v>
      </c>
    </row>
    <row r="65" spans="1:21" s="7" customFormat="1" ht="16.5" thickBot="1">
      <c r="A65" s="207" t="s">
        <v>10</v>
      </c>
      <c r="B65" s="211">
        <f t="shared" si="3"/>
        <v>140</v>
      </c>
      <c r="C65" s="211" t="s">
        <v>3</v>
      </c>
      <c r="D65" s="211">
        <f t="shared" si="4"/>
        <v>200</v>
      </c>
      <c r="E65" s="211" t="s">
        <v>3</v>
      </c>
      <c r="F65" s="209">
        <f t="shared" si="5"/>
        <v>1000</v>
      </c>
      <c r="G65" s="211" t="s">
        <v>3</v>
      </c>
      <c r="H65" s="208">
        <v>2</v>
      </c>
      <c r="I65" s="210" t="s">
        <v>529</v>
      </c>
      <c r="J65" s="103">
        <v>140</v>
      </c>
      <c r="K65" s="66">
        <v>200</v>
      </c>
      <c r="L65" s="66">
        <v>1000</v>
      </c>
      <c r="M65" s="164">
        <v>10.086852358848876</v>
      </c>
      <c r="N65" s="78">
        <v>1643.8380893999999</v>
      </c>
      <c r="O65" s="113">
        <v>38677.915132159113</v>
      </c>
      <c r="P65" s="113">
        <v>45265.408746863301</v>
      </c>
      <c r="Q65" s="110">
        <v>11002.602329306106</v>
      </c>
      <c r="R65" s="113">
        <v>49680.517461465221</v>
      </c>
      <c r="S65" s="113">
        <v>56268.011076169409</v>
      </c>
      <c r="U65" s="7" t="s">
        <v>6857</v>
      </c>
    </row>
    <row r="66" spans="1:21" s="7" customFormat="1" ht="16.5" thickBot="1">
      <c r="A66" s="207" t="s">
        <v>10</v>
      </c>
      <c r="B66" s="211">
        <f t="shared" si="3"/>
        <v>140</v>
      </c>
      <c r="C66" s="211" t="s">
        <v>3</v>
      </c>
      <c r="D66" s="211">
        <f t="shared" si="4"/>
        <v>200</v>
      </c>
      <c r="E66" s="211" t="s">
        <v>3</v>
      </c>
      <c r="F66" s="209">
        <f t="shared" si="5"/>
        <v>1050</v>
      </c>
      <c r="G66" s="211" t="s">
        <v>3</v>
      </c>
      <c r="H66" s="208">
        <v>2</v>
      </c>
      <c r="I66" s="210" t="s">
        <v>529</v>
      </c>
      <c r="J66" s="103">
        <v>140</v>
      </c>
      <c r="K66" s="66">
        <v>200</v>
      </c>
      <c r="L66" s="66">
        <v>1050</v>
      </c>
      <c r="M66" s="164">
        <v>10.530938420278</v>
      </c>
      <c r="N66" s="78">
        <v>1770.2871731999996</v>
      </c>
      <c r="O66" s="113">
        <v>40626.04108566582</v>
      </c>
      <c r="P66" s="113">
        <v>47489.757808373623</v>
      </c>
      <c r="Q66" s="110">
        <v>11644.612783303395</v>
      </c>
      <c r="R66" s="113">
        <v>52270.653868969217</v>
      </c>
      <c r="S66" s="113">
        <v>59134.37059167702</v>
      </c>
      <c r="U66" s="7" t="s">
        <v>6858</v>
      </c>
    </row>
    <row r="67" spans="1:21" s="7" customFormat="1" ht="16.5" thickBot="1">
      <c r="A67" s="207" t="s">
        <v>10</v>
      </c>
      <c r="B67" s="208">
        <f t="shared" si="3"/>
        <v>140</v>
      </c>
      <c r="C67" s="208" t="s">
        <v>3</v>
      </c>
      <c r="D67" s="208">
        <f t="shared" si="4"/>
        <v>200</v>
      </c>
      <c r="E67" s="208" t="s">
        <v>3</v>
      </c>
      <c r="F67" s="209">
        <f t="shared" si="5"/>
        <v>1100</v>
      </c>
      <c r="G67" s="208" t="s">
        <v>3</v>
      </c>
      <c r="H67" s="208">
        <v>2</v>
      </c>
      <c r="I67" s="210" t="s">
        <v>529</v>
      </c>
      <c r="J67" s="103">
        <v>140</v>
      </c>
      <c r="K67" s="66">
        <v>200</v>
      </c>
      <c r="L67" s="66">
        <v>1100</v>
      </c>
      <c r="M67" s="164">
        <v>10.958836481707124</v>
      </c>
      <c r="N67" s="78">
        <v>1896.7362569999998</v>
      </c>
      <c r="O67" s="113">
        <v>42327.893830451787</v>
      </c>
      <c r="P67" s="113">
        <v>49462.322919347949</v>
      </c>
      <c r="Q67" s="110">
        <v>12035.289252545683</v>
      </c>
      <c r="R67" s="113">
        <v>54363.183082997472</v>
      </c>
      <c r="S67" s="113">
        <v>61497.612171893634</v>
      </c>
      <c r="U67" s="7" t="s">
        <v>6859</v>
      </c>
    </row>
    <row r="68" spans="1:21" s="7" customFormat="1" ht="16.5" thickBot="1">
      <c r="A68" s="207" t="s">
        <v>10</v>
      </c>
      <c r="B68" s="211">
        <f t="shared" si="3"/>
        <v>140</v>
      </c>
      <c r="C68" s="211" t="s">
        <v>3</v>
      </c>
      <c r="D68" s="211">
        <f t="shared" si="4"/>
        <v>200</v>
      </c>
      <c r="E68" s="211" t="s">
        <v>3</v>
      </c>
      <c r="F68" s="209">
        <f t="shared" si="5"/>
        <v>1150</v>
      </c>
      <c r="G68" s="211" t="s">
        <v>3</v>
      </c>
      <c r="H68" s="208">
        <v>2</v>
      </c>
      <c r="I68" s="210" t="s">
        <v>529</v>
      </c>
      <c r="J68" s="103">
        <v>140</v>
      </c>
      <c r="K68" s="66">
        <v>200</v>
      </c>
      <c r="L68" s="66">
        <v>1150</v>
      </c>
      <c r="M68" s="164">
        <v>11.386734543136249</v>
      </c>
      <c r="N68" s="78">
        <v>2023.1853407999999</v>
      </c>
      <c r="O68" s="113">
        <v>43206.423301954863</v>
      </c>
      <c r="P68" s="113">
        <v>50593.083306273897</v>
      </c>
      <c r="Q68" s="110">
        <v>12425.965568759202</v>
      </c>
      <c r="R68" s="113">
        <v>55632.388870714065</v>
      </c>
      <c r="S68" s="113">
        <v>63019.048875033099</v>
      </c>
      <c r="U68" s="7" t="s">
        <v>6860</v>
      </c>
    </row>
    <row r="69" spans="1:21" s="7" customFormat="1" ht="16.5" thickBot="1">
      <c r="A69" s="207" t="s">
        <v>10</v>
      </c>
      <c r="B69" s="211">
        <f t="shared" si="3"/>
        <v>140</v>
      </c>
      <c r="C69" s="211" t="s">
        <v>3</v>
      </c>
      <c r="D69" s="211">
        <f t="shared" si="4"/>
        <v>200</v>
      </c>
      <c r="E69" s="211" t="s">
        <v>3</v>
      </c>
      <c r="F69" s="209">
        <f t="shared" si="5"/>
        <v>1200</v>
      </c>
      <c r="G69" s="211" t="s">
        <v>3</v>
      </c>
      <c r="H69" s="208">
        <v>2</v>
      </c>
      <c r="I69" s="210" t="s">
        <v>529</v>
      </c>
      <c r="J69" s="103">
        <v>140</v>
      </c>
      <c r="K69" s="66">
        <v>200</v>
      </c>
      <c r="L69" s="66">
        <v>1200</v>
      </c>
      <c r="M69" s="164">
        <v>11.868108104565373</v>
      </c>
      <c r="N69" s="78">
        <v>2149.6344245999999</v>
      </c>
      <c r="O69" s="113">
        <v>44123.254366035399</v>
      </c>
      <c r="P69" s="113">
        <v>51763.026198924315</v>
      </c>
      <c r="Q69" s="110">
        <v>13067.976022756491</v>
      </c>
      <c r="R69" s="113">
        <v>57191.23038879189</v>
      </c>
      <c r="S69" s="113">
        <v>64831.002221680807</v>
      </c>
      <c r="U69" s="7" t="s">
        <v>6861</v>
      </c>
    </row>
    <row r="70" spans="1:21" s="7" customFormat="1" ht="16.5" thickBot="1">
      <c r="A70" s="207" t="s">
        <v>10</v>
      </c>
      <c r="B70" s="211">
        <f t="shared" si="3"/>
        <v>140</v>
      </c>
      <c r="C70" s="211" t="s">
        <v>3</v>
      </c>
      <c r="D70" s="211">
        <f t="shared" si="4"/>
        <v>200</v>
      </c>
      <c r="E70" s="211" t="s">
        <v>3</v>
      </c>
      <c r="F70" s="209">
        <f t="shared" si="5"/>
        <v>1250</v>
      </c>
      <c r="G70" s="211" t="s">
        <v>3</v>
      </c>
      <c r="H70" s="208">
        <v>2</v>
      </c>
      <c r="I70" s="210" t="s">
        <v>529</v>
      </c>
      <c r="J70" s="103">
        <v>140</v>
      </c>
      <c r="K70" s="66">
        <v>200</v>
      </c>
      <c r="L70" s="66">
        <v>1250</v>
      </c>
      <c r="M70" s="164">
        <v>13.114906165994498</v>
      </c>
      <c r="N70" s="78">
        <v>2276.0835084</v>
      </c>
      <c r="O70" s="113">
        <v>45001.259507429095</v>
      </c>
      <c r="P70" s="113">
        <v>52893.296020007605</v>
      </c>
      <c r="Q70" s="110">
        <v>13458.652338970012</v>
      </c>
      <c r="R70" s="113">
        <v>58459.911846399104</v>
      </c>
      <c r="S70" s="113">
        <v>66351.948358977621</v>
      </c>
      <c r="U70" s="7" t="s">
        <v>6862</v>
      </c>
    </row>
    <row r="71" spans="1:21" s="7" customFormat="1" ht="16.5" thickBot="1">
      <c r="A71" s="207" t="s">
        <v>10</v>
      </c>
      <c r="B71" s="211">
        <f t="shared" si="3"/>
        <v>140</v>
      </c>
      <c r="C71" s="211" t="s">
        <v>3</v>
      </c>
      <c r="D71" s="211">
        <f t="shared" si="4"/>
        <v>200</v>
      </c>
      <c r="E71" s="211" t="s">
        <v>3</v>
      </c>
      <c r="F71" s="209">
        <f t="shared" si="5"/>
        <v>1300</v>
      </c>
      <c r="G71" s="211" t="s">
        <v>3</v>
      </c>
      <c r="H71" s="208">
        <v>2</v>
      </c>
      <c r="I71" s="210" t="s">
        <v>529</v>
      </c>
      <c r="J71" s="103">
        <v>140</v>
      </c>
      <c r="K71" s="66">
        <v>200</v>
      </c>
      <c r="L71" s="66">
        <v>1300</v>
      </c>
      <c r="M71" s="164">
        <v>13.558992227423625</v>
      </c>
      <c r="N71" s="78">
        <v>2402.5325921999997</v>
      </c>
      <c r="O71" s="113">
        <v>48552.362632581258</v>
      </c>
      <c r="P71" s="113">
        <v>56756.547714544664</v>
      </c>
      <c r="Q71" s="110">
        <v>14100.662792967301</v>
      </c>
      <c r="R71" s="113">
        <v>62653.025425548563</v>
      </c>
      <c r="S71" s="113">
        <v>70857.210507511962</v>
      </c>
      <c r="U71" s="7" t="s">
        <v>6863</v>
      </c>
    </row>
    <row r="72" spans="1:21" s="7" customFormat="1" ht="16.5" thickBot="1">
      <c r="A72" s="207" t="s">
        <v>10</v>
      </c>
      <c r="B72" s="211">
        <f t="shared" si="3"/>
        <v>140</v>
      </c>
      <c r="C72" s="211" t="s">
        <v>3</v>
      </c>
      <c r="D72" s="211">
        <f t="shared" si="4"/>
        <v>200</v>
      </c>
      <c r="E72" s="211" t="s">
        <v>3</v>
      </c>
      <c r="F72" s="209">
        <f t="shared" si="5"/>
        <v>1350</v>
      </c>
      <c r="G72" s="211" t="s">
        <v>3</v>
      </c>
      <c r="H72" s="208">
        <v>2</v>
      </c>
      <c r="I72" s="210" t="s">
        <v>529</v>
      </c>
      <c r="J72" s="103">
        <v>140</v>
      </c>
      <c r="K72" s="66">
        <v>200</v>
      </c>
      <c r="L72" s="66">
        <v>1350</v>
      </c>
      <c r="M72" s="164">
        <v>13.986890288852749</v>
      </c>
      <c r="N72" s="78">
        <v>2528.9816759999999</v>
      </c>
      <c r="O72" s="113">
        <v>49702.536984719329</v>
      </c>
      <c r="P72" s="113">
        <v>58165.025437427241</v>
      </c>
      <c r="Q72" s="110">
        <v>14491.339262209587</v>
      </c>
      <c r="R72" s="113">
        <v>64193.876246928914</v>
      </c>
      <c r="S72" s="113">
        <v>72656.364699636833</v>
      </c>
      <c r="U72" s="7" t="s">
        <v>6864</v>
      </c>
    </row>
    <row r="73" spans="1:21" s="7" customFormat="1" ht="16.5" thickBot="1">
      <c r="A73" s="207" t="s">
        <v>10</v>
      </c>
      <c r="B73" s="211">
        <f t="shared" si="3"/>
        <v>140</v>
      </c>
      <c r="C73" s="211" t="s">
        <v>3</v>
      </c>
      <c r="D73" s="211">
        <f t="shared" si="4"/>
        <v>200</v>
      </c>
      <c r="E73" s="211" t="s">
        <v>3</v>
      </c>
      <c r="F73" s="209">
        <f t="shared" si="5"/>
        <v>1400</v>
      </c>
      <c r="G73" s="211" t="s">
        <v>3</v>
      </c>
      <c r="H73" s="208">
        <v>2</v>
      </c>
      <c r="I73" s="210" t="s">
        <v>529</v>
      </c>
      <c r="J73" s="103">
        <v>140</v>
      </c>
      <c r="K73" s="66">
        <v>200</v>
      </c>
      <c r="L73" s="66">
        <v>1400</v>
      </c>
      <c r="M73" s="164">
        <v>14.430976350281874</v>
      </c>
      <c r="N73" s="78">
        <v>2655.4307598</v>
      </c>
      <c r="O73" s="113">
        <v>51209.159165923287</v>
      </c>
      <c r="P73" s="113">
        <v>59937.967537432407</v>
      </c>
      <c r="Q73" s="110">
        <v>15133.349716206876</v>
      </c>
      <c r="R73" s="113">
        <v>66342.508882130162</v>
      </c>
      <c r="S73" s="113">
        <v>75071.317253639281</v>
      </c>
      <c r="U73" s="7" t="s">
        <v>6865</v>
      </c>
    </row>
    <row r="74" spans="1:21" s="7" customFormat="1" ht="16.5" thickBot="1">
      <c r="A74" s="207" t="s">
        <v>10</v>
      </c>
      <c r="B74" s="211">
        <f t="shared" si="3"/>
        <v>140</v>
      </c>
      <c r="C74" s="211" t="s">
        <v>3</v>
      </c>
      <c r="D74" s="211">
        <f t="shared" si="4"/>
        <v>200</v>
      </c>
      <c r="E74" s="211" t="s">
        <v>3</v>
      </c>
      <c r="F74" s="209">
        <f t="shared" si="5"/>
        <v>1450</v>
      </c>
      <c r="G74" s="211" t="s">
        <v>3</v>
      </c>
      <c r="H74" s="208">
        <v>2</v>
      </c>
      <c r="I74" s="210" t="s">
        <v>529</v>
      </c>
      <c r="J74" s="103">
        <v>140</v>
      </c>
      <c r="K74" s="66">
        <v>200</v>
      </c>
      <c r="L74" s="66">
        <v>1450</v>
      </c>
      <c r="M74" s="164">
        <v>14.858874411711</v>
      </c>
      <c r="N74" s="78">
        <v>2781.8798436000002</v>
      </c>
      <c r="O74" s="113">
        <v>52359.33338798691</v>
      </c>
      <c r="P74" s="113">
        <v>61346.446968116004</v>
      </c>
      <c r="Q74" s="110">
        <v>15524.026032420395</v>
      </c>
      <c r="R74" s="113">
        <v>67883.359420407302</v>
      </c>
      <c r="S74" s="113">
        <v>76870.473000536396</v>
      </c>
      <c r="U74" s="7" t="s">
        <v>6866</v>
      </c>
    </row>
    <row r="75" spans="1:21" s="7" customFormat="1" ht="16.5" thickBot="1">
      <c r="A75" s="207" t="s">
        <v>10</v>
      </c>
      <c r="B75" s="211">
        <f t="shared" si="3"/>
        <v>140</v>
      </c>
      <c r="C75" s="211" t="s">
        <v>3</v>
      </c>
      <c r="D75" s="211">
        <f t="shared" si="4"/>
        <v>200</v>
      </c>
      <c r="E75" s="211" t="s">
        <v>3</v>
      </c>
      <c r="F75" s="209">
        <f t="shared" si="5"/>
        <v>1500</v>
      </c>
      <c r="G75" s="211" t="s">
        <v>3</v>
      </c>
      <c r="H75" s="208">
        <v>2</v>
      </c>
      <c r="I75" s="210" t="s">
        <v>529</v>
      </c>
      <c r="J75" s="103">
        <v>140</v>
      </c>
      <c r="K75" s="66">
        <v>200</v>
      </c>
      <c r="L75" s="66">
        <v>1500</v>
      </c>
      <c r="M75" s="164">
        <v>15.164340830562125</v>
      </c>
      <c r="N75" s="78">
        <v>2908.3289273999994</v>
      </c>
      <c r="O75" s="113">
        <v>53980.630115146094</v>
      </c>
      <c r="P75" s="113">
        <v>63318.690727865294</v>
      </c>
      <c r="Q75" s="110">
        <v>16166.036486417688</v>
      </c>
      <c r="R75" s="113">
        <v>70146.666601563775</v>
      </c>
      <c r="S75" s="113">
        <v>79484.72721428299</v>
      </c>
      <c r="U75" s="7" t="s">
        <v>6867</v>
      </c>
    </row>
    <row r="76" spans="1:21" s="7" customFormat="1" ht="16.5" thickBot="1">
      <c r="A76" s="207" t="s">
        <v>10</v>
      </c>
      <c r="B76" s="211">
        <f t="shared" si="3"/>
        <v>140</v>
      </c>
      <c r="C76" s="211" t="s">
        <v>3</v>
      </c>
      <c r="D76" s="211">
        <f t="shared" si="4"/>
        <v>200</v>
      </c>
      <c r="E76" s="211" t="s">
        <v>3</v>
      </c>
      <c r="F76" s="209">
        <f t="shared" si="5"/>
        <v>1550</v>
      </c>
      <c r="G76" s="211" t="s">
        <v>3</v>
      </c>
      <c r="H76" s="208">
        <v>2</v>
      </c>
      <c r="I76" s="210" t="s">
        <v>529</v>
      </c>
      <c r="J76" s="103">
        <v>140</v>
      </c>
      <c r="K76" s="66">
        <v>200</v>
      </c>
      <c r="L76" s="66">
        <v>1550</v>
      </c>
      <c r="M76" s="164">
        <v>15.592238891991249</v>
      </c>
      <c r="N76" s="78">
        <v>3034.7780111999996</v>
      </c>
      <c r="O76" s="113">
        <v>55130.804337209709</v>
      </c>
      <c r="P76" s="113">
        <v>64727.206022370294</v>
      </c>
      <c r="Q76" s="110">
        <v>16556.712955659972</v>
      </c>
      <c r="R76" s="113">
        <v>71687.517292869685</v>
      </c>
      <c r="S76" s="113">
        <v>81283.918978030269</v>
      </c>
      <c r="U76" s="7" t="s">
        <v>6868</v>
      </c>
    </row>
    <row r="77" spans="1:21" s="7" customFormat="1" ht="16.5" thickBot="1">
      <c r="A77" s="207" t="s">
        <v>10</v>
      </c>
      <c r="B77" s="208">
        <f t="shared" si="3"/>
        <v>140</v>
      </c>
      <c r="C77" s="208" t="s">
        <v>3</v>
      </c>
      <c r="D77" s="208">
        <f t="shared" si="4"/>
        <v>200</v>
      </c>
      <c r="E77" s="208" t="s">
        <v>3</v>
      </c>
      <c r="F77" s="209">
        <f t="shared" si="5"/>
        <v>1600</v>
      </c>
      <c r="G77" s="208" t="s">
        <v>3</v>
      </c>
      <c r="H77" s="208">
        <v>2</v>
      </c>
      <c r="I77" s="210" t="s">
        <v>529</v>
      </c>
      <c r="J77" s="103">
        <v>140</v>
      </c>
      <c r="K77" s="66">
        <v>200</v>
      </c>
      <c r="L77" s="66">
        <v>1600</v>
      </c>
      <c r="M77" s="164">
        <v>16.020136953420369</v>
      </c>
      <c r="N77" s="78">
        <v>3161.2270949999997</v>
      </c>
      <c r="O77" s="113">
        <v>58402.163756224363</v>
      </c>
      <c r="P77" s="113">
        <v>68304.457688326307</v>
      </c>
      <c r="Q77" s="110">
        <v>16947.389271873493</v>
      </c>
      <c r="R77" s="113">
        <v>75349.553028097856</v>
      </c>
      <c r="S77" s="113">
        <v>85251.846960199793</v>
      </c>
      <c r="U77" s="7" t="s">
        <v>6869</v>
      </c>
    </row>
    <row r="78" spans="1:21" s="7" customFormat="1" ht="16.5" thickBot="1">
      <c r="A78" s="207" t="s">
        <v>10</v>
      </c>
      <c r="B78" s="211">
        <f t="shared" si="3"/>
        <v>140</v>
      </c>
      <c r="C78" s="211" t="s">
        <v>3</v>
      </c>
      <c r="D78" s="211">
        <f t="shared" si="4"/>
        <v>200</v>
      </c>
      <c r="E78" s="211" t="s">
        <v>3</v>
      </c>
      <c r="F78" s="209">
        <f t="shared" si="5"/>
        <v>1650</v>
      </c>
      <c r="G78" s="211" t="s">
        <v>3</v>
      </c>
      <c r="H78" s="208">
        <v>2</v>
      </c>
      <c r="I78" s="210" t="s">
        <v>529</v>
      </c>
      <c r="J78" s="103">
        <v>140</v>
      </c>
      <c r="K78" s="66">
        <v>200</v>
      </c>
      <c r="L78" s="66">
        <v>1650</v>
      </c>
      <c r="M78" s="164">
        <v>16.464223014849498</v>
      </c>
      <c r="N78" s="78">
        <v>3287.6761787999999</v>
      </c>
      <c r="O78" s="113">
        <v>61948.486645325938</v>
      </c>
      <c r="P78" s="113">
        <v>72163.114828855803</v>
      </c>
      <c r="Q78" s="110">
        <v>17589.399725870782</v>
      </c>
      <c r="R78" s="113">
        <v>79537.886371196713</v>
      </c>
      <c r="S78" s="113">
        <v>89752.514554726586</v>
      </c>
      <c r="U78" s="7" t="s">
        <v>6870</v>
      </c>
    </row>
    <row r="79" spans="1:21" s="7" customFormat="1" ht="16.5" thickBot="1">
      <c r="A79" s="207" t="s">
        <v>10</v>
      </c>
      <c r="B79" s="211">
        <f t="shared" si="3"/>
        <v>140</v>
      </c>
      <c r="C79" s="211" t="s">
        <v>3</v>
      </c>
      <c r="D79" s="211">
        <f t="shared" si="4"/>
        <v>200</v>
      </c>
      <c r="E79" s="211" t="s">
        <v>3</v>
      </c>
      <c r="F79" s="209">
        <f t="shared" si="5"/>
        <v>1700</v>
      </c>
      <c r="G79" s="211" t="s">
        <v>3</v>
      </c>
      <c r="H79" s="208">
        <v>2</v>
      </c>
      <c r="I79" s="210" t="s">
        <v>529</v>
      </c>
      <c r="J79" s="103">
        <v>140</v>
      </c>
      <c r="K79" s="66">
        <v>200</v>
      </c>
      <c r="L79" s="66">
        <v>1700</v>
      </c>
      <c r="M79" s="164">
        <v>17.711021076278627</v>
      </c>
      <c r="N79" s="78">
        <v>3414.1252626</v>
      </c>
      <c r="O79" s="113">
        <v>62875.050139931023</v>
      </c>
      <c r="P79" s="113">
        <v>73342.893089890218</v>
      </c>
      <c r="Q79" s="110">
        <v>17980.076042084303</v>
      </c>
      <c r="R79" s="113">
        <v>80855.12618201533</v>
      </c>
      <c r="S79" s="113">
        <v>91322.969131974518</v>
      </c>
      <c r="U79" s="7" t="s">
        <v>6871</v>
      </c>
    </row>
    <row r="80" spans="1:21" s="7" customFormat="1" ht="16.5" thickBot="1">
      <c r="A80" s="207" t="s">
        <v>10</v>
      </c>
      <c r="B80" s="211">
        <f t="shared" si="3"/>
        <v>140</v>
      </c>
      <c r="C80" s="211" t="s">
        <v>3</v>
      </c>
      <c r="D80" s="211">
        <f t="shared" si="4"/>
        <v>200</v>
      </c>
      <c r="E80" s="211" t="s">
        <v>3</v>
      </c>
      <c r="F80" s="209">
        <f t="shared" si="5"/>
        <v>1750</v>
      </c>
      <c r="G80" s="211" t="s">
        <v>3</v>
      </c>
      <c r="H80" s="208">
        <v>2</v>
      </c>
      <c r="I80" s="210" t="s">
        <v>529</v>
      </c>
      <c r="J80" s="103">
        <v>140</v>
      </c>
      <c r="K80" s="66">
        <v>200</v>
      </c>
      <c r="L80" s="66">
        <v>1750</v>
      </c>
      <c r="M80" s="164">
        <v>18.155107137707752</v>
      </c>
      <c r="N80" s="78">
        <v>3540.5743463999993</v>
      </c>
      <c r="O80" s="113">
        <v>63718.606103743463</v>
      </c>
      <c r="P80" s="113">
        <v>74437.808156599174</v>
      </c>
      <c r="Q80" s="110">
        <v>18622.086496081592</v>
      </c>
      <c r="R80" s="113">
        <v>82340.692599825052</v>
      </c>
      <c r="S80" s="113">
        <v>93059.89465268077</v>
      </c>
      <c r="U80" s="7" t="s">
        <v>6872</v>
      </c>
    </row>
    <row r="81" spans="1:21" s="7" customFormat="1" ht="16.5" thickBot="1">
      <c r="A81" s="207" t="s">
        <v>10</v>
      </c>
      <c r="B81" s="211">
        <f t="shared" si="3"/>
        <v>140</v>
      </c>
      <c r="C81" s="211" t="s">
        <v>3</v>
      </c>
      <c r="D81" s="211">
        <f t="shared" si="4"/>
        <v>200</v>
      </c>
      <c r="E81" s="211" t="s">
        <v>3</v>
      </c>
      <c r="F81" s="209">
        <f t="shared" si="5"/>
        <v>1800</v>
      </c>
      <c r="G81" s="211" t="s">
        <v>3</v>
      </c>
      <c r="H81" s="208">
        <v>2</v>
      </c>
      <c r="I81" s="210" t="s">
        <v>529</v>
      </c>
      <c r="J81" s="103">
        <v>140</v>
      </c>
      <c r="K81" s="66">
        <v>200</v>
      </c>
      <c r="L81" s="66">
        <v>1800</v>
      </c>
      <c r="M81" s="164">
        <v>18.583005199136871</v>
      </c>
      <c r="N81" s="78">
        <v>3667.0234301999994</v>
      </c>
      <c r="O81" s="113">
        <v>64645.928972989735</v>
      </c>
      <c r="P81" s="113">
        <v>75618.397480800748</v>
      </c>
      <c r="Q81" s="110">
        <v>19012.762965323876</v>
      </c>
      <c r="R81" s="113">
        <v>83658.691938313612</v>
      </c>
      <c r="S81" s="113">
        <v>94631.160446124617</v>
      </c>
      <c r="U81" s="7" t="s">
        <v>6873</v>
      </c>
    </row>
    <row r="82" spans="1:21" s="7" customFormat="1" ht="16.5" thickBot="1">
      <c r="A82" s="207" t="s">
        <v>10</v>
      </c>
      <c r="B82" s="211">
        <f t="shared" si="3"/>
        <v>140</v>
      </c>
      <c r="C82" s="211" t="s">
        <v>3</v>
      </c>
      <c r="D82" s="211">
        <f t="shared" si="4"/>
        <v>200</v>
      </c>
      <c r="E82" s="211" t="s">
        <v>3</v>
      </c>
      <c r="F82" s="209">
        <f t="shared" si="5"/>
        <v>1850</v>
      </c>
      <c r="G82" s="211" t="s">
        <v>3</v>
      </c>
      <c r="H82" s="208">
        <v>2</v>
      </c>
      <c r="I82" s="210" t="s">
        <v>529</v>
      </c>
      <c r="J82" s="103">
        <v>140</v>
      </c>
      <c r="K82" s="66">
        <v>200</v>
      </c>
      <c r="L82" s="66">
        <v>1850</v>
      </c>
      <c r="M82" s="164">
        <v>19.027091260565996</v>
      </c>
      <c r="N82" s="78">
        <v>3793.4725139999996</v>
      </c>
      <c r="O82" s="113">
        <v>65573.199292158068</v>
      </c>
      <c r="P82" s="113">
        <v>76798.948237162665</v>
      </c>
      <c r="Q82" s="110">
        <v>19654.773419321165</v>
      </c>
      <c r="R82" s="113">
        <v>85227.972711479233</v>
      </c>
      <c r="S82" s="113">
        <v>96453.721656483831</v>
      </c>
      <c r="U82" s="7" t="s">
        <v>6874</v>
      </c>
    </row>
    <row r="83" spans="1:21" s="7" customFormat="1" ht="16.5" thickBot="1">
      <c r="A83" s="207" t="s">
        <v>10</v>
      </c>
      <c r="B83" s="211">
        <f t="shared" si="3"/>
        <v>140</v>
      </c>
      <c r="C83" s="211" t="s">
        <v>3</v>
      </c>
      <c r="D83" s="211">
        <f t="shared" si="4"/>
        <v>200</v>
      </c>
      <c r="E83" s="211" t="s">
        <v>3</v>
      </c>
      <c r="F83" s="209">
        <f t="shared" si="5"/>
        <v>1900</v>
      </c>
      <c r="G83" s="211" t="s">
        <v>3</v>
      </c>
      <c r="H83" s="208">
        <v>2</v>
      </c>
      <c r="I83" s="210" t="s">
        <v>529</v>
      </c>
      <c r="J83" s="103">
        <v>140</v>
      </c>
      <c r="K83" s="66">
        <v>200</v>
      </c>
      <c r="L83" s="66">
        <v>1900</v>
      </c>
      <c r="M83" s="164">
        <v>19.454989321995122</v>
      </c>
      <c r="N83" s="78">
        <v>3919.9215977999993</v>
      </c>
      <c r="O83" s="113">
        <v>66691.278944340767</v>
      </c>
      <c r="P83" s="113">
        <v>78174.609140301589</v>
      </c>
      <c r="Q83" s="110">
        <v>20045.449735534687</v>
      </c>
      <c r="R83" s="113">
        <v>86736.72867987545</v>
      </c>
      <c r="S83" s="113">
        <v>98220.058875836272</v>
      </c>
      <c r="U83" s="7" t="s">
        <v>6875</v>
      </c>
    </row>
    <row r="84" spans="1:21" s="7" customFormat="1" ht="16.5" thickBot="1">
      <c r="A84" s="207" t="s">
        <v>10</v>
      </c>
      <c r="B84" s="211">
        <f t="shared" si="3"/>
        <v>140</v>
      </c>
      <c r="C84" s="211" t="s">
        <v>3</v>
      </c>
      <c r="D84" s="211">
        <f t="shared" si="4"/>
        <v>200</v>
      </c>
      <c r="E84" s="211" t="s">
        <v>3</v>
      </c>
      <c r="F84" s="209">
        <f t="shared" si="5"/>
        <v>1950</v>
      </c>
      <c r="G84" s="211" t="s">
        <v>3</v>
      </c>
      <c r="H84" s="208">
        <v>2</v>
      </c>
      <c r="I84" s="210" t="s">
        <v>529</v>
      </c>
      <c r="J84" s="103">
        <v>140</v>
      </c>
      <c r="K84" s="66">
        <v>200</v>
      </c>
      <c r="L84" s="66">
        <v>1950</v>
      </c>
      <c r="M84" s="164">
        <v>19.920174883424252</v>
      </c>
      <c r="N84" s="78">
        <v>4046.3706815999999</v>
      </c>
      <c r="O84" s="113">
        <v>67982.888059105855</v>
      </c>
      <c r="P84" s="113">
        <v>79727.701176387709</v>
      </c>
      <c r="Q84" s="110">
        <v>20436.126051748208</v>
      </c>
      <c r="R84" s="113">
        <v>88419.01411085407</v>
      </c>
      <c r="S84" s="113">
        <v>100163.82722813592</v>
      </c>
      <c r="U84" s="7" t="s">
        <v>6876</v>
      </c>
    </row>
    <row r="85" spans="1:21" s="7" customFormat="1" ht="16.5" thickBot="1">
      <c r="A85" s="207" t="s">
        <v>10</v>
      </c>
      <c r="B85" s="211">
        <f t="shared" si="3"/>
        <v>140</v>
      </c>
      <c r="C85" s="211" t="s">
        <v>3</v>
      </c>
      <c r="D85" s="211">
        <f t="shared" si="4"/>
        <v>200</v>
      </c>
      <c r="E85" s="211" t="s">
        <v>3</v>
      </c>
      <c r="F85" s="209">
        <f t="shared" si="5"/>
        <v>2000</v>
      </c>
      <c r="G85" s="211" t="s">
        <v>3</v>
      </c>
      <c r="H85" s="208">
        <v>2</v>
      </c>
      <c r="I85" s="210" t="s">
        <v>529</v>
      </c>
      <c r="J85" s="103">
        <v>140</v>
      </c>
      <c r="K85" s="66">
        <v>200</v>
      </c>
      <c r="L85" s="66">
        <v>2000</v>
      </c>
      <c r="M85" s="164">
        <v>20.451245224853373</v>
      </c>
      <c r="N85" s="78">
        <v>4172.8197653999996</v>
      </c>
      <c r="O85" s="113">
        <v>69135.005723532246</v>
      </c>
      <c r="P85" s="113">
        <v>81368.062840751503</v>
      </c>
      <c r="Q85" s="110">
        <v>21078.136658774263</v>
      </c>
      <c r="R85" s="113">
        <v>90213.142382306512</v>
      </c>
      <c r="S85" s="113">
        <v>102446.19949952577</v>
      </c>
      <c r="U85" s="7" t="s">
        <v>6877</v>
      </c>
    </row>
    <row r="86" spans="1:21" s="7" customFormat="1" ht="16.5" thickBot="1">
      <c r="A86" s="207" t="s">
        <v>10</v>
      </c>
      <c r="B86" s="211">
        <f t="shared" si="3"/>
        <v>140</v>
      </c>
      <c r="C86" s="211" t="s">
        <v>3</v>
      </c>
      <c r="D86" s="211">
        <f t="shared" si="4"/>
        <v>200</v>
      </c>
      <c r="E86" s="211" t="s">
        <v>3</v>
      </c>
      <c r="F86" s="209">
        <f t="shared" si="5"/>
        <v>2050</v>
      </c>
      <c r="G86" s="211" t="s">
        <v>3</v>
      </c>
      <c r="H86" s="208">
        <v>2</v>
      </c>
      <c r="I86" s="210" t="s">
        <v>529</v>
      </c>
      <c r="J86" s="103">
        <v>140</v>
      </c>
      <c r="K86" s="66">
        <v>200</v>
      </c>
      <c r="L86" s="66">
        <v>2050</v>
      </c>
      <c r="M86" s="164">
        <v>21.698043286282502</v>
      </c>
      <c r="N86" s="78">
        <v>4299.2688491999997</v>
      </c>
      <c r="O86" s="113">
        <v>72399.203633533631</v>
      </c>
      <c r="P86" s="113">
        <v>84938.035289498424</v>
      </c>
      <c r="Q86" s="110">
        <v>21468.812974987781</v>
      </c>
      <c r="R86" s="113">
        <v>93868.016608521415</v>
      </c>
      <c r="S86" s="113">
        <v>106406.84826448621</v>
      </c>
      <c r="U86" s="7" t="s">
        <v>6878</v>
      </c>
    </row>
    <row r="87" spans="1:21" s="7" customFormat="1" ht="16.5" thickBot="1">
      <c r="A87" s="207" t="s">
        <v>10</v>
      </c>
      <c r="B87" s="208">
        <f t="shared" si="3"/>
        <v>140</v>
      </c>
      <c r="C87" s="208" t="s">
        <v>3</v>
      </c>
      <c r="D87" s="208">
        <f t="shared" si="4"/>
        <v>200</v>
      </c>
      <c r="E87" s="208" t="s">
        <v>3</v>
      </c>
      <c r="F87" s="209">
        <f t="shared" si="5"/>
        <v>2100</v>
      </c>
      <c r="G87" s="208" t="s">
        <v>3</v>
      </c>
      <c r="H87" s="208">
        <v>2</v>
      </c>
      <c r="I87" s="210" t="s">
        <v>529</v>
      </c>
      <c r="J87" s="103">
        <v>140</v>
      </c>
      <c r="K87" s="66">
        <v>200</v>
      </c>
      <c r="L87" s="66">
        <v>2100</v>
      </c>
      <c r="M87" s="164">
        <v>22.14212934771162</v>
      </c>
      <c r="N87" s="78">
        <v>4425.717932999999</v>
      </c>
      <c r="O87" s="113">
        <v>73393.977649607739</v>
      </c>
      <c r="P87" s="113">
        <v>86187.603977699895</v>
      </c>
      <c r="Q87" s="110">
        <v>22110.823428985073</v>
      </c>
      <c r="R87" s="113">
        <v>95504.801078592805</v>
      </c>
      <c r="S87" s="113">
        <v>108298.42740668496</v>
      </c>
      <c r="U87" s="7" t="s">
        <v>6879</v>
      </c>
    </row>
    <row r="88" spans="1:21" s="7" customFormat="1" ht="16.5" thickBot="1">
      <c r="A88" s="207" t="s">
        <v>10</v>
      </c>
      <c r="B88" s="211">
        <f t="shared" si="3"/>
        <v>140</v>
      </c>
      <c r="C88" s="211" t="s">
        <v>3</v>
      </c>
      <c r="D88" s="211">
        <f t="shared" si="4"/>
        <v>200</v>
      </c>
      <c r="E88" s="211" t="s">
        <v>3</v>
      </c>
      <c r="F88" s="209">
        <f t="shared" si="5"/>
        <v>2150</v>
      </c>
      <c r="G88" s="211" t="s">
        <v>3</v>
      </c>
      <c r="H88" s="208">
        <v>2</v>
      </c>
      <c r="I88" s="210" t="s">
        <v>529</v>
      </c>
      <c r="J88" s="103">
        <v>140</v>
      </c>
      <c r="K88" s="66">
        <v>200</v>
      </c>
      <c r="L88" s="66">
        <v>2150</v>
      </c>
      <c r="M88" s="164">
        <v>22.570027409140753</v>
      </c>
      <c r="N88" s="78">
        <v>4552.1670168000001</v>
      </c>
      <c r="O88" s="113">
        <v>74549.654411144773</v>
      </c>
      <c r="P88" s="113">
        <v>87601.699796667308</v>
      </c>
      <c r="Q88" s="110">
        <v>22501.499745198591</v>
      </c>
      <c r="R88" s="113">
        <v>97051.154156343371</v>
      </c>
      <c r="S88" s="113">
        <v>110103.19954186591</v>
      </c>
      <c r="U88" s="7" t="s">
        <v>6880</v>
      </c>
    </row>
    <row r="89" spans="1:21" s="7" customFormat="1" ht="16.5" thickBot="1">
      <c r="A89" s="207" t="s">
        <v>10</v>
      </c>
      <c r="B89" s="211">
        <f t="shared" si="3"/>
        <v>140</v>
      </c>
      <c r="C89" s="211" t="s">
        <v>3</v>
      </c>
      <c r="D89" s="211">
        <f t="shared" si="4"/>
        <v>200</v>
      </c>
      <c r="E89" s="211" t="s">
        <v>3</v>
      </c>
      <c r="F89" s="209">
        <f t="shared" si="5"/>
        <v>2200</v>
      </c>
      <c r="G89" s="211" t="s">
        <v>3</v>
      </c>
      <c r="H89" s="208">
        <v>2</v>
      </c>
      <c r="I89" s="210" t="s">
        <v>529</v>
      </c>
      <c r="J89" s="103">
        <v>140</v>
      </c>
      <c r="K89" s="66">
        <v>200</v>
      </c>
      <c r="L89" s="66">
        <v>2200</v>
      </c>
      <c r="M89" s="164">
        <v>23.014113470569878</v>
      </c>
      <c r="N89" s="78">
        <v>4678.6161005999993</v>
      </c>
      <c r="O89" s="113">
        <v>75705.278882752769</v>
      </c>
      <c r="P89" s="113">
        <v>89015.745377821411</v>
      </c>
      <c r="Q89" s="110">
        <v>23143.510199195884</v>
      </c>
      <c r="R89" s="113">
        <v>98848.789081948649</v>
      </c>
      <c r="S89" s="113">
        <v>112159.25557701729</v>
      </c>
      <c r="U89" s="7" t="s">
        <v>6881</v>
      </c>
    </row>
    <row r="90" spans="1:21" s="7" customFormat="1" ht="16.5" thickBot="1">
      <c r="A90" s="207" t="s">
        <v>10</v>
      </c>
      <c r="B90" s="211">
        <f t="shared" si="3"/>
        <v>140</v>
      </c>
      <c r="C90" s="211" t="s">
        <v>3</v>
      </c>
      <c r="D90" s="211">
        <f t="shared" si="4"/>
        <v>200</v>
      </c>
      <c r="E90" s="211" t="s">
        <v>3</v>
      </c>
      <c r="F90" s="209">
        <f t="shared" si="5"/>
        <v>2250</v>
      </c>
      <c r="G90" s="211" t="s">
        <v>3</v>
      </c>
      <c r="H90" s="208">
        <v>2</v>
      </c>
      <c r="I90" s="210" t="s">
        <v>529</v>
      </c>
      <c r="J90" s="103">
        <v>140</v>
      </c>
      <c r="K90" s="66">
        <v>200</v>
      </c>
      <c r="L90" s="66">
        <v>2250</v>
      </c>
      <c r="M90" s="164">
        <v>23.442011531999</v>
      </c>
      <c r="N90" s="78">
        <v>4805.0651843999995</v>
      </c>
      <c r="O90" s="113">
        <v>77209.279413409793</v>
      </c>
      <c r="P90" s="113">
        <v>90785.991286968143</v>
      </c>
      <c r="Q90" s="110">
        <v>23534.186668438168</v>
      </c>
      <c r="R90" s="113">
        <v>100743.46608184796</v>
      </c>
      <c r="S90" s="113">
        <v>114320.17795540631</v>
      </c>
      <c r="U90" s="7" t="s">
        <v>6882</v>
      </c>
    </row>
    <row r="91" spans="1:21" s="7" customFormat="1" ht="16.5" thickBot="1">
      <c r="A91" s="207" t="s">
        <v>10</v>
      </c>
      <c r="B91" s="211">
        <f t="shared" si="3"/>
        <v>140</v>
      </c>
      <c r="C91" s="211" t="s">
        <v>3</v>
      </c>
      <c r="D91" s="211">
        <f t="shared" si="4"/>
        <v>200</v>
      </c>
      <c r="E91" s="211" t="s">
        <v>3</v>
      </c>
      <c r="F91" s="209">
        <f t="shared" si="5"/>
        <v>2300</v>
      </c>
      <c r="G91" s="211" t="s">
        <v>3</v>
      </c>
      <c r="H91" s="208">
        <v>2</v>
      </c>
      <c r="I91" s="210" t="s">
        <v>529</v>
      </c>
      <c r="J91" s="103">
        <v>140</v>
      </c>
      <c r="K91" s="66">
        <v>200</v>
      </c>
      <c r="L91" s="66">
        <v>2300</v>
      </c>
      <c r="M91" s="164">
        <v>23.869909593428126</v>
      </c>
      <c r="N91" s="78">
        <v>4931.5142681999996</v>
      </c>
      <c r="O91" s="113">
        <v>78100.136821019842</v>
      </c>
      <c r="P91" s="113">
        <v>91929.330339981272</v>
      </c>
      <c r="Q91" s="110">
        <v>23924.862984651689</v>
      </c>
      <c r="R91" s="113">
        <v>102024.99980567153</v>
      </c>
      <c r="S91" s="113">
        <v>115854.19332463296</v>
      </c>
      <c r="U91" s="7" t="s">
        <v>6883</v>
      </c>
    </row>
    <row r="92" spans="1:21" s="7" customFormat="1" ht="16.5" thickBot="1">
      <c r="A92" s="207" t="s">
        <v>10</v>
      </c>
      <c r="B92" s="211">
        <f t="shared" si="3"/>
        <v>140</v>
      </c>
      <c r="C92" s="211" t="s">
        <v>3</v>
      </c>
      <c r="D92" s="211">
        <f t="shared" si="4"/>
        <v>200</v>
      </c>
      <c r="E92" s="211" t="s">
        <v>3</v>
      </c>
      <c r="F92" s="209">
        <f t="shared" si="5"/>
        <v>2350</v>
      </c>
      <c r="G92" s="211" t="s">
        <v>3</v>
      </c>
      <c r="H92" s="208">
        <v>2</v>
      </c>
      <c r="I92" s="210" t="s">
        <v>529</v>
      </c>
      <c r="J92" s="103">
        <v>140</v>
      </c>
      <c r="K92" s="66">
        <v>200</v>
      </c>
      <c r="L92" s="66">
        <v>2350</v>
      </c>
      <c r="M92" s="164">
        <v>24.313995654857251</v>
      </c>
      <c r="N92" s="78">
        <v>5057.9633519999998</v>
      </c>
      <c r="O92" s="113">
        <v>78990.941808626405</v>
      </c>
      <c r="P92" s="113">
        <v>93072.629259670473</v>
      </c>
      <c r="Q92" s="110">
        <v>24566.873438648978</v>
      </c>
      <c r="R92" s="113">
        <v>103557.81524727539</v>
      </c>
      <c r="S92" s="113">
        <v>117639.50269831945</v>
      </c>
      <c r="U92" s="7" t="s">
        <v>6884</v>
      </c>
    </row>
    <row r="93" spans="1:21" s="7" customFormat="1" ht="16.5" thickBot="1">
      <c r="A93" s="207" t="s">
        <v>10</v>
      </c>
      <c r="B93" s="211">
        <f t="shared" si="3"/>
        <v>140</v>
      </c>
      <c r="C93" s="211" t="s">
        <v>3</v>
      </c>
      <c r="D93" s="211">
        <f t="shared" si="4"/>
        <v>200</v>
      </c>
      <c r="E93" s="211" t="s">
        <v>3</v>
      </c>
      <c r="F93" s="209">
        <f t="shared" si="5"/>
        <v>2400</v>
      </c>
      <c r="G93" s="211" t="s">
        <v>3</v>
      </c>
      <c r="H93" s="208">
        <v>2</v>
      </c>
      <c r="I93" s="210" t="s">
        <v>529</v>
      </c>
      <c r="J93" s="103">
        <v>140</v>
      </c>
      <c r="K93" s="66">
        <v>200</v>
      </c>
      <c r="L93" s="66">
        <v>2400</v>
      </c>
      <c r="M93" s="164">
        <v>24.741893716286373</v>
      </c>
      <c r="N93" s="78">
        <v>5184.412435799999</v>
      </c>
      <c r="O93" s="113">
        <v>79881.694506303902</v>
      </c>
      <c r="P93" s="113">
        <v>94215.887619085464</v>
      </c>
      <c r="Q93" s="110">
        <v>24957.549754862499</v>
      </c>
      <c r="R93" s="113">
        <v>104839.2442611664</v>
      </c>
      <c r="S93" s="113">
        <v>119173.43737394796</v>
      </c>
      <c r="U93" s="7" t="s">
        <v>6885</v>
      </c>
    </row>
    <row r="94" spans="1:21" ht="16.5" thickBot="1">
      <c r="A94" s="207" t="s">
        <v>10</v>
      </c>
      <c r="B94" s="211">
        <f t="shared" si="3"/>
        <v>140</v>
      </c>
      <c r="C94" s="211" t="s">
        <v>3</v>
      </c>
      <c r="D94" s="211">
        <f t="shared" si="4"/>
        <v>200</v>
      </c>
      <c r="E94" s="211" t="s">
        <v>3</v>
      </c>
      <c r="F94" s="209">
        <f t="shared" si="5"/>
        <v>2450</v>
      </c>
      <c r="G94" s="211" t="s">
        <v>3</v>
      </c>
      <c r="H94" s="208">
        <v>2</v>
      </c>
      <c r="I94" s="210" t="s">
        <v>529</v>
      </c>
      <c r="J94" s="103">
        <v>140</v>
      </c>
      <c r="K94" s="66">
        <v>200</v>
      </c>
      <c r="L94" s="66">
        <v>2450</v>
      </c>
      <c r="M94" s="164">
        <v>25.866260135137502</v>
      </c>
      <c r="N94" s="78">
        <v>5310.8615196000001</v>
      </c>
      <c r="O94" s="113">
        <v>81243.517158999035</v>
      </c>
      <c r="P94" s="113">
        <v>95923.055897603001</v>
      </c>
      <c r="Q94" s="110">
        <v>25599.560361888554</v>
      </c>
      <c r="R94" s="113">
        <v>106843.07752088759</v>
      </c>
      <c r="S94" s="113">
        <v>121522.61625949155</v>
      </c>
      <c r="U94" s="7" t="s">
        <v>6886</v>
      </c>
    </row>
    <row r="95" spans="1:21" ht="16.5" thickBot="1">
      <c r="A95" s="207" t="s">
        <v>10</v>
      </c>
      <c r="B95" s="211">
        <f t="shared" si="3"/>
        <v>140</v>
      </c>
      <c r="C95" s="211" t="s">
        <v>3</v>
      </c>
      <c r="D95" s="211">
        <f t="shared" si="4"/>
        <v>200</v>
      </c>
      <c r="E95" s="211" t="s">
        <v>3</v>
      </c>
      <c r="F95" s="209">
        <f t="shared" si="5"/>
        <v>2500</v>
      </c>
      <c r="G95" s="211" t="s">
        <v>3</v>
      </c>
      <c r="H95" s="208">
        <v>2</v>
      </c>
      <c r="I95" s="210" t="s">
        <v>529</v>
      </c>
      <c r="J95" s="103">
        <v>140</v>
      </c>
      <c r="K95" s="66">
        <v>200</v>
      </c>
      <c r="L95" s="66">
        <v>2500</v>
      </c>
      <c r="M95" s="164">
        <v>26.294158196566624</v>
      </c>
      <c r="N95" s="78">
        <v>5437.3106033999993</v>
      </c>
      <c r="O95" s="113">
        <v>82134.164886595099</v>
      </c>
      <c r="P95" s="113">
        <v>97066.260176652402</v>
      </c>
      <c r="Q95" s="110">
        <v>25990.236678102072</v>
      </c>
      <c r="R95" s="113">
        <v>108124.40156469717</v>
      </c>
      <c r="S95" s="113">
        <v>123056.49685475447</v>
      </c>
      <c r="U95" s="7" t="s">
        <v>6887</v>
      </c>
    </row>
    <row r="96" spans="1:21" ht="16.5" thickBot="1">
      <c r="A96" s="207" t="s">
        <v>10</v>
      </c>
      <c r="B96" s="211">
        <f t="shared" si="3"/>
        <v>140</v>
      </c>
      <c r="C96" s="211" t="s">
        <v>3</v>
      </c>
      <c r="D96" s="211">
        <f t="shared" si="4"/>
        <v>200</v>
      </c>
      <c r="E96" s="211" t="s">
        <v>3</v>
      </c>
      <c r="F96" s="209">
        <f t="shared" si="5"/>
        <v>2550</v>
      </c>
      <c r="G96" s="211" t="s">
        <v>3</v>
      </c>
      <c r="H96" s="208">
        <v>2</v>
      </c>
      <c r="I96" s="210" t="s">
        <v>529</v>
      </c>
      <c r="J96" s="103">
        <v>140</v>
      </c>
      <c r="K96" s="66">
        <v>200</v>
      </c>
      <c r="L96" s="66">
        <v>2550</v>
      </c>
      <c r="M96" s="164">
        <v>26.738244257995753</v>
      </c>
      <c r="N96" s="78">
        <v>5563.7596872000004</v>
      </c>
      <c r="O96" s="113">
        <v>86615.586235436349</v>
      </c>
      <c r="P96" s="113">
        <v>101880.48564061303</v>
      </c>
      <c r="Q96" s="110">
        <v>26632.247132099365</v>
      </c>
      <c r="R96" s="113">
        <v>113247.83336753571</v>
      </c>
      <c r="S96" s="113">
        <v>128512.73277271239</v>
      </c>
      <c r="U96" s="7" t="s">
        <v>6888</v>
      </c>
    </row>
    <row r="97" spans="1:21" ht="16.5" thickBot="1">
      <c r="A97" s="207" t="s">
        <v>10</v>
      </c>
      <c r="B97" s="208">
        <f t="shared" si="3"/>
        <v>140</v>
      </c>
      <c r="C97" s="208" t="s">
        <v>3</v>
      </c>
      <c r="D97" s="208">
        <f t="shared" si="4"/>
        <v>200</v>
      </c>
      <c r="E97" s="208" t="s">
        <v>3</v>
      </c>
      <c r="F97" s="209">
        <f t="shared" si="5"/>
        <v>2600</v>
      </c>
      <c r="G97" s="208" t="s">
        <v>3</v>
      </c>
      <c r="H97" s="208">
        <v>2</v>
      </c>
      <c r="I97" s="210" t="s">
        <v>529</v>
      </c>
      <c r="J97" s="103">
        <v>140</v>
      </c>
      <c r="K97" s="66">
        <v>200</v>
      </c>
      <c r="L97" s="66">
        <v>2600</v>
      </c>
      <c r="M97" s="164">
        <v>27.166142319424882</v>
      </c>
      <c r="N97" s="78">
        <v>5690.2087709999996</v>
      </c>
      <c r="O97" s="113">
        <v>87801.086987248869</v>
      </c>
      <c r="P97" s="113">
        <v>103325.08733991216</v>
      </c>
      <c r="Q97" s="110">
        <v>27022.923448312882</v>
      </c>
      <c r="R97" s="113">
        <v>114824.01043556175</v>
      </c>
      <c r="S97" s="113">
        <v>130348.01078822504</v>
      </c>
      <c r="U97" s="7" t="s">
        <v>6889</v>
      </c>
    </row>
    <row r="98" spans="1:21" ht="16.5" thickBot="1">
      <c r="A98" s="207" t="s">
        <v>10</v>
      </c>
      <c r="B98" s="211">
        <f t="shared" si="3"/>
        <v>140</v>
      </c>
      <c r="C98" s="211" t="s">
        <v>3</v>
      </c>
      <c r="D98" s="211">
        <f t="shared" si="4"/>
        <v>200</v>
      </c>
      <c r="E98" s="211" t="s">
        <v>3</v>
      </c>
      <c r="F98" s="209">
        <f t="shared" si="5"/>
        <v>2650</v>
      </c>
      <c r="G98" s="211" t="s">
        <v>3</v>
      </c>
      <c r="H98" s="208">
        <v>2</v>
      </c>
      <c r="I98" s="210" t="s">
        <v>529</v>
      </c>
      <c r="J98" s="103">
        <v>140</v>
      </c>
      <c r="K98" s="66">
        <v>200</v>
      </c>
      <c r="L98" s="66">
        <v>2650</v>
      </c>
      <c r="M98" s="164">
        <v>27.610228380854004</v>
      </c>
      <c r="N98" s="78">
        <v>5816.6578547999989</v>
      </c>
      <c r="O98" s="113">
        <v>88517.212133834095</v>
      </c>
      <c r="P98" s="113">
        <v>104289.8007954822</v>
      </c>
      <c r="Q98" s="110">
        <v>27664.933902310175</v>
      </c>
      <c r="R98" s="113">
        <v>116182.14603614427</v>
      </c>
      <c r="S98" s="113">
        <v>131954.73469779236</v>
      </c>
      <c r="U98" s="7" t="s">
        <v>6890</v>
      </c>
    </row>
    <row r="99" spans="1:21" ht="16.5" thickBot="1">
      <c r="A99" s="207" t="s">
        <v>10</v>
      </c>
      <c r="B99" s="211">
        <f t="shared" si="3"/>
        <v>140</v>
      </c>
      <c r="C99" s="211" t="s">
        <v>3</v>
      </c>
      <c r="D99" s="211">
        <f t="shared" si="4"/>
        <v>200</v>
      </c>
      <c r="E99" s="211" t="s">
        <v>3</v>
      </c>
      <c r="F99" s="209">
        <f t="shared" si="5"/>
        <v>2700</v>
      </c>
      <c r="G99" s="211" t="s">
        <v>3</v>
      </c>
      <c r="H99" s="208">
        <v>2</v>
      </c>
      <c r="I99" s="210" t="s">
        <v>529</v>
      </c>
      <c r="J99" s="103">
        <v>140</v>
      </c>
      <c r="K99" s="66">
        <v>200</v>
      </c>
      <c r="L99" s="66">
        <v>2700</v>
      </c>
      <c r="M99" s="164">
        <v>28.075413942283127</v>
      </c>
      <c r="N99" s="78">
        <v>5943.106938599999</v>
      </c>
      <c r="O99" s="113">
        <v>89271.848553010757</v>
      </c>
      <c r="P99" s="113">
        <v>105293.90767020255</v>
      </c>
      <c r="Q99" s="110">
        <v>28055.610371552459</v>
      </c>
      <c r="R99" s="113">
        <v>117327.45892456322</v>
      </c>
      <c r="S99" s="113">
        <v>133349.51804175501</v>
      </c>
      <c r="U99" s="7" t="s">
        <v>6891</v>
      </c>
    </row>
    <row r="100" spans="1:21" ht="16.5" thickBot="1">
      <c r="A100" s="207" t="s">
        <v>10</v>
      </c>
      <c r="B100" s="211">
        <f t="shared" si="3"/>
        <v>140</v>
      </c>
      <c r="C100" s="211" t="s">
        <v>3</v>
      </c>
      <c r="D100" s="211">
        <f t="shared" si="4"/>
        <v>200</v>
      </c>
      <c r="E100" s="211" t="s">
        <v>3</v>
      </c>
      <c r="F100" s="209">
        <f t="shared" si="5"/>
        <v>2750</v>
      </c>
      <c r="G100" s="211" t="s">
        <v>3</v>
      </c>
      <c r="H100" s="208">
        <v>2</v>
      </c>
      <c r="I100" s="210" t="s">
        <v>529</v>
      </c>
      <c r="J100" s="103">
        <v>140</v>
      </c>
      <c r="K100" s="66">
        <v>200</v>
      </c>
      <c r="L100" s="66">
        <v>2750</v>
      </c>
      <c r="M100" s="164">
        <v>28.503312003712253</v>
      </c>
      <c r="N100" s="78">
        <v>6069.5560223999992</v>
      </c>
      <c r="O100" s="113">
        <v>90076.980784336862</v>
      </c>
      <c r="P100" s="113">
        <v>106349.65645529672</v>
      </c>
      <c r="Q100" s="110">
        <v>28446.286687765976</v>
      </c>
      <c r="R100" s="113">
        <v>118523.26747210283</v>
      </c>
      <c r="S100" s="113">
        <v>134795.9431430627</v>
      </c>
      <c r="U100" s="7" t="s">
        <v>6892</v>
      </c>
    </row>
    <row r="101" spans="1:21" ht="16.5" thickBot="1">
      <c r="A101" s="207" t="s">
        <v>10</v>
      </c>
      <c r="B101" s="211">
        <f t="shared" si="3"/>
        <v>140</v>
      </c>
      <c r="C101" s="211" t="s">
        <v>3</v>
      </c>
      <c r="D101" s="211">
        <f t="shared" si="4"/>
        <v>200</v>
      </c>
      <c r="E101" s="211" t="s">
        <v>3</v>
      </c>
      <c r="F101" s="209">
        <f t="shared" si="5"/>
        <v>2800</v>
      </c>
      <c r="G101" s="211" t="s">
        <v>3</v>
      </c>
      <c r="H101" s="208">
        <v>2</v>
      </c>
      <c r="I101" s="210" t="s">
        <v>529</v>
      </c>
      <c r="J101" s="103">
        <v>140</v>
      </c>
      <c r="K101" s="66">
        <v>200</v>
      </c>
      <c r="L101" s="66">
        <v>2800</v>
      </c>
      <c r="M101" s="164">
        <v>28.947398065141378</v>
      </c>
      <c r="N101" s="78">
        <v>6196.0051061999993</v>
      </c>
      <c r="O101" s="113">
        <v>90791.760440807629</v>
      </c>
      <c r="P101" s="113">
        <v>107313.05234238075</v>
      </c>
      <c r="Q101" s="110">
        <v>29088.297141763269</v>
      </c>
      <c r="R101" s="113">
        <v>119880.05758257089</v>
      </c>
      <c r="S101" s="113">
        <v>136401.34948414401</v>
      </c>
      <c r="U101" s="7" t="s">
        <v>6893</v>
      </c>
    </row>
    <row r="102" spans="1:21" ht="16.5" thickBot="1">
      <c r="A102" s="207" t="s">
        <v>10</v>
      </c>
      <c r="B102" s="211">
        <f t="shared" si="3"/>
        <v>140</v>
      </c>
      <c r="C102" s="211" t="s">
        <v>3</v>
      </c>
      <c r="D102" s="211">
        <f t="shared" si="4"/>
        <v>200</v>
      </c>
      <c r="E102" s="211" t="s">
        <v>3</v>
      </c>
      <c r="F102" s="209">
        <f t="shared" si="5"/>
        <v>2850</v>
      </c>
      <c r="G102" s="211" t="s">
        <v>3</v>
      </c>
      <c r="H102" s="208">
        <v>2</v>
      </c>
      <c r="I102" s="210" t="s">
        <v>529</v>
      </c>
      <c r="J102" s="103">
        <v>140</v>
      </c>
      <c r="K102" s="66">
        <v>200</v>
      </c>
      <c r="L102" s="66">
        <v>2850</v>
      </c>
      <c r="M102" s="164">
        <v>30.194196126570503</v>
      </c>
      <c r="N102" s="78">
        <v>6322.4541899999995</v>
      </c>
      <c r="O102" s="113">
        <v>91506.487807349316</v>
      </c>
      <c r="P102" s="113">
        <v>108276.41435807791</v>
      </c>
      <c r="Q102" s="110">
        <v>29478.973457976786</v>
      </c>
      <c r="R102" s="113">
        <v>120985.4612653261</v>
      </c>
      <c r="S102" s="113">
        <v>137755.38781605469</v>
      </c>
      <c r="U102" s="7" t="s">
        <v>6894</v>
      </c>
    </row>
    <row r="103" spans="1:21" ht="16.5" thickBot="1">
      <c r="A103" s="207" t="s">
        <v>10</v>
      </c>
      <c r="B103" s="211">
        <f t="shared" si="3"/>
        <v>140</v>
      </c>
      <c r="C103" s="211" t="s">
        <v>3</v>
      </c>
      <c r="D103" s="211">
        <f t="shared" si="4"/>
        <v>200</v>
      </c>
      <c r="E103" s="211" t="s">
        <v>3</v>
      </c>
      <c r="F103" s="209">
        <f t="shared" si="5"/>
        <v>2900</v>
      </c>
      <c r="G103" s="211" t="s">
        <v>3</v>
      </c>
      <c r="H103" s="208">
        <v>2</v>
      </c>
      <c r="I103" s="210" t="s">
        <v>529</v>
      </c>
      <c r="J103" s="103">
        <v>140</v>
      </c>
      <c r="K103" s="66">
        <v>200</v>
      </c>
      <c r="L103" s="66">
        <v>2900</v>
      </c>
      <c r="M103" s="164">
        <v>30.638282187999625</v>
      </c>
      <c r="N103" s="78">
        <v>6448.9032737999996</v>
      </c>
      <c r="O103" s="113">
        <v>92221.162623813099</v>
      </c>
      <c r="P103" s="113">
        <v>109239.7419331212</v>
      </c>
      <c r="Q103" s="110">
        <v>30120.983911974079</v>
      </c>
      <c r="R103" s="113">
        <v>122342.14653578718</v>
      </c>
      <c r="S103" s="113">
        <v>139360.72584509529</v>
      </c>
      <c r="U103" s="7" t="s">
        <v>6895</v>
      </c>
    </row>
    <row r="104" spans="1:21" ht="16.5" thickBot="1">
      <c r="A104" s="207" t="s">
        <v>10</v>
      </c>
      <c r="B104" s="211">
        <f t="shared" si="3"/>
        <v>140</v>
      </c>
      <c r="C104" s="211" t="s">
        <v>3</v>
      </c>
      <c r="D104" s="211">
        <f t="shared" si="4"/>
        <v>200</v>
      </c>
      <c r="E104" s="211" t="s">
        <v>3</v>
      </c>
      <c r="F104" s="209">
        <f t="shared" si="5"/>
        <v>2950</v>
      </c>
      <c r="G104" s="211" t="s">
        <v>3</v>
      </c>
      <c r="H104" s="208">
        <v>2</v>
      </c>
      <c r="I104" s="210" t="s">
        <v>529</v>
      </c>
      <c r="J104" s="103">
        <v>140</v>
      </c>
      <c r="K104" s="66">
        <v>200</v>
      </c>
      <c r="L104" s="66">
        <v>2950</v>
      </c>
      <c r="M104" s="164">
        <v>31.066180249428751</v>
      </c>
      <c r="N104" s="78">
        <v>6575.3523575999998</v>
      </c>
      <c r="O104" s="113">
        <v>92935.785020273368</v>
      </c>
      <c r="P104" s="113">
        <v>110203.03492519385</v>
      </c>
      <c r="Q104" s="110">
        <v>30511.660381216363</v>
      </c>
      <c r="R104" s="113">
        <v>123447.44540148973</v>
      </c>
      <c r="S104" s="113">
        <v>140714.6953064102</v>
      </c>
      <c r="U104" s="7" t="s">
        <v>6896</v>
      </c>
    </row>
    <row r="105" spans="1:21" ht="16.5" thickBot="1">
      <c r="A105" s="212" t="s">
        <v>10</v>
      </c>
      <c r="B105" s="213">
        <f t="shared" si="3"/>
        <v>140</v>
      </c>
      <c r="C105" s="213" t="s">
        <v>3</v>
      </c>
      <c r="D105" s="213">
        <f t="shared" si="4"/>
        <v>200</v>
      </c>
      <c r="E105" s="213" t="s">
        <v>3</v>
      </c>
      <c r="F105" s="214">
        <f t="shared" si="5"/>
        <v>3000</v>
      </c>
      <c r="G105" s="213" t="s">
        <v>3</v>
      </c>
      <c r="H105" s="215">
        <v>2</v>
      </c>
      <c r="I105" s="210" t="s">
        <v>529</v>
      </c>
      <c r="J105" s="103">
        <v>140</v>
      </c>
      <c r="K105" s="266">
        <v>200</v>
      </c>
      <c r="L105" s="266">
        <v>3000</v>
      </c>
      <c r="M105" s="249">
        <v>31.510266310857876</v>
      </c>
      <c r="N105" s="250">
        <v>6701.8014413999999</v>
      </c>
      <c r="O105" s="251">
        <v>95521.707107403068</v>
      </c>
      <c r="P105" s="251">
        <v>113079.23683463605</v>
      </c>
      <c r="Q105" s="252">
        <v>31153.670835213656</v>
      </c>
      <c r="R105" s="251">
        <v>126675.37794261673</v>
      </c>
      <c r="S105" s="251">
        <v>144232.90766984969</v>
      </c>
      <c r="U105" s="7" t="s">
        <v>6897</v>
      </c>
    </row>
    <row r="106" spans="1:21" ht="22.5" customHeight="1" thickBot="1">
      <c r="A106" s="2968" t="s">
        <v>45</v>
      </c>
      <c r="B106" s="2969"/>
      <c r="C106" s="2969"/>
      <c r="D106" s="2969"/>
      <c r="E106" s="2969"/>
      <c r="F106" s="2969"/>
      <c r="G106" s="2969"/>
      <c r="H106" s="2969"/>
      <c r="I106" s="2969"/>
      <c r="J106" s="2969"/>
      <c r="K106" s="2969"/>
      <c r="L106" s="2969"/>
      <c r="M106" s="2969"/>
      <c r="N106" s="2969"/>
      <c r="O106" s="2969"/>
      <c r="P106" s="2969"/>
      <c r="Q106" s="2969"/>
      <c r="R106" s="2969"/>
      <c r="S106" s="2970"/>
      <c r="U106" s="7"/>
    </row>
    <row r="107" spans="1:21" ht="19.5" thickBot="1">
      <c r="A107" s="3015" t="s">
        <v>117</v>
      </c>
      <c r="B107" s="3016"/>
      <c r="C107" s="3016"/>
      <c r="D107" s="3016"/>
      <c r="E107" s="3016"/>
      <c r="F107" s="3016"/>
      <c r="G107" s="3016"/>
      <c r="H107" s="3016"/>
      <c r="I107" s="3016"/>
      <c r="J107" s="3016"/>
      <c r="K107" s="3016"/>
      <c r="L107" s="3016"/>
      <c r="M107" s="3016"/>
      <c r="N107" s="3016"/>
      <c r="O107" s="3016"/>
      <c r="P107" s="3016"/>
      <c r="Q107" s="3016"/>
      <c r="R107" s="3016"/>
      <c r="S107" s="3017"/>
      <c r="U107" s="7"/>
    </row>
    <row r="108" spans="1:21" ht="16.5" thickBot="1">
      <c r="A108" s="207" t="s">
        <v>10</v>
      </c>
      <c r="B108" s="208">
        <f t="shared" ref="B108:B154" si="6">J108</f>
        <v>140</v>
      </c>
      <c r="C108" s="208" t="s">
        <v>3</v>
      </c>
      <c r="D108" s="208">
        <f t="shared" ref="D108:D154" si="7">K108</f>
        <v>260</v>
      </c>
      <c r="E108" s="208" t="s">
        <v>3</v>
      </c>
      <c r="F108" s="209">
        <f t="shared" ref="F108:F154" si="8">L108</f>
        <v>700</v>
      </c>
      <c r="G108" s="208" t="s">
        <v>3</v>
      </c>
      <c r="H108" s="208">
        <v>4</v>
      </c>
      <c r="I108" s="210" t="s">
        <v>530</v>
      </c>
      <c r="J108" s="103">
        <v>140</v>
      </c>
      <c r="K108" s="271">
        <v>260</v>
      </c>
      <c r="L108" s="271">
        <v>700</v>
      </c>
      <c r="M108" s="245">
        <v>9.1107708114802488</v>
      </c>
      <c r="N108" s="246">
        <v>1981.9441550999995</v>
      </c>
      <c r="O108" s="247">
        <v>32126.189548963786</v>
      </c>
      <c r="P108" s="247">
        <v>38441.416715385676</v>
      </c>
      <c r="Q108" s="248">
        <v>9406.5237862097401</v>
      </c>
      <c r="R108" s="247">
        <v>41532.713335173525</v>
      </c>
      <c r="S108" s="247">
        <v>47847.940501595418</v>
      </c>
      <c r="U108" s="7" t="s">
        <v>6898</v>
      </c>
    </row>
    <row r="109" spans="1:21" ht="16.5" thickBot="1">
      <c r="A109" s="207" t="s">
        <v>10</v>
      </c>
      <c r="B109" s="211">
        <f t="shared" si="6"/>
        <v>140</v>
      </c>
      <c r="C109" s="211" t="s">
        <v>3</v>
      </c>
      <c r="D109" s="211">
        <f t="shared" si="7"/>
        <v>260</v>
      </c>
      <c r="E109" s="211" t="s">
        <v>3</v>
      </c>
      <c r="F109" s="209">
        <f t="shared" si="8"/>
        <v>750</v>
      </c>
      <c r="G109" s="211" t="s">
        <v>3</v>
      </c>
      <c r="H109" s="208">
        <v>4</v>
      </c>
      <c r="I109" s="210" t="s">
        <v>530</v>
      </c>
      <c r="J109" s="103">
        <v>140</v>
      </c>
      <c r="K109" s="66">
        <v>260</v>
      </c>
      <c r="L109" s="66">
        <v>750</v>
      </c>
      <c r="M109" s="164">
        <v>9.6751754897384981</v>
      </c>
      <c r="N109" s="78">
        <v>2265.0790343999997</v>
      </c>
      <c r="O109" s="113">
        <v>34100.265355316566</v>
      </c>
      <c r="P109" s="113">
        <v>40749.335027316192</v>
      </c>
      <c r="Q109" s="110">
        <v>9876.9793536897032</v>
      </c>
      <c r="R109" s="113">
        <v>43977.244709006271</v>
      </c>
      <c r="S109" s="113">
        <v>50626.314381005897</v>
      </c>
      <c r="U109" s="7" t="s">
        <v>6899</v>
      </c>
    </row>
    <row r="110" spans="1:21" ht="16.5" thickBot="1">
      <c r="A110" s="207" t="s">
        <v>10</v>
      </c>
      <c r="B110" s="211">
        <f t="shared" si="6"/>
        <v>140</v>
      </c>
      <c r="C110" s="211" t="s">
        <v>3</v>
      </c>
      <c r="D110" s="211">
        <f t="shared" si="7"/>
        <v>260</v>
      </c>
      <c r="E110" s="211" t="s">
        <v>3</v>
      </c>
      <c r="F110" s="209">
        <f t="shared" si="8"/>
        <v>800</v>
      </c>
      <c r="G110" s="211" t="s">
        <v>3</v>
      </c>
      <c r="H110" s="208">
        <v>4</v>
      </c>
      <c r="I110" s="210" t="s">
        <v>530</v>
      </c>
      <c r="J110" s="103">
        <v>140</v>
      </c>
      <c r="K110" s="66">
        <v>260</v>
      </c>
      <c r="L110" s="66">
        <v>800</v>
      </c>
      <c r="M110" s="164">
        <v>10.239580167996749</v>
      </c>
      <c r="N110" s="78">
        <v>2548.2139136999995</v>
      </c>
      <c r="O110" s="113">
        <v>36075.000509058205</v>
      </c>
      <c r="P110" s="113">
        <v>43057.928632232899</v>
      </c>
      <c r="Q110" s="110">
        <v>10347.434921169664</v>
      </c>
      <c r="R110" s="113">
        <v>46422.435430227866</v>
      </c>
      <c r="S110" s="113">
        <v>53405.363553402567</v>
      </c>
      <c r="U110" s="7" t="s">
        <v>6900</v>
      </c>
    </row>
    <row r="111" spans="1:21" ht="16.5" thickBot="1">
      <c r="A111" s="207" t="s">
        <v>10</v>
      </c>
      <c r="B111" s="211">
        <f t="shared" si="6"/>
        <v>140</v>
      </c>
      <c r="C111" s="211" t="s">
        <v>3</v>
      </c>
      <c r="D111" s="211">
        <f t="shared" si="7"/>
        <v>260</v>
      </c>
      <c r="E111" s="211" t="s">
        <v>3</v>
      </c>
      <c r="F111" s="209">
        <f t="shared" si="8"/>
        <v>850</v>
      </c>
      <c r="G111" s="211" t="s">
        <v>3</v>
      </c>
      <c r="H111" s="208">
        <v>4</v>
      </c>
      <c r="I111" s="210" t="s">
        <v>530</v>
      </c>
      <c r="J111" s="103">
        <v>140</v>
      </c>
      <c r="K111" s="66">
        <v>260</v>
      </c>
      <c r="L111" s="66">
        <v>850</v>
      </c>
      <c r="M111" s="164">
        <v>10.820172846255</v>
      </c>
      <c r="N111" s="78">
        <v>2831.3487929999997</v>
      </c>
      <c r="O111" s="113">
        <v>38049.735532725397</v>
      </c>
      <c r="P111" s="113">
        <v>45366.522379466354</v>
      </c>
      <c r="Q111" s="110">
        <v>11069.224626433395</v>
      </c>
      <c r="R111" s="113">
        <v>49118.960159158793</v>
      </c>
      <c r="S111" s="113">
        <v>56435.74700589975</v>
      </c>
      <c r="U111" s="7" t="s">
        <v>6901</v>
      </c>
    </row>
    <row r="112" spans="1:21" ht="16.5" thickBot="1">
      <c r="A112" s="207" t="s">
        <v>10</v>
      </c>
      <c r="B112" s="211">
        <f t="shared" si="6"/>
        <v>140</v>
      </c>
      <c r="C112" s="211" t="s">
        <v>3</v>
      </c>
      <c r="D112" s="211">
        <f t="shared" si="7"/>
        <v>260</v>
      </c>
      <c r="E112" s="211" t="s">
        <v>3</v>
      </c>
      <c r="F112" s="209">
        <f t="shared" si="8"/>
        <v>900</v>
      </c>
      <c r="G112" s="211" t="s">
        <v>3</v>
      </c>
      <c r="H112" s="208">
        <v>4</v>
      </c>
      <c r="I112" s="210" t="s">
        <v>530</v>
      </c>
      <c r="J112" s="103">
        <v>140</v>
      </c>
      <c r="K112" s="66">
        <v>260</v>
      </c>
      <c r="L112" s="66">
        <v>900</v>
      </c>
      <c r="M112" s="164">
        <v>11.535627524513249</v>
      </c>
      <c r="N112" s="78">
        <v>3114.4836722999994</v>
      </c>
      <c r="O112" s="113">
        <v>40024.47068646703</v>
      </c>
      <c r="P112" s="113">
        <v>47675.115984383054</v>
      </c>
      <c r="Q112" s="110">
        <v>11539.680193913358</v>
      </c>
      <c r="R112" s="113">
        <v>51564.150880380388</v>
      </c>
      <c r="S112" s="113">
        <v>59214.796178296412</v>
      </c>
      <c r="U112" s="7" t="s">
        <v>6902</v>
      </c>
    </row>
    <row r="113" spans="1:21" ht="16.5" thickBot="1">
      <c r="A113" s="207" t="s">
        <v>10</v>
      </c>
      <c r="B113" s="211">
        <f t="shared" si="6"/>
        <v>140</v>
      </c>
      <c r="C113" s="211" t="s">
        <v>3</v>
      </c>
      <c r="D113" s="211">
        <f t="shared" si="7"/>
        <v>260</v>
      </c>
      <c r="E113" s="211" t="s">
        <v>3</v>
      </c>
      <c r="F113" s="209">
        <f t="shared" si="8"/>
        <v>950</v>
      </c>
      <c r="G113" s="211" t="s">
        <v>3</v>
      </c>
      <c r="H113" s="208">
        <v>4</v>
      </c>
      <c r="I113" s="210" t="s">
        <v>530</v>
      </c>
      <c r="J113" s="103">
        <v>140</v>
      </c>
      <c r="K113" s="66">
        <v>260</v>
      </c>
      <c r="L113" s="66">
        <v>950</v>
      </c>
      <c r="M113" s="164">
        <v>12.116220202771499</v>
      </c>
      <c r="N113" s="78">
        <v>3397.6185515999991</v>
      </c>
      <c r="O113" s="113">
        <v>41999.20584020867</v>
      </c>
      <c r="P113" s="113">
        <v>49983.709731616509</v>
      </c>
      <c r="Q113" s="110">
        <v>12261.469899177091</v>
      </c>
      <c r="R113" s="113">
        <v>54260.675739385762</v>
      </c>
      <c r="S113" s="113">
        <v>62245.179630793602</v>
      </c>
      <c r="U113" s="7" t="s">
        <v>6903</v>
      </c>
    </row>
    <row r="114" spans="1:21" ht="16.5" thickBot="1">
      <c r="A114" s="207" t="s">
        <v>10</v>
      </c>
      <c r="B114" s="211">
        <f t="shared" si="6"/>
        <v>140</v>
      </c>
      <c r="C114" s="211" t="s">
        <v>3</v>
      </c>
      <c r="D114" s="211">
        <f t="shared" si="7"/>
        <v>260</v>
      </c>
      <c r="E114" s="211" t="s">
        <v>3</v>
      </c>
      <c r="F114" s="209">
        <f t="shared" si="8"/>
        <v>1000</v>
      </c>
      <c r="G114" s="211" t="s">
        <v>3</v>
      </c>
      <c r="H114" s="208">
        <v>4</v>
      </c>
      <c r="I114" s="210" t="s">
        <v>530</v>
      </c>
      <c r="J114" s="103">
        <v>140</v>
      </c>
      <c r="K114" s="66">
        <v>260</v>
      </c>
      <c r="L114" s="66">
        <v>1000</v>
      </c>
      <c r="M114" s="164">
        <v>12.68062488102975</v>
      </c>
      <c r="N114" s="78">
        <v>3680.7534308999998</v>
      </c>
      <c r="O114" s="113">
        <v>43870.246942870806</v>
      </c>
      <c r="P114" s="113">
        <v>52186.077686213903</v>
      </c>
      <c r="Q114" s="110">
        <v>12731.925466657052</v>
      </c>
      <c r="R114" s="113">
        <v>56602.172409527862</v>
      </c>
      <c r="S114" s="113">
        <v>64918.003152870951</v>
      </c>
      <c r="U114" s="7" t="s">
        <v>6904</v>
      </c>
    </row>
    <row r="115" spans="1:21" ht="16.5" thickBot="1">
      <c r="A115" s="207" t="s">
        <v>10</v>
      </c>
      <c r="B115" s="211">
        <f t="shared" si="6"/>
        <v>140</v>
      </c>
      <c r="C115" s="211" t="s">
        <v>3</v>
      </c>
      <c r="D115" s="211">
        <f t="shared" si="7"/>
        <v>260</v>
      </c>
      <c r="E115" s="211" t="s">
        <v>3</v>
      </c>
      <c r="F115" s="209">
        <f t="shared" si="8"/>
        <v>1050</v>
      </c>
      <c r="G115" s="211" t="s">
        <v>3</v>
      </c>
      <c r="H115" s="208">
        <v>4</v>
      </c>
      <c r="I115" s="210" t="s">
        <v>530</v>
      </c>
      <c r="J115" s="103">
        <v>140</v>
      </c>
      <c r="K115" s="66">
        <v>260</v>
      </c>
      <c r="L115" s="66">
        <v>1050</v>
      </c>
      <c r="M115" s="164">
        <v>13.261217559287999</v>
      </c>
      <c r="N115" s="78">
        <v>3963.8883101999991</v>
      </c>
      <c r="O115" s="113">
        <v>46091.255175258739</v>
      </c>
      <c r="P115" s="113">
        <v>54746.957477482865</v>
      </c>
      <c r="Q115" s="110">
        <v>13453.71501889202</v>
      </c>
      <c r="R115" s="113">
        <v>59544.970194150759</v>
      </c>
      <c r="S115" s="113">
        <v>68200.672496374886</v>
      </c>
      <c r="U115" s="7" t="s">
        <v>6905</v>
      </c>
    </row>
    <row r="116" spans="1:21" ht="16.5" thickBot="1">
      <c r="A116" s="207" t="s">
        <v>10</v>
      </c>
      <c r="B116" s="208">
        <f t="shared" si="6"/>
        <v>140</v>
      </c>
      <c r="C116" s="208" t="s">
        <v>3</v>
      </c>
      <c r="D116" s="208">
        <f t="shared" si="7"/>
        <v>260</v>
      </c>
      <c r="E116" s="208" t="s">
        <v>3</v>
      </c>
      <c r="F116" s="209">
        <f t="shared" si="8"/>
        <v>1100</v>
      </c>
      <c r="G116" s="208" t="s">
        <v>3</v>
      </c>
      <c r="H116" s="208">
        <v>4</v>
      </c>
      <c r="I116" s="210" t="s">
        <v>530</v>
      </c>
      <c r="J116" s="103">
        <v>140</v>
      </c>
      <c r="K116" s="66">
        <v>260</v>
      </c>
      <c r="L116" s="66">
        <v>1100</v>
      </c>
      <c r="M116" s="164">
        <v>13.825622237546249</v>
      </c>
      <c r="N116" s="78">
        <v>4247.0231894999988</v>
      </c>
      <c r="O116" s="113">
        <v>48065.990329000371</v>
      </c>
      <c r="P116" s="113">
        <v>57055.551224716321</v>
      </c>
      <c r="Q116" s="110">
        <v>13924.170586371982</v>
      </c>
      <c r="R116" s="113">
        <v>61990.160915372355</v>
      </c>
      <c r="S116" s="113">
        <v>70979.721811088297</v>
      </c>
      <c r="U116" s="7" t="s">
        <v>6906</v>
      </c>
    </row>
    <row r="117" spans="1:21" ht="16.5" thickBot="1">
      <c r="A117" s="207" t="s">
        <v>10</v>
      </c>
      <c r="B117" s="211">
        <f t="shared" si="6"/>
        <v>140</v>
      </c>
      <c r="C117" s="211" t="s">
        <v>3</v>
      </c>
      <c r="D117" s="211">
        <f t="shared" si="7"/>
        <v>260</v>
      </c>
      <c r="E117" s="211" t="s">
        <v>3</v>
      </c>
      <c r="F117" s="209">
        <f t="shared" si="8"/>
        <v>1150</v>
      </c>
      <c r="G117" s="211" t="s">
        <v>3</v>
      </c>
      <c r="H117" s="208">
        <v>4</v>
      </c>
      <c r="I117" s="210" t="s">
        <v>530</v>
      </c>
      <c r="J117" s="103">
        <v>140</v>
      </c>
      <c r="K117" s="66">
        <v>260</v>
      </c>
      <c r="L117" s="66">
        <v>1150</v>
      </c>
      <c r="M117" s="164">
        <v>14.3900269158045</v>
      </c>
      <c r="N117" s="78">
        <v>4530.1580687999995</v>
      </c>
      <c r="O117" s="113">
        <v>49217.402079384679</v>
      </c>
      <c r="P117" s="113">
        <v>58520.719260101039</v>
      </c>
      <c r="Q117" s="110">
        <v>14394.626153851941</v>
      </c>
      <c r="R117" s="113">
        <v>63612.028233236619</v>
      </c>
      <c r="S117" s="113">
        <v>72915.345413952979</v>
      </c>
      <c r="U117" s="7" t="s">
        <v>6907</v>
      </c>
    </row>
    <row r="118" spans="1:21" ht="16.5" thickBot="1">
      <c r="A118" s="207" t="s">
        <v>10</v>
      </c>
      <c r="B118" s="211">
        <f t="shared" si="6"/>
        <v>140</v>
      </c>
      <c r="C118" s="211" t="s">
        <v>3</v>
      </c>
      <c r="D118" s="211">
        <f t="shared" si="7"/>
        <v>260</v>
      </c>
      <c r="E118" s="211" t="s">
        <v>3</v>
      </c>
      <c r="F118" s="209">
        <f t="shared" si="8"/>
        <v>1200</v>
      </c>
      <c r="G118" s="211" t="s">
        <v>3</v>
      </c>
      <c r="H118" s="208">
        <v>4</v>
      </c>
      <c r="I118" s="210" t="s">
        <v>530</v>
      </c>
      <c r="J118" s="103">
        <v>140</v>
      </c>
      <c r="K118" s="66">
        <v>260</v>
      </c>
      <c r="L118" s="66">
        <v>1200</v>
      </c>
      <c r="M118" s="164">
        <v>15.045194594062748</v>
      </c>
      <c r="N118" s="78">
        <v>4813.2929480999983</v>
      </c>
      <c r="O118" s="113">
        <v>50433.542518350871</v>
      </c>
      <c r="P118" s="113">
        <v>60052.196370276026</v>
      </c>
      <c r="Q118" s="110">
        <v>15116.415859115676</v>
      </c>
      <c r="R118" s="113">
        <v>65549.958377466552</v>
      </c>
      <c r="S118" s="113">
        <v>75168.6122293917</v>
      </c>
      <c r="U118" s="7" t="s">
        <v>6908</v>
      </c>
    </row>
    <row r="119" spans="1:21" ht="16.5" thickBot="1">
      <c r="A119" s="207" t="s">
        <v>10</v>
      </c>
      <c r="B119" s="211">
        <f t="shared" si="6"/>
        <v>140</v>
      </c>
      <c r="C119" s="211" t="s">
        <v>3</v>
      </c>
      <c r="D119" s="211">
        <f t="shared" si="7"/>
        <v>260</v>
      </c>
      <c r="E119" s="211" t="s">
        <v>3</v>
      </c>
      <c r="F119" s="209">
        <f t="shared" si="8"/>
        <v>1250</v>
      </c>
      <c r="G119" s="211" t="s">
        <v>3</v>
      </c>
      <c r="H119" s="208">
        <v>4</v>
      </c>
      <c r="I119" s="210" t="s">
        <v>530</v>
      </c>
      <c r="J119" s="103">
        <v>140</v>
      </c>
      <c r="K119" s="66">
        <v>260</v>
      </c>
      <c r="L119" s="66">
        <v>1250</v>
      </c>
      <c r="M119" s="164">
        <v>16.428499272320998</v>
      </c>
      <c r="N119" s="78">
        <v>5096.4278273999989</v>
      </c>
      <c r="O119" s="113">
        <v>51584.43006870024</v>
      </c>
      <c r="P119" s="113">
        <v>61516.827302240359</v>
      </c>
      <c r="Q119" s="110">
        <v>15586.871426595639</v>
      </c>
      <c r="R119" s="113">
        <v>67171.301495295877</v>
      </c>
      <c r="S119" s="113">
        <v>77103.698728835996</v>
      </c>
      <c r="U119" s="7" t="s">
        <v>6909</v>
      </c>
    </row>
    <row r="120" spans="1:21" ht="16.5" thickBot="1">
      <c r="A120" s="207" t="s">
        <v>10</v>
      </c>
      <c r="B120" s="211">
        <f t="shared" si="6"/>
        <v>140</v>
      </c>
      <c r="C120" s="211" t="s">
        <v>3</v>
      </c>
      <c r="D120" s="211">
        <f t="shared" si="7"/>
        <v>260</v>
      </c>
      <c r="E120" s="211" t="s">
        <v>3</v>
      </c>
      <c r="F120" s="209">
        <f t="shared" si="8"/>
        <v>1300</v>
      </c>
      <c r="G120" s="211" t="s">
        <v>3</v>
      </c>
      <c r="H120" s="208">
        <v>4</v>
      </c>
      <c r="I120" s="210" t="s">
        <v>530</v>
      </c>
      <c r="J120" s="103">
        <v>140</v>
      </c>
      <c r="K120" s="66">
        <v>260</v>
      </c>
      <c r="L120" s="66">
        <v>1300</v>
      </c>
      <c r="M120" s="164">
        <v>17.009091950579251</v>
      </c>
      <c r="N120" s="78">
        <v>5379.5627066999987</v>
      </c>
      <c r="O120" s="113">
        <v>55408.415472733628</v>
      </c>
      <c r="P120" s="113">
        <v>65719.822811836173</v>
      </c>
      <c r="Q120" s="110">
        <v>16308.66113185937</v>
      </c>
      <c r="R120" s="113">
        <v>71717.076604592992</v>
      </c>
      <c r="S120" s="113">
        <v>82028.483943695537</v>
      </c>
      <c r="U120" s="7" t="s">
        <v>6910</v>
      </c>
    </row>
    <row r="121" spans="1:21" ht="16.5" thickBot="1">
      <c r="A121" s="207" t="s">
        <v>10</v>
      </c>
      <c r="B121" s="211">
        <f t="shared" si="6"/>
        <v>140</v>
      </c>
      <c r="C121" s="211" t="s">
        <v>3</v>
      </c>
      <c r="D121" s="211">
        <f t="shared" si="7"/>
        <v>260</v>
      </c>
      <c r="E121" s="211" t="s">
        <v>3</v>
      </c>
      <c r="F121" s="209">
        <f t="shared" si="8"/>
        <v>1350</v>
      </c>
      <c r="G121" s="211" t="s">
        <v>3</v>
      </c>
      <c r="H121" s="208">
        <v>4</v>
      </c>
      <c r="I121" s="210" t="s">
        <v>530</v>
      </c>
      <c r="J121" s="103">
        <v>140</v>
      </c>
      <c r="K121" s="66">
        <v>260</v>
      </c>
      <c r="L121" s="66">
        <v>1350</v>
      </c>
      <c r="M121" s="164">
        <v>17.5734966288375</v>
      </c>
      <c r="N121" s="78">
        <v>5662.6975859999993</v>
      </c>
      <c r="O121" s="113">
        <v>56831.472103752923</v>
      </c>
      <c r="P121" s="113">
        <v>67463.268057278197</v>
      </c>
      <c r="Q121" s="110">
        <v>16779.116699339331</v>
      </c>
      <c r="R121" s="113">
        <v>73610.588803092251</v>
      </c>
      <c r="S121" s="113">
        <v>84242.384756617525</v>
      </c>
      <c r="U121" s="7" t="s">
        <v>6911</v>
      </c>
    </row>
    <row r="122" spans="1:21" ht="16.5" thickBot="1">
      <c r="A122" s="207" t="s">
        <v>10</v>
      </c>
      <c r="B122" s="211">
        <f t="shared" si="6"/>
        <v>140</v>
      </c>
      <c r="C122" s="211" t="s">
        <v>3</v>
      </c>
      <c r="D122" s="211">
        <f t="shared" si="7"/>
        <v>260</v>
      </c>
      <c r="E122" s="211" t="s">
        <v>3</v>
      </c>
      <c r="F122" s="209">
        <f t="shared" si="8"/>
        <v>1400</v>
      </c>
      <c r="G122" s="211" t="s">
        <v>3</v>
      </c>
      <c r="H122" s="208">
        <v>4</v>
      </c>
      <c r="I122" s="210" t="s">
        <v>530</v>
      </c>
      <c r="J122" s="103">
        <v>140</v>
      </c>
      <c r="K122" s="66">
        <v>260</v>
      </c>
      <c r="L122" s="66">
        <v>1400</v>
      </c>
      <c r="M122" s="164">
        <v>18.154089307095749</v>
      </c>
      <c r="N122" s="78">
        <v>5945.8324652999991</v>
      </c>
      <c r="O122" s="113">
        <v>58610.976693912562</v>
      </c>
      <c r="P122" s="113">
        <v>69571.864500485855</v>
      </c>
      <c r="Q122" s="110">
        <v>17500.906404603062</v>
      </c>
      <c r="R122" s="113">
        <v>76111.883098515624</v>
      </c>
      <c r="S122" s="113">
        <v>87072.770905088924</v>
      </c>
      <c r="U122" s="7" t="s">
        <v>6912</v>
      </c>
    </row>
    <row r="123" spans="1:21" ht="16.5" thickBot="1">
      <c r="A123" s="207" t="s">
        <v>10</v>
      </c>
      <c r="B123" s="211">
        <f t="shared" si="6"/>
        <v>140</v>
      </c>
      <c r="C123" s="211" t="s">
        <v>3</v>
      </c>
      <c r="D123" s="211">
        <f t="shared" si="7"/>
        <v>260</v>
      </c>
      <c r="E123" s="211" t="s">
        <v>3</v>
      </c>
      <c r="F123" s="209">
        <f t="shared" si="8"/>
        <v>1450</v>
      </c>
      <c r="G123" s="211" t="s">
        <v>3</v>
      </c>
      <c r="H123" s="208">
        <v>4</v>
      </c>
      <c r="I123" s="210" t="s">
        <v>530</v>
      </c>
      <c r="J123" s="103">
        <v>140</v>
      </c>
      <c r="K123" s="66">
        <v>260</v>
      </c>
      <c r="L123" s="66">
        <v>1450</v>
      </c>
      <c r="M123" s="164">
        <v>18.718493985353998</v>
      </c>
      <c r="N123" s="78">
        <v>6228.9673445999988</v>
      </c>
      <c r="O123" s="113">
        <v>60034.033194857402</v>
      </c>
      <c r="P123" s="113">
        <v>71315.309745927894</v>
      </c>
      <c r="Q123" s="110">
        <v>17971.361972083025</v>
      </c>
      <c r="R123" s="113">
        <v>78005.395166940434</v>
      </c>
      <c r="S123" s="113">
        <v>89286.671718010912</v>
      </c>
      <c r="U123" s="7" t="s">
        <v>6913</v>
      </c>
    </row>
    <row r="124" spans="1:21" ht="16.5" thickBot="1">
      <c r="A124" s="207" t="s">
        <v>10</v>
      </c>
      <c r="B124" s="211">
        <f t="shared" si="6"/>
        <v>140</v>
      </c>
      <c r="C124" s="211" t="s">
        <v>3</v>
      </c>
      <c r="D124" s="211">
        <f t="shared" si="7"/>
        <v>260</v>
      </c>
      <c r="E124" s="211" t="s">
        <v>3</v>
      </c>
      <c r="F124" s="209">
        <f t="shared" si="8"/>
        <v>1500</v>
      </c>
      <c r="G124" s="211" t="s">
        <v>3</v>
      </c>
      <c r="H124" s="208">
        <v>4</v>
      </c>
      <c r="I124" s="210" t="s">
        <v>530</v>
      </c>
      <c r="J124" s="103">
        <v>140</v>
      </c>
      <c r="K124" s="66">
        <v>260</v>
      </c>
      <c r="L124" s="66">
        <v>1500</v>
      </c>
      <c r="M124" s="164">
        <v>19.200201972974249</v>
      </c>
      <c r="N124" s="78">
        <v>6512.1022238999976</v>
      </c>
      <c r="O124" s="113">
        <v>61977.325711863188</v>
      </c>
      <c r="P124" s="113">
        <v>73745.565956889535</v>
      </c>
      <c r="Q124" s="110">
        <v>18693.151677346756</v>
      </c>
      <c r="R124" s="113">
        <v>80670.477389209947</v>
      </c>
      <c r="S124" s="113">
        <v>92438.717634236295</v>
      </c>
      <c r="U124" s="7" t="s">
        <v>6914</v>
      </c>
    </row>
    <row r="125" spans="1:21" ht="16.5" thickBot="1">
      <c r="A125" s="207" t="s">
        <v>10</v>
      </c>
      <c r="B125" s="211">
        <f t="shared" si="6"/>
        <v>140</v>
      </c>
      <c r="C125" s="211" t="s">
        <v>3</v>
      </c>
      <c r="D125" s="211">
        <f t="shared" si="7"/>
        <v>260</v>
      </c>
      <c r="E125" s="211" t="s">
        <v>3</v>
      </c>
      <c r="F125" s="209">
        <f t="shared" si="8"/>
        <v>1550</v>
      </c>
      <c r="G125" s="211" t="s">
        <v>3</v>
      </c>
      <c r="H125" s="208">
        <v>4</v>
      </c>
      <c r="I125" s="210" t="s">
        <v>530</v>
      </c>
      <c r="J125" s="103">
        <v>140</v>
      </c>
      <c r="K125" s="66">
        <v>260</v>
      </c>
      <c r="L125" s="66">
        <v>1550</v>
      </c>
      <c r="M125" s="164">
        <v>19.764606651232498</v>
      </c>
      <c r="N125" s="78">
        <v>6795.2371031999983</v>
      </c>
      <c r="O125" s="113">
        <v>63400.382212808159</v>
      </c>
      <c r="P125" s="113">
        <v>75489.011344648316</v>
      </c>
      <c r="Q125" s="110">
        <v>19163.607244826719</v>
      </c>
      <c r="R125" s="113">
        <v>82563.989457634874</v>
      </c>
      <c r="S125" s="113">
        <v>94652.618589475038</v>
      </c>
      <c r="U125" s="7" t="s">
        <v>6915</v>
      </c>
    </row>
    <row r="126" spans="1:21" ht="16.5" thickBot="1">
      <c r="A126" s="207" t="s">
        <v>10</v>
      </c>
      <c r="B126" s="208">
        <f t="shared" si="6"/>
        <v>140</v>
      </c>
      <c r="C126" s="208" t="s">
        <v>3</v>
      </c>
      <c r="D126" s="208">
        <f t="shared" si="7"/>
        <v>260</v>
      </c>
      <c r="E126" s="208" t="s">
        <v>3</v>
      </c>
      <c r="F126" s="209">
        <f t="shared" si="8"/>
        <v>1600</v>
      </c>
      <c r="G126" s="208" t="s">
        <v>3</v>
      </c>
      <c r="H126" s="208">
        <v>4</v>
      </c>
      <c r="I126" s="210" t="s">
        <v>530</v>
      </c>
      <c r="J126" s="103">
        <v>140</v>
      </c>
      <c r="K126" s="66">
        <v>260</v>
      </c>
      <c r="L126" s="66">
        <v>1600</v>
      </c>
      <c r="M126" s="164">
        <v>20.329011329490747</v>
      </c>
      <c r="N126" s="78">
        <v>7078.371982499998</v>
      </c>
      <c r="O126" s="113">
        <v>66944.623910704046</v>
      </c>
      <c r="P126" s="113">
        <v>79405.432719887263</v>
      </c>
      <c r="Q126" s="110">
        <v>19634.062812306682</v>
      </c>
      <c r="R126" s="113">
        <v>86578.686723010731</v>
      </c>
      <c r="S126" s="113">
        <v>99039.495532193949</v>
      </c>
      <c r="U126" s="7" t="s">
        <v>6916</v>
      </c>
    </row>
    <row r="127" spans="1:21" ht="16.5" thickBot="1">
      <c r="A127" s="207" t="s">
        <v>10</v>
      </c>
      <c r="B127" s="211">
        <f t="shared" si="6"/>
        <v>140</v>
      </c>
      <c r="C127" s="211" t="s">
        <v>3</v>
      </c>
      <c r="D127" s="211">
        <f t="shared" si="7"/>
        <v>260</v>
      </c>
      <c r="E127" s="211" t="s">
        <v>3</v>
      </c>
      <c r="F127" s="209">
        <f t="shared" si="8"/>
        <v>1650</v>
      </c>
      <c r="G127" s="211" t="s">
        <v>3</v>
      </c>
      <c r="H127" s="208">
        <v>4</v>
      </c>
      <c r="I127" s="210" t="s">
        <v>530</v>
      </c>
      <c r="J127" s="103">
        <v>140</v>
      </c>
      <c r="K127" s="66">
        <v>260</v>
      </c>
      <c r="L127" s="66">
        <v>1650</v>
      </c>
      <c r="M127" s="164">
        <v>20.909604007748996</v>
      </c>
      <c r="N127" s="78">
        <v>7361.5068617999996</v>
      </c>
      <c r="O127" s="113">
        <v>70763.829078686831</v>
      </c>
      <c r="P127" s="113">
        <v>83603.531252378438</v>
      </c>
      <c r="Q127" s="110">
        <v>20355.852364541646</v>
      </c>
      <c r="R127" s="113">
        <v>91119.681443228474</v>
      </c>
      <c r="S127" s="113">
        <v>103959.38361692008</v>
      </c>
      <c r="U127" s="7" t="s">
        <v>6917</v>
      </c>
    </row>
    <row r="128" spans="1:21" ht="16.5" thickBot="1">
      <c r="A128" s="207" t="s">
        <v>10</v>
      </c>
      <c r="B128" s="211">
        <f t="shared" si="6"/>
        <v>140</v>
      </c>
      <c r="C128" s="211" t="s">
        <v>3</v>
      </c>
      <c r="D128" s="211">
        <f t="shared" si="7"/>
        <v>260</v>
      </c>
      <c r="E128" s="211" t="s">
        <v>3</v>
      </c>
      <c r="F128" s="209">
        <f t="shared" si="8"/>
        <v>1700</v>
      </c>
      <c r="G128" s="211" t="s">
        <v>3</v>
      </c>
      <c r="H128" s="208">
        <v>4</v>
      </c>
      <c r="I128" s="210" t="s">
        <v>530</v>
      </c>
      <c r="J128" s="103">
        <v>140</v>
      </c>
      <c r="K128" s="66">
        <v>260</v>
      </c>
      <c r="L128" s="66">
        <v>1700</v>
      </c>
      <c r="M128" s="164">
        <v>22.292908686007248</v>
      </c>
      <c r="N128" s="78">
        <v>7644.6417410999993</v>
      </c>
      <c r="O128" s="113">
        <v>71963.274982247603</v>
      </c>
      <c r="P128" s="113">
        <v>85117.906158517711</v>
      </c>
      <c r="Q128" s="110">
        <v>20826.307932021609</v>
      </c>
      <c r="R128" s="113">
        <v>92789.582914269209</v>
      </c>
      <c r="S128" s="113">
        <v>105944.21409053932</v>
      </c>
      <c r="U128" s="7" t="s">
        <v>6918</v>
      </c>
    </row>
    <row r="129" spans="1:21" ht="16.5" thickBot="1">
      <c r="A129" s="207" t="s">
        <v>10</v>
      </c>
      <c r="B129" s="211">
        <f t="shared" si="6"/>
        <v>140</v>
      </c>
      <c r="C129" s="211" t="s">
        <v>3</v>
      </c>
      <c r="D129" s="211">
        <f t="shared" si="7"/>
        <v>260</v>
      </c>
      <c r="E129" s="211" t="s">
        <v>3</v>
      </c>
      <c r="F129" s="209">
        <f t="shared" si="8"/>
        <v>1750</v>
      </c>
      <c r="G129" s="211" t="s">
        <v>3</v>
      </c>
      <c r="H129" s="208">
        <v>4</v>
      </c>
      <c r="I129" s="210" t="s">
        <v>530</v>
      </c>
      <c r="J129" s="103">
        <v>140</v>
      </c>
      <c r="K129" s="66">
        <v>260</v>
      </c>
      <c r="L129" s="66">
        <v>1750</v>
      </c>
      <c r="M129" s="164">
        <v>22.873501364265493</v>
      </c>
      <c r="N129" s="78">
        <v>7927.7766203999981</v>
      </c>
      <c r="O129" s="113">
        <v>73079.713224941268</v>
      </c>
      <c r="P129" s="113">
        <v>86547.246663279409</v>
      </c>
      <c r="Q129" s="110">
        <v>21548.09763728534</v>
      </c>
      <c r="R129" s="113">
        <v>94627.810862226615</v>
      </c>
      <c r="S129" s="113">
        <v>108095.34430056476</v>
      </c>
      <c r="U129" s="7" t="s">
        <v>6919</v>
      </c>
    </row>
    <row r="130" spans="1:21" ht="16.5" thickBot="1">
      <c r="A130" s="207" t="s">
        <v>10</v>
      </c>
      <c r="B130" s="211">
        <f t="shared" si="6"/>
        <v>140</v>
      </c>
      <c r="C130" s="211" t="s">
        <v>3</v>
      </c>
      <c r="D130" s="211">
        <f t="shared" si="7"/>
        <v>260</v>
      </c>
      <c r="E130" s="211" t="s">
        <v>3</v>
      </c>
      <c r="F130" s="209">
        <f t="shared" si="8"/>
        <v>1800</v>
      </c>
      <c r="G130" s="211" t="s">
        <v>3</v>
      </c>
      <c r="H130" s="208">
        <v>4</v>
      </c>
      <c r="I130" s="210" t="s">
        <v>530</v>
      </c>
      <c r="J130" s="103">
        <v>140</v>
      </c>
      <c r="K130" s="66">
        <v>260</v>
      </c>
      <c r="L130" s="66">
        <v>1800</v>
      </c>
      <c r="M130" s="164">
        <v>23.43790604252375</v>
      </c>
      <c r="N130" s="78">
        <v>8210.9114996999979</v>
      </c>
      <c r="O130" s="113">
        <v>74279.918373068766</v>
      </c>
      <c r="P130" s="113">
        <v>88062.399472782738</v>
      </c>
      <c r="Q130" s="110">
        <v>22018.553204765303</v>
      </c>
      <c r="R130" s="113">
        <v>96298.471577834076</v>
      </c>
      <c r="S130" s="113">
        <v>110080.95267754805</v>
      </c>
      <c r="U130" s="7" t="s">
        <v>6920</v>
      </c>
    </row>
    <row r="131" spans="1:21" ht="16.5" thickBot="1">
      <c r="A131" s="207" t="s">
        <v>10</v>
      </c>
      <c r="B131" s="211">
        <f t="shared" si="6"/>
        <v>140</v>
      </c>
      <c r="C131" s="211" t="s">
        <v>3</v>
      </c>
      <c r="D131" s="211">
        <f t="shared" si="7"/>
        <v>260</v>
      </c>
      <c r="E131" s="211" t="s">
        <v>3</v>
      </c>
      <c r="F131" s="209">
        <f t="shared" si="8"/>
        <v>1850</v>
      </c>
      <c r="G131" s="211" t="s">
        <v>3</v>
      </c>
      <c r="H131" s="208">
        <v>4</v>
      </c>
      <c r="I131" s="210" t="s">
        <v>530</v>
      </c>
      <c r="J131" s="103">
        <v>140</v>
      </c>
      <c r="K131" s="66">
        <v>260</v>
      </c>
      <c r="L131" s="66">
        <v>1850</v>
      </c>
      <c r="M131" s="164">
        <v>24.018498720781999</v>
      </c>
      <c r="N131" s="78">
        <v>8494.0463789999976</v>
      </c>
      <c r="O131" s="113">
        <v>75480.071101192763</v>
      </c>
      <c r="P131" s="113">
        <v>89577.498486553974</v>
      </c>
      <c r="Q131" s="110">
        <v>22740.342910029034</v>
      </c>
      <c r="R131" s="113">
        <v>98220.414011221801</v>
      </c>
      <c r="S131" s="113">
        <v>112317.84139658301</v>
      </c>
      <c r="U131" s="7" t="s">
        <v>6921</v>
      </c>
    </row>
    <row r="132" spans="1:21" ht="16.5" thickBot="1">
      <c r="A132" s="207" t="s">
        <v>10</v>
      </c>
      <c r="B132" s="211">
        <f t="shared" si="6"/>
        <v>140</v>
      </c>
      <c r="C132" s="211" t="s">
        <v>3</v>
      </c>
      <c r="D132" s="211">
        <f t="shared" si="7"/>
        <v>260</v>
      </c>
      <c r="E132" s="211" t="s">
        <v>3</v>
      </c>
      <c r="F132" s="209">
        <f t="shared" si="8"/>
        <v>1900</v>
      </c>
      <c r="G132" s="211" t="s">
        <v>3</v>
      </c>
      <c r="H132" s="208">
        <v>4</v>
      </c>
      <c r="I132" s="210" t="s">
        <v>530</v>
      </c>
      <c r="J132" s="103">
        <v>140</v>
      </c>
      <c r="K132" s="66">
        <v>260</v>
      </c>
      <c r="L132" s="66">
        <v>1900</v>
      </c>
      <c r="M132" s="164">
        <v>24.582903399040248</v>
      </c>
      <c r="N132" s="78">
        <v>8777.1812582999992</v>
      </c>
      <c r="O132" s="113">
        <v>76871.033032256702</v>
      </c>
      <c r="P132" s="113">
        <v>91288.065573732412</v>
      </c>
      <c r="Q132" s="110">
        <v>23210.798477508997</v>
      </c>
      <c r="R132" s="113">
        <v>100081.8315097657</v>
      </c>
      <c r="S132" s="113">
        <v>114498.86405124141</v>
      </c>
      <c r="U132" s="7" t="s">
        <v>6922</v>
      </c>
    </row>
    <row r="133" spans="1:21" ht="16.5" thickBot="1">
      <c r="A133" s="207" t="s">
        <v>10</v>
      </c>
      <c r="B133" s="211">
        <f t="shared" si="6"/>
        <v>140</v>
      </c>
      <c r="C133" s="211" t="s">
        <v>3</v>
      </c>
      <c r="D133" s="211">
        <f t="shared" si="7"/>
        <v>260</v>
      </c>
      <c r="E133" s="211" t="s">
        <v>3</v>
      </c>
      <c r="F133" s="209">
        <f t="shared" si="8"/>
        <v>1950</v>
      </c>
      <c r="G133" s="211" t="s">
        <v>3</v>
      </c>
      <c r="H133" s="208">
        <v>4</v>
      </c>
      <c r="I133" s="210" t="s">
        <v>530</v>
      </c>
      <c r="J133" s="103">
        <v>140</v>
      </c>
      <c r="K133" s="66">
        <v>260</v>
      </c>
      <c r="L133" s="66">
        <v>1950</v>
      </c>
      <c r="M133" s="164">
        <v>25.2218830772985</v>
      </c>
      <c r="N133" s="78">
        <v>9060.3161375999989</v>
      </c>
      <c r="O133" s="113">
        <v>78461.951521907438</v>
      </c>
      <c r="P133" s="113">
        <v>93203.471296191434</v>
      </c>
      <c r="Q133" s="110">
        <v>23681.25404498896</v>
      </c>
      <c r="R133" s="113">
        <v>102143.2055668964</v>
      </c>
      <c r="S133" s="113">
        <v>116884.7253411804</v>
      </c>
      <c r="U133" s="7" t="s">
        <v>6923</v>
      </c>
    </row>
    <row r="134" spans="1:21" ht="16.5" thickBot="1">
      <c r="A134" s="207" t="s">
        <v>10</v>
      </c>
      <c r="B134" s="211">
        <f t="shared" si="6"/>
        <v>140</v>
      </c>
      <c r="C134" s="211" t="s">
        <v>3</v>
      </c>
      <c r="D134" s="211">
        <f t="shared" si="7"/>
        <v>260</v>
      </c>
      <c r="E134" s="211" t="s">
        <v>3</v>
      </c>
      <c r="F134" s="209">
        <f t="shared" si="8"/>
        <v>2000</v>
      </c>
      <c r="G134" s="211" t="s">
        <v>3</v>
      </c>
      <c r="H134" s="208">
        <v>4</v>
      </c>
      <c r="I134" s="210" t="s">
        <v>530</v>
      </c>
      <c r="J134" s="103">
        <v>140</v>
      </c>
      <c r="K134" s="66">
        <v>260</v>
      </c>
      <c r="L134" s="66">
        <v>2000</v>
      </c>
      <c r="M134" s="164">
        <v>25.889460035556752</v>
      </c>
      <c r="N134" s="78">
        <v>9343.4510168999968</v>
      </c>
      <c r="O134" s="113">
        <v>79886.951465215054</v>
      </c>
      <c r="P134" s="113">
        <v>95175.805854028236</v>
      </c>
      <c r="Q134" s="110">
        <v>24403.043750252691</v>
      </c>
      <c r="R134" s="113">
        <v>104289.99521546774</v>
      </c>
      <c r="S134" s="113">
        <v>119578.84960428093</v>
      </c>
      <c r="U134" s="7" t="s">
        <v>6924</v>
      </c>
    </row>
    <row r="135" spans="1:21" ht="16.5" thickBot="1">
      <c r="A135" s="207" t="s">
        <v>10</v>
      </c>
      <c r="B135" s="211">
        <f t="shared" si="6"/>
        <v>140</v>
      </c>
      <c r="C135" s="211" t="s">
        <v>3</v>
      </c>
      <c r="D135" s="211">
        <f t="shared" si="7"/>
        <v>260</v>
      </c>
      <c r="E135" s="211" t="s">
        <v>3</v>
      </c>
      <c r="F135" s="209">
        <f t="shared" si="8"/>
        <v>2050</v>
      </c>
      <c r="G135" s="211" t="s">
        <v>3</v>
      </c>
      <c r="H135" s="208">
        <v>4</v>
      </c>
      <c r="I135" s="210" t="s">
        <v>530</v>
      </c>
      <c r="J135" s="103">
        <v>140</v>
      </c>
      <c r="K135" s="66">
        <v>260</v>
      </c>
      <c r="L135" s="66">
        <v>2050</v>
      </c>
      <c r="M135" s="164">
        <v>27.272764713815</v>
      </c>
      <c r="N135" s="78">
        <v>9626.5858961999966</v>
      </c>
      <c r="O135" s="113">
        <v>83424.031784172112</v>
      </c>
      <c r="P135" s="113">
        <v>99084.891085357449</v>
      </c>
      <c r="Q135" s="110">
        <v>24873.499317732651</v>
      </c>
      <c r="R135" s="113">
        <v>108297.53110190477</v>
      </c>
      <c r="S135" s="113">
        <v>123958.3904030901</v>
      </c>
      <c r="U135" s="7" t="s">
        <v>6925</v>
      </c>
    </row>
    <row r="136" spans="1:21" ht="16.5" thickBot="1">
      <c r="A136" s="207" t="s">
        <v>10</v>
      </c>
      <c r="B136" s="208">
        <f t="shared" si="6"/>
        <v>140</v>
      </c>
      <c r="C136" s="208" t="s">
        <v>3</v>
      </c>
      <c r="D136" s="208">
        <f t="shared" si="7"/>
        <v>260</v>
      </c>
      <c r="E136" s="208" t="s">
        <v>3</v>
      </c>
      <c r="F136" s="209">
        <f t="shared" si="8"/>
        <v>2100</v>
      </c>
      <c r="G136" s="208" t="s">
        <v>3</v>
      </c>
      <c r="H136" s="208">
        <v>4</v>
      </c>
      <c r="I136" s="210" t="s">
        <v>530</v>
      </c>
      <c r="J136" s="103">
        <v>140</v>
      </c>
      <c r="K136" s="66">
        <v>260</v>
      </c>
      <c r="L136" s="66">
        <v>2100</v>
      </c>
      <c r="M136" s="164">
        <v>27.853357392073242</v>
      </c>
      <c r="N136" s="78">
        <v>9909.7207754999981</v>
      </c>
      <c r="O136" s="113">
        <v>84691.687949052983</v>
      </c>
      <c r="P136" s="113">
        <v>100669.14180871475</v>
      </c>
      <c r="Q136" s="110">
        <v>25595.289022996385</v>
      </c>
      <c r="R136" s="113">
        <v>110286.97697204936</v>
      </c>
      <c r="S136" s="113">
        <v>126264.43083171113</v>
      </c>
      <c r="U136" s="7" t="s">
        <v>6926</v>
      </c>
    </row>
    <row r="137" spans="1:21" ht="16.5" thickBot="1">
      <c r="A137" s="207" t="s">
        <v>10</v>
      </c>
      <c r="B137" s="211">
        <f t="shared" si="6"/>
        <v>140</v>
      </c>
      <c r="C137" s="211" t="s">
        <v>3</v>
      </c>
      <c r="D137" s="211">
        <f t="shared" si="7"/>
        <v>260</v>
      </c>
      <c r="E137" s="211" t="s">
        <v>3</v>
      </c>
      <c r="F137" s="209">
        <f t="shared" si="8"/>
        <v>2150</v>
      </c>
      <c r="G137" s="211" t="s">
        <v>3</v>
      </c>
      <c r="H137" s="208">
        <v>4</v>
      </c>
      <c r="I137" s="210" t="s">
        <v>530</v>
      </c>
      <c r="J137" s="103">
        <v>140</v>
      </c>
      <c r="K137" s="66">
        <v>260</v>
      </c>
      <c r="L137" s="66">
        <v>2150</v>
      </c>
      <c r="M137" s="164">
        <v>28.417762070331499</v>
      </c>
      <c r="N137" s="78">
        <v>10192.855654799998</v>
      </c>
      <c r="O137" s="113">
        <v>86120.247119545704</v>
      </c>
      <c r="P137" s="113">
        <v>102418.22407836955</v>
      </c>
      <c r="Q137" s="110">
        <v>26065.744590476344</v>
      </c>
      <c r="R137" s="113">
        <v>112185.99171002205</v>
      </c>
      <c r="S137" s="113">
        <v>128483.96866884589</v>
      </c>
      <c r="U137" s="7" t="s">
        <v>6927</v>
      </c>
    </row>
    <row r="138" spans="1:21" ht="16.5" thickBot="1">
      <c r="A138" s="207" t="s">
        <v>10</v>
      </c>
      <c r="B138" s="211">
        <f t="shared" si="6"/>
        <v>140</v>
      </c>
      <c r="C138" s="211" t="s">
        <v>3</v>
      </c>
      <c r="D138" s="211">
        <f t="shared" si="7"/>
        <v>260</v>
      </c>
      <c r="E138" s="211" t="s">
        <v>3</v>
      </c>
      <c r="F138" s="209">
        <f t="shared" si="8"/>
        <v>2200</v>
      </c>
      <c r="G138" s="211" t="s">
        <v>3</v>
      </c>
      <c r="H138" s="208">
        <v>4</v>
      </c>
      <c r="I138" s="210" t="s">
        <v>530</v>
      </c>
      <c r="J138" s="103">
        <v>140</v>
      </c>
      <c r="K138" s="66">
        <v>260</v>
      </c>
      <c r="L138" s="66">
        <v>2200</v>
      </c>
      <c r="M138" s="164">
        <v>28.998354748589747</v>
      </c>
      <c r="N138" s="78">
        <v>10475.990534099999</v>
      </c>
      <c r="O138" s="113">
        <v>87548.753870034911</v>
      </c>
      <c r="P138" s="113">
        <v>104167.25269460904</v>
      </c>
      <c r="Q138" s="110">
        <v>26787.534295740079</v>
      </c>
      <c r="R138" s="113">
        <v>114336.28816577498</v>
      </c>
      <c r="S138" s="113">
        <v>130954.78699034912</v>
      </c>
      <c r="U138" s="7" t="s">
        <v>6928</v>
      </c>
    </row>
    <row r="139" spans="1:21" ht="16.5" thickBot="1">
      <c r="A139" s="207" t="s">
        <v>10</v>
      </c>
      <c r="B139" s="211">
        <f t="shared" si="6"/>
        <v>140</v>
      </c>
      <c r="C139" s="211" t="s">
        <v>3</v>
      </c>
      <c r="D139" s="211">
        <f t="shared" si="7"/>
        <v>260</v>
      </c>
      <c r="E139" s="211" t="s">
        <v>3</v>
      </c>
      <c r="F139" s="209">
        <f t="shared" si="8"/>
        <v>2250</v>
      </c>
      <c r="G139" s="211" t="s">
        <v>3</v>
      </c>
      <c r="H139" s="208">
        <v>4</v>
      </c>
      <c r="I139" s="210" t="s">
        <v>530</v>
      </c>
      <c r="J139" s="103">
        <v>140</v>
      </c>
      <c r="K139" s="66">
        <v>260</v>
      </c>
      <c r="L139" s="66">
        <v>2250</v>
      </c>
      <c r="M139" s="164">
        <v>29.562759426847997</v>
      </c>
      <c r="N139" s="78">
        <v>10759.125413399997</v>
      </c>
      <c r="O139" s="113">
        <v>89325.636679573174</v>
      </c>
      <c r="P139" s="113">
        <v>106273.16319376437</v>
      </c>
      <c r="Q139" s="110">
        <v>27257.989710191272</v>
      </c>
      <c r="R139" s="113">
        <v>116583.62638976445</v>
      </c>
      <c r="S139" s="113">
        <v>133531.15290395563</v>
      </c>
      <c r="U139" s="7" t="s">
        <v>6929</v>
      </c>
    </row>
    <row r="140" spans="1:21" ht="16.5" thickBot="1">
      <c r="A140" s="207" t="s">
        <v>10</v>
      </c>
      <c r="B140" s="211">
        <f t="shared" si="6"/>
        <v>140</v>
      </c>
      <c r="C140" s="211" t="s">
        <v>3</v>
      </c>
      <c r="D140" s="211">
        <f t="shared" si="7"/>
        <v>260</v>
      </c>
      <c r="E140" s="211" t="s">
        <v>3</v>
      </c>
      <c r="F140" s="209">
        <f t="shared" si="8"/>
        <v>2300</v>
      </c>
      <c r="G140" s="211" t="s">
        <v>3</v>
      </c>
      <c r="H140" s="208">
        <v>4</v>
      </c>
      <c r="I140" s="210" t="s">
        <v>530</v>
      </c>
      <c r="J140" s="103">
        <v>140</v>
      </c>
      <c r="K140" s="66">
        <v>260</v>
      </c>
      <c r="L140" s="66">
        <v>2300</v>
      </c>
      <c r="M140" s="164">
        <v>30.127164105106253</v>
      </c>
      <c r="N140" s="78">
        <v>11042.260292699997</v>
      </c>
      <c r="O140" s="113">
        <v>90489.376496138881</v>
      </c>
      <c r="P140" s="113">
        <v>107750.96027536635</v>
      </c>
      <c r="Q140" s="110">
        <v>27728.445277671239</v>
      </c>
      <c r="R140" s="113">
        <v>118217.82177381012</v>
      </c>
      <c r="S140" s="113">
        <v>135479.40555303759</v>
      </c>
      <c r="U140" s="7" t="s">
        <v>6930</v>
      </c>
    </row>
    <row r="141" spans="1:21" ht="16.5" thickBot="1">
      <c r="A141" s="207" t="s">
        <v>10</v>
      </c>
      <c r="B141" s="211">
        <f t="shared" si="6"/>
        <v>140</v>
      </c>
      <c r="C141" s="211" t="s">
        <v>3</v>
      </c>
      <c r="D141" s="211">
        <f t="shared" si="7"/>
        <v>260</v>
      </c>
      <c r="E141" s="211" t="s">
        <v>3</v>
      </c>
      <c r="F141" s="209">
        <f t="shared" si="8"/>
        <v>2350</v>
      </c>
      <c r="G141" s="211" t="s">
        <v>3</v>
      </c>
      <c r="H141" s="208">
        <v>4</v>
      </c>
      <c r="I141" s="210" t="s">
        <v>530</v>
      </c>
      <c r="J141" s="103">
        <v>140</v>
      </c>
      <c r="K141" s="66">
        <v>260</v>
      </c>
      <c r="L141" s="66">
        <v>2350</v>
      </c>
      <c r="M141" s="164">
        <v>30.707756783364495</v>
      </c>
      <c r="N141" s="78">
        <v>11325.395171999999</v>
      </c>
      <c r="O141" s="113">
        <v>91653.063762626683</v>
      </c>
      <c r="P141" s="113">
        <v>109228.70356123621</v>
      </c>
      <c r="Q141" s="110">
        <v>28450.234982934966</v>
      </c>
      <c r="R141" s="113">
        <v>120103.29874556165</v>
      </c>
      <c r="S141" s="113">
        <v>137678.93854417116</v>
      </c>
      <c r="U141" s="7" t="s">
        <v>6931</v>
      </c>
    </row>
    <row r="142" spans="1:21" ht="16.5" thickBot="1">
      <c r="A142" s="207" t="s">
        <v>10</v>
      </c>
      <c r="B142" s="211">
        <f t="shared" si="6"/>
        <v>140</v>
      </c>
      <c r="C142" s="211" t="s">
        <v>3</v>
      </c>
      <c r="D142" s="211">
        <f t="shared" si="7"/>
        <v>260</v>
      </c>
      <c r="E142" s="211" t="s">
        <v>3</v>
      </c>
      <c r="F142" s="209">
        <f t="shared" si="8"/>
        <v>2400</v>
      </c>
      <c r="G142" s="211" t="s">
        <v>3</v>
      </c>
      <c r="H142" s="208">
        <v>4</v>
      </c>
      <c r="I142" s="210" t="s">
        <v>530</v>
      </c>
      <c r="J142" s="103">
        <v>140</v>
      </c>
      <c r="K142" s="66">
        <v>260</v>
      </c>
      <c r="L142" s="66">
        <v>2400</v>
      </c>
      <c r="M142" s="164">
        <v>31.272161461622748</v>
      </c>
      <c r="N142" s="78">
        <v>11608.530051299997</v>
      </c>
      <c r="O142" s="113">
        <v>92816.698739185405</v>
      </c>
      <c r="P142" s="113">
        <v>110706.39319369075</v>
      </c>
      <c r="Q142" s="110">
        <v>28920.690550414929</v>
      </c>
      <c r="R142" s="113">
        <v>121737.38928960034</v>
      </c>
      <c r="S142" s="113">
        <v>139627.08374410568</v>
      </c>
      <c r="U142" s="7" t="s">
        <v>6932</v>
      </c>
    </row>
    <row r="143" spans="1:21" ht="16.5" thickBot="1">
      <c r="A143" s="207" t="s">
        <v>10</v>
      </c>
      <c r="B143" s="211">
        <f t="shared" si="6"/>
        <v>140</v>
      </c>
      <c r="C143" s="211" t="s">
        <v>3</v>
      </c>
      <c r="D143" s="211">
        <f t="shared" si="7"/>
        <v>260</v>
      </c>
      <c r="E143" s="211" t="s">
        <v>3</v>
      </c>
      <c r="F143" s="209">
        <f t="shared" si="8"/>
        <v>2450</v>
      </c>
      <c r="G143" s="211" t="s">
        <v>3</v>
      </c>
      <c r="H143" s="208">
        <v>4</v>
      </c>
      <c r="I143" s="210" t="s">
        <v>530</v>
      </c>
      <c r="J143" s="103">
        <v>140</v>
      </c>
      <c r="K143" s="66">
        <v>260</v>
      </c>
      <c r="L143" s="66">
        <v>2450</v>
      </c>
      <c r="M143" s="164">
        <v>32.572769449242998</v>
      </c>
      <c r="N143" s="78">
        <v>11891.664930599998</v>
      </c>
      <c r="O143" s="113">
        <v>94500.517181727264</v>
      </c>
      <c r="P143" s="113">
        <v>112870.83999593281</v>
      </c>
      <c r="Q143" s="110">
        <v>29642.480255678664</v>
      </c>
      <c r="R143" s="113">
        <v>124142.99743740592</v>
      </c>
      <c r="S143" s="113">
        <v>142513.32025161147</v>
      </c>
      <c r="U143" s="7" t="s">
        <v>6933</v>
      </c>
    </row>
    <row r="144" spans="1:21" ht="16.5" thickBot="1">
      <c r="A144" s="207" t="s">
        <v>10</v>
      </c>
      <c r="B144" s="211">
        <f t="shared" si="6"/>
        <v>140</v>
      </c>
      <c r="C144" s="211" t="s">
        <v>3</v>
      </c>
      <c r="D144" s="211">
        <f t="shared" si="7"/>
        <v>260</v>
      </c>
      <c r="E144" s="211" t="s">
        <v>3</v>
      </c>
      <c r="F144" s="209">
        <f t="shared" si="8"/>
        <v>2500</v>
      </c>
      <c r="G144" s="211" t="s">
        <v>3</v>
      </c>
      <c r="H144" s="208">
        <v>4</v>
      </c>
      <c r="I144" s="210" t="s">
        <v>530</v>
      </c>
      <c r="J144" s="103">
        <v>140</v>
      </c>
      <c r="K144" s="66">
        <v>260</v>
      </c>
      <c r="L144" s="66">
        <v>2500</v>
      </c>
      <c r="M144" s="164">
        <v>33.137174127501247</v>
      </c>
      <c r="N144" s="78">
        <v>12174.799809899996</v>
      </c>
      <c r="O144" s="113">
        <v>95664.047188204568</v>
      </c>
      <c r="P144" s="113">
        <v>114348.42217923993</v>
      </c>
      <c r="Q144" s="110">
        <v>30112.935823158623</v>
      </c>
      <c r="R144" s="113">
        <v>125776.98301136319</v>
      </c>
      <c r="S144" s="113">
        <v>144461.35800239857</v>
      </c>
      <c r="U144" s="7" t="s">
        <v>6934</v>
      </c>
    </row>
    <row r="145" spans="1:21" ht="16.5" thickBot="1">
      <c r="A145" s="207" t="s">
        <v>10</v>
      </c>
      <c r="B145" s="211">
        <f t="shared" si="6"/>
        <v>140</v>
      </c>
      <c r="C145" s="211" t="s">
        <v>3</v>
      </c>
      <c r="D145" s="211">
        <f t="shared" si="7"/>
        <v>260</v>
      </c>
      <c r="E145" s="211" t="s">
        <v>3</v>
      </c>
      <c r="F145" s="209">
        <f t="shared" si="8"/>
        <v>2550</v>
      </c>
      <c r="G145" s="211" t="s">
        <v>3</v>
      </c>
      <c r="H145" s="208">
        <v>4</v>
      </c>
      <c r="I145" s="210" t="s">
        <v>530</v>
      </c>
      <c r="J145" s="103">
        <v>140</v>
      </c>
      <c r="K145" s="66">
        <v>260</v>
      </c>
      <c r="L145" s="66">
        <v>2550</v>
      </c>
      <c r="M145" s="164">
        <v>33.717766805759503</v>
      </c>
      <c r="N145" s="78">
        <v>12457.934689199998</v>
      </c>
      <c r="O145" s="113">
        <v>100418.35094600149</v>
      </c>
      <c r="P145" s="113">
        <v>119504.45063933772</v>
      </c>
      <c r="Q145" s="110">
        <v>30834.725528422357</v>
      </c>
      <c r="R145" s="113">
        <v>131253.07647442384</v>
      </c>
      <c r="S145" s="113">
        <v>150339.17616776007</v>
      </c>
      <c r="U145" s="7" t="s">
        <v>6935</v>
      </c>
    </row>
    <row r="146" spans="1:21" ht="16.5" thickBot="1">
      <c r="A146" s="207" t="s">
        <v>10</v>
      </c>
      <c r="B146" s="208">
        <f t="shared" si="6"/>
        <v>140</v>
      </c>
      <c r="C146" s="208" t="s">
        <v>3</v>
      </c>
      <c r="D146" s="208">
        <f t="shared" si="7"/>
        <v>260</v>
      </c>
      <c r="E146" s="208" t="s">
        <v>3</v>
      </c>
      <c r="F146" s="209">
        <f t="shared" si="8"/>
        <v>2600</v>
      </c>
      <c r="G146" s="208" t="s">
        <v>3</v>
      </c>
      <c r="H146" s="208">
        <v>4</v>
      </c>
      <c r="I146" s="210" t="s">
        <v>530</v>
      </c>
      <c r="J146" s="103">
        <v>140</v>
      </c>
      <c r="K146" s="66">
        <v>260</v>
      </c>
      <c r="L146" s="66">
        <v>2600</v>
      </c>
      <c r="M146" s="164">
        <v>34.282171484017752</v>
      </c>
      <c r="N146" s="78">
        <v>12741.069568499997</v>
      </c>
      <c r="O146" s="113">
        <v>101876.73397669522</v>
      </c>
      <c r="P146" s="113">
        <v>121284.08504226853</v>
      </c>
      <c r="Q146" s="110">
        <v>31305.181095902317</v>
      </c>
      <c r="R146" s="113">
        <v>133181.91507259753</v>
      </c>
      <c r="S146" s="113">
        <v>152589.26613817085</v>
      </c>
      <c r="U146" s="7" t="s">
        <v>6936</v>
      </c>
    </row>
    <row r="147" spans="1:21" ht="16.5" thickBot="1">
      <c r="A147" s="207" t="s">
        <v>10</v>
      </c>
      <c r="B147" s="211">
        <f t="shared" si="6"/>
        <v>140</v>
      </c>
      <c r="C147" s="211" t="s">
        <v>3</v>
      </c>
      <c r="D147" s="211">
        <f t="shared" si="7"/>
        <v>260</v>
      </c>
      <c r="E147" s="211" t="s">
        <v>3</v>
      </c>
      <c r="F147" s="209">
        <f t="shared" si="8"/>
        <v>2650</v>
      </c>
      <c r="G147" s="211" t="s">
        <v>3</v>
      </c>
      <c r="H147" s="208">
        <v>4</v>
      </c>
      <c r="I147" s="210" t="s">
        <v>530</v>
      </c>
      <c r="J147" s="103">
        <v>140</v>
      </c>
      <c r="K147" s="66">
        <v>260</v>
      </c>
      <c r="L147" s="66">
        <v>2650</v>
      </c>
      <c r="M147" s="164">
        <v>34.862764162276001</v>
      </c>
      <c r="N147" s="78">
        <v>13024.204447799995</v>
      </c>
      <c r="O147" s="113">
        <v>102865.74140216169</v>
      </c>
      <c r="P147" s="113">
        <v>122582.88351422154</v>
      </c>
      <c r="Q147" s="110">
        <v>32026.970801166051</v>
      </c>
      <c r="R147" s="113">
        <v>134892.71220332774</v>
      </c>
      <c r="S147" s="113">
        <v>154609.85431538758</v>
      </c>
      <c r="U147" s="7" t="s">
        <v>6937</v>
      </c>
    </row>
    <row r="148" spans="1:21" ht="16.5" thickBot="1">
      <c r="A148" s="207" t="s">
        <v>10</v>
      </c>
      <c r="B148" s="211">
        <f t="shared" si="6"/>
        <v>140</v>
      </c>
      <c r="C148" s="211" t="s">
        <v>3</v>
      </c>
      <c r="D148" s="211">
        <f t="shared" si="7"/>
        <v>260</v>
      </c>
      <c r="E148" s="211" t="s">
        <v>3</v>
      </c>
      <c r="F148" s="209">
        <f t="shared" si="8"/>
        <v>2700</v>
      </c>
      <c r="G148" s="211" t="s">
        <v>3</v>
      </c>
      <c r="H148" s="208">
        <v>4</v>
      </c>
      <c r="I148" s="210" t="s">
        <v>530</v>
      </c>
      <c r="J148" s="103">
        <v>140</v>
      </c>
      <c r="K148" s="66">
        <v>260</v>
      </c>
      <c r="L148" s="66">
        <v>2700</v>
      </c>
      <c r="M148" s="164">
        <v>35.501743840534253</v>
      </c>
      <c r="N148" s="78">
        <v>13307.339327099997</v>
      </c>
      <c r="O148" s="113">
        <v>103919.68732629846</v>
      </c>
      <c r="P148" s="113">
        <v>123948.20581694295</v>
      </c>
      <c r="Q148" s="110">
        <v>32497.426368646011</v>
      </c>
      <c r="R148" s="113">
        <v>136417.11369494448</v>
      </c>
      <c r="S148" s="113">
        <v>156445.63218558897</v>
      </c>
      <c r="U148" s="7" t="s">
        <v>6938</v>
      </c>
    </row>
    <row r="149" spans="1:21" ht="16.5" thickBot="1">
      <c r="A149" s="207" t="s">
        <v>10</v>
      </c>
      <c r="B149" s="211">
        <f t="shared" si="6"/>
        <v>140</v>
      </c>
      <c r="C149" s="211" t="s">
        <v>3</v>
      </c>
      <c r="D149" s="211">
        <f t="shared" si="7"/>
        <v>260</v>
      </c>
      <c r="E149" s="211" t="s">
        <v>3</v>
      </c>
      <c r="F149" s="209">
        <f t="shared" si="8"/>
        <v>2750</v>
      </c>
      <c r="G149" s="211" t="s">
        <v>3</v>
      </c>
      <c r="H149" s="208">
        <v>4</v>
      </c>
      <c r="I149" s="210" t="s">
        <v>530</v>
      </c>
      <c r="J149" s="103">
        <v>140</v>
      </c>
      <c r="K149" s="66">
        <v>260</v>
      </c>
      <c r="L149" s="66">
        <v>2750</v>
      </c>
      <c r="M149" s="164">
        <v>36.066148518792502</v>
      </c>
      <c r="N149" s="78">
        <v>13590.474206399997</v>
      </c>
      <c r="O149" s="113">
        <v>104997.70183650579</v>
      </c>
      <c r="P149" s="113">
        <v>125338.18449687319</v>
      </c>
      <c r="Q149" s="110">
        <v>32967.881936125974</v>
      </c>
      <c r="R149" s="113">
        <v>137965.58377263177</v>
      </c>
      <c r="S149" s="113">
        <v>158306.06643299916</v>
      </c>
      <c r="U149" s="7" t="s">
        <v>6939</v>
      </c>
    </row>
    <row r="150" spans="1:21" ht="16.5" thickBot="1">
      <c r="A150" s="207" t="s">
        <v>10</v>
      </c>
      <c r="B150" s="211">
        <f t="shared" si="6"/>
        <v>140</v>
      </c>
      <c r="C150" s="211" t="s">
        <v>3</v>
      </c>
      <c r="D150" s="211">
        <f t="shared" si="7"/>
        <v>260</v>
      </c>
      <c r="E150" s="211" t="s">
        <v>3</v>
      </c>
      <c r="F150" s="209">
        <f t="shared" si="8"/>
        <v>2800</v>
      </c>
      <c r="G150" s="211" t="s">
        <v>3</v>
      </c>
      <c r="H150" s="208">
        <v>4</v>
      </c>
      <c r="I150" s="210" t="s">
        <v>530</v>
      </c>
      <c r="J150" s="103">
        <v>140</v>
      </c>
      <c r="K150" s="66">
        <v>260</v>
      </c>
      <c r="L150" s="66">
        <v>2800</v>
      </c>
      <c r="M150" s="164">
        <v>36.646741197050751</v>
      </c>
      <c r="N150" s="78">
        <v>13873.609085699996</v>
      </c>
      <c r="O150" s="113">
        <v>105985.36390193221</v>
      </c>
      <c r="P150" s="113">
        <v>126635.60463108729</v>
      </c>
      <c r="Q150" s="110">
        <v>33689.671488360938</v>
      </c>
      <c r="R150" s="113">
        <v>139675.03539029317</v>
      </c>
      <c r="S150" s="113">
        <v>160325.27611944824</v>
      </c>
      <c r="U150" s="7" t="s">
        <v>6940</v>
      </c>
    </row>
    <row r="151" spans="1:21" ht="16.5" thickBot="1">
      <c r="A151" s="207" t="s">
        <v>10</v>
      </c>
      <c r="B151" s="211">
        <f t="shared" si="6"/>
        <v>140</v>
      </c>
      <c r="C151" s="211" t="s">
        <v>3</v>
      </c>
      <c r="D151" s="211">
        <f t="shared" si="7"/>
        <v>260</v>
      </c>
      <c r="E151" s="211" t="s">
        <v>3</v>
      </c>
      <c r="F151" s="209">
        <f t="shared" si="8"/>
        <v>2850</v>
      </c>
      <c r="G151" s="211" t="s">
        <v>3</v>
      </c>
      <c r="H151" s="208">
        <v>4</v>
      </c>
      <c r="I151" s="210" t="s">
        <v>530</v>
      </c>
      <c r="J151" s="103">
        <v>140</v>
      </c>
      <c r="K151" s="66">
        <v>260</v>
      </c>
      <c r="L151" s="66">
        <v>2850</v>
      </c>
      <c r="M151" s="164">
        <v>38.030045875309</v>
      </c>
      <c r="N151" s="78">
        <v>14156.743964999996</v>
      </c>
      <c r="O151" s="113">
        <v>106972.97341728069</v>
      </c>
      <c r="P151" s="113">
        <v>127932.97111188606</v>
      </c>
      <c r="Q151" s="110">
        <v>34160.127055840901</v>
      </c>
      <c r="R151" s="113">
        <v>141133.10047312159</v>
      </c>
      <c r="S151" s="113">
        <v>162093.09816772694</v>
      </c>
      <c r="U151" s="7" t="s">
        <v>6941</v>
      </c>
    </row>
    <row r="152" spans="1:21" ht="16.5" thickBot="1">
      <c r="A152" s="207" t="s">
        <v>10</v>
      </c>
      <c r="B152" s="211">
        <f t="shared" si="6"/>
        <v>140</v>
      </c>
      <c r="C152" s="211" t="s">
        <v>3</v>
      </c>
      <c r="D152" s="211">
        <f t="shared" si="7"/>
        <v>260</v>
      </c>
      <c r="E152" s="211" t="s">
        <v>3</v>
      </c>
      <c r="F152" s="209">
        <f t="shared" si="8"/>
        <v>2900</v>
      </c>
      <c r="G152" s="211" t="s">
        <v>3</v>
      </c>
      <c r="H152" s="208">
        <v>4</v>
      </c>
      <c r="I152" s="210" t="s">
        <v>530</v>
      </c>
      <c r="J152" s="103">
        <v>140</v>
      </c>
      <c r="K152" s="66">
        <v>260</v>
      </c>
      <c r="L152" s="66">
        <v>2900</v>
      </c>
      <c r="M152" s="164">
        <v>38.610638553567249</v>
      </c>
      <c r="N152" s="78">
        <v>14439.878844299998</v>
      </c>
      <c r="O152" s="113">
        <v>107960.53064270013</v>
      </c>
      <c r="P152" s="113">
        <v>129230.28379695273</v>
      </c>
      <c r="Q152" s="110">
        <v>34881.916761104636</v>
      </c>
      <c r="R152" s="113">
        <v>142842.44740380478</v>
      </c>
      <c r="S152" s="113">
        <v>164112.20055805738</v>
      </c>
      <c r="U152" s="7" t="s">
        <v>6942</v>
      </c>
    </row>
    <row r="153" spans="1:21" ht="16.5" thickBot="1">
      <c r="A153" s="207" t="s">
        <v>10</v>
      </c>
      <c r="B153" s="211">
        <f t="shared" si="6"/>
        <v>140</v>
      </c>
      <c r="C153" s="211" t="s">
        <v>3</v>
      </c>
      <c r="D153" s="211">
        <f t="shared" si="7"/>
        <v>260</v>
      </c>
      <c r="E153" s="211" t="s">
        <v>3</v>
      </c>
      <c r="F153" s="209">
        <f t="shared" si="8"/>
        <v>2950</v>
      </c>
      <c r="G153" s="211" t="s">
        <v>3</v>
      </c>
      <c r="H153" s="208">
        <v>4</v>
      </c>
      <c r="I153" s="210" t="s">
        <v>530</v>
      </c>
      <c r="J153" s="103">
        <v>140</v>
      </c>
      <c r="K153" s="66">
        <v>260</v>
      </c>
      <c r="L153" s="66">
        <v>2950</v>
      </c>
      <c r="M153" s="164">
        <v>39.175043231825498</v>
      </c>
      <c r="N153" s="78">
        <v>14723.013723599999</v>
      </c>
      <c r="O153" s="113">
        <v>108948.03531804161</v>
      </c>
      <c r="P153" s="113">
        <v>130527.54282860406</v>
      </c>
      <c r="Q153" s="110">
        <v>35352.372328584599</v>
      </c>
      <c r="R153" s="113">
        <v>144300.4076466262</v>
      </c>
      <c r="S153" s="113">
        <v>165879.91515718866</v>
      </c>
      <c r="U153" s="7" t="s">
        <v>6943</v>
      </c>
    </row>
    <row r="154" spans="1:21" ht="16.5" thickBot="1">
      <c r="A154" s="212" t="s">
        <v>10</v>
      </c>
      <c r="B154" s="213">
        <f t="shared" si="6"/>
        <v>140</v>
      </c>
      <c r="C154" s="213" t="s">
        <v>3</v>
      </c>
      <c r="D154" s="213">
        <f t="shared" si="7"/>
        <v>260</v>
      </c>
      <c r="E154" s="213" t="s">
        <v>3</v>
      </c>
      <c r="F154" s="214">
        <f t="shared" si="8"/>
        <v>3000</v>
      </c>
      <c r="G154" s="213" t="s">
        <v>3</v>
      </c>
      <c r="H154" s="215">
        <v>4</v>
      </c>
      <c r="I154" s="210" t="s">
        <v>530</v>
      </c>
      <c r="J154" s="103">
        <v>140</v>
      </c>
      <c r="K154" s="266">
        <v>260</v>
      </c>
      <c r="L154" s="266">
        <v>3000</v>
      </c>
      <c r="M154" s="249">
        <v>39.75563591008374</v>
      </c>
      <c r="N154" s="250">
        <v>15006.148602899997</v>
      </c>
      <c r="O154" s="251">
        <v>111806.83968405257</v>
      </c>
      <c r="P154" s="251">
        <v>133741.79128352582</v>
      </c>
      <c r="Q154" s="252">
        <v>36074.162033848326</v>
      </c>
      <c r="R154" s="251">
        <v>147881.00171790089</v>
      </c>
      <c r="S154" s="251">
        <v>169815.95331737414</v>
      </c>
      <c r="U154" s="7" t="s">
        <v>6944</v>
      </c>
    </row>
    <row r="155" spans="1:21" ht="22.5" customHeight="1" thickBot="1">
      <c r="A155" s="2968" t="s">
        <v>43</v>
      </c>
      <c r="B155" s="2969"/>
      <c r="C155" s="2969"/>
      <c r="D155" s="2969"/>
      <c r="E155" s="2969"/>
      <c r="F155" s="2969"/>
      <c r="G155" s="2969"/>
      <c r="H155" s="2969"/>
      <c r="I155" s="2969"/>
      <c r="J155" s="2969"/>
      <c r="K155" s="2969"/>
      <c r="L155" s="2969"/>
      <c r="M155" s="2969"/>
      <c r="N155" s="2969"/>
      <c r="O155" s="2969"/>
      <c r="P155" s="2969"/>
      <c r="Q155" s="2969"/>
      <c r="R155" s="2969"/>
      <c r="S155" s="2970"/>
      <c r="U155" s="7"/>
    </row>
    <row r="156" spans="1:21" ht="19.5" thickBot="1">
      <c r="A156" s="3015" t="s">
        <v>117</v>
      </c>
      <c r="B156" s="3016"/>
      <c r="C156" s="3016"/>
      <c r="D156" s="3016"/>
      <c r="E156" s="3016"/>
      <c r="F156" s="3016"/>
      <c r="G156" s="3016"/>
      <c r="H156" s="3016"/>
      <c r="I156" s="3016"/>
      <c r="J156" s="3016"/>
      <c r="K156" s="3016"/>
      <c r="L156" s="3016"/>
      <c r="M156" s="3016"/>
      <c r="N156" s="3016"/>
      <c r="O156" s="3016"/>
      <c r="P156" s="3016"/>
      <c r="Q156" s="3016"/>
      <c r="R156" s="3016"/>
      <c r="S156" s="3017"/>
      <c r="U156" s="7"/>
    </row>
    <row r="157" spans="1:21" ht="16.5" thickBot="1">
      <c r="A157" s="207" t="s">
        <v>10</v>
      </c>
      <c r="B157" s="208">
        <f t="shared" ref="B157:B203" si="9">J157</f>
        <v>140</v>
      </c>
      <c r="C157" s="208" t="s">
        <v>3</v>
      </c>
      <c r="D157" s="208">
        <f t="shared" ref="D157:D203" si="10">K157</f>
        <v>300</v>
      </c>
      <c r="E157" s="208" t="s">
        <v>3</v>
      </c>
      <c r="F157" s="209">
        <f t="shared" ref="F157:F203" si="11">L157</f>
        <v>700</v>
      </c>
      <c r="G157" s="208" t="s">
        <v>3</v>
      </c>
      <c r="H157" s="208">
        <v>4</v>
      </c>
      <c r="I157" s="210" t="s">
        <v>530</v>
      </c>
      <c r="J157" s="103">
        <v>140</v>
      </c>
      <c r="K157" s="271">
        <v>300</v>
      </c>
      <c r="L157" s="271">
        <v>700</v>
      </c>
      <c r="M157" s="245">
        <v>10.979732624982249</v>
      </c>
      <c r="N157" s="246">
        <v>2122.6095590700002</v>
      </c>
      <c r="O157" s="247">
        <v>32653.055329685078</v>
      </c>
      <c r="P157" s="247">
        <v>39471.667177368727</v>
      </c>
      <c r="Q157" s="248">
        <v>10240.289076749623</v>
      </c>
      <c r="R157" s="247">
        <v>42893.344406434699</v>
      </c>
      <c r="S157" s="247">
        <v>49711.956254118348</v>
      </c>
      <c r="U157" s="7" t="s">
        <v>6945</v>
      </c>
    </row>
    <row r="158" spans="1:21" ht="16.5" thickBot="1">
      <c r="A158" s="207" t="s">
        <v>10</v>
      </c>
      <c r="B158" s="211">
        <f t="shared" si="9"/>
        <v>140</v>
      </c>
      <c r="C158" s="211" t="s">
        <v>3</v>
      </c>
      <c r="D158" s="211">
        <f t="shared" si="10"/>
        <v>300</v>
      </c>
      <c r="E158" s="211" t="s">
        <v>3</v>
      </c>
      <c r="F158" s="209">
        <f t="shared" si="11"/>
        <v>750</v>
      </c>
      <c r="G158" s="211" t="s">
        <v>3</v>
      </c>
      <c r="H158" s="208">
        <v>4</v>
      </c>
      <c r="I158" s="210" t="s">
        <v>530</v>
      </c>
      <c r="J158" s="103">
        <v>140</v>
      </c>
      <c r="K158" s="66">
        <v>300</v>
      </c>
      <c r="L158" s="66">
        <v>750</v>
      </c>
      <c r="M158" s="164">
        <v>11.604967988140498</v>
      </c>
      <c r="N158" s="78">
        <v>2425.8394960800001</v>
      </c>
      <c r="O158" s="113">
        <v>34644.051350614653</v>
      </c>
      <c r="P158" s="113">
        <v>41818.606892460943</v>
      </c>
      <c r="Q158" s="110">
        <v>10763.930709721371</v>
      </c>
      <c r="R158" s="113">
        <v>45407.982060336028</v>
      </c>
      <c r="S158" s="113">
        <v>52582.537602182318</v>
      </c>
      <c r="U158" s="7" t="s">
        <v>6946</v>
      </c>
    </row>
    <row r="159" spans="1:21" ht="16.5" thickBot="1">
      <c r="A159" s="207" t="s">
        <v>10</v>
      </c>
      <c r="B159" s="211">
        <f t="shared" si="9"/>
        <v>140</v>
      </c>
      <c r="C159" s="211" t="s">
        <v>3</v>
      </c>
      <c r="D159" s="211">
        <f t="shared" si="10"/>
        <v>300</v>
      </c>
      <c r="E159" s="211" t="s">
        <v>3</v>
      </c>
      <c r="F159" s="209">
        <f t="shared" si="11"/>
        <v>800</v>
      </c>
      <c r="G159" s="211" t="s">
        <v>3</v>
      </c>
      <c r="H159" s="208">
        <v>4</v>
      </c>
      <c r="I159" s="210" t="s">
        <v>530</v>
      </c>
      <c r="J159" s="103">
        <v>140</v>
      </c>
      <c r="K159" s="66">
        <v>300</v>
      </c>
      <c r="L159" s="66">
        <v>800</v>
      </c>
      <c r="M159" s="164">
        <v>12.230203351298748</v>
      </c>
      <c r="N159" s="78">
        <v>2729.0694330900001</v>
      </c>
      <c r="O159" s="113">
        <v>36635.706718933077</v>
      </c>
      <c r="P159" s="113">
        <v>44166.221900539334</v>
      </c>
      <c r="Q159" s="110">
        <v>11287.572342693116</v>
      </c>
      <c r="R159" s="113">
        <v>47923.279061626192</v>
      </c>
      <c r="S159" s="113">
        <v>55453.794243232449</v>
      </c>
      <c r="U159" s="7" t="s">
        <v>6947</v>
      </c>
    </row>
    <row r="160" spans="1:21" ht="16.5" thickBot="1">
      <c r="A160" s="207" t="s">
        <v>10</v>
      </c>
      <c r="B160" s="211">
        <f t="shared" si="9"/>
        <v>140</v>
      </c>
      <c r="C160" s="211" t="s">
        <v>3</v>
      </c>
      <c r="D160" s="211">
        <f t="shared" si="10"/>
        <v>300</v>
      </c>
      <c r="E160" s="211" t="s">
        <v>3</v>
      </c>
      <c r="F160" s="209">
        <f t="shared" si="11"/>
        <v>850</v>
      </c>
      <c r="G160" s="211" t="s">
        <v>3</v>
      </c>
      <c r="H160" s="208">
        <v>4</v>
      </c>
      <c r="I160" s="210" t="s">
        <v>530</v>
      </c>
      <c r="J160" s="103">
        <v>140</v>
      </c>
      <c r="K160" s="66">
        <v>300</v>
      </c>
      <c r="L160" s="66">
        <v>850</v>
      </c>
      <c r="M160" s="164">
        <v>12.871626714456999</v>
      </c>
      <c r="N160" s="78">
        <v>3032.2993701000005</v>
      </c>
      <c r="O160" s="113">
        <v>38627.362087251509</v>
      </c>
      <c r="P160" s="113">
        <v>46513.837050934482</v>
      </c>
      <c r="Q160" s="110">
        <v>12062.548266477399</v>
      </c>
      <c r="R160" s="113">
        <v>50689.910353728905</v>
      </c>
      <c r="S160" s="113">
        <v>58576.385317411885</v>
      </c>
      <c r="U160" s="7" t="s">
        <v>6948</v>
      </c>
    </row>
    <row r="161" spans="1:21" ht="16.5" thickBot="1">
      <c r="A161" s="207" t="s">
        <v>10</v>
      </c>
      <c r="B161" s="211">
        <f t="shared" si="9"/>
        <v>140</v>
      </c>
      <c r="C161" s="211" t="s">
        <v>3</v>
      </c>
      <c r="D161" s="211">
        <f t="shared" si="10"/>
        <v>300</v>
      </c>
      <c r="E161" s="211" t="s">
        <v>3</v>
      </c>
      <c r="F161" s="209">
        <f t="shared" si="11"/>
        <v>900</v>
      </c>
      <c r="G161" s="211" t="s">
        <v>3</v>
      </c>
      <c r="H161" s="208">
        <v>4</v>
      </c>
      <c r="I161" s="210" t="s">
        <v>530</v>
      </c>
      <c r="J161" s="103">
        <v>140</v>
      </c>
      <c r="K161" s="66">
        <v>300</v>
      </c>
      <c r="L161" s="66">
        <v>900</v>
      </c>
      <c r="M161" s="164">
        <v>13.647912077615247</v>
      </c>
      <c r="N161" s="78">
        <v>3335.5293071100004</v>
      </c>
      <c r="O161" s="113">
        <v>40619.017455569934</v>
      </c>
      <c r="P161" s="113">
        <v>48861.45220132963</v>
      </c>
      <c r="Q161" s="110">
        <v>12586.189899449146</v>
      </c>
      <c r="R161" s="113">
        <v>53205.207355019083</v>
      </c>
      <c r="S161" s="113">
        <v>61447.642100778772</v>
      </c>
      <c r="U161" s="7" t="s">
        <v>6949</v>
      </c>
    </row>
    <row r="162" spans="1:21" ht="16.5" thickBot="1">
      <c r="A162" s="207" t="s">
        <v>10</v>
      </c>
      <c r="B162" s="211">
        <f t="shared" si="9"/>
        <v>140</v>
      </c>
      <c r="C162" s="211" t="s">
        <v>3</v>
      </c>
      <c r="D162" s="211">
        <f t="shared" si="10"/>
        <v>300</v>
      </c>
      <c r="E162" s="211" t="s">
        <v>3</v>
      </c>
      <c r="F162" s="209">
        <f t="shared" si="11"/>
        <v>950</v>
      </c>
      <c r="G162" s="211" t="s">
        <v>3</v>
      </c>
      <c r="H162" s="208">
        <v>4</v>
      </c>
      <c r="I162" s="210" t="s">
        <v>530</v>
      </c>
      <c r="J162" s="103">
        <v>140</v>
      </c>
      <c r="K162" s="66">
        <v>300</v>
      </c>
      <c r="L162" s="66">
        <v>950</v>
      </c>
      <c r="M162" s="164">
        <v>14.289335440773497</v>
      </c>
      <c r="N162" s="78">
        <v>3638.7592441200004</v>
      </c>
      <c r="O162" s="113">
        <v>42610.672953962814</v>
      </c>
      <c r="P162" s="113">
        <v>51209.067351724785</v>
      </c>
      <c r="Q162" s="110">
        <v>13361.165670204662</v>
      </c>
      <c r="R162" s="113">
        <v>55971.838624167474</v>
      </c>
      <c r="S162" s="113">
        <v>64570.233021929445</v>
      </c>
      <c r="U162" s="7" t="s">
        <v>6950</v>
      </c>
    </row>
    <row r="163" spans="1:21" ht="16.5" thickBot="1">
      <c r="A163" s="207" t="s">
        <v>10</v>
      </c>
      <c r="B163" s="211">
        <f t="shared" si="9"/>
        <v>140</v>
      </c>
      <c r="C163" s="211" t="s">
        <v>3</v>
      </c>
      <c r="D163" s="211">
        <f t="shared" si="10"/>
        <v>300</v>
      </c>
      <c r="E163" s="211" t="s">
        <v>3</v>
      </c>
      <c r="F163" s="209">
        <f t="shared" si="11"/>
        <v>1000</v>
      </c>
      <c r="G163" s="211" t="s">
        <v>3</v>
      </c>
      <c r="H163" s="208">
        <v>4</v>
      </c>
      <c r="I163" s="210" t="s">
        <v>530</v>
      </c>
      <c r="J163" s="103">
        <v>140</v>
      </c>
      <c r="K163" s="66">
        <v>300</v>
      </c>
      <c r="L163" s="66">
        <v>1000</v>
      </c>
      <c r="M163" s="164">
        <v>14.914570803931747</v>
      </c>
      <c r="N163" s="78">
        <v>3941.9891811300008</v>
      </c>
      <c r="O163" s="113">
        <v>44498.634271201743</v>
      </c>
      <c r="P163" s="113">
        <v>53450.456709483871</v>
      </c>
      <c r="Q163" s="110">
        <v>13884.807456205173</v>
      </c>
      <c r="R163" s="113">
        <v>58383.441727406913</v>
      </c>
      <c r="S163" s="113">
        <v>67335.264165689048</v>
      </c>
      <c r="U163" s="7" t="s">
        <v>6951</v>
      </c>
    </row>
    <row r="164" spans="1:21" ht="16.5" thickBot="1">
      <c r="A164" s="207" t="s">
        <v>10</v>
      </c>
      <c r="B164" s="211">
        <f t="shared" si="9"/>
        <v>140</v>
      </c>
      <c r="C164" s="211" t="s">
        <v>3</v>
      </c>
      <c r="D164" s="211">
        <f t="shared" si="10"/>
        <v>300</v>
      </c>
      <c r="E164" s="211" t="s">
        <v>3</v>
      </c>
      <c r="F164" s="209">
        <f t="shared" si="11"/>
        <v>1050</v>
      </c>
      <c r="G164" s="211" t="s">
        <v>3</v>
      </c>
      <c r="H164" s="208">
        <v>4</v>
      </c>
      <c r="I164" s="210" t="s">
        <v>530</v>
      </c>
      <c r="J164" s="103">
        <v>140</v>
      </c>
      <c r="K164" s="66">
        <v>300</v>
      </c>
      <c r="L164" s="66">
        <v>1050</v>
      </c>
      <c r="M164" s="164">
        <v>15.555994167089997</v>
      </c>
      <c r="N164" s="78">
        <v>4245.2191181400003</v>
      </c>
      <c r="O164" s="113">
        <v>46518.106450952204</v>
      </c>
      <c r="P164" s="113">
        <v>55826.567800728386</v>
      </c>
      <c r="Q164" s="110">
        <v>14659.78322696069</v>
      </c>
      <c r="R164" s="113">
        <v>61177.889677912892</v>
      </c>
      <c r="S164" s="113">
        <v>70486.351027689074</v>
      </c>
      <c r="U164" s="7" t="s">
        <v>6952</v>
      </c>
    </row>
    <row r="165" spans="1:21" ht="16.5" thickBot="1">
      <c r="A165" s="207" t="s">
        <v>10</v>
      </c>
      <c r="B165" s="208">
        <f t="shared" si="9"/>
        <v>140</v>
      </c>
      <c r="C165" s="208" t="s">
        <v>3</v>
      </c>
      <c r="D165" s="208">
        <f t="shared" si="10"/>
        <v>300</v>
      </c>
      <c r="E165" s="208" t="s">
        <v>3</v>
      </c>
      <c r="F165" s="209">
        <f t="shared" si="11"/>
        <v>1100</v>
      </c>
      <c r="G165" s="208" t="s">
        <v>3</v>
      </c>
      <c r="H165" s="208">
        <v>4</v>
      </c>
      <c r="I165" s="210" t="s">
        <v>530</v>
      </c>
      <c r="J165" s="103">
        <v>140</v>
      </c>
      <c r="K165" s="66">
        <v>300</v>
      </c>
      <c r="L165" s="66">
        <v>1100</v>
      </c>
      <c r="M165" s="164">
        <v>16.181229530248245</v>
      </c>
      <c r="N165" s="78">
        <v>4548.4490551500012</v>
      </c>
      <c r="O165" s="113">
        <v>48509.761949345091</v>
      </c>
      <c r="P165" s="113">
        <v>58174.182808806778</v>
      </c>
      <c r="Q165" s="110">
        <v>15183.425012961201</v>
      </c>
      <c r="R165" s="113">
        <v>63693.186962306296</v>
      </c>
      <c r="S165" s="113">
        <v>73357.607821767975</v>
      </c>
      <c r="U165" s="7" t="s">
        <v>6953</v>
      </c>
    </row>
    <row r="166" spans="1:21" ht="16.5" thickBot="1">
      <c r="A166" s="207" t="s">
        <v>10</v>
      </c>
      <c r="B166" s="211">
        <f t="shared" si="9"/>
        <v>140</v>
      </c>
      <c r="C166" s="211" t="s">
        <v>3</v>
      </c>
      <c r="D166" s="211">
        <f t="shared" si="10"/>
        <v>300</v>
      </c>
      <c r="E166" s="211" t="s">
        <v>3</v>
      </c>
      <c r="F166" s="209">
        <f t="shared" si="11"/>
        <v>1150</v>
      </c>
      <c r="G166" s="211" t="s">
        <v>3</v>
      </c>
      <c r="H166" s="208">
        <v>4</v>
      </c>
      <c r="I166" s="210" t="s">
        <v>530</v>
      </c>
      <c r="J166" s="103">
        <v>140</v>
      </c>
      <c r="K166" s="66">
        <v>300</v>
      </c>
      <c r="L166" s="66">
        <v>1150</v>
      </c>
      <c r="M166" s="164">
        <v>16.806464893406496</v>
      </c>
      <c r="N166" s="78">
        <v>4851.6789921600002</v>
      </c>
      <c r="O166" s="113">
        <v>49678.093914306184</v>
      </c>
      <c r="P166" s="113">
        <v>59678.372389669959</v>
      </c>
      <c r="Q166" s="110">
        <v>15707.066645932946</v>
      </c>
      <c r="R166" s="113">
        <v>65385.160560239128</v>
      </c>
      <c r="S166" s="113">
        <v>75385.439035602903</v>
      </c>
      <c r="U166" s="7" t="s">
        <v>6954</v>
      </c>
    </row>
    <row r="167" spans="1:21" ht="16.5" thickBot="1">
      <c r="A167" s="207" t="s">
        <v>10</v>
      </c>
      <c r="B167" s="211">
        <f t="shared" si="9"/>
        <v>140</v>
      </c>
      <c r="C167" s="211" t="s">
        <v>3</v>
      </c>
      <c r="D167" s="211">
        <f t="shared" si="10"/>
        <v>300</v>
      </c>
      <c r="E167" s="211" t="s">
        <v>3</v>
      </c>
      <c r="F167" s="209">
        <f t="shared" si="11"/>
        <v>1200</v>
      </c>
      <c r="G167" s="211" t="s">
        <v>3</v>
      </c>
      <c r="H167" s="208">
        <v>4</v>
      </c>
      <c r="I167" s="210" t="s">
        <v>530</v>
      </c>
      <c r="J167" s="103">
        <v>140</v>
      </c>
      <c r="K167" s="66">
        <v>300</v>
      </c>
      <c r="L167" s="66">
        <v>1200</v>
      </c>
      <c r="M167" s="164">
        <v>17.597038256564744</v>
      </c>
      <c r="N167" s="78">
        <v>5154.9089291700011</v>
      </c>
      <c r="O167" s="113">
        <v>50911.154697923615</v>
      </c>
      <c r="P167" s="113">
        <v>61248.870903006646</v>
      </c>
      <c r="Q167" s="110">
        <v>16482.042416688462</v>
      </c>
      <c r="R167" s="113">
        <v>67393.197114612078</v>
      </c>
      <c r="S167" s="113">
        <v>77730.913319695101</v>
      </c>
      <c r="U167" s="7" t="s">
        <v>6955</v>
      </c>
    </row>
    <row r="168" spans="1:21" ht="16.5" thickBot="1">
      <c r="A168" s="207" t="s">
        <v>10</v>
      </c>
      <c r="B168" s="211">
        <f t="shared" si="9"/>
        <v>140</v>
      </c>
      <c r="C168" s="211" t="s">
        <v>3</v>
      </c>
      <c r="D168" s="211">
        <f t="shared" si="10"/>
        <v>300</v>
      </c>
      <c r="E168" s="211" t="s">
        <v>3</v>
      </c>
      <c r="F168" s="209">
        <f t="shared" si="11"/>
        <v>1250</v>
      </c>
      <c r="G168" s="211" t="s">
        <v>3</v>
      </c>
      <c r="H168" s="208">
        <v>4</v>
      </c>
      <c r="I168" s="210" t="s">
        <v>530</v>
      </c>
      <c r="J168" s="103">
        <v>140</v>
      </c>
      <c r="K168" s="66">
        <v>300</v>
      </c>
      <c r="L168" s="66">
        <v>1250</v>
      </c>
      <c r="M168" s="164">
        <v>19.041173619722997</v>
      </c>
      <c r="N168" s="78">
        <v>5458.1388661800002</v>
      </c>
      <c r="O168" s="113">
        <v>52078.96246284977</v>
      </c>
      <c r="P168" s="113">
        <v>62752.523238132664</v>
      </c>
      <c r="Q168" s="110">
        <v>17005.684202688975</v>
      </c>
      <c r="R168" s="113">
        <v>69084.646665538748</v>
      </c>
      <c r="S168" s="113">
        <v>79758.207440821643</v>
      </c>
      <c r="U168" s="7" t="s">
        <v>6956</v>
      </c>
    </row>
    <row r="169" spans="1:21" ht="16.5" thickBot="1">
      <c r="A169" s="207" t="s">
        <v>10</v>
      </c>
      <c r="B169" s="211">
        <f t="shared" si="9"/>
        <v>140</v>
      </c>
      <c r="C169" s="211" t="s">
        <v>3</v>
      </c>
      <c r="D169" s="211">
        <f t="shared" si="10"/>
        <v>300</v>
      </c>
      <c r="E169" s="211" t="s">
        <v>3</v>
      </c>
      <c r="F169" s="209">
        <f t="shared" si="11"/>
        <v>1300</v>
      </c>
      <c r="G169" s="211" t="s">
        <v>3</v>
      </c>
      <c r="H169" s="208">
        <v>4</v>
      </c>
      <c r="I169" s="210" t="s">
        <v>530</v>
      </c>
      <c r="J169" s="103">
        <v>140</v>
      </c>
      <c r="K169" s="66">
        <v>300</v>
      </c>
      <c r="L169" s="66">
        <v>1300</v>
      </c>
      <c r="M169" s="164">
        <v>19.68259698288125</v>
      </c>
      <c r="N169" s="78">
        <v>5761.3688031900001</v>
      </c>
      <c r="O169" s="113">
        <v>55919.868211534405</v>
      </c>
      <c r="P169" s="113">
        <v>66994.54015089017</v>
      </c>
      <c r="Q169" s="110">
        <v>17780.65997344449</v>
      </c>
      <c r="R169" s="113">
        <v>73700.528184978903</v>
      </c>
      <c r="S169" s="113">
        <v>84775.20012433466</v>
      </c>
      <c r="U169" s="7" t="s">
        <v>6957</v>
      </c>
    </row>
    <row r="170" spans="1:21" ht="16.5" thickBot="1">
      <c r="A170" s="207" t="s">
        <v>10</v>
      </c>
      <c r="B170" s="211">
        <f t="shared" si="9"/>
        <v>140</v>
      </c>
      <c r="C170" s="211" t="s">
        <v>3</v>
      </c>
      <c r="D170" s="211">
        <f t="shared" si="10"/>
        <v>300</v>
      </c>
      <c r="E170" s="211" t="s">
        <v>3</v>
      </c>
      <c r="F170" s="209">
        <f t="shared" si="11"/>
        <v>1350</v>
      </c>
      <c r="G170" s="211" t="s">
        <v>3</v>
      </c>
      <c r="H170" s="208">
        <v>4</v>
      </c>
      <c r="I170" s="210" t="s">
        <v>530</v>
      </c>
      <c r="J170" s="103">
        <v>140</v>
      </c>
      <c r="K170" s="66">
        <v>300</v>
      </c>
      <c r="L170" s="66">
        <v>1350</v>
      </c>
      <c r="M170" s="164">
        <v>20.307832346039497</v>
      </c>
      <c r="N170" s="78">
        <v>6064.598740200001</v>
      </c>
      <c r="O170" s="113">
        <v>57359.845057130493</v>
      </c>
      <c r="P170" s="113">
        <v>68777.006941810643</v>
      </c>
      <c r="Q170" s="110">
        <v>18304.301606416237</v>
      </c>
      <c r="R170" s="113">
        <v>75664.146663546737</v>
      </c>
      <c r="S170" s="113">
        <v>87081.30854822688</v>
      </c>
      <c r="U170" s="7" t="s">
        <v>6958</v>
      </c>
    </row>
    <row r="171" spans="1:21" ht="16.5" thickBot="1">
      <c r="A171" s="207" t="s">
        <v>10</v>
      </c>
      <c r="B171" s="211">
        <f t="shared" si="9"/>
        <v>140</v>
      </c>
      <c r="C171" s="211" t="s">
        <v>3</v>
      </c>
      <c r="D171" s="211">
        <f t="shared" si="10"/>
        <v>300</v>
      </c>
      <c r="E171" s="211" t="s">
        <v>3</v>
      </c>
      <c r="F171" s="209">
        <f t="shared" si="11"/>
        <v>1400</v>
      </c>
      <c r="G171" s="211" t="s">
        <v>3</v>
      </c>
      <c r="H171" s="208">
        <v>4</v>
      </c>
      <c r="I171" s="210" t="s">
        <v>530</v>
      </c>
      <c r="J171" s="103">
        <v>140</v>
      </c>
      <c r="K171" s="66">
        <v>300</v>
      </c>
      <c r="L171" s="66">
        <v>1400</v>
      </c>
      <c r="M171" s="164">
        <v>20.94925570919775</v>
      </c>
      <c r="N171" s="78">
        <v>6367.8286772100009</v>
      </c>
      <c r="O171" s="113">
        <v>59156.269861866909</v>
      </c>
      <c r="P171" s="113">
        <v>70924.624788179994</v>
      </c>
      <c r="Q171" s="110">
        <v>19079.277530200521</v>
      </c>
      <c r="R171" s="113">
        <v>78235.547392067427</v>
      </c>
      <c r="S171" s="113">
        <v>90003.902318380511</v>
      </c>
      <c r="U171" s="7" t="s">
        <v>6959</v>
      </c>
    </row>
    <row r="172" spans="1:21" ht="16.5" thickBot="1">
      <c r="A172" s="207" t="s">
        <v>10</v>
      </c>
      <c r="B172" s="211">
        <f t="shared" si="9"/>
        <v>140</v>
      </c>
      <c r="C172" s="211" t="s">
        <v>3</v>
      </c>
      <c r="D172" s="211">
        <f t="shared" si="10"/>
        <v>300</v>
      </c>
      <c r="E172" s="211" t="s">
        <v>3</v>
      </c>
      <c r="F172" s="209">
        <f t="shared" si="11"/>
        <v>1450</v>
      </c>
      <c r="G172" s="211" t="s">
        <v>3</v>
      </c>
      <c r="H172" s="208">
        <v>4</v>
      </c>
      <c r="I172" s="210" t="s">
        <v>530</v>
      </c>
      <c r="J172" s="103">
        <v>140</v>
      </c>
      <c r="K172" s="66">
        <v>300</v>
      </c>
      <c r="L172" s="66">
        <v>1450</v>
      </c>
      <c r="M172" s="164">
        <v>21.574491072355997</v>
      </c>
      <c r="N172" s="78">
        <v>6671.0586142200009</v>
      </c>
      <c r="O172" s="113">
        <v>60596.246707462997</v>
      </c>
      <c r="P172" s="113">
        <v>72707.091436783725</v>
      </c>
      <c r="Q172" s="110">
        <v>19602.919163172111</v>
      </c>
      <c r="R172" s="113">
        <v>80199.165870635101</v>
      </c>
      <c r="S172" s="113">
        <v>92310.010599955829</v>
      </c>
      <c r="U172" s="7" t="s">
        <v>6960</v>
      </c>
    </row>
    <row r="173" spans="1:21" ht="16.5" thickBot="1">
      <c r="A173" s="207" t="s">
        <v>10</v>
      </c>
      <c r="B173" s="211">
        <f t="shared" si="9"/>
        <v>140</v>
      </c>
      <c r="C173" s="211" t="s">
        <v>3</v>
      </c>
      <c r="D173" s="211">
        <f t="shared" si="10"/>
        <v>300</v>
      </c>
      <c r="E173" s="211" t="s">
        <v>3</v>
      </c>
      <c r="F173" s="209">
        <f t="shared" si="11"/>
        <v>1500</v>
      </c>
      <c r="G173" s="211" t="s">
        <v>3</v>
      </c>
      <c r="H173" s="208">
        <v>4</v>
      </c>
      <c r="I173" s="210" t="s">
        <v>530</v>
      </c>
      <c r="J173" s="103">
        <v>140</v>
      </c>
      <c r="K173" s="66">
        <v>300</v>
      </c>
      <c r="L173" s="66">
        <v>1500</v>
      </c>
      <c r="M173" s="164">
        <v>22.148893072949249</v>
      </c>
      <c r="N173" s="78">
        <v>6974.2885512300008</v>
      </c>
      <c r="O173" s="113">
        <v>62635.724988050504</v>
      </c>
      <c r="P173" s="113">
        <v>75281.276136523098</v>
      </c>
      <c r="Q173" s="110">
        <v>20377.895086956549</v>
      </c>
      <c r="R173" s="113">
        <v>83013.620075007057</v>
      </c>
      <c r="S173" s="113">
        <v>95659.171223479643</v>
      </c>
      <c r="U173" s="7" t="s">
        <v>6961</v>
      </c>
    </row>
    <row r="174" spans="1:21" ht="16.5" thickBot="1">
      <c r="A174" s="207" t="s">
        <v>10</v>
      </c>
      <c r="B174" s="211">
        <f t="shared" si="9"/>
        <v>140</v>
      </c>
      <c r="C174" s="211" t="s">
        <v>3</v>
      </c>
      <c r="D174" s="211">
        <f t="shared" si="10"/>
        <v>300</v>
      </c>
      <c r="E174" s="211" t="s">
        <v>3</v>
      </c>
      <c r="F174" s="209">
        <f t="shared" si="11"/>
        <v>1550</v>
      </c>
      <c r="G174" s="211" t="s">
        <v>3</v>
      </c>
      <c r="H174" s="208">
        <v>4</v>
      </c>
      <c r="I174" s="210" t="s">
        <v>530</v>
      </c>
      <c r="J174" s="103">
        <v>140</v>
      </c>
      <c r="K174" s="66">
        <v>300</v>
      </c>
      <c r="L174" s="66">
        <v>1550</v>
      </c>
      <c r="M174" s="164">
        <v>22.7741284361075</v>
      </c>
      <c r="N174" s="78">
        <v>7277.5184882400008</v>
      </c>
      <c r="O174" s="113">
        <v>64075.701833646592</v>
      </c>
      <c r="P174" s="113">
        <v>77063.742785126829</v>
      </c>
      <c r="Q174" s="110">
        <v>20901.536719928292</v>
      </c>
      <c r="R174" s="113">
        <v>84977.238553574891</v>
      </c>
      <c r="S174" s="113">
        <v>97965.279505055121</v>
      </c>
      <c r="U174" s="7" t="s">
        <v>6962</v>
      </c>
    </row>
    <row r="175" spans="1:21" ht="16.5" thickBot="1">
      <c r="A175" s="207" t="s">
        <v>10</v>
      </c>
      <c r="B175" s="208">
        <f t="shared" si="9"/>
        <v>140</v>
      </c>
      <c r="C175" s="208" t="s">
        <v>3</v>
      </c>
      <c r="D175" s="208">
        <f t="shared" si="10"/>
        <v>300</v>
      </c>
      <c r="E175" s="208" t="s">
        <v>3</v>
      </c>
      <c r="F175" s="209">
        <f t="shared" si="11"/>
        <v>1600</v>
      </c>
      <c r="G175" s="208" t="s">
        <v>3</v>
      </c>
      <c r="H175" s="208">
        <v>4</v>
      </c>
      <c r="I175" s="210" t="s">
        <v>530</v>
      </c>
      <c r="J175" s="103">
        <v>140</v>
      </c>
      <c r="K175" s="66">
        <v>300</v>
      </c>
      <c r="L175" s="66">
        <v>1600</v>
      </c>
      <c r="M175" s="164">
        <v>23.399363799265746</v>
      </c>
      <c r="N175" s="78">
        <v>7580.7484252500008</v>
      </c>
      <c r="O175" s="113">
        <v>67636.863746119256</v>
      </c>
      <c r="P175" s="113">
        <v>81019.18570584424</v>
      </c>
      <c r="Q175" s="110">
        <v>21425.178352900039</v>
      </c>
      <c r="R175" s="113">
        <v>89062.042099019294</v>
      </c>
      <c r="S175" s="113">
        <v>102444.36405874428</v>
      </c>
      <c r="U175" s="7" t="s">
        <v>6963</v>
      </c>
    </row>
    <row r="176" spans="1:21" ht="16.5" thickBot="1">
      <c r="A176" s="207" t="s">
        <v>10</v>
      </c>
      <c r="B176" s="211">
        <f t="shared" si="9"/>
        <v>140</v>
      </c>
      <c r="C176" s="211" t="s">
        <v>3</v>
      </c>
      <c r="D176" s="211">
        <f t="shared" si="10"/>
        <v>300</v>
      </c>
      <c r="E176" s="211" t="s">
        <v>3</v>
      </c>
      <c r="F176" s="209">
        <f t="shared" si="11"/>
        <v>1650</v>
      </c>
      <c r="G176" s="211" t="s">
        <v>3</v>
      </c>
      <c r="H176" s="208">
        <v>4</v>
      </c>
      <c r="I176" s="210" t="s">
        <v>530</v>
      </c>
      <c r="J176" s="103">
        <v>140</v>
      </c>
      <c r="K176" s="66">
        <v>300</v>
      </c>
      <c r="L176" s="66">
        <v>1650</v>
      </c>
      <c r="M176" s="164">
        <v>24.040787162423999</v>
      </c>
      <c r="N176" s="78">
        <v>7883.9783622600016</v>
      </c>
      <c r="O176" s="113">
        <v>71472.98925875331</v>
      </c>
      <c r="P176" s="113">
        <v>85256.305641497107</v>
      </c>
      <c r="Q176" s="110">
        <v>22200.154276684319</v>
      </c>
      <c r="R176" s="113">
        <v>93673.14353543763</v>
      </c>
      <c r="S176" s="113">
        <v>107456.45991818143</v>
      </c>
      <c r="U176" s="7" t="s">
        <v>6964</v>
      </c>
    </row>
    <row r="177" spans="1:21" ht="16.5" thickBot="1">
      <c r="A177" s="207" t="s">
        <v>10</v>
      </c>
      <c r="B177" s="211">
        <f t="shared" si="9"/>
        <v>140</v>
      </c>
      <c r="C177" s="211" t="s">
        <v>3</v>
      </c>
      <c r="D177" s="211">
        <f t="shared" si="10"/>
        <v>300</v>
      </c>
      <c r="E177" s="211" t="s">
        <v>3</v>
      </c>
      <c r="F177" s="209">
        <f t="shared" si="11"/>
        <v>1700</v>
      </c>
      <c r="G177" s="211" t="s">
        <v>3</v>
      </c>
      <c r="H177" s="208">
        <v>4</v>
      </c>
      <c r="I177" s="210" t="s">
        <v>530</v>
      </c>
      <c r="J177" s="103">
        <v>140</v>
      </c>
      <c r="K177" s="66">
        <v>300</v>
      </c>
      <c r="L177" s="66">
        <v>1700</v>
      </c>
      <c r="M177" s="164">
        <v>25.484922525582249</v>
      </c>
      <c r="N177" s="78">
        <v>8187.2082992700016</v>
      </c>
      <c r="O177" s="113">
        <v>72689.355376890846</v>
      </c>
      <c r="P177" s="113">
        <v>86809.701950798073</v>
      </c>
      <c r="Q177" s="110">
        <v>22723.795909656066</v>
      </c>
      <c r="R177" s="113">
        <v>95413.151286546912</v>
      </c>
      <c r="S177" s="113">
        <v>109533.49786045414</v>
      </c>
      <c r="U177" s="7" t="s">
        <v>6965</v>
      </c>
    </row>
    <row r="178" spans="1:21" ht="16.5" thickBot="1">
      <c r="A178" s="207" t="s">
        <v>10</v>
      </c>
      <c r="B178" s="211">
        <f t="shared" si="9"/>
        <v>140</v>
      </c>
      <c r="C178" s="211" t="s">
        <v>3</v>
      </c>
      <c r="D178" s="211">
        <f t="shared" si="10"/>
        <v>300</v>
      </c>
      <c r="E178" s="211" t="s">
        <v>3</v>
      </c>
      <c r="F178" s="209">
        <f t="shared" si="11"/>
        <v>1750</v>
      </c>
      <c r="G178" s="211" t="s">
        <v>3</v>
      </c>
      <c r="H178" s="208">
        <v>4</v>
      </c>
      <c r="I178" s="210" t="s">
        <v>530</v>
      </c>
      <c r="J178" s="103">
        <v>140</v>
      </c>
      <c r="K178" s="66">
        <v>300</v>
      </c>
      <c r="L178" s="66">
        <v>1750</v>
      </c>
      <c r="M178" s="164">
        <v>26.126345888740499</v>
      </c>
      <c r="N178" s="78">
        <v>8490.4382362800006</v>
      </c>
      <c r="O178" s="113">
        <v>73822.713964235765</v>
      </c>
      <c r="P178" s="113">
        <v>88278.064001038205</v>
      </c>
      <c r="Q178" s="110">
        <v>23498.771833440347</v>
      </c>
      <c r="R178" s="113">
        <v>97321.485797676112</v>
      </c>
      <c r="S178" s="113">
        <v>111776.83583447855</v>
      </c>
      <c r="U178" s="7" t="s">
        <v>6966</v>
      </c>
    </row>
    <row r="179" spans="1:21" ht="16.5" thickBot="1">
      <c r="A179" s="207" t="s">
        <v>10</v>
      </c>
      <c r="B179" s="211">
        <f t="shared" si="9"/>
        <v>140</v>
      </c>
      <c r="C179" s="211" t="s">
        <v>3</v>
      </c>
      <c r="D179" s="211">
        <f t="shared" si="10"/>
        <v>300</v>
      </c>
      <c r="E179" s="211" t="s">
        <v>3</v>
      </c>
      <c r="F179" s="209">
        <f t="shared" si="11"/>
        <v>1800</v>
      </c>
      <c r="G179" s="211" t="s">
        <v>3</v>
      </c>
      <c r="H179" s="208">
        <v>4</v>
      </c>
      <c r="I179" s="210" t="s">
        <v>530</v>
      </c>
      <c r="J179" s="103">
        <v>140</v>
      </c>
      <c r="K179" s="66">
        <v>300</v>
      </c>
      <c r="L179" s="66">
        <v>1800</v>
      </c>
      <c r="M179" s="164">
        <v>26.751581251898752</v>
      </c>
      <c r="N179" s="78">
        <v>8793.6681732900015</v>
      </c>
      <c r="O179" s="113">
        <v>75039.83932694004</v>
      </c>
      <c r="P179" s="113">
        <v>89832.238071386484</v>
      </c>
      <c r="Q179" s="110">
        <v>24022.413466412094</v>
      </c>
      <c r="R179" s="113">
        <v>99062.252793352134</v>
      </c>
      <c r="S179" s="113">
        <v>113854.65153779858</v>
      </c>
      <c r="U179" s="7" t="s">
        <v>6967</v>
      </c>
    </row>
    <row r="180" spans="1:21" ht="16.5" thickBot="1">
      <c r="A180" s="207" t="s">
        <v>10</v>
      </c>
      <c r="B180" s="211">
        <f t="shared" si="9"/>
        <v>140</v>
      </c>
      <c r="C180" s="211" t="s">
        <v>3</v>
      </c>
      <c r="D180" s="211">
        <f t="shared" si="10"/>
        <v>300</v>
      </c>
      <c r="E180" s="211" t="s">
        <v>3</v>
      </c>
      <c r="F180" s="209">
        <f t="shared" si="11"/>
        <v>1850</v>
      </c>
      <c r="G180" s="211" t="s">
        <v>3</v>
      </c>
      <c r="H180" s="208">
        <v>4</v>
      </c>
      <c r="I180" s="210" t="s">
        <v>530</v>
      </c>
      <c r="J180" s="103">
        <v>140</v>
      </c>
      <c r="K180" s="66">
        <v>300</v>
      </c>
      <c r="L180" s="66">
        <v>1850</v>
      </c>
      <c r="M180" s="164">
        <v>27.393004615057006</v>
      </c>
      <c r="N180" s="78">
        <v>9096.8981103000024</v>
      </c>
      <c r="O180" s="113">
        <v>76256.912269640845</v>
      </c>
      <c r="P180" s="113">
        <v>91386.358630636169</v>
      </c>
      <c r="Q180" s="110">
        <v>24797.389237167612</v>
      </c>
      <c r="R180" s="113">
        <v>101054.30150680846</v>
      </c>
      <c r="S180" s="113">
        <v>116183.74786780379</v>
      </c>
      <c r="U180" s="7" t="s">
        <v>6968</v>
      </c>
    </row>
    <row r="181" spans="1:21" ht="16.5" thickBot="1">
      <c r="A181" s="207" t="s">
        <v>10</v>
      </c>
      <c r="B181" s="211">
        <f t="shared" si="9"/>
        <v>140</v>
      </c>
      <c r="C181" s="211" t="s">
        <v>3</v>
      </c>
      <c r="D181" s="211">
        <f t="shared" si="10"/>
        <v>300</v>
      </c>
      <c r="E181" s="211" t="s">
        <v>3</v>
      </c>
      <c r="F181" s="209">
        <f t="shared" si="11"/>
        <v>1900</v>
      </c>
      <c r="G181" s="211" t="s">
        <v>3</v>
      </c>
      <c r="H181" s="208">
        <v>4</v>
      </c>
      <c r="I181" s="210" t="s">
        <v>530</v>
      </c>
      <c r="J181" s="103">
        <v>140</v>
      </c>
      <c r="K181" s="66">
        <v>300</v>
      </c>
      <c r="L181" s="66">
        <v>1900</v>
      </c>
      <c r="M181" s="164">
        <v>28.018239978215252</v>
      </c>
      <c r="N181" s="78">
        <v>9400.1280473100014</v>
      </c>
      <c r="O181" s="113">
        <v>77664.79454535601</v>
      </c>
      <c r="P181" s="113">
        <v>93135.947120976314</v>
      </c>
      <c r="Q181" s="110">
        <v>25321.031023168125</v>
      </c>
      <c r="R181" s="113">
        <v>102985.82556852413</v>
      </c>
      <c r="S181" s="113">
        <v>118456.97814414444</v>
      </c>
      <c r="U181" s="7" t="s">
        <v>6969</v>
      </c>
    </row>
    <row r="182" spans="1:21" ht="16.5" thickBot="1">
      <c r="A182" s="207" t="s">
        <v>10</v>
      </c>
      <c r="B182" s="211">
        <f t="shared" si="9"/>
        <v>140</v>
      </c>
      <c r="C182" s="211" t="s">
        <v>3</v>
      </c>
      <c r="D182" s="211">
        <f t="shared" si="10"/>
        <v>300</v>
      </c>
      <c r="E182" s="211" t="s">
        <v>3</v>
      </c>
      <c r="F182" s="209">
        <f t="shared" si="11"/>
        <v>1950</v>
      </c>
      <c r="G182" s="211" t="s">
        <v>3</v>
      </c>
      <c r="H182" s="208">
        <v>4</v>
      </c>
      <c r="I182" s="210" t="s">
        <v>530</v>
      </c>
      <c r="J182" s="103">
        <v>140</v>
      </c>
      <c r="K182" s="66">
        <v>300</v>
      </c>
      <c r="L182" s="66">
        <v>1950</v>
      </c>
      <c r="M182" s="164">
        <v>28.792625341373501</v>
      </c>
      <c r="N182" s="78">
        <v>9703.3579843200005</v>
      </c>
      <c r="O182" s="113">
        <v>79272.633379658</v>
      </c>
      <c r="P182" s="113">
        <v>95090.374388913784</v>
      </c>
      <c r="Q182" s="110">
        <v>25844.672656139872</v>
      </c>
      <c r="R182" s="113">
        <v>105117.30603579787</v>
      </c>
      <c r="S182" s="113">
        <v>120935.04704505365</v>
      </c>
      <c r="U182" s="7" t="s">
        <v>6970</v>
      </c>
    </row>
    <row r="183" spans="1:21" ht="16.5" thickBot="1">
      <c r="A183" s="207" t="s">
        <v>10</v>
      </c>
      <c r="B183" s="211">
        <f t="shared" si="9"/>
        <v>140</v>
      </c>
      <c r="C183" s="211" t="s">
        <v>3</v>
      </c>
      <c r="D183" s="211">
        <f t="shared" si="10"/>
        <v>300</v>
      </c>
      <c r="E183" s="211" t="s">
        <v>3</v>
      </c>
      <c r="F183" s="209">
        <f t="shared" si="11"/>
        <v>2000</v>
      </c>
      <c r="G183" s="211" t="s">
        <v>3</v>
      </c>
      <c r="H183" s="208">
        <v>4</v>
      </c>
      <c r="I183" s="210" t="s">
        <v>530</v>
      </c>
      <c r="J183" s="103">
        <v>140</v>
      </c>
      <c r="K183" s="66">
        <v>300</v>
      </c>
      <c r="L183" s="66">
        <v>2000</v>
      </c>
      <c r="M183" s="164">
        <v>29.521032984531754</v>
      </c>
      <c r="N183" s="78">
        <v>10006.587921330001</v>
      </c>
      <c r="O183" s="113">
        <v>80714.553537542408</v>
      </c>
      <c r="P183" s="113">
        <v>97101.730349912265</v>
      </c>
      <c r="Q183" s="110">
        <v>26619.648426895383</v>
      </c>
      <c r="R183" s="113">
        <v>107334.20196443779</v>
      </c>
      <c r="S183" s="113">
        <v>123721.37877680764</v>
      </c>
      <c r="U183" s="7" t="s">
        <v>6971</v>
      </c>
    </row>
    <row r="184" spans="1:21" ht="16.5" thickBot="1">
      <c r="A184" s="207" t="s">
        <v>10</v>
      </c>
      <c r="B184" s="211">
        <f t="shared" si="9"/>
        <v>140</v>
      </c>
      <c r="C184" s="211" t="s">
        <v>3</v>
      </c>
      <c r="D184" s="211">
        <f t="shared" si="10"/>
        <v>300</v>
      </c>
      <c r="E184" s="211" t="s">
        <v>3</v>
      </c>
      <c r="F184" s="209">
        <f t="shared" si="11"/>
        <v>2050</v>
      </c>
      <c r="G184" s="211" t="s">
        <v>3</v>
      </c>
      <c r="H184" s="208">
        <v>4</v>
      </c>
      <c r="I184" s="210" t="s">
        <v>530</v>
      </c>
      <c r="J184" s="103">
        <v>140</v>
      </c>
      <c r="K184" s="66">
        <v>300</v>
      </c>
      <c r="L184" s="66">
        <v>2050</v>
      </c>
      <c r="M184" s="164">
        <v>30.965168347690003</v>
      </c>
      <c r="N184" s="78">
        <v>10309.817858340002</v>
      </c>
      <c r="O184" s="113">
        <v>84268.554071076258</v>
      </c>
      <c r="P184" s="113">
        <v>101049.83698440317</v>
      </c>
      <c r="Q184" s="110">
        <v>27143.290212895896</v>
      </c>
      <c r="R184" s="113">
        <v>111411.84428397215</v>
      </c>
      <c r="S184" s="113">
        <v>128193.12719729907</v>
      </c>
      <c r="U184" s="7" t="s">
        <v>6972</v>
      </c>
    </row>
    <row r="185" spans="1:21" ht="16.5" thickBot="1">
      <c r="A185" s="207" t="s">
        <v>10</v>
      </c>
      <c r="B185" s="208">
        <f t="shared" si="9"/>
        <v>140</v>
      </c>
      <c r="C185" s="208" t="s">
        <v>3</v>
      </c>
      <c r="D185" s="208">
        <f t="shared" si="10"/>
        <v>300</v>
      </c>
      <c r="E185" s="208" t="s">
        <v>3</v>
      </c>
      <c r="F185" s="209">
        <f t="shared" si="11"/>
        <v>2100</v>
      </c>
      <c r="G185" s="208" t="s">
        <v>3</v>
      </c>
      <c r="H185" s="208">
        <v>4</v>
      </c>
      <c r="I185" s="210" t="s">
        <v>530</v>
      </c>
      <c r="J185" s="103">
        <v>140</v>
      </c>
      <c r="K185" s="66">
        <v>300</v>
      </c>
      <c r="L185" s="66">
        <v>2100</v>
      </c>
      <c r="M185" s="164">
        <v>31.606591710848249</v>
      </c>
      <c r="N185" s="78">
        <v>10613.047795350001</v>
      </c>
      <c r="O185" s="113">
        <v>85553.130710682832</v>
      </c>
      <c r="P185" s="113">
        <v>102673.10911092215</v>
      </c>
      <c r="Q185" s="110">
        <v>27918.265983651414</v>
      </c>
      <c r="R185" s="113">
        <v>113471.39669433425</v>
      </c>
      <c r="S185" s="113">
        <v>130591.37509457357</v>
      </c>
      <c r="U185" s="7" t="s">
        <v>6973</v>
      </c>
    </row>
    <row r="186" spans="1:21" ht="16.5" thickBot="1">
      <c r="A186" s="207" t="s">
        <v>10</v>
      </c>
      <c r="B186" s="211">
        <f t="shared" si="9"/>
        <v>140</v>
      </c>
      <c r="C186" s="211" t="s">
        <v>3</v>
      </c>
      <c r="D186" s="211">
        <f t="shared" si="10"/>
        <v>300</v>
      </c>
      <c r="E186" s="211" t="s">
        <v>3</v>
      </c>
      <c r="F186" s="209">
        <f t="shared" si="11"/>
        <v>2150</v>
      </c>
      <c r="G186" s="211" t="s">
        <v>3</v>
      </c>
      <c r="H186" s="208">
        <v>4</v>
      </c>
      <c r="I186" s="210" t="s">
        <v>530</v>
      </c>
      <c r="J186" s="103">
        <v>140</v>
      </c>
      <c r="K186" s="66">
        <v>300</v>
      </c>
      <c r="L186" s="66">
        <v>2150</v>
      </c>
      <c r="M186" s="164">
        <v>32.23182707400651</v>
      </c>
      <c r="N186" s="78">
        <v>10916.27773236</v>
      </c>
      <c r="O186" s="113">
        <v>86998.61009575233</v>
      </c>
      <c r="P186" s="113">
        <v>104461.21278373867</v>
      </c>
      <c r="Q186" s="110">
        <v>28441.907769651927</v>
      </c>
      <c r="R186" s="113">
        <v>115440.51786540425</v>
      </c>
      <c r="S186" s="113">
        <v>132903.12055339059</v>
      </c>
      <c r="U186" s="7" t="s">
        <v>6974</v>
      </c>
    </row>
    <row r="187" spans="1:21" ht="16.5" thickBot="1">
      <c r="A187" s="207" t="s">
        <v>10</v>
      </c>
      <c r="B187" s="211">
        <f t="shared" si="9"/>
        <v>140</v>
      </c>
      <c r="C187" s="211" t="s">
        <v>3</v>
      </c>
      <c r="D187" s="211">
        <f t="shared" si="10"/>
        <v>300</v>
      </c>
      <c r="E187" s="211" t="s">
        <v>3</v>
      </c>
      <c r="F187" s="209">
        <f t="shared" si="11"/>
        <v>2200</v>
      </c>
      <c r="G187" s="211" t="s">
        <v>3</v>
      </c>
      <c r="H187" s="208">
        <v>4</v>
      </c>
      <c r="I187" s="210" t="s">
        <v>530</v>
      </c>
      <c r="J187" s="103">
        <v>140</v>
      </c>
      <c r="K187" s="66">
        <v>300</v>
      </c>
      <c r="L187" s="66">
        <v>2200</v>
      </c>
      <c r="M187" s="164">
        <v>32.873250437164749</v>
      </c>
      <c r="N187" s="78">
        <v>11219.507669370001</v>
      </c>
      <c r="O187" s="113">
        <v>88444.037060818329</v>
      </c>
      <c r="P187" s="113">
        <v>106249.26280313983</v>
      </c>
      <c r="Q187" s="110">
        <v>29216.883540407438</v>
      </c>
      <c r="R187" s="113">
        <v>117660.92060122576</v>
      </c>
      <c r="S187" s="113">
        <v>135466.14634354727</v>
      </c>
      <c r="U187" s="7" t="s">
        <v>6975</v>
      </c>
    </row>
    <row r="188" spans="1:21" ht="16.5" thickBot="1">
      <c r="A188" s="207" t="s">
        <v>10</v>
      </c>
      <c r="B188" s="211">
        <f t="shared" si="9"/>
        <v>140</v>
      </c>
      <c r="C188" s="211" t="s">
        <v>3</v>
      </c>
      <c r="D188" s="211">
        <f t="shared" si="10"/>
        <v>300</v>
      </c>
      <c r="E188" s="211" t="s">
        <v>3</v>
      </c>
      <c r="F188" s="209">
        <f t="shared" si="11"/>
        <v>2250</v>
      </c>
      <c r="G188" s="211" t="s">
        <v>3</v>
      </c>
      <c r="H188" s="208">
        <v>4</v>
      </c>
      <c r="I188" s="210" t="s">
        <v>530</v>
      </c>
      <c r="J188" s="103">
        <v>140</v>
      </c>
      <c r="K188" s="66">
        <v>300</v>
      </c>
      <c r="L188" s="66">
        <v>2250</v>
      </c>
      <c r="M188" s="164">
        <v>33.498485800323003</v>
      </c>
      <c r="N188" s="78">
        <v>11522.73760638</v>
      </c>
      <c r="O188" s="113">
        <v>90237.840215007847</v>
      </c>
      <c r="P188" s="113">
        <v>108394.19484777363</v>
      </c>
      <c r="Q188" s="110">
        <v>29740.525173379188</v>
      </c>
      <c r="R188" s="113">
        <v>119978.36538838703</v>
      </c>
      <c r="S188" s="113">
        <v>138134.72002115281</v>
      </c>
      <c r="U188" s="7" t="s">
        <v>6976</v>
      </c>
    </row>
    <row r="189" spans="1:21" ht="16.5" thickBot="1">
      <c r="A189" s="207" t="s">
        <v>10</v>
      </c>
      <c r="B189" s="211">
        <f t="shared" si="9"/>
        <v>140</v>
      </c>
      <c r="C189" s="211" t="s">
        <v>3</v>
      </c>
      <c r="D189" s="211">
        <f t="shared" si="10"/>
        <v>300</v>
      </c>
      <c r="E189" s="211" t="s">
        <v>3</v>
      </c>
      <c r="F189" s="209">
        <f t="shared" si="11"/>
        <v>2300</v>
      </c>
      <c r="G189" s="211" t="s">
        <v>3</v>
      </c>
      <c r="H189" s="208">
        <v>4</v>
      </c>
      <c r="I189" s="210" t="s">
        <v>530</v>
      </c>
      <c r="J189" s="103">
        <v>140</v>
      </c>
      <c r="K189" s="66">
        <v>300</v>
      </c>
      <c r="L189" s="66">
        <v>2300</v>
      </c>
      <c r="M189" s="164">
        <v>34.12372116348125</v>
      </c>
      <c r="N189" s="78">
        <v>11825.967543390001</v>
      </c>
      <c r="O189" s="113">
        <v>91418.500246150332</v>
      </c>
      <c r="P189" s="113">
        <v>109911.0133325373</v>
      </c>
      <c r="Q189" s="110">
        <v>30264.166959379701</v>
      </c>
      <c r="R189" s="113">
        <v>121682.66720553003</v>
      </c>
      <c r="S189" s="113">
        <v>140175.180291917</v>
      </c>
      <c r="U189" s="7" t="s">
        <v>6977</v>
      </c>
    </row>
    <row r="190" spans="1:21" ht="16.5" thickBot="1">
      <c r="A190" s="207" t="s">
        <v>10</v>
      </c>
      <c r="B190" s="211">
        <f t="shared" si="9"/>
        <v>140</v>
      </c>
      <c r="C190" s="211" t="s">
        <v>3</v>
      </c>
      <c r="D190" s="211">
        <f t="shared" si="10"/>
        <v>300</v>
      </c>
      <c r="E190" s="211" t="s">
        <v>3</v>
      </c>
      <c r="F190" s="209">
        <f t="shared" si="11"/>
        <v>2350</v>
      </c>
      <c r="G190" s="211" t="s">
        <v>3</v>
      </c>
      <c r="H190" s="208">
        <v>4</v>
      </c>
      <c r="I190" s="210" t="s">
        <v>530</v>
      </c>
      <c r="J190" s="103">
        <v>140</v>
      </c>
      <c r="K190" s="66">
        <v>300</v>
      </c>
      <c r="L190" s="66">
        <v>2350</v>
      </c>
      <c r="M190" s="164">
        <v>34.765144526639496</v>
      </c>
      <c r="N190" s="78">
        <v>12129.197480400002</v>
      </c>
      <c r="O190" s="113">
        <v>92599.107857289375</v>
      </c>
      <c r="P190" s="113">
        <v>111427.77802156887</v>
      </c>
      <c r="Q190" s="110">
        <v>31039.142730135216</v>
      </c>
      <c r="R190" s="113">
        <v>123638.25058742458</v>
      </c>
      <c r="S190" s="113">
        <v>142466.92075170408</v>
      </c>
      <c r="U190" s="7" t="s">
        <v>6978</v>
      </c>
    </row>
    <row r="191" spans="1:21" ht="16.5" thickBot="1">
      <c r="A191" s="207" t="s">
        <v>10</v>
      </c>
      <c r="B191" s="211">
        <f t="shared" si="9"/>
        <v>140</v>
      </c>
      <c r="C191" s="211" t="s">
        <v>3</v>
      </c>
      <c r="D191" s="211">
        <f t="shared" si="10"/>
        <v>300</v>
      </c>
      <c r="E191" s="211" t="s">
        <v>3</v>
      </c>
      <c r="F191" s="209">
        <f t="shared" si="11"/>
        <v>2400</v>
      </c>
      <c r="G191" s="211" t="s">
        <v>3</v>
      </c>
      <c r="H191" s="208">
        <v>4</v>
      </c>
      <c r="I191" s="210" t="s">
        <v>530</v>
      </c>
      <c r="J191" s="103">
        <v>140</v>
      </c>
      <c r="K191" s="66">
        <v>300</v>
      </c>
      <c r="L191" s="66">
        <v>2400</v>
      </c>
      <c r="M191" s="164">
        <v>35.39037988979775</v>
      </c>
      <c r="N191" s="78">
        <v>12432.427417409999</v>
      </c>
      <c r="O191" s="113">
        <v>93779.663048424889</v>
      </c>
      <c r="P191" s="113">
        <v>112944.4890571851</v>
      </c>
      <c r="Q191" s="110">
        <v>31562.784363106966</v>
      </c>
      <c r="R191" s="113">
        <v>125342.44741153186</v>
      </c>
      <c r="S191" s="113">
        <v>144507.27342029207</v>
      </c>
      <c r="U191" s="7" t="s">
        <v>6979</v>
      </c>
    </row>
    <row r="192" spans="1:21" ht="16.5" thickBot="1">
      <c r="A192" s="207" t="s">
        <v>10</v>
      </c>
      <c r="B192" s="211">
        <f t="shared" si="9"/>
        <v>140</v>
      </c>
      <c r="C192" s="211" t="s">
        <v>3</v>
      </c>
      <c r="D192" s="211">
        <f t="shared" si="10"/>
        <v>300</v>
      </c>
      <c r="E192" s="211" t="s">
        <v>3</v>
      </c>
      <c r="F192" s="209">
        <f t="shared" si="11"/>
        <v>2450</v>
      </c>
      <c r="G192" s="211" t="s">
        <v>3</v>
      </c>
      <c r="H192" s="208">
        <v>4</v>
      </c>
      <c r="I192" s="210" t="s">
        <v>530</v>
      </c>
      <c r="J192" s="103">
        <v>140</v>
      </c>
      <c r="K192" s="66">
        <v>300</v>
      </c>
      <c r="L192" s="66">
        <v>2450</v>
      </c>
      <c r="M192" s="164">
        <v>36.783681890390994</v>
      </c>
      <c r="N192" s="78">
        <v>12735.657354420002</v>
      </c>
      <c r="O192" s="113">
        <v>95559.667254548345</v>
      </c>
      <c r="P192" s="113">
        <v>115252.86434820491</v>
      </c>
      <c r="Q192" s="110">
        <v>32337.760286891244</v>
      </c>
      <c r="R192" s="113">
        <v>127897.4275414396</v>
      </c>
      <c r="S192" s="113">
        <v>147590.62463509614</v>
      </c>
      <c r="U192" s="7" t="s">
        <v>6980</v>
      </c>
    </row>
    <row r="193" spans="1:21" ht="16.5" thickBot="1">
      <c r="A193" s="207" t="s">
        <v>10</v>
      </c>
      <c r="B193" s="211">
        <f t="shared" si="9"/>
        <v>140</v>
      </c>
      <c r="C193" s="211" t="s">
        <v>3</v>
      </c>
      <c r="D193" s="211">
        <f t="shared" si="10"/>
        <v>300</v>
      </c>
      <c r="E193" s="211" t="s">
        <v>3</v>
      </c>
      <c r="F193" s="209">
        <f t="shared" si="11"/>
        <v>2500</v>
      </c>
      <c r="G193" s="211" t="s">
        <v>3</v>
      </c>
      <c r="H193" s="208">
        <v>4</v>
      </c>
      <c r="I193" s="210" t="s">
        <v>530</v>
      </c>
      <c r="J193" s="103">
        <v>140</v>
      </c>
      <c r="K193" s="66">
        <v>300</v>
      </c>
      <c r="L193" s="66">
        <v>2500</v>
      </c>
      <c r="M193" s="164">
        <v>37.408917253549241</v>
      </c>
      <c r="N193" s="78">
        <v>13038.887291430001</v>
      </c>
      <c r="O193" s="113">
        <v>96740.117605676889</v>
      </c>
      <c r="P193" s="113">
        <v>116769.4679346737</v>
      </c>
      <c r="Q193" s="110">
        <v>32861.40191986299</v>
      </c>
      <c r="R193" s="113">
        <v>129601.51952553989</v>
      </c>
      <c r="S193" s="113">
        <v>149630.86985453669</v>
      </c>
      <c r="U193" s="7" t="s">
        <v>6981</v>
      </c>
    </row>
    <row r="194" spans="1:21" ht="16.5" thickBot="1">
      <c r="A194" s="207" t="s">
        <v>10</v>
      </c>
      <c r="B194" s="211">
        <f t="shared" si="9"/>
        <v>140</v>
      </c>
      <c r="C194" s="211" t="s">
        <v>3</v>
      </c>
      <c r="D194" s="211">
        <f t="shared" si="10"/>
        <v>300</v>
      </c>
      <c r="E194" s="211" t="s">
        <v>3</v>
      </c>
      <c r="F194" s="209">
        <f t="shared" si="11"/>
        <v>2550</v>
      </c>
      <c r="G194" s="211" t="s">
        <v>3</v>
      </c>
      <c r="H194" s="208">
        <v>4</v>
      </c>
      <c r="I194" s="210" t="s">
        <v>530</v>
      </c>
      <c r="J194" s="103">
        <v>140</v>
      </c>
      <c r="K194" s="66">
        <v>300</v>
      </c>
      <c r="L194" s="66">
        <v>2550</v>
      </c>
      <c r="M194" s="164">
        <v>38.050340616707501</v>
      </c>
      <c r="N194" s="78">
        <v>13342.117228440002</v>
      </c>
      <c r="O194" s="113">
        <v>101511.34157805059</v>
      </c>
      <c r="P194" s="113">
        <v>121964.51779793321</v>
      </c>
      <c r="Q194" s="110">
        <v>33636.377843647271</v>
      </c>
      <c r="R194" s="113">
        <v>135147.71942169787</v>
      </c>
      <c r="S194" s="113">
        <v>155600.89564158049</v>
      </c>
      <c r="U194" s="7" t="s">
        <v>6982</v>
      </c>
    </row>
    <row r="195" spans="1:21" ht="16.5" thickBot="1">
      <c r="A195" s="207" t="s">
        <v>10</v>
      </c>
      <c r="B195" s="208">
        <f t="shared" si="9"/>
        <v>140</v>
      </c>
      <c r="C195" s="208" t="s">
        <v>3</v>
      </c>
      <c r="D195" s="208">
        <f t="shared" si="10"/>
        <v>300</v>
      </c>
      <c r="E195" s="208" t="s">
        <v>3</v>
      </c>
      <c r="F195" s="209">
        <f t="shared" si="11"/>
        <v>2600</v>
      </c>
      <c r="G195" s="208" t="s">
        <v>3</v>
      </c>
      <c r="H195" s="208">
        <v>4</v>
      </c>
      <c r="I195" s="210" t="s">
        <v>530</v>
      </c>
      <c r="J195" s="103">
        <v>140</v>
      </c>
      <c r="K195" s="66">
        <v>300</v>
      </c>
      <c r="L195" s="66">
        <v>2600</v>
      </c>
      <c r="M195" s="164">
        <v>38.675575979865755</v>
      </c>
      <c r="N195" s="78">
        <v>13645.347165450003</v>
      </c>
      <c r="O195" s="113">
        <v>102986.64495339557</v>
      </c>
      <c r="P195" s="113">
        <v>123783.17360402569</v>
      </c>
      <c r="Q195" s="110">
        <v>34160.019476619018</v>
      </c>
      <c r="R195" s="113">
        <v>137146.66443001459</v>
      </c>
      <c r="S195" s="113">
        <v>157943.19308064471</v>
      </c>
      <c r="U195" s="7" t="s">
        <v>6983</v>
      </c>
    </row>
    <row r="196" spans="1:21" ht="16.5" thickBot="1">
      <c r="A196" s="207" t="s">
        <v>10</v>
      </c>
      <c r="B196" s="211">
        <f t="shared" si="9"/>
        <v>140</v>
      </c>
      <c r="C196" s="211" t="s">
        <v>3</v>
      </c>
      <c r="D196" s="211">
        <f t="shared" si="10"/>
        <v>300</v>
      </c>
      <c r="E196" s="211" t="s">
        <v>3</v>
      </c>
      <c r="F196" s="209">
        <f t="shared" si="11"/>
        <v>2650</v>
      </c>
      <c r="G196" s="211" t="s">
        <v>3</v>
      </c>
      <c r="H196" s="208">
        <v>4</v>
      </c>
      <c r="I196" s="210" t="s">
        <v>530</v>
      </c>
      <c r="J196" s="103">
        <v>140</v>
      </c>
      <c r="K196" s="66">
        <v>300</v>
      </c>
      <c r="L196" s="66">
        <v>2650</v>
      </c>
      <c r="M196" s="164">
        <v>39.316999343024001</v>
      </c>
      <c r="N196" s="78">
        <v>13948.577102460002</v>
      </c>
      <c r="O196" s="113">
        <v>103992.57259343882</v>
      </c>
      <c r="P196" s="113">
        <v>125120.99347914042</v>
      </c>
      <c r="Q196" s="110">
        <v>34934.995247374536</v>
      </c>
      <c r="R196" s="113">
        <v>138927.56784081337</v>
      </c>
      <c r="S196" s="113">
        <v>160055.98872651497</v>
      </c>
      <c r="U196" s="7" t="s">
        <v>6984</v>
      </c>
    </row>
    <row r="197" spans="1:21" ht="16.5" thickBot="1">
      <c r="A197" s="207" t="s">
        <v>10</v>
      </c>
      <c r="B197" s="211">
        <f t="shared" si="9"/>
        <v>140</v>
      </c>
      <c r="C197" s="211" t="s">
        <v>3</v>
      </c>
      <c r="D197" s="211">
        <f t="shared" si="10"/>
        <v>300</v>
      </c>
      <c r="E197" s="211" t="s">
        <v>3</v>
      </c>
      <c r="F197" s="209">
        <f t="shared" si="11"/>
        <v>2700</v>
      </c>
      <c r="G197" s="211" t="s">
        <v>3</v>
      </c>
      <c r="H197" s="208">
        <v>4</v>
      </c>
      <c r="I197" s="210" t="s">
        <v>530</v>
      </c>
      <c r="J197" s="103">
        <v>140</v>
      </c>
      <c r="K197" s="66">
        <v>300</v>
      </c>
      <c r="L197" s="66">
        <v>2700</v>
      </c>
      <c r="M197" s="164">
        <v>40.091384706182254</v>
      </c>
      <c r="N197" s="78">
        <v>14251.807039470001</v>
      </c>
      <c r="O197" s="113">
        <v>105063.43873215238</v>
      </c>
      <c r="P197" s="113">
        <v>126525.33718502351</v>
      </c>
      <c r="Q197" s="110">
        <v>35458.637033375046</v>
      </c>
      <c r="R197" s="113">
        <v>140522.07576552744</v>
      </c>
      <c r="S197" s="113">
        <v>161983.97421839857</v>
      </c>
      <c r="U197" s="7" t="s">
        <v>6985</v>
      </c>
    </row>
    <row r="198" spans="1:21" ht="16.5" thickBot="1">
      <c r="A198" s="207" t="s">
        <v>10</v>
      </c>
      <c r="B198" s="211">
        <f t="shared" si="9"/>
        <v>140</v>
      </c>
      <c r="C198" s="211" t="s">
        <v>3</v>
      </c>
      <c r="D198" s="211">
        <f t="shared" si="10"/>
        <v>300</v>
      </c>
      <c r="E198" s="211" t="s">
        <v>3</v>
      </c>
      <c r="F198" s="209">
        <f t="shared" si="11"/>
        <v>2750</v>
      </c>
      <c r="G198" s="211" t="s">
        <v>3</v>
      </c>
      <c r="H198" s="208">
        <v>4</v>
      </c>
      <c r="I198" s="210" t="s">
        <v>530</v>
      </c>
      <c r="J198" s="103">
        <v>140</v>
      </c>
      <c r="K198" s="66">
        <v>300</v>
      </c>
      <c r="L198" s="66">
        <v>2750</v>
      </c>
      <c r="M198" s="164">
        <v>40.7166200693405</v>
      </c>
      <c r="N198" s="78">
        <v>14555.036976480002</v>
      </c>
      <c r="O198" s="113">
        <v>106158.37358701095</v>
      </c>
      <c r="P198" s="113">
        <v>127954.3374104322</v>
      </c>
      <c r="Q198" s="110">
        <v>35982.278666346792</v>
      </c>
      <c r="R198" s="113">
        <v>142140.65225335775</v>
      </c>
      <c r="S198" s="113">
        <v>163936.616076779</v>
      </c>
      <c r="U198" s="7" t="s">
        <v>6986</v>
      </c>
    </row>
    <row r="199" spans="1:21" ht="16.5" thickBot="1">
      <c r="A199" s="207" t="s">
        <v>10</v>
      </c>
      <c r="B199" s="211">
        <f t="shared" si="9"/>
        <v>140</v>
      </c>
      <c r="C199" s="211" t="s">
        <v>3</v>
      </c>
      <c r="D199" s="211">
        <f t="shared" si="10"/>
        <v>300</v>
      </c>
      <c r="E199" s="211" t="s">
        <v>3</v>
      </c>
      <c r="F199" s="209">
        <f t="shared" si="11"/>
        <v>2800</v>
      </c>
      <c r="G199" s="211" t="s">
        <v>3</v>
      </c>
      <c r="H199" s="208">
        <v>4</v>
      </c>
      <c r="I199" s="210" t="s">
        <v>530</v>
      </c>
      <c r="J199" s="103">
        <v>140</v>
      </c>
      <c r="K199" s="66">
        <v>300</v>
      </c>
      <c r="L199" s="66">
        <v>2800</v>
      </c>
      <c r="M199" s="164">
        <v>41.358043432498746</v>
      </c>
      <c r="N199" s="78">
        <v>14858.266913490002</v>
      </c>
      <c r="O199" s="113">
        <v>107162.95586701417</v>
      </c>
      <c r="P199" s="113">
        <v>129290.77894780801</v>
      </c>
      <c r="Q199" s="110">
        <v>36757.25443710231</v>
      </c>
      <c r="R199" s="113">
        <v>143920.21030411648</v>
      </c>
      <c r="S199" s="113">
        <v>166048.03338491032</v>
      </c>
      <c r="U199" s="7" t="s">
        <v>6987</v>
      </c>
    </row>
    <row r="200" spans="1:21" ht="16.5" thickBot="1">
      <c r="A200" s="207" t="s">
        <v>10</v>
      </c>
      <c r="B200" s="211">
        <f t="shared" si="9"/>
        <v>140</v>
      </c>
      <c r="C200" s="211" t="s">
        <v>3</v>
      </c>
      <c r="D200" s="211">
        <f t="shared" si="10"/>
        <v>300</v>
      </c>
      <c r="E200" s="211" t="s">
        <v>3</v>
      </c>
      <c r="F200" s="209">
        <f t="shared" si="11"/>
        <v>2850</v>
      </c>
      <c r="G200" s="211" t="s">
        <v>3</v>
      </c>
      <c r="H200" s="208">
        <v>4</v>
      </c>
      <c r="I200" s="210" t="s">
        <v>530</v>
      </c>
      <c r="J200" s="103">
        <v>140</v>
      </c>
      <c r="K200" s="66">
        <v>300</v>
      </c>
      <c r="L200" s="66">
        <v>2850</v>
      </c>
      <c r="M200" s="164">
        <v>42.802178795656999</v>
      </c>
      <c r="N200" s="78">
        <v>15161.496850500002</v>
      </c>
      <c r="O200" s="113">
        <v>108167.4857270139</v>
      </c>
      <c r="P200" s="113">
        <v>130627.16683176847</v>
      </c>
      <c r="Q200" s="110">
        <v>37280.89622310282</v>
      </c>
      <c r="R200" s="113">
        <v>145448.38195011672</v>
      </c>
      <c r="S200" s="113">
        <v>167908.06305487128</v>
      </c>
      <c r="U200" s="7" t="s">
        <v>6988</v>
      </c>
    </row>
    <row r="201" spans="1:21" ht="16.5" thickBot="1">
      <c r="A201" s="207" t="s">
        <v>10</v>
      </c>
      <c r="B201" s="211">
        <f t="shared" si="9"/>
        <v>140</v>
      </c>
      <c r="C201" s="211" t="s">
        <v>3</v>
      </c>
      <c r="D201" s="211">
        <f t="shared" si="10"/>
        <v>300</v>
      </c>
      <c r="E201" s="211" t="s">
        <v>3</v>
      </c>
      <c r="F201" s="209">
        <f t="shared" si="11"/>
        <v>2900</v>
      </c>
      <c r="G201" s="211" t="s">
        <v>3</v>
      </c>
      <c r="H201" s="208">
        <v>4</v>
      </c>
      <c r="I201" s="210" t="s">
        <v>530</v>
      </c>
      <c r="J201" s="103">
        <v>140</v>
      </c>
      <c r="K201" s="66">
        <v>300</v>
      </c>
      <c r="L201" s="66">
        <v>2900</v>
      </c>
      <c r="M201" s="164">
        <v>43.443602158815246</v>
      </c>
      <c r="N201" s="78">
        <v>15464.726787510001</v>
      </c>
      <c r="O201" s="113">
        <v>109171.96316701012</v>
      </c>
      <c r="P201" s="113">
        <v>131963.50091999682</v>
      </c>
      <c r="Q201" s="110">
        <v>38055.871993858338</v>
      </c>
      <c r="R201" s="113">
        <v>147227.83516086848</v>
      </c>
      <c r="S201" s="113">
        <v>170019.37291385516</v>
      </c>
      <c r="U201" s="7" t="s">
        <v>6989</v>
      </c>
    </row>
    <row r="202" spans="1:21" ht="16.5" thickBot="1">
      <c r="A202" s="207" t="s">
        <v>10</v>
      </c>
      <c r="B202" s="211">
        <f t="shared" si="9"/>
        <v>140</v>
      </c>
      <c r="C202" s="211" t="s">
        <v>3</v>
      </c>
      <c r="D202" s="211">
        <f t="shared" si="10"/>
        <v>300</v>
      </c>
      <c r="E202" s="211" t="s">
        <v>3</v>
      </c>
      <c r="F202" s="209">
        <f t="shared" si="11"/>
        <v>2950</v>
      </c>
      <c r="G202" s="211" t="s">
        <v>3</v>
      </c>
      <c r="H202" s="208">
        <v>4</v>
      </c>
      <c r="I202" s="210" t="s">
        <v>530</v>
      </c>
      <c r="J202" s="103">
        <v>140</v>
      </c>
      <c r="K202" s="66">
        <v>300</v>
      </c>
      <c r="L202" s="66">
        <v>2950</v>
      </c>
      <c r="M202" s="164">
        <v>44.068837521973499</v>
      </c>
      <c r="N202" s="78">
        <v>15767.956724520003</v>
      </c>
      <c r="O202" s="113">
        <v>110176.38818700286</v>
      </c>
      <c r="P202" s="113">
        <v>133299.78135480985</v>
      </c>
      <c r="Q202" s="110">
        <v>38579.513779858848</v>
      </c>
      <c r="R202" s="113">
        <v>148755.90196686171</v>
      </c>
      <c r="S202" s="113">
        <v>171879.2951346687</v>
      </c>
      <c r="U202" s="7" t="s">
        <v>6990</v>
      </c>
    </row>
    <row r="203" spans="1:21" ht="16.5" thickBot="1">
      <c r="A203" s="212" t="s">
        <v>10</v>
      </c>
      <c r="B203" s="213">
        <f t="shared" si="9"/>
        <v>140</v>
      </c>
      <c r="C203" s="213" t="s">
        <v>3</v>
      </c>
      <c r="D203" s="213">
        <f t="shared" si="10"/>
        <v>300</v>
      </c>
      <c r="E203" s="213" t="s">
        <v>3</v>
      </c>
      <c r="F203" s="214">
        <f t="shared" si="11"/>
        <v>3000</v>
      </c>
      <c r="G203" s="213" t="s">
        <v>3</v>
      </c>
      <c r="H203" s="215">
        <v>4</v>
      </c>
      <c r="I203" s="210" t="s">
        <v>530</v>
      </c>
      <c r="J203" s="103">
        <v>140</v>
      </c>
      <c r="K203" s="266">
        <v>300</v>
      </c>
      <c r="L203" s="266">
        <v>3000</v>
      </c>
      <c r="M203" s="281">
        <v>44.710260885131746</v>
      </c>
      <c r="N203" s="250">
        <v>16071.18666153</v>
      </c>
      <c r="O203" s="251">
        <v>113052.11289766505</v>
      </c>
      <c r="P203" s="251">
        <v>136553.05135521007</v>
      </c>
      <c r="Q203" s="252">
        <v>39354.489550614366</v>
      </c>
      <c r="R203" s="251">
        <v>152406.60244827942</v>
      </c>
      <c r="S203" s="251">
        <v>175907.54090582445</v>
      </c>
      <c r="U203" s="7" t="s">
        <v>6991</v>
      </c>
    </row>
    <row r="204" spans="1:21" ht="22.5" customHeight="1" thickBot="1">
      <c r="A204" s="2968" t="s">
        <v>44</v>
      </c>
      <c r="B204" s="2969"/>
      <c r="C204" s="2969"/>
      <c r="D204" s="2969"/>
      <c r="E204" s="2969"/>
      <c r="F204" s="2969"/>
      <c r="G204" s="2969"/>
      <c r="H204" s="2969"/>
      <c r="I204" s="2969"/>
      <c r="J204" s="2969"/>
      <c r="K204" s="2969"/>
      <c r="L204" s="2969"/>
      <c r="M204" s="2969"/>
      <c r="N204" s="2969"/>
      <c r="O204" s="2969"/>
      <c r="P204" s="2969"/>
      <c r="Q204" s="2969"/>
      <c r="R204" s="2969"/>
      <c r="S204" s="2970"/>
      <c r="U204" s="7"/>
    </row>
    <row r="205" spans="1:21" ht="19.5" thickBot="1">
      <c r="A205" s="3015" t="s">
        <v>148</v>
      </c>
      <c r="B205" s="3016"/>
      <c r="C205" s="3016"/>
      <c r="D205" s="3016"/>
      <c r="E205" s="3016"/>
      <c r="F205" s="3016"/>
      <c r="G205" s="3016"/>
      <c r="H205" s="3016"/>
      <c r="I205" s="3016"/>
      <c r="J205" s="3016"/>
      <c r="K205" s="3016"/>
      <c r="L205" s="3016"/>
      <c r="M205" s="3016"/>
      <c r="N205" s="3016"/>
      <c r="O205" s="3016"/>
      <c r="P205" s="3016"/>
      <c r="Q205" s="3016"/>
      <c r="R205" s="3016"/>
      <c r="S205" s="3017"/>
      <c r="U205" s="7"/>
    </row>
    <row r="206" spans="1:21" ht="16.5" thickBot="1">
      <c r="A206" s="207" t="s">
        <v>10</v>
      </c>
      <c r="B206" s="208">
        <f t="shared" ref="B206:B252" si="12">J206</f>
        <v>140</v>
      </c>
      <c r="C206" s="208" t="s">
        <v>3</v>
      </c>
      <c r="D206" s="208">
        <f t="shared" ref="D206:D252" si="13">K206</f>
        <v>360</v>
      </c>
      <c r="E206" s="208" t="s">
        <v>3</v>
      </c>
      <c r="F206" s="209">
        <f t="shared" ref="F206:F252" si="14">L206</f>
        <v>700</v>
      </c>
      <c r="G206" s="208" t="s">
        <v>3</v>
      </c>
      <c r="H206" s="208">
        <v>6</v>
      </c>
      <c r="I206" s="210" t="s">
        <v>531</v>
      </c>
      <c r="J206" s="286">
        <v>140</v>
      </c>
      <c r="K206" s="271">
        <v>360</v>
      </c>
      <c r="L206" s="271">
        <v>700</v>
      </c>
      <c r="M206" s="282">
        <f>M255*0.9</f>
        <v>13.634438256335248</v>
      </c>
      <c r="N206" s="246">
        <v>2373.9171210300001</v>
      </c>
      <c r="O206" s="247">
        <v>35739.989469708824</v>
      </c>
      <c r="P206" s="247">
        <v>43200.364218286704</v>
      </c>
      <c r="Q206" s="248">
        <v>11490.936859530682</v>
      </c>
      <c r="R206" s="247">
        <v>47230.926329239504</v>
      </c>
      <c r="S206" s="247">
        <v>54691.301077817385</v>
      </c>
      <c r="U206" s="7" t="s">
        <v>6992</v>
      </c>
    </row>
    <row r="207" spans="1:21" ht="16.5" thickBot="1">
      <c r="A207" s="207" t="s">
        <v>10</v>
      </c>
      <c r="B207" s="211">
        <f t="shared" si="12"/>
        <v>140</v>
      </c>
      <c r="C207" s="211" t="s">
        <v>3</v>
      </c>
      <c r="D207" s="211">
        <f t="shared" si="13"/>
        <v>360</v>
      </c>
      <c r="E207" s="211" t="s">
        <v>3</v>
      </c>
      <c r="F207" s="209">
        <f t="shared" si="14"/>
        <v>750</v>
      </c>
      <c r="G207" s="211" t="s">
        <v>3</v>
      </c>
      <c r="H207" s="208">
        <v>6</v>
      </c>
      <c r="I207" s="210" t="s">
        <v>531</v>
      </c>
      <c r="J207" s="103">
        <v>140</v>
      </c>
      <c r="K207" s="66">
        <v>360</v>
      </c>
      <c r="L207" s="66">
        <v>750</v>
      </c>
      <c r="M207" s="156">
        <v>15.991332938788995</v>
      </c>
      <c r="N207" s="78">
        <v>2713.0481383200004</v>
      </c>
      <c r="O207" s="113">
        <v>38051.704859903788</v>
      </c>
      <c r="P207" s="113">
        <v>45895.707438136982</v>
      </c>
      <c r="Q207" s="110">
        <v>12094.357743768871</v>
      </c>
      <c r="R207" s="113">
        <v>50146.062603672661</v>
      </c>
      <c r="S207" s="113">
        <v>57990.065181905855</v>
      </c>
      <c r="U207" s="7" t="s">
        <v>6993</v>
      </c>
    </row>
    <row r="208" spans="1:21" ht="16.5" thickBot="1">
      <c r="A208" s="207" t="s">
        <v>10</v>
      </c>
      <c r="B208" s="211">
        <f t="shared" si="12"/>
        <v>140</v>
      </c>
      <c r="C208" s="211" t="s">
        <v>3</v>
      </c>
      <c r="D208" s="211">
        <f t="shared" si="13"/>
        <v>360</v>
      </c>
      <c r="E208" s="211" t="s">
        <v>3</v>
      </c>
      <c r="F208" s="209">
        <f t="shared" si="14"/>
        <v>800</v>
      </c>
      <c r="G208" s="211" t="s">
        <v>3</v>
      </c>
      <c r="H208" s="208">
        <v>6</v>
      </c>
      <c r="I208" s="210" t="s">
        <v>531</v>
      </c>
      <c r="J208" s="103">
        <v>140</v>
      </c>
      <c r="K208" s="66">
        <v>360</v>
      </c>
      <c r="L208" s="66">
        <v>800</v>
      </c>
      <c r="M208" s="156">
        <v>15.991332938788995</v>
      </c>
      <c r="N208" s="78">
        <v>3052.1791556100002</v>
      </c>
      <c r="O208" s="113">
        <v>40351.39005440865</v>
      </c>
      <c r="P208" s="113">
        <v>48578.855393228798</v>
      </c>
      <c r="Q208" s="110">
        <v>12697.77862800706</v>
      </c>
      <c r="R208" s="113">
        <v>53049.168682415708</v>
      </c>
      <c r="S208" s="113">
        <v>61276.634021235855</v>
      </c>
      <c r="U208" s="7" t="s">
        <v>6994</v>
      </c>
    </row>
    <row r="209" spans="1:21" ht="16.5" thickBot="1">
      <c r="A209" s="207" t="s">
        <v>10</v>
      </c>
      <c r="B209" s="211">
        <f t="shared" si="12"/>
        <v>140</v>
      </c>
      <c r="C209" s="211" t="s">
        <v>3</v>
      </c>
      <c r="D209" s="211">
        <f t="shared" si="13"/>
        <v>360</v>
      </c>
      <c r="E209" s="211" t="s">
        <v>3</v>
      </c>
      <c r="F209" s="209">
        <f t="shared" si="14"/>
        <v>850</v>
      </c>
      <c r="G209" s="211" t="s">
        <v>3</v>
      </c>
      <c r="H209" s="208">
        <v>6</v>
      </c>
      <c r="I209" s="210" t="s">
        <v>531</v>
      </c>
      <c r="J209" s="103">
        <v>140</v>
      </c>
      <c r="K209" s="66">
        <v>360</v>
      </c>
      <c r="L209" s="66">
        <v>850</v>
      </c>
      <c r="M209" s="156">
        <v>15.991332938788995</v>
      </c>
      <c r="N209" s="78">
        <v>3391.3101729</v>
      </c>
      <c r="O209" s="113">
        <v>42650.11061678968</v>
      </c>
      <c r="P209" s="113">
        <v>51261.117711175619</v>
      </c>
      <c r="Q209" s="110">
        <v>13552.533650029018</v>
      </c>
      <c r="R209" s="113">
        <v>56202.644266818694</v>
      </c>
      <c r="S209" s="113">
        <v>64813.65136120464</v>
      </c>
      <c r="U209" s="7" t="s">
        <v>6995</v>
      </c>
    </row>
    <row r="210" spans="1:21" ht="16.5" thickBot="1">
      <c r="A210" s="207" t="s">
        <v>10</v>
      </c>
      <c r="B210" s="211">
        <f t="shared" si="12"/>
        <v>140</v>
      </c>
      <c r="C210" s="211" t="s">
        <v>3</v>
      </c>
      <c r="D210" s="211">
        <f t="shared" si="13"/>
        <v>360</v>
      </c>
      <c r="E210" s="211" t="s">
        <v>3</v>
      </c>
      <c r="F210" s="209">
        <f t="shared" si="14"/>
        <v>900</v>
      </c>
      <c r="G210" s="211" t="s">
        <v>3</v>
      </c>
      <c r="H210" s="208">
        <v>6</v>
      </c>
      <c r="I210" s="210" t="s">
        <v>531</v>
      </c>
      <c r="J210" s="103">
        <v>140</v>
      </c>
      <c r="K210" s="66">
        <v>360</v>
      </c>
      <c r="L210" s="66">
        <v>900</v>
      </c>
      <c r="M210" s="156">
        <v>15.991332938788995</v>
      </c>
      <c r="N210" s="78">
        <v>3730.4411901900003</v>
      </c>
      <c r="O210" s="113">
        <v>44948.9593025043</v>
      </c>
      <c r="P210" s="113">
        <v>53943.626379419395</v>
      </c>
      <c r="Q210" s="110">
        <v>14155.954534267206</v>
      </c>
      <c r="R210" s="113">
        <v>59104.913836771506</v>
      </c>
      <c r="S210" s="113">
        <v>68099.580913686601</v>
      </c>
      <c r="U210" s="7" t="s">
        <v>6996</v>
      </c>
    </row>
    <row r="211" spans="1:21" ht="16.5" thickBot="1">
      <c r="A211" s="207" t="s">
        <v>10</v>
      </c>
      <c r="B211" s="211">
        <f t="shared" si="12"/>
        <v>140</v>
      </c>
      <c r="C211" s="211" t="s">
        <v>3</v>
      </c>
      <c r="D211" s="211">
        <f t="shared" si="13"/>
        <v>360</v>
      </c>
      <c r="E211" s="211" t="s">
        <v>3</v>
      </c>
      <c r="F211" s="209">
        <f t="shared" si="14"/>
        <v>950</v>
      </c>
      <c r="G211" s="211" t="s">
        <v>3</v>
      </c>
      <c r="H211" s="208">
        <v>6</v>
      </c>
      <c r="I211" s="210" t="s">
        <v>531</v>
      </c>
      <c r="J211" s="103">
        <v>140</v>
      </c>
      <c r="K211" s="66">
        <v>360</v>
      </c>
      <c r="L211" s="66">
        <v>950</v>
      </c>
      <c r="M211" s="156">
        <v>15.991332938788995</v>
      </c>
      <c r="N211" s="78">
        <v>4069.5722074800001</v>
      </c>
      <c r="O211" s="113">
        <v>47247.914909417115</v>
      </c>
      <c r="P211" s="113">
        <v>56626.341264636198</v>
      </c>
      <c r="Q211" s="110">
        <v>15010.709556289165</v>
      </c>
      <c r="R211" s="113">
        <v>62258.624465706278</v>
      </c>
      <c r="S211" s="113">
        <v>71637.05082092536</v>
      </c>
      <c r="U211" s="7" t="s">
        <v>6997</v>
      </c>
    </row>
    <row r="212" spans="1:21" ht="16.5" thickBot="1">
      <c r="A212" s="207" t="s">
        <v>10</v>
      </c>
      <c r="B212" s="211">
        <f t="shared" si="12"/>
        <v>140</v>
      </c>
      <c r="C212" s="211" t="s">
        <v>3</v>
      </c>
      <c r="D212" s="211">
        <f t="shared" si="13"/>
        <v>360</v>
      </c>
      <c r="E212" s="211" t="s">
        <v>3</v>
      </c>
      <c r="F212" s="209">
        <f t="shared" si="14"/>
        <v>1000</v>
      </c>
      <c r="G212" s="211" t="s">
        <v>3</v>
      </c>
      <c r="H212" s="208">
        <v>6</v>
      </c>
      <c r="I212" s="210" t="s">
        <v>531</v>
      </c>
      <c r="J212" s="103">
        <v>140</v>
      </c>
      <c r="K212" s="66">
        <v>360</v>
      </c>
      <c r="L212" s="66">
        <v>1000</v>
      </c>
      <c r="M212" s="156">
        <v>15.991332938788995</v>
      </c>
      <c r="N212" s="78">
        <v>4408.7032247700008</v>
      </c>
      <c r="O212" s="113">
        <v>49466.631750287575</v>
      </c>
      <c r="P212" s="113">
        <v>59227.038578975109</v>
      </c>
      <c r="Q212" s="110">
        <v>15614.130440527351</v>
      </c>
      <c r="R212" s="113">
        <v>65080.76219081493</v>
      </c>
      <c r="S212" s="113">
        <v>74841.169019502457</v>
      </c>
      <c r="U212" s="7" t="s">
        <v>6998</v>
      </c>
    </row>
    <row r="213" spans="1:21" ht="16.5" thickBot="1">
      <c r="A213" s="207" t="s">
        <v>10</v>
      </c>
      <c r="B213" s="211">
        <f t="shared" si="12"/>
        <v>140</v>
      </c>
      <c r="C213" s="211" t="s">
        <v>3</v>
      </c>
      <c r="D213" s="211">
        <f t="shared" si="13"/>
        <v>360</v>
      </c>
      <c r="E213" s="211" t="s">
        <v>3</v>
      </c>
      <c r="F213" s="209">
        <f t="shared" si="14"/>
        <v>1050</v>
      </c>
      <c r="G213" s="211" t="s">
        <v>3</v>
      </c>
      <c r="H213" s="208">
        <v>6</v>
      </c>
      <c r="I213" s="210" t="s">
        <v>531</v>
      </c>
      <c r="J213" s="103">
        <v>140</v>
      </c>
      <c r="K213" s="66">
        <v>360</v>
      </c>
      <c r="L213" s="66">
        <v>1050</v>
      </c>
      <c r="M213" s="156">
        <v>15.991332938788995</v>
      </c>
      <c r="N213" s="78">
        <v>4747.8342420600002</v>
      </c>
      <c r="O213" s="113">
        <v>52000.212398891745</v>
      </c>
      <c r="P213" s="113">
        <v>62151.735775414018</v>
      </c>
      <c r="Q213" s="110">
        <v>16468.885462549311</v>
      </c>
      <c r="R213" s="113">
        <v>68469.097861441056</v>
      </c>
      <c r="S213" s="113">
        <v>78620.621237963322</v>
      </c>
      <c r="U213" s="7" t="s">
        <v>6999</v>
      </c>
    </row>
    <row r="214" spans="1:21" ht="16.5" thickBot="1">
      <c r="A214" s="207" t="s">
        <v>10</v>
      </c>
      <c r="B214" s="208">
        <f t="shared" si="12"/>
        <v>140</v>
      </c>
      <c r="C214" s="208" t="s">
        <v>3</v>
      </c>
      <c r="D214" s="208">
        <f t="shared" si="13"/>
        <v>360</v>
      </c>
      <c r="E214" s="208" t="s">
        <v>3</v>
      </c>
      <c r="F214" s="209">
        <f t="shared" si="14"/>
        <v>1100</v>
      </c>
      <c r="G214" s="208" t="s">
        <v>3</v>
      </c>
      <c r="H214" s="208">
        <v>6</v>
      </c>
      <c r="I214" s="210" t="s">
        <v>531</v>
      </c>
      <c r="J214" s="103">
        <v>140</v>
      </c>
      <c r="K214" s="66">
        <v>360</v>
      </c>
      <c r="L214" s="66">
        <v>1100</v>
      </c>
      <c r="M214" s="156">
        <v>15.991332938788995</v>
      </c>
      <c r="N214" s="78">
        <v>5086.9652593500005</v>
      </c>
      <c r="O214" s="113">
        <v>54307.687101856194</v>
      </c>
      <c r="P214" s="113">
        <v>64843.739105738539</v>
      </c>
      <c r="Q214" s="110">
        <v>17072.3063467875</v>
      </c>
      <c r="R214" s="113">
        <v>71379.993448643698</v>
      </c>
      <c r="S214" s="113">
        <v>81916.045452526043</v>
      </c>
      <c r="U214" s="7" t="s">
        <v>7000</v>
      </c>
    </row>
    <row r="215" spans="1:21" ht="16.5" thickBot="1">
      <c r="A215" s="207" t="s">
        <v>10</v>
      </c>
      <c r="B215" s="211">
        <f t="shared" si="12"/>
        <v>140</v>
      </c>
      <c r="C215" s="211" t="s">
        <v>3</v>
      </c>
      <c r="D215" s="211">
        <f t="shared" si="13"/>
        <v>360</v>
      </c>
      <c r="E215" s="211" t="s">
        <v>3</v>
      </c>
      <c r="F215" s="209">
        <f t="shared" si="14"/>
        <v>1150</v>
      </c>
      <c r="G215" s="211" t="s">
        <v>3</v>
      </c>
      <c r="H215" s="208">
        <v>6</v>
      </c>
      <c r="I215" s="210" t="s">
        <v>531</v>
      </c>
      <c r="J215" s="103">
        <v>140</v>
      </c>
      <c r="K215" s="66">
        <v>360</v>
      </c>
      <c r="L215" s="66">
        <v>1150</v>
      </c>
      <c r="M215" s="156">
        <v>15.991332938788995</v>
      </c>
      <c r="N215" s="78">
        <v>5426.0962766400007</v>
      </c>
      <c r="O215" s="113">
        <v>55859.251696626088</v>
      </c>
      <c r="P215" s="113">
        <v>66757.818151439453</v>
      </c>
      <c r="Q215" s="110">
        <v>17675.727231025689</v>
      </c>
      <c r="R215" s="113">
        <v>73534.978927651769</v>
      </c>
      <c r="S215" s="113">
        <v>84433.545382465149</v>
      </c>
      <c r="U215" s="7" t="s">
        <v>7001</v>
      </c>
    </row>
    <row r="216" spans="1:21" ht="16.5" thickBot="1">
      <c r="A216" s="207" t="s">
        <v>10</v>
      </c>
      <c r="B216" s="211">
        <f t="shared" si="12"/>
        <v>140</v>
      </c>
      <c r="C216" s="211" t="s">
        <v>3</v>
      </c>
      <c r="D216" s="211">
        <f t="shared" si="13"/>
        <v>360</v>
      </c>
      <c r="E216" s="211" t="s">
        <v>3</v>
      </c>
      <c r="F216" s="209">
        <f t="shared" si="14"/>
        <v>1200</v>
      </c>
      <c r="G216" s="211" t="s">
        <v>3</v>
      </c>
      <c r="H216" s="208">
        <v>6</v>
      </c>
      <c r="I216" s="210" t="s">
        <v>531</v>
      </c>
      <c r="J216" s="103">
        <v>140</v>
      </c>
      <c r="K216" s="66">
        <v>360</v>
      </c>
      <c r="L216" s="66">
        <v>1200</v>
      </c>
      <c r="M216" s="156">
        <v>15.991332938788995</v>
      </c>
      <c r="N216" s="78">
        <v>5765.227293930001</v>
      </c>
      <c r="O216" s="113">
        <v>57529.871354615861</v>
      </c>
      <c r="P216" s="113">
        <v>68794.578791126536</v>
      </c>
      <c r="Q216" s="110">
        <v>18530.482406076411</v>
      </c>
      <c r="R216" s="113">
        <v>76060.353760692276</v>
      </c>
      <c r="S216" s="113">
        <v>87325.061197202944</v>
      </c>
      <c r="U216" s="7" t="s">
        <v>7002</v>
      </c>
    </row>
    <row r="217" spans="1:21" ht="16.5" thickBot="1">
      <c r="A217" s="207" t="s">
        <v>10</v>
      </c>
      <c r="B217" s="211">
        <f t="shared" si="12"/>
        <v>140</v>
      </c>
      <c r="C217" s="211" t="s">
        <v>3</v>
      </c>
      <c r="D217" s="211">
        <f t="shared" si="13"/>
        <v>360</v>
      </c>
      <c r="E217" s="211" t="s">
        <v>3</v>
      </c>
      <c r="F217" s="209">
        <f t="shared" si="14"/>
        <v>1250</v>
      </c>
      <c r="G217" s="211" t="s">
        <v>3</v>
      </c>
      <c r="H217" s="208">
        <v>6</v>
      </c>
      <c r="I217" s="210" t="s">
        <v>531</v>
      </c>
      <c r="J217" s="103">
        <v>140</v>
      </c>
      <c r="K217" s="66">
        <v>360</v>
      </c>
      <c r="L217" s="66">
        <v>1250</v>
      </c>
      <c r="M217" s="156">
        <v>15.991332938788995</v>
      </c>
      <c r="N217" s="78">
        <v>6104.3583112200004</v>
      </c>
      <c r="O217" s="113">
        <v>59080.876499174774</v>
      </c>
      <c r="P217" s="113">
        <v>70708.370499306038</v>
      </c>
      <c r="Q217" s="110">
        <v>19133.9032903146</v>
      </c>
      <c r="R217" s="113">
        <v>78214.779789489374</v>
      </c>
      <c r="S217" s="113">
        <v>89842.273789620638</v>
      </c>
      <c r="U217" s="7" t="s">
        <v>7003</v>
      </c>
    </row>
    <row r="218" spans="1:21" ht="16.5" thickBot="1">
      <c r="A218" s="207" t="s">
        <v>10</v>
      </c>
      <c r="B218" s="211">
        <f t="shared" si="12"/>
        <v>140</v>
      </c>
      <c r="C218" s="211" t="s">
        <v>3</v>
      </c>
      <c r="D218" s="211">
        <f t="shared" si="13"/>
        <v>360</v>
      </c>
      <c r="E218" s="211" t="s">
        <v>3</v>
      </c>
      <c r="F218" s="209">
        <f t="shared" si="14"/>
        <v>1300</v>
      </c>
      <c r="G218" s="211" t="s">
        <v>3</v>
      </c>
      <c r="H218" s="208">
        <v>6</v>
      </c>
      <c r="I218" s="210" t="s">
        <v>531</v>
      </c>
      <c r="J218" s="103">
        <v>140</v>
      </c>
      <c r="K218" s="66">
        <v>360</v>
      </c>
      <c r="L218" s="66">
        <v>1300</v>
      </c>
      <c r="M218" s="156">
        <v>15.991332938788995</v>
      </c>
      <c r="N218" s="78">
        <v>6443.4893285099997</v>
      </c>
      <c r="O218" s="113">
        <v>63020.733654404474</v>
      </c>
      <c r="P218" s="113">
        <v>75076.301446428028</v>
      </c>
      <c r="Q218" s="110">
        <v>19988.658312336556</v>
      </c>
      <c r="R218" s="113">
        <v>83009.391966741037</v>
      </c>
      <c r="S218" s="113">
        <v>95064.959758764584</v>
      </c>
      <c r="U218" s="7" t="s">
        <v>7004</v>
      </c>
    </row>
    <row r="219" spans="1:21" ht="16.5" thickBot="1">
      <c r="A219" s="207" t="s">
        <v>10</v>
      </c>
      <c r="B219" s="211">
        <f t="shared" si="12"/>
        <v>140</v>
      </c>
      <c r="C219" s="211" t="s">
        <v>3</v>
      </c>
      <c r="D219" s="211">
        <f t="shared" si="13"/>
        <v>360</v>
      </c>
      <c r="E219" s="211" t="s">
        <v>3</v>
      </c>
      <c r="F219" s="209">
        <f t="shared" si="14"/>
        <v>1350</v>
      </c>
      <c r="G219" s="211" t="s">
        <v>3</v>
      </c>
      <c r="H219" s="208">
        <v>6</v>
      </c>
      <c r="I219" s="210" t="s">
        <v>531</v>
      </c>
      <c r="J219" s="103">
        <v>140</v>
      </c>
      <c r="K219" s="66">
        <v>360</v>
      </c>
      <c r="L219" s="66">
        <v>1350</v>
      </c>
      <c r="M219" s="156">
        <v>15.991332938788995</v>
      </c>
      <c r="N219" s="78">
        <v>6782.6203458</v>
      </c>
      <c r="O219" s="113">
        <v>64774.802706094742</v>
      </c>
      <c r="P219" s="113">
        <v>77197.137984170884</v>
      </c>
      <c r="Q219" s="110">
        <v>20592.079196574745</v>
      </c>
      <c r="R219" s="113">
        <v>85366.881902669484</v>
      </c>
      <c r="S219" s="113">
        <v>97789.217180745633</v>
      </c>
      <c r="U219" s="7" t="s">
        <v>7005</v>
      </c>
    </row>
    <row r="220" spans="1:21" ht="16.5" thickBot="1">
      <c r="A220" s="207" t="s">
        <v>10</v>
      </c>
      <c r="B220" s="211">
        <f t="shared" si="12"/>
        <v>140</v>
      </c>
      <c r="C220" s="211" t="s">
        <v>3</v>
      </c>
      <c r="D220" s="211">
        <f t="shared" si="13"/>
        <v>360</v>
      </c>
      <c r="E220" s="211" t="s">
        <v>3</v>
      </c>
      <c r="F220" s="209">
        <f t="shared" si="14"/>
        <v>1400</v>
      </c>
      <c r="G220" s="211" t="s">
        <v>3</v>
      </c>
      <c r="H220" s="208">
        <v>6</v>
      </c>
      <c r="I220" s="210" t="s">
        <v>531</v>
      </c>
      <c r="J220" s="103">
        <v>140</v>
      </c>
      <c r="K220" s="66">
        <v>360</v>
      </c>
      <c r="L220" s="66">
        <v>1400</v>
      </c>
      <c r="M220" s="156">
        <v>15.991332938788995</v>
      </c>
      <c r="N220" s="78">
        <v>7121.7513630900012</v>
      </c>
      <c r="O220" s="113">
        <v>66855.718674257805</v>
      </c>
      <c r="P220" s="113">
        <v>79654.333048403001</v>
      </c>
      <c r="Q220" s="110">
        <v>21446.834218596705</v>
      </c>
      <c r="R220" s="113">
        <v>88302.55289285451</v>
      </c>
      <c r="S220" s="113">
        <v>101101.16726699971</v>
      </c>
      <c r="U220" s="7" t="s">
        <v>7006</v>
      </c>
    </row>
    <row r="221" spans="1:21" ht="16.5" thickBot="1">
      <c r="A221" s="207" t="s">
        <v>10</v>
      </c>
      <c r="B221" s="211">
        <f t="shared" si="12"/>
        <v>140</v>
      </c>
      <c r="C221" s="211" t="s">
        <v>3</v>
      </c>
      <c r="D221" s="211">
        <f t="shared" si="13"/>
        <v>360</v>
      </c>
      <c r="E221" s="211" t="s">
        <v>3</v>
      </c>
      <c r="F221" s="209">
        <f t="shared" si="14"/>
        <v>1450</v>
      </c>
      <c r="G221" s="211" t="s">
        <v>3</v>
      </c>
      <c r="H221" s="208">
        <v>6</v>
      </c>
      <c r="I221" s="210" t="s">
        <v>531</v>
      </c>
      <c r="J221" s="103">
        <v>140</v>
      </c>
      <c r="K221" s="66">
        <v>360</v>
      </c>
      <c r="L221" s="66">
        <v>1450</v>
      </c>
      <c r="M221" s="156">
        <v>15.991332938788995</v>
      </c>
      <c r="N221" s="78">
        <v>7460.8823803800005</v>
      </c>
      <c r="O221" s="113">
        <v>68610.247799278979</v>
      </c>
      <c r="P221" s="113">
        <v>81775.623718900111</v>
      </c>
      <c r="Q221" s="110">
        <v>22050.255102834893</v>
      </c>
      <c r="R221" s="113">
        <v>90660.502902113876</v>
      </c>
      <c r="S221" s="113">
        <v>103825.87882173501</v>
      </c>
      <c r="U221" s="7" t="s">
        <v>7007</v>
      </c>
    </row>
    <row r="222" spans="1:21" ht="16.5" thickBot="1">
      <c r="A222" s="207" t="s">
        <v>10</v>
      </c>
      <c r="B222" s="211">
        <f t="shared" si="12"/>
        <v>140</v>
      </c>
      <c r="C222" s="211" t="s">
        <v>3</v>
      </c>
      <c r="D222" s="211">
        <f t="shared" si="13"/>
        <v>360</v>
      </c>
      <c r="E222" s="211" t="s">
        <v>3</v>
      </c>
      <c r="F222" s="209">
        <f t="shared" si="14"/>
        <v>1500</v>
      </c>
      <c r="G222" s="211" t="s">
        <v>3</v>
      </c>
      <c r="H222" s="208">
        <v>6</v>
      </c>
      <c r="I222" s="210" t="s">
        <v>531</v>
      </c>
      <c r="J222" s="103">
        <v>140</v>
      </c>
      <c r="K222" s="66">
        <v>360</v>
      </c>
      <c r="L222" s="66">
        <v>1500</v>
      </c>
      <c r="M222" s="156">
        <v>15.991332938788995</v>
      </c>
      <c r="N222" s="78">
        <v>7800.0133976699999</v>
      </c>
      <c r="O222" s="113">
        <v>71018.081444415788</v>
      </c>
      <c r="P222" s="113">
        <v>84791.905729840961</v>
      </c>
      <c r="Q222" s="110">
        <v>22905.01012485685</v>
      </c>
      <c r="R222" s="113">
        <v>93923.091569272641</v>
      </c>
      <c r="S222" s="113">
        <v>107696.91585469781</v>
      </c>
      <c r="U222" s="7" t="s">
        <v>7008</v>
      </c>
    </row>
    <row r="223" spans="1:21" ht="16.5" thickBot="1">
      <c r="A223" s="207" t="s">
        <v>10</v>
      </c>
      <c r="B223" s="211">
        <f t="shared" si="12"/>
        <v>140</v>
      </c>
      <c r="C223" s="211" t="s">
        <v>3</v>
      </c>
      <c r="D223" s="211">
        <f t="shared" si="13"/>
        <v>360</v>
      </c>
      <c r="E223" s="211" t="s">
        <v>3</v>
      </c>
      <c r="F223" s="209">
        <f t="shared" si="14"/>
        <v>1550</v>
      </c>
      <c r="G223" s="211" t="s">
        <v>3</v>
      </c>
      <c r="H223" s="208">
        <v>6</v>
      </c>
      <c r="I223" s="210" t="s">
        <v>531</v>
      </c>
      <c r="J223" s="103">
        <v>140</v>
      </c>
      <c r="K223" s="66">
        <v>360</v>
      </c>
      <c r="L223" s="66">
        <v>1550</v>
      </c>
      <c r="M223" s="156">
        <v>15.991332938788995</v>
      </c>
      <c r="N223" s="78">
        <v>8139.1444149600002</v>
      </c>
      <c r="O223" s="113">
        <v>72773.019913732249</v>
      </c>
      <c r="P223" s="113">
        <v>86913.591329323666</v>
      </c>
      <c r="Q223" s="110">
        <v>23508.431009095038</v>
      </c>
      <c r="R223" s="113">
        <v>96281.450922827295</v>
      </c>
      <c r="S223" s="113">
        <v>110422.0223384187</v>
      </c>
      <c r="U223" s="7" t="s">
        <v>7009</v>
      </c>
    </row>
    <row r="224" spans="1:21" ht="16.5" thickBot="1">
      <c r="A224" s="207" t="s">
        <v>10</v>
      </c>
      <c r="B224" s="208">
        <f t="shared" si="12"/>
        <v>140</v>
      </c>
      <c r="C224" s="208" t="s">
        <v>3</v>
      </c>
      <c r="D224" s="208">
        <f t="shared" si="13"/>
        <v>360</v>
      </c>
      <c r="E224" s="208" t="s">
        <v>3</v>
      </c>
      <c r="F224" s="209">
        <f t="shared" si="14"/>
        <v>1600</v>
      </c>
      <c r="G224" s="208" t="s">
        <v>3</v>
      </c>
      <c r="H224" s="208">
        <v>6</v>
      </c>
      <c r="I224" s="210" t="s">
        <v>531</v>
      </c>
      <c r="J224" s="103">
        <v>140</v>
      </c>
      <c r="K224" s="66">
        <v>360</v>
      </c>
      <c r="L224" s="66">
        <v>1600</v>
      </c>
      <c r="M224" s="156">
        <v>15.991332938788995</v>
      </c>
      <c r="N224" s="78">
        <v>8478.2754322500004</v>
      </c>
      <c r="O224" s="113">
        <v>76468.631070549993</v>
      </c>
      <c r="P224" s="113">
        <v>91032.732101095622</v>
      </c>
      <c r="Q224" s="110">
        <v>24111.851893333227</v>
      </c>
      <c r="R224" s="113">
        <v>100580.48296388322</v>
      </c>
      <c r="S224" s="113">
        <v>115144.58399442885</v>
      </c>
      <c r="U224" s="7" t="s">
        <v>7010</v>
      </c>
    </row>
    <row r="225" spans="1:21" ht="16.5" thickBot="1">
      <c r="A225" s="207" t="s">
        <v>10</v>
      </c>
      <c r="B225" s="211">
        <f t="shared" si="12"/>
        <v>140</v>
      </c>
      <c r="C225" s="211" t="s">
        <v>3</v>
      </c>
      <c r="D225" s="211">
        <f t="shared" si="13"/>
        <v>360</v>
      </c>
      <c r="E225" s="211" t="s">
        <v>3</v>
      </c>
      <c r="F225" s="209">
        <f t="shared" si="14"/>
        <v>1650</v>
      </c>
      <c r="G225" s="211" t="s">
        <v>3</v>
      </c>
      <c r="H225" s="208">
        <v>6</v>
      </c>
      <c r="I225" s="210" t="s">
        <v>531</v>
      </c>
      <c r="J225" s="103">
        <v>140</v>
      </c>
      <c r="K225" s="66">
        <v>360</v>
      </c>
      <c r="L225" s="66">
        <v>1650</v>
      </c>
      <c r="M225" s="156">
        <v>15.991332938788995</v>
      </c>
      <c r="N225" s="78">
        <v>8817.4064495400016</v>
      </c>
      <c r="O225" s="113">
        <v>80413.958246640526</v>
      </c>
      <c r="P225" s="113">
        <v>95408.936774886679</v>
      </c>
      <c r="Q225" s="110">
        <v>24966.606915355183</v>
      </c>
      <c r="R225" s="113">
        <v>105380.56516199571</v>
      </c>
      <c r="S225" s="113">
        <v>120375.54369024186</v>
      </c>
      <c r="U225" s="7" t="s">
        <v>7011</v>
      </c>
    </row>
    <row r="226" spans="1:21" ht="16.5" thickBot="1">
      <c r="A226" s="207" t="s">
        <v>10</v>
      </c>
      <c r="B226" s="211">
        <f t="shared" si="12"/>
        <v>140</v>
      </c>
      <c r="C226" s="211" t="s">
        <v>3</v>
      </c>
      <c r="D226" s="211">
        <f t="shared" si="13"/>
        <v>360</v>
      </c>
      <c r="E226" s="211" t="s">
        <v>3</v>
      </c>
      <c r="F226" s="209">
        <f t="shared" si="14"/>
        <v>1700</v>
      </c>
      <c r="G226" s="211" t="s">
        <v>3</v>
      </c>
      <c r="H226" s="208">
        <v>6</v>
      </c>
      <c r="I226" s="210" t="s">
        <v>531</v>
      </c>
      <c r="J226" s="103">
        <v>140</v>
      </c>
      <c r="K226" s="66">
        <v>360</v>
      </c>
      <c r="L226" s="66">
        <v>1700</v>
      </c>
      <c r="M226" s="156">
        <v>15.991332938788995</v>
      </c>
      <c r="N226" s="78">
        <v>9156.537466830001</v>
      </c>
      <c r="O226" s="113">
        <v>82000.475797337902</v>
      </c>
      <c r="P226" s="113">
        <v>97358.644677025455</v>
      </c>
      <c r="Q226" s="110">
        <v>25570.027799593372</v>
      </c>
      <c r="R226" s="113">
        <v>107570.50359693127</v>
      </c>
      <c r="S226" s="113">
        <v>122928.67247661883</v>
      </c>
      <c r="U226" s="7" t="s">
        <v>7012</v>
      </c>
    </row>
    <row r="227" spans="1:21" ht="16.5" thickBot="1">
      <c r="A227" s="207" t="s">
        <v>10</v>
      </c>
      <c r="B227" s="211">
        <f t="shared" si="12"/>
        <v>140</v>
      </c>
      <c r="C227" s="211" t="s">
        <v>3</v>
      </c>
      <c r="D227" s="211">
        <f t="shared" si="13"/>
        <v>360</v>
      </c>
      <c r="E227" s="211" t="s">
        <v>3</v>
      </c>
      <c r="F227" s="209">
        <f t="shared" si="14"/>
        <v>1750</v>
      </c>
      <c r="G227" s="211" t="s">
        <v>3</v>
      </c>
      <c r="H227" s="208">
        <v>6</v>
      </c>
      <c r="I227" s="210" t="s">
        <v>531</v>
      </c>
      <c r="J227" s="103">
        <v>140</v>
      </c>
      <c r="K227" s="66">
        <v>360</v>
      </c>
      <c r="L227" s="66">
        <v>1750</v>
      </c>
      <c r="M227" s="156">
        <v>15.991332938788995</v>
      </c>
      <c r="N227" s="78">
        <v>9495.6684841200004</v>
      </c>
      <c r="O227" s="113">
        <v>83511.130936875168</v>
      </c>
      <c r="P227" s="113">
        <v>99230.343501910946</v>
      </c>
      <c r="Q227" s="110">
        <v>26424.782821615332</v>
      </c>
      <c r="R227" s="113">
        <v>109935.9137584905</v>
      </c>
      <c r="S227" s="113">
        <v>125655.12632352627</v>
      </c>
      <c r="U227" s="7" t="s">
        <v>7013</v>
      </c>
    </row>
    <row r="228" spans="1:21" ht="16.5" thickBot="1">
      <c r="A228" s="207" t="s">
        <v>10</v>
      </c>
      <c r="B228" s="211">
        <f t="shared" si="12"/>
        <v>140</v>
      </c>
      <c r="C228" s="211" t="s">
        <v>3</v>
      </c>
      <c r="D228" s="211">
        <f t="shared" si="13"/>
        <v>360</v>
      </c>
      <c r="E228" s="211" t="s">
        <v>3</v>
      </c>
      <c r="F228" s="209">
        <f t="shared" si="14"/>
        <v>1800</v>
      </c>
      <c r="G228" s="211" t="s">
        <v>3</v>
      </c>
      <c r="H228" s="208">
        <v>6</v>
      </c>
      <c r="I228" s="210" t="s">
        <v>531</v>
      </c>
      <c r="J228" s="103">
        <v>140</v>
      </c>
      <c r="K228" s="66">
        <v>360</v>
      </c>
      <c r="L228" s="66">
        <v>1800</v>
      </c>
      <c r="M228" s="156">
        <v>15.991332938788995</v>
      </c>
      <c r="N228" s="78">
        <v>9834.7995014099997</v>
      </c>
      <c r="O228" s="113">
        <v>85098.403179533503</v>
      </c>
      <c r="P228" s="113">
        <v>101180.96208894301</v>
      </c>
      <c r="Q228" s="110">
        <v>27028.203705853517</v>
      </c>
      <c r="R228" s="113">
        <v>112126.60688538702</v>
      </c>
      <c r="S228" s="113">
        <v>128209.16579479653</v>
      </c>
      <c r="U228" s="7" t="s">
        <v>7014</v>
      </c>
    </row>
    <row r="229" spans="1:21" ht="16.5" thickBot="1">
      <c r="A229" s="207" t="s">
        <v>10</v>
      </c>
      <c r="B229" s="211">
        <f t="shared" si="12"/>
        <v>140</v>
      </c>
      <c r="C229" s="211" t="s">
        <v>3</v>
      </c>
      <c r="D229" s="211">
        <f t="shared" si="13"/>
        <v>360</v>
      </c>
      <c r="E229" s="211" t="s">
        <v>3</v>
      </c>
      <c r="F229" s="209">
        <f t="shared" si="14"/>
        <v>1850</v>
      </c>
      <c r="G229" s="211" t="s">
        <v>3</v>
      </c>
      <c r="H229" s="208">
        <v>6</v>
      </c>
      <c r="I229" s="210" t="s">
        <v>531</v>
      </c>
      <c r="J229" s="103">
        <v>140</v>
      </c>
      <c r="K229" s="66">
        <v>360</v>
      </c>
      <c r="L229" s="66">
        <v>1850</v>
      </c>
      <c r="M229" s="156">
        <v>15.991332938788995</v>
      </c>
      <c r="N229" s="78">
        <v>10173.930518700001</v>
      </c>
      <c r="O229" s="113">
        <v>86685.653179460845</v>
      </c>
      <c r="P229" s="113">
        <v>103131.61554357919</v>
      </c>
      <c r="Q229" s="110">
        <v>27882.958880904247</v>
      </c>
      <c r="R229" s="113">
        <v>114568.61206036509</v>
      </c>
      <c r="S229" s="113">
        <v>131014.57442448343</v>
      </c>
      <c r="U229" s="7" t="s">
        <v>7015</v>
      </c>
    </row>
    <row r="230" spans="1:21" ht="16.5" thickBot="1">
      <c r="A230" s="207" t="s">
        <v>10</v>
      </c>
      <c r="B230" s="211">
        <f t="shared" si="12"/>
        <v>140</v>
      </c>
      <c r="C230" s="211" t="s">
        <v>3</v>
      </c>
      <c r="D230" s="211">
        <f t="shared" si="13"/>
        <v>360</v>
      </c>
      <c r="E230" s="211" t="s">
        <v>3</v>
      </c>
      <c r="F230" s="209">
        <f t="shared" si="14"/>
        <v>1900</v>
      </c>
      <c r="G230" s="211" t="s">
        <v>3</v>
      </c>
      <c r="H230" s="208">
        <v>6</v>
      </c>
      <c r="I230" s="210" t="s">
        <v>531</v>
      </c>
      <c r="J230" s="103">
        <v>140</v>
      </c>
      <c r="K230" s="66">
        <v>360</v>
      </c>
      <c r="L230" s="66">
        <v>1900</v>
      </c>
      <c r="M230" s="156">
        <v>15.991332938788995</v>
      </c>
      <c r="N230" s="78">
        <v>10513.06153599</v>
      </c>
      <c r="O230" s="113">
        <v>88447.375161437827</v>
      </c>
      <c r="P230" s="113">
        <v>105261.87288100873</v>
      </c>
      <c r="Q230" s="110">
        <v>28486.379765142432</v>
      </c>
      <c r="R230" s="113">
        <v>116933.75492658027</v>
      </c>
      <c r="S230" s="113">
        <v>133748.25264615117</v>
      </c>
      <c r="U230" s="7" t="s">
        <v>7016</v>
      </c>
    </row>
    <row r="231" spans="1:21" ht="16.5" thickBot="1">
      <c r="A231" s="207" t="s">
        <v>10</v>
      </c>
      <c r="B231" s="211">
        <f t="shared" si="12"/>
        <v>140</v>
      </c>
      <c r="C231" s="211" t="s">
        <v>3</v>
      </c>
      <c r="D231" s="211">
        <f t="shared" si="13"/>
        <v>360</v>
      </c>
      <c r="E231" s="211" t="s">
        <v>3</v>
      </c>
      <c r="F231" s="209">
        <f t="shared" si="14"/>
        <v>1950</v>
      </c>
      <c r="G231" s="211" t="s">
        <v>3</v>
      </c>
      <c r="H231" s="208">
        <v>6</v>
      </c>
      <c r="I231" s="210" t="s">
        <v>531</v>
      </c>
      <c r="J231" s="103">
        <v>140</v>
      </c>
      <c r="K231" s="66">
        <v>360</v>
      </c>
      <c r="L231" s="66">
        <v>1950</v>
      </c>
      <c r="M231" s="156">
        <v>15.991332938788995</v>
      </c>
      <c r="N231" s="78">
        <v>10852.192553280001</v>
      </c>
      <c r="O231" s="113">
        <v>90451.340515589065</v>
      </c>
      <c r="P231" s="113">
        <v>107641.45778184223</v>
      </c>
      <c r="Q231" s="110">
        <v>29089.800649380621</v>
      </c>
      <c r="R231" s="113">
        <v>119541.14116496968</v>
      </c>
      <c r="S231" s="113">
        <v>136731.25843122284</v>
      </c>
      <c r="U231" s="7" t="s">
        <v>7017</v>
      </c>
    </row>
    <row r="232" spans="1:21" ht="16.5" thickBot="1">
      <c r="A232" s="207" t="s">
        <v>10</v>
      </c>
      <c r="B232" s="211">
        <f t="shared" si="12"/>
        <v>140</v>
      </c>
      <c r="C232" s="211" t="s">
        <v>3</v>
      </c>
      <c r="D232" s="211">
        <f t="shared" si="13"/>
        <v>360</v>
      </c>
      <c r="E232" s="211" t="s">
        <v>3</v>
      </c>
      <c r="F232" s="209">
        <f t="shared" si="14"/>
        <v>2000</v>
      </c>
      <c r="G232" s="211" t="s">
        <v>3</v>
      </c>
      <c r="H232" s="208">
        <v>6</v>
      </c>
      <c r="I232" s="210" t="s">
        <v>531</v>
      </c>
      <c r="J232" s="103">
        <v>140</v>
      </c>
      <c r="K232" s="66">
        <v>360</v>
      </c>
      <c r="L232" s="66">
        <v>2000</v>
      </c>
      <c r="M232" s="156">
        <v>15.991332938788995</v>
      </c>
      <c r="N232" s="78">
        <v>11191.323570569999</v>
      </c>
      <c r="O232" s="113">
        <v>92253.809359735751</v>
      </c>
      <c r="P232" s="113">
        <v>110024.87797681367</v>
      </c>
      <c r="Q232" s="110">
        <v>29944.555671402581</v>
      </c>
      <c r="R232" s="113">
        <v>122198.36503113832</v>
      </c>
      <c r="S232" s="113">
        <v>139969.43364821625</v>
      </c>
      <c r="U232" s="7" t="s">
        <v>7018</v>
      </c>
    </row>
    <row r="233" spans="1:21" ht="16.5" thickBot="1">
      <c r="A233" s="207" t="s">
        <v>10</v>
      </c>
      <c r="B233" s="211">
        <f t="shared" si="12"/>
        <v>140</v>
      </c>
      <c r="C233" s="211" t="s">
        <v>3</v>
      </c>
      <c r="D233" s="211">
        <f t="shared" si="13"/>
        <v>360</v>
      </c>
      <c r="E233" s="211" t="s">
        <v>3</v>
      </c>
      <c r="F233" s="209">
        <f t="shared" si="14"/>
        <v>2050</v>
      </c>
      <c r="G233" s="211" t="s">
        <v>3</v>
      </c>
      <c r="H233" s="208">
        <v>6</v>
      </c>
      <c r="I233" s="210" t="s">
        <v>531</v>
      </c>
      <c r="J233" s="103">
        <v>140</v>
      </c>
      <c r="K233" s="66">
        <v>360</v>
      </c>
      <c r="L233" s="66">
        <v>2050</v>
      </c>
      <c r="M233" s="156">
        <v>15.991332938788995</v>
      </c>
      <c r="N233" s="78">
        <v>11530.454587860002</v>
      </c>
      <c r="O233" s="113">
        <v>96053.47227237148</v>
      </c>
      <c r="P233" s="113">
        <v>114245.55776595912</v>
      </c>
      <c r="Q233" s="110">
        <v>30547.976555640766</v>
      </c>
      <c r="R233" s="113">
        <v>126601.44882801225</v>
      </c>
      <c r="S233" s="113">
        <v>144793.53432159987</v>
      </c>
      <c r="U233" s="7" t="s">
        <v>7019</v>
      </c>
    </row>
    <row r="234" spans="1:21" ht="16.5" thickBot="1">
      <c r="A234" s="207" t="s">
        <v>10</v>
      </c>
      <c r="B234" s="208">
        <f t="shared" si="12"/>
        <v>140</v>
      </c>
      <c r="C234" s="208" t="s">
        <v>3</v>
      </c>
      <c r="D234" s="208">
        <f t="shared" si="13"/>
        <v>360</v>
      </c>
      <c r="E234" s="208" t="s">
        <v>3</v>
      </c>
      <c r="F234" s="209">
        <f t="shared" si="14"/>
        <v>2100</v>
      </c>
      <c r="G234" s="208" t="s">
        <v>3</v>
      </c>
      <c r="H234" s="208">
        <v>6</v>
      </c>
      <c r="I234" s="210" t="s">
        <v>531</v>
      </c>
      <c r="J234" s="103">
        <v>140</v>
      </c>
      <c r="K234" s="66">
        <v>360</v>
      </c>
      <c r="L234" s="66">
        <v>2100</v>
      </c>
      <c r="M234" s="156">
        <v>15.991332938788995</v>
      </c>
      <c r="N234" s="78">
        <v>11869.585605150001</v>
      </c>
      <c r="O234" s="113">
        <v>97701.874303719262</v>
      </c>
      <c r="P234" s="113">
        <v>116259.39815048969</v>
      </c>
      <c r="Q234" s="110">
        <v>31402.731577662726</v>
      </c>
      <c r="R234" s="113">
        <v>129104.60588138198</v>
      </c>
      <c r="S234" s="113">
        <v>147662.12972815242</v>
      </c>
      <c r="U234" s="7" t="s">
        <v>7020</v>
      </c>
    </row>
    <row r="235" spans="1:21" ht="16.5" thickBot="1">
      <c r="A235" s="207" t="s">
        <v>10</v>
      </c>
      <c r="B235" s="211">
        <f t="shared" si="12"/>
        <v>140</v>
      </c>
      <c r="C235" s="211" t="s">
        <v>3</v>
      </c>
      <c r="D235" s="211">
        <f t="shared" si="13"/>
        <v>360</v>
      </c>
      <c r="E235" s="211" t="s">
        <v>3</v>
      </c>
      <c r="F235" s="209">
        <f t="shared" si="14"/>
        <v>2150</v>
      </c>
      <c r="G235" s="211" t="s">
        <v>3</v>
      </c>
      <c r="H235" s="208">
        <v>6</v>
      </c>
      <c r="I235" s="210" t="s">
        <v>531</v>
      </c>
      <c r="J235" s="103">
        <v>140</v>
      </c>
      <c r="K235" s="66">
        <v>360</v>
      </c>
      <c r="L235" s="66">
        <v>2150</v>
      </c>
      <c r="M235" s="156">
        <v>15.991332938788995</v>
      </c>
      <c r="N235" s="78">
        <v>12208.716622440001</v>
      </c>
      <c r="O235" s="113">
        <v>99497.544416494711</v>
      </c>
      <c r="P235" s="113">
        <v>118424.78410097533</v>
      </c>
      <c r="Q235" s="110">
        <v>32006.152461900914</v>
      </c>
      <c r="R235" s="113">
        <v>131503.69687839563</v>
      </c>
      <c r="S235" s="113">
        <v>150430.93656287625</v>
      </c>
      <c r="U235" s="7" t="s">
        <v>7021</v>
      </c>
    </row>
    <row r="236" spans="1:21" ht="16.5" thickBot="1">
      <c r="A236" s="207" t="s">
        <v>10</v>
      </c>
      <c r="B236" s="211">
        <f t="shared" si="12"/>
        <v>140</v>
      </c>
      <c r="C236" s="211" t="s">
        <v>3</v>
      </c>
      <c r="D236" s="211">
        <f t="shared" si="13"/>
        <v>360</v>
      </c>
      <c r="E236" s="211" t="s">
        <v>3</v>
      </c>
      <c r="F236" s="209">
        <f t="shared" si="14"/>
        <v>2200</v>
      </c>
      <c r="G236" s="211" t="s">
        <v>3</v>
      </c>
      <c r="H236" s="208">
        <v>6</v>
      </c>
      <c r="I236" s="210" t="s">
        <v>531</v>
      </c>
      <c r="J236" s="103">
        <v>140</v>
      </c>
      <c r="K236" s="66">
        <v>360</v>
      </c>
      <c r="L236" s="66">
        <v>2200</v>
      </c>
      <c r="M236" s="156">
        <v>15.991332938788995</v>
      </c>
      <c r="N236" s="78">
        <v>12547.847639730002</v>
      </c>
      <c r="O236" s="113">
        <v>101293.20048122955</v>
      </c>
      <c r="P236" s="113">
        <v>120590.17930204984</v>
      </c>
      <c r="Q236" s="110">
        <v>32860.907483922878</v>
      </c>
      <c r="R236" s="113">
        <v>134154.10796515242</v>
      </c>
      <c r="S236" s="113">
        <v>153451.08678597273</v>
      </c>
      <c r="U236" s="7" t="s">
        <v>7022</v>
      </c>
    </row>
    <row r="237" spans="1:21" ht="16.5" thickBot="1">
      <c r="A237" s="207" t="s">
        <v>10</v>
      </c>
      <c r="B237" s="211">
        <f t="shared" si="12"/>
        <v>140</v>
      </c>
      <c r="C237" s="211" t="s">
        <v>3</v>
      </c>
      <c r="D237" s="211">
        <f t="shared" si="13"/>
        <v>360</v>
      </c>
      <c r="E237" s="211" t="s">
        <v>3</v>
      </c>
      <c r="F237" s="209">
        <f t="shared" si="14"/>
        <v>2250</v>
      </c>
      <c r="G237" s="211" t="s">
        <v>3</v>
      </c>
      <c r="H237" s="208">
        <v>6</v>
      </c>
      <c r="I237" s="210" t="s">
        <v>531</v>
      </c>
      <c r="J237" s="103">
        <v>140</v>
      </c>
      <c r="K237" s="66">
        <v>360</v>
      </c>
      <c r="L237" s="66">
        <v>2250</v>
      </c>
      <c r="M237" s="156">
        <v>15.991332938788995</v>
      </c>
      <c r="N237" s="78">
        <v>12886.978657019999</v>
      </c>
      <c r="O237" s="113">
        <v>103328.42688818381</v>
      </c>
      <c r="P237" s="113">
        <v>122998.14956361672</v>
      </c>
      <c r="Q237" s="110">
        <v>33464.328368161063</v>
      </c>
      <c r="R237" s="113">
        <v>136792.75525634486</v>
      </c>
      <c r="S237" s="113">
        <v>156462.47793177777</v>
      </c>
      <c r="U237" s="7" t="s">
        <v>7023</v>
      </c>
    </row>
    <row r="238" spans="1:21" ht="16.5" thickBot="1">
      <c r="A238" s="207" t="s">
        <v>10</v>
      </c>
      <c r="B238" s="211">
        <f t="shared" si="12"/>
        <v>140</v>
      </c>
      <c r="C238" s="211" t="s">
        <v>3</v>
      </c>
      <c r="D238" s="211">
        <f t="shared" si="13"/>
        <v>360</v>
      </c>
      <c r="E238" s="211" t="s">
        <v>3</v>
      </c>
      <c r="F238" s="209">
        <f t="shared" si="14"/>
        <v>2300</v>
      </c>
      <c r="G238" s="211" t="s">
        <v>3</v>
      </c>
      <c r="H238" s="208">
        <v>6</v>
      </c>
      <c r="I238" s="210" t="s">
        <v>531</v>
      </c>
      <c r="J238" s="103">
        <v>140</v>
      </c>
      <c r="K238" s="66">
        <v>360</v>
      </c>
      <c r="L238" s="66">
        <v>2300</v>
      </c>
      <c r="M238" s="156">
        <v>15.991332938788995</v>
      </c>
      <c r="N238" s="78">
        <v>13226.109674310001</v>
      </c>
      <c r="O238" s="113">
        <v>104802.57988508983</v>
      </c>
      <c r="P238" s="113">
        <v>124828.8025295495</v>
      </c>
      <c r="Q238" s="110">
        <v>34067.749252399248</v>
      </c>
      <c r="R238" s="113">
        <v>138870.32913748908</v>
      </c>
      <c r="S238" s="113">
        <v>158896.55178194874</v>
      </c>
      <c r="U238" s="7" t="s">
        <v>7024</v>
      </c>
    </row>
    <row r="239" spans="1:21" ht="16.5" thickBot="1">
      <c r="A239" s="207" t="s">
        <v>10</v>
      </c>
      <c r="B239" s="211">
        <f t="shared" si="12"/>
        <v>140</v>
      </c>
      <c r="C239" s="211" t="s">
        <v>3</v>
      </c>
      <c r="D239" s="211">
        <f t="shared" si="13"/>
        <v>360</v>
      </c>
      <c r="E239" s="211" t="s">
        <v>3</v>
      </c>
      <c r="F239" s="209">
        <f t="shared" si="14"/>
        <v>2350</v>
      </c>
      <c r="G239" s="211" t="s">
        <v>3</v>
      </c>
      <c r="H239" s="208">
        <v>6</v>
      </c>
      <c r="I239" s="210" t="s">
        <v>531</v>
      </c>
      <c r="J239" s="103">
        <v>140</v>
      </c>
      <c r="K239" s="66">
        <v>360</v>
      </c>
      <c r="L239" s="66">
        <v>2350</v>
      </c>
      <c r="M239" s="156">
        <v>15.991332938788995</v>
      </c>
      <c r="N239" s="78">
        <v>13565.2406916</v>
      </c>
      <c r="O239" s="113">
        <v>106259.71107927334</v>
      </c>
      <c r="P239" s="113">
        <v>126639.66322020846</v>
      </c>
      <c r="Q239" s="110">
        <v>34922.504274421211</v>
      </c>
      <c r="R239" s="113">
        <v>141182.21535369457</v>
      </c>
      <c r="S239" s="113">
        <v>161562.16749462968</v>
      </c>
      <c r="U239" s="7" t="s">
        <v>7025</v>
      </c>
    </row>
    <row r="240" spans="1:21" ht="16.5" thickBot="1">
      <c r="A240" s="207" t="s">
        <v>10</v>
      </c>
      <c r="B240" s="211">
        <f t="shared" si="12"/>
        <v>140</v>
      </c>
      <c r="C240" s="211" t="s">
        <v>3</v>
      </c>
      <c r="D240" s="211">
        <f t="shared" si="13"/>
        <v>360</v>
      </c>
      <c r="E240" s="211" t="s">
        <v>3</v>
      </c>
      <c r="F240" s="209">
        <f t="shared" si="14"/>
        <v>2400</v>
      </c>
      <c r="G240" s="211" t="s">
        <v>3</v>
      </c>
      <c r="H240" s="208">
        <v>6</v>
      </c>
      <c r="I240" s="210" t="s">
        <v>531</v>
      </c>
      <c r="J240" s="103">
        <v>140</v>
      </c>
      <c r="K240" s="66">
        <v>360</v>
      </c>
      <c r="L240" s="66">
        <v>2400</v>
      </c>
      <c r="M240" s="156">
        <v>15.991332938788995</v>
      </c>
      <c r="N240" s="78">
        <v>13904.371708890001</v>
      </c>
      <c r="O240" s="113">
        <v>107788.72765829734</v>
      </c>
      <c r="P240" s="113">
        <v>128543.06495162311</v>
      </c>
      <c r="Q240" s="110">
        <v>35525.925158659396</v>
      </c>
      <c r="R240" s="113">
        <v>143314.65281695675</v>
      </c>
      <c r="S240" s="113">
        <v>164068.9901102825</v>
      </c>
      <c r="U240" s="7" t="s">
        <v>7026</v>
      </c>
    </row>
    <row r="241" spans="1:21" ht="16.5" thickBot="1">
      <c r="A241" s="207" t="s">
        <v>10</v>
      </c>
      <c r="B241" s="211">
        <f t="shared" si="12"/>
        <v>140</v>
      </c>
      <c r="C241" s="211" t="s">
        <v>3</v>
      </c>
      <c r="D241" s="211">
        <f t="shared" si="13"/>
        <v>360</v>
      </c>
      <c r="E241" s="211" t="s">
        <v>3</v>
      </c>
      <c r="F241" s="209">
        <f t="shared" si="14"/>
        <v>2450</v>
      </c>
      <c r="G241" s="211" t="s">
        <v>3</v>
      </c>
      <c r="H241" s="208">
        <v>6</v>
      </c>
      <c r="I241" s="210" t="s">
        <v>531</v>
      </c>
      <c r="J241" s="103">
        <v>140</v>
      </c>
      <c r="K241" s="66">
        <v>360</v>
      </c>
      <c r="L241" s="66">
        <v>2450</v>
      </c>
      <c r="M241" s="156">
        <v>15.991332938788995</v>
      </c>
      <c r="N241" s="78">
        <v>14243.502726180002</v>
      </c>
      <c r="O241" s="113">
        <v>109848.91066959476</v>
      </c>
      <c r="P241" s="113">
        <v>131182.68447434789</v>
      </c>
      <c r="Q241" s="110">
        <v>36380.680180681353</v>
      </c>
      <c r="R241" s="113">
        <v>146229.59085027612</v>
      </c>
      <c r="S241" s="113">
        <v>167563.36465502923</v>
      </c>
      <c r="U241" s="7" t="s">
        <v>7027</v>
      </c>
    </row>
    <row r="242" spans="1:21" ht="16.5" thickBot="1">
      <c r="A242" s="207" t="s">
        <v>10</v>
      </c>
      <c r="B242" s="211">
        <f t="shared" si="12"/>
        <v>140</v>
      </c>
      <c r="C242" s="211" t="s">
        <v>3</v>
      </c>
      <c r="D242" s="211">
        <f t="shared" si="13"/>
        <v>360</v>
      </c>
      <c r="E242" s="211" t="s">
        <v>3</v>
      </c>
      <c r="F242" s="209">
        <f t="shared" si="14"/>
        <v>2500</v>
      </c>
      <c r="G242" s="211" t="s">
        <v>3</v>
      </c>
      <c r="H242" s="208">
        <v>6</v>
      </c>
      <c r="I242" s="210" t="s">
        <v>531</v>
      </c>
      <c r="J242" s="103">
        <v>140</v>
      </c>
      <c r="K242" s="66">
        <v>360</v>
      </c>
      <c r="L242" s="66">
        <v>2500</v>
      </c>
      <c r="M242" s="156">
        <v>15.991332938788995</v>
      </c>
      <c r="N242" s="78">
        <v>14582.63374347</v>
      </c>
      <c r="O242" s="113">
        <v>111378.63849571331</v>
      </c>
      <c r="P242" s="113">
        <v>133065.03826978966</v>
      </c>
      <c r="Q242" s="110">
        <v>36984.101064919538</v>
      </c>
      <c r="R242" s="113">
        <v>148362.73956063285</v>
      </c>
      <c r="S242" s="113">
        <v>170049.13933470921</v>
      </c>
      <c r="U242" s="7" t="s">
        <v>7028</v>
      </c>
    </row>
    <row r="243" spans="1:21" ht="16.5" thickBot="1">
      <c r="A243" s="207" t="s">
        <v>10</v>
      </c>
      <c r="B243" s="211">
        <f t="shared" si="12"/>
        <v>140</v>
      </c>
      <c r="C243" s="211" t="s">
        <v>3</v>
      </c>
      <c r="D243" s="211">
        <f t="shared" si="13"/>
        <v>360</v>
      </c>
      <c r="E243" s="211" t="s">
        <v>3</v>
      </c>
      <c r="F243" s="209">
        <f t="shared" si="14"/>
        <v>2550</v>
      </c>
      <c r="G243" s="211" t="s">
        <v>3</v>
      </c>
      <c r="H243" s="208">
        <v>6</v>
      </c>
      <c r="I243" s="210" t="s">
        <v>531</v>
      </c>
      <c r="J243" s="103">
        <v>140</v>
      </c>
      <c r="K243" s="66">
        <v>360</v>
      </c>
      <c r="L243" s="66">
        <v>2550</v>
      </c>
      <c r="M243" s="156">
        <v>15.991332938788995</v>
      </c>
      <c r="N243" s="78">
        <v>14921.764760760001</v>
      </c>
      <c r="O243" s="113">
        <v>116125.22220480713</v>
      </c>
      <c r="P243" s="113">
        <v>138263.19960418865</v>
      </c>
      <c r="Q243" s="110">
        <v>37838.856239970264</v>
      </c>
      <c r="R243" s="113">
        <v>153964.07844477741</v>
      </c>
      <c r="S243" s="113">
        <v>176102.05584415892</v>
      </c>
      <c r="U243" s="7" t="s">
        <v>7029</v>
      </c>
    </row>
    <row r="244" spans="1:21" ht="16.5" thickBot="1">
      <c r="A244" s="207" t="s">
        <v>10</v>
      </c>
      <c r="B244" s="208">
        <f t="shared" si="12"/>
        <v>140</v>
      </c>
      <c r="C244" s="208" t="s">
        <v>3</v>
      </c>
      <c r="D244" s="208">
        <f t="shared" si="13"/>
        <v>360</v>
      </c>
      <c r="E244" s="208" t="s">
        <v>3</v>
      </c>
      <c r="F244" s="209">
        <f t="shared" si="14"/>
        <v>2600</v>
      </c>
      <c r="G244" s="208" t="s">
        <v>3</v>
      </c>
      <c r="H244" s="208">
        <v>6</v>
      </c>
      <c r="I244" s="210" t="s">
        <v>531</v>
      </c>
      <c r="J244" s="103">
        <v>140</v>
      </c>
      <c r="K244" s="66">
        <v>360</v>
      </c>
      <c r="L244" s="66">
        <v>2600</v>
      </c>
      <c r="M244" s="156">
        <v>15.991332938788995</v>
      </c>
      <c r="N244" s="78">
        <v>15260.89577805</v>
      </c>
      <c r="O244" s="113">
        <v>117860.53959365959</v>
      </c>
      <c r="P244" s="113">
        <v>140362.17571962392</v>
      </c>
      <c r="Q244" s="110">
        <v>38442.277124208456</v>
      </c>
      <c r="R244" s="113">
        <v>156302.81671786803</v>
      </c>
      <c r="S244" s="113">
        <v>178804.45284383238</v>
      </c>
      <c r="U244" s="7" t="s">
        <v>7030</v>
      </c>
    </row>
    <row r="245" spans="1:21" ht="16.5" thickBot="1">
      <c r="A245" s="207" t="s">
        <v>10</v>
      </c>
      <c r="B245" s="211">
        <f t="shared" si="12"/>
        <v>140</v>
      </c>
      <c r="C245" s="211" t="s">
        <v>3</v>
      </c>
      <c r="D245" s="211">
        <f t="shared" si="13"/>
        <v>360</v>
      </c>
      <c r="E245" s="211" t="s">
        <v>3</v>
      </c>
      <c r="F245" s="209">
        <f t="shared" si="14"/>
        <v>2650</v>
      </c>
      <c r="G245" s="211" t="s">
        <v>3</v>
      </c>
      <c r="H245" s="208">
        <v>6</v>
      </c>
      <c r="I245" s="210" t="s">
        <v>531</v>
      </c>
      <c r="J245" s="103">
        <v>140</v>
      </c>
      <c r="K245" s="66">
        <v>360</v>
      </c>
      <c r="L245" s="66">
        <v>2650</v>
      </c>
      <c r="M245" s="156">
        <v>15.991332938788995</v>
      </c>
      <c r="N245" s="78">
        <v>15600.02679534</v>
      </c>
      <c r="O245" s="113">
        <v>119168.36912245853</v>
      </c>
      <c r="P245" s="113">
        <v>142021.12565954332</v>
      </c>
      <c r="Q245" s="110">
        <v>39297.032146230413</v>
      </c>
      <c r="R245" s="113">
        <v>158465.40126868896</v>
      </c>
      <c r="S245" s="113">
        <v>181318.15780577372</v>
      </c>
      <c r="U245" s="7" t="s">
        <v>7031</v>
      </c>
    </row>
    <row r="246" spans="1:21" ht="16.5" thickBot="1">
      <c r="A246" s="207" t="s">
        <v>10</v>
      </c>
      <c r="B246" s="211">
        <f t="shared" si="12"/>
        <v>140</v>
      </c>
      <c r="C246" s="211" t="s">
        <v>3</v>
      </c>
      <c r="D246" s="211">
        <f t="shared" si="13"/>
        <v>360</v>
      </c>
      <c r="E246" s="211" t="s">
        <v>3</v>
      </c>
      <c r="F246" s="209">
        <f t="shared" si="14"/>
        <v>2700</v>
      </c>
      <c r="G246" s="211" t="s">
        <v>3</v>
      </c>
      <c r="H246" s="208">
        <v>6</v>
      </c>
      <c r="I246" s="210" t="s">
        <v>531</v>
      </c>
      <c r="J246" s="103">
        <v>140</v>
      </c>
      <c r="K246" s="66">
        <v>360</v>
      </c>
      <c r="L246" s="66">
        <v>2700</v>
      </c>
      <c r="M246" s="156">
        <v>15.991332938788995</v>
      </c>
      <c r="N246" s="78">
        <v>15939.157812630003</v>
      </c>
      <c r="O246" s="113">
        <v>120594.46247159585</v>
      </c>
      <c r="P246" s="113">
        <v>143801.72497004975</v>
      </c>
      <c r="Q246" s="110">
        <v>39900.453030468605</v>
      </c>
      <c r="R246" s="113">
        <v>160494.91550206445</v>
      </c>
      <c r="S246" s="113">
        <v>183702.17800051835</v>
      </c>
      <c r="U246" s="7" t="s">
        <v>7032</v>
      </c>
    </row>
    <row r="247" spans="1:21" ht="16.5" thickBot="1">
      <c r="A247" s="207" t="s">
        <v>10</v>
      </c>
      <c r="B247" s="211">
        <f t="shared" si="12"/>
        <v>140</v>
      </c>
      <c r="C247" s="211" t="s">
        <v>3</v>
      </c>
      <c r="D247" s="211">
        <f t="shared" si="13"/>
        <v>360</v>
      </c>
      <c r="E247" s="211" t="s">
        <v>3</v>
      </c>
      <c r="F247" s="209">
        <f t="shared" si="14"/>
        <v>2750</v>
      </c>
      <c r="G247" s="211" t="s">
        <v>3</v>
      </c>
      <c r="H247" s="208">
        <v>6</v>
      </c>
      <c r="I247" s="210" t="s">
        <v>531</v>
      </c>
      <c r="J247" s="103">
        <v>140</v>
      </c>
      <c r="K247" s="66">
        <v>360</v>
      </c>
      <c r="L247" s="66">
        <v>2750</v>
      </c>
      <c r="M247" s="156">
        <v>15.991332938788995</v>
      </c>
      <c r="N247" s="78">
        <v>16278.28882992</v>
      </c>
      <c r="O247" s="113">
        <v>121983.3499753255</v>
      </c>
      <c r="P247" s="113">
        <v>145543.96208858769</v>
      </c>
      <c r="Q247" s="110">
        <v>40503.87391470679</v>
      </c>
      <c r="R247" s="113">
        <v>162487.2238900323</v>
      </c>
      <c r="S247" s="113">
        <v>186047.83600329448</v>
      </c>
      <c r="U247" s="7" t="s">
        <v>7033</v>
      </c>
    </row>
    <row r="248" spans="1:21" ht="16.5" thickBot="1">
      <c r="A248" s="207" t="s">
        <v>10</v>
      </c>
      <c r="B248" s="211">
        <f t="shared" si="12"/>
        <v>140</v>
      </c>
      <c r="C248" s="211" t="s">
        <v>3</v>
      </c>
      <c r="D248" s="211">
        <f t="shared" si="13"/>
        <v>360</v>
      </c>
      <c r="E248" s="211" t="s">
        <v>3</v>
      </c>
      <c r="F248" s="209">
        <f t="shared" si="14"/>
        <v>2800</v>
      </c>
      <c r="G248" s="211" t="s">
        <v>3</v>
      </c>
      <c r="H248" s="208">
        <v>6</v>
      </c>
      <c r="I248" s="210" t="s">
        <v>531</v>
      </c>
      <c r="J248" s="103">
        <v>140</v>
      </c>
      <c r="K248" s="66">
        <v>360</v>
      </c>
      <c r="L248" s="66">
        <v>2800</v>
      </c>
      <c r="M248" s="156">
        <v>15.991332938788995</v>
      </c>
      <c r="N248" s="78">
        <v>16617.41984721</v>
      </c>
      <c r="O248" s="113">
        <v>123290.21994490418</v>
      </c>
      <c r="P248" s="113">
        <v>147201.7054670873</v>
      </c>
      <c r="Q248" s="110">
        <v>41358.628936728746</v>
      </c>
      <c r="R248" s="113">
        <v>164648.84888163293</v>
      </c>
      <c r="S248" s="113">
        <v>188560.33440381606</v>
      </c>
      <c r="U248" s="7" t="s">
        <v>7034</v>
      </c>
    </row>
    <row r="249" spans="1:21" ht="16.5" thickBot="1">
      <c r="A249" s="207" t="s">
        <v>10</v>
      </c>
      <c r="B249" s="211">
        <f t="shared" si="12"/>
        <v>140</v>
      </c>
      <c r="C249" s="211" t="s">
        <v>3</v>
      </c>
      <c r="D249" s="211">
        <f t="shared" si="13"/>
        <v>360</v>
      </c>
      <c r="E249" s="211" t="s">
        <v>3</v>
      </c>
      <c r="F249" s="209">
        <f t="shared" si="14"/>
        <v>2850</v>
      </c>
      <c r="G249" s="211" t="s">
        <v>3</v>
      </c>
      <c r="H249" s="208">
        <v>6</v>
      </c>
      <c r="I249" s="210" t="s">
        <v>531</v>
      </c>
      <c r="J249" s="103">
        <v>140</v>
      </c>
      <c r="K249" s="66">
        <v>360</v>
      </c>
      <c r="L249" s="66">
        <v>2850</v>
      </c>
      <c r="M249" s="156">
        <v>15.991332938788995</v>
      </c>
      <c r="N249" s="78">
        <v>16956.550864500001</v>
      </c>
      <c r="O249" s="113">
        <v>124597.16730878082</v>
      </c>
      <c r="P249" s="113">
        <v>148859.45738459201</v>
      </c>
      <c r="Q249" s="110">
        <v>41962.049820966939</v>
      </c>
      <c r="R249" s="113">
        <v>166559.21712974776</v>
      </c>
      <c r="S249" s="113">
        <v>190821.50720555894</v>
      </c>
      <c r="U249" s="7" t="s">
        <v>7035</v>
      </c>
    </row>
    <row r="250" spans="1:21" ht="16.5" thickBot="1">
      <c r="A250" s="207" t="s">
        <v>10</v>
      </c>
      <c r="B250" s="211">
        <f t="shared" si="12"/>
        <v>140</v>
      </c>
      <c r="C250" s="211" t="s">
        <v>3</v>
      </c>
      <c r="D250" s="211">
        <f t="shared" si="13"/>
        <v>360</v>
      </c>
      <c r="E250" s="211" t="s">
        <v>3</v>
      </c>
      <c r="F250" s="209">
        <f t="shared" si="14"/>
        <v>2900</v>
      </c>
      <c r="G250" s="211" t="s">
        <v>3</v>
      </c>
      <c r="H250" s="208">
        <v>6</v>
      </c>
      <c r="I250" s="210" t="s">
        <v>531</v>
      </c>
      <c r="J250" s="103">
        <v>140</v>
      </c>
      <c r="K250" s="66">
        <v>360</v>
      </c>
      <c r="L250" s="66">
        <v>2900</v>
      </c>
      <c r="M250" s="156">
        <v>15.991332938788995</v>
      </c>
      <c r="N250" s="78">
        <v>17295.681881790002</v>
      </c>
      <c r="O250" s="113">
        <v>125904.18790457302</v>
      </c>
      <c r="P250" s="113">
        <v>150517.21584866726</v>
      </c>
      <c r="Q250" s="110">
        <v>42816.804842988895</v>
      </c>
      <c r="R250" s="113">
        <v>168720.99274756192</v>
      </c>
      <c r="S250" s="113">
        <v>193334.02069165616</v>
      </c>
      <c r="U250" s="7" t="s">
        <v>7036</v>
      </c>
    </row>
    <row r="251" spans="1:21" ht="16.5" thickBot="1">
      <c r="A251" s="207" t="s">
        <v>10</v>
      </c>
      <c r="B251" s="211">
        <f t="shared" si="12"/>
        <v>140</v>
      </c>
      <c r="C251" s="211" t="s">
        <v>3</v>
      </c>
      <c r="D251" s="211">
        <f t="shared" si="13"/>
        <v>360</v>
      </c>
      <c r="E251" s="211" t="s">
        <v>3</v>
      </c>
      <c r="F251" s="209">
        <f t="shared" si="14"/>
        <v>2950</v>
      </c>
      <c r="G251" s="211" t="s">
        <v>3</v>
      </c>
      <c r="H251" s="208">
        <v>6</v>
      </c>
      <c r="I251" s="210" t="s">
        <v>531</v>
      </c>
      <c r="J251" s="103">
        <v>140</v>
      </c>
      <c r="K251" s="66">
        <v>360</v>
      </c>
      <c r="L251" s="66">
        <v>2950</v>
      </c>
      <c r="M251" s="156">
        <v>15.991332938788995</v>
      </c>
      <c r="N251" s="78">
        <v>17634.812899080003</v>
      </c>
      <c r="O251" s="113">
        <v>127211.27730974944</v>
      </c>
      <c r="P251" s="113">
        <v>152174.97915151206</v>
      </c>
      <c r="Q251" s="110">
        <v>43420.22572722708</v>
      </c>
      <c r="R251" s="113">
        <v>170631.5030369765</v>
      </c>
      <c r="S251" s="113">
        <v>195595.20487873914</v>
      </c>
      <c r="U251" s="7" t="s">
        <v>7037</v>
      </c>
    </row>
    <row r="252" spans="1:21" ht="16.5" thickBot="1">
      <c r="A252" s="207" t="s">
        <v>10</v>
      </c>
      <c r="B252" s="211">
        <f t="shared" si="12"/>
        <v>140</v>
      </c>
      <c r="C252" s="211" t="s">
        <v>3</v>
      </c>
      <c r="D252" s="211">
        <f t="shared" si="13"/>
        <v>360</v>
      </c>
      <c r="E252" s="211" t="s">
        <v>3</v>
      </c>
      <c r="F252" s="209">
        <f t="shared" si="14"/>
        <v>3000</v>
      </c>
      <c r="G252" s="211" t="s">
        <v>3</v>
      </c>
      <c r="H252" s="208">
        <v>6</v>
      </c>
      <c r="I252" s="210" t="s">
        <v>531</v>
      </c>
      <c r="J252" s="125">
        <v>140</v>
      </c>
      <c r="K252" s="126">
        <v>360</v>
      </c>
      <c r="L252" s="126">
        <v>3000</v>
      </c>
      <c r="M252" s="156">
        <v>15.991332938788995</v>
      </c>
      <c r="N252" s="127">
        <v>17973.943916370001</v>
      </c>
      <c r="O252" s="128">
        <v>130226.58751457791</v>
      </c>
      <c r="P252" s="128">
        <v>155592.03865495487</v>
      </c>
      <c r="Q252" s="136">
        <v>44274.980749249036</v>
      </c>
      <c r="R252" s="128">
        <v>174501.56826382695</v>
      </c>
      <c r="S252" s="128">
        <v>199867.01940420392</v>
      </c>
      <c r="U252" s="7" t="s">
        <v>7038</v>
      </c>
    </row>
    <row r="253" spans="1:21" ht="22.5" customHeight="1" thickBot="1">
      <c r="A253" s="2968" t="s">
        <v>44</v>
      </c>
      <c r="B253" s="2969"/>
      <c r="C253" s="2969"/>
      <c r="D253" s="2969"/>
      <c r="E253" s="2969"/>
      <c r="F253" s="2969"/>
      <c r="G253" s="2969"/>
      <c r="H253" s="2969"/>
      <c r="I253" s="2969"/>
      <c r="J253" s="2969"/>
      <c r="K253" s="2969"/>
      <c r="L253" s="2969"/>
      <c r="M253" s="2969"/>
      <c r="N253" s="2969"/>
      <c r="O253" s="2969"/>
      <c r="P253" s="2969"/>
      <c r="Q253" s="2969"/>
      <c r="R253" s="2969"/>
      <c r="S253" s="2970"/>
      <c r="U253" s="7"/>
    </row>
    <row r="254" spans="1:21" ht="19.5" thickBot="1">
      <c r="A254" s="3015" t="s">
        <v>118</v>
      </c>
      <c r="B254" s="3016"/>
      <c r="C254" s="3016"/>
      <c r="D254" s="3016"/>
      <c r="E254" s="3016"/>
      <c r="F254" s="3016"/>
      <c r="G254" s="3016"/>
      <c r="H254" s="3016"/>
      <c r="I254" s="3016"/>
      <c r="J254" s="3016"/>
      <c r="K254" s="3016"/>
      <c r="L254" s="3016"/>
      <c r="M254" s="3016"/>
      <c r="N254" s="3016"/>
      <c r="O254" s="3016"/>
      <c r="P254" s="3016"/>
      <c r="Q254" s="3016"/>
      <c r="R254" s="3016"/>
      <c r="S254" s="3017"/>
      <c r="U254" s="7"/>
    </row>
    <row r="255" spans="1:21" ht="16.5" thickBot="1">
      <c r="A255" s="207" t="s">
        <v>10</v>
      </c>
      <c r="B255" s="208">
        <f t="shared" ref="B255:B301" si="15">J255</f>
        <v>140</v>
      </c>
      <c r="C255" s="208" t="s">
        <v>3</v>
      </c>
      <c r="D255" s="208">
        <f t="shared" ref="D255:D301" si="16">K255</f>
        <v>360</v>
      </c>
      <c r="E255" s="208" t="s">
        <v>3</v>
      </c>
      <c r="F255" s="209">
        <f t="shared" ref="F255:F301" si="17">L255</f>
        <v>700</v>
      </c>
      <c r="G255" s="208" t="s">
        <v>3</v>
      </c>
      <c r="H255" s="208">
        <v>8</v>
      </c>
      <c r="I255" s="210" t="s">
        <v>531</v>
      </c>
      <c r="J255" s="286">
        <v>140</v>
      </c>
      <c r="K255" s="271">
        <v>360</v>
      </c>
      <c r="L255" s="271">
        <v>700</v>
      </c>
      <c r="M255" s="282">
        <v>15.149375840372496</v>
      </c>
      <c r="N255" s="246">
        <v>2498.8601274000002</v>
      </c>
      <c r="O255" s="247">
        <v>38900.013874206699</v>
      </c>
      <c r="P255" s="247">
        <v>46757.209512185895</v>
      </c>
      <c r="Q255" s="248">
        <v>11490.936859530682</v>
      </c>
      <c r="R255" s="247">
        <v>50390.95073373738</v>
      </c>
      <c r="S255" s="247">
        <v>58248.146371716575</v>
      </c>
      <c r="U255" s="7" t="s">
        <v>7039</v>
      </c>
    </row>
    <row r="256" spans="1:21" ht="16.5" thickBot="1">
      <c r="A256" s="207" t="s">
        <v>10</v>
      </c>
      <c r="B256" s="211">
        <f t="shared" si="15"/>
        <v>140</v>
      </c>
      <c r="C256" s="211" t="s">
        <v>3</v>
      </c>
      <c r="D256" s="211">
        <f t="shared" si="16"/>
        <v>360</v>
      </c>
      <c r="E256" s="211" t="s">
        <v>3</v>
      </c>
      <c r="F256" s="209">
        <f t="shared" si="17"/>
        <v>750</v>
      </c>
      <c r="G256" s="211" t="s">
        <v>3</v>
      </c>
      <c r="H256" s="208">
        <v>8</v>
      </c>
      <c r="I256" s="210" t="s">
        <v>531</v>
      </c>
      <c r="J256" s="103">
        <v>140</v>
      </c>
      <c r="K256" s="66">
        <v>360</v>
      </c>
      <c r="L256" s="66">
        <v>750</v>
      </c>
      <c r="M256" s="156">
        <v>15.991332938788995</v>
      </c>
      <c r="N256" s="78">
        <v>2855.8401456000006</v>
      </c>
      <c r="O256" s="113">
        <v>41426.564779215812</v>
      </c>
      <c r="P256" s="113">
        <v>49694.281150173476</v>
      </c>
      <c r="Q256" s="110">
        <v>12094.357743768871</v>
      </c>
      <c r="R256" s="113">
        <v>53520.922522984685</v>
      </c>
      <c r="S256" s="113">
        <v>61788.638893942349</v>
      </c>
      <c r="U256" s="7" t="s">
        <v>7040</v>
      </c>
    </row>
    <row r="257" spans="1:21" ht="16.5" thickBot="1">
      <c r="A257" s="207" t="s">
        <v>10</v>
      </c>
      <c r="B257" s="211">
        <f t="shared" si="15"/>
        <v>140</v>
      </c>
      <c r="C257" s="211" t="s">
        <v>3</v>
      </c>
      <c r="D257" s="211">
        <f t="shared" si="16"/>
        <v>360</v>
      </c>
      <c r="E257" s="211" t="s">
        <v>3</v>
      </c>
      <c r="F257" s="209">
        <f t="shared" si="17"/>
        <v>800</v>
      </c>
      <c r="G257" s="211" t="s">
        <v>3</v>
      </c>
      <c r="H257" s="208">
        <v>8</v>
      </c>
      <c r="I257" s="210" t="s">
        <v>531</v>
      </c>
      <c r="J257" s="103">
        <v>140</v>
      </c>
      <c r="K257" s="66">
        <v>360</v>
      </c>
      <c r="L257" s="66">
        <v>800</v>
      </c>
      <c r="M257" s="156">
        <v>16.833290037205497</v>
      </c>
      <c r="N257" s="78">
        <v>3212.8201638000005</v>
      </c>
      <c r="O257" s="113">
        <v>43938.604318394275</v>
      </c>
      <c r="P257" s="113">
        <v>52616.48723419298</v>
      </c>
      <c r="Q257" s="110">
        <v>12697.77862800706</v>
      </c>
      <c r="R257" s="113">
        <v>56636.382946401332</v>
      </c>
      <c r="S257" s="113">
        <v>65314.265862200038</v>
      </c>
      <c r="U257" s="7" t="s">
        <v>7041</v>
      </c>
    </row>
    <row r="258" spans="1:21" ht="16.5" thickBot="1">
      <c r="A258" s="207" t="s">
        <v>10</v>
      </c>
      <c r="B258" s="211">
        <f t="shared" si="15"/>
        <v>140</v>
      </c>
      <c r="C258" s="211" t="s">
        <v>3</v>
      </c>
      <c r="D258" s="211">
        <f t="shared" si="16"/>
        <v>360</v>
      </c>
      <c r="E258" s="211" t="s">
        <v>3</v>
      </c>
      <c r="F258" s="209">
        <f t="shared" si="17"/>
        <v>850</v>
      </c>
      <c r="G258" s="211" t="s">
        <v>3</v>
      </c>
      <c r="H258" s="208">
        <v>8</v>
      </c>
      <c r="I258" s="210" t="s">
        <v>531</v>
      </c>
      <c r="J258" s="103">
        <v>140</v>
      </c>
      <c r="K258" s="66">
        <v>360</v>
      </c>
      <c r="L258" s="66">
        <v>850</v>
      </c>
      <c r="M258" s="156">
        <v>17.691435135621994</v>
      </c>
      <c r="N258" s="78">
        <v>3569.8001820000004</v>
      </c>
      <c r="O258" s="113">
        <v>46450.643857572737</v>
      </c>
      <c r="P258" s="113">
        <v>55538.693318212463</v>
      </c>
      <c r="Q258" s="110">
        <v>13552.533650029018</v>
      </c>
      <c r="R258" s="113">
        <v>60003.177507601751</v>
      </c>
      <c r="S258" s="113">
        <v>69091.226968241477</v>
      </c>
      <c r="U258" s="7" t="s">
        <v>7042</v>
      </c>
    </row>
    <row r="259" spans="1:21" ht="16.5" thickBot="1">
      <c r="A259" s="207" t="s">
        <v>10</v>
      </c>
      <c r="B259" s="211">
        <f t="shared" si="15"/>
        <v>140</v>
      </c>
      <c r="C259" s="211" t="s">
        <v>3</v>
      </c>
      <c r="D259" s="211">
        <f t="shared" si="16"/>
        <v>360</v>
      </c>
      <c r="E259" s="211" t="s">
        <v>3</v>
      </c>
      <c r="F259" s="209">
        <f t="shared" si="17"/>
        <v>900</v>
      </c>
      <c r="G259" s="211" t="s">
        <v>3</v>
      </c>
      <c r="H259" s="208">
        <v>8</v>
      </c>
      <c r="I259" s="210" t="s">
        <v>531</v>
      </c>
      <c r="J259" s="103">
        <v>140</v>
      </c>
      <c r="K259" s="66">
        <v>360</v>
      </c>
      <c r="L259" s="66">
        <v>900</v>
      </c>
      <c r="M259" s="156">
        <v>18.684442234038499</v>
      </c>
      <c r="N259" s="78">
        <v>3926.7802002000008</v>
      </c>
      <c r="O259" s="113">
        <v>48962.683526825655</v>
      </c>
      <c r="P259" s="113">
        <v>58460.899402231953</v>
      </c>
      <c r="Q259" s="110">
        <v>14155.954534267206</v>
      </c>
      <c r="R259" s="113">
        <v>63118.638061092861</v>
      </c>
      <c r="S259" s="113">
        <v>72616.853936499159</v>
      </c>
      <c r="U259" s="7" t="s">
        <v>7043</v>
      </c>
    </row>
    <row r="260" spans="1:21" ht="16.5" thickBot="1">
      <c r="A260" s="207" t="s">
        <v>10</v>
      </c>
      <c r="B260" s="211">
        <f t="shared" si="15"/>
        <v>140</v>
      </c>
      <c r="C260" s="211" t="s">
        <v>3</v>
      </c>
      <c r="D260" s="211">
        <f t="shared" si="16"/>
        <v>360</v>
      </c>
      <c r="E260" s="211" t="s">
        <v>3</v>
      </c>
      <c r="F260" s="209">
        <f t="shared" si="17"/>
        <v>950</v>
      </c>
      <c r="G260" s="211" t="s">
        <v>3</v>
      </c>
      <c r="H260" s="208">
        <v>8</v>
      </c>
      <c r="I260" s="210" t="s">
        <v>531</v>
      </c>
      <c r="J260" s="103">
        <v>140</v>
      </c>
      <c r="K260" s="66">
        <v>360</v>
      </c>
      <c r="L260" s="66">
        <v>950</v>
      </c>
      <c r="M260" s="156">
        <v>19.542587332455</v>
      </c>
      <c r="N260" s="78">
        <v>4283.7602184000007</v>
      </c>
      <c r="O260" s="113">
        <v>51474.723066004117</v>
      </c>
      <c r="P260" s="113">
        <v>61383.105628568199</v>
      </c>
      <c r="Q260" s="110">
        <v>15010.709556289165</v>
      </c>
      <c r="R260" s="113">
        <v>66485.432622293287</v>
      </c>
      <c r="S260" s="113">
        <v>76393.815184857362</v>
      </c>
      <c r="U260" s="7" t="s">
        <v>7044</v>
      </c>
    </row>
    <row r="261" spans="1:21" ht="16.5" thickBot="1">
      <c r="A261" s="207" t="s">
        <v>10</v>
      </c>
      <c r="B261" s="211">
        <f t="shared" si="15"/>
        <v>140</v>
      </c>
      <c r="C261" s="211" t="s">
        <v>3</v>
      </c>
      <c r="D261" s="211">
        <f t="shared" si="16"/>
        <v>360</v>
      </c>
      <c r="E261" s="211" t="s">
        <v>3</v>
      </c>
      <c r="F261" s="209">
        <f t="shared" si="17"/>
        <v>1000</v>
      </c>
      <c r="G261" s="211" t="s">
        <v>3</v>
      </c>
      <c r="H261" s="208">
        <v>8</v>
      </c>
      <c r="I261" s="210" t="s">
        <v>531</v>
      </c>
      <c r="J261" s="103">
        <v>140</v>
      </c>
      <c r="K261" s="66">
        <v>360</v>
      </c>
      <c r="L261" s="66">
        <v>1000</v>
      </c>
      <c r="M261" s="156">
        <v>20.3845444308715</v>
      </c>
      <c r="N261" s="78">
        <v>4640.7402366000006</v>
      </c>
      <c r="O261" s="113">
        <v>53883.068684177539</v>
      </c>
      <c r="P261" s="113">
        <v>64199.085919951627</v>
      </c>
      <c r="Q261" s="110">
        <v>15614.130440527351</v>
      </c>
      <c r="R261" s="113">
        <v>69497.199124704886</v>
      </c>
      <c r="S261" s="113">
        <v>79813.216360478982</v>
      </c>
      <c r="U261" s="7" t="s">
        <v>7045</v>
      </c>
    </row>
    <row r="262" spans="1:21" ht="16.5" thickBot="1">
      <c r="A262" s="207" t="s">
        <v>10</v>
      </c>
      <c r="B262" s="211">
        <f t="shared" si="15"/>
        <v>140</v>
      </c>
      <c r="C262" s="211" t="s">
        <v>3</v>
      </c>
      <c r="D262" s="211">
        <f t="shared" si="16"/>
        <v>360</v>
      </c>
      <c r="E262" s="211" t="s">
        <v>3</v>
      </c>
      <c r="F262" s="209">
        <f t="shared" si="17"/>
        <v>1050</v>
      </c>
      <c r="G262" s="211" t="s">
        <v>3</v>
      </c>
      <c r="H262" s="208">
        <v>8</v>
      </c>
      <c r="I262" s="210" t="s">
        <v>531</v>
      </c>
      <c r="J262" s="103">
        <v>140</v>
      </c>
      <c r="K262" s="66">
        <v>360</v>
      </c>
      <c r="L262" s="66">
        <v>1050</v>
      </c>
      <c r="M262" s="156">
        <v>21.242689529288</v>
      </c>
      <c r="N262" s="78">
        <v>4997.7202548000005</v>
      </c>
      <c r="O262" s="113">
        <v>56641.381432076749</v>
      </c>
      <c r="P262" s="113">
        <v>67373.578190323373</v>
      </c>
      <c r="Q262" s="110">
        <v>16468.885462549311</v>
      </c>
      <c r="R262" s="113">
        <v>73110.266894626053</v>
      </c>
      <c r="S262" s="113">
        <v>83842.463652872684</v>
      </c>
      <c r="U262" s="7" t="s">
        <v>7046</v>
      </c>
    </row>
    <row r="263" spans="1:21" ht="16.5" thickBot="1">
      <c r="A263" s="207" t="s">
        <v>10</v>
      </c>
      <c r="B263" s="208">
        <f t="shared" si="15"/>
        <v>140</v>
      </c>
      <c r="C263" s="208" t="s">
        <v>3</v>
      </c>
      <c r="D263" s="208">
        <f t="shared" si="16"/>
        <v>360</v>
      </c>
      <c r="E263" s="208" t="s">
        <v>3</v>
      </c>
      <c r="F263" s="209">
        <f t="shared" si="17"/>
        <v>1100</v>
      </c>
      <c r="G263" s="208" t="s">
        <v>3</v>
      </c>
      <c r="H263" s="208">
        <v>8</v>
      </c>
      <c r="I263" s="210" t="s">
        <v>531</v>
      </c>
      <c r="J263" s="103">
        <v>140</v>
      </c>
      <c r="K263" s="66">
        <v>360</v>
      </c>
      <c r="L263" s="66">
        <v>1100</v>
      </c>
      <c r="M263" s="156">
        <v>22.084646627704501</v>
      </c>
      <c r="N263" s="78">
        <v>5354.7002730000004</v>
      </c>
      <c r="O263" s="113">
        <v>59153.420971255211</v>
      </c>
      <c r="P263" s="113">
        <v>70295.784274342863</v>
      </c>
      <c r="Q263" s="110">
        <v>17072.3063467875</v>
      </c>
      <c r="R263" s="113">
        <v>76225.727318042715</v>
      </c>
      <c r="S263" s="113">
        <v>87368.090621130366</v>
      </c>
      <c r="U263" s="7" t="s">
        <v>7047</v>
      </c>
    </row>
    <row r="264" spans="1:21" ht="16.5" thickBot="1">
      <c r="A264" s="207" t="s">
        <v>10</v>
      </c>
      <c r="B264" s="211">
        <f t="shared" si="15"/>
        <v>140</v>
      </c>
      <c r="C264" s="211" t="s">
        <v>3</v>
      </c>
      <c r="D264" s="211">
        <f t="shared" si="16"/>
        <v>360</v>
      </c>
      <c r="E264" s="211" t="s">
        <v>3</v>
      </c>
      <c r="F264" s="209">
        <f t="shared" si="17"/>
        <v>1150</v>
      </c>
      <c r="G264" s="211" t="s">
        <v>3</v>
      </c>
      <c r="H264" s="208">
        <v>8</v>
      </c>
      <c r="I264" s="210" t="s">
        <v>531</v>
      </c>
      <c r="J264" s="103">
        <v>140</v>
      </c>
      <c r="K264" s="66">
        <v>360</v>
      </c>
      <c r="L264" s="66">
        <v>1150</v>
      </c>
      <c r="M264" s="156">
        <v>22.926603726120998</v>
      </c>
      <c r="N264" s="78">
        <v>5711.6802912000012</v>
      </c>
      <c r="O264" s="113">
        <v>60842.137237150797</v>
      </c>
      <c r="P264" s="113">
        <v>72374.564788830379</v>
      </c>
      <c r="Q264" s="110">
        <v>17675.727231025689</v>
      </c>
      <c r="R264" s="113">
        <v>78517.864468176485</v>
      </c>
      <c r="S264" s="113">
        <v>90050.292019856075</v>
      </c>
      <c r="U264" s="7" t="s">
        <v>7048</v>
      </c>
    </row>
    <row r="265" spans="1:21" ht="16.5" thickBot="1">
      <c r="A265" s="207" t="s">
        <v>10</v>
      </c>
      <c r="B265" s="211">
        <f t="shared" si="15"/>
        <v>140</v>
      </c>
      <c r="C265" s="211" t="s">
        <v>3</v>
      </c>
      <c r="D265" s="211">
        <f t="shared" si="16"/>
        <v>360</v>
      </c>
      <c r="E265" s="211" t="s">
        <v>3</v>
      </c>
      <c r="F265" s="209">
        <f t="shared" si="17"/>
        <v>1200</v>
      </c>
      <c r="G265" s="211" t="s">
        <v>3</v>
      </c>
      <c r="H265" s="208">
        <v>8</v>
      </c>
      <c r="I265" s="210" t="s">
        <v>531</v>
      </c>
      <c r="J265" s="103">
        <v>140</v>
      </c>
      <c r="K265" s="66">
        <v>360</v>
      </c>
      <c r="L265" s="66">
        <v>1200</v>
      </c>
      <c r="M265" s="156">
        <v>23.933898824537497</v>
      </c>
      <c r="N265" s="78">
        <v>6068.6603094000002</v>
      </c>
      <c r="O265" s="113">
        <v>62660.572980227611</v>
      </c>
      <c r="P265" s="113">
        <v>74586.231862291868</v>
      </c>
      <c r="Q265" s="110">
        <v>18530.482406076411</v>
      </c>
      <c r="R265" s="113">
        <v>81191.055386304026</v>
      </c>
      <c r="S265" s="113">
        <v>93116.714268368276</v>
      </c>
      <c r="U265" s="7" t="s">
        <v>7049</v>
      </c>
    </row>
    <row r="266" spans="1:21" ht="16.5" thickBot="1">
      <c r="A266" s="207" t="s">
        <v>10</v>
      </c>
      <c r="B266" s="211">
        <f t="shared" si="15"/>
        <v>140</v>
      </c>
      <c r="C266" s="211" t="s">
        <v>3</v>
      </c>
      <c r="D266" s="211">
        <f t="shared" si="16"/>
        <v>360</v>
      </c>
      <c r="E266" s="211" t="s">
        <v>3</v>
      </c>
      <c r="F266" s="209">
        <f t="shared" si="17"/>
        <v>1250</v>
      </c>
      <c r="G266" s="211" t="s">
        <v>3</v>
      </c>
      <c r="H266" s="208">
        <v>8</v>
      </c>
      <c r="I266" s="210" t="s">
        <v>531</v>
      </c>
      <c r="J266" s="103">
        <v>140</v>
      </c>
      <c r="K266" s="66">
        <v>360</v>
      </c>
      <c r="L266" s="66">
        <v>1250</v>
      </c>
      <c r="M266" s="156">
        <v>25.594755922953997</v>
      </c>
      <c r="N266" s="78">
        <v>6425.640327600001</v>
      </c>
      <c r="O266" s="113">
        <v>64348.76491601381</v>
      </c>
      <c r="P266" s="113">
        <v>76664.475273358985</v>
      </c>
      <c r="Q266" s="110">
        <v>19133.9032903146</v>
      </c>
      <c r="R266" s="113">
        <v>83482.66820632841</v>
      </c>
      <c r="S266" s="113">
        <v>95798.378563673585</v>
      </c>
      <c r="U266" s="7" t="s">
        <v>7050</v>
      </c>
    </row>
    <row r="267" spans="1:21" ht="16.5" thickBot="1">
      <c r="A267" s="207" t="s">
        <v>10</v>
      </c>
      <c r="B267" s="211">
        <f t="shared" si="15"/>
        <v>140</v>
      </c>
      <c r="C267" s="211" t="s">
        <v>3</v>
      </c>
      <c r="D267" s="211">
        <f t="shared" si="16"/>
        <v>360</v>
      </c>
      <c r="E267" s="211" t="s">
        <v>3</v>
      </c>
      <c r="F267" s="209">
        <f t="shared" si="17"/>
        <v>1300</v>
      </c>
      <c r="G267" s="211" t="s">
        <v>3</v>
      </c>
      <c r="H267" s="208">
        <v>8</v>
      </c>
      <c r="I267" s="210" t="s">
        <v>531</v>
      </c>
      <c r="J267" s="103">
        <v>140</v>
      </c>
      <c r="K267" s="66">
        <v>360</v>
      </c>
      <c r="L267" s="66">
        <v>1300</v>
      </c>
      <c r="M267" s="156">
        <v>26.452901021370497</v>
      </c>
      <c r="N267" s="78">
        <v>6782.6203458</v>
      </c>
      <c r="O267" s="113">
        <v>68710.054965632924</v>
      </c>
      <c r="P267" s="113">
        <v>81481.083262057597</v>
      </c>
      <c r="Q267" s="110">
        <v>19988.658312336556</v>
      </c>
      <c r="R267" s="113">
        <v>88698.71327796948</v>
      </c>
      <c r="S267" s="113">
        <v>101469.74157439415</v>
      </c>
      <c r="U267" s="7" t="s">
        <v>7051</v>
      </c>
    </row>
    <row r="268" spans="1:21" ht="16.5" thickBot="1">
      <c r="A268" s="207" t="s">
        <v>10</v>
      </c>
      <c r="B268" s="211">
        <f t="shared" si="15"/>
        <v>140</v>
      </c>
      <c r="C268" s="211" t="s">
        <v>3</v>
      </c>
      <c r="D268" s="211">
        <f t="shared" si="16"/>
        <v>360</v>
      </c>
      <c r="E268" s="211" t="s">
        <v>3</v>
      </c>
      <c r="F268" s="209">
        <f t="shared" si="17"/>
        <v>1350</v>
      </c>
      <c r="G268" s="211" t="s">
        <v>3</v>
      </c>
      <c r="H268" s="208">
        <v>8</v>
      </c>
      <c r="I268" s="210" t="s">
        <v>531</v>
      </c>
      <c r="J268" s="103">
        <v>140</v>
      </c>
      <c r="K268" s="66">
        <v>360</v>
      </c>
      <c r="L268" s="66">
        <v>1350</v>
      </c>
      <c r="M268" s="156">
        <v>27.294858119786998</v>
      </c>
      <c r="N268" s="78">
        <v>7139.6003640000008</v>
      </c>
      <c r="O268" s="113">
        <v>70670.415982089049</v>
      </c>
      <c r="P268" s="113">
        <v>83838.140986602404</v>
      </c>
      <c r="Q268" s="110">
        <v>20592.079196574745</v>
      </c>
      <c r="R268" s="113">
        <v>91262.495178663798</v>
      </c>
      <c r="S268" s="113">
        <v>104430.22018317715</v>
      </c>
      <c r="U268" s="7" t="s">
        <v>7052</v>
      </c>
    </row>
    <row r="269" spans="1:21" ht="16.5" thickBot="1">
      <c r="A269" s="207" t="s">
        <v>10</v>
      </c>
      <c r="B269" s="211">
        <f t="shared" si="15"/>
        <v>140</v>
      </c>
      <c r="C269" s="211" t="s">
        <v>3</v>
      </c>
      <c r="D269" s="211">
        <f t="shared" si="16"/>
        <v>360</v>
      </c>
      <c r="E269" s="211" t="s">
        <v>3</v>
      </c>
      <c r="F269" s="209">
        <f t="shared" si="17"/>
        <v>1400</v>
      </c>
      <c r="G269" s="211" t="s">
        <v>3</v>
      </c>
      <c r="H269" s="208">
        <v>8</v>
      </c>
      <c r="I269" s="210" t="s">
        <v>531</v>
      </c>
      <c r="J269" s="103">
        <v>140</v>
      </c>
      <c r="K269" s="66">
        <v>360</v>
      </c>
      <c r="L269" s="66">
        <v>1400</v>
      </c>
      <c r="M269" s="156">
        <v>28.153003218203501</v>
      </c>
      <c r="N269" s="78">
        <v>7496.5803822000007</v>
      </c>
      <c r="O269" s="113">
        <v>72987.22495768551</v>
      </c>
      <c r="P269" s="113">
        <v>86560.349766596104</v>
      </c>
      <c r="Q269" s="110">
        <v>21446.834218596705</v>
      </c>
      <c r="R269" s="113">
        <v>94434.059176282215</v>
      </c>
      <c r="S269" s="113">
        <v>108007.18398519281</v>
      </c>
      <c r="U269" s="7" t="s">
        <v>7053</v>
      </c>
    </row>
    <row r="270" spans="1:21" ht="16.5" thickBot="1">
      <c r="A270" s="207" t="s">
        <v>10</v>
      </c>
      <c r="B270" s="211">
        <f t="shared" si="15"/>
        <v>140</v>
      </c>
      <c r="C270" s="211" t="s">
        <v>3</v>
      </c>
      <c r="D270" s="211">
        <f t="shared" si="16"/>
        <v>360</v>
      </c>
      <c r="E270" s="211" t="s">
        <v>3</v>
      </c>
      <c r="F270" s="209">
        <f t="shared" si="17"/>
        <v>1450</v>
      </c>
      <c r="G270" s="211" t="s">
        <v>3</v>
      </c>
      <c r="H270" s="208">
        <v>8</v>
      </c>
      <c r="I270" s="210" t="s">
        <v>531</v>
      </c>
      <c r="J270" s="103">
        <v>140</v>
      </c>
      <c r="K270" s="66">
        <v>360</v>
      </c>
      <c r="L270" s="66">
        <v>1450</v>
      </c>
      <c r="M270" s="156">
        <v>28.994960316620002</v>
      </c>
      <c r="N270" s="78">
        <v>7853.5604004000015</v>
      </c>
      <c r="O270" s="113">
        <v>74947.585974141635</v>
      </c>
      <c r="P270" s="113">
        <v>88917.407491140912</v>
      </c>
      <c r="Q270" s="110">
        <v>22050.255102834893</v>
      </c>
      <c r="R270" s="113">
        <v>96997.841076976532</v>
      </c>
      <c r="S270" s="113">
        <v>110967.66259397581</v>
      </c>
      <c r="U270" s="7" t="s">
        <v>7054</v>
      </c>
    </row>
    <row r="271" spans="1:21" ht="16.5" thickBot="1">
      <c r="A271" s="207" t="s">
        <v>10</v>
      </c>
      <c r="B271" s="211">
        <f t="shared" si="15"/>
        <v>140</v>
      </c>
      <c r="C271" s="211" t="s">
        <v>3</v>
      </c>
      <c r="D271" s="211">
        <f t="shared" si="16"/>
        <v>360</v>
      </c>
      <c r="E271" s="211" t="s">
        <v>3</v>
      </c>
      <c r="F271" s="209">
        <f t="shared" si="17"/>
        <v>1500</v>
      </c>
      <c r="G271" s="211" t="s">
        <v>3</v>
      </c>
      <c r="H271" s="208">
        <v>8</v>
      </c>
      <c r="I271" s="210" t="s">
        <v>531</v>
      </c>
      <c r="J271" s="103">
        <v>140</v>
      </c>
      <c r="K271" s="66">
        <v>360</v>
      </c>
      <c r="L271" s="66">
        <v>1500</v>
      </c>
      <c r="M271" s="156">
        <v>29.820445644298502</v>
      </c>
      <c r="N271" s="78">
        <v>8210.5404185999996</v>
      </c>
      <c r="O271" s="113">
        <v>77550.49370329667</v>
      </c>
      <c r="P271" s="113">
        <v>92157.494263893299</v>
      </c>
      <c r="Q271" s="110">
        <v>22905.01012485685</v>
      </c>
      <c r="R271" s="113">
        <v>100455.50382815352</v>
      </c>
      <c r="S271" s="113">
        <v>115062.50438875015</v>
      </c>
      <c r="U271" s="7" t="s">
        <v>7055</v>
      </c>
    </row>
    <row r="272" spans="1:21" ht="16.5" thickBot="1">
      <c r="A272" s="207" t="s">
        <v>10</v>
      </c>
      <c r="B272" s="211">
        <f t="shared" si="15"/>
        <v>140</v>
      </c>
      <c r="C272" s="211" t="s">
        <v>3</v>
      </c>
      <c r="D272" s="211">
        <f t="shared" si="16"/>
        <v>360</v>
      </c>
      <c r="E272" s="211" t="s">
        <v>3</v>
      </c>
      <c r="F272" s="209">
        <f t="shared" si="17"/>
        <v>1550</v>
      </c>
      <c r="G272" s="211" t="s">
        <v>3</v>
      </c>
      <c r="H272" s="208">
        <v>8</v>
      </c>
      <c r="I272" s="210" t="s">
        <v>531</v>
      </c>
      <c r="J272" s="103">
        <v>140</v>
      </c>
      <c r="K272" s="66">
        <v>360</v>
      </c>
      <c r="L272" s="66">
        <v>1550</v>
      </c>
      <c r="M272" s="156">
        <v>30.662402742714999</v>
      </c>
      <c r="N272" s="78">
        <v>8567.5204368000013</v>
      </c>
      <c r="O272" s="113">
        <v>79510.854719752795</v>
      </c>
      <c r="P272" s="113">
        <v>94514.551988438121</v>
      </c>
      <c r="Q272" s="110">
        <v>23508.431009095038</v>
      </c>
      <c r="R272" s="113">
        <v>103019.28572884784</v>
      </c>
      <c r="S272" s="113">
        <v>118022.98299753317</v>
      </c>
      <c r="U272" s="7" t="s">
        <v>7056</v>
      </c>
    </row>
    <row r="273" spans="1:21" ht="16.5" thickBot="1">
      <c r="A273" s="207" t="s">
        <v>10</v>
      </c>
      <c r="B273" s="208">
        <f t="shared" si="15"/>
        <v>140</v>
      </c>
      <c r="C273" s="208" t="s">
        <v>3</v>
      </c>
      <c r="D273" s="208">
        <f t="shared" si="16"/>
        <v>360</v>
      </c>
      <c r="E273" s="208" t="s">
        <v>3</v>
      </c>
      <c r="F273" s="209">
        <f t="shared" si="17"/>
        <v>1600</v>
      </c>
      <c r="G273" s="208" t="s">
        <v>3</v>
      </c>
      <c r="H273" s="208">
        <v>8</v>
      </c>
      <c r="I273" s="210" t="s">
        <v>531</v>
      </c>
      <c r="J273" s="103">
        <v>140</v>
      </c>
      <c r="K273" s="66">
        <v>360</v>
      </c>
      <c r="L273" s="66">
        <v>1600</v>
      </c>
      <c r="M273" s="156">
        <v>31.504359841131492</v>
      </c>
      <c r="N273" s="78">
        <v>8924.5004550000012</v>
      </c>
      <c r="O273" s="113">
        <v>83592.400803085504</v>
      </c>
      <c r="P273" s="113">
        <v>99044.585842779867</v>
      </c>
      <c r="Q273" s="110">
        <v>24111.851893333227</v>
      </c>
      <c r="R273" s="113">
        <v>107704.25269641873</v>
      </c>
      <c r="S273" s="113">
        <v>123156.43773611309</v>
      </c>
      <c r="U273" s="7" t="s">
        <v>7057</v>
      </c>
    </row>
    <row r="274" spans="1:21" ht="16.5" thickBot="1">
      <c r="A274" s="207" t="s">
        <v>10</v>
      </c>
      <c r="B274" s="211">
        <f t="shared" si="15"/>
        <v>140</v>
      </c>
      <c r="C274" s="211" t="s">
        <v>3</v>
      </c>
      <c r="D274" s="211">
        <f t="shared" si="16"/>
        <v>360</v>
      </c>
      <c r="E274" s="211" t="s">
        <v>3</v>
      </c>
      <c r="F274" s="209">
        <f t="shared" si="17"/>
        <v>1650</v>
      </c>
      <c r="G274" s="211" t="s">
        <v>3</v>
      </c>
      <c r="H274" s="208">
        <v>8</v>
      </c>
      <c r="I274" s="210" t="s">
        <v>531</v>
      </c>
      <c r="J274" s="103">
        <v>140</v>
      </c>
      <c r="K274" s="66">
        <v>360</v>
      </c>
      <c r="L274" s="66">
        <v>1650</v>
      </c>
      <c r="M274" s="156">
        <v>32.362504939548003</v>
      </c>
      <c r="N274" s="78">
        <v>9281.4804732000011</v>
      </c>
      <c r="O274" s="113">
        <v>87948.910486579567</v>
      </c>
      <c r="P274" s="113">
        <v>103856.2967120571</v>
      </c>
      <c r="Q274" s="110">
        <v>24966.606915355183</v>
      </c>
      <c r="R274" s="113">
        <v>112915.51740193475</v>
      </c>
      <c r="S274" s="113">
        <v>128822.90362741228</v>
      </c>
      <c r="U274" s="7" t="s">
        <v>7058</v>
      </c>
    </row>
    <row r="275" spans="1:21" ht="16.5" thickBot="1">
      <c r="A275" s="207" t="s">
        <v>10</v>
      </c>
      <c r="B275" s="211">
        <f t="shared" si="15"/>
        <v>140</v>
      </c>
      <c r="C275" s="211" t="s">
        <v>3</v>
      </c>
      <c r="D275" s="211">
        <f t="shared" si="16"/>
        <v>360</v>
      </c>
      <c r="E275" s="211" t="s">
        <v>3</v>
      </c>
      <c r="F275" s="209">
        <f t="shared" si="17"/>
        <v>1700</v>
      </c>
      <c r="G275" s="211" t="s">
        <v>3</v>
      </c>
      <c r="H275" s="208">
        <v>8</v>
      </c>
      <c r="I275" s="210" t="s">
        <v>531</v>
      </c>
      <c r="J275" s="103">
        <v>140</v>
      </c>
      <c r="K275" s="66">
        <v>360</v>
      </c>
      <c r="L275" s="66">
        <v>1700</v>
      </c>
      <c r="M275" s="156">
        <v>34.023362037964496</v>
      </c>
      <c r="N275" s="78">
        <v>9638.460491400001</v>
      </c>
      <c r="O275" s="113">
        <v>89685.660905651617</v>
      </c>
      <c r="P275" s="113">
        <v>105984.28409729914</v>
      </c>
      <c r="Q275" s="110">
        <v>25570.027799593372</v>
      </c>
      <c r="R275" s="113">
        <v>115255.68870524499</v>
      </c>
      <c r="S275" s="113">
        <v>131554.3118968925</v>
      </c>
      <c r="U275" s="7" t="s">
        <v>7059</v>
      </c>
    </row>
    <row r="276" spans="1:21" ht="16.5" thickBot="1">
      <c r="A276" s="207" t="s">
        <v>10</v>
      </c>
      <c r="B276" s="211">
        <f t="shared" si="15"/>
        <v>140</v>
      </c>
      <c r="C276" s="211" t="s">
        <v>3</v>
      </c>
      <c r="D276" s="211">
        <f t="shared" si="16"/>
        <v>360</v>
      </c>
      <c r="E276" s="211" t="s">
        <v>3</v>
      </c>
      <c r="F276" s="209">
        <f t="shared" si="17"/>
        <v>1750</v>
      </c>
      <c r="G276" s="211" t="s">
        <v>3</v>
      </c>
      <c r="H276" s="208">
        <v>8</v>
      </c>
      <c r="I276" s="210" t="s">
        <v>531</v>
      </c>
      <c r="J276" s="103">
        <v>140</v>
      </c>
      <c r="K276" s="66">
        <v>360</v>
      </c>
      <c r="L276" s="66">
        <v>1750</v>
      </c>
      <c r="M276" s="156">
        <v>34.881507136380996</v>
      </c>
      <c r="N276" s="78">
        <v>9995.440509600001</v>
      </c>
      <c r="O276" s="113">
        <v>91339.403533782111</v>
      </c>
      <c r="P276" s="113">
        <v>108027.23708116361</v>
      </c>
      <c r="Q276" s="110">
        <v>26424.782821615332</v>
      </c>
      <c r="R276" s="113">
        <v>117764.18635539744</v>
      </c>
      <c r="S276" s="113">
        <v>134452.01990277893</v>
      </c>
      <c r="U276" s="7" t="s">
        <v>7060</v>
      </c>
    </row>
    <row r="277" spans="1:21" ht="16.5" thickBot="1">
      <c r="A277" s="207" t="s">
        <v>10</v>
      </c>
      <c r="B277" s="211">
        <f t="shared" si="15"/>
        <v>140</v>
      </c>
      <c r="C277" s="211" t="s">
        <v>3</v>
      </c>
      <c r="D277" s="211">
        <f t="shared" si="16"/>
        <v>360</v>
      </c>
      <c r="E277" s="211" t="s">
        <v>3</v>
      </c>
      <c r="F277" s="209">
        <f t="shared" si="17"/>
        <v>1800</v>
      </c>
      <c r="G277" s="211" t="s">
        <v>3</v>
      </c>
      <c r="H277" s="208">
        <v>8</v>
      </c>
      <c r="I277" s="210" t="s">
        <v>531</v>
      </c>
      <c r="J277" s="103">
        <v>140</v>
      </c>
      <c r="K277" s="66">
        <v>360</v>
      </c>
      <c r="L277" s="66">
        <v>1800</v>
      </c>
      <c r="M277" s="156">
        <v>35.723464234797497</v>
      </c>
      <c r="N277" s="78">
        <v>10352.420527800001</v>
      </c>
      <c r="O277" s="113">
        <v>93076.913197420872</v>
      </c>
      <c r="P277" s="113">
        <v>110156.00222745301</v>
      </c>
      <c r="Q277" s="110">
        <v>27028.203705853517</v>
      </c>
      <c r="R277" s="113">
        <v>120105.11690327439</v>
      </c>
      <c r="S277" s="113">
        <v>137184.20593330651</v>
      </c>
      <c r="U277" s="7" t="s">
        <v>7061</v>
      </c>
    </row>
    <row r="278" spans="1:21" ht="16.5" thickBot="1">
      <c r="A278" s="207" t="s">
        <v>10</v>
      </c>
      <c r="B278" s="211">
        <f t="shared" si="15"/>
        <v>140</v>
      </c>
      <c r="C278" s="211" t="s">
        <v>3</v>
      </c>
      <c r="D278" s="211">
        <f t="shared" si="16"/>
        <v>360</v>
      </c>
      <c r="E278" s="211" t="s">
        <v>3</v>
      </c>
      <c r="F278" s="209">
        <f t="shared" si="17"/>
        <v>1850</v>
      </c>
      <c r="G278" s="211" t="s">
        <v>3</v>
      </c>
      <c r="H278" s="208">
        <v>8</v>
      </c>
      <c r="I278" s="210" t="s">
        <v>531</v>
      </c>
      <c r="J278" s="103">
        <v>140</v>
      </c>
      <c r="K278" s="66">
        <v>360</v>
      </c>
      <c r="L278" s="66">
        <v>1850</v>
      </c>
      <c r="M278" s="156">
        <v>36.581609333214004</v>
      </c>
      <c r="N278" s="78">
        <v>10709.400546000001</v>
      </c>
      <c r="O278" s="113">
        <v>94814.3703109817</v>
      </c>
      <c r="P278" s="113">
        <v>112284.71372032702</v>
      </c>
      <c r="Q278" s="110">
        <v>27882.958880904247</v>
      </c>
      <c r="R278" s="113">
        <v>122697.32919188595</v>
      </c>
      <c r="S278" s="113">
        <v>140167.67260123126</v>
      </c>
      <c r="U278" s="7" t="s">
        <v>7062</v>
      </c>
    </row>
    <row r="279" spans="1:21" ht="16.5" thickBot="1">
      <c r="A279" s="207" t="s">
        <v>10</v>
      </c>
      <c r="B279" s="211">
        <f t="shared" si="15"/>
        <v>140</v>
      </c>
      <c r="C279" s="211" t="s">
        <v>3</v>
      </c>
      <c r="D279" s="211">
        <f t="shared" si="16"/>
        <v>360</v>
      </c>
      <c r="E279" s="211" t="s">
        <v>3</v>
      </c>
      <c r="F279" s="209">
        <f t="shared" si="17"/>
        <v>1900</v>
      </c>
      <c r="G279" s="211" t="s">
        <v>3</v>
      </c>
      <c r="H279" s="208">
        <v>8</v>
      </c>
      <c r="I279" s="210" t="s">
        <v>531</v>
      </c>
      <c r="J279" s="103">
        <v>140</v>
      </c>
      <c r="K279" s="66">
        <v>360</v>
      </c>
      <c r="L279" s="66">
        <v>1900</v>
      </c>
      <c r="M279" s="156">
        <v>37.423566431630498</v>
      </c>
      <c r="N279" s="78">
        <v>11066.380564200001</v>
      </c>
      <c r="O279" s="113">
        <v>96742.636757556917</v>
      </c>
      <c r="P279" s="113">
        <v>114608.89314429151</v>
      </c>
      <c r="Q279" s="110">
        <v>28486.379765142432</v>
      </c>
      <c r="R279" s="113">
        <v>125229.01652269936</v>
      </c>
      <c r="S279" s="113">
        <v>143095.27290943393</v>
      </c>
      <c r="U279" s="7" t="s">
        <v>7063</v>
      </c>
    </row>
    <row r="280" spans="1:21" ht="16.5" thickBot="1">
      <c r="A280" s="207" t="s">
        <v>10</v>
      </c>
      <c r="B280" s="211">
        <f t="shared" si="15"/>
        <v>140</v>
      </c>
      <c r="C280" s="211" t="s">
        <v>3</v>
      </c>
      <c r="D280" s="211">
        <f t="shared" si="16"/>
        <v>360</v>
      </c>
      <c r="E280" s="211" t="s">
        <v>3</v>
      </c>
      <c r="F280" s="209">
        <f t="shared" si="17"/>
        <v>1950</v>
      </c>
      <c r="G280" s="211" t="s">
        <v>3</v>
      </c>
      <c r="H280" s="208">
        <v>8</v>
      </c>
      <c r="I280" s="210" t="s">
        <v>531</v>
      </c>
      <c r="J280" s="103">
        <v>140</v>
      </c>
      <c r="K280" s="66">
        <v>360</v>
      </c>
      <c r="L280" s="66">
        <v>1950</v>
      </c>
      <c r="M280" s="156">
        <v>38.414673530046997</v>
      </c>
      <c r="N280" s="78">
        <v>11423.360582400002</v>
      </c>
      <c r="O280" s="113">
        <v>98935.85055131829</v>
      </c>
      <c r="P280" s="113">
        <v>117204.48897235378</v>
      </c>
      <c r="Q280" s="110">
        <v>29089.800649380621</v>
      </c>
      <c r="R280" s="113">
        <v>128025.65120069891</v>
      </c>
      <c r="S280" s="113">
        <v>146294.28962173441</v>
      </c>
      <c r="U280" s="7" t="s">
        <v>7064</v>
      </c>
    </row>
    <row r="281" spans="1:21" ht="16.5" thickBot="1">
      <c r="A281" s="207" t="s">
        <v>10</v>
      </c>
      <c r="B281" s="211">
        <f t="shared" si="15"/>
        <v>140</v>
      </c>
      <c r="C281" s="211" t="s">
        <v>3</v>
      </c>
      <c r="D281" s="211">
        <f t="shared" si="16"/>
        <v>360</v>
      </c>
      <c r="E281" s="211" t="s">
        <v>3</v>
      </c>
      <c r="F281" s="209">
        <f t="shared" si="17"/>
        <v>2000</v>
      </c>
      <c r="G281" s="211" t="s">
        <v>3</v>
      </c>
      <c r="H281" s="208">
        <v>8</v>
      </c>
      <c r="I281" s="210" t="s">
        <v>531</v>
      </c>
      <c r="J281" s="103">
        <v>140</v>
      </c>
      <c r="K281" s="66">
        <v>360</v>
      </c>
      <c r="L281" s="66">
        <v>2000</v>
      </c>
      <c r="M281" s="156">
        <v>39.3598029084635</v>
      </c>
      <c r="N281" s="78">
        <v>11780.340600599999</v>
      </c>
      <c r="O281" s="113">
        <v>100898.15501013718</v>
      </c>
      <c r="P281" s="113">
        <v>119790.43600929336</v>
      </c>
      <c r="Q281" s="110">
        <v>29944.555671402581</v>
      </c>
      <c r="R281" s="113">
        <v>130842.71068153976</v>
      </c>
      <c r="S281" s="113">
        <v>149734.99168069594</v>
      </c>
      <c r="U281" s="7" t="s">
        <v>7065</v>
      </c>
    </row>
    <row r="282" spans="1:21" ht="16.5" thickBot="1">
      <c r="A282" s="207" t="s">
        <v>10</v>
      </c>
      <c r="B282" s="211">
        <f t="shared" si="15"/>
        <v>140</v>
      </c>
      <c r="C282" s="211" t="s">
        <v>3</v>
      </c>
      <c r="D282" s="211">
        <f t="shared" si="16"/>
        <v>360</v>
      </c>
      <c r="E282" s="211" t="s">
        <v>3</v>
      </c>
      <c r="F282" s="209">
        <f t="shared" si="17"/>
        <v>2050</v>
      </c>
      <c r="G282" s="211" t="s">
        <v>3</v>
      </c>
      <c r="H282" s="208">
        <v>8</v>
      </c>
      <c r="I282" s="210" t="s">
        <v>531</v>
      </c>
      <c r="J282" s="103">
        <v>140</v>
      </c>
      <c r="K282" s="66">
        <v>360</v>
      </c>
      <c r="L282" s="66">
        <v>2050</v>
      </c>
      <c r="M282" s="156">
        <v>41.020660006879993</v>
      </c>
      <c r="N282" s="78">
        <v>12137.3206188</v>
      </c>
      <c r="O282" s="113">
        <v>104972.53971453107</v>
      </c>
      <c r="P282" s="113">
        <v>124313.13357740862</v>
      </c>
      <c r="Q282" s="110">
        <v>30547.976555640766</v>
      </c>
      <c r="R282" s="113">
        <v>135520.51627017185</v>
      </c>
      <c r="S282" s="113">
        <v>154861.11013304937</v>
      </c>
      <c r="U282" s="7" t="s">
        <v>7066</v>
      </c>
    </row>
    <row r="283" spans="1:21" ht="16.5" thickBot="1">
      <c r="A283" s="207" t="s">
        <v>10</v>
      </c>
      <c r="B283" s="208">
        <f t="shared" si="15"/>
        <v>140</v>
      </c>
      <c r="C283" s="208" t="s">
        <v>3</v>
      </c>
      <c r="D283" s="208">
        <f t="shared" si="16"/>
        <v>360</v>
      </c>
      <c r="E283" s="208" t="s">
        <v>3</v>
      </c>
      <c r="F283" s="209">
        <f t="shared" si="17"/>
        <v>2100</v>
      </c>
      <c r="G283" s="208" t="s">
        <v>3</v>
      </c>
      <c r="H283" s="208">
        <v>8</v>
      </c>
      <c r="I283" s="210" t="s">
        <v>531</v>
      </c>
      <c r="J283" s="103">
        <v>140</v>
      </c>
      <c r="K283" s="66">
        <v>360</v>
      </c>
      <c r="L283" s="66">
        <v>2100</v>
      </c>
      <c r="M283" s="156">
        <v>41.878805105296493</v>
      </c>
      <c r="N283" s="78">
        <v>12494.300637</v>
      </c>
      <c r="O283" s="113">
        <v>106777.50052499768</v>
      </c>
      <c r="P283" s="113">
        <v>126510.99677986868</v>
      </c>
      <c r="Q283" s="110">
        <v>31402.731577662726</v>
      </c>
      <c r="R283" s="113">
        <v>138180.2321026604</v>
      </c>
      <c r="S283" s="113">
        <v>157913.72835753142</v>
      </c>
      <c r="U283" s="7" t="s">
        <v>7067</v>
      </c>
    </row>
    <row r="284" spans="1:21" ht="16.5" thickBot="1">
      <c r="A284" s="207" t="s">
        <v>10</v>
      </c>
      <c r="B284" s="211">
        <f t="shared" si="15"/>
        <v>140</v>
      </c>
      <c r="C284" s="211" t="s">
        <v>3</v>
      </c>
      <c r="D284" s="211">
        <f t="shared" si="16"/>
        <v>360</v>
      </c>
      <c r="E284" s="211" t="s">
        <v>3</v>
      </c>
      <c r="F284" s="209">
        <f t="shared" si="17"/>
        <v>2150</v>
      </c>
      <c r="G284" s="211" t="s">
        <v>3</v>
      </c>
      <c r="H284" s="208">
        <v>8</v>
      </c>
      <c r="I284" s="210" t="s">
        <v>531</v>
      </c>
      <c r="J284" s="103">
        <v>140</v>
      </c>
      <c r="K284" s="66">
        <v>360</v>
      </c>
      <c r="L284" s="66">
        <v>2150</v>
      </c>
      <c r="M284" s="156">
        <v>42.720762203713001</v>
      </c>
      <c r="N284" s="78">
        <v>12851.280655200002</v>
      </c>
      <c r="O284" s="113">
        <v>108743.36408092723</v>
      </c>
      <c r="P284" s="113">
        <v>128873.69138630954</v>
      </c>
      <c r="Q284" s="110">
        <v>32006.152461900914</v>
      </c>
      <c r="R284" s="113">
        <v>140749.51654282815</v>
      </c>
      <c r="S284" s="113">
        <v>160879.84384821047</v>
      </c>
      <c r="U284" s="7" t="s">
        <v>7068</v>
      </c>
    </row>
    <row r="285" spans="1:21" ht="16.5" thickBot="1">
      <c r="A285" s="207" t="s">
        <v>10</v>
      </c>
      <c r="B285" s="211">
        <f t="shared" si="15"/>
        <v>140</v>
      </c>
      <c r="C285" s="211" t="s">
        <v>3</v>
      </c>
      <c r="D285" s="211">
        <f t="shared" si="16"/>
        <v>360</v>
      </c>
      <c r="E285" s="211" t="s">
        <v>3</v>
      </c>
      <c r="F285" s="209">
        <f t="shared" si="17"/>
        <v>2200</v>
      </c>
      <c r="G285" s="211" t="s">
        <v>3</v>
      </c>
      <c r="H285" s="208">
        <v>8</v>
      </c>
      <c r="I285" s="210" t="s">
        <v>531</v>
      </c>
      <c r="J285" s="103">
        <v>140</v>
      </c>
      <c r="K285" s="66">
        <v>360</v>
      </c>
      <c r="L285" s="66">
        <v>2200</v>
      </c>
      <c r="M285" s="156">
        <v>43.578907302129494</v>
      </c>
      <c r="N285" s="78">
        <v>13208.260673400002</v>
      </c>
      <c r="O285" s="113">
        <v>110709.17534692772</v>
      </c>
      <c r="P285" s="113">
        <v>131236.3324816518</v>
      </c>
      <c r="Q285" s="110">
        <v>32860.907483922878</v>
      </c>
      <c r="R285" s="113">
        <v>143570.08283085059</v>
      </c>
      <c r="S285" s="113">
        <v>164097.23996557467</v>
      </c>
      <c r="U285" s="7" t="s">
        <v>7069</v>
      </c>
    </row>
    <row r="286" spans="1:21" ht="16.5" thickBot="1">
      <c r="A286" s="207" t="s">
        <v>10</v>
      </c>
      <c r="B286" s="211">
        <f t="shared" si="15"/>
        <v>140</v>
      </c>
      <c r="C286" s="211" t="s">
        <v>3</v>
      </c>
      <c r="D286" s="211">
        <f t="shared" si="16"/>
        <v>360</v>
      </c>
      <c r="E286" s="211" t="s">
        <v>3</v>
      </c>
      <c r="F286" s="209">
        <f t="shared" si="17"/>
        <v>2250</v>
      </c>
      <c r="G286" s="211" t="s">
        <v>3</v>
      </c>
      <c r="H286" s="208">
        <v>8</v>
      </c>
      <c r="I286" s="210" t="s">
        <v>531</v>
      </c>
      <c r="J286" s="103">
        <v>140</v>
      </c>
      <c r="K286" s="66">
        <v>360</v>
      </c>
      <c r="L286" s="66">
        <v>2250</v>
      </c>
      <c r="M286" s="156">
        <v>44.420864400545994</v>
      </c>
      <c r="N286" s="78">
        <v>13565.2406916</v>
      </c>
      <c r="O286" s="113">
        <v>113023.3625419028</v>
      </c>
      <c r="P286" s="113">
        <v>133955.85545990994</v>
      </c>
      <c r="Q286" s="110">
        <v>33464.328368161063</v>
      </c>
      <c r="R286" s="113">
        <v>146487.69091006386</v>
      </c>
      <c r="S286" s="113">
        <v>167420.18382807099</v>
      </c>
      <c r="U286" s="7" t="s">
        <v>7070</v>
      </c>
    </row>
    <row r="287" spans="1:21" ht="16.5" thickBot="1">
      <c r="A287" s="207" t="s">
        <v>10</v>
      </c>
      <c r="B287" s="211">
        <f t="shared" si="15"/>
        <v>140</v>
      </c>
      <c r="C287" s="211" t="s">
        <v>3</v>
      </c>
      <c r="D287" s="211">
        <f t="shared" si="16"/>
        <v>360</v>
      </c>
      <c r="E287" s="211" t="s">
        <v>3</v>
      </c>
      <c r="F287" s="209">
        <f t="shared" si="17"/>
        <v>2300</v>
      </c>
      <c r="G287" s="211" t="s">
        <v>3</v>
      </c>
      <c r="H287" s="208">
        <v>8</v>
      </c>
      <c r="I287" s="210" t="s">
        <v>531</v>
      </c>
      <c r="J287" s="103">
        <v>140</v>
      </c>
      <c r="K287" s="66">
        <v>360</v>
      </c>
      <c r="L287" s="66">
        <v>2300</v>
      </c>
      <c r="M287" s="156">
        <v>45.262821498962488</v>
      </c>
      <c r="N287" s="78">
        <v>13922.220709800002</v>
      </c>
      <c r="O287" s="113">
        <v>114724.40687397981</v>
      </c>
      <c r="P287" s="113">
        <v>136047.26487829795</v>
      </c>
      <c r="Q287" s="110">
        <v>34067.749252399248</v>
      </c>
      <c r="R287" s="113">
        <v>148792.15612637906</v>
      </c>
      <c r="S287" s="113">
        <v>170115.01413069721</v>
      </c>
      <c r="U287" s="7" t="s">
        <v>7071</v>
      </c>
    </row>
    <row r="288" spans="1:21" ht="16.5" thickBot="1">
      <c r="A288" s="207" t="s">
        <v>10</v>
      </c>
      <c r="B288" s="211">
        <f t="shared" si="15"/>
        <v>140</v>
      </c>
      <c r="C288" s="211" t="s">
        <v>3</v>
      </c>
      <c r="D288" s="211">
        <f t="shared" si="16"/>
        <v>360</v>
      </c>
      <c r="E288" s="211" t="s">
        <v>3</v>
      </c>
      <c r="F288" s="209">
        <f t="shared" si="17"/>
        <v>2350</v>
      </c>
      <c r="G288" s="211" t="s">
        <v>3</v>
      </c>
      <c r="H288" s="208">
        <v>8</v>
      </c>
      <c r="I288" s="210" t="s">
        <v>531</v>
      </c>
      <c r="J288" s="103">
        <v>140</v>
      </c>
      <c r="K288" s="66">
        <v>360</v>
      </c>
      <c r="L288" s="66">
        <v>2350</v>
      </c>
      <c r="M288" s="156">
        <v>46.120966597378988</v>
      </c>
      <c r="N288" s="78">
        <v>14279.200728000002</v>
      </c>
      <c r="O288" s="113">
        <v>116425.39865597885</v>
      </c>
      <c r="P288" s="113">
        <v>138138.62064327061</v>
      </c>
      <c r="Q288" s="110">
        <v>34922.504274421211</v>
      </c>
      <c r="R288" s="113">
        <v>151347.90293040004</v>
      </c>
      <c r="S288" s="113">
        <v>173061.12491769181</v>
      </c>
      <c r="U288" s="7" t="s">
        <v>7072</v>
      </c>
    </row>
    <row r="289" spans="1:21" ht="16.5" thickBot="1">
      <c r="A289" s="207" t="s">
        <v>10</v>
      </c>
      <c r="B289" s="211">
        <f t="shared" si="15"/>
        <v>140</v>
      </c>
      <c r="C289" s="211" t="s">
        <v>3</v>
      </c>
      <c r="D289" s="211">
        <f t="shared" si="16"/>
        <v>360</v>
      </c>
      <c r="E289" s="211" t="s">
        <v>3</v>
      </c>
      <c r="F289" s="209">
        <f t="shared" si="17"/>
        <v>2400</v>
      </c>
      <c r="G289" s="211" t="s">
        <v>3</v>
      </c>
      <c r="H289" s="208">
        <v>8</v>
      </c>
      <c r="I289" s="210" t="s">
        <v>531</v>
      </c>
      <c r="J289" s="103">
        <v>140</v>
      </c>
      <c r="K289" s="66">
        <v>360</v>
      </c>
      <c r="L289" s="66">
        <v>2400</v>
      </c>
      <c r="M289" s="156">
        <v>46.962923695795496</v>
      </c>
      <c r="N289" s="78">
        <v>14636.1807462</v>
      </c>
      <c r="O289" s="113">
        <v>118126.3380179744</v>
      </c>
      <c r="P289" s="113">
        <v>140229.92261251117</v>
      </c>
      <c r="Q289" s="110">
        <v>35525.925158659396</v>
      </c>
      <c r="R289" s="113">
        <v>153652.2631766338</v>
      </c>
      <c r="S289" s="113">
        <v>175755.84777117058</v>
      </c>
      <c r="U289" s="7" t="s">
        <v>7073</v>
      </c>
    </row>
    <row r="290" spans="1:21" ht="16.5" thickBot="1">
      <c r="A290" s="207" t="s">
        <v>10</v>
      </c>
      <c r="B290" s="211">
        <f t="shared" si="15"/>
        <v>140</v>
      </c>
      <c r="C290" s="211" t="s">
        <v>3</v>
      </c>
      <c r="D290" s="211">
        <f t="shared" si="16"/>
        <v>360</v>
      </c>
      <c r="E290" s="211" t="s">
        <v>3</v>
      </c>
      <c r="F290" s="209">
        <f t="shared" si="17"/>
        <v>2450</v>
      </c>
      <c r="G290" s="211" t="s">
        <v>3</v>
      </c>
      <c r="H290" s="208">
        <v>8</v>
      </c>
      <c r="I290" s="210" t="s">
        <v>531</v>
      </c>
      <c r="J290" s="103">
        <v>140</v>
      </c>
      <c r="K290" s="66">
        <v>360</v>
      </c>
      <c r="L290" s="66">
        <v>2450</v>
      </c>
      <c r="M290" s="156">
        <v>48.607309023473988</v>
      </c>
      <c r="N290" s="78">
        <v>14993.160764400001</v>
      </c>
      <c r="O290" s="113">
        <v>120469.7716726654</v>
      </c>
      <c r="P290" s="113">
        <v>143204.20011886072</v>
      </c>
      <c r="Q290" s="110">
        <v>36380.680180681353</v>
      </c>
      <c r="R290" s="113">
        <v>156850.45185334675</v>
      </c>
      <c r="S290" s="113">
        <v>179584.88029954207</v>
      </c>
      <c r="U290" s="7" t="s">
        <v>7074</v>
      </c>
    </row>
    <row r="291" spans="1:21" ht="16.5" thickBot="1">
      <c r="A291" s="207" t="s">
        <v>10</v>
      </c>
      <c r="B291" s="211">
        <f t="shared" si="15"/>
        <v>140</v>
      </c>
      <c r="C291" s="211" t="s">
        <v>3</v>
      </c>
      <c r="D291" s="211">
        <f t="shared" si="16"/>
        <v>360</v>
      </c>
      <c r="E291" s="211" t="s">
        <v>3</v>
      </c>
      <c r="F291" s="209">
        <f t="shared" si="17"/>
        <v>2500</v>
      </c>
      <c r="G291" s="211" t="s">
        <v>3</v>
      </c>
      <c r="H291" s="208">
        <v>8</v>
      </c>
      <c r="I291" s="210" t="s">
        <v>531</v>
      </c>
      <c r="J291" s="103">
        <v>140</v>
      </c>
      <c r="K291" s="66">
        <v>360</v>
      </c>
      <c r="L291" s="66">
        <v>2500</v>
      </c>
      <c r="M291" s="156">
        <v>49.449266121890489</v>
      </c>
      <c r="N291" s="78">
        <v>15350.1407826</v>
      </c>
      <c r="O291" s="113">
        <v>122170.60619465397</v>
      </c>
      <c r="P291" s="113">
        <v>145295.39463895388</v>
      </c>
      <c r="Q291" s="110">
        <v>36984.101064919538</v>
      </c>
      <c r="R291" s="113">
        <v>159154.70725957351</v>
      </c>
      <c r="S291" s="113">
        <v>182279.4957038734</v>
      </c>
      <c r="U291" s="7" t="s">
        <v>7075</v>
      </c>
    </row>
    <row r="292" spans="1:21" ht="16.5" thickBot="1">
      <c r="A292" s="207" t="s">
        <v>10</v>
      </c>
      <c r="B292" s="211">
        <f t="shared" si="15"/>
        <v>140</v>
      </c>
      <c r="C292" s="211" t="s">
        <v>3</v>
      </c>
      <c r="D292" s="211">
        <f t="shared" si="16"/>
        <v>360</v>
      </c>
      <c r="E292" s="211" t="s">
        <v>3</v>
      </c>
      <c r="F292" s="209">
        <f t="shared" si="17"/>
        <v>2550</v>
      </c>
      <c r="G292" s="211" t="s">
        <v>3</v>
      </c>
      <c r="H292" s="208">
        <v>8</v>
      </c>
      <c r="I292" s="210" t="s">
        <v>531</v>
      </c>
      <c r="J292" s="103">
        <v>140</v>
      </c>
      <c r="K292" s="66">
        <v>360</v>
      </c>
      <c r="L292" s="66">
        <v>2550</v>
      </c>
      <c r="M292" s="156">
        <v>50.307411220306996</v>
      </c>
      <c r="N292" s="78">
        <v>15707.120800800003</v>
      </c>
      <c r="O292" s="113">
        <v>127462.21433788772</v>
      </c>
      <c r="P292" s="113">
        <v>151065.03557815449</v>
      </c>
      <c r="Q292" s="110">
        <v>37838.856239970264</v>
      </c>
      <c r="R292" s="113">
        <v>165301.07057785799</v>
      </c>
      <c r="S292" s="113">
        <v>188903.89181812474</v>
      </c>
      <c r="U292" s="7" t="s">
        <v>7076</v>
      </c>
    </row>
    <row r="293" spans="1:21" ht="16.5" thickBot="1">
      <c r="A293" s="207" t="s">
        <v>10</v>
      </c>
      <c r="B293" s="208">
        <f t="shared" si="15"/>
        <v>140</v>
      </c>
      <c r="C293" s="208" t="s">
        <v>3</v>
      </c>
      <c r="D293" s="208">
        <f t="shared" si="16"/>
        <v>360</v>
      </c>
      <c r="E293" s="208" t="s">
        <v>3</v>
      </c>
      <c r="F293" s="209">
        <f t="shared" si="17"/>
        <v>2600</v>
      </c>
      <c r="G293" s="208" t="s">
        <v>3</v>
      </c>
      <c r="H293" s="208">
        <v>8</v>
      </c>
      <c r="I293" s="210" t="s">
        <v>531</v>
      </c>
      <c r="J293" s="103">
        <v>140</v>
      </c>
      <c r="K293" s="66">
        <v>360</v>
      </c>
      <c r="L293" s="66">
        <v>2600</v>
      </c>
      <c r="M293" s="156">
        <v>51.149368318723496</v>
      </c>
      <c r="N293" s="78">
        <v>16064.100819000003</v>
      </c>
      <c r="O293" s="113">
        <v>129457.90188409273</v>
      </c>
      <c r="P293" s="113">
        <v>153458.28231787132</v>
      </c>
      <c r="Q293" s="110">
        <v>38442.277124208456</v>
      </c>
      <c r="R293" s="113">
        <v>167900.17900830117</v>
      </c>
      <c r="S293" s="113">
        <v>191900.55944207977</v>
      </c>
      <c r="U293" s="7" t="s">
        <v>7077</v>
      </c>
    </row>
    <row r="294" spans="1:21" ht="16.5" thickBot="1">
      <c r="A294" s="207" t="s">
        <v>10</v>
      </c>
      <c r="B294" s="211">
        <f t="shared" si="15"/>
        <v>140</v>
      </c>
      <c r="C294" s="211" t="s">
        <v>3</v>
      </c>
      <c r="D294" s="211">
        <f t="shared" si="16"/>
        <v>360</v>
      </c>
      <c r="E294" s="211" t="s">
        <v>3</v>
      </c>
      <c r="F294" s="209">
        <f t="shared" si="17"/>
        <v>2650</v>
      </c>
      <c r="G294" s="211" t="s">
        <v>3</v>
      </c>
      <c r="H294" s="208">
        <v>8</v>
      </c>
      <c r="I294" s="210" t="s">
        <v>531</v>
      </c>
      <c r="J294" s="103">
        <v>140</v>
      </c>
      <c r="K294" s="66">
        <v>360</v>
      </c>
      <c r="L294" s="66">
        <v>2650</v>
      </c>
      <c r="M294" s="156">
        <v>52.007513417140004</v>
      </c>
      <c r="N294" s="78">
        <v>16421.080837199999</v>
      </c>
      <c r="O294" s="113">
        <v>130984.21382507047</v>
      </c>
      <c r="P294" s="113">
        <v>155370.69312661036</v>
      </c>
      <c r="Q294" s="110">
        <v>39297.032146230413</v>
      </c>
      <c r="R294" s="113">
        <v>170281.24597130087</v>
      </c>
      <c r="S294" s="113">
        <v>194667.72527284076</v>
      </c>
      <c r="U294" s="7" t="s">
        <v>7078</v>
      </c>
    </row>
    <row r="295" spans="1:21" ht="16.5" thickBot="1">
      <c r="A295" s="207" t="s">
        <v>10</v>
      </c>
      <c r="B295" s="211">
        <f t="shared" si="15"/>
        <v>140</v>
      </c>
      <c r="C295" s="211" t="s">
        <v>3</v>
      </c>
      <c r="D295" s="211">
        <f t="shared" si="16"/>
        <v>360</v>
      </c>
      <c r="E295" s="211" t="s">
        <v>3</v>
      </c>
      <c r="F295" s="209">
        <f t="shared" si="17"/>
        <v>2700</v>
      </c>
      <c r="G295" s="211" t="s">
        <v>3</v>
      </c>
      <c r="H295" s="208">
        <v>8</v>
      </c>
      <c r="I295" s="210" t="s">
        <v>531</v>
      </c>
      <c r="J295" s="103">
        <v>140</v>
      </c>
      <c r="K295" s="66">
        <v>360</v>
      </c>
      <c r="L295" s="66">
        <v>2700</v>
      </c>
      <c r="M295" s="156">
        <v>52.998620515556496</v>
      </c>
      <c r="N295" s="78">
        <v>16778.060855400003</v>
      </c>
      <c r="O295" s="113">
        <v>132640.45492324341</v>
      </c>
      <c r="P295" s="113">
        <v>157416.20553493503</v>
      </c>
      <c r="Q295" s="110">
        <v>39900.453030468605</v>
      </c>
      <c r="R295" s="113">
        <v>172540.90795371201</v>
      </c>
      <c r="S295" s="113">
        <v>197316.65856540363</v>
      </c>
      <c r="U295" s="7" t="s">
        <v>7079</v>
      </c>
    </row>
    <row r="296" spans="1:21" ht="16.5" thickBot="1">
      <c r="A296" s="207" t="s">
        <v>10</v>
      </c>
      <c r="B296" s="211">
        <f t="shared" si="15"/>
        <v>140</v>
      </c>
      <c r="C296" s="211" t="s">
        <v>3</v>
      </c>
      <c r="D296" s="211">
        <f t="shared" si="16"/>
        <v>360</v>
      </c>
      <c r="E296" s="211" t="s">
        <v>3</v>
      </c>
      <c r="F296" s="209">
        <f t="shared" si="17"/>
        <v>2750</v>
      </c>
      <c r="G296" s="211" t="s">
        <v>3</v>
      </c>
      <c r="H296" s="208">
        <v>8</v>
      </c>
      <c r="I296" s="210" t="s">
        <v>531</v>
      </c>
      <c r="J296" s="103">
        <v>140</v>
      </c>
      <c r="K296" s="66">
        <v>360</v>
      </c>
      <c r="L296" s="66">
        <v>2750</v>
      </c>
      <c r="M296" s="156">
        <v>53.840577613972997</v>
      </c>
      <c r="N296" s="78">
        <v>17135.040873600003</v>
      </c>
      <c r="O296" s="113">
        <v>134255.77394896201</v>
      </c>
      <c r="P296" s="113">
        <v>159419.79669396806</v>
      </c>
      <c r="Q296" s="110">
        <v>40503.87391470679</v>
      </c>
      <c r="R296" s="113">
        <v>174759.6478636688</v>
      </c>
      <c r="S296" s="113">
        <v>199923.67060867485</v>
      </c>
      <c r="U296" s="7" t="s">
        <v>7080</v>
      </c>
    </row>
    <row r="297" spans="1:21" ht="16.5" thickBot="1">
      <c r="A297" s="207" t="s">
        <v>10</v>
      </c>
      <c r="B297" s="211">
        <f t="shared" si="15"/>
        <v>140</v>
      </c>
      <c r="C297" s="211" t="s">
        <v>3</v>
      </c>
      <c r="D297" s="211">
        <f t="shared" si="16"/>
        <v>360</v>
      </c>
      <c r="E297" s="211" t="s">
        <v>3</v>
      </c>
      <c r="F297" s="209">
        <f t="shared" si="17"/>
        <v>2800</v>
      </c>
      <c r="G297" s="211" t="s">
        <v>3</v>
      </c>
      <c r="H297" s="208">
        <v>8</v>
      </c>
      <c r="I297" s="210" t="s">
        <v>531</v>
      </c>
      <c r="J297" s="103">
        <v>140</v>
      </c>
      <c r="K297" s="66">
        <v>360</v>
      </c>
      <c r="L297" s="66">
        <v>2800</v>
      </c>
      <c r="M297" s="156">
        <v>54.698722712389497</v>
      </c>
      <c r="N297" s="78">
        <v>17492.020891800003</v>
      </c>
      <c r="O297" s="113">
        <v>135780.74039982527</v>
      </c>
      <c r="P297" s="113">
        <v>161330.82930728493</v>
      </c>
      <c r="Q297" s="110">
        <v>41358.628936728746</v>
      </c>
      <c r="R297" s="113">
        <v>177139.36933655402</v>
      </c>
      <c r="S297" s="113">
        <v>202689.45824401369</v>
      </c>
      <c r="U297" s="7" t="s">
        <v>7081</v>
      </c>
    </row>
    <row r="298" spans="1:21" ht="16.5" thickBot="1">
      <c r="A298" s="207" t="s">
        <v>10</v>
      </c>
      <c r="B298" s="211">
        <f t="shared" si="15"/>
        <v>140</v>
      </c>
      <c r="C298" s="211" t="s">
        <v>3</v>
      </c>
      <c r="D298" s="211">
        <f t="shared" si="16"/>
        <v>360</v>
      </c>
      <c r="E298" s="211" t="s">
        <v>3</v>
      </c>
      <c r="F298" s="209">
        <f t="shared" si="17"/>
        <v>2850</v>
      </c>
      <c r="G298" s="211" t="s">
        <v>3</v>
      </c>
      <c r="H298" s="208">
        <v>8</v>
      </c>
      <c r="I298" s="210" t="s">
        <v>531</v>
      </c>
      <c r="J298" s="103">
        <v>140</v>
      </c>
      <c r="K298" s="66">
        <v>360</v>
      </c>
      <c r="L298" s="66">
        <v>2850</v>
      </c>
      <c r="M298" s="156">
        <v>56.359579810805982</v>
      </c>
      <c r="N298" s="78">
        <v>17849.000910000002</v>
      </c>
      <c r="O298" s="113">
        <v>137305.65456075949</v>
      </c>
      <c r="P298" s="113">
        <v>163241.80812486974</v>
      </c>
      <c r="Q298" s="110">
        <v>41962.049820966939</v>
      </c>
      <c r="R298" s="113">
        <v>179267.70438172642</v>
      </c>
      <c r="S298" s="113">
        <v>205203.85794583667</v>
      </c>
      <c r="U298" s="7" t="s">
        <v>7082</v>
      </c>
    </row>
    <row r="299" spans="1:21" ht="16.5" thickBot="1">
      <c r="A299" s="207" t="s">
        <v>10</v>
      </c>
      <c r="B299" s="211">
        <f t="shared" si="15"/>
        <v>140</v>
      </c>
      <c r="C299" s="211" t="s">
        <v>3</v>
      </c>
      <c r="D299" s="211">
        <f t="shared" si="16"/>
        <v>360</v>
      </c>
      <c r="E299" s="211" t="s">
        <v>3</v>
      </c>
      <c r="F299" s="209">
        <f t="shared" si="17"/>
        <v>2900</v>
      </c>
      <c r="G299" s="211" t="s">
        <v>3</v>
      </c>
      <c r="H299" s="208">
        <v>8</v>
      </c>
      <c r="I299" s="210" t="s">
        <v>531</v>
      </c>
      <c r="J299" s="103">
        <v>140</v>
      </c>
      <c r="K299" s="66">
        <v>360</v>
      </c>
      <c r="L299" s="66">
        <v>2900</v>
      </c>
      <c r="M299" s="156">
        <v>57.21772490922249</v>
      </c>
      <c r="N299" s="78">
        <v>18205.980928199999</v>
      </c>
      <c r="O299" s="113">
        <v>138830.51617161577</v>
      </c>
      <c r="P299" s="113">
        <v>165152.7332890392</v>
      </c>
      <c r="Q299" s="110">
        <v>42816.804842988895</v>
      </c>
      <c r="R299" s="113">
        <v>181647.32101460468</v>
      </c>
      <c r="S299" s="113">
        <v>207969.5381320281</v>
      </c>
      <c r="U299" s="7" t="s">
        <v>7083</v>
      </c>
    </row>
    <row r="300" spans="1:21" ht="16.5" thickBot="1">
      <c r="A300" s="207" t="s">
        <v>10</v>
      </c>
      <c r="B300" s="211">
        <f t="shared" si="15"/>
        <v>140</v>
      </c>
      <c r="C300" s="211" t="s">
        <v>3</v>
      </c>
      <c r="D300" s="211">
        <f t="shared" si="16"/>
        <v>360</v>
      </c>
      <c r="E300" s="211" t="s">
        <v>3</v>
      </c>
      <c r="F300" s="209">
        <f t="shared" si="17"/>
        <v>2950</v>
      </c>
      <c r="G300" s="211" t="s">
        <v>3</v>
      </c>
      <c r="H300" s="208">
        <v>8</v>
      </c>
      <c r="I300" s="210" t="s">
        <v>531</v>
      </c>
      <c r="J300" s="103">
        <v>140</v>
      </c>
      <c r="K300" s="66">
        <v>360</v>
      </c>
      <c r="L300" s="66">
        <v>2950</v>
      </c>
      <c r="M300" s="156">
        <v>58.05968200763899</v>
      </c>
      <c r="N300" s="78">
        <v>18562.960946400002</v>
      </c>
      <c r="O300" s="113">
        <v>140355.32536246855</v>
      </c>
      <c r="P300" s="113">
        <v>167063.60465747656</v>
      </c>
      <c r="Q300" s="110">
        <v>43420.22572722708</v>
      </c>
      <c r="R300" s="113">
        <v>183775.55108969563</v>
      </c>
      <c r="S300" s="113">
        <v>210483.83038470364</v>
      </c>
      <c r="U300" s="7" t="s">
        <v>7084</v>
      </c>
    </row>
    <row r="301" spans="1:21" ht="16.5" thickBot="1">
      <c r="A301" s="207" t="s">
        <v>10</v>
      </c>
      <c r="B301" s="211">
        <f t="shared" si="15"/>
        <v>140</v>
      </c>
      <c r="C301" s="211" t="s">
        <v>3</v>
      </c>
      <c r="D301" s="211">
        <f t="shared" si="16"/>
        <v>360</v>
      </c>
      <c r="E301" s="211" t="s">
        <v>3</v>
      </c>
      <c r="F301" s="209">
        <f t="shared" si="17"/>
        <v>3000</v>
      </c>
      <c r="G301" s="211" t="s">
        <v>3</v>
      </c>
      <c r="H301" s="208">
        <v>8</v>
      </c>
      <c r="I301" s="210" t="s">
        <v>531</v>
      </c>
      <c r="J301" s="125">
        <v>140</v>
      </c>
      <c r="K301" s="126">
        <v>360</v>
      </c>
      <c r="L301" s="126">
        <v>3000</v>
      </c>
      <c r="M301" s="157">
        <v>58.917827106055483</v>
      </c>
      <c r="N301" s="127">
        <v>18919.940964599999</v>
      </c>
      <c r="O301" s="128">
        <v>143751.43424399075</v>
      </c>
      <c r="P301" s="128">
        <v>170891.46559150112</v>
      </c>
      <c r="Q301" s="136">
        <v>44274.980749249036</v>
      </c>
      <c r="R301" s="128">
        <v>188026.4149932398</v>
      </c>
      <c r="S301" s="128">
        <v>215166.44634075015</v>
      </c>
      <c r="U301" s="7" t="s">
        <v>7085</v>
      </c>
    </row>
    <row r="302" spans="1:21" ht="19.5" thickBot="1">
      <c r="A302" s="2968" t="s">
        <v>60</v>
      </c>
      <c r="B302" s="2969"/>
      <c r="C302" s="2969"/>
      <c r="D302" s="2969"/>
      <c r="E302" s="2969"/>
      <c r="F302" s="2969"/>
      <c r="G302" s="2969"/>
      <c r="H302" s="2969"/>
      <c r="I302" s="2969"/>
      <c r="J302" s="2969"/>
      <c r="K302" s="2969"/>
      <c r="L302" s="2969"/>
      <c r="M302" s="2969"/>
      <c r="N302" s="2969"/>
      <c r="O302" s="2969"/>
      <c r="P302" s="2969"/>
      <c r="Q302" s="2969"/>
      <c r="R302" s="2969"/>
      <c r="S302" s="2970"/>
      <c r="U302" s="7"/>
    </row>
    <row r="303" spans="1:21" ht="19.5" thickBot="1">
      <c r="A303" s="3015" t="s">
        <v>148</v>
      </c>
      <c r="B303" s="3016"/>
      <c r="C303" s="3016"/>
      <c r="D303" s="3016"/>
      <c r="E303" s="3016"/>
      <c r="F303" s="3016"/>
      <c r="G303" s="3016"/>
      <c r="H303" s="3016"/>
      <c r="I303" s="3016"/>
      <c r="J303" s="3016"/>
      <c r="K303" s="3016"/>
      <c r="L303" s="3016"/>
      <c r="M303" s="3016"/>
      <c r="N303" s="3016"/>
      <c r="O303" s="3016"/>
      <c r="P303" s="3016"/>
      <c r="Q303" s="3016"/>
      <c r="R303" s="3016"/>
      <c r="S303" s="3017"/>
      <c r="U303" s="7"/>
    </row>
    <row r="304" spans="1:21" ht="16.5" thickBot="1">
      <c r="A304" s="207" t="s">
        <v>10</v>
      </c>
      <c r="B304" s="208">
        <f t="shared" ref="B304:B350" si="18">J304</f>
        <v>140</v>
      </c>
      <c r="C304" s="208" t="s">
        <v>3</v>
      </c>
      <c r="D304" s="208">
        <f t="shared" ref="D304:D350" si="19">K304</f>
        <v>400</v>
      </c>
      <c r="E304" s="208" t="s">
        <v>3</v>
      </c>
      <c r="F304" s="209">
        <f t="shared" ref="F304:F350" si="20">L304</f>
        <v>700</v>
      </c>
      <c r="G304" s="208" t="s">
        <v>3</v>
      </c>
      <c r="H304" s="208">
        <v>6</v>
      </c>
      <c r="I304" s="210" t="s">
        <v>531</v>
      </c>
      <c r="J304" s="286">
        <v>140</v>
      </c>
      <c r="K304" s="271">
        <v>400</v>
      </c>
      <c r="L304" s="271">
        <v>700</v>
      </c>
      <c r="M304" s="282">
        <v>14.997882081968774</v>
      </c>
      <c r="N304" s="246">
        <v>2457.5847766469997</v>
      </c>
      <c r="O304" s="247">
        <v>36364.972749673936</v>
      </c>
      <c r="P304" s="247">
        <v>43966.536697149728</v>
      </c>
      <c r="Q304" s="139">
        <v>12324.7019970418</v>
      </c>
      <c r="R304" s="247">
        <v>48689.67474671574</v>
      </c>
      <c r="S304" s="247">
        <v>56291.238694191532</v>
      </c>
      <c r="U304" s="7" t="s">
        <v>7086</v>
      </c>
    </row>
    <row r="305" spans="1:21" ht="16.5" thickBot="1">
      <c r="A305" s="207" t="s">
        <v>10</v>
      </c>
      <c r="B305" s="211">
        <f t="shared" si="18"/>
        <v>140</v>
      </c>
      <c r="C305" s="211" t="s">
        <v>3</v>
      </c>
      <c r="D305" s="211">
        <f t="shared" si="19"/>
        <v>400</v>
      </c>
      <c r="E305" s="211" t="s">
        <v>3</v>
      </c>
      <c r="F305" s="209">
        <f t="shared" si="20"/>
        <v>750</v>
      </c>
      <c r="G305" s="211" t="s">
        <v>3</v>
      </c>
      <c r="H305" s="208">
        <v>6</v>
      </c>
      <c r="I305" s="210" t="s">
        <v>531</v>
      </c>
      <c r="J305" s="103">
        <v>140</v>
      </c>
      <c r="K305" s="66">
        <v>400</v>
      </c>
      <c r="L305" s="66">
        <v>750</v>
      </c>
      <c r="M305" s="282">
        <v>15.831419609401108</v>
      </c>
      <c r="N305" s="78">
        <v>2808.6683161680003</v>
      </c>
      <c r="O305" s="113">
        <v>38685.812992635845</v>
      </c>
      <c r="P305" s="113">
        <v>46671.840666442127</v>
      </c>
      <c r="Q305" s="110">
        <v>12981.309099800537</v>
      </c>
      <c r="R305" s="113">
        <v>51667.122092436381</v>
      </c>
      <c r="S305" s="113">
        <v>59653.149766242663</v>
      </c>
      <c r="U305" s="7" t="s">
        <v>7087</v>
      </c>
    </row>
    <row r="306" spans="1:21" ht="16.5" thickBot="1">
      <c r="A306" s="207" t="s">
        <v>10</v>
      </c>
      <c r="B306" s="211">
        <f t="shared" si="18"/>
        <v>140</v>
      </c>
      <c r="C306" s="211" t="s">
        <v>3</v>
      </c>
      <c r="D306" s="211">
        <f t="shared" si="19"/>
        <v>400</v>
      </c>
      <c r="E306" s="211" t="s">
        <v>3</v>
      </c>
      <c r="F306" s="209">
        <f t="shared" si="20"/>
        <v>800</v>
      </c>
      <c r="G306" s="211" t="s">
        <v>3</v>
      </c>
      <c r="H306" s="208">
        <v>6</v>
      </c>
      <c r="I306" s="210" t="s">
        <v>531</v>
      </c>
      <c r="J306" s="103">
        <v>140</v>
      </c>
      <c r="K306" s="66">
        <v>400</v>
      </c>
      <c r="L306" s="66">
        <v>800</v>
      </c>
      <c r="M306" s="282">
        <v>16.664957136833443</v>
      </c>
      <c r="N306" s="78">
        <v>3159.751855689</v>
      </c>
      <c r="O306" s="113">
        <v>41000.432425009458</v>
      </c>
      <c r="P306" s="113">
        <v>49372.098083723984</v>
      </c>
      <c r="Q306" s="110">
        <v>13637.916049530511</v>
      </c>
      <c r="R306" s="113">
        <v>54638.348474539969</v>
      </c>
      <c r="S306" s="113">
        <v>63010.014133254495</v>
      </c>
      <c r="U306" s="7" t="s">
        <v>7088</v>
      </c>
    </row>
    <row r="307" spans="1:21" ht="16.5" thickBot="1">
      <c r="A307" s="207" t="s">
        <v>10</v>
      </c>
      <c r="B307" s="211">
        <f t="shared" si="18"/>
        <v>140</v>
      </c>
      <c r="C307" s="211" t="s">
        <v>3</v>
      </c>
      <c r="D307" s="211">
        <f t="shared" si="19"/>
        <v>400</v>
      </c>
      <c r="E307" s="211" t="s">
        <v>3</v>
      </c>
      <c r="F307" s="209">
        <f t="shared" si="20"/>
        <v>850</v>
      </c>
      <c r="G307" s="211" t="s">
        <v>3</v>
      </c>
      <c r="H307" s="208">
        <v>6</v>
      </c>
      <c r="I307" s="210" t="s">
        <v>531</v>
      </c>
      <c r="J307" s="103">
        <v>140</v>
      </c>
      <c r="K307" s="66">
        <v>400</v>
      </c>
      <c r="L307" s="66">
        <v>850</v>
      </c>
      <c r="M307" s="282">
        <v>17.514520784265777</v>
      </c>
      <c r="N307" s="78">
        <v>3510.8353952100001</v>
      </c>
      <c r="O307" s="113">
        <v>43314.450913422435</v>
      </c>
      <c r="P307" s="113">
        <v>52071.993304873111</v>
      </c>
      <c r="Q307" s="110">
        <v>14545.85729007302</v>
      </c>
      <c r="R307" s="113">
        <v>57860.308203495457</v>
      </c>
      <c r="S307" s="113">
        <v>66617.850594946125</v>
      </c>
      <c r="U307" s="7" t="s">
        <v>7089</v>
      </c>
    </row>
    <row r="308" spans="1:21" ht="16.5" thickBot="1">
      <c r="A308" s="207" t="s">
        <v>10</v>
      </c>
      <c r="B308" s="211">
        <f t="shared" si="18"/>
        <v>140</v>
      </c>
      <c r="C308" s="211" t="s">
        <v>3</v>
      </c>
      <c r="D308" s="211">
        <f t="shared" si="19"/>
        <v>400</v>
      </c>
      <c r="E308" s="211" t="s">
        <v>3</v>
      </c>
      <c r="F308" s="209">
        <f t="shared" si="20"/>
        <v>900</v>
      </c>
      <c r="G308" s="211" t="s">
        <v>3</v>
      </c>
      <c r="H308" s="208">
        <v>6</v>
      </c>
      <c r="I308" s="210" t="s">
        <v>531</v>
      </c>
      <c r="J308" s="103">
        <v>140</v>
      </c>
      <c r="K308" s="66">
        <v>400</v>
      </c>
      <c r="L308" s="66">
        <v>900</v>
      </c>
      <c r="M308" s="282">
        <v>18.497597811698117</v>
      </c>
      <c r="N308" s="78">
        <v>3861.9189347310007</v>
      </c>
      <c r="O308" s="113">
        <v>45628.726559023758</v>
      </c>
      <c r="P308" s="113">
        <v>54772.355609600883</v>
      </c>
      <c r="Q308" s="110">
        <v>15202.464239802994</v>
      </c>
      <c r="R308" s="113">
        <v>60831.190798826749</v>
      </c>
      <c r="S308" s="113">
        <v>69974.819849403881</v>
      </c>
      <c r="U308" s="7" t="s">
        <v>7090</v>
      </c>
    </row>
    <row r="309" spans="1:21" ht="16.5" thickBot="1">
      <c r="A309" s="207" t="s">
        <v>10</v>
      </c>
      <c r="B309" s="211">
        <f t="shared" si="18"/>
        <v>140</v>
      </c>
      <c r="C309" s="211" t="s">
        <v>3</v>
      </c>
      <c r="D309" s="211">
        <f t="shared" si="19"/>
        <v>400</v>
      </c>
      <c r="E309" s="211" t="s">
        <v>3</v>
      </c>
      <c r="F309" s="209">
        <f t="shared" si="20"/>
        <v>950</v>
      </c>
      <c r="G309" s="211" t="s">
        <v>3</v>
      </c>
      <c r="H309" s="208">
        <v>6</v>
      </c>
      <c r="I309" s="210" t="s">
        <v>531</v>
      </c>
      <c r="J309" s="103">
        <v>140</v>
      </c>
      <c r="K309" s="66">
        <v>400</v>
      </c>
      <c r="L309" s="66">
        <v>950</v>
      </c>
      <c r="M309" s="282">
        <v>19.347161459130454</v>
      </c>
      <c r="N309" s="78">
        <v>4213.002474252</v>
      </c>
      <c r="O309" s="113">
        <v>47943.217998138229</v>
      </c>
      <c r="P309" s="113">
        <v>57473.110993196467</v>
      </c>
      <c r="Q309" s="110">
        <v>16110.4054803455</v>
      </c>
      <c r="R309" s="113">
        <v>64053.623478483729</v>
      </c>
      <c r="S309" s="113">
        <v>73583.516473541968</v>
      </c>
      <c r="U309" s="7" t="s">
        <v>7091</v>
      </c>
    </row>
    <row r="310" spans="1:21" ht="16.5" thickBot="1">
      <c r="A310" s="207" t="s">
        <v>10</v>
      </c>
      <c r="B310" s="211">
        <f t="shared" si="18"/>
        <v>140</v>
      </c>
      <c r="C310" s="211" t="s">
        <v>3</v>
      </c>
      <c r="D310" s="211">
        <f t="shared" si="19"/>
        <v>400</v>
      </c>
      <c r="E310" s="211" t="s">
        <v>3</v>
      </c>
      <c r="F310" s="209">
        <f t="shared" si="20"/>
        <v>1000</v>
      </c>
      <c r="G310" s="211" t="s">
        <v>3</v>
      </c>
      <c r="H310" s="208">
        <v>6</v>
      </c>
      <c r="I310" s="210" t="s">
        <v>531</v>
      </c>
      <c r="J310" s="103">
        <v>140</v>
      </c>
      <c r="K310" s="66">
        <v>400</v>
      </c>
      <c r="L310" s="66">
        <v>1000</v>
      </c>
      <c r="M310" s="282">
        <v>20.180698986562785</v>
      </c>
      <c r="N310" s="78">
        <v>4564.0860137730006</v>
      </c>
      <c r="O310" s="113">
        <v>50183.499752058793</v>
      </c>
      <c r="P310" s="113">
        <v>60099.141116264429</v>
      </c>
      <c r="Q310" s="110">
        <v>16767.012583104239</v>
      </c>
      <c r="R310" s="113">
        <v>66950.512335163032</v>
      </c>
      <c r="S310" s="113">
        <v>76866.153699368675</v>
      </c>
      <c r="U310" s="7" t="s">
        <v>7092</v>
      </c>
    </row>
    <row r="311" spans="1:21" ht="16.5" thickBot="1">
      <c r="A311" s="207" t="s">
        <v>10</v>
      </c>
      <c r="B311" s="211">
        <f t="shared" si="18"/>
        <v>140</v>
      </c>
      <c r="C311" s="211" t="s">
        <v>3</v>
      </c>
      <c r="D311" s="211">
        <f t="shared" si="19"/>
        <v>400</v>
      </c>
      <c r="E311" s="211" t="s">
        <v>3</v>
      </c>
      <c r="F311" s="209">
        <f t="shared" si="20"/>
        <v>1050</v>
      </c>
      <c r="G311" s="211" t="s">
        <v>3</v>
      </c>
      <c r="H311" s="208">
        <v>6</v>
      </c>
      <c r="I311" s="210" t="s">
        <v>531</v>
      </c>
      <c r="J311" s="103">
        <v>140</v>
      </c>
      <c r="K311" s="66">
        <v>400</v>
      </c>
      <c r="L311" s="66">
        <v>1050</v>
      </c>
      <c r="M311" s="282">
        <v>21.030262633995122</v>
      </c>
      <c r="N311" s="78">
        <v>4915.1695532939993</v>
      </c>
      <c r="O311" s="113">
        <v>52735.936513284403</v>
      </c>
      <c r="P311" s="113">
        <v>63045.399869832625</v>
      </c>
      <c r="Q311" s="110">
        <v>17674.953670617982</v>
      </c>
      <c r="R311" s="113">
        <v>70410.890183902389</v>
      </c>
      <c r="S311" s="113">
        <v>80720.353540450611</v>
      </c>
      <c r="U311" s="7" t="s">
        <v>7093</v>
      </c>
    </row>
    <row r="312" spans="1:21" ht="16.5" thickBot="1">
      <c r="A312" s="207" t="s">
        <v>10</v>
      </c>
      <c r="B312" s="208">
        <f t="shared" si="18"/>
        <v>140</v>
      </c>
      <c r="C312" s="208" t="s">
        <v>3</v>
      </c>
      <c r="D312" s="208">
        <f t="shared" si="19"/>
        <v>400</v>
      </c>
      <c r="E312" s="208" t="s">
        <v>3</v>
      </c>
      <c r="F312" s="209">
        <f t="shared" si="20"/>
        <v>1100</v>
      </c>
      <c r="G312" s="208" t="s">
        <v>3</v>
      </c>
      <c r="H312" s="208">
        <v>6</v>
      </c>
      <c r="I312" s="210" t="s">
        <v>531</v>
      </c>
      <c r="J312" s="103">
        <v>140</v>
      </c>
      <c r="K312" s="66">
        <v>400</v>
      </c>
      <c r="L312" s="66">
        <v>1100</v>
      </c>
      <c r="M312" s="282">
        <v>21.863800161427459</v>
      </c>
      <c r="N312" s="78">
        <v>5266.2530928149999</v>
      </c>
      <c r="O312" s="113">
        <v>55059.069188359383</v>
      </c>
      <c r="P312" s="113">
        <v>65755.66955522068</v>
      </c>
      <c r="Q312" s="110">
        <v>18331.560773376717</v>
      </c>
      <c r="R312" s="113">
        <v>73390.629961736093</v>
      </c>
      <c r="S312" s="113">
        <v>84087.23032859739</v>
      </c>
      <c r="U312" s="7" t="s">
        <v>7094</v>
      </c>
    </row>
    <row r="313" spans="1:21" ht="16.5" thickBot="1">
      <c r="A313" s="207" t="s">
        <v>10</v>
      </c>
      <c r="B313" s="211">
        <f t="shared" si="18"/>
        <v>140</v>
      </c>
      <c r="C313" s="211" t="s">
        <v>3</v>
      </c>
      <c r="D313" s="211">
        <f t="shared" si="19"/>
        <v>400</v>
      </c>
      <c r="E313" s="211" t="s">
        <v>3</v>
      </c>
      <c r="F313" s="209">
        <f t="shared" si="20"/>
        <v>1150</v>
      </c>
      <c r="G313" s="211" t="s">
        <v>3</v>
      </c>
      <c r="H313" s="208">
        <v>6</v>
      </c>
      <c r="I313" s="210" t="s">
        <v>531</v>
      </c>
      <c r="J313" s="103">
        <v>140</v>
      </c>
      <c r="K313" s="66">
        <v>400</v>
      </c>
      <c r="L313" s="66">
        <v>1150</v>
      </c>
      <c r="M313" s="282">
        <v>22.69733768885979</v>
      </c>
      <c r="N313" s="78">
        <v>5617.3366323360005</v>
      </c>
      <c r="O313" s="113">
        <v>56608.156645296702</v>
      </c>
      <c r="P313" s="113">
        <v>67667.896063766457</v>
      </c>
      <c r="Q313" s="110">
        <v>18988.167723106693</v>
      </c>
      <c r="R313" s="113">
        <v>75596.324368403395</v>
      </c>
      <c r="S313" s="113">
        <v>86656.063786873157</v>
      </c>
      <c r="U313" s="7" t="s">
        <v>7095</v>
      </c>
    </row>
    <row r="314" spans="1:21" ht="16.5" thickBot="1">
      <c r="A314" s="207" t="s">
        <v>10</v>
      </c>
      <c r="B314" s="211">
        <f t="shared" si="18"/>
        <v>140</v>
      </c>
      <c r="C314" s="211" t="s">
        <v>3</v>
      </c>
      <c r="D314" s="211">
        <f t="shared" si="19"/>
        <v>400</v>
      </c>
      <c r="E314" s="211" t="s">
        <v>3</v>
      </c>
      <c r="F314" s="209">
        <f t="shared" si="20"/>
        <v>1200</v>
      </c>
      <c r="G314" s="211" t="s">
        <v>3</v>
      </c>
      <c r="H314" s="208">
        <v>6</v>
      </c>
      <c r="I314" s="210" t="s">
        <v>531</v>
      </c>
      <c r="J314" s="103">
        <v>140</v>
      </c>
      <c r="K314" s="66">
        <v>400</v>
      </c>
      <c r="L314" s="66">
        <v>1200</v>
      </c>
      <c r="M314" s="282">
        <v>23.694559836292122</v>
      </c>
      <c r="N314" s="78">
        <v>5968.4201718570002</v>
      </c>
      <c r="O314" s="113">
        <v>58272.038446758015</v>
      </c>
      <c r="P314" s="113">
        <v>69697.428577958242</v>
      </c>
      <c r="Q314" s="110">
        <v>19896.1089636492</v>
      </c>
      <c r="R314" s="113">
        <v>78168.147410407211</v>
      </c>
      <c r="S314" s="113">
        <v>89593.537541607438</v>
      </c>
      <c r="U314" s="7" t="s">
        <v>7096</v>
      </c>
    </row>
    <row r="315" spans="1:21" ht="16.5" thickBot="1">
      <c r="A315" s="207" t="s">
        <v>10</v>
      </c>
      <c r="B315" s="211">
        <f t="shared" si="18"/>
        <v>140</v>
      </c>
      <c r="C315" s="211" t="s">
        <v>3</v>
      </c>
      <c r="D315" s="211">
        <f t="shared" si="19"/>
        <v>400</v>
      </c>
      <c r="E315" s="211" t="s">
        <v>3</v>
      </c>
      <c r="F315" s="209">
        <f t="shared" si="20"/>
        <v>1250</v>
      </c>
      <c r="G315" s="211" t="s">
        <v>3</v>
      </c>
      <c r="H315" s="208">
        <v>6</v>
      </c>
      <c r="I315" s="210" t="s">
        <v>531</v>
      </c>
      <c r="J315" s="103">
        <v>140</v>
      </c>
      <c r="K315" s="66">
        <v>400</v>
      </c>
      <c r="L315" s="66">
        <v>1250</v>
      </c>
      <c r="M315" s="282">
        <v>25.338808363724461</v>
      </c>
      <c r="N315" s="78">
        <v>6319.5037113779999</v>
      </c>
      <c r="O315" s="113">
        <v>59816.482375892076</v>
      </c>
      <c r="P315" s="113">
        <v>71604.387658895037</v>
      </c>
      <c r="Q315" s="110">
        <v>20552.715913379172</v>
      </c>
      <c r="R315" s="113">
        <v>80369.19828927124</v>
      </c>
      <c r="S315" s="113">
        <v>92157.103572274209</v>
      </c>
      <c r="U315" s="7" t="s">
        <v>7097</v>
      </c>
    </row>
    <row r="316" spans="1:21" ht="16.5" thickBot="1">
      <c r="A316" s="207" t="s">
        <v>10</v>
      </c>
      <c r="B316" s="211">
        <f t="shared" si="18"/>
        <v>140</v>
      </c>
      <c r="C316" s="211" t="s">
        <v>3</v>
      </c>
      <c r="D316" s="211">
        <f t="shared" si="19"/>
        <v>400</v>
      </c>
      <c r="E316" s="211" t="s">
        <v>3</v>
      </c>
      <c r="F316" s="209">
        <f t="shared" si="20"/>
        <v>1300</v>
      </c>
      <c r="G316" s="211" t="s">
        <v>3</v>
      </c>
      <c r="H316" s="208">
        <v>6</v>
      </c>
      <c r="I316" s="210" t="s">
        <v>531</v>
      </c>
      <c r="J316" s="103">
        <v>140</v>
      </c>
      <c r="K316" s="66">
        <v>400</v>
      </c>
      <c r="L316" s="66">
        <v>1300</v>
      </c>
      <c r="M316" s="282">
        <v>26.188372011156797</v>
      </c>
      <c r="N316" s="78">
        <v>6670.5872508990005</v>
      </c>
      <c r="O316" s="113">
        <v>63795.409213328567</v>
      </c>
      <c r="P316" s="113">
        <v>76015.876355634915</v>
      </c>
      <c r="Q316" s="110">
        <v>21460.657153921682</v>
      </c>
      <c r="R316" s="113">
        <v>85256.066367250256</v>
      </c>
      <c r="S316" s="113">
        <v>97476.533509556597</v>
      </c>
      <c r="U316" s="7" t="s">
        <v>7098</v>
      </c>
    </row>
    <row r="317" spans="1:21" ht="16.5" thickBot="1">
      <c r="A317" s="207" t="s">
        <v>10</v>
      </c>
      <c r="B317" s="211">
        <f t="shared" si="18"/>
        <v>140</v>
      </c>
      <c r="C317" s="211" t="s">
        <v>3</v>
      </c>
      <c r="D317" s="211">
        <f t="shared" si="19"/>
        <v>400</v>
      </c>
      <c r="E317" s="211" t="s">
        <v>3</v>
      </c>
      <c r="F317" s="209">
        <f t="shared" si="20"/>
        <v>1350</v>
      </c>
      <c r="G317" s="211" t="s">
        <v>3</v>
      </c>
      <c r="H317" s="208">
        <v>6</v>
      </c>
      <c r="I317" s="210" t="s">
        <v>531</v>
      </c>
      <c r="J317" s="103">
        <v>140</v>
      </c>
      <c r="K317" s="66">
        <v>400</v>
      </c>
      <c r="L317" s="66">
        <v>1350</v>
      </c>
      <c r="M317" s="282">
        <v>27.021909538589131</v>
      </c>
      <c r="N317" s="78">
        <v>7021.6707904200002</v>
      </c>
      <c r="O317" s="113">
        <v>65562.424835211699</v>
      </c>
      <c r="P317" s="113">
        <v>78153.037620999676</v>
      </c>
      <c r="Q317" s="110">
        <v>22117.264103651651</v>
      </c>
      <c r="R317" s="113">
        <v>87679.688938863343</v>
      </c>
      <c r="S317" s="113">
        <v>100270.30172465133</v>
      </c>
      <c r="U317" s="7" t="s">
        <v>7099</v>
      </c>
    </row>
    <row r="318" spans="1:21" ht="16.5" thickBot="1">
      <c r="A318" s="207" t="s">
        <v>10</v>
      </c>
      <c r="B318" s="211">
        <f t="shared" si="18"/>
        <v>140</v>
      </c>
      <c r="C318" s="211" t="s">
        <v>3</v>
      </c>
      <c r="D318" s="211">
        <f t="shared" si="19"/>
        <v>400</v>
      </c>
      <c r="E318" s="211" t="s">
        <v>3</v>
      </c>
      <c r="F318" s="209">
        <f t="shared" si="20"/>
        <v>1400</v>
      </c>
      <c r="G318" s="211" t="s">
        <v>3</v>
      </c>
      <c r="H318" s="208">
        <v>6</v>
      </c>
      <c r="I318" s="210" t="s">
        <v>531</v>
      </c>
      <c r="J318" s="103">
        <v>140</v>
      </c>
      <c r="K318" s="66">
        <v>400</v>
      </c>
      <c r="L318" s="66">
        <v>1400</v>
      </c>
      <c r="M318" s="282">
        <v>27.871473186021468</v>
      </c>
      <c r="N318" s="78">
        <v>7372.7543299409999</v>
      </c>
      <c r="O318" s="113">
        <v>67660.289504256172</v>
      </c>
      <c r="P318" s="113">
        <v>80630.752483739634</v>
      </c>
      <c r="Q318" s="110">
        <v>23025.205344194161</v>
      </c>
      <c r="R318" s="113">
        <v>90685.494848450326</v>
      </c>
      <c r="S318" s="113">
        <v>103655.9578279338</v>
      </c>
      <c r="U318" s="7" t="s">
        <v>7100</v>
      </c>
    </row>
    <row r="319" spans="1:21" ht="16.5" thickBot="1">
      <c r="A319" s="207" t="s">
        <v>10</v>
      </c>
      <c r="B319" s="211">
        <f t="shared" si="18"/>
        <v>140</v>
      </c>
      <c r="C319" s="211" t="s">
        <v>3</v>
      </c>
      <c r="D319" s="211">
        <f t="shared" si="19"/>
        <v>400</v>
      </c>
      <c r="E319" s="211" t="s">
        <v>3</v>
      </c>
      <c r="F319" s="209">
        <f t="shared" si="20"/>
        <v>1450</v>
      </c>
      <c r="G319" s="211" t="s">
        <v>3</v>
      </c>
      <c r="H319" s="208">
        <v>6</v>
      </c>
      <c r="I319" s="210" t="s">
        <v>531</v>
      </c>
      <c r="J319" s="103">
        <v>140</v>
      </c>
      <c r="K319" s="66">
        <v>400</v>
      </c>
      <c r="L319" s="66">
        <v>1450</v>
      </c>
      <c r="M319" s="282">
        <v>28.705010713453806</v>
      </c>
      <c r="N319" s="78">
        <v>7723.8378694620014</v>
      </c>
      <c r="O319" s="113">
        <v>69427.863795903584</v>
      </c>
      <c r="P319" s="113">
        <v>82768.471346137041</v>
      </c>
      <c r="Q319" s="110">
        <v>23681.812293924133</v>
      </c>
      <c r="R319" s="113">
        <v>93109.676089827713</v>
      </c>
      <c r="S319" s="113">
        <v>106450.28364006117</v>
      </c>
      <c r="U319" s="7" t="s">
        <v>7101</v>
      </c>
    </row>
    <row r="320" spans="1:21" ht="16.5" thickBot="1">
      <c r="A320" s="207" t="s">
        <v>10</v>
      </c>
      <c r="B320" s="211">
        <f t="shared" si="18"/>
        <v>140</v>
      </c>
      <c r="C320" s="211" t="s">
        <v>3</v>
      </c>
      <c r="D320" s="211">
        <f t="shared" si="19"/>
        <v>400</v>
      </c>
      <c r="E320" s="211" t="s">
        <v>3</v>
      </c>
      <c r="F320" s="209">
        <f t="shared" si="20"/>
        <v>1500</v>
      </c>
      <c r="G320" s="211" t="s">
        <v>3</v>
      </c>
      <c r="H320" s="208">
        <v>6</v>
      </c>
      <c r="I320" s="210" t="s">
        <v>531</v>
      </c>
      <c r="J320" s="103">
        <v>140</v>
      </c>
      <c r="K320" s="66">
        <v>400</v>
      </c>
      <c r="L320" s="66">
        <v>1500</v>
      </c>
      <c r="M320" s="282">
        <v>29.522241187855524</v>
      </c>
      <c r="N320" s="78">
        <v>8074.9214089829993</v>
      </c>
      <c r="O320" s="113">
        <v>71900.699285968018</v>
      </c>
      <c r="P320" s="113">
        <v>85865.125461674135</v>
      </c>
      <c r="Q320" s="110">
        <v>24589.753534466639</v>
      </c>
      <c r="R320" s="113">
        <v>96490.452820434657</v>
      </c>
      <c r="S320" s="113">
        <v>110454.87899614077</v>
      </c>
      <c r="U320" s="7" t="s">
        <v>7102</v>
      </c>
    </row>
    <row r="321" spans="1:21" ht="16.5" thickBot="1">
      <c r="A321" s="207" t="s">
        <v>10</v>
      </c>
      <c r="B321" s="211">
        <f t="shared" si="18"/>
        <v>140</v>
      </c>
      <c r="C321" s="211" t="s">
        <v>3</v>
      </c>
      <c r="D321" s="211">
        <f t="shared" si="19"/>
        <v>400</v>
      </c>
      <c r="E321" s="211" t="s">
        <v>3</v>
      </c>
      <c r="F321" s="209">
        <f t="shared" si="20"/>
        <v>1550</v>
      </c>
      <c r="G321" s="211" t="s">
        <v>3</v>
      </c>
      <c r="H321" s="208">
        <v>6</v>
      </c>
      <c r="I321" s="210" t="s">
        <v>531</v>
      </c>
      <c r="J321" s="103">
        <v>140</v>
      </c>
      <c r="K321" s="66">
        <v>400</v>
      </c>
      <c r="L321" s="66">
        <v>1550</v>
      </c>
      <c r="M321" s="282">
        <v>30.355778715287855</v>
      </c>
      <c r="N321" s="78">
        <v>8426.0049485039999</v>
      </c>
      <c r="O321" s="113">
        <v>73668.661849849741</v>
      </c>
      <c r="P321" s="113">
        <v>88003.206947154555</v>
      </c>
      <c r="Q321" s="110">
        <v>25246.360484196612</v>
      </c>
      <c r="R321" s="113">
        <v>98915.022334046356</v>
      </c>
      <c r="S321" s="113">
        <v>113249.56743135117</v>
      </c>
      <c r="U321" s="7" t="s">
        <v>7103</v>
      </c>
    </row>
    <row r="322" spans="1:21" ht="16.5" thickBot="1">
      <c r="A322" s="207" t="s">
        <v>10</v>
      </c>
      <c r="B322" s="208">
        <f t="shared" si="18"/>
        <v>140</v>
      </c>
      <c r="C322" s="208" t="s">
        <v>3</v>
      </c>
      <c r="D322" s="208">
        <f t="shared" si="19"/>
        <v>400</v>
      </c>
      <c r="E322" s="208" t="s">
        <v>3</v>
      </c>
      <c r="F322" s="209">
        <f t="shared" si="20"/>
        <v>1600</v>
      </c>
      <c r="G322" s="208" t="s">
        <v>3</v>
      </c>
      <c r="H322" s="208">
        <v>6</v>
      </c>
      <c r="I322" s="210" t="s">
        <v>531</v>
      </c>
      <c r="J322" s="103">
        <v>140</v>
      </c>
      <c r="K322" s="66">
        <v>400</v>
      </c>
      <c r="L322" s="66">
        <v>1600</v>
      </c>
      <c r="M322" s="282">
        <v>31.189316242720185</v>
      </c>
      <c r="N322" s="78">
        <v>8777.0884880249996</v>
      </c>
      <c r="O322" s="113">
        <v>77401.016827627478</v>
      </c>
      <c r="P322" s="113">
        <v>92163.617726762939</v>
      </c>
      <c r="Q322" s="110">
        <v>25902.96758695535</v>
      </c>
      <c r="R322" s="113">
        <v>103303.98441458282</v>
      </c>
      <c r="S322" s="113">
        <v>118066.58531371829</v>
      </c>
      <c r="U322" s="7" t="s">
        <v>7104</v>
      </c>
    </row>
    <row r="323" spans="1:21" ht="16.5" thickBot="1">
      <c r="A323" s="207" t="s">
        <v>10</v>
      </c>
      <c r="B323" s="211">
        <f t="shared" si="18"/>
        <v>140</v>
      </c>
      <c r="C323" s="211" t="s">
        <v>3</v>
      </c>
      <c r="D323" s="211">
        <f t="shared" si="19"/>
        <v>400</v>
      </c>
      <c r="E323" s="211" t="s">
        <v>3</v>
      </c>
      <c r="F323" s="209">
        <f t="shared" si="20"/>
        <v>1650</v>
      </c>
      <c r="G323" s="211" t="s">
        <v>3</v>
      </c>
      <c r="H323" s="208">
        <v>6</v>
      </c>
      <c r="I323" s="210" t="s">
        <v>531</v>
      </c>
      <c r="J323" s="103">
        <v>140</v>
      </c>
      <c r="K323" s="66">
        <v>400</v>
      </c>
      <c r="L323" s="66">
        <v>1650</v>
      </c>
      <c r="M323" s="282">
        <v>32.038879890152529</v>
      </c>
      <c r="N323" s="78">
        <v>9128.1720275460011</v>
      </c>
      <c r="O323" s="113">
        <v>81385.737311157296</v>
      </c>
      <c r="P323" s="113">
        <v>96583.881674404387</v>
      </c>
      <c r="Q323" s="110">
        <v>26810.908827497857</v>
      </c>
      <c r="R323" s="113">
        <v>108196.64613865515</v>
      </c>
      <c r="S323" s="113">
        <v>123394.79050190224</v>
      </c>
      <c r="U323" s="7" t="s">
        <v>7105</v>
      </c>
    </row>
    <row r="324" spans="1:21" ht="16.5" thickBot="1">
      <c r="A324" s="207" t="s">
        <v>10</v>
      </c>
      <c r="B324" s="211">
        <f t="shared" si="18"/>
        <v>140</v>
      </c>
      <c r="C324" s="211" t="s">
        <v>3</v>
      </c>
      <c r="D324" s="211">
        <f t="shared" si="19"/>
        <v>400</v>
      </c>
      <c r="E324" s="211" t="s">
        <v>3</v>
      </c>
      <c r="F324" s="209">
        <f t="shared" si="20"/>
        <v>1700</v>
      </c>
      <c r="G324" s="211" t="s">
        <v>3</v>
      </c>
      <c r="H324" s="208">
        <v>6</v>
      </c>
      <c r="I324" s="210" t="s">
        <v>531</v>
      </c>
      <c r="J324" s="103">
        <v>140</v>
      </c>
      <c r="K324" s="66">
        <v>400</v>
      </c>
      <c r="L324" s="66">
        <v>1700</v>
      </c>
      <c r="M324" s="282">
        <v>33.683128417584854</v>
      </c>
      <c r="N324" s="78">
        <v>9479.2555670670008</v>
      </c>
      <c r="O324" s="113">
        <v>82977.835706147205</v>
      </c>
      <c r="P324" s="113">
        <v>98541.330326977593</v>
      </c>
      <c r="Q324" s="110">
        <v>27467.515777227836</v>
      </c>
      <c r="R324" s="113">
        <v>110445.35148337504</v>
      </c>
      <c r="S324" s="113">
        <v>126008.84610420543</v>
      </c>
      <c r="U324" s="7" t="s">
        <v>7106</v>
      </c>
    </row>
    <row r="325" spans="1:21" ht="16.5" thickBot="1">
      <c r="A325" s="207" t="s">
        <v>10</v>
      </c>
      <c r="B325" s="211">
        <f t="shared" si="18"/>
        <v>140</v>
      </c>
      <c r="C325" s="211" t="s">
        <v>3</v>
      </c>
      <c r="D325" s="211">
        <f t="shared" si="19"/>
        <v>400</v>
      </c>
      <c r="E325" s="211" t="s">
        <v>3</v>
      </c>
      <c r="F325" s="209">
        <f t="shared" si="20"/>
        <v>1750</v>
      </c>
      <c r="G325" s="211" t="s">
        <v>3</v>
      </c>
      <c r="H325" s="208">
        <v>6</v>
      </c>
      <c r="I325" s="210" t="s">
        <v>531</v>
      </c>
      <c r="J325" s="103">
        <v>140</v>
      </c>
      <c r="K325" s="66">
        <v>400</v>
      </c>
      <c r="L325" s="66">
        <v>1750</v>
      </c>
      <c r="M325" s="282">
        <v>34.532692065017194</v>
      </c>
      <c r="N325" s="78">
        <v>9830.3391065879987</v>
      </c>
      <c r="O325" s="113">
        <v>84493.472176835319</v>
      </c>
      <c r="P325" s="113">
        <v>100420.16107123435</v>
      </c>
      <c r="Q325" s="110">
        <v>28375.457017770343</v>
      </c>
      <c r="R325" s="113">
        <v>112868.92919460566</v>
      </c>
      <c r="S325" s="113">
        <v>128795.6180890047</v>
      </c>
      <c r="U325" s="7" t="s">
        <v>7107</v>
      </c>
    </row>
    <row r="326" spans="1:21" ht="16.5" thickBot="1">
      <c r="A326" s="207" t="s">
        <v>10</v>
      </c>
      <c r="B326" s="211">
        <f t="shared" si="18"/>
        <v>140</v>
      </c>
      <c r="C326" s="211" t="s">
        <v>3</v>
      </c>
      <c r="D326" s="211">
        <f t="shared" si="19"/>
        <v>400</v>
      </c>
      <c r="E326" s="211" t="s">
        <v>3</v>
      </c>
      <c r="F326" s="209">
        <f t="shared" si="20"/>
        <v>1800</v>
      </c>
      <c r="G326" s="211" t="s">
        <v>3</v>
      </c>
      <c r="H326" s="208">
        <v>6</v>
      </c>
      <c r="I326" s="210" t="s">
        <v>531</v>
      </c>
      <c r="J326" s="103">
        <v>140</v>
      </c>
      <c r="K326" s="66">
        <v>400</v>
      </c>
      <c r="L326" s="66">
        <v>1800</v>
      </c>
      <c r="M326" s="282">
        <v>35.366229592449521</v>
      </c>
      <c r="N326" s="78">
        <v>10181.422646108998</v>
      </c>
      <c r="O326" s="113">
        <v>86086.905395834794</v>
      </c>
      <c r="P326" s="113">
        <v>102379.16780760372</v>
      </c>
      <c r="Q326" s="110">
        <v>29032.063967500315</v>
      </c>
      <c r="R326" s="113">
        <v>115118.96936333511</v>
      </c>
      <c r="S326" s="113">
        <v>131411.23177510404</v>
      </c>
      <c r="U326" s="7" t="s">
        <v>7108</v>
      </c>
    </row>
    <row r="327" spans="1:21" ht="16.5" thickBot="1">
      <c r="A327" s="207" t="s">
        <v>10</v>
      </c>
      <c r="B327" s="211">
        <f t="shared" si="18"/>
        <v>140</v>
      </c>
      <c r="C327" s="211" t="s">
        <v>3</v>
      </c>
      <c r="D327" s="211">
        <f t="shared" si="19"/>
        <v>400</v>
      </c>
      <c r="E327" s="211" t="s">
        <v>3</v>
      </c>
      <c r="F327" s="209">
        <f t="shared" si="20"/>
        <v>1850</v>
      </c>
      <c r="G327" s="211" t="s">
        <v>3</v>
      </c>
      <c r="H327" s="208">
        <v>6</v>
      </c>
      <c r="I327" s="210" t="s">
        <v>531</v>
      </c>
      <c r="J327" s="103">
        <v>140</v>
      </c>
      <c r="K327" s="66">
        <v>400</v>
      </c>
      <c r="L327" s="66">
        <v>1850</v>
      </c>
      <c r="M327" s="282">
        <v>36.215793239881869</v>
      </c>
      <c r="N327" s="78">
        <v>10532.50618563</v>
      </c>
      <c r="O327" s="113">
        <v>87680.56078199546</v>
      </c>
      <c r="P327" s="113">
        <v>104338.48265974023</v>
      </c>
      <c r="Q327" s="110">
        <v>29940.005208042821</v>
      </c>
      <c r="R327" s="113">
        <v>117620.56599003827</v>
      </c>
      <c r="S327" s="113">
        <v>134278.48786778306</v>
      </c>
      <c r="U327" s="7" t="s">
        <v>7109</v>
      </c>
    </row>
    <row r="328" spans="1:21" ht="16.5" thickBot="1">
      <c r="A328" s="207" t="s">
        <v>10</v>
      </c>
      <c r="B328" s="211">
        <f t="shared" si="18"/>
        <v>140</v>
      </c>
      <c r="C328" s="211" t="s">
        <v>3</v>
      </c>
      <c r="D328" s="211">
        <f t="shared" si="19"/>
        <v>400</v>
      </c>
      <c r="E328" s="211" t="s">
        <v>3</v>
      </c>
      <c r="F328" s="209">
        <f t="shared" si="20"/>
        <v>1900</v>
      </c>
      <c r="G328" s="211" t="s">
        <v>3</v>
      </c>
      <c r="H328" s="208">
        <v>6</v>
      </c>
      <c r="I328" s="210" t="s">
        <v>531</v>
      </c>
      <c r="J328" s="103">
        <v>140</v>
      </c>
      <c r="K328" s="66">
        <v>400</v>
      </c>
      <c r="L328" s="66">
        <v>1900</v>
      </c>
      <c r="M328" s="282">
        <v>37.049330767314203</v>
      </c>
      <c r="N328" s="78">
        <v>10883.589725151001</v>
      </c>
      <c r="O328" s="113">
        <v>89450.89200161818</v>
      </c>
      <c r="P328" s="113">
        <v>106479.72983904247</v>
      </c>
      <c r="Q328" s="110">
        <v>30596.612157772794</v>
      </c>
      <c r="R328" s="113">
        <v>120047.50415939097</v>
      </c>
      <c r="S328" s="113">
        <v>137076.34199681526</v>
      </c>
      <c r="U328" s="7" t="s">
        <v>7110</v>
      </c>
    </row>
    <row r="329" spans="1:21" ht="16.5" thickBot="1">
      <c r="A329" s="207" t="s">
        <v>10</v>
      </c>
      <c r="B329" s="211">
        <f t="shared" si="18"/>
        <v>140</v>
      </c>
      <c r="C329" s="211" t="s">
        <v>3</v>
      </c>
      <c r="D329" s="211">
        <f t="shared" si="19"/>
        <v>400</v>
      </c>
      <c r="E329" s="211" t="s">
        <v>3</v>
      </c>
      <c r="F329" s="209">
        <f t="shared" si="20"/>
        <v>1950</v>
      </c>
      <c r="G329" s="211" t="s">
        <v>3</v>
      </c>
      <c r="H329" s="208">
        <v>6</v>
      </c>
      <c r="I329" s="210" t="s">
        <v>531</v>
      </c>
      <c r="J329" s="103">
        <v>140</v>
      </c>
      <c r="K329" s="66">
        <v>400</v>
      </c>
      <c r="L329" s="66">
        <v>1950</v>
      </c>
      <c r="M329" s="282">
        <v>38.030526794746528</v>
      </c>
      <c r="N329" s="78">
        <v>11234.673264672001</v>
      </c>
      <c r="O329" s="113">
        <v>91466.34826278835</v>
      </c>
      <c r="P329" s="113">
        <v>108873.34361366161</v>
      </c>
      <c r="Q329" s="110">
        <v>31253.219260531532</v>
      </c>
      <c r="R329" s="113">
        <v>122719.56752331989</v>
      </c>
      <c r="S329" s="113">
        <v>140126.56287419313</v>
      </c>
      <c r="U329" s="7" t="s">
        <v>7111</v>
      </c>
    </row>
    <row r="330" spans="1:21" ht="16.5" thickBot="1">
      <c r="A330" s="207" t="s">
        <v>10</v>
      </c>
      <c r="B330" s="211">
        <f t="shared" si="18"/>
        <v>140</v>
      </c>
      <c r="C330" s="211" t="s">
        <v>3</v>
      </c>
      <c r="D330" s="211">
        <f t="shared" si="19"/>
        <v>400</v>
      </c>
      <c r="E330" s="211" t="s">
        <v>3</v>
      </c>
      <c r="F330" s="209">
        <f t="shared" si="20"/>
        <v>2000</v>
      </c>
      <c r="G330" s="211" t="s">
        <v>3</v>
      </c>
      <c r="H330" s="208">
        <v>6</v>
      </c>
      <c r="I330" s="210" t="s">
        <v>531</v>
      </c>
      <c r="J330" s="103">
        <v>140</v>
      </c>
      <c r="K330" s="66">
        <v>400</v>
      </c>
      <c r="L330" s="66">
        <v>2000</v>
      </c>
      <c r="M330" s="282">
        <v>38.966204879378871</v>
      </c>
      <c r="N330" s="78">
        <v>11585.756804192999</v>
      </c>
      <c r="O330" s="113">
        <v>93284.644566054369</v>
      </c>
      <c r="P330" s="113">
        <v>111278.49273026218</v>
      </c>
      <c r="Q330" s="110">
        <v>32161.160348045276</v>
      </c>
      <c r="R330" s="113">
        <v>125445.80491409964</v>
      </c>
      <c r="S330" s="113">
        <v>143439.65307830746</v>
      </c>
      <c r="U330" s="7" t="s">
        <v>7112</v>
      </c>
    </row>
    <row r="331" spans="1:21" ht="16.5" thickBot="1">
      <c r="A331" s="207" t="s">
        <v>10</v>
      </c>
      <c r="B331" s="211">
        <f t="shared" si="18"/>
        <v>140</v>
      </c>
      <c r="C331" s="211" t="s">
        <v>3</v>
      </c>
      <c r="D331" s="211">
        <f t="shared" si="19"/>
        <v>400</v>
      </c>
      <c r="E331" s="211" t="s">
        <v>3</v>
      </c>
      <c r="F331" s="209">
        <f t="shared" si="20"/>
        <v>2050</v>
      </c>
      <c r="G331" s="211" t="s">
        <v>3</v>
      </c>
      <c r="H331" s="208">
        <v>6</v>
      </c>
      <c r="I331" s="210" t="s">
        <v>531</v>
      </c>
      <c r="J331" s="103">
        <v>140</v>
      </c>
      <c r="K331" s="66">
        <v>400</v>
      </c>
      <c r="L331" s="66">
        <v>2050</v>
      </c>
      <c r="M331" s="282">
        <v>40.610453406811196</v>
      </c>
      <c r="N331" s="78">
        <v>11936.840343714</v>
      </c>
      <c r="O331" s="113">
        <v>97130.69527954841</v>
      </c>
      <c r="P331" s="113">
        <v>115550.70256881473</v>
      </c>
      <c r="Q331" s="110">
        <v>32817.767450804015</v>
      </c>
      <c r="R331" s="113">
        <v>129948.46273035242</v>
      </c>
      <c r="S331" s="113">
        <v>148368.47001961875</v>
      </c>
      <c r="U331" s="7" t="s">
        <v>7113</v>
      </c>
    </row>
    <row r="332" spans="1:21" ht="16.5" thickBot="1">
      <c r="A332" s="207" t="s">
        <v>10</v>
      </c>
      <c r="B332" s="208">
        <f t="shared" si="18"/>
        <v>140</v>
      </c>
      <c r="C332" s="208" t="s">
        <v>3</v>
      </c>
      <c r="D332" s="208">
        <f t="shared" si="19"/>
        <v>400</v>
      </c>
      <c r="E332" s="208" t="s">
        <v>3</v>
      </c>
      <c r="F332" s="209">
        <f t="shared" si="20"/>
        <v>2100</v>
      </c>
      <c r="G332" s="208" t="s">
        <v>3</v>
      </c>
      <c r="H332" s="208">
        <v>6</v>
      </c>
      <c r="I332" s="210" t="s">
        <v>531</v>
      </c>
      <c r="J332" s="103">
        <v>140</v>
      </c>
      <c r="K332" s="66">
        <v>400</v>
      </c>
      <c r="L332" s="66">
        <v>2100</v>
      </c>
      <c r="M332" s="282">
        <v>41.460017054243529</v>
      </c>
      <c r="N332" s="78">
        <v>12287.923883235002</v>
      </c>
      <c r="O332" s="113">
        <v>98786.752452448534</v>
      </c>
      <c r="P332" s="113">
        <v>117574.57770749825</v>
      </c>
      <c r="Q332" s="110">
        <v>33725.708538317755</v>
      </c>
      <c r="R332" s="113">
        <v>132512.4609907663</v>
      </c>
      <c r="S332" s="113">
        <v>151300.28624581601</v>
      </c>
      <c r="U332" s="7" t="s">
        <v>7114</v>
      </c>
    </row>
    <row r="333" spans="1:21" ht="16.5" thickBot="1">
      <c r="A333" s="207" t="s">
        <v>10</v>
      </c>
      <c r="B333" s="211">
        <f t="shared" si="18"/>
        <v>140</v>
      </c>
      <c r="C333" s="211" t="s">
        <v>3</v>
      </c>
      <c r="D333" s="211">
        <f t="shared" si="19"/>
        <v>400</v>
      </c>
      <c r="E333" s="211" t="s">
        <v>3</v>
      </c>
      <c r="F333" s="209">
        <f t="shared" si="20"/>
        <v>2150</v>
      </c>
      <c r="G333" s="211" t="s">
        <v>3</v>
      </c>
      <c r="H333" s="208">
        <v>6</v>
      </c>
      <c r="I333" s="210" t="s">
        <v>531</v>
      </c>
      <c r="J333" s="103">
        <v>140</v>
      </c>
      <c r="K333" s="66">
        <v>400</v>
      </c>
      <c r="L333" s="66">
        <v>2150</v>
      </c>
      <c r="M333" s="282">
        <v>42.293554581675878</v>
      </c>
      <c r="N333" s="78">
        <v>12639.007422756</v>
      </c>
      <c r="O333" s="113">
        <v>100591.85322302373</v>
      </c>
      <c r="P333" s="113">
        <v>119751.87044668692</v>
      </c>
      <c r="Q333" s="110">
        <v>34382.315641076493</v>
      </c>
      <c r="R333" s="113">
        <v>134974.16886410024</v>
      </c>
      <c r="S333" s="113">
        <v>154134.1860877634</v>
      </c>
      <c r="U333" s="7" t="s">
        <v>7115</v>
      </c>
    </row>
    <row r="334" spans="1:21" ht="16.5" thickBot="1">
      <c r="A334" s="207" t="s">
        <v>10</v>
      </c>
      <c r="B334" s="211">
        <f t="shared" si="18"/>
        <v>140</v>
      </c>
      <c r="C334" s="211" t="s">
        <v>3</v>
      </c>
      <c r="D334" s="211">
        <f t="shared" si="19"/>
        <v>400</v>
      </c>
      <c r="E334" s="211" t="s">
        <v>3</v>
      </c>
      <c r="F334" s="209">
        <f t="shared" si="20"/>
        <v>2200</v>
      </c>
      <c r="G334" s="211" t="s">
        <v>3</v>
      </c>
      <c r="H334" s="208">
        <v>6</v>
      </c>
      <c r="I334" s="210" t="s">
        <v>531</v>
      </c>
      <c r="J334" s="103">
        <v>140</v>
      </c>
      <c r="K334" s="66">
        <v>400</v>
      </c>
      <c r="L334" s="66">
        <v>2200</v>
      </c>
      <c r="M334" s="282">
        <v>43.143118229108204</v>
      </c>
      <c r="N334" s="78">
        <v>12990.090962277001</v>
      </c>
      <c r="O334" s="113">
        <v>102397.05532159573</v>
      </c>
      <c r="P334" s="113">
        <v>121929.3039371429</v>
      </c>
      <c r="Q334" s="110">
        <v>35290.256728590233</v>
      </c>
      <c r="R334" s="113">
        <v>137687.31205018598</v>
      </c>
      <c r="S334" s="113">
        <v>157219.56066573312</v>
      </c>
      <c r="U334" s="7" t="s">
        <v>7116</v>
      </c>
    </row>
    <row r="335" spans="1:21" ht="16.5" thickBot="1">
      <c r="A335" s="207" t="s">
        <v>10</v>
      </c>
      <c r="B335" s="211">
        <f t="shared" si="18"/>
        <v>140</v>
      </c>
      <c r="C335" s="211" t="s">
        <v>3</v>
      </c>
      <c r="D335" s="211">
        <f t="shared" si="19"/>
        <v>400</v>
      </c>
      <c r="E335" s="211" t="s">
        <v>3</v>
      </c>
      <c r="F335" s="209">
        <f t="shared" si="20"/>
        <v>2250</v>
      </c>
      <c r="G335" s="211" t="s">
        <v>3</v>
      </c>
      <c r="H335" s="208">
        <v>6</v>
      </c>
      <c r="I335" s="210" t="s">
        <v>531</v>
      </c>
      <c r="J335" s="103">
        <v>140</v>
      </c>
      <c r="K335" s="66">
        <v>400</v>
      </c>
      <c r="L335" s="66">
        <v>2250</v>
      </c>
      <c r="M335" s="282">
        <v>43.976655756540538</v>
      </c>
      <c r="N335" s="78">
        <v>13341.174501798001</v>
      </c>
      <c r="O335" s="113">
        <v>104454.5528157911</v>
      </c>
      <c r="P335" s="113">
        <v>124364.36689638872</v>
      </c>
      <c r="Q335" s="110">
        <v>35946.863831348819</v>
      </c>
      <c r="R335" s="113">
        <v>140401.41664713994</v>
      </c>
      <c r="S335" s="113">
        <v>160311.23072773754</v>
      </c>
      <c r="U335" s="7" t="s">
        <v>7117</v>
      </c>
    </row>
    <row r="336" spans="1:21" ht="16.5" thickBot="1">
      <c r="A336" s="207" t="s">
        <v>10</v>
      </c>
      <c r="B336" s="211">
        <f t="shared" si="18"/>
        <v>140</v>
      </c>
      <c r="C336" s="211" t="s">
        <v>3</v>
      </c>
      <c r="D336" s="211">
        <f t="shared" si="19"/>
        <v>400</v>
      </c>
      <c r="E336" s="211" t="s">
        <v>3</v>
      </c>
      <c r="F336" s="209">
        <f t="shared" si="20"/>
        <v>2300</v>
      </c>
      <c r="G336" s="211" t="s">
        <v>3</v>
      </c>
      <c r="H336" s="208">
        <v>6</v>
      </c>
      <c r="I336" s="210" t="s">
        <v>531</v>
      </c>
      <c r="J336" s="103">
        <v>140</v>
      </c>
      <c r="K336" s="66">
        <v>400</v>
      </c>
      <c r="L336" s="66">
        <v>2300</v>
      </c>
      <c r="M336" s="282">
        <v>44.810193283972872</v>
      </c>
      <c r="N336" s="78">
        <v>13692.258041318999</v>
      </c>
      <c r="O336" s="113">
        <v>105944.86327069704</v>
      </c>
      <c r="P336" s="113">
        <v>126215.70304046011</v>
      </c>
      <c r="Q336" s="110">
        <v>36603.470781078948</v>
      </c>
      <c r="R336" s="113">
        <v>142548.33405177598</v>
      </c>
      <c r="S336" s="113">
        <v>162819.17382153907</v>
      </c>
      <c r="U336" s="7" t="s">
        <v>7118</v>
      </c>
    </row>
    <row r="337" spans="1:21" ht="16.5" thickBot="1">
      <c r="A337" s="207" t="s">
        <v>10</v>
      </c>
      <c r="B337" s="211">
        <f t="shared" si="18"/>
        <v>140</v>
      </c>
      <c r="C337" s="211" t="s">
        <v>3</v>
      </c>
      <c r="D337" s="211">
        <f t="shared" si="19"/>
        <v>400</v>
      </c>
      <c r="E337" s="211" t="s">
        <v>3</v>
      </c>
      <c r="F337" s="209">
        <f t="shared" si="20"/>
        <v>2350</v>
      </c>
      <c r="G337" s="211" t="s">
        <v>3</v>
      </c>
      <c r="H337" s="208">
        <v>6</v>
      </c>
      <c r="I337" s="210" t="s">
        <v>531</v>
      </c>
      <c r="J337" s="103">
        <v>140</v>
      </c>
      <c r="K337" s="66">
        <v>400</v>
      </c>
      <c r="L337" s="66">
        <v>2350</v>
      </c>
      <c r="M337" s="282">
        <v>45.659756931405198</v>
      </c>
      <c r="N337" s="78">
        <v>14043.34158084</v>
      </c>
      <c r="O337" s="113">
        <v>107417.11587988338</v>
      </c>
      <c r="P337" s="113">
        <v>128046.05102159429</v>
      </c>
      <c r="Q337" s="110">
        <v>37511.412021621458</v>
      </c>
      <c r="R337" s="113">
        <v>144928.52790150483</v>
      </c>
      <c r="S337" s="113">
        <v>165557.46304321574</v>
      </c>
      <c r="U337" s="7" t="s">
        <v>7119</v>
      </c>
    </row>
    <row r="338" spans="1:21" ht="16.5" thickBot="1">
      <c r="A338" s="207" t="s">
        <v>10</v>
      </c>
      <c r="B338" s="211">
        <f t="shared" si="18"/>
        <v>140</v>
      </c>
      <c r="C338" s="211" t="s">
        <v>3</v>
      </c>
      <c r="D338" s="211">
        <f t="shared" si="19"/>
        <v>400</v>
      </c>
      <c r="E338" s="211" t="s">
        <v>3</v>
      </c>
      <c r="F338" s="209">
        <f t="shared" si="20"/>
        <v>2400</v>
      </c>
      <c r="G338" s="211" t="s">
        <v>3</v>
      </c>
      <c r="H338" s="208">
        <v>6</v>
      </c>
      <c r="I338" s="210" t="s">
        <v>531</v>
      </c>
      <c r="J338" s="103">
        <v>140</v>
      </c>
      <c r="K338" s="66">
        <v>400</v>
      </c>
      <c r="L338" s="66">
        <v>2400</v>
      </c>
      <c r="M338" s="282">
        <v>46.493294458837546</v>
      </c>
      <c r="N338" s="78">
        <v>14394.425120361</v>
      </c>
      <c r="O338" s="113">
        <v>109000.00903609602</v>
      </c>
      <c r="P338" s="113">
        <v>130015.77492094036</v>
      </c>
      <c r="Q338" s="110">
        <v>38168.019124380196</v>
      </c>
      <c r="R338" s="113">
        <v>147168.02816047621</v>
      </c>
      <c r="S338" s="113">
        <v>168183.79404532054</v>
      </c>
      <c r="U338" s="7" t="s">
        <v>7120</v>
      </c>
    </row>
    <row r="339" spans="1:21" ht="16.5" thickBot="1">
      <c r="A339" s="207" t="s">
        <v>10</v>
      </c>
      <c r="B339" s="211">
        <f t="shared" si="18"/>
        <v>140</v>
      </c>
      <c r="C339" s="211" t="s">
        <v>3</v>
      </c>
      <c r="D339" s="211">
        <f t="shared" si="19"/>
        <v>400</v>
      </c>
      <c r="E339" s="211" t="s">
        <v>3</v>
      </c>
      <c r="F339" s="209">
        <f t="shared" si="20"/>
        <v>2450</v>
      </c>
      <c r="G339" s="211" t="s">
        <v>3</v>
      </c>
      <c r="H339" s="208">
        <v>6</v>
      </c>
      <c r="I339" s="210" t="s">
        <v>531</v>
      </c>
      <c r="J339" s="103">
        <v>140</v>
      </c>
      <c r="K339" s="66">
        <v>400</v>
      </c>
      <c r="L339" s="66">
        <v>2450</v>
      </c>
      <c r="M339" s="282">
        <v>48.121235933239255</v>
      </c>
      <c r="N339" s="78">
        <v>14745.508659882</v>
      </c>
      <c r="O339" s="113">
        <v>111082.94753188766</v>
      </c>
      <c r="P339" s="113">
        <v>132685.39097234301</v>
      </c>
      <c r="Q339" s="110">
        <v>39075.960211893937</v>
      </c>
      <c r="R339" s="113">
        <v>150158.9077437816</v>
      </c>
      <c r="S339" s="113">
        <v>171761.35118423693</v>
      </c>
      <c r="U339" s="7" t="s">
        <v>7121</v>
      </c>
    </row>
    <row r="340" spans="1:21" ht="16.5" thickBot="1">
      <c r="A340" s="207" t="s">
        <v>10</v>
      </c>
      <c r="B340" s="211">
        <f t="shared" si="18"/>
        <v>140</v>
      </c>
      <c r="C340" s="211" t="s">
        <v>3</v>
      </c>
      <c r="D340" s="211">
        <f t="shared" si="19"/>
        <v>400</v>
      </c>
      <c r="E340" s="211" t="s">
        <v>3</v>
      </c>
      <c r="F340" s="209">
        <f t="shared" si="20"/>
        <v>2500</v>
      </c>
      <c r="G340" s="211" t="s">
        <v>3</v>
      </c>
      <c r="H340" s="208">
        <v>6</v>
      </c>
      <c r="I340" s="210" t="s">
        <v>531</v>
      </c>
      <c r="J340" s="103">
        <v>140</v>
      </c>
      <c r="K340" s="66">
        <v>400</v>
      </c>
      <c r="L340" s="66">
        <v>2500</v>
      </c>
      <c r="M340" s="282">
        <v>48.954773460671589</v>
      </c>
      <c r="N340" s="78">
        <v>15096.592199403</v>
      </c>
      <c r="O340" s="113">
        <v>112654.23778697962</v>
      </c>
      <c r="P340" s="113">
        <v>134617.45771690787</v>
      </c>
      <c r="Q340" s="110">
        <v>39732.567314652675</v>
      </c>
      <c r="R340" s="113">
        <v>152386.80510163229</v>
      </c>
      <c r="S340" s="113">
        <v>174350.02503156054</v>
      </c>
      <c r="U340" s="7" t="s">
        <v>7122</v>
      </c>
    </row>
    <row r="341" spans="1:21" ht="16.5" thickBot="1">
      <c r="A341" s="207" t="s">
        <v>10</v>
      </c>
      <c r="B341" s="211">
        <f t="shared" si="18"/>
        <v>140</v>
      </c>
      <c r="C341" s="211" t="s">
        <v>3</v>
      </c>
      <c r="D341" s="211">
        <f t="shared" si="19"/>
        <v>400</v>
      </c>
      <c r="E341" s="211" t="s">
        <v>3</v>
      </c>
      <c r="F341" s="209">
        <f t="shared" si="20"/>
        <v>2550</v>
      </c>
      <c r="G341" s="211" t="s">
        <v>3</v>
      </c>
      <c r="H341" s="208">
        <v>6</v>
      </c>
      <c r="I341" s="210" t="s">
        <v>531</v>
      </c>
      <c r="J341" s="103">
        <v>140</v>
      </c>
      <c r="K341" s="66">
        <v>400</v>
      </c>
      <c r="L341" s="66">
        <v>2550</v>
      </c>
      <c r="M341" s="282">
        <v>49.80433710810393</v>
      </c>
      <c r="N341" s="78">
        <v>15447.675738924003</v>
      </c>
      <c r="O341" s="113">
        <v>117454.32059720717</v>
      </c>
      <c r="P341" s="113">
        <v>139875.4666609425</v>
      </c>
      <c r="Q341" s="110">
        <v>40640.508402166415</v>
      </c>
      <c r="R341" s="113">
        <v>158094.8289993736</v>
      </c>
      <c r="S341" s="113">
        <v>180515.97506310893</v>
      </c>
      <c r="U341" s="7" t="s">
        <v>7123</v>
      </c>
    </row>
    <row r="342" spans="1:21" ht="16.5" thickBot="1">
      <c r="A342" s="207" t="s">
        <v>10</v>
      </c>
      <c r="B342" s="208">
        <f t="shared" si="18"/>
        <v>140</v>
      </c>
      <c r="C342" s="208" t="s">
        <v>3</v>
      </c>
      <c r="D342" s="208">
        <f t="shared" si="19"/>
        <v>400</v>
      </c>
      <c r="E342" s="208" t="s">
        <v>3</v>
      </c>
      <c r="F342" s="209">
        <f t="shared" si="20"/>
        <v>2600</v>
      </c>
      <c r="G342" s="208" t="s">
        <v>3</v>
      </c>
      <c r="H342" s="208">
        <v>6</v>
      </c>
      <c r="I342" s="210" t="s">
        <v>531</v>
      </c>
      <c r="J342" s="103">
        <v>140</v>
      </c>
      <c r="K342" s="66">
        <v>400</v>
      </c>
      <c r="L342" s="66">
        <v>2600</v>
      </c>
      <c r="M342" s="282">
        <v>50.637874635536271</v>
      </c>
      <c r="N342" s="78">
        <v>15798.759278444999</v>
      </c>
      <c r="O342" s="113">
        <v>119209.42803323465</v>
      </c>
      <c r="P342" s="113">
        <v>141999.08534886176</v>
      </c>
      <c r="Q342" s="110">
        <v>41297.115504925154</v>
      </c>
      <c r="R342" s="113">
        <v>160506.54353815981</v>
      </c>
      <c r="S342" s="113">
        <v>183296.2008537869</v>
      </c>
      <c r="U342" s="7" t="s">
        <v>7124</v>
      </c>
    </row>
    <row r="343" spans="1:21" ht="16.5" thickBot="1">
      <c r="A343" s="207" t="s">
        <v>10</v>
      </c>
      <c r="B343" s="211">
        <f t="shared" si="18"/>
        <v>140</v>
      </c>
      <c r="C343" s="211" t="s">
        <v>3</v>
      </c>
      <c r="D343" s="211">
        <f t="shared" si="19"/>
        <v>400</v>
      </c>
      <c r="E343" s="211" t="s">
        <v>3</v>
      </c>
      <c r="F343" s="209">
        <f t="shared" si="20"/>
        <v>2650</v>
      </c>
      <c r="G343" s="211" t="s">
        <v>3</v>
      </c>
      <c r="H343" s="208">
        <v>6</v>
      </c>
      <c r="I343" s="210" t="s">
        <v>531</v>
      </c>
      <c r="J343" s="103">
        <v>140</v>
      </c>
      <c r="K343" s="66">
        <v>400</v>
      </c>
      <c r="L343" s="66">
        <v>2650</v>
      </c>
      <c r="M343" s="282">
        <v>51.487438282968604</v>
      </c>
      <c r="N343" s="78">
        <v>16149.842817965999</v>
      </c>
      <c r="O343" s="113">
        <v>120532.15563920516</v>
      </c>
      <c r="P343" s="113">
        <v>143677.54762700459</v>
      </c>
      <c r="Q343" s="110">
        <v>42205.056592438901</v>
      </c>
      <c r="R343" s="113">
        <v>162737.21223164405</v>
      </c>
      <c r="S343" s="113">
        <v>185882.60421944348</v>
      </c>
      <c r="U343" s="7" t="s">
        <v>7125</v>
      </c>
    </row>
    <row r="344" spans="1:21" ht="16.5" thickBot="1">
      <c r="A344" s="207" t="s">
        <v>10</v>
      </c>
      <c r="B344" s="211">
        <f t="shared" si="18"/>
        <v>140</v>
      </c>
      <c r="C344" s="211" t="s">
        <v>3</v>
      </c>
      <c r="D344" s="211">
        <f t="shared" si="19"/>
        <v>400</v>
      </c>
      <c r="E344" s="211" t="s">
        <v>3</v>
      </c>
      <c r="F344" s="209">
        <f t="shared" si="20"/>
        <v>2700</v>
      </c>
      <c r="G344" s="211" t="s">
        <v>3</v>
      </c>
      <c r="H344" s="208">
        <v>6</v>
      </c>
      <c r="I344" s="210" t="s">
        <v>531</v>
      </c>
      <c r="J344" s="103">
        <v>140</v>
      </c>
      <c r="K344" s="66">
        <v>400</v>
      </c>
      <c r="L344" s="66">
        <v>2700</v>
      </c>
      <c r="M344" s="282">
        <v>52.468634310400937</v>
      </c>
      <c r="N344" s="78">
        <v>16500.926357487002</v>
      </c>
      <c r="O344" s="113">
        <v>121974.50114054223</v>
      </c>
      <c r="P344" s="113">
        <v>145479.0788853314</v>
      </c>
      <c r="Q344" s="110">
        <v>42861.66369519764</v>
      </c>
      <c r="R344" s="113">
        <v>164836.16483573988</v>
      </c>
      <c r="S344" s="113">
        <v>188340.74258052904</v>
      </c>
      <c r="U344" s="7" t="s">
        <v>7126</v>
      </c>
    </row>
    <row r="345" spans="1:21" ht="16.5" thickBot="1">
      <c r="A345" s="207" t="s">
        <v>10</v>
      </c>
      <c r="B345" s="211">
        <f t="shared" si="18"/>
        <v>140</v>
      </c>
      <c r="C345" s="211" t="s">
        <v>3</v>
      </c>
      <c r="D345" s="211">
        <f t="shared" si="19"/>
        <v>400</v>
      </c>
      <c r="E345" s="211" t="s">
        <v>3</v>
      </c>
      <c r="F345" s="209">
        <f t="shared" si="20"/>
        <v>2750</v>
      </c>
      <c r="G345" s="211" t="s">
        <v>3</v>
      </c>
      <c r="H345" s="208">
        <v>6</v>
      </c>
      <c r="I345" s="210" t="s">
        <v>531</v>
      </c>
      <c r="J345" s="103">
        <v>140</v>
      </c>
      <c r="K345" s="66">
        <v>400</v>
      </c>
      <c r="L345" s="66">
        <v>2750</v>
      </c>
      <c r="M345" s="282">
        <v>53.302171837833271</v>
      </c>
      <c r="N345" s="78">
        <v>16852.009897008</v>
      </c>
      <c r="O345" s="113">
        <v>123379.21545301897</v>
      </c>
      <c r="P345" s="113">
        <v>147241.80178867359</v>
      </c>
      <c r="Q345" s="110">
        <v>43518.270644927608</v>
      </c>
      <c r="R345" s="113">
        <v>166897.48609794659</v>
      </c>
      <c r="S345" s="113">
        <v>190760.07243360119</v>
      </c>
      <c r="U345" s="7" t="s">
        <v>7127</v>
      </c>
    </row>
    <row r="346" spans="1:21" ht="16.5" thickBot="1">
      <c r="A346" s="207" t="s">
        <v>10</v>
      </c>
      <c r="B346" s="211">
        <f t="shared" si="18"/>
        <v>140</v>
      </c>
      <c r="C346" s="211" t="s">
        <v>3</v>
      </c>
      <c r="D346" s="211">
        <f t="shared" si="19"/>
        <v>400</v>
      </c>
      <c r="E346" s="211" t="s">
        <v>3</v>
      </c>
      <c r="F346" s="209">
        <f t="shared" si="20"/>
        <v>2800</v>
      </c>
      <c r="G346" s="211" t="s">
        <v>3</v>
      </c>
      <c r="H346" s="208">
        <v>6</v>
      </c>
      <c r="I346" s="210" t="s">
        <v>531</v>
      </c>
      <c r="J346" s="103">
        <v>140</v>
      </c>
      <c r="K346" s="66">
        <v>400</v>
      </c>
      <c r="L346" s="66">
        <v>2800</v>
      </c>
      <c r="M346" s="282">
        <v>54.151735485265611</v>
      </c>
      <c r="N346" s="78">
        <v>17203.093436529001</v>
      </c>
      <c r="O346" s="113">
        <v>124700.97439455768</v>
      </c>
      <c r="P346" s="113">
        <v>148919.04583542305</v>
      </c>
      <c r="Q346" s="110">
        <v>44426.211885470118</v>
      </c>
      <c r="R346" s="113">
        <v>169127.18628002779</v>
      </c>
      <c r="S346" s="113">
        <v>193345.25772089316</v>
      </c>
      <c r="U346" s="7" t="s">
        <v>7128</v>
      </c>
    </row>
    <row r="347" spans="1:21" ht="16.5" thickBot="1">
      <c r="A347" s="207" t="s">
        <v>10</v>
      </c>
      <c r="B347" s="211">
        <f t="shared" si="18"/>
        <v>140</v>
      </c>
      <c r="C347" s="211" t="s">
        <v>3</v>
      </c>
      <c r="D347" s="211">
        <f t="shared" si="19"/>
        <v>400</v>
      </c>
      <c r="E347" s="211" t="s">
        <v>3</v>
      </c>
      <c r="F347" s="209">
        <f t="shared" si="20"/>
        <v>2850</v>
      </c>
      <c r="G347" s="211" t="s">
        <v>3</v>
      </c>
      <c r="H347" s="208">
        <v>6</v>
      </c>
      <c r="I347" s="210" t="s">
        <v>531</v>
      </c>
      <c r="J347" s="103">
        <v>140</v>
      </c>
      <c r="K347" s="66">
        <v>400</v>
      </c>
      <c r="L347" s="66">
        <v>2850</v>
      </c>
      <c r="M347" s="282">
        <v>55.795984012697929</v>
      </c>
      <c r="N347" s="78">
        <v>17554.176976049999</v>
      </c>
      <c r="O347" s="113">
        <v>126022.81229128776</v>
      </c>
      <c r="P347" s="113">
        <v>150596.29941739485</v>
      </c>
      <c r="Q347" s="110">
        <v>45082.818835200087</v>
      </c>
      <c r="R347" s="113">
        <v>171105.63112648786</v>
      </c>
      <c r="S347" s="113">
        <v>195679.11825259496</v>
      </c>
      <c r="U347" s="7" t="s">
        <v>7129</v>
      </c>
    </row>
    <row r="348" spans="1:21" ht="16.5" thickBot="1">
      <c r="A348" s="207" t="s">
        <v>10</v>
      </c>
      <c r="B348" s="211">
        <f t="shared" si="18"/>
        <v>140</v>
      </c>
      <c r="C348" s="211" t="s">
        <v>3</v>
      </c>
      <c r="D348" s="211">
        <f t="shared" si="19"/>
        <v>400</v>
      </c>
      <c r="E348" s="211" t="s">
        <v>3</v>
      </c>
      <c r="F348" s="209">
        <f t="shared" si="20"/>
        <v>2900</v>
      </c>
      <c r="G348" s="211" t="s">
        <v>3</v>
      </c>
      <c r="H348" s="208">
        <v>6</v>
      </c>
      <c r="I348" s="210" t="s">
        <v>531</v>
      </c>
      <c r="J348" s="103">
        <v>140</v>
      </c>
      <c r="K348" s="66">
        <v>400</v>
      </c>
      <c r="L348" s="66">
        <v>2900</v>
      </c>
      <c r="M348" s="282">
        <v>56.645547660130269</v>
      </c>
      <c r="N348" s="78">
        <v>17905.260515571001</v>
      </c>
      <c r="O348" s="113">
        <v>127344.72485075233</v>
      </c>
      <c r="P348" s="113">
        <v>152273.56039983776</v>
      </c>
      <c r="Q348" s="110">
        <v>45990.760075742597</v>
      </c>
      <c r="R348" s="113">
        <v>173335.48492649494</v>
      </c>
      <c r="S348" s="113">
        <v>198264.32047558035</v>
      </c>
      <c r="U348" s="7" t="s">
        <v>7130</v>
      </c>
    </row>
    <row r="349" spans="1:21" ht="16.5" thickBot="1">
      <c r="A349" s="207" t="s">
        <v>10</v>
      </c>
      <c r="B349" s="211">
        <f t="shared" si="18"/>
        <v>140</v>
      </c>
      <c r="C349" s="211" t="s">
        <v>3</v>
      </c>
      <c r="D349" s="211">
        <f t="shared" si="19"/>
        <v>400</v>
      </c>
      <c r="E349" s="211" t="s">
        <v>3</v>
      </c>
      <c r="F349" s="209">
        <f t="shared" si="20"/>
        <v>2950</v>
      </c>
      <c r="G349" s="211" t="s">
        <v>3</v>
      </c>
      <c r="H349" s="208">
        <v>6</v>
      </c>
      <c r="I349" s="210" t="s">
        <v>531</v>
      </c>
      <c r="J349" s="103">
        <v>140</v>
      </c>
      <c r="K349" s="66">
        <v>400</v>
      </c>
      <c r="L349" s="66">
        <v>2950</v>
      </c>
      <c r="M349" s="282">
        <v>57.47908518756261</v>
      </c>
      <c r="N349" s="78">
        <v>18256.344055092002</v>
      </c>
      <c r="O349" s="113">
        <v>128666.7076504201</v>
      </c>
      <c r="P349" s="113">
        <v>153950.82664800045</v>
      </c>
      <c r="Q349" s="110">
        <v>46647.367025472573</v>
      </c>
      <c r="R349" s="113">
        <v>175314.07467589265</v>
      </c>
      <c r="S349" s="113">
        <v>200598.19367347303</v>
      </c>
      <c r="U349" s="7" t="s">
        <v>7131</v>
      </c>
    </row>
    <row r="350" spans="1:21" ht="16.5" thickBot="1">
      <c r="A350" s="207" t="s">
        <v>10</v>
      </c>
      <c r="B350" s="211">
        <f t="shared" si="18"/>
        <v>140</v>
      </c>
      <c r="C350" s="211" t="s">
        <v>3</v>
      </c>
      <c r="D350" s="211">
        <f t="shared" si="19"/>
        <v>400</v>
      </c>
      <c r="E350" s="211" t="s">
        <v>3</v>
      </c>
      <c r="F350" s="209">
        <f t="shared" si="20"/>
        <v>3000</v>
      </c>
      <c r="G350" s="211" t="s">
        <v>3</v>
      </c>
      <c r="H350" s="208">
        <v>6</v>
      </c>
      <c r="I350" s="210" t="s">
        <v>531</v>
      </c>
      <c r="J350" s="103">
        <v>140</v>
      </c>
      <c r="K350" s="66">
        <v>400</v>
      </c>
      <c r="L350" s="126">
        <v>3000</v>
      </c>
      <c r="M350" s="282">
        <v>58.328648834994937</v>
      </c>
      <c r="N350" s="127">
        <v>18607.427594613</v>
      </c>
      <c r="O350" s="128">
        <v>131729.91061749749</v>
      </c>
      <c r="P350" s="128">
        <v>157423.7766438016</v>
      </c>
      <c r="Q350" s="136">
        <v>47555.308266015076</v>
      </c>
      <c r="R350" s="128">
        <v>179285.21888351257</v>
      </c>
      <c r="S350" s="128">
        <v>204979.08490981668</v>
      </c>
      <c r="U350" s="7" t="s">
        <v>7132</v>
      </c>
    </row>
    <row r="351" spans="1:21" ht="19.5" thickBot="1">
      <c r="A351" s="2968" t="s">
        <v>60</v>
      </c>
      <c r="B351" s="2969"/>
      <c r="C351" s="2969"/>
      <c r="D351" s="2969"/>
      <c r="E351" s="2969"/>
      <c r="F351" s="2969"/>
      <c r="G351" s="2969"/>
      <c r="H351" s="2969"/>
      <c r="I351" s="2969"/>
      <c r="J351" s="2969"/>
      <c r="K351" s="2969"/>
      <c r="L351" s="2969"/>
      <c r="M351" s="2969"/>
      <c r="N351" s="2969"/>
      <c r="O351" s="2969"/>
      <c r="P351" s="2969"/>
      <c r="Q351" s="2969"/>
      <c r="R351" s="2969"/>
      <c r="S351" s="2970"/>
      <c r="U351" s="7"/>
    </row>
    <row r="352" spans="1:21" ht="19.5" thickBot="1">
      <c r="A352" s="3015" t="s">
        <v>118</v>
      </c>
      <c r="B352" s="3016"/>
      <c r="C352" s="3016"/>
      <c r="D352" s="3016"/>
      <c r="E352" s="3016"/>
      <c r="F352" s="3016"/>
      <c r="G352" s="3016"/>
      <c r="H352" s="3016"/>
      <c r="I352" s="3016"/>
      <c r="J352" s="3016"/>
      <c r="K352" s="3016"/>
      <c r="L352" s="3016"/>
      <c r="M352" s="3016"/>
      <c r="N352" s="3016"/>
      <c r="O352" s="3016"/>
      <c r="P352" s="3016"/>
      <c r="Q352" s="3016"/>
      <c r="R352" s="3016"/>
      <c r="S352" s="3017"/>
      <c r="U352" s="7"/>
    </row>
    <row r="353" spans="1:21" ht="16.5" thickBot="1">
      <c r="A353" s="1093" t="s">
        <v>10</v>
      </c>
      <c r="B353" s="211">
        <f t="shared" ref="B353:B399" si="21">J353</f>
        <v>140</v>
      </c>
      <c r="C353" s="211" t="s">
        <v>3</v>
      </c>
      <c r="D353" s="211">
        <f t="shared" ref="D353:D399" si="22">K353</f>
        <v>400</v>
      </c>
      <c r="E353" s="211" t="s">
        <v>3</v>
      </c>
      <c r="F353" s="1094">
        <f t="shared" ref="F353:F399" si="23">L353</f>
        <v>700</v>
      </c>
      <c r="G353" s="211" t="s">
        <v>3</v>
      </c>
      <c r="H353" s="211">
        <v>8</v>
      </c>
      <c r="I353" s="1169" t="s">
        <v>531</v>
      </c>
      <c r="J353" s="121">
        <v>140</v>
      </c>
      <c r="K353" s="122">
        <v>400</v>
      </c>
      <c r="L353" s="122">
        <v>700</v>
      </c>
      <c r="M353" s="155">
        <v>16.664313424409748</v>
      </c>
      <c r="N353" s="123">
        <v>2589.4923600000002</v>
      </c>
      <c r="O353" s="124">
        <v>39526.624385545772</v>
      </c>
      <c r="P353" s="124">
        <v>47510.385482979123</v>
      </c>
      <c r="Q353" s="139">
        <v>12324.7019970418</v>
      </c>
      <c r="R353" s="124">
        <v>51851.326382587577</v>
      </c>
      <c r="S353" s="124">
        <v>59835.087480020928</v>
      </c>
      <c r="U353" s="7" t="s">
        <v>7133</v>
      </c>
    </row>
    <row r="354" spans="1:21" ht="16.5" thickBot="1">
      <c r="A354" s="207" t="s">
        <v>10</v>
      </c>
      <c r="B354" s="211">
        <f t="shared" si="21"/>
        <v>140</v>
      </c>
      <c r="C354" s="211" t="s">
        <v>3</v>
      </c>
      <c r="D354" s="211">
        <f t="shared" si="22"/>
        <v>400</v>
      </c>
      <c r="E354" s="211" t="s">
        <v>3</v>
      </c>
      <c r="F354" s="209">
        <f t="shared" si="23"/>
        <v>750</v>
      </c>
      <c r="G354" s="211" t="s">
        <v>3</v>
      </c>
      <c r="H354" s="208">
        <v>8</v>
      </c>
      <c r="I354" s="210" t="s">
        <v>531</v>
      </c>
      <c r="J354" s="103">
        <v>140</v>
      </c>
      <c r="K354" s="66">
        <v>400</v>
      </c>
      <c r="L354" s="66">
        <v>750</v>
      </c>
      <c r="M354" s="282">
        <v>17.590466232667897</v>
      </c>
      <c r="N354" s="78">
        <v>2959.4198400000005</v>
      </c>
      <c r="O354" s="113">
        <v>42062.147045693753</v>
      </c>
      <c r="P354" s="113">
        <v>50456.709986886555</v>
      </c>
      <c r="Q354" s="110">
        <v>12981.309099800537</v>
      </c>
      <c r="R354" s="113">
        <v>55043.456145494289</v>
      </c>
      <c r="S354" s="113">
        <v>63438.019086687091</v>
      </c>
      <c r="U354" s="7" t="s">
        <v>7134</v>
      </c>
    </row>
    <row r="355" spans="1:21" ht="16.5" thickBot="1">
      <c r="A355" s="207" t="s">
        <v>10</v>
      </c>
      <c r="B355" s="211">
        <f t="shared" si="21"/>
        <v>140</v>
      </c>
      <c r="C355" s="211" t="s">
        <v>3</v>
      </c>
      <c r="D355" s="211">
        <f t="shared" si="22"/>
        <v>400</v>
      </c>
      <c r="E355" s="211" t="s">
        <v>3</v>
      </c>
      <c r="F355" s="209">
        <f t="shared" si="23"/>
        <v>800</v>
      </c>
      <c r="G355" s="211" t="s">
        <v>3</v>
      </c>
      <c r="H355" s="208">
        <v>8</v>
      </c>
      <c r="I355" s="210" t="s">
        <v>531</v>
      </c>
      <c r="J355" s="103">
        <v>140</v>
      </c>
      <c r="K355" s="66">
        <v>400</v>
      </c>
      <c r="L355" s="66">
        <v>800</v>
      </c>
      <c r="M355" s="282">
        <v>18.516619040926049</v>
      </c>
      <c r="N355" s="78">
        <v>3329.3473200000008</v>
      </c>
      <c r="O355" s="113">
        <v>44589.461877949805</v>
      </c>
      <c r="P355" s="113">
        <v>53395.889193648087</v>
      </c>
      <c r="Q355" s="110">
        <v>13637.916049530511</v>
      </c>
      <c r="R355" s="113">
        <v>58227.377927480316</v>
      </c>
      <c r="S355" s="113">
        <v>67033.805243178591</v>
      </c>
      <c r="U355" s="7" t="s">
        <v>7135</v>
      </c>
    </row>
    <row r="356" spans="1:21" ht="16.5" thickBot="1">
      <c r="A356" s="207" t="s">
        <v>10</v>
      </c>
      <c r="B356" s="211">
        <f t="shared" si="21"/>
        <v>140</v>
      </c>
      <c r="C356" s="211" t="s">
        <v>3</v>
      </c>
      <c r="D356" s="211">
        <f t="shared" si="22"/>
        <v>400</v>
      </c>
      <c r="E356" s="211" t="s">
        <v>3</v>
      </c>
      <c r="F356" s="209">
        <f t="shared" si="23"/>
        <v>850</v>
      </c>
      <c r="G356" s="211" t="s">
        <v>3</v>
      </c>
      <c r="H356" s="208">
        <v>8</v>
      </c>
      <c r="I356" s="210" t="s">
        <v>531</v>
      </c>
      <c r="J356" s="103">
        <v>140</v>
      </c>
      <c r="K356" s="66">
        <v>400</v>
      </c>
      <c r="L356" s="66">
        <v>850</v>
      </c>
      <c r="M356" s="282">
        <v>19.460578649184196</v>
      </c>
      <c r="N356" s="78">
        <v>3699.2748000000006</v>
      </c>
      <c r="O356" s="113">
        <v>47117.116074446836</v>
      </c>
      <c r="P356" s="113">
        <v>56335.560531736541</v>
      </c>
      <c r="Q356" s="110">
        <v>14545.85729007302</v>
      </c>
      <c r="R356" s="113">
        <v>61662.973364519858</v>
      </c>
      <c r="S356" s="113">
        <v>70881.417821809562</v>
      </c>
      <c r="U356" s="7" t="s">
        <v>7136</v>
      </c>
    </row>
    <row r="357" spans="1:21" ht="16.5" thickBot="1">
      <c r="A357" s="207" t="s">
        <v>10</v>
      </c>
      <c r="B357" s="211">
        <f t="shared" si="21"/>
        <v>140</v>
      </c>
      <c r="C357" s="211" t="s">
        <v>3</v>
      </c>
      <c r="D357" s="211">
        <f t="shared" si="22"/>
        <v>400</v>
      </c>
      <c r="E357" s="211" t="s">
        <v>3</v>
      </c>
      <c r="F357" s="209">
        <f t="shared" si="23"/>
        <v>900</v>
      </c>
      <c r="G357" s="211" t="s">
        <v>3</v>
      </c>
      <c r="H357" s="208">
        <v>8</v>
      </c>
      <c r="I357" s="210" t="s">
        <v>531</v>
      </c>
      <c r="J357" s="103">
        <v>140</v>
      </c>
      <c r="K357" s="66">
        <v>400</v>
      </c>
      <c r="L357" s="66">
        <v>900</v>
      </c>
      <c r="M357" s="282">
        <v>20.552886457442352</v>
      </c>
      <c r="N357" s="78">
        <v>4069.2022800000009</v>
      </c>
      <c r="O357" s="113">
        <v>49644.878362812109</v>
      </c>
      <c r="P357" s="113">
        <v>59275.432678761455</v>
      </c>
      <c r="Q357" s="110">
        <v>15202.464239802994</v>
      </c>
      <c r="R357" s="113">
        <v>64847.342602615099</v>
      </c>
      <c r="S357" s="113">
        <v>74477.896918564453</v>
      </c>
      <c r="U357" s="7" t="s">
        <v>7137</v>
      </c>
    </row>
    <row r="358" spans="1:21" ht="16.5" thickBot="1">
      <c r="A358" s="207" t="s">
        <v>10</v>
      </c>
      <c r="B358" s="211">
        <f t="shared" si="21"/>
        <v>140</v>
      </c>
      <c r="C358" s="211" t="s">
        <v>3</v>
      </c>
      <c r="D358" s="211">
        <f t="shared" si="22"/>
        <v>400</v>
      </c>
      <c r="E358" s="211" t="s">
        <v>3</v>
      </c>
      <c r="F358" s="209">
        <f t="shared" si="23"/>
        <v>950</v>
      </c>
      <c r="G358" s="211" t="s">
        <v>3</v>
      </c>
      <c r="H358" s="208">
        <v>8</v>
      </c>
      <c r="I358" s="210" t="s">
        <v>531</v>
      </c>
      <c r="J358" s="103">
        <v>140</v>
      </c>
      <c r="K358" s="66">
        <v>400</v>
      </c>
      <c r="L358" s="66">
        <v>950</v>
      </c>
      <c r="M358" s="282">
        <v>21.496846065700502</v>
      </c>
      <c r="N358" s="78">
        <v>4439.1297600000007</v>
      </c>
      <c r="O358" s="113">
        <v>52172.732353664891</v>
      </c>
      <c r="P358" s="113">
        <v>62215.474894304483</v>
      </c>
      <c r="Q358" s="110">
        <v>16110.4054803455</v>
      </c>
      <c r="R358" s="113">
        <v>68283.137834010384</v>
      </c>
      <c r="S358" s="113">
        <v>78325.880374649976</v>
      </c>
      <c r="U358" s="7" t="s">
        <v>7138</v>
      </c>
    </row>
    <row r="359" spans="1:21" ht="16.5" thickBot="1">
      <c r="A359" s="207" t="s">
        <v>10</v>
      </c>
      <c r="B359" s="211">
        <f t="shared" si="21"/>
        <v>140</v>
      </c>
      <c r="C359" s="211" t="s">
        <v>3</v>
      </c>
      <c r="D359" s="211">
        <f t="shared" si="22"/>
        <v>400</v>
      </c>
      <c r="E359" s="211" t="s">
        <v>3</v>
      </c>
      <c r="F359" s="209">
        <f t="shared" si="23"/>
        <v>1000</v>
      </c>
      <c r="G359" s="211" t="s">
        <v>3</v>
      </c>
      <c r="H359" s="208">
        <v>8</v>
      </c>
      <c r="I359" s="210" t="s">
        <v>531</v>
      </c>
      <c r="J359" s="103">
        <v>140</v>
      </c>
      <c r="K359" s="66">
        <v>400</v>
      </c>
      <c r="L359" s="66">
        <v>1000</v>
      </c>
      <c r="M359" s="282">
        <v>22.422998873958651</v>
      </c>
      <c r="N359" s="78">
        <v>4809.057240000001</v>
      </c>
      <c r="O359" s="113">
        <v>54603.007093349421</v>
      </c>
      <c r="P359" s="113">
        <v>65056.857871941989</v>
      </c>
      <c r="Q359" s="110">
        <v>16767.012583104239</v>
      </c>
      <c r="R359" s="113">
        <v>71370.019676453667</v>
      </c>
      <c r="S359" s="113">
        <v>81823.870455046228</v>
      </c>
      <c r="U359" s="7" t="s">
        <v>7139</v>
      </c>
    </row>
    <row r="360" spans="1:21" ht="16.5" thickBot="1">
      <c r="A360" s="207" t="s">
        <v>10</v>
      </c>
      <c r="B360" s="211">
        <f t="shared" si="21"/>
        <v>140</v>
      </c>
      <c r="C360" s="211" t="s">
        <v>3</v>
      </c>
      <c r="D360" s="211">
        <f t="shared" si="22"/>
        <v>400</v>
      </c>
      <c r="E360" s="211" t="s">
        <v>3</v>
      </c>
      <c r="F360" s="209">
        <f t="shared" si="23"/>
        <v>1050</v>
      </c>
      <c r="G360" s="211" t="s">
        <v>3</v>
      </c>
      <c r="H360" s="208">
        <v>8</v>
      </c>
      <c r="I360" s="210" t="s">
        <v>531</v>
      </c>
      <c r="J360" s="103">
        <v>140</v>
      </c>
      <c r="K360" s="66">
        <v>400</v>
      </c>
      <c r="L360" s="66">
        <v>1050</v>
      </c>
      <c r="M360" s="282">
        <v>23.366958482216802</v>
      </c>
      <c r="N360" s="78">
        <v>5178.9847200000004</v>
      </c>
      <c r="O360" s="113">
        <v>57380.537040544259</v>
      </c>
      <c r="P360" s="113">
        <v>68252.786318384897</v>
      </c>
      <c r="Q360" s="110">
        <v>17674.953670617982</v>
      </c>
      <c r="R360" s="113">
        <v>75055.490711162245</v>
      </c>
      <c r="S360" s="113">
        <v>85927.739989002876</v>
      </c>
      <c r="U360" s="7" t="s">
        <v>7140</v>
      </c>
    </row>
    <row r="361" spans="1:21" ht="16.5" thickBot="1">
      <c r="A361" s="207" t="s">
        <v>10</v>
      </c>
      <c r="B361" s="208">
        <f t="shared" si="21"/>
        <v>140</v>
      </c>
      <c r="C361" s="208" t="s">
        <v>3</v>
      </c>
      <c r="D361" s="208">
        <f t="shared" si="22"/>
        <v>400</v>
      </c>
      <c r="E361" s="208" t="s">
        <v>3</v>
      </c>
      <c r="F361" s="209">
        <f t="shared" si="23"/>
        <v>1100</v>
      </c>
      <c r="G361" s="208" t="s">
        <v>3</v>
      </c>
      <c r="H361" s="208">
        <v>8</v>
      </c>
      <c r="I361" s="210" t="s">
        <v>531</v>
      </c>
      <c r="J361" s="103">
        <v>140</v>
      </c>
      <c r="K361" s="66">
        <v>400</v>
      </c>
      <c r="L361" s="66">
        <v>1100</v>
      </c>
      <c r="M361" s="282">
        <v>24.293111290474954</v>
      </c>
      <c r="N361" s="78">
        <v>5548.9122000000007</v>
      </c>
      <c r="O361" s="113">
        <v>59908.564680788259</v>
      </c>
      <c r="P361" s="113">
        <v>71193.169667181428</v>
      </c>
      <c r="Q361" s="110">
        <v>18331.560773376717</v>
      </c>
      <c r="R361" s="113">
        <v>78240.125454164983</v>
      </c>
      <c r="S361" s="113">
        <v>89524.730440558138</v>
      </c>
      <c r="U361" s="7" t="s">
        <v>7141</v>
      </c>
    </row>
    <row r="362" spans="1:21" ht="16.5" thickBot="1">
      <c r="A362" s="207" t="s">
        <v>10</v>
      </c>
      <c r="B362" s="211">
        <f t="shared" si="21"/>
        <v>140</v>
      </c>
      <c r="C362" s="211" t="s">
        <v>3</v>
      </c>
      <c r="D362" s="211">
        <f t="shared" si="22"/>
        <v>400</v>
      </c>
      <c r="E362" s="211" t="s">
        <v>3</v>
      </c>
      <c r="F362" s="209">
        <f t="shared" si="23"/>
        <v>1150</v>
      </c>
      <c r="G362" s="211" t="s">
        <v>3</v>
      </c>
      <c r="H362" s="208">
        <v>8</v>
      </c>
      <c r="I362" s="210" t="s">
        <v>531</v>
      </c>
      <c r="J362" s="103">
        <v>140</v>
      </c>
      <c r="K362" s="66">
        <v>400</v>
      </c>
      <c r="L362" s="66">
        <v>1150</v>
      </c>
      <c r="M362" s="282">
        <v>25.219264098733099</v>
      </c>
      <c r="N362" s="78">
        <v>5918.839680000001</v>
      </c>
      <c r="O362" s="113">
        <v>61594.363246687783</v>
      </c>
      <c r="P362" s="113">
        <v>73269.372682981193</v>
      </c>
      <c r="Q362" s="110">
        <v>18988.167723106693</v>
      </c>
      <c r="R362" s="113">
        <v>80582.530969794476</v>
      </c>
      <c r="S362" s="113">
        <v>92257.540406087879</v>
      </c>
      <c r="U362" s="7" t="s">
        <v>7142</v>
      </c>
    </row>
    <row r="363" spans="1:21" ht="16.5" thickBot="1">
      <c r="A363" s="207" t="s">
        <v>10</v>
      </c>
      <c r="B363" s="211">
        <f t="shared" si="21"/>
        <v>140</v>
      </c>
      <c r="C363" s="211" t="s">
        <v>3</v>
      </c>
      <c r="D363" s="211">
        <f t="shared" si="22"/>
        <v>400</v>
      </c>
      <c r="E363" s="211" t="s">
        <v>3</v>
      </c>
      <c r="F363" s="209">
        <f t="shared" si="23"/>
        <v>1200</v>
      </c>
      <c r="G363" s="211" t="s">
        <v>3</v>
      </c>
      <c r="H363" s="208">
        <v>8</v>
      </c>
      <c r="I363" s="210" t="s">
        <v>531</v>
      </c>
      <c r="J363" s="103">
        <v>140</v>
      </c>
      <c r="K363" s="66">
        <v>400</v>
      </c>
      <c r="L363" s="66">
        <v>1200</v>
      </c>
      <c r="M363" s="282">
        <v>26.327288706991247</v>
      </c>
      <c r="N363" s="78">
        <v>6288.7671600000003</v>
      </c>
      <c r="O363" s="113">
        <v>63405.05851937292</v>
      </c>
      <c r="P363" s="113">
        <v>75472.409099360855</v>
      </c>
      <c r="Q363" s="110">
        <v>19896.1089636492</v>
      </c>
      <c r="R363" s="113">
        <v>83301.167483022116</v>
      </c>
      <c r="S363" s="113">
        <v>95368.518063010051</v>
      </c>
      <c r="U363" s="7" t="s">
        <v>7143</v>
      </c>
    </row>
    <row r="364" spans="1:21" ht="16.5" thickBot="1">
      <c r="A364" s="207" t="s">
        <v>10</v>
      </c>
      <c r="B364" s="211">
        <f t="shared" si="21"/>
        <v>140</v>
      </c>
      <c r="C364" s="211" t="s">
        <v>3</v>
      </c>
      <c r="D364" s="211">
        <f t="shared" si="22"/>
        <v>400</v>
      </c>
      <c r="E364" s="211" t="s">
        <v>3</v>
      </c>
      <c r="F364" s="209">
        <f t="shared" si="23"/>
        <v>1250</v>
      </c>
      <c r="G364" s="211" t="s">
        <v>3</v>
      </c>
      <c r="H364" s="208">
        <v>8</v>
      </c>
      <c r="I364" s="210" t="s">
        <v>531</v>
      </c>
      <c r="J364" s="103">
        <v>140</v>
      </c>
      <c r="K364" s="66">
        <v>400</v>
      </c>
      <c r="L364" s="66">
        <v>1250</v>
      </c>
      <c r="M364" s="282">
        <v>28.1542315152494</v>
      </c>
      <c r="N364" s="78">
        <v>6658.6946400000015</v>
      </c>
      <c r="O364" s="113">
        <v>65085.786653123221</v>
      </c>
      <c r="P364" s="113">
        <v>77542.555541164344</v>
      </c>
      <c r="Q364" s="110">
        <v>20552.715913379172</v>
      </c>
      <c r="R364" s="113">
        <v>85638.5025665024</v>
      </c>
      <c r="S364" s="113">
        <v>98095.271454543516</v>
      </c>
      <c r="U364" s="7" t="s">
        <v>7144</v>
      </c>
    </row>
    <row r="365" spans="1:21" ht="16.5" thickBot="1">
      <c r="A365" s="207" t="s">
        <v>10</v>
      </c>
      <c r="B365" s="211">
        <f t="shared" si="21"/>
        <v>140</v>
      </c>
      <c r="C365" s="211" t="s">
        <v>3</v>
      </c>
      <c r="D365" s="211">
        <f t="shared" si="22"/>
        <v>400</v>
      </c>
      <c r="E365" s="211" t="s">
        <v>3</v>
      </c>
      <c r="F365" s="209">
        <f t="shared" si="23"/>
        <v>1300</v>
      </c>
      <c r="G365" s="211" t="s">
        <v>3</v>
      </c>
      <c r="H365" s="208">
        <v>8</v>
      </c>
      <c r="I365" s="210" t="s">
        <v>531</v>
      </c>
      <c r="J365" s="103">
        <v>140</v>
      </c>
      <c r="K365" s="66">
        <v>400</v>
      </c>
      <c r="L365" s="66">
        <v>1300</v>
      </c>
      <c r="M365" s="282">
        <v>29.098191123507551</v>
      </c>
      <c r="N365" s="78">
        <v>7028.6221200000009</v>
      </c>
      <c r="O365" s="113">
        <v>69486.204007930661</v>
      </c>
      <c r="P365" s="113">
        <v>82401.493939815307</v>
      </c>
      <c r="Q365" s="110">
        <v>21460.657153921682</v>
      </c>
      <c r="R365" s="113">
        <v>90946.861161852343</v>
      </c>
      <c r="S365" s="113">
        <v>103862.15109373699</v>
      </c>
      <c r="U365" s="7" t="s">
        <v>7145</v>
      </c>
    </row>
    <row r="366" spans="1:21" ht="16.5" thickBot="1">
      <c r="A366" s="207" t="s">
        <v>10</v>
      </c>
      <c r="B366" s="211">
        <f t="shared" si="21"/>
        <v>140</v>
      </c>
      <c r="C366" s="211" t="s">
        <v>3</v>
      </c>
      <c r="D366" s="211">
        <f t="shared" si="22"/>
        <v>400</v>
      </c>
      <c r="E366" s="211" t="s">
        <v>3</v>
      </c>
      <c r="F366" s="209">
        <f t="shared" si="23"/>
        <v>1350</v>
      </c>
      <c r="G366" s="211" t="s">
        <v>3</v>
      </c>
      <c r="H366" s="208">
        <v>8</v>
      </c>
      <c r="I366" s="210" t="s">
        <v>531</v>
      </c>
      <c r="J366" s="103">
        <v>140</v>
      </c>
      <c r="K366" s="66">
        <v>400</v>
      </c>
      <c r="L366" s="66">
        <v>1350</v>
      </c>
      <c r="M366" s="282">
        <v>30.024343931765699</v>
      </c>
      <c r="N366" s="78">
        <v>7398.5496000000012</v>
      </c>
      <c r="O366" s="113">
        <v>71459.513675770839</v>
      </c>
      <c r="P366" s="113">
        <v>84774.267845552342</v>
      </c>
      <c r="Q366" s="110">
        <v>22117.264103651651</v>
      </c>
      <c r="R366" s="113">
        <v>93576.777779422497</v>
      </c>
      <c r="S366" s="113">
        <v>106891.53194920399</v>
      </c>
      <c r="U366" s="7" t="s">
        <v>7146</v>
      </c>
    </row>
    <row r="367" spans="1:21" ht="16.5" thickBot="1">
      <c r="A367" s="207" t="s">
        <v>10</v>
      </c>
      <c r="B367" s="211">
        <f t="shared" si="21"/>
        <v>140</v>
      </c>
      <c r="C367" s="211" t="s">
        <v>3</v>
      </c>
      <c r="D367" s="211">
        <f t="shared" si="22"/>
        <v>400</v>
      </c>
      <c r="E367" s="211" t="s">
        <v>3</v>
      </c>
      <c r="F367" s="209">
        <f t="shared" si="23"/>
        <v>1400</v>
      </c>
      <c r="G367" s="211" t="s">
        <v>3</v>
      </c>
      <c r="H367" s="208">
        <v>8</v>
      </c>
      <c r="I367" s="210" t="s">
        <v>531</v>
      </c>
      <c r="J367" s="103">
        <v>140</v>
      </c>
      <c r="K367" s="66">
        <v>400</v>
      </c>
      <c r="L367" s="66">
        <v>1400</v>
      </c>
      <c r="M367" s="282">
        <v>30.968303540023854</v>
      </c>
      <c r="N367" s="78">
        <v>7768.4770800000015</v>
      </c>
      <c r="O367" s="113">
        <v>73793.280327385801</v>
      </c>
      <c r="P367" s="113">
        <v>87516.303768423997</v>
      </c>
      <c r="Q367" s="110">
        <v>23025.205344194161</v>
      </c>
      <c r="R367" s="113">
        <v>96818.485671579954</v>
      </c>
      <c r="S367" s="113">
        <v>110541.50911261817</v>
      </c>
      <c r="U367" s="7" t="s">
        <v>7147</v>
      </c>
    </row>
    <row r="368" spans="1:21" ht="16.5" thickBot="1">
      <c r="A368" s="207" t="s">
        <v>10</v>
      </c>
      <c r="B368" s="211">
        <f t="shared" si="21"/>
        <v>140</v>
      </c>
      <c r="C368" s="211" t="s">
        <v>3</v>
      </c>
      <c r="D368" s="211">
        <f t="shared" si="22"/>
        <v>400</v>
      </c>
      <c r="E368" s="211" t="s">
        <v>3</v>
      </c>
      <c r="F368" s="209">
        <f t="shared" si="23"/>
        <v>1450</v>
      </c>
      <c r="G368" s="211" t="s">
        <v>3</v>
      </c>
      <c r="H368" s="208">
        <v>8</v>
      </c>
      <c r="I368" s="210" t="s">
        <v>531</v>
      </c>
      <c r="J368" s="103">
        <v>140</v>
      </c>
      <c r="K368" s="66">
        <v>400</v>
      </c>
      <c r="L368" s="66">
        <v>1450</v>
      </c>
      <c r="M368" s="282">
        <v>31.894456348282006</v>
      </c>
      <c r="N368" s="78">
        <v>8138.4045600000018</v>
      </c>
      <c r="O368" s="113">
        <v>75766.687551063747</v>
      </c>
      <c r="P368" s="113">
        <v>89889.18512330846</v>
      </c>
      <c r="Q368" s="110">
        <v>23681.812293924133</v>
      </c>
      <c r="R368" s="113">
        <v>99448.499844987877</v>
      </c>
      <c r="S368" s="113">
        <v>113570.99741723259</v>
      </c>
      <c r="U368" s="7" t="s">
        <v>7148</v>
      </c>
    </row>
    <row r="369" spans="1:21" ht="16.5" thickBot="1">
      <c r="A369" s="207" t="s">
        <v>10</v>
      </c>
      <c r="B369" s="211">
        <f t="shared" si="21"/>
        <v>140</v>
      </c>
      <c r="C369" s="211" t="s">
        <v>3</v>
      </c>
      <c r="D369" s="211">
        <f t="shared" si="22"/>
        <v>400</v>
      </c>
      <c r="E369" s="211" t="s">
        <v>3</v>
      </c>
      <c r="F369" s="209">
        <f t="shared" si="23"/>
        <v>1500</v>
      </c>
      <c r="G369" s="211" t="s">
        <v>3</v>
      </c>
      <c r="H369" s="208">
        <v>8</v>
      </c>
      <c r="I369" s="210" t="s">
        <v>531</v>
      </c>
      <c r="J369" s="103">
        <v>140</v>
      </c>
      <c r="K369" s="66">
        <v>400</v>
      </c>
      <c r="L369" s="66">
        <v>1500</v>
      </c>
      <c r="M369" s="282">
        <v>32.802490208728358</v>
      </c>
      <c r="N369" s="78">
        <v>8508.3320400000011</v>
      </c>
      <c r="O369" s="113">
        <v>78435.320209015947</v>
      </c>
      <c r="P369" s="113">
        <v>93208.982085445576</v>
      </c>
      <c r="Q369" s="110">
        <v>24589.753534466639</v>
      </c>
      <c r="R369" s="113">
        <v>103025.07374348259</v>
      </c>
      <c r="S369" s="113">
        <v>117798.73561991222</v>
      </c>
      <c r="U369" s="7" t="s">
        <v>7149</v>
      </c>
    </row>
    <row r="370" spans="1:21" ht="16.5" thickBot="1">
      <c r="A370" s="207" t="s">
        <v>10</v>
      </c>
      <c r="B370" s="211">
        <f t="shared" si="21"/>
        <v>140</v>
      </c>
      <c r="C370" s="211" t="s">
        <v>3</v>
      </c>
      <c r="D370" s="211">
        <f t="shared" si="22"/>
        <v>400</v>
      </c>
      <c r="E370" s="211" t="s">
        <v>3</v>
      </c>
      <c r="F370" s="209">
        <f t="shared" si="23"/>
        <v>1550</v>
      </c>
      <c r="G370" s="211" t="s">
        <v>3</v>
      </c>
      <c r="H370" s="208">
        <v>8</v>
      </c>
      <c r="I370" s="210" t="s">
        <v>531</v>
      </c>
      <c r="J370" s="103">
        <v>140</v>
      </c>
      <c r="K370" s="66">
        <v>400</v>
      </c>
      <c r="L370" s="66">
        <v>1550</v>
      </c>
      <c r="M370" s="282">
        <v>33.728643016986503</v>
      </c>
      <c r="N370" s="78">
        <v>8878.2595200000014</v>
      </c>
      <c r="O370" s="113">
        <v>80408.708701973039</v>
      </c>
      <c r="P370" s="113">
        <v>95581.830992110685</v>
      </c>
      <c r="Q370" s="110">
        <v>25246.360484196612</v>
      </c>
      <c r="R370" s="113">
        <v>105655.06918616965</v>
      </c>
      <c r="S370" s="113">
        <v>120828.1914763073</v>
      </c>
      <c r="U370" s="7" t="s">
        <v>7150</v>
      </c>
    </row>
    <row r="371" spans="1:21" ht="16.5" thickBot="1">
      <c r="A371" s="207" t="s">
        <v>10</v>
      </c>
      <c r="B371" s="208">
        <f t="shared" si="21"/>
        <v>140</v>
      </c>
      <c r="C371" s="208" t="s">
        <v>3</v>
      </c>
      <c r="D371" s="208">
        <f t="shared" si="22"/>
        <v>400</v>
      </c>
      <c r="E371" s="208" t="s">
        <v>3</v>
      </c>
      <c r="F371" s="209">
        <f t="shared" si="23"/>
        <v>1600</v>
      </c>
      <c r="G371" s="208" t="s">
        <v>3</v>
      </c>
      <c r="H371" s="208">
        <v>8</v>
      </c>
      <c r="I371" s="210" t="s">
        <v>531</v>
      </c>
      <c r="J371" s="103">
        <v>140</v>
      </c>
      <c r="K371" s="66">
        <v>400</v>
      </c>
      <c r="L371" s="66">
        <v>1600</v>
      </c>
      <c r="M371" s="282">
        <v>34.654795825244648</v>
      </c>
      <c r="N371" s="78">
        <v>9248.1870000000017</v>
      </c>
      <c r="O371" s="113">
        <v>84527.059090885145</v>
      </c>
      <c r="P371" s="113">
        <v>100152.01709852209</v>
      </c>
      <c r="Q371" s="110">
        <v>25902.96758695535</v>
      </c>
      <c r="R371" s="113">
        <v>110430.02667784049</v>
      </c>
      <c r="S371" s="113">
        <v>126054.98468547744</v>
      </c>
      <c r="U371" s="7" t="s">
        <v>7151</v>
      </c>
    </row>
    <row r="372" spans="1:21" ht="16.5" thickBot="1">
      <c r="A372" s="207" t="s">
        <v>10</v>
      </c>
      <c r="B372" s="211">
        <f t="shared" si="21"/>
        <v>140</v>
      </c>
      <c r="C372" s="211" t="s">
        <v>3</v>
      </c>
      <c r="D372" s="211">
        <f t="shared" si="22"/>
        <v>400</v>
      </c>
      <c r="E372" s="211" t="s">
        <v>3</v>
      </c>
      <c r="F372" s="209">
        <f t="shared" si="23"/>
        <v>1650</v>
      </c>
      <c r="G372" s="211" t="s">
        <v>3</v>
      </c>
      <c r="H372" s="208">
        <v>8</v>
      </c>
      <c r="I372" s="210" t="s">
        <v>531</v>
      </c>
      <c r="J372" s="103">
        <v>140</v>
      </c>
      <c r="K372" s="66">
        <v>400</v>
      </c>
      <c r="L372" s="66">
        <v>1650</v>
      </c>
      <c r="M372" s="282">
        <v>35.598755433502809</v>
      </c>
      <c r="N372" s="78">
        <v>9618.114480000002</v>
      </c>
      <c r="O372" s="113">
        <v>88923.027249118153</v>
      </c>
      <c r="P372" s="113">
        <v>105006.60273932639</v>
      </c>
      <c r="Q372" s="110">
        <v>26810.908827497857</v>
      </c>
      <c r="R372" s="113">
        <v>115733.93607661601</v>
      </c>
      <c r="S372" s="113">
        <v>131817.51156682425</v>
      </c>
      <c r="U372" s="7" t="s">
        <v>7152</v>
      </c>
    </row>
    <row r="373" spans="1:21" ht="16.5" thickBot="1">
      <c r="A373" s="207" t="s">
        <v>10</v>
      </c>
      <c r="B373" s="211">
        <f t="shared" si="21"/>
        <v>140</v>
      </c>
      <c r="C373" s="211" t="s">
        <v>3</v>
      </c>
      <c r="D373" s="211">
        <f t="shared" si="22"/>
        <v>400</v>
      </c>
      <c r="E373" s="211" t="s">
        <v>3</v>
      </c>
      <c r="F373" s="209">
        <f t="shared" si="23"/>
        <v>1700</v>
      </c>
      <c r="G373" s="211" t="s">
        <v>3</v>
      </c>
      <c r="H373" s="208">
        <v>8</v>
      </c>
      <c r="I373" s="210" t="s">
        <v>531</v>
      </c>
      <c r="J373" s="103">
        <v>140</v>
      </c>
      <c r="K373" s="66">
        <v>400</v>
      </c>
      <c r="L373" s="66">
        <v>1700</v>
      </c>
      <c r="M373" s="282">
        <v>37.425698241760948</v>
      </c>
      <c r="N373" s="78">
        <v>9988.0419600000023</v>
      </c>
      <c r="O373" s="113">
        <v>90665.330156252545</v>
      </c>
      <c r="P373" s="113">
        <v>107141.98917248238</v>
      </c>
      <c r="Q373" s="110">
        <v>27467.515777227836</v>
      </c>
      <c r="R373" s="113">
        <v>118132.84593348038</v>
      </c>
      <c r="S373" s="113">
        <v>134609.50494971022</v>
      </c>
      <c r="U373" s="7" t="s">
        <v>7153</v>
      </c>
    </row>
    <row r="374" spans="1:21" ht="16.5" thickBot="1">
      <c r="A374" s="207" t="s">
        <v>10</v>
      </c>
      <c r="B374" s="211">
        <f t="shared" si="21"/>
        <v>140</v>
      </c>
      <c r="C374" s="211" t="s">
        <v>3</v>
      </c>
      <c r="D374" s="211">
        <f t="shared" si="22"/>
        <v>400</v>
      </c>
      <c r="E374" s="211" t="s">
        <v>3</v>
      </c>
      <c r="F374" s="209">
        <f t="shared" si="23"/>
        <v>1750</v>
      </c>
      <c r="G374" s="211" t="s">
        <v>3</v>
      </c>
      <c r="H374" s="208">
        <v>8</v>
      </c>
      <c r="I374" s="210" t="s">
        <v>531</v>
      </c>
      <c r="J374" s="103">
        <v>140</v>
      </c>
      <c r="K374" s="66">
        <v>400</v>
      </c>
      <c r="L374" s="66">
        <v>1750</v>
      </c>
      <c r="M374" s="282">
        <v>38.369657850019102</v>
      </c>
      <c r="N374" s="78">
        <v>10357.969440000001</v>
      </c>
      <c r="O374" s="113">
        <v>92324.025499154814</v>
      </c>
      <c r="P374" s="113">
        <v>109191.75073205854</v>
      </c>
      <c r="Q374" s="110">
        <v>28375.457017770343</v>
      </c>
      <c r="R374" s="113">
        <v>120699.48251692516</v>
      </c>
      <c r="S374" s="113">
        <v>137567.20774982887</v>
      </c>
      <c r="U374" s="7" t="s">
        <v>7154</v>
      </c>
    </row>
    <row r="375" spans="1:21" ht="16.5" thickBot="1">
      <c r="A375" s="207" t="s">
        <v>10</v>
      </c>
      <c r="B375" s="211">
        <f t="shared" si="21"/>
        <v>140</v>
      </c>
      <c r="C375" s="211" t="s">
        <v>3</v>
      </c>
      <c r="D375" s="211">
        <f t="shared" si="22"/>
        <v>400</v>
      </c>
      <c r="E375" s="211" t="s">
        <v>3</v>
      </c>
      <c r="F375" s="209">
        <f t="shared" si="23"/>
        <v>1800</v>
      </c>
      <c r="G375" s="211" t="s">
        <v>3</v>
      </c>
      <c r="H375" s="208">
        <v>8</v>
      </c>
      <c r="I375" s="210" t="s">
        <v>531</v>
      </c>
      <c r="J375" s="103">
        <v>140</v>
      </c>
      <c r="K375" s="66">
        <v>400</v>
      </c>
      <c r="L375" s="66">
        <v>1800</v>
      </c>
      <c r="M375" s="282">
        <v>39.295810658277247</v>
      </c>
      <c r="N375" s="78">
        <v>10727.896920000001</v>
      </c>
      <c r="O375" s="113">
        <v>94067.671164840242</v>
      </c>
      <c r="P375" s="113">
        <v>111328.55876724594</v>
      </c>
      <c r="Q375" s="110">
        <v>29032.063967500315</v>
      </c>
      <c r="R375" s="113">
        <v>123099.73513234056</v>
      </c>
      <c r="S375" s="113">
        <v>140360.62273474626</v>
      </c>
      <c r="U375" s="7" t="s">
        <v>7155</v>
      </c>
    </row>
    <row r="376" spans="1:21" ht="16.5" thickBot="1">
      <c r="A376" s="207" t="s">
        <v>10</v>
      </c>
      <c r="B376" s="211">
        <f t="shared" si="21"/>
        <v>140</v>
      </c>
      <c r="C376" s="211" t="s">
        <v>3</v>
      </c>
      <c r="D376" s="211">
        <f t="shared" si="22"/>
        <v>400</v>
      </c>
      <c r="E376" s="211" t="s">
        <v>3</v>
      </c>
      <c r="F376" s="209">
        <f t="shared" si="23"/>
        <v>1850</v>
      </c>
      <c r="G376" s="211" t="s">
        <v>3</v>
      </c>
      <c r="H376" s="208">
        <v>8</v>
      </c>
      <c r="I376" s="210" t="s">
        <v>531</v>
      </c>
      <c r="J376" s="103">
        <v>140</v>
      </c>
      <c r="K376" s="66">
        <v>400</v>
      </c>
      <c r="L376" s="66">
        <v>1850</v>
      </c>
      <c r="M376" s="282">
        <v>40.239770266535409</v>
      </c>
      <c r="N376" s="78">
        <v>11097.824400000001</v>
      </c>
      <c r="O376" s="113">
        <v>95811.509861009996</v>
      </c>
      <c r="P376" s="113">
        <v>113465.5845470632</v>
      </c>
      <c r="Q376" s="110">
        <v>29940.005208042821</v>
      </c>
      <c r="R376" s="113">
        <v>125751.51506905281</v>
      </c>
      <c r="S376" s="113">
        <v>143405.58975510602</v>
      </c>
      <c r="U376" s="7" t="s">
        <v>7156</v>
      </c>
    </row>
    <row r="377" spans="1:21" ht="16.5" thickBot="1">
      <c r="A377" s="207" t="s">
        <v>10</v>
      </c>
      <c r="B377" s="211">
        <f t="shared" si="21"/>
        <v>140</v>
      </c>
      <c r="C377" s="211" t="s">
        <v>3</v>
      </c>
      <c r="D377" s="211">
        <f t="shared" si="22"/>
        <v>400</v>
      </c>
      <c r="E377" s="211" t="s">
        <v>3</v>
      </c>
      <c r="F377" s="209">
        <f t="shared" si="23"/>
        <v>1900</v>
      </c>
      <c r="G377" s="211" t="s">
        <v>3</v>
      </c>
      <c r="H377" s="208">
        <v>8</v>
      </c>
      <c r="I377" s="210" t="s">
        <v>531</v>
      </c>
      <c r="J377" s="103">
        <v>140</v>
      </c>
      <c r="K377" s="66">
        <v>400</v>
      </c>
      <c r="L377" s="66">
        <v>1900</v>
      </c>
      <c r="M377" s="282">
        <v>41.165923074793554</v>
      </c>
      <c r="N377" s="78">
        <v>11467.751880000002</v>
      </c>
      <c r="O377" s="113">
        <v>97748.367594956799</v>
      </c>
      <c r="P377" s="113">
        <v>115800.36044939906</v>
      </c>
      <c r="Q377" s="110">
        <v>30596.612157772794</v>
      </c>
      <c r="R377" s="113">
        <v>128344.97975272959</v>
      </c>
      <c r="S377" s="113">
        <v>146396.97260717186</v>
      </c>
      <c r="U377" s="7" t="s">
        <v>7157</v>
      </c>
    </row>
    <row r="378" spans="1:21" ht="16.5" thickBot="1">
      <c r="A378" s="207" t="s">
        <v>10</v>
      </c>
      <c r="B378" s="211">
        <f t="shared" si="21"/>
        <v>140</v>
      </c>
      <c r="C378" s="211" t="s">
        <v>3</v>
      </c>
      <c r="D378" s="211">
        <f t="shared" si="22"/>
        <v>400</v>
      </c>
      <c r="E378" s="211" t="s">
        <v>3</v>
      </c>
      <c r="F378" s="209">
        <f t="shared" si="23"/>
        <v>1950</v>
      </c>
      <c r="G378" s="211" t="s">
        <v>3</v>
      </c>
      <c r="H378" s="208">
        <v>8</v>
      </c>
      <c r="I378" s="210" t="s">
        <v>531</v>
      </c>
      <c r="J378" s="103">
        <v>140</v>
      </c>
      <c r="K378" s="66">
        <v>400</v>
      </c>
      <c r="L378" s="66">
        <v>1950</v>
      </c>
      <c r="M378" s="282">
        <v>42.2561408830517</v>
      </c>
      <c r="N378" s="78">
        <v>11837.679360000002</v>
      </c>
      <c r="O378" s="113">
        <v>99953.060979259899</v>
      </c>
      <c r="P378" s="113">
        <v>118409.52859910794</v>
      </c>
      <c r="Q378" s="110">
        <v>31253.219260531532</v>
      </c>
      <c r="R378" s="113">
        <v>131206.28023979143</v>
      </c>
      <c r="S378" s="113">
        <v>149662.74785963946</v>
      </c>
      <c r="U378" s="7" t="s">
        <v>7158</v>
      </c>
    </row>
    <row r="379" spans="1:21" ht="16.5" thickBot="1">
      <c r="A379" s="207" t="s">
        <v>10</v>
      </c>
      <c r="B379" s="211">
        <f t="shared" si="21"/>
        <v>140</v>
      </c>
      <c r="C379" s="211" t="s">
        <v>3</v>
      </c>
      <c r="D379" s="211">
        <f t="shared" si="22"/>
        <v>400</v>
      </c>
      <c r="E379" s="211" t="s">
        <v>3</v>
      </c>
      <c r="F379" s="209">
        <f t="shared" si="23"/>
        <v>2000</v>
      </c>
      <c r="G379" s="211" t="s">
        <v>3</v>
      </c>
      <c r="H379" s="208">
        <v>8</v>
      </c>
      <c r="I379" s="210" t="s">
        <v>531</v>
      </c>
      <c r="J379" s="103">
        <v>140</v>
      </c>
      <c r="K379" s="66">
        <v>400</v>
      </c>
      <c r="L379" s="66">
        <v>2000</v>
      </c>
      <c r="M379" s="282">
        <v>43.295783199309852</v>
      </c>
      <c r="N379" s="78">
        <v>12207.60684</v>
      </c>
      <c r="O379" s="113">
        <v>101931.17130483937</v>
      </c>
      <c r="P379" s="113">
        <v>121016.87537903029</v>
      </c>
      <c r="Q379" s="110">
        <v>32161.160348045276</v>
      </c>
      <c r="R379" s="113">
        <v>134092.33165288466</v>
      </c>
      <c r="S379" s="113">
        <v>153178.03572707556</v>
      </c>
      <c r="U379" s="7" t="s">
        <v>7159</v>
      </c>
    </row>
    <row r="380" spans="1:21" ht="16.5" thickBot="1">
      <c r="A380" s="207" t="s">
        <v>10</v>
      </c>
      <c r="B380" s="211">
        <f t="shared" si="21"/>
        <v>140</v>
      </c>
      <c r="C380" s="211" t="s">
        <v>3</v>
      </c>
      <c r="D380" s="211">
        <f t="shared" si="22"/>
        <v>400</v>
      </c>
      <c r="E380" s="211" t="s">
        <v>3</v>
      </c>
      <c r="F380" s="209">
        <f t="shared" si="23"/>
        <v>2050</v>
      </c>
      <c r="G380" s="211" t="s">
        <v>3</v>
      </c>
      <c r="H380" s="208">
        <v>8</v>
      </c>
      <c r="I380" s="210" t="s">
        <v>531</v>
      </c>
      <c r="J380" s="103">
        <v>140</v>
      </c>
      <c r="K380" s="66">
        <v>400</v>
      </c>
      <c r="L380" s="66">
        <v>2050</v>
      </c>
      <c r="M380" s="282">
        <v>45.122726007567998</v>
      </c>
      <c r="N380" s="78">
        <v>12577.534320000001</v>
      </c>
      <c r="O380" s="113">
        <v>106051.93470488004</v>
      </c>
      <c r="P380" s="113">
        <v>125591.40100783044</v>
      </c>
      <c r="Q380" s="110">
        <v>32817.767450804015</v>
      </c>
      <c r="R380" s="113">
        <v>138869.70215568406</v>
      </c>
      <c r="S380" s="113">
        <v>158409.16845863446</v>
      </c>
      <c r="U380" s="7" t="s">
        <v>7160</v>
      </c>
    </row>
    <row r="381" spans="1:21" ht="16.5" thickBot="1">
      <c r="A381" s="207" t="s">
        <v>10</v>
      </c>
      <c r="B381" s="208">
        <f t="shared" si="21"/>
        <v>140</v>
      </c>
      <c r="C381" s="208" t="s">
        <v>3</v>
      </c>
      <c r="D381" s="208">
        <f t="shared" si="22"/>
        <v>400</v>
      </c>
      <c r="E381" s="208" t="s">
        <v>3</v>
      </c>
      <c r="F381" s="209">
        <f t="shared" si="23"/>
        <v>2100</v>
      </c>
      <c r="G381" s="208" t="s">
        <v>3</v>
      </c>
      <c r="H381" s="208">
        <v>8</v>
      </c>
      <c r="I381" s="210" t="s">
        <v>531</v>
      </c>
      <c r="J381" s="103">
        <v>140</v>
      </c>
      <c r="K381" s="66">
        <v>400</v>
      </c>
      <c r="L381" s="66">
        <v>2100</v>
      </c>
      <c r="M381" s="282">
        <v>46.066685615826145</v>
      </c>
      <c r="N381" s="78">
        <v>12947.461800000001</v>
      </c>
      <c r="O381" s="113">
        <v>107864.53322692266</v>
      </c>
      <c r="P381" s="113">
        <v>127798.92353285282</v>
      </c>
      <c r="Q381" s="110">
        <v>33725.708538317755</v>
      </c>
      <c r="R381" s="113">
        <v>141590.24176524041</v>
      </c>
      <c r="S381" s="113">
        <v>161524.63207117058</v>
      </c>
      <c r="U381" s="7" t="s">
        <v>7161</v>
      </c>
    </row>
    <row r="382" spans="1:21" ht="16.5" thickBot="1">
      <c r="A382" s="207" t="s">
        <v>10</v>
      </c>
      <c r="B382" s="211">
        <f t="shared" si="21"/>
        <v>140</v>
      </c>
      <c r="C382" s="211" t="s">
        <v>3</v>
      </c>
      <c r="D382" s="211">
        <f t="shared" si="22"/>
        <v>400</v>
      </c>
      <c r="E382" s="211" t="s">
        <v>3</v>
      </c>
      <c r="F382" s="209">
        <f t="shared" si="23"/>
        <v>2150</v>
      </c>
      <c r="G382" s="211" t="s">
        <v>3</v>
      </c>
      <c r="H382" s="208">
        <v>8</v>
      </c>
      <c r="I382" s="210" t="s">
        <v>531</v>
      </c>
      <c r="J382" s="103">
        <v>140</v>
      </c>
      <c r="K382" s="66">
        <v>400</v>
      </c>
      <c r="L382" s="66">
        <v>2150</v>
      </c>
      <c r="M382" s="282">
        <v>46.992838424084304</v>
      </c>
      <c r="N382" s="78">
        <v>13317.389280000003</v>
      </c>
      <c r="O382" s="113">
        <v>109839.81404298353</v>
      </c>
      <c r="P382" s="113">
        <v>130173.11377490142</v>
      </c>
      <c r="Q382" s="110">
        <v>34382.315641076493</v>
      </c>
      <c r="R382" s="113">
        <v>144222.12968406003</v>
      </c>
      <c r="S382" s="113">
        <v>164555.42941597791</v>
      </c>
      <c r="U382" s="7" t="s">
        <v>7162</v>
      </c>
    </row>
    <row r="383" spans="1:21" ht="16.5" thickBot="1">
      <c r="A383" s="207" t="s">
        <v>10</v>
      </c>
      <c r="B383" s="211">
        <f t="shared" si="21"/>
        <v>140</v>
      </c>
      <c r="C383" s="211" t="s">
        <v>3</v>
      </c>
      <c r="D383" s="211">
        <f t="shared" si="22"/>
        <v>400</v>
      </c>
      <c r="E383" s="211" t="s">
        <v>3</v>
      </c>
      <c r="F383" s="209">
        <f t="shared" si="23"/>
        <v>2200</v>
      </c>
      <c r="G383" s="211" t="s">
        <v>3</v>
      </c>
      <c r="H383" s="208">
        <v>8</v>
      </c>
      <c r="I383" s="210" t="s">
        <v>531</v>
      </c>
      <c r="J383" s="103">
        <v>140</v>
      </c>
      <c r="K383" s="66">
        <v>400</v>
      </c>
      <c r="L383" s="66">
        <v>2200</v>
      </c>
      <c r="M383" s="282">
        <v>47.936798032342445</v>
      </c>
      <c r="N383" s="78">
        <v>13687.316760000003</v>
      </c>
      <c r="O383" s="113">
        <v>111815.15820530175</v>
      </c>
      <c r="P383" s="113">
        <v>132547.38129494616</v>
      </c>
      <c r="Q383" s="110">
        <v>35290.256728590233</v>
      </c>
      <c r="R383" s="113">
        <v>147105.41493389197</v>
      </c>
      <c r="S383" s="113">
        <v>167837.63802353639</v>
      </c>
      <c r="U383" s="7" t="s">
        <v>7163</v>
      </c>
    </row>
    <row r="384" spans="1:21" ht="16.5" thickBot="1">
      <c r="A384" s="207" t="s">
        <v>10</v>
      </c>
      <c r="B384" s="211">
        <f t="shared" si="21"/>
        <v>140</v>
      </c>
      <c r="C384" s="211" t="s">
        <v>3</v>
      </c>
      <c r="D384" s="211">
        <f t="shared" si="22"/>
        <v>400</v>
      </c>
      <c r="E384" s="211" t="s">
        <v>3</v>
      </c>
      <c r="F384" s="209">
        <f t="shared" si="23"/>
        <v>2250</v>
      </c>
      <c r="G384" s="211" t="s">
        <v>3</v>
      </c>
      <c r="H384" s="208">
        <v>8</v>
      </c>
      <c r="I384" s="210" t="s">
        <v>531</v>
      </c>
      <c r="J384" s="103">
        <v>140</v>
      </c>
      <c r="K384" s="66">
        <v>400</v>
      </c>
      <c r="L384" s="66">
        <v>2250</v>
      </c>
      <c r="M384" s="282">
        <v>48.862950840600597</v>
      </c>
      <c r="N384" s="78">
        <v>14057.244240000002</v>
      </c>
      <c r="O384" s="113">
        <v>114151.64497382255</v>
      </c>
      <c r="P384" s="113">
        <v>135293.10137156557</v>
      </c>
      <c r="Q384" s="110">
        <v>35946.863831348819</v>
      </c>
      <c r="R384" s="113">
        <v>150098.50880517135</v>
      </c>
      <c r="S384" s="113">
        <v>171239.96520291438</v>
      </c>
      <c r="U384" s="7" t="s">
        <v>7164</v>
      </c>
    </row>
    <row r="385" spans="1:21" ht="16.5" thickBot="1">
      <c r="A385" s="207" t="s">
        <v>10</v>
      </c>
      <c r="B385" s="211">
        <f t="shared" si="21"/>
        <v>140</v>
      </c>
      <c r="C385" s="211" t="s">
        <v>3</v>
      </c>
      <c r="D385" s="211">
        <f t="shared" si="22"/>
        <v>400</v>
      </c>
      <c r="E385" s="211" t="s">
        <v>3</v>
      </c>
      <c r="F385" s="209">
        <f t="shared" si="23"/>
        <v>2300</v>
      </c>
      <c r="G385" s="211" t="s">
        <v>3</v>
      </c>
      <c r="H385" s="208">
        <v>8</v>
      </c>
      <c r="I385" s="210" t="s">
        <v>531</v>
      </c>
      <c r="J385" s="103">
        <v>140</v>
      </c>
      <c r="K385" s="66">
        <v>400</v>
      </c>
      <c r="L385" s="66">
        <v>2300</v>
      </c>
      <c r="M385" s="282">
        <v>49.789103648858742</v>
      </c>
      <c r="N385" s="78">
        <v>14427.171720000002</v>
      </c>
      <c r="O385" s="113">
        <v>115868.8626329824</v>
      </c>
      <c r="P385" s="113">
        <v>137404.43100798706</v>
      </c>
      <c r="Q385" s="110">
        <v>36603.470781078948</v>
      </c>
      <c r="R385" s="113">
        <v>152472.33341406134</v>
      </c>
      <c r="S385" s="113">
        <v>174007.901789066</v>
      </c>
      <c r="U385" s="7" t="s">
        <v>7165</v>
      </c>
    </row>
    <row r="386" spans="1:21" ht="16.5" thickBot="1">
      <c r="A386" s="207" t="s">
        <v>10</v>
      </c>
      <c r="B386" s="211">
        <f t="shared" si="21"/>
        <v>140</v>
      </c>
      <c r="C386" s="211" t="s">
        <v>3</v>
      </c>
      <c r="D386" s="211">
        <f t="shared" si="22"/>
        <v>400</v>
      </c>
      <c r="E386" s="211" t="s">
        <v>3</v>
      </c>
      <c r="F386" s="209">
        <f t="shared" si="23"/>
        <v>2350</v>
      </c>
      <c r="G386" s="211" t="s">
        <v>3</v>
      </c>
      <c r="H386" s="208">
        <v>8</v>
      </c>
      <c r="I386" s="210" t="s">
        <v>531</v>
      </c>
      <c r="J386" s="103">
        <v>140</v>
      </c>
      <c r="K386" s="66">
        <v>400</v>
      </c>
      <c r="L386" s="66">
        <v>2350</v>
      </c>
      <c r="M386" s="282">
        <v>50.733063257116889</v>
      </c>
      <c r="N386" s="78">
        <v>14797.099200000002</v>
      </c>
      <c r="O386" s="113">
        <v>117584.99299981171</v>
      </c>
      <c r="P386" s="113">
        <v>139514.47822816021</v>
      </c>
      <c r="Q386" s="110">
        <v>37511.412021621458</v>
      </c>
      <c r="R386" s="113">
        <v>155096.40502143317</v>
      </c>
      <c r="S386" s="113">
        <v>177025.89024978166</v>
      </c>
      <c r="U386" s="7" t="s">
        <v>7166</v>
      </c>
    </row>
    <row r="387" spans="1:21" ht="16.5" thickBot="1">
      <c r="A387" s="207" t="s">
        <v>10</v>
      </c>
      <c r="B387" s="211">
        <f t="shared" si="21"/>
        <v>140</v>
      </c>
      <c r="C387" s="211" t="s">
        <v>3</v>
      </c>
      <c r="D387" s="211">
        <f t="shared" si="22"/>
        <v>400</v>
      </c>
      <c r="E387" s="211" t="s">
        <v>3</v>
      </c>
      <c r="F387" s="209">
        <f t="shared" si="23"/>
        <v>2400</v>
      </c>
      <c r="G387" s="211" t="s">
        <v>3</v>
      </c>
      <c r="H387" s="208">
        <v>8</v>
      </c>
      <c r="I387" s="210" t="s">
        <v>531</v>
      </c>
      <c r="J387" s="103">
        <v>140</v>
      </c>
      <c r="K387" s="66">
        <v>400</v>
      </c>
      <c r="L387" s="66">
        <v>2400</v>
      </c>
      <c r="M387" s="282">
        <v>51.659216065375048</v>
      </c>
      <c r="N387" s="78">
        <v>15167.026679999999</v>
      </c>
      <c r="O387" s="113">
        <v>119340.5468513528</v>
      </c>
      <c r="P387" s="113">
        <v>141671.33200475594</v>
      </c>
      <c r="Q387" s="110">
        <v>38168.019124380196</v>
      </c>
      <c r="R387" s="113">
        <v>157508.56597573298</v>
      </c>
      <c r="S387" s="113">
        <v>179839.35112913614</v>
      </c>
      <c r="U387" s="7" t="s">
        <v>7167</v>
      </c>
    </row>
    <row r="388" spans="1:21" ht="16.5" thickBot="1">
      <c r="A388" s="207" t="s">
        <v>10</v>
      </c>
      <c r="B388" s="211">
        <f t="shared" si="21"/>
        <v>140</v>
      </c>
      <c r="C388" s="211" t="s">
        <v>3</v>
      </c>
      <c r="D388" s="211">
        <f t="shared" si="22"/>
        <v>400</v>
      </c>
      <c r="E388" s="211" t="s">
        <v>3</v>
      </c>
      <c r="F388" s="209">
        <f t="shared" si="23"/>
        <v>2450</v>
      </c>
      <c r="G388" s="211" t="s">
        <v>3</v>
      </c>
      <c r="H388" s="208">
        <v>8</v>
      </c>
      <c r="I388" s="210" t="s">
        <v>531</v>
      </c>
      <c r="J388" s="103">
        <v>140</v>
      </c>
      <c r="K388" s="66">
        <v>400</v>
      </c>
      <c r="L388" s="66">
        <v>2450</v>
      </c>
      <c r="M388" s="282">
        <v>53.468039925821394</v>
      </c>
      <c r="N388" s="78">
        <v>15536.954160000003</v>
      </c>
      <c r="O388" s="113">
        <v>121706.77202116075</v>
      </c>
      <c r="P388" s="113">
        <v>144674.64070525751</v>
      </c>
      <c r="Q388" s="110">
        <v>39075.960211893937</v>
      </c>
      <c r="R388" s="113">
        <v>160782.7322330547</v>
      </c>
      <c r="S388" s="113">
        <v>183750.60091715143</v>
      </c>
      <c r="U388" s="7" t="s">
        <v>7168</v>
      </c>
    </row>
    <row r="389" spans="1:21" ht="16.5" thickBot="1">
      <c r="A389" s="207" t="s">
        <v>10</v>
      </c>
      <c r="B389" s="211">
        <f t="shared" si="21"/>
        <v>140</v>
      </c>
      <c r="C389" s="211" t="s">
        <v>3</v>
      </c>
      <c r="D389" s="211">
        <f t="shared" si="22"/>
        <v>400</v>
      </c>
      <c r="E389" s="211" t="s">
        <v>3</v>
      </c>
      <c r="F389" s="209">
        <f t="shared" si="23"/>
        <v>2500</v>
      </c>
      <c r="G389" s="211" t="s">
        <v>3</v>
      </c>
      <c r="H389" s="208">
        <v>8</v>
      </c>
      <c r="I389" s="210" t="s">
        <v>531</v>
      </c>
      <c r="J389" s="103">
        <v>140</v>
      </c>
      <c r="K389" s="66">
        <v>400</v>
      </c>
      <c r="L389" s="66">
        <v>2500</v>
      </c>
      <c r="M389" s="282">
        <v>54.394192734079539</v>
      </c>
      <c r="N389" s="78">
        <v>15906.88164</v>
      </c>
      <c r="O389" s="113">
        <v>123449.15453385879</v>
      </c>
      <c r="P389" s="113">
        <v>146815.95021929694</v>
      </c>
      <c r="Q389" s="110">
        <v>39732.567314652675</v>
      </c>
      <c r="R389" s="113">
        <v>163181.72184851146</v>
      </c>
      <c r="S389" s="113">
        <v>186548.51753394961</v>
      </c>
      <c r="U389" s="7" t="s">
        <v>7169</v>
      </c>
    </row>
    <row r="390" spans="1:21" ht="16.5" thickBot="1">
      <c r="A390" s="207" t="s">
        <v>10</v>
      </c>
      <c r="B390" s="211">
        <f t="shared" si="21"/>
        <v>140</v>
      </c>
      <c r="C390" s="211" t="s">
        <v>3</v>
      </c>
      <c r="D390" s="211">
        <f t="shared" si="22"/>
        <v>400</v>
      </c>
      <c r="E390" s="211" t="s">
        <v>3</v>
      </c>
      <c r="F390" s="209">
        <f t="shared" si="23"/>
        <v>2550</v>
      </c>
      <c r="G390" s="211" t="s">
        <v>3</v>
      </c>
      <c r="H390" s="208">
        <v>8</v>
      </c>
      <c r="I390" s="210" t="s">
        <v>531</v>
      </c>
      <c r="J390" s="103">
        <v>140</v>
      </c>
      <c r="K390" s="66">
        <v>400</v>
      </c>
      <c r="L390" s="66">
        <v>2550</v>
      </c>
      <c r="M390" s="282">
        <v>55.3381523423377</v>
      </c>
      <c r="N390" s="78">
        <v>16276.809120000004</v>
      </c>
      <c r="O390" s="113">
        <v>128794.36648815879</v>
      </c>
      <c r="P390" s="113">
        <v>152643.86901436339</v>
      </c>
      <c r="Q390" s="110">
        <v>40640.508402166415</v>
      </c>
      <c r="R390" s="113">
        <v>169434.87489032521</v>
      </c>
      <c r="S390" s="113">
        <v>193284.37741652981</v>
      </c>
      <c r="U390" s="7" t="s">
        <v>7170</v>
      </c>
    </row>
    <row r="391" spans="1:21" ht="16.5" thickBot="1">
      <c r="A391" s="207" t="s">
        <v>10</v>
      </c>
      <c r="B391" s="208">
        <f t="shared" si="21"/>
        <v>140</v>
      </c>
      <c r="C391" s="208" t="s">
        <v>3</v>
      </c>
      <c r="D391" s="208">
        <f t="shared" si="22"/>
        <v>400</v>
      </c>
      <c r="E391" s="208" t="s">
        <v>3</v>
      </c>
      <c r="F391" s="209">
        <f t="shared" si="23"/>
        <v>2600</v>
      </c>
      <c r="G391" s="208" t="s">
        <v>3</v>
      </c>
      <c r="H391" s="208">
        <v>8</v>
      </c>
      <c r="I391" s="210" t="s">
        <v>531</v>
      </c>
      <c r="J391" s="103">
        <v>140</v>
      </c>
      <c r="K391" s="66">
        <v>400</v>
      </c>
      <c r="L391" s="66">
        <v>2600</v>
      </c>
      <c r="M391" s="282">
        <v>56.264305150595852</v>
      </c>
      <c r="N391" s="78">
        <v>16646.736600000004</v>
      </c>
      <c r="O391" s="113">
        <v>130809.87165732229</v>
      </c>
      <c r="P391" s="113">
        <v>155060.89560241619</v>
      </c>
      <c r="Q391" s="110">
        <v>41297.115504925154</v>
      </c>
      <c r="R391" s="113">
        <v>172106.98716224745</v>
      </c>
      <c r="S391" s="113">
        <v>196358.01110734133</v>
      </c>
      <c r="U391" s="7" t="s">
        <v>7171</v>
      </c>
    </row>
    <row r="392" spans="1:21" ht="16.5" thickBot="1">
      <c r="A392" s="207" t="s">
        <v>10</v>
      </c>
      <c r="B392" s="211">
        <f t="shared" si="21"/>
        <v>140</v>
      </c>
      <c r="C392" s="211" t="s">
        <v>3</v>
      </c>
      <c r="D392" s="211">
        <f t="shared" si="22"/>
        <v>400</v>
      </c>
      <c r="E392" s="211" t="s">
        <v>3</v>
      </c>
      <c r="F392" s="209">
        <f t="shared" si="23"/>
        <v>2650</v>
      </c>
      <c r="G392" s="211" t="s">
        <v>3</v>
      </c>
      <c r="H392" s="208">
        <v>8</v>
      </c>
      <c r="I392" s="210" t="s">
        <v>531</v>
      </c>
      <c r="J392" s="103">
        <v>140</v>
      </c>
      <c r="K392" s="66">
        <v>400</v>
      </c>
      <c r="L392" s="66">
        <v>2650</v>
      </c>
      <c r="M392" s="282">
        <v>57.208264758854007</v>
      </c>
      <c r="N392" s="78">
        <v>17016.664080000002</v>
      </c>
      <c r="O392" s="113">
        <v>132351.09728440561</v>
      </c>
      <c r="P392" s="113">
        <v>156992.0613396269</v>
      </c>
      <c r="Q392" s="110">
        <v>42205.056592438901</v>
      </c>
      <c r="R392" s="113">
        <v>174556.1538768445</v>
      </c>
      <c r="S392" s="113">
        <v>199197.1179320658</v>
      </c>
      <c r="U392" s="7" t="s">
        <v>7172</v>
      </c>
    </row>
    <row r="393" spans="1:21" ht="16.5" thickBot="1">
      <c r="A393" s="207" t="s">
        <v>10</v>
      </c>
      <c r="B393" s="211">
        <f t="shared" si="21"/>
        <v>140</v>
      </c>
      <c r="C393" s="211" t="s">
        <v>3</v>
      </c>
      <c r="D393" s="211">
        <f t="shared" si="22"/>
        <v>400</v>
      </c>
      <c r="E393" s="211" t="s">
        <v>3</v>
      </c>
      <c r="F393" s="209">
        <f t="shared" si="23"/>
        <v>2700</v>
      </c>
      <c r="G393" s="211" t="s">
        <v>3</v>
      </c>
      <c r="H393" s="208">
        <v>8</v>
      </c>
      <c r="I393" s="210" t="s">
        <v>531</v>
      </c>
      <c r="J393" s="103">
        <v>140</v>
      </c>
      <c r="K393" s="66">
        <v>400</v>
      </c>
      <c r="L393" s="66">
        <v>2700</v>
      </c>
      <c r="M393" s="282">
        <v>58.298482567112153</v>
      </c>
      <c r="N393" s="78">
        <v>17386.591560000004</v>
      </c>
      <c r="O393" s="113">
        <v>134023.60874520137</v>
      </c>
      <c r="P393" s="113">
        <v>159057.71697633472</v>
      </c>
      <c r="Q393" s="110">
        <v>42861.66369519764</v>
      </c>
      <c r="R393" s="113">
        <v>176885.27244039901</v>
      </c>
      <c r="S393" s="113">
        <v>201919.38067153236</v>
      </c>
      <c r="U393" s="7" t="s">
        <v>7173</v>
      </c>
    </row>
    <row r="394" spans="1:21" ht="16.5" thickBot="1">
      <c r="A394" s="207" t="s">
        <v>10</v>
      </c>
      <c r="B394" s="211">
        <f t="shared" si="21"/>
        <v>140</v>
      </c>
      <c r="C394" s="211" t="s">
        <v>3</v>
      </c>
      <c r="D394" s="211">
        <f t="shared" si="22"/>
        <v>400</v>
      </c>
      <c r="E394" s="211" t="s">
        <v>3</v>
      </c>
      <c r="F394" s="209">
        <f t="shared" si="23"/>
        <v>2750</v>
      </c>
      <c r="G394" s="211" t="s">
        <v>3</v>
      </c>
      <c r="H394" s="208">
        <v>8</v>
      </c>
      <c r="I394" s="210" t="s">
        <v>531</v>
      </c>
      <c r="J394" s="103">
        <v>140</v>
      </c>
      <c r="K394" s="66">
        <v>400</v>
      </c>
      <c r="L394" s="66">
        <v>2750</v>
      </c>
      <c r="M394" s="282">
        <v>59.224635375370298</v>
      </c>
      <c r="N394" s="78">
        <v>17756.519040000003</v>
      </c>
      <c r="O394" s="113">
        <v>135654.77148934561</v>
      </c>
      <c r="P394" s="113">
        <v>161081.01317047287</v>
      </c>
      <c r="Q394" s="110">
        <v>43518.270644927608</v>
      </c>
      <c r="R394" s="113">
        <v>179173.04213427322</v>
      </c>
      <c r="S394" s="113">
        <v>204599.28381540047</v>
      </c>
      <c r="U394" s="7" t="s">
        <v>7174</v>
      </c>
    </row>
    <row r="395" spans="1:21" ht="16.5" thickBot="1">
      <c r="A395" s="207" t="s">
        <v>10</v>
      </c>
      <c r="B395" s="211">
        <f t="shared" si="21"/>
        <v>140</v>
      </c>
      <c r="C395" s="211" t="s">
        <v>3</v>
      </c>
      <c r="D395" s="211">
        <f t="shared" si="22"/>
        <v>400</v>
      </c>
      <c r="E395" s="211" t="s">
        <v>3</v>
      </c>
      <c r="F395" s="209">
        <f t="shared" si="23"/>
        <v>2800</v>
      </c>
      <c r="G395" s="211" t="s">
        <v>3</v>
      </c>
      <c r="H395" s="208">
        <v>8</v>
      </c>
      <c r="I395" s="210" t="s">
        <v>531</v>
      </c>
      <c r="J395" s="103">
        <v>140</v>
      </c>
      <c r="K395" s="66">
        <v>400</v>
      </c>
      <c r="L395" s="66">
        <v>2800</v>
      </c>
      <c r="M395" s="282">
        <v>60.168594983628452</v>
      </c>
      <c r="N395" s="78">
        <v>18126.446520000005</v>
      </c>
      <c r="O395" s="113">
        <v>137194.64096020954</v>
      </c>
      <c r="P395" s="113">
        <v>163010.78591131925</v>
      </c>
      <c r="Q395" s="110">
        <v>44426.211885470118</v>
      </c>
      <c r="R395" s="113">
        <v>181620.85284567965</v>
      </c>
      <c r="S395" s="113">
        <v>207436.99779678936</v>
      </c>
      <c r="U395" s="7" t="s">
        <v>7175</v>
      </c>
    </row>
    <row r="396" spans="1:21" ht="16.5" thickBot="1">
      <c r="A396" s="207" t="s">
        <v>10</v>
      </c>
      <c r="B396" s="211">
        <f t="shared" si="21"/>
        <v>140</v>
      </c>
      <c r="C396" s="211" t="s">
        <v>3</v>
      </c>
      <c r="D396" s="211">
        <f t="shared" si="22"/>
        <v>400</v>
      </c>
      <c r="E396" s="211" t="s">
        <v>3</v>
      </c>
      <c r="F396" s="209">
        <f t="shared" si="23"/>
        <v>2850</v>
      </c>
      <c r="G396" s="211" t="s">
        <v>3</v>
      </c>
      <c r="H396" s="208">
        <v>8</v>
      </c>
      <c r="I396" s="210" t="s">
        <v>531</v>
      </c>
      <c r="J396" s="103">
        <v>140</v>
      </c>
      <c r="K396" s="66">
        <v>400</v>
      </c>
      <c r="L396" s="66">
        <v>2850</v>
      </c>
      <c r="M396" s="282">
        <v>61.995537791886584</v>
      </c>
      <c r="N396" s="78">
        <v>18496.374000000003</v>
      </c>
      <c r="O396" s="113">
        <v>138734.45918174001</v>
      </c>
      <c r="P396" s="113">
        <v>164940.50485643354</v>
      </c>
      <c r="Q396" s="110">
        <v>45082.818835200087</v>
      </c>
      <c r="R396" s="113">
        <v>183817.27801694011</v>
      </c>
      <c r="S396" s="113">
        <v>210023.32369163365</v>
      </c>
      <c r="U396" s="7" t="s">
        <v>7176</v>
      </c>
    </row>
    <row r="397" spans="1:21" ht="16.5" thickBot="1">
      <c r="A397" s="207" t="s">
        <v>10</v>
      </c>
      <c r="B397" s="211">
        <f t="shared" si="21"/>
        <v>140</v>
      </c>
      <c r="C397" s="211" t="s">
        <v>3</v>
      </c>
      <c r="D397" s="211">
        <f t="shared" si="22"/>
        <v>400</v>
      </c>
      <c r="E397" s="211" t="s">
        <v>3</v>
      </c>
      <c r="F397" s="209">
        <f t="shared" si="23"/>
        <v>2900</v>
      </c>
      <c r="G397" s="211" t="s">
        <v>3</v>
      </c>
      <c r="H397" s="208">
        <v>8</v>
      </c>
      <c r="I397" s="210" t="s">
        <v>531</v>
      </c>
      <c r="J397" s="103">
        <v>140</v>
      </c>
      <c r="K397" s="66">
        <v>400</v>
      </c>
      <c r="L397" s="66">
        <v>2900</v>
      </c>
      <c r="M397" s="282">
        <v>62.939497400144745</v>
      </c>
      <c r="N397" s="78">
        <v>18866.301480000002</v>
      </c>
      <c r="O397" s="113">
        <v>140274.22589378816</v>
      </c>
      <c r="P397" s="113">
        <v>166870.169863499</v>
      </c>
      <c r="Q397" s="110">
        <v>45990.760075742597</v>
      </c>
      <c r="R397" s="113">
        <v>186264.98596953077</v>
      </c>
      <c r="S397" s="113">
        <v>212860.92993924161</v>
      </c>
      <c r="U397" s="7" t="s">
        <v>7177</v>
      </c>
    </row>
    <row r="398" spans="1:21" ht="16.5" thickBot="1">
      <c r="A398" s="207" t="s">
        <v>10</v>
      </c>
      <c r="B398" s="211">
        <f t="shared" si="21"/>
        <v>140</v>
      </c>
      <c r="C398" s="211" t="s">
        <v>3</v>
      </c>
      <c r="D398" s="211">
        <f t="shared" si="22"/>
        <v>400</v>
      </c>
      <c r="E398" s="211" t="s">
        <v>3</v>
      </c>
      <c r="F398" s="209">
        <f t="shared" si="23"/>
        <v>2950</v>
      </c>
      <c r="G398" s="211" t="s">
        <v>3</v>
      </c>
      <c r="H398" s="208">
        <v>8</v>
      </c>
      <c r="I398" s="210" t="s">
        <v>531</v>
      </c>
      <c r="J398" s="103">
        <v>140</v>
      </c>
      <c r="K398" s="66">
        <v>400</v>
      </c>
      <c r="L398" s="66">
        <v>2950</v>
      </c>
      <c r="M398" s="282">
        <v>63.865650208402897</v>
      </c>
      <c r="N398" s="78">
        <v>19236.228960000004</v>
      </c>
      <c r="O398" s="113">
        <v>141813.9412264284</v>
      </c>
      <c r="P398" s="113">
        <v>168799.78121714911</v>
      </c>
      <c r="Q398" s="110">
        <v>46647.367025472573</v>
      </c>
      <c r="R398" s="113">
        <v>188461.30825190098</v>
      </c>
      <c r="S398" s="113">
        <v>215447.14824262168</v>
      </c>
      <c r="U398" s="7" t="s">
        <v>7178</v>
      </c>
    </row>
    <row r="399" spans="1:21" ht="16.5" thickBot="1">
      <c r="A399" s="207" t="s">
        <v>10</v>
      </c>
      <c r="B399" s="211">
        <f t="shared" si="21"/>
        <v>140</v>
      </c>
      <c r="C399" s="211" t="s">
        <v>3</v>
      </c>
      <c r="D399" s="211">
        <f t="shared" si="22"/>
        <v>400</v>
      </c>
      <c r="E399" s="211" t="s">
        <v>3</v>
      </c>
      <c r="F399" s="209">
        <f t="shared" si="23"/>
        <v>3000</v>
      </c>
      <c r="G399" s="211" t="s">
        <v>3</v>
      </c>
      <c r="H399" s="208">
        <v>8</v>
      </c>
      <c r="I399" s="210" t="s">
        <v>531</v>
      </c>
      <c r="J399" s="125">
        <v>140</v>
      </c>
      <c r="K399" s="126">
        <v>400</v>
      </c>
      <c r="L399" s="126">
        <v>3000</v>
      </c>
      <c r="M399" s="1838">
        <v>64.809609816661037</v>
      </c>
      <c r="N399" s="127">
        <v>19606.156439999999</v>
      </c>
      <c r="O399" s="128">
        <v>145257.98904662943</v>
      </c>
      <c r="P399" s="128">
        <v>172682.4554480394</v>
      </c>
      <c r="Q399" s="136">
        <v>47555.308266015076</v>
      </c>
      <c r="R399" s="128">
        <v>192813.29731264451</v>
      </c>
      <c r="S399" s="128">
        <v>220237.76371405448</v>
      </c>
      <c r="U399" s="7" t="s">
        <v>7179</v>
      </c>
    </row>
  </sheetData>
  <mergeCells count="26">
    <mergeCell ref="A302:S302"/>
    <mergeCell ref="A303:S303"/>
    <mergeCell ref="A351:S351"/>
    <mergeCell ref="A352:S352"/>
    <mergeCell ref="A253:S253"/>
    <mergeCell ref="A254:S254"/>
    <mergeCell ref="A156:S156"/>
    <mergeCell ref="A204:S204"/>
    <mergeCell ref="A205:S205"/>
    <mergeCell ref="O6:S6"/>
    <mergeCell ref="A7:S7"/>
    <mergeCell ref="A8:S8"/>
    <mergeCell ref="A9:S9"/>
    <mergeCell ref="A57:S57"/>
    <mergeCell ref="A58:S58"/>
    <mergeCell ref="A106:S106"/>
    <mergeCell ref="A107:S107"/>
    <mergeCell ref="A155:S155"/>
    <mergeCell ref="R4:R5"/>
    <mergeCell ref="S4:S5"/>
    <mergeCell ref="A4:I6"/>
    <mergeCell ref="J4:M5"/>
    <mergeCell ref="N4:N6"/>
    <mergeCell ref="O4:O5"/>
    <mergeCell ref="P4:P5"/>
    <mergeCell ref="Q4:Q5"/>
  </mergeCells>
  <hyperlinks>
    <hyperlink ref="A1:I1" location="Главная!A1" display="Вернуться на главную страницу" xr:uid="{00000000-0004-0000-0D00-000000000000}"/>
    <hyperlink ref="A2" location="'Калькулятор теплоотдач ВКВ'!R1C1" display="Вернуться Калькулятор теплоотдач ВКВ" xr:uid="{00000000-0004-0000-0D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6">
    <tabColor rgb="FF3366FF"/>
  </sheetPr>
  <dimension ref="A1:U399"/>
  <sheetViews>
    <sheetView zoomScale="70" zoomScaleNormal="70" workbookViewId="0">
      <pane ySplit="6" topLeftCell="A7" activePane="bottomLeft" state="frozen"/>
      <selection pane="bottomLeft" activeCell="Y6" sqref="Y6"/>
    </sheetView>
  </sheetViews>
  <sheetFormatPr defaultRowHeight="15.75"/>
  <cols>
    <col min="1" max="1" width="5.570312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8.140625" style="7" customWidth="1"/>
    <col min="10" max="10" width="11.28515625" style="7" customWidth="1"/>
    <col min="11" max="12" width="11.28515625" style="87" customWidth="1"/>
    <col min="13" max="13" width="15.5703125" style="1" customWidth="1"/>
    <col min="14" max="14" width="19.140625" style="7" customWidth="1"/>
    <col min="15" max="16" width="27.7109375" style="112" customWidth="1"/>
    <col min="17" max="17" width="26.28515625" style="107" customWidth="1"/>
    <col min="18" max="19" width="27.7109375" style="112" customWidth="1"/>
    <col min="20" max="20" width="9.140625" style="65"/>
    <col min="21" max="21" width="27.85546875" style="65" customWidth="1"/>
    <col min="22" max="16384" width="9.140625" style="65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0"/>
      <c r="O1" s="107"/>
      <c r="P1" s="107"/>
      <c r="R1" s="107"/>
      <c r="S1" s="107"/>
    </row>
    <row r="2" spans="1:21" ht="16.5" customHeight="1">
      <c r="A2" s="895" t="s">
        <v>345</v>
      </c>
      <c r="B2" s="1121"/>
      <c r="C2" s="1121"/>
      <c r="D2" s="1121"/>
      <c r="E2" s="1121"/>
      <c r="F2" s="88"/>
      <c r="G2" s="1121"/>
      <c r="H2" s="1121"/>
      <c r="I2" s="1121"/>
      <c r="M2" s="140"/>
      <c r="O2" s="107"/>
      <c r="P2" s="107"/>
      <c r="R2" s="107"/>
      <c r="S2" s="107"/>
    </row>
    <row r="3" spans="1:21" ht="13.5" customHeight="1" thickBot="1">
      <c r="A3" s="16"/>
      <c r="B3" s="16"/>
      <c r="C3" s="16"/>
      <c r="D3" s="16"/>
      <c r="E3" s="16"/>
      <c r="F3" s="100"/>
      <c r="G3" s="16"/>
      <c r="H3" s="16"/>
      <c r="I3" s="1132"/>
      <c r="J3" s="16"/>
      <c r="K3" s="99"/>
      <c r="L3" s="99"/>
      <c r="M3" s="140"/>
      <c r="O3" s="106"/>
      <c r="P3" s="106"/>
      <c r="R3" s="107"/>
      <c r="S3" s="107"/>
    </row>
    <row r="4" spans="1:21" ht="69" customHeight="1">
      <c r="A4" s="2989" t="s">
        <v>8</v>
      </c>
      <c r="B4" s="2990"/>
      <c r="C4" s="2990"/>
      <c r="D4" s="2990"/>
      <c r="E4" s="2990"/>
      <c r="F4" s="2990"/>
      <c r="G4" s="2990"/>
      <c r="H4" s="2990"/>
      <c r="I4" s="2991"/>
      <c r="J4" s="2998" t="s">
        <v>78</v>
      </c>
      <c r="K4" s="2999"/>
      <c r="L4" s="2999"/>
      <c r="M4" s="3000"/>
      <c r="N4" s="3004" t="s">
        <v>77</v>
      </c>
      <c r="O4" s="2977" t="s">
        <v>145</v>
      </c>
      <c r="P4" s="3013" t="s">
        <v>146</v>
      </c>
      <c r="Q4" s="2977" t="s">
        <v>64</v>
      </c>
      <c r="R4" s="2979" t="s">
        <v>5752</v>
      </c>
      <c r="S4" s="2981" t="s">
        <v>5753</v>
      </c>
    </row>
    <row r="5" spans="1:21" ht="72" customHeight="1" thickBot="1">
      <c r="A5" s="2992"/>
      <c r="B5" s="2993"/>
      <c r="C5" s="2993"/>
      <c r="D5" s="2993"/>
      <c r="E5" s="2993"/>
      <c r="F5" s="2993"/>
      <c r="G5" s="2993"/>
      <c r="H5" s="2993"/>
      <c r="I5" s="2994"/>
      <c r="J5" s="3001"/>
      <c r="K5" s="3002"/>
      <c r="L5" s="3002"/>
      <c r="M5" s="3003"/>
      <c r="N5" s="3005"/>
      <c r="O5" s="3007"/>
      <c r="P5" s="3014"/>
      <c r="Q5" s="2978"/>
      <c r="R5" s="2980"/>
      <c r="S5" s="2982"/>
    </row>
    <row r="6" spans="1:21" ht="61.5" customHeight="1" thickBot="1">
      <c r="A6" s="2995"/>
      <c r="B6" s="2996"/>
      <c r="C6" s="2996"/>
      <c r="D6" s="2996"/>
      <c r="E6" s="2996"/>
      <c r="F6" s="2996"/>
      <c r="G6" s="2996"/>
      <c r="H6" s="2996"/>
      <c r="I6" s="2997"/>
      <c r="J6" s="235" t="s">
        <v>0</v>
      </c>
      <c r="K6" s="240" t="s">
        <v>1</v>
      </c>
      <c r="L6" s="240" t="s">
        <v>2</v>
      </c>
      <c r="M6" s="206" t="s">
        <v>75</v>
      </c>
      <c r="N6" s="3006"/>
      <c r="O6" s="2983" t="s">
        <v>141</v>
      </c>
      <c r="P6" s="2984"/>
      <c r="Q6" s="2984"/>
      <c r="R6" s="2984"/>
      <c r="S6" s="2985"/>
    </row>
    <row r="7" spans="1:21" ht="30" customHeight="1" thickBot="1">
      <c r="A7" s="2986" t="s">
        <v>131</v>
      </c>
      <c r="B7" s="2987"/>
      <c r="C7" s="2987"/>
      <c r="D7" s="2987"/>
      <c r="E7" s="2987"/>
      <c r="F7" s="2987"/>
      <c r="G7" s="2987"/>
      <c r="H7" s="2987"/>
      <c r="I7" s="2987"/>
      <c r="J7" s="2987"/>
      <c r="K7" s="2987"/>
      <c r="L7" s="2987"/>
      <c r="M7" s="2987"/>
      <c r="N7" s="2987"/>
      <c r="O7" s="2987"/>
      <c r="P7" s="2987"/>
      <c r="Q7" s="2987"/>
      <c r="R7" s="2987"/>
      <c r="S7" s="2988"/>
    </row>
    <row r="8" spans="1:21" ht="22.5" customHeight="1" thickBot="1">
      <c r="A8" s="2968" t="s">
        <v>136</v>
      </c>
      <c r="B8" s="2969"/>
      <c r="C8" s="2969"/>
      <c r="D8" s="2969"/>
      <c r="E8" s="2969"/>
      <c r="F8" s="2969"/>
      <c r="G8" s="2969"/>
      <c r="H8" s="2969"/>
      <c r="I8" s="2969"/>
      <c r="J8" s="2969"/>
      <c r="K8" s="2969"/>
      <c r="L8" s="2969"/>
      <c r="M8" s="2969"/>
      <c r="N8" s="2969"/>
      <c r="O8" s="2969"/>
      <c r="P8" s="2969"/>
      <c r="Q8" s="2969"/>
      <c r="R8" s="2969"/>
      <c r="S8" s="2970"/>
    </row>
    <row r="9" spans="1:21" ht="16.5" customHeight="1" thickBot="1">
      <c r="A9" s="3015" t="s">
        <v>112</v>
      </c>
      <c r="B9" s="3016"/>
      <c r="C9" s="3016"/>
      <c r="D9" s="3016"/>
      <c r="E9" s="3016"/>
      <c r="F9" s="3016"/>
      <c r="G9" s="3016"/>
      <c r="H9" s="3016"/>
      <c r="I9" s="3016"/>
      <c r="J9" s="3016"/>
      <c r="K9" s="3016"/>
      <c r="L9" s="3016"/>
      <c r="M9" s="3016"/>
      <c r="N9" s="3016"/>
      <c r="O9" s="3016"/>
      <c r="P9" s="3016"/>
      <c r="Q9" s="3016"/>
      <c r="R9" s="3016"/>
      <c r="S9" s="3017"/>
    </row>
    <row r="10" spans="1:21" ht="16.5" customHeight="1" thickBot="1">
      <c r="A10" s="207" t="s">
        <v>10</v>
      </c>
      <c r="B10" s="211">
        <f t="shared" ref="B10:B56" si="0">J10</f>
        <v>150</v>
      </c>
      <c r="C10" s="211" t="s">
        <v>3</v>
      </c>
      <c r="D10" s="211">
        <f t="shared" ref="D10:D56" si="1">K10</f>
        <v>160</v>
      </c>
      <c r="E10" s="211" t="s">
        <v>3</v>
      </c>
      <c r="F10" s="209">
        <f t="shared" ref="F10:F56" si="2">L10</f>
        <v>700</v>
      </c>
      <c r="G10" s="211" t="s">
        <v>3</v>
      </c>
      <c r="H10" s="208">
        <v>2</v>
      </c>
      <c r="I10" s="210" t="s">
        <v>529</v>
      </c>
      <c r="J10" s="103">
        <v>150</v>
      </c>
      <c r="K10" s="66">
        <v>160</v>
      </c>
      <c r="L10" s="66">
        <v>700</v>
      </c>
      <c r="M10" s="164">
        <v>7.1392877381411832</v>
      </c>
      <c r="N10" s="78">
        <v>775.23810000000003</v>
      </c>
      <c r="O10" s="113">
        <v>28140.718275706513</v>
      </c>
      <c r="P10" s="113">
        <v>33031.786350567381</v>
      </c>
      <c r="Q10" s="110">
        <v>7322.1107128887988</v>
      </c>
      <c r="R10" s="113">
        <v>35462.828988595313</v>
      </c>
      <c r="S10" s="113">
        <v>40353.897063456177</v>
      </c>
      <c r="U10" s="7" t="s">
        <v>7180</v>
      </c>
    </row>
    <row r="11" spans="1:21" ht="16.5" customHeight="1" thickBot="1">
      <c r="A11" s="207" t="s">
        <v>10</v>
      </c>
      <c r="B11" s="211">
        <f t="shared" si="0"/>
        <v>150</v>
      </c>
      <c r="C11" s="211" t="s">
        <v>3</v>
      </c>
      <c r="D11" s="211">
        <f t="shared" si="1"/>
        <v>160</v>
      </c>
      <c r="E11" s="211" t="s">
        <v>3</v>
      </c>
      <c r="F11" s="209">
        <f t="shared" si="2"/>
        <v>750</v>
      </c>
      <c r="G11" s="211" t="s">
        <v>3</v>
      </c>
      <c r="H11" s="208">
        <v>2</v>
      </c>
      <c r="I11" s="210" t="s">
        <v>529</v>
      </c>
      <c r="J11" s="103">
        <v>150</v>
      </c>
      <c r="K11" s="66">
        <v>160</v>
      </c>
      <c r="L11" s="66">
        <v>750</v>
      </c>
      <c r="M11" s="164">
        <v>7.5620609322771042</v>
      </c>
      <c r="N11" s="78">
        <v>885.9864</v>
      </c>
      <c r="O11" s="113">
        <v>29825.650805915684</v>
      </c>
      <c r="P11" s="113">
        <v>34984.796997559759</v>
      </c>
      <c r="Q11" s="110">
        <v>7659.6009636105346</v>
      </c>
      <c r="R11" s="113">
        <v>37485.251769526221</v>
      </c>
      <c r="S11" s="113">
        <v>42644.397961170296</v>
      </c>
      <c r="U11" s="7" t="s">
        <v>7181</v>
      </c>
    </row>
    <row r="12" spans="1:21" ht="16.5" customHeight="1" thickBot="1">
      <c r="A12" s="207" t="s">
        <v>10</v>
      </c>
      <c r="B12" s="211">
        <f t="shared" si="0"/>
        <v>150</v>
      </c>
      <c r="C12" s="211" t="s">
        <v>3</v>
      </c>
      <c r="D12" s="211">
        <f t="shared" si="1"/>
        <v>160</v>
      </c>
      <c r="E12" s="211" t="s">
        <v>3</v>
      </c>
      <c r="F12" s="209">
        <f t="shared" si="2"/>
        <v>800</v>
      </c>
      <c r="G12" s="211" t="s">
        <v>3</v>
      </c>
      <c r="H12" s="208">
        <v>2</v>
      </c>
      <c r="I12" s="210" t="s">
        <v>529</v>
      </c>
      <c r="J12" s="103">
        <v>150</v>
      </c>
      <c r="K12" s="66">
        <v>160</v>
      </c>
      <c r="L12" s="66">
        <v>800</v>
      </c>
      <c r="M12" s="164">
        <v>7.9848341264130251</v>
      </c>
      <c r="N12" s="78">
        <v>996.73470000000009</v>
      </c>
      <c r="O12" s="113">
        <v>31510.583336124855</v>
      </c>
      <c r="P12" s="113">
        <v>36937.807644552136</v>
      </c>
      <c r="Q12" s="110">
        <v>7997.0912143322694</v>
      </c>
      <c r="R12" s="113">
        <v>39507.674550457123</v>
      </c>
      <c r="S12" s="113">
        <v>44934.898858884408</v>
      </c>
      <c r="U12" s="7" t="s">
        <v>7182</v>
      </c>
    </row>
    <row r="13" spans="1:21" ht="16.5" customHeight="1" thickBot="1">
      <c r="A13" s="207" t="s">
        <v>10</v>
      </c>
      <c r="B13" s="211">
        <f t="shared" si="0"/>
        <v>150</v>
      </c>
      <c r="C13" s="211" t="s">
        <v>3</v>
      </c>
      <c r="D13" s="211">
        <f t="shared" si="1"/>
        <v>160</v>
      </c>
      <c r="E13" s="211" t="s">
        <v>3</v>
      </c>
      <c r="F13" s="209">
        <f t="shared" si="2"/>
        <v>850</v>
      </c>
      <c r="G13" s="211" t="s">
        <v>3</v>
      </c>
      <c r="H13" s="208">
        <v>2</v>
      </c>
      <c r="I13" s="210" t="s">
        <v>529</v>
      </c>
      <c r="J13" s="103">
        <v>150</v>
      </c>
      <c r="K13" s="66">
        <v>160</v>
      </c>
      <c r="L13" s="66">
        <v>850</v>
      </c>
      <c r="M13" s="164">
        <v>8.4246473205489458</v>
      </c>
      <c r="N13" s="78">
        <v>1107.4829999999999</v>
      </c>
      <c r="O13" s="113">
        <v>33195.515866334026</v>
      </c>
      <c r="P13" s="113">
        <v>38890.818291544514</v>
      </c>
      <c r="Q13" s="110">
        <v>8585.9156028377747</v>
      </c>
      <c r="R13" s="113">
        <v>41781.431469171803</v>
      </c>
      <c r="S13" s="113">
        <v>47476.733894382291</v>
      </c>
      <c r="U13" s="7" t="s">
        <v>7183</v>
      </c>
    </row>
    <row r="14" spans="1:21" ht="16.5" customHeight="1" thickBot="1">
      <c r="A14" s="207" t="s">
        <v>10</v>
      </c>
      <c r="B14" s="211">
        <f t="shared" si="0"/>
        <v>150</v>
      </c>
      <c r="C14" s="211" t="s">
        <v>3</v>
      </c>
      <c r="D14" s="211">
        <f t="shared" si="1"/>
        <v>160</v>
      </c>
      <c r="E14" s="211" t="s">
        <v>3</v>
      </c>
      <c r="F14" s="209">
        <f t="shared" si="2"/>
        <v>900</v>
      </c>
      <c r="G14" s="211" t="s">
        <v>3</v>
      </c>
      <c r="H14" s="208">
        <v>2</v>
      </c>
      <c r="I14" s="210" t="s">
        <v>529</v>
      </c>
      <c r="J14" s="103">
        <v>150</v>
      </c>
      <c r="K14" s="66">
        <v>160</v>
      </c>
      <c r="L14" s="66">
        <v>900</v>
      </c>
      <c r="M14" s="164">
        <v>9.0064205146848693</v>
      </c>
      <c r="N14" s="78">
        <v>1218.2313000000001</v>
      </c>
      <c r="O14" s="113">
        <v>34880.448396543201</v>
      </c>
      <c r="P14" s="113">
        <v>40843.82908085364</v>
      </c>
      <c r="Q14" s="110">
        <v>8923.4057005307459</v>
      </c>
      <c r="R14" s="113">
        <v>43803.854097073949</v>
      </c>
      <c r="S14" s="113">
        <v>49767.234781384388</v>
      </c>
      <c r="U14" s="7" t="s">
        <v>7184</v>
      </c>
    </row>
    <row r="15" spans="1:21" ht="16.5" customHeight="1" thickBot="1">
      <c r="A15" s="207" t="s">
        <v>10</v>
      </c>
      <c r="B15" s="211">
        <f t="shared" si="0"/>
        <v>150</v>
      </c>
      <c r="C15" s="211" t="s">
        <v>3</v>
      </c>
      <c r="D15" s="211">
        <f t="shared" si="1"/>
        <v>160</v>
      </c>
      <c r="E15" s="211" t="s">
        <v>3</v>
      </c>
      <c r="F15" s="209">
        <f t="shared" si="2"/>
        <v>950</v>
      </c>
      <c r="G15" s="211" t="s">
        <v>3</v>
      </c>
      <c r="H15" s="208">
        <v>2</v>
      </c>
      <c r="I15" s="210" t="s">
        <v>529</v>
      </c>
      <c r="J15" s="103">
        <v>150</v>
      </c>
      <c r="K15" s="66">
        <v>160</v>
      </c>
      <c r="L15" s="66">
        <v>950</v>
      </c>
      <c r="M15" s="164">
        <v>9.4462337088207882</v>
      </c>
      <c r="N15" s="78">
        <v>1328.9795999999999</v>
      </c>
      <c r="O15" s="113">
        <v>36565.380926752368</v>
      </c>
      <c r="P15" s="113">
        <v>42796.839727846018</v>
      </c>
      <c r="Q15" s="110">
        <v>9512.2300890362512</v>
      </c>
      <c r="R15" s="113">
        <v>46077.611015788621</v>
      </c>
      <c r="S15" s="113">
        <v>52309.069816882271</v>
      </c>
      <c r="U15" s="7" t="s">
        <v>7185</v>
      </c>
    </row>
    <row r="16" spans="1:21" s="7" customFormat="1" ht="16.5" customHeight="1" thickBot="1">
      <c r="A16" s="207" t="s">
        <v>10</v>
      </c>
      <c r="B16" s="211">
        <f t="shared" si="0"/>
        <v>150</v>
      </c>
      <c r="C16" s="211" t="s">
        <v>3</v>
      </c>
      <c r="D16" s="211">
        <f t="shared" si="1"/>
        <v>160</v>
      </c>
      <c r="E16" s="211" t="s">
        <v>3</v>
      </c>
      <c r="F16" s="209">
        <f t="shared" si="2"/>
        <v>1000</v>
      </c>
      <c r="G16" s="211" t="s">
        <v>3</v>
      </c>
      <c r="H16" s="208">
        <v>2</v>
      </c>
      <c r="I16" s="210" t="s">
        <v>529</v>
      </c>
      <c r="J16" s="103">
        <v>150</v>
      </c>
      <c r="K16" s="66">
        <v>160</v>
      </c>
      <c r="L16" s="66">
        <v>1000</v>
      </c>
      <c r="M16" s="164">
        <v>9.8690069029567091</v>
      </c>
      <c r="N16" s="78">
        <v>1439.7279000000001</v>
      </c>
      <c r="O16" s="113">
        <v>38146.61940588204</v>
      </c>
      <c r="P16" s="113">
        <v>44643.624582202334</v>
      </c>
      <c r="Q16" s="110">
        <v>9849.7203397579869</v>
      </c>
      <c r="R16" s="113">
        <v>47996.339745640027</v>
      </c>
      <c r="S16" s="113">
        <v>54493.344921960321</v>
      </c>
      <c r="U16" s="7" t="s">
        <v>7186</v>
      </c>
    </row>
    <row r="17" spans="1:21" s="7" customFormat="1" ht="16.5" customHeight="1" thickBot="1">
      <c r="A17" s="207" t="s">
        <v>10</v>
      </c>
      <c r="B17" s="211">
        <f t="shared" si="0"/>
        <v>150</v>
      </c>
      <c r="C17" s="211" t="s">
        <v>3</v>
      </c>
      <c r="D17" s="211">
        <f t="shared" si="1"/>
        <v>160</v>
      </c>
      <c r="E17" s="211" t="s">
        <v>3</v>
      </c>
      <c r="F17" s="209">
        <f t="shared" si="2"/>
        <v>1050</v>
      </c>
      <c r="G17" s="211" t="s">
        <v>3</v>
      </c>
      <c r="H17" s="208">
        <v>2</v>
      </c>
      <c r="I17" s="210" t="s">
        <v>529</v>
      </c>
      <c r="J17" s="103">
        <v>150</v>
      </c>
      <c r="K17" s="66">
        <v>160</v>
      </c>
      <c r="L17" s="66">
        <v>1050</v>
      </c>
      <c r="M17" s="164">
        <v>10.308820097092632</v>
      </c>
      <c r="N17" s="78">
        <v>1550.4762000000001</v>
      </c>
      <c r="O17" s="113">
        <v>40077.825144811963</v>
      </c>
      <c r="P17" s="113">
        <v>46848.921557863716</v>
      </c>
      <c r="Q17" s="110">
        <v>10438.544728263492</v>
      </c>
      <c r="R17" s="113">
        <v>50516.369873075455</v>
      </c>
      <c r="S17" s="113">
        <v>57287.466286127208</v>
      </c>
      <c r="U17" s="7" t="s">
        <v>7187</v>
      </c>
    </row>
    <row r="18" spans="1:21" s="7" customFormat="1" ht="16.5" customHeight="1" thickBot="1">
      <c r="A18" s="207" t="s">
        <v>10</v>
      </c>
      <c r="B18" s="208">
        <f t="shared" si="0"/>
        <v>150</v>
      </c>
      <c r="C18" s="208" t="s">
        <v>3</v>
      </c>
      <c r="D18" s="208">
        <f t="shared" si="1"/>
        <v>160</v>
      </c>
      <c r="E18" s="208" t="s">
        <v>3</v>
      </c>
      <c r="F18" s="209">
        <f t="shared" si="2"/>
        <v>1100</v>
      </c>
      <c r="G18" s="208" t="s">
        <v>3</v>
      </c>
      <c r="H18" s="208">
        <v>2</v>
      </c>
      <c r="I18" s="210" t="s">
        <v>529</v>
      </c>
      <c r="J18" s="103">
        <v>150</v>
      </c>
      <c r="K18" s="66">
        <v>160</v>
      </c>
      <c r="L18" s="66">
        <v>1100</v>
      </c>
      <c r="M18" s="164">
        <v>10.731593291228553</v>
      </c>
      <c r="N18" s="78">
        <v>1661.2244999999998</v>
      </c>
      <c r="O18" s="113">
        <v>41762.75767502113</v>
      </c>
      <c r="P18" s="113">
        <v>48801.932204856101</v>
      </c>
      <c r="Q18" s="110">
        <v>10776.034825956463</v>
      </c>
      <c r="R18" s="113">
        <v>52538.792500977594</v>
      </c>
      <c r="S18" s="113">
        <v>59577.967030812564</v>
      </c>
      <c r="U18" s="7" t="s">
        <v>7188</v>
      </c>
    </row>
    <row r="19" spans="1:21" s="7" customFormat="1" ht="16.5" customHeight="1" thickBot="1">
      <c r="A19" s="207" t="s">
        <v>10</v>
      </c>
      <c r="B19" s="211">
        <f t="shared" si="0"/>
        <v>150</v>
      </c>
      <c r="C19" s="211" t="s">
        <v>3</v>
      </c>
      <c r="D19" s="211">
        <f t="shared" si="1"/>
        <v>160</v>
      </c>
      <c r="E19" s="211" t="s">
        <v>3</v>
      </c>
      <c r="F19" s="209">
        <f t="shared" si="2"/>
        <v>1150</v>
      </c>
      <c r="G19" s="211" t="s">
        <v>3</v>
      </c>
      <c r="H19" s="208">
        <v>2</v>
      </c>
      <c r="I19" s="210" t="s">
        <v>529</v>
      </c>
      <c r="J19" s="103">
        <v>150</v>
      </c>
      <c r="K19" s="66">
        <v>160</v>
      </c>
      <c r="L19" s="66">
        <v>1150</v>
      </c>
      <c r="M19" s="164">
        <v>11.154366485364472</v>
      </c>
      <c r="N19" s="78">
        <v>1771.9728</v>
      </c>
      <c r="O19" s="113">
        <v>42624.366801872966</v>
      </c>
      <c r="P19" s="113">
        <v>49911.517282316498</v>
      </c>
      <c r="Q19" s="110">
        <v>11113.525076678199</v>
      </c>
      <c r="R19" s="113">
        <v>53737.891878551163</v>
      </c>
      <c r="S19" s="113">
        <v>61025.042358994695</v>
      </c>
      <c r="U19" s="7" t="s">
        <v>7189</v>
      </c>
    </row>
    <row r="20" spans="1:21" s="7" customFormat="1" ht="16.5" customHeight="1" thickBot="1">
      <c r="A20" s="207" t="s">
        <v>10</v>
      </c>
      <c r="B20" s="211">
        <f t="shared" si="0"/>
        <v>150</v>
      </c>
      <c r="C20" s="211" t="s">
        <v>3</v>
      </c>
      <c r="D20" s="211">
        <f t="shared" si="1"/>
        <v>160</v>
      </c>
      <c r="E20" s="211" t="s">
        <v>3</v>
      </c>
      <c r="F20" s="209">
        <f t="shared" si="2"/>
        <v>1200</v>
      </c>
      <c r="G20" s="211" t="s">
        <v>3</v>
      </c>
      <c r="H20" s="208">
        <v>2</v>
      </c>
      <c r="I20" s="210" t="s">
        <v>529</v>
      </c>
      <c r="J20" s="103">
        <v>150</v>
      </c>
      <c r="K20" s="66">
        <v>160</v>
      </c>
      <c r="L20" s="66">
        <v>1200</v>
      </c>
      <c r="M20" s="164">
        <v>11.633429679500393</v>
      </c>
      <c r="N20" s="78">
        <v>1882.7211</v>
      </c>
      <c r="O20" s="113">
        <v>43524.277521302254</v>
      </c>
      <c r="P20" s="113">
        <v>51060.33894586697</v>
      </c>
      <c r="Q20" s="110">
        <v>11702.349465183703</v>
      </c>
      <c r="R20" s="113">
        <v>55226.626986485957</v>
      </c>
      <c r="S20" s="113">
        <v>62762.688411050673</v>
      </c>
      <c r="U20" s="7" t="s">
        <v>7190</v>
      </c>
    </row>
    <row r="21" spans="1:21" s="7" customFormat="1" ht="16.5" customHeight="1" thickBot="1">
      <c r="A21" s="207" t="s">
        <v>10</v>
      </c>
      <c r="B21" s="211">
        <f t="shared" si="0"/>
        <v>150</v>
      </c>
      <c r="C21" s="211" t="s">
        <v>3</v>
      </c>
      <c r="D21" s="211">
        <f t="shared" si="1"/>
        <v>160</v>
      </c>
      <c r="E21" s="211" t="s">
        <v>3</v>
      </c>
      <c r="F21" s="209">
        <f t="shared" si="2"/>
        <v>1250</v>
      </c>
      <c r="G21" s="211" t="s">
        <v>3</v>
      </c>
      <c r="H21" s="208">
        <v>2</v>
      </c>
      <c r="I21" s="210" t="s">
        <v>529</v>
      </c>
      <c r="J21" s="103">
        <v>150</v>
      </c>
      <c r="K21" s="66">
        <v>160</v>
      </c>
      <c r="L21" s="66">
        <v>1250</v>
      </c>
      <c r="M21" s="164">
        <v>12.918202873636314</v>
      </c>
      <c r="N21" s="78">
        <v>1993.4694000000002</v>
      </c>
      <c r="O21" s="113">
        <v>44385.362448119158</v>
      </c>
      <c r="P21" s="113">
        <v>52169.386777590218</v>
      </c>
      <c r="Q21" s="110">
        <v>12039.83971590544</v>
      </c>
      <c r="R21" s="113">
        <v>56425.202164024595</v>
      </c>
      <c r="S21" s="113">
        <v>64209.226493495662</v>
      </c>
      <c r="U21" s="7" t="s">
        <v>7191</v>
      </c>
    </row>
    <row r="22" spans="1:21" s="7" customFormat="1" ht="16.5" customHeight="1" thickBot="1">
      <c r="A22" s="207" t="s">
        <v>10</v>
      </c>
      <c r="B22" s="211">
        <f t="shared" si="0"/>
        <v>150</v>
      </c>
      <c r="C22" s="211" t="s">
        <v>3</v>
      </c>
      <c r="D22" s="211">
        <f t="shared" si="1"/>
        <v>160</v>
      </c>
      <c r="E22" s="211" t="s">
        <v>3</v>
      </c>
      <c r="F22" s="209">
        <f t="shared" si="2"/>
        <v>1300</v>
      </c>
      <c r="G22" s="211" t="s">
        <v>3</v>
      </c>
      <c r="H22" s="208">
        <v>2</v>
      </c>
      <c r="I22" s="210" t="s">
        <v>529</v>
      </c>
      <c r="J22" s="103">
        <v>150</v>
      </c>
      <c r="K22" s="66">
        <v>160</v>
      </c>
      <c r="L22" s="66">
        <v>1300</v>
      </c>
      <c r="M22" s="164">
        <v>13.358016067772237</v>
      </c>
      <c r="N22" s="78">
        <v>2104.2176999999997</v>
      </c>
      <c r="O22" s="113">
        <v>47919.545358694544</v>
      </c>
      <c r="P22" s="113">
        <v>56016.799329261703</v>
      </c>
      <c r="Q22" s="110">
        <v>12628.663951382177</v>
      </c>
      <c r="R22" s="113">
        <v>60548.209310076723</v>
      </c>
      <c r="S22" s="113">
        <v>68645.463280643875</v>
      </c>
      <c r="U22" s="7" t="s">
        <v>7192</v>
      </c>
    </row>
    <row r="23" spans="1:21" s="7" customFormat="1" ht="16.5" customHeight="1" thickBot="1">
      <c r="A23" s="207" t="s">
        <v>10</v>
      </c>
      <c r="B23" s="211">
        <f t="shared" si="0"/>
        <v>150</v>
      </c>
      <c r="C23" s="211" t="s">
        <v>3</v>
      </c>
      <c r="D23" s="211">
        <f t="shared" si="1"/>
        <v>160</v>
      </c>
      <c r="E23" s="211" t="s">
        <v>3</v>
      </c>
      <c r="F23" s="209">
        <f t="shared" si="2"/>
        <v>1350</v>
      </c>
      <c r="G23" s="211" t="s">
        <v>3</v>
      </c>
      <c r="H23" s="208">
        <v>2</v>
      </c>
      <c r="I23" s="210" t="s">
        <v>529</v>
      </c>
      <c r="J23" s="103">
        <v>150</v>
      </c>
      <c r="K23" s="66">
        <v>160</v>
      </c>
      <c r="L23" s="66">
        <v>1350</v>
      </c>
      <c r="M23" s="164">
        <v>13.780789261908158</v>
      </c>
      <c r="N23" s="78">
        <v>2214.9659999999999</v>
      </c>
      <c r="O23" s="113">
        <v>49052.799236106919</v>
      </c>
      <c r="P23" s="113">
        <v>57404.661616779405</v>
      </c>
      <c r="Q23" s="110">
        <v>12966.154202103913</v>
      </c>
      <c r="R23" s="113">
        <v>62018.953438210832</v>
      </c>
      <c r="S23" s="113">
        <v>70370.815818883319</v>
      </c>
      <c r="U23" s="7" t="s">
        <v>7193</v>
      </c>
    </row>
    <row r="24" spans="1:21" s="7" customFormat="1" ht="16.5" customHeight="1" thickBot="1">
      <c r="A24" s="207" t="s">
        <v>10</v>
      </c>
      <c r="B24" s="211">
        <f t="shared" si="0"/>
        <v>150</v>
      </c>
      <c r="C24" s="211" t="s">
        <v>3</v>
      </c>
      <c r="D24" s="211">
        <f t="shared" si="1"/>
        <v>160</v>
      </c>
      <c r="E24" s="211" t="s">
        <v>3</v>
      </c>
      <c r="F24" s="209">
        <f t="shared" si="2"/>
        <v>1400</v>
      </c>
      <c r="G24" s="211" t="s">
        <v>3</v>
      </c>
      <c r="H24" s="208">
        <v>2</v>
      </c>
      <c r="I24" s="210" t="s">
        <v>529</v>
      </c>
      <c r="J24" s="103">
        <v>150</v>
      </c>
      <c r="K24" s="66">
        <v>160</v>
      </c>
      <c r="L24" s="66">
        <v>1400</v>
      </c>
      <c r="M24" s="164">
        <v>14.220602456044077</v>
      </c>
      <c r="N24" s="78">
        <v>2325.7143000000001</v>
      </c>
      <c r="O24" s="113">
        <v>50542.501332808533</v>
      </c>
      <c r="P24" s="113">
        <v>59157.674959745993</v>
      </c>
      <c r="Q24" s="110">
        <v>13554.97859060942</v>
      </c>
      <c r="R24" s="113">
        <v>64097.479923417952</v>
      </c>
      <c r="S24" s="113">
        <v>72712.653550355419</v>
      </c>
      <c r="U24" s="7" t="s">
        <v>7194</v>
      </c>
    </row>
    <row r="25" spans="1:21" s="7" customFormat="1" ht="16.5" customHeight="1" thickBot="1">
      <c r="A25" s="207" t="s">
        <v>10</v>
      </c>
      <c r="B25" s="211">
        <f t="shared" si="0"/>
        <v>150</v>
      </c>
      <c r="C25" s="211" t="s">
        <v>3</v>
      </c>
      <c r="D25" s="211">
        <f t="shared" si="1"/>
        <v>160</v>
      </c>
      <c r="E25" s="211" t="s">
        <v>3</v>
      </c>
      <c r="F25" s="209">
        <f t="shared" si="2"/>
        <v>1450</v>
      </c>
      <c r="G25" s="211" t="s">
        <v>3</v>
      </c>
      <c r="H25" s="208">
        <v>2</v>
      </c>
      <c r="I25" s="210" t="s">
        <v>529</v>
      </c>
      <c r="J25" s="103">
        <v>150</v>
      </c>
      <c r="K25" s="66">
        <v>160</v>
      </c>
      <c r="L25" s="66">
        <v>1450</v>
      </c>
      <c r="M25" s="164">
        <v>14.643375650180001</v>
      </c>
      <c r="N25" s="78">
        <v>2436.4626000000003</v>
      </c>
      <c r="O25" s="113">
        <v>51675.755210220908</v>
      </c>
      <c r="P25" s="113">
        <v>60545.537247263688</v>
      </c>
      <c r="Q25" s="110">
        <v>13892.468841331156</v>
      </c>
      <c r="R25" s="113">
        <v>65568.224051552068</v>
      </c>
      <c r="S25" s="113">
        <v>74438.006088594848</v>
      </c>
      <c r="U25" s="7" t="s">
        <v>7195</v>
      </c>
    </row>
    <row r="26" spans="1:21" s="7" customFormat="1" ht="16.5" customHeight="1" thickBot="1">
      <c r="A26" s="207" t="s">
        <v>10</v>
      </c>
      <c r="B26" s="211">
        <f t="shared" si="0"/>
        <v>150</v>
      </c>
      <c r="C26" s="211" t="s">
        <v>3</v>
      </c>
      <c r="D26" s="211">
        <f t="shared" si="1"/>
        <v>160</v>
      </c>
      <c r="E26" s="211" t="s">
        <v>3</v>
      </c>
      <c r="F26" s="209">
        <f t="shared" si="2"/>
        <v>1500</v>
      </c>
      <c r="G26" s="211" t="s">
        <v>3</v>
      </c>
      <c r="H26" s="208">
        <v>2</v>
      </c>
      <c r="I26" s="210" t="s">
        <v>529</v>
      </c>
      <c r="J26" s="103">
        <v>150</v>
      </c>
      <c r="K26" s="66">
        <v>160</v>
      </c>
      <c r="L26" s="66">
        <v>1500</v>
      </c>
      <c r="M26" s="164">
        <v>14.912759214275921</v>
      </c>
      <c r="N26" s="78">
        <v>2547.2109</v>
      </c>
      <c r="O26" s="113">
        <v>53249.412039862669</v>
      </c>
      <c r="P26" s="113">
        <v>62460.979972078108</v>
      </c>
      <c r="Q26" s="110">
        <v>14481.293076807897</v>
      </c>
      <c r="R26" s="113">
        <v>67730.705116670564</v>
      </c>
      <c r="S26" s="113">
        <v>76942.273048886011</v>
      </c>
      <c r="U26" s="7" t="s">
        <v>7196</v>
      </c>
    </row>
    <row r="27" spans="1:21" s="7" customFormat="1" ht="16.5" customHeight="1" thickBot="1">
      <c r="A27" s="207" t="s">
        <v>10</v>
      </c>
      <c r="B27" s="211">
        <f t="shared" si="0"/>
        <v>150</v>
      </c>
      <c r="C27" s="211" t="s">
        <v>3</v>
      </c>
      <c r="D27" s="211">
        <f t="shared" si="1"/>
        <v>160</v>
      </c>
      <c r="E27" s="211" t="s">
        <v>3</v>
      </c>
      <c r="F27" s="209">
        <f t="shared" si="2"/>
        <v>1550</v>
      </c>
      <c r="G27" s="211" t="s">
        <v>3</v>
      </c>
      <c r="H27" s="208">
        <v>2</v>
      </c>
      <c r="I27" s="210" t="s">
        <v>529</v>
      </c>
      <c r="J27" s="103">
        <v>150</v>
      </c>
      <c r="K27" s="66">
        <v>160</v>
      </c>
      <c r="L27" s="66">
        <v>1550</v>
      </c>
      <c r="M27" s="164">
        <v>15.33553240841184</v>
      </c>
      <c r="N27" s="78">
        <v>2657.9591999999998</v>
      </c>
      <c r="O27" s="113">
        <v>54382.666047349499</v>
      </c>
      <c r="P27" s="113">
        <v>63848.842259595818</v>
      </c>
      <c r="Q27" s="110">
        <v>14818.783327529631</v>
      </c>
      <c r="R27" s="113">
        <v>69201.449374879128</v>
      </c>
      <c r="S27" s="113">
        <v>78667.625587125454</v>
      </c>
      <c r="U27" s="7" t="s">
        <v>7197</v>
      </c>
    </row>
    <row r="28" spans="1:21" s="7" customFormat="1" ht="16.5" customHeight="1" thickBot="1">
      <c r="A28" s="207" t="s">
        <v>10</v>
      </c>
      <c r="B28" s="208">
        <f t="shared" si="0"/>
        <v>150</v>
      </c>
      <c r="C28" s="208" t="s">
        <v>3</v>
      </c>
      <c r="D28" s="208">
        <f t="shared" si="1"/>
        <v>160</v>
      </c>
      <c r="E28" s="208" t="s">
        <v>3</v>
      </c>
      <c r="F28" s="209">
        <f t="shared" si="2"/>
        <v>1600</v>
      </c>
      <c r="G28" s="208" t="s">
        <v>3</v>
      </c>
      <c r="H28" s="208">
        <v>2</v>
      </c>
      <c r="I28" s="210" t="s">
        <v>529</v>
      </c>
      <c r="J28" s="103">
        <v>150</v>
      </c>
      <c r="K28" s="66">
        <v>160</v>
      </c>
      <c r="L28" s="66">
        <v>1600</v>
      </c>
      <c r="M28" s="164">
        <v>15.758305602547761</v>
      </c>
      <c r="N28" s="78">
        <v>2768.7075</v>
      </c>
      <c r="O28" s="113">
        <v>57637.105121712899</v>
      </c>
      <c r="P28" s="113">
        <v>67409.680676910459</v>
      </c>
      <c r="Q28" s="110">
        <v>15156.273578251366</v>
      </c>
      <c r="R28" s="113">
        <v>72793.378699964262</v>
      </c>
      <c r="S28" s="113">
        <v>82565.954255161821</v>
      </c>
      <c r="U28" s="7" t="s">
        <v>7198</v>
      </c>
    </row>
    <row r="29" spans="1:21" s="7" customFormat="1" ht="16.5" customHeight="1" thickBot="1">
      <c r="A29" s="207" t="s">
        <v>10</v>
      </c>
      <c r="B29" s="211">
        <f t="shared" si="0"/>
        <v>150</v>
      </c>
      <c r="C29" s="211" t="s">
        <v>3</v>
      </c>
      <c r="D29" s="211">
        <f t="shared" si="1"/>
        <v>160</v>
      </c>
      <c r="E29" s="211" t="s">
        <v>3</v>
      </c>
      <c r="F29" s="209">
        <f t="shared" si="2"/>
        <v>1650</v>
      </c>
      <c r="G29" s="211" t="s">
        <v>3</v>
      </c>
      <c r="H29" s="208">
        <v>2</v>
      </c>
      <c r="I29" s="210" t="s">
        <v>529</v>
      </c>
      <c r="J29" s="103">
        <v>150</v>
      </c>
      <c r="K29" s="66">
        <v>160</v>
      </c>
      <c r="L29" s="66">
        <v>1650</v>
      </c>
      <c r="M29" s="164">
        <v>16.198118796683687</v>
      </c>
      <c r="N29" s="78">
        <v>2879.4558000000002</v>
      </c>
      <c r="O29" s="113">
        <v>61166.507666163241</v>
      </c>
      <c r="P29" s="113">
        <v>71252.196109160548</v>
      </c>
      <c r="Q29" s="110">
        <v>15745.097966756874</v>
      </c>
      <c r="R29" s="113">
        <v>76911.605632920109</v>
      </c>
      <c r="S29" s="113">
        <v>86997.294075917423</v>
      </c>
      <c r="U29" s="7" t="s">
        <v>7199</v>
      </c>
    </row>
    <row r="30" spans="1:21" s="7" customFormat="1" ht="16.5" customHeight="1" thickBot="1">
      <c r="A30" s="207" t="s">
        <v>10</v>
      </c>
      <c r="B30" s="211">
        <f t="shared" si="0"/>
        <v>150</v>
      </c>
      <c r="C30" s="211" t="s">
        <v>3</v>
      </c>
      <c r="D30" s="211">
        <f t="shared" si="1"/>
        <v>160</v>
      </c>
      <c r="E30" s="211" t="s">
        <v>3</v>
      </c>
      <c r="F30" s="209">
        <f t="shared" si="2"/>
        <v>1700</v>
      </c>
      <c r="G30" s="211" t="s">
        <v>3</v>
      </c>
      <c r="H30" s="208">
        <v>2</v>
      </c>
      <c r="I30" s="210" t="s">
        <v>529</v>
      </c>
      <c r="J30" s="103">
        <v>150</v>
      </c>
      <c r="K30" s="66">
        <v>160</v>
      </c>
      <c r="L30" s="66">
        <v>1700</v>
      </c>
      <c r="M30" s="164">
        <v>17.482891990819606</v>
      </c>
      <c r="N30" s="78">
        <v>2990.2041000000004</v>
      </c>
      <c r="O30" s="113">
        <v>62076.150946191541</v>
      </c>
      <c r="P30" s="113">
        <v>72410.988057375493</v>
      </c>
      <c r="Q30" s="110">
        <v>16082.58806444969</v>
      </c>
      <c r="R30" s="113">
        <v>78158.739010641235</v>
      </c>
      <c r="S30" s="113">
        <v>88493.576121825186</v>
      </c>
      <c r="U30" s="7" t="s">
        <v>7200</v>
      </c>
    </row>
    <row r="31" spans="1:21" s="7" customFormat="1" ht="16.5" customHeight="1" thickBot="1">
      <c r="A31" s="207" t="s">
        <v>10</v>
      </c>
      <c r="B31" s="211">
        <f t="shared" si="0"/>
        <v>150</v>
      </c>
      <c r="C31" s="211" t="s">
        <v>3</v>
      </c>
      <c r="D31" s="211">
        <f t="shared" si="1"/>
        <v>160</v>
      </c>
      <c r="E31" s="211" t="s">
        <v>3</v>
      </c>
      <c r="F31" s="209">
        <f t="shared" si="2"/>
        <v>1750</v>
      </c>
      <c r="G31" s="211" t="s">
        <v>3</v>
      </c>
      <c r="H31" s="208">
        <v>2</v>
      </c>
      <c r="I31" s="210" t="s">
        <v>529</v>
      </c>
      <c r="J31" s="103">
        <v>150</v>
      </c>
      <c r="K31" s="66">
        <v>160</v>
      </c>
      <c r="L31" s="66">
        <v>1750</v>
      </c>
      <c r="M31" s="164">
        <v>17.922705184955525</v>
      </c>
      <c r="N31" s="78">
        <v>3100.9524000000001</v>
      </c>
      <c r="O31" s="113">
        <v>62902.786695427189</v>
      </c>
      <c r="P31" s="113">
        <v>73484.745604212847</v>
      </c>
      <c r="Q31" s="110">
        <v>16671.412452955348</v>
      </c>
      <c r="R31" s="113">
        <v>79574.19914838254</v>
      </c>
      <c r="S31" s="113">
        <v>90156.158057168199</v>
      </c>
      <c r="U31" s="7" t="s">
        <v>7201</v>
      </c>
    </row>
    <row r="32" spans="1:21" s="7" customFormat="1" ht="16.5" customHeight="1" thickBot="1">
      <c r="A32" s="207" t="s">
        <v>10</v>
      </c>
      <c r="B32" s="211">
        <f t="shared" si="0"/>
        <v>150</v>
      </c>
      <c r="C32" s="211" t="s">
        <v>3</v>
      </c>
      <c r="D32" s="211">
        <f t="shared" si="1"/>
        <v>160</v>
      </c>
      <c r="E32" s="211" t="s">
        <v>3</v>
      </c>
      <c r="F32" s="209">
        <f t="shared" si="2"/>
        <v>1800</v>
      </c>
      <c r="G32" s="211" t="s">
        <v>3</v>
      </c>
      <c r="H32" s="208">
        <v>2</v>
      </c>
      <c r="I32" s="210" t="s">
        <v>529</v>
      </c>
      <c r="J32" s="103">
        <v>150</v>
      </c>
      <c r="K32" s="66">
        <v>160</v>
      </c>
      <c r="L32" s="66">
        <v>1800</v>
      </c>
      <c r="M32" s="164">
        <v>18.345478379091446</v>
      </c>
      <c r="N32" s="78">
        <v>3211.7006999999999</v>
      </c>
      <c r="O32" s="113">
        <v>63813.189220022221</v>
      </c>
      <c r="P32" s="113">
        <v>74644.315313475105</v>
      </c>
      <c r="Q32" s="110">
        <v>17008.902703677086</v>
      </c>
      <c r="R32" s="113">
        <v>80822.091923699307</v>
      </c>
      <c r="S32" s="113">
        <v>91653.21801715219</v>
      </c>
      <c r="U32" s="7" t="s">
        <v>7202</v>
      </c>
    </row>
    <row r="33" spans="1:21" s="7" customFormat="1" ht="16.5" customHeight="1" thickBot="1">
      <c r="A33" s="207" t="s">
        <v>10</v>
      </c>
      <c r="B33" s="211">
        <f t="shared" si="0"/>
        <v>150</v>
      </c>
      <c r="C33" s="211" t="s">
        <v>3</v>
      </c>
      <c r="D33" s="211">
        <f t="shared" si="1"/>
        <v>160</v>
      </c>
      <c r="E33" s="211" t="s">
        <v>3</v>
      </c>
      <c r="F33" s="209">
        <f t="shared" si="2"/>
        <v>1850</v>
      </c>
      <c r="G33" s="211" t="s">
        <v>3</v>
      </c>
      <c r="H33" s="208">
        <v>2</v>
      </c>
      <c r="I33" s="210" t="s">
        <v>529</v>
      </c>
      <c r="J33" s="103">
        <v>150</v>
      </c>
      <c r="K33" s="66">
        <v>160</v>
      </c>
      <c r="L33" s="66">
        <v>1850</v>
      </c>
      <c r="M33" s="164">
        <v>18.785291573227365</v>
      </c>
      <c r="N33" s="78">
        <v>3322.4489999999996</v>
      </c>
      <c r="O33" s="113">
        <v>64723.539324613746</v>
      </c>
      <c r="P33" s="113">
        <v>75803.831369322026</v>
      </c>
      <c r="Q33" s="110">
        <v>17597.727092182588</v>
      </c>
      <c r="R33" s="113">
        <v>82321.266416796338</v>
      </c>
      <c r="S33" s="113">
        <v>93401.55846150461</v>
      </c>
      <c r="U33" s="7" t="s">
        <v>7203</v>
      </c>
    </row>
    <row r="34" spans="1:21" s="7" customFormat="1" ht="16.5" customHeight="1" thickBot="1">
      <c r="A34" s="207" t="s">
        <v>10</v>
      </c>
      <c r="B34" s="211">
        <f t="shared" si="0"/>
        <v>150</v>
      </c>
      <c r="C34" s="211" t="s">
        <v>3</v>
      </c>
      <c r="D34" s="211">
        <f t="shared" si="1"/>
        <v>160</v>
      </c>
      <c r="E34" s="211" t="s">
        <v>3</v>
      </c>
      <c r="F34" s="209">
        <f t="shared" si="2"/>
        <v>1900</v>
      </c>
      <c r="G34" s="211" t="s">
        <v>3</v>
      </c>
      <c r="H34" s="208">
        <v>2</v>
      </c>
      <c r="I34" s="210" t="s">
        <v>529</v>
      </c>
      <c r="J34" s="103">
        <v>150</v>
      </c>
      <c r="K34" s="66">
        <v>160</v>
      </c>
      <c r="L34" s="66">
        <v>1900</v>
      </c>
      <c r="M34" s="164">
        <v>19.20806476736329</v>
      </c>
      <c r="N34" s="78">
        <v>3433.1972999999998</v>
      </c>
      <c r="O34" s="113">
        <v>65824.698632145213</v>
      </c>
      <c r="P34" s="113">
        <v>77158.81549857615</v>
      </c>
      <c r="Q34" s="110">
        <v>17935.217189875559</v>
      </c>
      <c r="R34" s="113">
        <v>83759.915822020776</v>
      </c>
      <c r="S34" s="113">
        <v>95094.032688451713</v>
      </c>
      <c r="U34" s="7" t="s">
        <v>7204</v>
      </c>
    </row>
    <row r="35" spans="1:21" s="7" customFormat="1" ht="16.5" customHeight="1" thickBot="1">
      <c r="A35" s="207" t="s">
        <v>10</v>
      </c>
      <c r="B35" s="211">
        <f t="shared" si="0"/>
        <v>150</v>
      </c>
      <c r="C35" s="211" t="s">
        <v>3</v>
      </c>
      <c r="D35" s="211">
        <f t="shared" si="1"/>
        <v>160</v>
      </c>
      <c r="E35" s="211" t="s">
        <v>3</v>
      </c>
      <c r="F35" s="209">
        <f t="shared" si="2"/>
        <v>1950</v>
      </c>
      <c r="G35" s="211" t="s">
        <v>3</v>
      </c>
      <c r="H35" s="208">
        <v>2</v>
      </c>
      <c r="I35" s="210" t="s">
        <v>529</v>
      </c>
      <c r="J35" s="103">
        <v>150</v>
      </c>
      <c r="K35" s="66">
        <v>160</v>
      </c>
      <c r="L35" s="66">
        <v>1950</v>
      </c>
      <c r="M35" s="164">
        <v>19.670087961499206</v>
      </c>
      <c r="N35" s="78">
        <v>3543.9456</v>
      </c>
      <c r="O35" s="113">
        <v>67099.387402259061</v>
      </c>
      <c r="P35" s="113">
        <v>78691.565774410643</v>
      </c>
      <c r="Q35" s="110">
        <v>18272.707440597296</v>
      </c>
      <c r="R35" s="113">
        <v>85372.094842856357</v>
      </c>
      <c r="S35" s="113">
        <v>96964.273215007939</v>
      </c>
      <c r="U35" s="7" t="s">
        <v>7205</v>
      </c>
    </row>
    <row r="36" spans="1:21" s="7" customFormat="1" ht="16.5" customHeight="1" thickBot="1">
      <c r="A36" s="207" t="s">
        <v>10</v>
      </c>
      <c r="B36" s="211">
        <f t="shared" si="0"/>
        <v>150</v>
      </c>
      <c r="C36" s="211" t="s">
        <v>3</v>
      </c>
      <c r="D36" s="211">
        <f t="shared" si="1"/>
        <v>160</v>
      </c>
      <c r="E36" s="211" t="s">
        <v>3</v>
      </c>
      <c r="F36" s="209">
        <f t="shared" si="2"/>
        <v>2000</v>
      </c>
      <c r="G36" s="211" t="s">
        <v>3</v>
      </c>
      <c r="H36" s="208">
        <v>2</v>
      </c>
      <c r="I36" s="210" t="s">
        <v>529</v>
      </c>
      <c r="J36" s="103">
        <v>150</v>
      </c>
      <c r="K36" s="66">
        <v>160</v>
      </c>
      <c r="L36" s="66">
        <v>2000</v>
      </c>
      <c r="M36" s="164">
        <v>20.201463555635133</v>
      </c>
      <c r="N36" s="78">
        <v>3654.6938999999998</v>
      </c>
      <c r="O36" s="113">
        <v>68234.584852108659</v>
      </c>
      <c r="P36" s="113">
        <v>80308.317374323102</v>
      </c>
      <c r="Q36" s="110">
        <v>18861.531829102802</v>
      </c>
      <c r="R36" s="113">
        <v>87096.116681211453</v>
      </c>
      <c r="S36" s="113">
        <v>99169.849203425896</v>
      </c>
      <c r="U36" s="7" t="s">
        <v>7206</v>
      </c>
    </row>
    <row r="37" spans="1:21" s="7" customFormat="1" ht="16.5" customHeight="1" thickBot="1">
      <c r="A37" s="207" t="s">
        <v>10</v>
      </c>
      <c r="B37" s="211">
        <f t="shared" si="0"/>
        <v>150</v>
      </c>
      <c r="C37" s="211" t="s">
        <v>3</v>
      </c>
      <c r="D37" s="211">
        <f t="shared" si="1"/>
        <v>160</v>
      </c>
      <c r="E37" s="211" t="s">
        <v>3</v>
      </c>
      <c r="F37" s="209">
        <f t="shared" si="2"/>
        <v>2050</v>
      </c>
      <c r="G37" s="211" t="s">
        <v>3</v>
      </c>
      <c r="H37" s="208">
        <v>2</v>
      </c>
      <c r="I37" s="210" t="s">
        <v>529</v>
      </c>
      <c r="J37" s="103">
        <v>150</v>
      </c>
      <c r="K37" s="66">
        <v>160</v>
      </c>
      <c r="L37" s="66">
        <v>2050</v>
      </c>
      <c r="M37" s="164">
        <v>21.486236749771052</v>
      </c>
      <c r="N37" s="78">
        <v>3765.4422</v>
      </c>
      <c r="O37" s="113">
        <v>71481.862547533252</v>
      </c>
      <c r="P37" s="113">
        <v>83861.819647728</v>
      </c>
      <c r="Q37" s="110">
        <v>19199.022079824535</v>
      </c>
      <c r="R37" s="113">
        <v>90680.884627357795</v>
      </c>
      <c r="S37" s="113">
        <v>103060.84172755253</v>
      </c>
      <c r="U37" s="7" t="s">
        <v>7207</v>
      </c>
    </row>
    <row r="38" spans="1:21" s="7" customFormat="1" ht="16.5" customHeight="1" thickBot="1">
      <c r="A38" s="207" t="s">
        <v>10</v>
      </c>
      <c r="B38" s="208">
        <f t="shared" si="0"/>
        <v>150</v>
      </c>
      <c r="C38" s="208" t="s">
        <v>3</v>
      </c>
      <c r="D38" s="208">
        <f t="shared" si="1"/>
        <v>160</v>
      </c>
      <c r="E38" s="208" t="s">
        <v>3</v>
      </c>
      <c r="F38" s="209">
        <f t="shared" si="2"/>
        <v>2100</v>
      </c>
      <c r="G38" s="208" t="s">
        <v>3</v>
      </c>
      <c r="H38" s="208">
        <v>2</v>
      </c>
      <c r="I38" s="210" t="s">
        <v>529</v>
      </c>
      <c r="J38" s="103">
        <v>150</v>
      </c>
      <c r="K38" s="66">
        <v>160</v>
      </c>
      <c r="L38" s="66">
        <v>2100</v>
      </c>
      <c r="M38" s="164">
        <v>21.926049943906971</v>
      </c>
      <c r="N38" s="78">
        <v>3876.1904999999997</v>
      </c>
      <c r="O38" s="113">
        <v>72459.716088881672</v>
      </c>
      <c r="P38" s="113">
        <v>85090.487270844213</v>
      </c>
      <c r="Q38" s="110">
        <v>19787.846468330041</v>
      </c>
      <c r="R38" s="113">
        <v>92247.562557211713</v>
      </c>
      <c r="S38" s="113">
        <v>104878.33373917425</v>
      </c>
      <c r="U38" s="7" t="s">
        <v>7208</v>
      </c>
    </row>
    <row r="39" spans="1:21" s="7" customFormat="1" ht="16.5" customHeight="1" thickBot="1">
      <c r="A39" s="207" t="s">
        <v>10</v>
      </c>
      <c r="B39" s="211">
        <f t="shared" si="0"/>
        <v>150</v>
      </c>
      <c r="C39" s="211" t="s">
        <v>3</v>
      </c>
      <c r="D39" s="211">
        <f t="shared" si="1"/>
        <v>160</v>
      </c>
      <c r="E39" s="211" t="s">
        <v>3</v>
      </c>
      <c r="F39" s="209">
        <f t="shared" si="2"/>
        <v>2150</v>
      </c>
      <c r="G39" s="211" t="s">
        <v>3</v>
      </c>
      <c r="H39" s="208">
        <v>2</v>
      </c>
      <c r="I39" s="210" t="s">
        <v>529</v>
      </c>
      <c r="J39" s="103">
        <v>150</v>
      </c>
      <c r="K39" s="66">
        <v>160</v>
      </c>
      <c r="L39" s="66">
        <v>2150</v>
      </c>
      <c r="M39" s="164">
        <v>22.348823138042896</v>
      </c>
      <c r="N39" s="78">
        <v>3986.9388000000004</v>
      </c>
      <c r="O39" s="113">
        <v>73598.472765916362</v>
      </c>
      <c r="P39" s="113">
        <v>86483.986582574697</v>
      </c>
      <c r="Q39" s="110">
        <v>20125.336566023012</v>
      </c>
      <c r="R39" s="113">
        <v>93723.809331939381</v>
      </c>
      <c r="S39" s="113">
        <v>106609.3231485977</v>
      </c>
      <c r="U39" s="7" t="s">
        <v>7209</v>
      </c>
    </row>
    <row r="40" spans="1:21" s="7" customFormat="1" ht="16.5" customHeight="1" thickBot="1">
      <c r="A40" s="207" t="s">
        <v>10</v>
      </c>
      <c r="B40" s="211">
        <f t="shared" si="0"/>
        <v>150</v>
      </c>
      <c r="C40" s="211" t="s">
        <v>3</v>
      </c>
      <c r="D40" s="211">
        <f t="shared" si="1"/>
        <v>160</v>
      </c>
      <c r="E40" s="211" t="s">
        <v>3</v>
      </c>
      <c r="F40" s="209">
        <f t="shared" si="2"/>
        <v>2200</v>
      </c>
      <c r="G40" s="211" t="s">
        <v>3</v>
      </c>
      <c r="H40" s="208">
        <v>2</v>
      </c>
      <c r="I40" s="210" t="s">
        <v>529</v>
      </c>
      <c r="J40" s="103">
        <v>150</v>
      </c>
      <c r="K40" s="66">
        <v>160</v>
      </c>
      <c r="L40" s="66">
        <v>2200</v>
      </c>
      <c r="M40" s="164">
        <v>22.788636332178815</v>
      </c>
      <c r="N40" s="78">
        <v>4097.6871000000001</v>
      </c>
      <c r="O40" s="113">
        <v>74737.176892873118</v>
      </c>
      <c r="P40" s="113">
        <v>87877.432098573103</v>
      </c>
      <c r="Q40" s="110">
        <v>20714.160954528517</v>
      </c>
      <c r="R40" s="113">
        <v>95451.337847401635</v>
      </c>
      <c r="S40" s="113">
        <v>108591.59305310162</v>
      </c>
      <c r="U40" s="7" t="s">
        <v>7210</v>
      </c>
    </row>
    <row r="41" spans="1:21" s="7" customFormat="1" ht="16.5" customHeight="1" thickBot="1">
      <c r="A41" s="207" t="s">
        <v>10</v>
      </c>
      <c r="B41" s="211">
        <f t="shared" si="0"/>
        <v>150</v>
      </c>
      <c r="C41" s="211" t="s">
        <v>3</v>
      </c>
      <c r="D41" s="211">
        <f t="shared" si="1"/>
        <v>160</v>
      </c>
      <c r="E41" s="211" t="s">
        <v>3</v>
      </c>
      <c r="F41" s="209">
        <f t="shared" si="2"/>
        <v>2250</v>
      </c>
      <c r="G41" s="211" t="s">
        <v>3</v>
      </c>
      <c r="H41" s="208">
        <v>2</v>
      </c>
      <c r="I41" s="210" t="s">
        <v>529</v>
      </c>
      <c r="J41" s="103">
        <v>150</v>
      </c>
      <c r="K41" s="66">
        <v>160</v>
      </c>
      <c r="L41" s="66">
        <v>2250</v>
      </c>
      <c r="M41" s="164">
        <v>23.211409526314739</v>
      </c>
      <c r="N41" s="78">
        <v>4208.4353999999994</v>
      </c>
      <c r="O41" s="113">
        <v>76224.257078878902</v>
      </c>
      <c r="P41" s="113">
        <v>89627.759639804121</v>
      </c>
      <c r="Q41" s="110">
        <v>21051.651205250255</v>
      </c>
      <c r="R41" s="113">
        <v>97275.908284129153</v>
      </c>
      <c r="S41" s="113">
        <v>110679.41084505437</v>
      </c>
      <c r="U41" s="7" t="s">
        <v>7211</v>
      </c>
    </row>
    <row r="42" spans="1:21" s="7" customFormat="1" ht="16.5" customHeight="1" thickBot="1">
      <c r="A42" s="207" t="s">
        <v>10</v>
      </c>
      <c r="B42" s="211">
        <f t="shared" si="0"/>
        <v>150</v>
      </c>
      <c r="C42" s="211" t="s">
        <v>3</v>
      </c>
      <c r="D42" s="211">
        <f t="shared" si="1"/>
        <v>160</v>
      </c>
      <c r="E42" s="211" t="s">
        <v>3</v>
      </c>
      <c r="F42" s="209">
        <f t="shared" si="2"/>
        <v>2300</v>
      </c>
      <c r="G42" s="211" t="s">
        <v>3</v>
      </c>
      <c r="H42" s="208">
        <v>2</v>
      </c>
      <c r="I42" s="210" t="s">
        <v>529</v>
      </c>
      <c r="J42" s="103">
        <v>150</v>
      </c>
      <c r="K42" s="66">
        <v>160</v>
      </c>
      <c r="L42" s="66">
        <v>2300</v>
      </c>
      <c r="M42" s="164">
        <v>23.63418272045066</v>
      </c>
      <c r="N42" s="78">
        <v>4319.1836999999996</v>
      </c>
      <c r="O42" s="113">
        <v>77098.194271912158</v>
      </c>
      <c r="P42" s="113">
        <v>90749.973763481757</v>
      </c>
      <c r="Q42" s="110">
        <v>21389.141302943226</v>
      </c>
      <c r="R42" s="113">
        <v>98487.335574855388</v>
      </c>
      <c r="S42" s="113">
        <v>112139.11506642499</v>
      </c>
      <c r="U42" s="7" t="s">
        <v>7212</v>
      </c>
    </row>
    <row r="43" spans="1:21" s="7" customFormat="1" ht="16.5" customHeight="1" thickBot="1">
      <c r="A43" s="207" t="s">
        <v>10</v>
      </c>
      <c r="B43" s="211">
        <f t="shared" si="0"/>
        <v>150</v>
      </c>
      <c r="C43" s="211" t="s">
        <v>3</v>
      </c>
      <c r="D43" s="211">
        <f t="shared" si="1"/>
        <v>160</v>
      </c>
      <c r="E43" s="211" t="s">
        <v>3</v>
      </c>
      <c r="F43" s="209">
        <f t="shared" si="2"/>
        <v>2350</v>
      </c>
      <c r="G43" s="211" t="s">
        <v>3</v>
      </c>
      <c r="H43" s="208">
        <v>2</v>
      </c>
      <c r="I43" s="210" t="s">
        <v>529</v>
      </c>
      <c r="J43" s="103">
        <v>150</v>
      </c>
      <c r="K43" s="66">
        <v>160</v>
      </c>
      <c r="L43" s="66">
        <v>2350</v>
      </c>
      <c r="M43" s="164">
        <v>24.073995914586583</v>
      </c>
      <c r="N43" s="78">
        <v>4429.9319999999998</v>
      </c>
      <c r="O43" s="113">
        <v>77972.079044941915</v>
      </c>
      <c r="P43" s="113">
        <v>91872.134091427317</v>
      </c>
      <c r="Q43" s="110">
        <v>21977.965691448728</v>
      </c>
      <c r="R43" s="113">
        <v>99950.044736390642</v>
      </c>
      <c r="S43" s="113">
        <v>113850.09978287604</v>
      </c>
      <c r="U43" s="7" t="s">
        <v>7213</v>
      </c>
    </row>
    <row r="44" spans="1:21" s="7" customFormat="1" ht="16.5" customHeight="1" thickBot="1">
      <c r="A44" s="207" t="s">
        <v>10</v>
      </c>
      <c r="B44" s="211">
        <f t="shared" si="0"/>
        <v>150</v>
      </c>
      <c r="C44" s="211" t="s">
        <v>3</v>
      </c>
      <c r="D44" s="211">
        <f t="shared" si="1"/>
        <v>160</v>
      </c>
      <c r="E44" s="211" t="s">
        <v>3</v>
      </c>
      <c r="F44" s="209">
        <f t="shared" si="2"/>
        <v>2400</v>
      </c>
      <c r="G44" s="211" t="s">
        <v>3</v>
      </c>
      <c r="H44" s="208">
        <v>2</v>
      </c>
      <c r="I44" s="210" t="s">
        <v>529</v>
      </c>
      <c r="J44" s="103">
        <v>150</v>
      </c>
      <c r="K44" s="66">
        <v>160</v>
      </c>
      <c r="L44" s="66">
        <v>2400</v>
      </c>
      <c r="M44" s="164">
        <v>24.496769108722503</v>
      </c>
      <c r="N44" s="78">
        <v>4540.6802999999991</v>
      </c>
      <c r="O44" s="113">
        <v>78845.911267893724</v>
      </c>
      <c r="P44" s="113">
        <v>92994.24062364077</v>
      </c>
      <c r="Q44" s="110">
        <v>22315.455942170465</v>
      </c>
      <c r="R44" s="113">
        <v>101161.36721006419</v>
      </c>
      <c r="S44" s="113">
        <v>115309.69656581123</v>
      </c>
      <c r="U44" s="7" t="s">
        <v>7214</v>
      </c>
    </row>
    <row r="45" spans="1:21" s="7" customFormat="1" ht="16.5" customHeight="1" thickBot="1">
      <c r="A45" s="207" t="s">
        <v>10</v>
      </c>
      <c r="B45" s="211">
        <f t="shared" si="0"/>
        <v>150</v>
      </c>
      <c r="C45" s="211" t="s">
        <v>3</v>
      </c>
      <c r="D45" s="211">
        <f t="shared" si="1"/>
        <v>160</v>
      </c>
      <c r="E45" s="211" t="s">
        <v>3</v>
      </c>
      <c r="F45" s="209">
        <f t="shared" si="2"/>
        <v>2450</v>
      </c>
      <c r="G45" s="211" t="s">
        <v>3</v>
      </c>
      <c r="H45" s="208">
        <v>2</v>
      </c>
      <c r="I45" s="210" t="s">
        <v>529</v>
      </c>
      <c r="J45" s="103">
        <v>150</v>
      </c>
      <c r="K45" s="66">
        <v>160</v>
      </c>
      <c r="L45" s="66">
        <v>2450</v>
      </c>
      <c r="M45" s="164">
        <v>25.62815267281842</v>
      </c>
      <c r="N45" s="78">
        <v>4651.4286000000002</v>
      </c>
      <c r="O45" s="113">
        <v>80160.094153145881</v>
      </c>
      <c r="P45" s="113">
        <v>94643.873939735626</v>
      </c>
      <c r="Q45" s="110">
        <v>22904.280330675971</v>
      </c>
      <c r="R45" s="113">
        <v>103064.37448382186</v>
      </c>
      <c r="S45" s="113">
        <v>117548.1542704116</v>
      </c>
      <c r="U45" s="7" t="s">
        <v>7215</v>
      </c>
    </row>
    <row r="46" spans="1:21" s="7" customFormat="1" ht="16.5" customHeight="1" thickBot="1">
      <c r="A46" s="207" t="s">
        <v>10</v>
      </c>
      <c r="B46" s="211">
        <f t="shared" si="0"/>
        <v>150</v>
      </c>
      <c r="C46" s="211" t="s">
        <v>3</v>
      </c>
      <c r="D46" s="211">
        <f t="shared" si="1"/>
        <v>160</v>
      </c>
      <c r="E46" s="211" t="s">
        <v>3</v>
      </c>
      <c r="F46" s="209">
        <f t="shared" si="2"/>
        <v>2500</v>
      </c>
      <c r="G46" s="211" t="s">
        <v>3</v>
      </c>
      <c r="H46" s="208">
        <v>2</v>
      </c>
      <c r="I46" s="210" t="s">
        <v>529</v>
      </c>
      <c r="J46" s="103">
        <v>150</v>
      </c>
      <c r="K46" s="66">
        <v>160</v>
      </c>
      <c r="L46" s="66">
        <v>2500</v>
      </c>
      <c r="M46" s="164">
        <v>26.050925866954344</v>
      </c>
      <c r="N46" s="78">
        <v>4762.1768999999995</v>
      </c>
      <c r="O46" s="113">
        <v>81033.82153609072</v>
      </c>
      <c r="P46" s="113">
        <v>95765.873022801636</v>
      </c>
      <c r="Q46" s="110">
        <v>23241.770581397705</v>
      </c>
      <c r="R46" s="113">
        <v>104275.59211748843</v>
      </c>
      <c r="S46" s="113">
        <v>119007.64360419934</v>
      </c>
      <c r="U46" s="7" t="s">
        <v>7216</v>
      </c>
    </row>
    <row r="47" spans="1:21" s="7" customFormat="1" ht="16.5" customHeight="1" thickBot="1">
      <c r="A47" s="207" t="s">
        <v>10</v>
      </c>
      <c r="B47" s="211">
        <f t="shared" si="0"/>
        <v>150</v>
      </c>
      <c r="C47" s="211" t="s">
        <v>3</v>
      </c>
      <c r="D47" s="211">
        <f t="shared" si="1"/>
        <v>160</v>
      </c>
      <c r="E47" s="211" t="s">
        <v>3</v>
      </c>
      <c r="F47" s="209">
        <f t="shared" si="2"/>
        <v>2550</v>
      </c>
      <c r="G47" s="211" t="s">
        <v>3</v>
      </c>
      <c r="H47" s="208">
        <v>2</v>
      </c>
      <c r="I47" s="210" t="s">
        <v>529</v>
      </c>
      <c r="J47" s="103">
        <v>150</v>
      </c>
      <c r="K47" s="66">
        <v>160</v>
      </c>
      <c r="L47" s="66">
        <v>2550</v>
      </c>
      <c r="M47" s="164">
        <v>26.490739061090267</v>
      </c>
      <c r="N47" s="78">
        <v>4872.9252000000006</v>
      </c>
      <c r="O47" s="113">
        <v>85498.322670355163</v>
      </c>
      <c r="P47" s="113">
        <v>100566.31852497511</v>
      </c>
      <c r="Q47" s="110">
        <v>23830.594816874447</v>
      </c>
      <c r="R47" s="113">
        <v>109328.91748722961</v>
      </c>
      <c r="S47" s="113">
        <v>124396.91334184956</v>
      </c>
      <c r="U47" s="7" t="s">
        <v>7217</v>
      </c>
    </row>
    <row r="48" spans="1:21" ht="16.5" customHeight="1" thickBot="1">
      <c r="A48" s="207" t="s">
        <v>10</v>
      </c>
      <c r="B48" s="208">
        <f t="shared" si="0"/>
        <v>150</v>
      </c>
      <c r="C48" s="208" t="s">
        <v>3</v>
      </c>
      <c r="D48" s="208">
        <f t="shared" si="1"/>
        <v>160</v>
      </c>
      <c r="E48" s="208" t="s">
        <v>3</v>
      </c>
      <c r="F48" s="209">
        <f t="shared" si="2"/>
        <v>2600</v>
      </c>
      <c r="G48" s="208" t="s">
        <v>3</v>
      </c>
      <c r="H48" s="208">
        <v>2</v>
      </c>
      <c r="I48" s="210" t="s">
        <v>529</v>
      </c>
      <c r="J48" s="103">
        <v>150</v>
      </c>
      <c r="K48" s="66">
        <v>160</v>
      </c>
      <c r="L48" s="66">
        <v>2600</v>
      </c>
      <c r="M48" s="164">
        <v>26.913512255226188</v>
      </c>
      <c r="N48" s="78">
        <v>4983.6734999999999</v>
      </c>
      <c r="O48" s="113">
        <v>86666.903207590905</v>
      </c>
      <c r="P48" s="113">
        <v>101990.36982766484</v>
      </c>
      <c r="Q48" s="110">
        <v>24168.085067596181</v>
      </c>
      <c r="R48" s="113">
        <v>110834.98827518709</v>
      </c>
      <c r="S48" s="113">
        <v>126158.45489526102</v>
      </c>
      <c r="U48" s="7" t="s">
        <v>7218</v>
      </c>
    </row>
    <row r="49" spans="1:21" ht="16.5" customHeight="1" thickBot="1">
      <c r="A49" s="207" t="s">
        <v>10</v>
      </c>
      <c r="B49" s="211">
        <f t="shared" si="0"/>
        <v>150</v>
      </c>
      <c r="C49" s="211" t="s">
        <v>3</v>
      </c>
      <c r="D49" s="211">
        <f t="shared" si="1"/>
        <v>160</v>
      </c>
      <c r="E49" s="211" t="s">
        <v>3</v>
      </c>
      <c r="F49" s="209">
        <f t="shared" si="2"/>
        <v>2650</v>
      </c>
      <c r="G49" s="211" t="s">
        <v>3</v>
      </c>
      <c r="H49" s="208">
        <v>2</v>
      </c>
      <c r="I49" s="210" t="s">
        <v>529</v>
      </c>
      <c r="J49" s="103">
        <v>150</v>
      </c>
      <c r="K49" s="66">
        <v>160</v>
      </c>
      <c r="L49" s="66">
        <v>2650</v>
      </c>
      <c r="M49" s="164">
        <v>27.353325449362107</v>
      </c>
      <c r="N49" s="78">
        <v>5094.4218000000001</v>
      </c>
      <c r="O49" s="113">
        <v>87366.108009524876</v>
      </c>
      <c r="P49" s="113">
        <v>102933.58534169356</v>
      </c>
      <c r="Q49" s="110">
        <v>24756.909456101686</v>
      </c>
      <c r="R49" s="113">
        <v>112123.01746562656</v>
      </c>
      <c r="S49" s="113">
        <v>127690.49479779524</v>
      </c>
      <c r="U49" s="7" t="s">
        <v>7219</v>
      </c>
    </row>
    <row r="50" spans="1:21" ht="16.5" customHeight="1" thickBot="1">
      <c r="A50" s="207" t="s">
        <v>10</v>
      </c>
      <c r="B50" s="211">
        <f t="shared" si="0"/>
        <v>150</v>
      </c>
      <c r="C50" s="211" t="s">
        <v>3</v>
      </c>
      <c r="D50" s="211">
        <f t="shared" si="1"/>
        <v>160</v>
      </c>
      <c r="E50" s="211" t="s">
        <v>3</v>
      </c>
      <c r="F50" s="209">
        <f t="shared" si="2"/>
        <v>2700</v>
      </c>
      <c r="G50" s="211" t="s">
        <v>3</v>
      </c>
      <c r="H50" s="208">
        <v>2</v>
      </c>
      <c r="I50" s="210" t="s">
        <v>529</v>
      </c>
      <c r="J50" s="103">
        <v>150</v>
      </c>
      <c r="K50" s="66">
        <v>160</v>
      </c>
      <c r="L50" s="66">
        <v>2700</v>
      </c>
      <c r="M50" s="164">
        <v>27.815348643498027</v>
      </c>
      <c r="N50" s="78">
        <v>5205.1701000000003</v>
      </c>
      <c r="O50" s="113">
        <v>88103.824084050313</v>
      </c>
      <c r="P50" s="113">
        <v>103916.25219779041</v>
      </c>
      <c r="Q50" s="110">
        <v>25094.399706823424</v>
      </c>
      <c r="R50" s="113">
        <v>113198.22379087374</v>
      </c>
      <c r="S50" s="113">
        <v>129010.65190461383</v>
      </c>
      <c r="U50" s="7" t="s">
        <v>7220</v>
      </c>
    </row>
    <row r="51" spans="1:21" ht="16.5" customHeight="1" thickBot="1">
      <c r="A51" s="207" t="s">
        <v>10</v>
      </c>
      <c r="B51" s="211">
        <f t="shared" si="0"/>
        <v>150</v>
      </c>
      <c r="C51" s="211" t="s">
        <v>3</v>
      </c>
      <c r="D51" s="211">
        <f t="shared" si="1"/>
        <v>160</v>
      </c>
      <c r="E51" s="211" t="s">
        <v>3</v>
      </c>
      <c r="F51" s="209">
        <f t="shared" si="2"/>
        <v>2750</v>
      </c>
      <c r="G51" s="211" t="s">
        <v>3</v>
      </c>
      <c r="H51" s="208">
        <v>2</v>
      </c>
      <c r="I51" s="210" t="s">
        <v>529</v>
      </c>
      <c r="J51" s="103">
        <v>150</v>
      </c>
      <c r="K51" s="66">
        <v>160</v>
      </c>
      <c r="L51" s="66">
        <v>2750</v>
      </c>
      <c r="M51" s="164">
        <v>28.238121837633948</v>
      </c>
      <c r="N51" s="78">
        <v>5315.9183999999996</v>
      </c>
      <c r="O51" s="113">
        <v>88892.036100799625</v>
      </c>
      <c r="P51" s="113">
        <v>104950.64791979635</v>
      </c>
      <c r="Q51" s="110">
        <v>25431.889804516391</v>
      </c>
      <c r="R51" s="113">
        <v>114323.92590531602</v>
      </c>
      <c r="S51" s="113">
        <v>130382.53772431274</v>
      </c>
      <c r="U51" s="7" t="s">
        <v>7221</v>
      </c>
    </row>
    <row r="52" spans="1:21" ht="16.5" customHeight="1" thickBot="1">
      <c r="A52" s="207" t="s">
        <v>10</v>
      </c>
      <c r="B52" s="211">
        <f t="shared" si="0"/>
        <v>150</v>
      </c>
      <c r="C52" s="211" t="s">
        <v>3</v>
      </c>
      <c r="D52" s="211">
        <f t="shared" si="1"/>
        <v>160</v>
      </c>
      <c r="E52" s="211" t="s">
        <v>3</v>
      </c>
      <c r="F52" s="209">
        <f t="shared" si="2"/>
        <v>2800</v>
      </c>
      <c r="G52" s="211" t="s">
        <v>3</v>
      </c>
      <c r="H52" s="208">
        <v>2</v>
      </c>
      <c r="I52" s="210" t="s">
        <v>529</v>
      </c>
      <c r="J52" s="103">
        <v>150</v>
      </c>
      <c r="K52" s="66">
        <v>160</v>
      </c>
      <c r="L52" s="66">
        <v>2800</v>
      </c>
      <c r="M52" s="164">
        <v>28.67793503176987</v>
      </c>
      <c r="N52" s="78">
        <v>5426.6666999999998</v>
      </c>
      <c r="O52" s="113">
        <v>89589.895542693586</v>
      </c>
      <c r="P52" s="113">
        <v>105892.48509608611</v>
      </c>
      <c r="Q52" s="110">
        <v>26020.714193021897</v>
      </c>
      <c r="R52" s="113">
        <v>115610.60973571548</v>
      </c>
      <c r="S52" s="113">
        <v>131913.19928910802</v>
      </c>
      <c r="U52" s="7" t="s">
        <v>7222</v>
      </c>
    </row>
    <row r="53" spans="1:21" ht="16.5" customHeight="1" thickBot="1">
      <c r="A53" s="207" t="s">
        <v>10</v>
      </c>
      <c r="B53" s="211">
        <f t="shared" si="0"/>
        <v>150</v>
      </c>
      <c r="C53" s="211" t="s">
        <v>3</v>
      </c>
      <c r="D53" s="211">
        <f t="shared" si="1"/>
        <v>160</v>
      </c>
      <c r="E53" s="211" t="s">
        <v>3</v>
      </c>
      <c r="F53" s="209">
        <f t="shared" si="2"/>
        <v>2850</v>
      </c>
      <c r="G53" s="211" t="s">
        <v>3</v>
      </c>
      <c r="H53" s="208">
        <v>2</v>
      </c>
      <c r="I53" s="210" t="s">
        <v>529</v>
      </c>
      <c r="J53" s="103">
        <v>150</v>
      </c>
      <c r="K53" s="66">
        <v>160</v>
      </c>
      <c r="L53" s="66">
        <v>2850</v>
      </c>
      <c r="M53" s="164">
        <v>29.962708225905793</v>
      </c>
      <c r="N53" s="78">
        <v>5537.415</v>
      </c>
      <c r="O53" s="113">
        <v>90287.702564584048</v>
      </c>
      <c r="P53" s="113">
        <v>106834.2684766438</v>
      </c>
      <c r="Q53" s="110">
        <v>26358.204443743634</v>
      </c>
      <c r="R53" s="113">
        <v>116645.90700832769</v>
      </c>
      <c r="S53" s="113">
        <v>133192.47292038743</v>
      </c>
      <c r="U53" s="7" t="s">
        <v>7223</v>
      </c>
    </row>
    <row r="54" spans="1:21" ht="16.5" customHeight="1" thickBot="1">
      <c r="A54" s="207" t="s">
        <v>10</v>
      </c>
      <c r="B54" s="211">
        <f t="shared" si="0"/>
        <v>150</v>
      </c>
      <c r="C54" s="211" t="s">
        <v>3</v>
      </c>
      <c r="D54" s="211">
        <f t="shared" si="1"/>
        <v>160</v>
      </c>
      <c r="E54" s="211" t="s">
        <v>3</v>
      </c>
      <c r="F54" s="209">
        <f t="shared" si="2"/>
        <v>2900</v>
      </c>
      <c r="G54" s="211" t="s">
        <v>3</v>
      </c>
      <c r="H54" s="208">
        <v>2</v>
      </c>
      <c r="I54" s="210" t="s">
        <v>529</v>
      </c>
      <c r="J54" s="103">
        <v>150</v>
      </c>
      <c r="K54" s="66">
        <v>160</v>
      </c>
      <c r="L54" s="66">
        <v>2900</v>
      </c>
      <c r="M54" s="164">
        <v>30.402521420041712</v>
      </c>
      <c r="N54" s="78">
        <v>5648.1632999999993</v>
      </c>
      <c r="O54" s="113">
        <v>90985.457036396576</v>
      </c>
      <c r="P54" s="113">
        <v>107775.99820378615</v>
      </c>
      <c r="Q54" s="110">
        <v>26947.028832249136</v>
      </c>
      <c r="R54" s="113">
        <v>117932.48586864572</v>
      </c>
      <c r="S54" s="113">
        <v>134723.02703603529</v>
      </c>
      <c r="U54" s="7" t="s">
        <v>7224</v>
      </c>
    </row>
    <row r="55" spans="1:21" ht="16.5" customHeight="1" thickBot="1">
      <c r="A55" s="207" t="s">
        <v>10</v>
      </c>
      <c r="B55" s="211">
        <f t="shared" si="0"/>
        <v>150</v>
      </c>
      <c r="C55" s="211" t="s">
        <v>3</v>
      </c>
      <c r="D55" s="211">
        <f t="shared" si="1"/>
        <v>160</v>
      </c>
      <c r="E55" s="211" t="s">
        <v>3</v>
      </c>
      <c r="F55" s="209">
        <f t="shared" si="2"/>
        <v>2950</v>
      </c>
      <c r="G55" s="211" t="s">
        <v>3</v>
      </c>
      <c r="H55" s="208">
        <v>2</v>
      </c>
      <c r="I55" s="210" t="s">
        <v>529</v>
      </c>
      <c r="J55" s="103">
        <v>150</v>
      </c>
      <c r="K55" s="66">
        <v>160</v>
      </c>
      <c r="L55" s="66">
        <v>2950</v>
      </c>
      <c r="M55" s="164">
        <v>30.825294614177629</v>
      </c>
      <c r="N55" s="78">
        <v>5758.9116000000004</v>
      </c>
      <c r="O55" s="113">
        <v>91683.159218280052</v>
      </c>
      <c r="P55" s="113">
        <v>108717.6741351964</v>
      </c>
      <c r="Q55" s="110">
        <v>27284.518929942107</v>
      </c>
      <c r="R55" s="113">
        <v>118967.67814822216</v>
      </c>
      <c r="S55" s="113">
        <v>136002.1930651385</v>
      </c>
      <c r="U55" s="7" t="s">
        <v>7225</v>
      </c>
    </row>
    <row r="56" spans="1:21" ht="16.5" customHeight="1" thickBot="1">
      <c r="A56" s="212" t="s">
        <v>10</v>
      </c>
      <c r="B56" s="213">
        <f t="shared" si="0"/>
        <v>150</v>
      </c>
      <c r="C56" s="213" t="s">
        <v>3</v>
      </c>
      <c r="D56" s="213">
        <f t="shared" si="1"/>
        <v>160</v>
      </c>
      <c r="E56" s="213" t="s">
        <v>3</v>
      </c>
      <c r="F56" s="214">
        <f t="shared" si="2"/>
        <v>3000</v>
      </c>
      <c r="G56" s="213" t="s">
        <v>3</v>
      </c>
      <c r="H56" s="215">
        <v>2</v>
      </c>
      <c r="I56" s="210" t="s">
        <v>529</v>
      </c>
      <c r="J56" s="287">
        <v>150</v>
      </c>
      <c r="K56" s="266">
        <v>160</v>
      </c>
      <c r="L56" s="266">
        <v>3000</v>
      </c>
      <c r="M56" s="249">
        <v>31.265107808313552</v>
      </c>
      <c r="N56" s="250">
        <v>5869.6598999999997</v>
      </c>
      <c r="O56" s="251">
        <v>94252.160960758512</v>
      </c>
      <c r="P56" s="251">
        <v>111576.33963219383</v>
      </c>
      <c r="Q56" s="252">
        <v>27873.343318447616</v>
      </c>
      <c r="R56" s="251">
        <v>122125.50427920613</v>
      </c>
      <c r="S56" s="251">
        <v>139449.68295064144</v>
      </c>
      <c r="U56" s="7" t="s">
        <v>7226</v>
      </c>
    </row>
    <row r="57" spans="1:21" ht="22.5" customHeight="1" thickBot="1">
      <c r="A57" s="2968" t="s">
        <v>46</v>
      </c>
      <c r="B57" s="2969"/>
      <c r="C57" s="2969"/>
      <c r="D57" s="2969"/>
      <c r="E57" s="2969"/>
      <c r="F57" s="2969"/>
      <c r="G57" s="2969"/>
      <c r="H57" s="2969"/>
      <c r="I57" s="2969"/>
      <c r="J57" s="2969"/>
      <c r="K57" s="2969"/>
      <c r="L57" s="2969"/>
      <c r="M57" s="2969"/>
      <c r="N57" s="2969"/>
      <c r="O57" s="2969"/>
      <c r="P57" s="2969"/>
      <c r="Q57" s="2969"/>
      <c r="R57" s="2969"/>
      <c r="S57" s="2970"/>
      <c r="U57" s="7"/>
    </row>
    <row r="58" spans="1:21" ht="16.5" customHeight="1" thickBot="1">
      <c r="A58" s="3015" t="s">
        <v>112</v>
      </c>
      <c r="B58" s="3016"/>
      <c r="C58" s="3016"/>
      <c r="D58" s="3016"/>
      <c r="E58" s="3016"/>
      <c r="F58" s="3016"/>
      <c r="G58" s="3016"/>
      <c r="H58" s="3016"/>
      <c r="I58" s="3016"/>
      <c r="J58" s="3016"/>
      <c r="K58" s="3016"/>
      <c r="L58" s="3016"/>
      <c r="M58" s="3016"/>
      <c r="N58" s="3016"/>
      <c r="O58" s="3016"/>
      <c r="P58" s="3016"/>
      <c r="Q58" s="3016"/>
      <c r="R58" s="3016"/>
      <c r="S58" s="3017"/>
      <c r="U58" s="7"/>
    </row>
    <row r="59" spans="1:21" ht="16.5" thickBot="1">
      <c r="A59" s="207" t="s">
        <v>10</v>
      </c>
      <c r="B59" s="208">
        <f t="shared" ref="B59:B105" si="3">J59</f>
        <v>150</v>
      </c>
      <c r="C59" s="208" t="s">
        <v>3</v>
      </c>
      <c r="D59" s="208">
        <f t="shared" ref="D59:D105" si="4">K59</f>
        <v>200</v>
      </c>
      <c r="E59" s="208" t="s">
        <v>3</v>
      </c>
      <c r="F59" s="209">
        <f t="shared" ref="F59:F105" si="5">L59</f>
        <v>700</v>
      </c>
      <c r="G59" s="208" t="s">
        <v>3</v>
      </c>
      <c r="H59" s="208">
        <v>2</v>
      </c>
      <c r="I59" s="210" t="s">
        <v>529</v>
      </c>
      <c r="J59" s="286">
        <v>150</v>
      </c>
      <c r="K59" s="271">
        <v>200</v>
      </c>
      <c r="L59" s="271">
        <v>700</v>
      </c>
      <c r="M59" s="245">
        <v>7.7221452529201304</v>
      </c>
      <c r="N59" s="246">
        <v>917.24723999999992</v>
      </c>
      <c r="O59" s="247">
        <v>28571.151541613894</v>
      </c>
      <c r="P59" s="247">
        <v>33537.032166140307</v>
      </c>
      <c r="Q59" s="248">
        <v>8155.8760034286815</v>
      </c>
      <c r="R59" s="247">
        <v>36727.027545042576</v>
      </c>
      <c r="S59" s="247">
        <v>41692.908169568989</v>
      </c>
      <c r="U59" s="7" t="s">
        <v>7227</v>
      </c>
    </row>
    <row r="60" spans="1:21" ht="16.5" thickBot="1">
      <c r="A60" s="207" t="s">
        <v>10</v>
      </c>
      <c r="B60" s="211">
        <f t="shared" si="3"/>
        <v>150</v>
      </c>
      <c r="C60" s="211" t="s">
        <v>3</v>
      </c>
      <c r="D60" s="211">
        <f t="shared" si="4"/>
        <v>200</v>
      </c>
      <c r="E60" s="211" t="s">
        <v>3</v>
      </c>
      <c r="F60" s="209">
        <f t="shared" si="5"/>
        <v>750</v>
      </c>
      <c r="G60" s="211" t="s">
        <v>3</v>
      </c>
      <c r="H60" s="208">
        <v>2</v>
      </c>
      <c r="I60" s="210" t="s">
        <v>529</v>
      </c>
      <c r="J60" s="103">
        <v>150</v>
      </c>
      <c r="K60" s="66">
        <v>200</v>
      </c>
      <c r="L60" s="66">
        <v>750</v>
      </c>
      <c r="M60" s="164">
        <v>8.1725642649507879</v>
      </c>
      <c r="N60" s="78">
        <v>1048.2825600000001</v>
      </c>
      <c r="O60" s="113">
        <v>30272.345069085448</v>
      </c>
      <c r="P60" s="113">
        <v>35508.759031447909</v>
      </c>
      <c r="Q60" s="110">
        <v>8546.5523196422018</v>
      </c>
      <c r="R60" s="113">
        <v>38818.897388727652</v>
      </c>
      <c r="S60" s="113">
        <v>44055.311351090109</v>
      </c>
      <c r="U60" s="7" t="s">
        <v>7228</v>
      </c>
    </row>
    <row r="61" spans="1:21" ht="16.5" thickBot="1">
      <c r="A61" s="207" t="s">
        <v>10</v>
      </c>
      <c r="B61" s="211">
        <f t="shared" si="3"/>
        <v>150</v>
      </c>
      <c r="C61" s="211" t="s">
        <v>3</v>
      </c>
      <c r="D61" s="211">
        <f t="shared" si="4"/>
        <v>200</v>
      </c>
      <c r="E61" s="211" t="s">
        <v>3</v>
      </c>
      <c r="F61" s="209">
        <f t="shared" si="5"/>
        <v>800</v>
      </c>
      <c r="G61" s="211" t="s">
        <v>3</v>
      </c>
      <c r="H61" s="208">
        <v>2</v>
      </c>
      <c r="I61" s="210" t="s">
        <v>529</v>
      </c>
      <c r="J61" s="103">
        <v>150</v>
      </c>
      <c r="K61" s="66">
        <v>200</v>
      </c>
      <c r="L61" s="66">
        <v>800</v>
      </c>
      <c r="M61" s="164">
        <v>8.6229832769814454</v>
      </c>
      <c r="N61" s="78">
        <v>1179.3178800000001</v>
      </c>
      <c r="O61" s="113">
        <v>31974.197813871411</v>
      </c>
      <c r="P61" s="113">
        <v>37481.272908391678</v>
      </c>
      <c r="Q61" s="110">
        <v>8937.2286358557212</v>
      </c>
      <c r="R61" s="113">
        <v>40911.426449727136</v>
      </c>
      <c r="S61" s="113">
        <v>46418.501544247396</v>
      </c>
      <c r="U61" s="7" t="s">
        <v>7229</v>
      </c>
    </row>
    <row r="62" spans="1:21" s="7" customFormat="1" ht="16.5" thickBot="1">
      <c r="A62" s="207" t="s">
        <v>10</v>
      </c>
      <c r="B62" s="211">
        <f t="shared" si="3"/>
        <v>150</v>
      </c>
      <c r="C62" s="211" t="s">
        <v>3</v>
      </c>
      <c r="D62" s="211">
        <f t="shared" si="4"/>
        <v>200</v>
      </c>
      <c r="E62" s="211" t="s">
        <v>3</v>
      </c>
      <c r="F62" s="209">
        <f t="shared" si="5"/>
        <v>850</v>
      </c>
      <c r="G62" s="211" t="s">
        <v>3</v>
      </c>
      <c r="H62" s="208">
        <v>2</v>
      </c>
      <c r="I62" s="210" t="s">
        <v>529</v>
      </c>
      <c r="J62" s="103">
        <v>150</v>
      </c>
      <c r="K62" s="66">
        <v>200</v>
      </c>
      <c r="L62" s="66">
        <v>850</v>
      </c>
      <c r="M62" s="164">
        <v>9.0904422890121044</v>
      </c>
      <c r="N62" s="78">
        <v>1310.3532</v>
      </c>
      <c r="O62" s="113">
        <v>33676.050688731819</v>
      </c>
      <c r="P62" s="113">
        <v>39453.797743725314</v>
      </c>
      <c r="Q62" s="110">
        <v>9579.239089853012</v>
      </c>
      <c r="R62" s="113">
        <v>43255.289778584833</v>
      </c>
      <c r="S62" s="113">
        <v>49033.036833578328</v>
      </c>
      <c r="U62" s="7" t="s">
        <v>7230</v>
      </c>
    </row>
    <row r="63" spans="1:21" s="7" customFormat="1" ht="16.5" thickBot="1">
      <c r="A63" s="207" t="s">
        <v>10</v>
      </c>
      <c r="B63" s="211">
        <f t="shared" si="3"/>
        <v>150</v>
      </c>
      <c r="C63" s="211" t="s">
        <v>3</v>
      </c>
      <c r="D63" s="211">
        <f t="shared" si="4"/>
        <v>200</v>
      </c>
      <c r="E63" s="211" t="s">
        <v>3</v>
      </c>
      <c r="F63" s="209">
        <f t="shared" si="5"/>
        <v>900</v>
      </c>
      <c r="G63" s="211" t="s">
        <v>3</v>
      </c>
      <c r="H63" s="208">
        <v>2</v>
      </c>
      <c r="I63" s="210" t="s">
        <v>529</v>
      </c>
      <c r="J63" s="103">
        <v>150</v>
      </c>
      <c r="K63" s="66">
        <v>200</v>
      </c>
      <c r="L63" s="66">
        <v>900</v>
      </c>
      <c r="M63" s="164">
        <v>9.6998613010427626</v>
      </c>
      <c r="N63" s="78">
        <v>1441.38852</v>
      </c>
      <c r="O63" s="113">
        <v>35377.903433517786</v>
      </c>
      <c r="P63" s="113">
        <v>41426.332256598056</v>
      </c>
      <c r="Q63" s="110">
        <v>9969.915559095296</v>
      </c>
      <c r="R63" s="113">
        <v>45347.81899261308</v>
      </c>
      <c r="S63" s="113">
        <v>51396.24781569335</v>
      </c>
      <c r="U63" s="7" t="s">
        <v>7231</v>
      </c>
    </row>
    <row r="64" spans="1:21" s="7" customFormat="1" ht="16.5" thickBot="1">
      <c r="A64" s="207" t="s">
        <v>10</v>
      </c>
      <c r="B64" s="211">
        <f t="shared" si="3"/>
        <v>150</v>
      </c>
      <c r="C64" s="211" t="s">
        <v>3</v>
      </c>
      <c r="D64" s="211">
        <f t="shared" si="4"/>
        <v>200</v>
      </c>
      <c r="E64" s="211" t="s">
        <v>3</v>
      </c>
      <c r="F64" s="209">
        <f t="shared" si="5"/>
        <v>950</v>
      </c>
      <c r="G64" s="211" t="s">
        <v>3</v>
      </c>
      <c r="H64" s="208">
        <v>2</v>
      </c>
      <c r="I64" s="210" t="s">
        <v>529</v>
      </c>
      <c r="J64" s="103">
        <v>150</v>
      </c>
      <c r="K64" s="66">
        <v>200</v>
      </c>
      <c r="L64" s="66">
        <v>950</v>
      </c>
      <c r="M64" s="164">
        <v>10.167320313073422</v>
      </c>
      <c r="N64" s="78">
        <v>1572.4238399999999</v>
      </c>
      <c r="O64" s="113">
        <v>37079.756308378201</v>
      </c>
      <c r="P64" s="113">
        <v>43398.874739208884</v>
      </c>
      <c r="Q64" s="110">
        <v>10611.926013092587</v>
      </c>
      <c r="R64" s="113">
        <v>47691.682321470784</v>
      </c>
      <c r="S64" s="113">
        <v>54010.800752301468</v>
      </c>
      <c r="U64" s="7" t="s">
        <v>7232</v>
      </c>
    </row>
    <row r="65" spans="1:21" s="7" customFormat="1" ht="16.5" thickBot="1">
      <c r="A65" s="207" t="s">
        <v>10</v>
      </c>
      <c r="B65" s="211">
        <f t="shared" si="3"/>
        <v>150</v>
      </c>
      <c r="C65" s="211" t="s">
        <v>3</v>
      </c>
      <c r="D65" s="211">
        <f t="shared" si="4"/>
        <v>200</v>
      </c>
      <c r="E65" s="211" t="s">
        <v>3</v>
      </c>
      <c r="F65" s="209">
        <f t="shared" si="5"/>
        <v>1000</v>
      </c>
      <c r="G65" s="211" t="s">
        <v>3</v>
      </c>
      <c r="H65" s="208">
        <v>2</v>
      </c>
      <c r="I65" s="210" t="s">
        <v>529</v>
      </c>
      <c r="J65" s="103">
        <v>150</v>
      </c>
      <c r="K65" s="66">
        <v>200</v>
      </c>
      <c r="L65" s="66">
        <v>1000</v>
      </c>
      <c r="M65" s="164">
        <v>10.617739325104081</v>
      </c>
      <c r="N65" s="78">
        <v>1703.4591600000001</v>
      </c>
      <c r="O65" s="113">
        <v>38677.915132159113</v>
      </c>
      <c r="P65" s="113">
        <v>45265.408746863301</v>
      </c>
      <c r="Q65" s="110">
        <v>11002.602329306106</v>
      </c>
      <c r="R65" s="113">
        <v>49680.517461465221</v>
      </c>
      <c r="S65" s="113">
        <v>56268.011076169409</v>
      </c>
      <c r="U65" s="7" t="s">
        <v>7233</v>
      </c>
    </row>
    <row r="66" spans="1:21" s="7" customFormat="1" ht="16.5" thickBot="1">
      <c r="A66" s="207" t="s">
        <v>10</v>
      </c>
      <c r="B66" s="211">
        <f t="shared" si="3"/>
        <v>150</v>
      </c>
      <c r="C66" s="211" t="s">
        <v>3</v>
      </c>
      <c r="D66" s="211">
        <f t="shared" si="4"/>
        <v>200</v>
      </c>
      <c r="E66" s="211" t="s">
        <v>3</v>
      </c>
      <c r="F66" s="209">
        <f t="shared" si="5"/>
        <v>1050</v>
      </c>
      <c r="G66" s="211" t="s">
        <v>3</v>
      </c>
      <c r="H66" s="208">
        <v>2</v>
      </c>
      <c r="I66" s="210" t="s">
        <v>529</v>
      </c>
      <c r="J66" s="103">
        <v>150</v>
      </c>
      <c r="K66" s="66">
        <v>200</v>
      </c>
      <c r="L66" s="66">
        <v>1050</v>
      </c>
      <c r="M66" s="164">
        <v>11.085198337134738</v>
      </c>
      <c r="N66" s="78">
        <v>1834.4944799999998</v>
      </c>
      <c r="O66" s="113">
        <v>40626.04108566582</v>
      </c>
      <c r="P66" s="113">
        <v>47489.757808373623</v>
      </c>
      <c r="Q66" s="110">
        <v>11644.612783303395</v>
      </c>
      <c r="R66" s="113">
        <v>52270.653868969217</v>
      </c>
      <c r="S66" s="113">
        <v>59134.37059167702</v>
      </c>
      <c r="U66" s="7" t="s">
        <v>7234</v>
      </c>
    </row>
    <row r="67" spans="1:21" s="7" customFormat="1" ht="16.5" thickBot="1">
      <c r="A67" s="207" t="s">
        <v>10</v>
      </c>
      <c r="B67" s="208">
        <f t="shared" si="3"/>
        <v>150</v>
      </c>
      <c r="C67" s="208" t="s">
        <v>3</v>
      </c>
      <c r="D67" s="208">
        <f t="shared" si="4"/>
        <v>200</v>
      </c>
      <c r="E67" s="208" t="s">
        <v>3</v>
      </c>
      <c r="F67" s="209">
        <f t="shared" si="5"/>
        <v>1100</v>
      </c>
      <c r="G67" s="208" t="s">
        <v>3</v>
      </c>
      <c r="H67" s="208">
        <v>2</v>
      </c>
      <c r="I67" s="210" t="s">
        <v>529</v>
      </c>
      <c r="J67" s="103">
        <v>150</v>
      </c>
      <c r="K67" s="66">
        <v>200</v>
      </c>
      <c r="L67" s="66">
        <v>1100</v>
      </c>
      <c r="M67" s="164">
        <v>11.535617349165394</v>
      </c>
      <c r="N67" s="78">
        <v>1965.5298</v>
      </c>
      <c r="O67" s="113">
        <v>42327.893830451787</v>
      </c>
      <c r="P67" s="113">
        <v>49462.322919347949</v>
      </c>
      <c r="Q67" s="110">
        <v>12035.289252545683</v>
      </c>
      <c r="R67" s="113">
        <v>54363.183082997472</v>
      </c>
      <c r="S67" s="113">
        <v>61497.612171893634</v>
      </c>
      <c r="U67" s="7" t="s">
        <v>7235</v>
      </c>
    </row>
    <row r="68" spans="1:21" s="7" customFormat="1" ht="16.5" thickBot="1">
      <c r="A68" s="207" t="s">
        <v>10</v>
      </c>
      <c r="B68" s="211">
        <f t="shared" si="3"/>
        <v>150</v>
      </c>
      <c r="C68" s="211" t="s">
        <v>3</v>
      </c>
      <c r="D68" s="211">
        <f t="shared" si="4"/>
        <v>200</v>
      </c>
      <c r="E68" s="211" t="s">
        <v>3</v>
      </c>
      <c r="F68" s="209">
        <f t="shared" si="5"/>
        <v>1150</v>
      </c>
      <c r="G68" s="211" t="s">
        <v>3</v>
      </c>
      <c r="H68" s="208">
        <v>2</v>
      </c>
      <c r="I68" s="210" t="s">
        <v>529</v>
      </c>
      <c r="J68" s="103">
        <v>150</v>
      </c>
      <c r="K68" s="66">
        <v>200</v>
      </c>
      <c r="L68" s="66">
        <v>1150</v>
      </c>
      <c r="M68" s="164">
        <v>11.986036361196053</v>
      </c>
      <c r="N68" s="78">
        <v>2096.5651200000002</v>
      </c>
      <c r="O68" s="113">
        <v>43206.423301954863</v>
      </c>
      <c r="P68" s="113">
        <v>50593.083306273897</v>
      </c>
      <c r="Q68" s="110">
        <v>12425.965568759202</v>
      </c>
      <c r="R68" s="113">
        <v>55632.388870714065</v>
      </c>
      <c r="S68" s="113">
        <v>63019.048875033099</v>
      </c>
      <c r="U68" s="7" t="s">
        <v>7236</v>
      </c>
    </row>
    <row r="69" spans="1:21" s="7" customFormat="1" ht="16.5" thickBot="1">
      <c r="A69" s="207" t="s">
        <v>10</v>
      </c>
      <c r="B69" s="211">
        <f t="shared" si="3"/>
        <v>150</v>
      </c>
      <c r="C69" s="211" t="s">
        <v>3</v>
      </c>
      <c r="D69" s="211">
        <f t="shared" si="4"/>
        <v>200</v>
      </c>
      <c r="E69" s="211" t="s">
        <v>3</v>
      </c>
      <c r="F69" s="209">
        <f t="shared" si="5"/>
        <v>1200</v>
      </c>
      <c r="G69" s="211" t="s">
        <v>3</v>
      </c>
      <c r="H69" s="208">
        <v>2</v>
      </c>
      <c r="I69" s="210" t="s">
        <v>529</v>
      </c>
      <c r="J69" s="103">
        <v>150</v>
      </c>
      <c r="K69" s="66">
        <v>200</v>
      </c>
      <c r="L69" s="66">
        <v>1200</v>
      </c>
      <c r="M69" s="164">
        <v>12.492745373226709</v>
      </c>
      <c r="N69" s="78">
        <v>2227.6004399999997</v>
      </c>
      <c r="O69" s="113">
        <v>44123.254366035399</v>
      </c>
      <c r="P69" s="113">
        <v>51763.026198924315</v>
      </c>
      <c r="Q69" s="110">
        <v>13067.976022756491</v>
      </c>
      <c r="R69" s="113">
        <v>57191.23038879189</v>
      </c>
      <c r="S69" s="113">
        <v>64831.002221680807</v>
      </c>
      <c r="U69" s="7" t="s">
        <v>7237</v>
      </c>
    </row>
    <row r="70" spans="1:21" s="7" customFormat="1" ht="16.5" thickBot="1">
      <c r="A70" s="207" t="s">
        <v>10</v>
      </c>
      <c r="B70" s="211">
        <f t="shared" si="3"/>
        <v>150</v>
      </c>
      <c r="C70" s="211" t="s">
        <v>3</v>
      </c>
      <c r="D70" s="211">
        <f t="shared" si="4"/>
        <v>200</v>
      </c>
      <c r="E70" s="211" t="s">
        <v>3</v>
      </c>
      <c r="F70" s="209">
        <f t="shared" si="5"/>
        <v>1250</v>
      </c>
      <c r="G70" s="211" t="s">
        <v>3</v>
      </c>
      <c r="H70" s="208">
        <v>2</v>
      </c>
      <c r="I70" s="210" t="s">
        <v>529</v>
      </c>
      <c r="J70" s="103">
        <v>150</v>
      </c>
      <c r="K70" s="66">
        <v>200</v>
      </c>
      <c r="L70" s="66">
        <v>1250</v>
      </c>
      <c r="M70" s="164">
        <v>13.805164385257367</v>
      </c>
      <c r="N70" s="78">
        <v>2358.6357600000001</v>
      </c>
      <c r="O70" s="113">
        <v>45001.259507429095</v>
      </c>
      <c r="P70" s="113">
        <v>52893.296020007605</v>
      </c>
      <c r="Q70" s="110">
        <v>13458.652338970012</v>
      </c>
      <c r="R70" s="113">
        <v>58459.911846399104</v>
      </c>
      <c r="S70" s="113">
        <v>66351.948358977621</v>
      </c>
      <c r="U70" s="7" t="s">
        <v>7238</v>
      </c>
    </row>
    <row r="71" spans="1:21" s="7" customFormat="1" ht="16.5" thickBot="1">
      <c r="A71" s="207" t="s">
        <v>10</v>
      </c>
      <c r="B71" s="211">
        <f t="shared" si="3"/>
        <v>150</v>
      </c>
      <c r="C71" s="211" t="s">
        <v>3</v>
      </c>
      <c r="D71" s="211">
        <f t="shared" si="4"/>
        <v>200</v>
      </c>
      <c r="E71" s="211" t="s">
        <v>3</v>
      </c>
      <c r="F71" s="209">
        <f t="shared" si="5"/>
        <v>1300</v>
      </c>
      <c r="G71" s="211" t="s">
        <v>3</v>
      </c>
      <c r="H71" s="208">
        <v>2</v>
      </c>
      <c r="I71" s="210" t="s">
        <v>529</v>
      </c>
      <c r="J71" s="103">
        <v>150</v>
      </c>
      <c r="K71" s="66">
        <v>200</v>
      </c>
      <c r="L71" s="66">
        <v>1300</v>
      </c>
      <c r="M71" s="164">
        <v>14.272623397288026</v>
      </c>
      <c r="N71" s="78">
        <v>2489.6710800000001</v>
      </c>
      <c r="O71" s="113">
        <v>48552.362632581258</v>
      </c>
      <c r="P71" s="113">
        <v>56756.547714544664</v>
      </c>
      <c r="Q71" s="110">
        <v>14100.662792967301</v>
      </c>
      <c r="R71" s="113">
        <v>62653.025425548563</v>
      </c>
      <c r="S71" s="113">
        <v>70857.210507511962</v>
      </c>
      <c r="U71" s="7" t="s">
        <v>7239</v>
      </c>
    </row>
    <row r="72" spans="1:21" s="7" customFormat="1" ht="16.5" thickBot="1">
      <c r="A72" s="207" t="s">
        <v>10</v>
      </c>
      <c r="B72" s="211">
        <f t="shared" si="3"/>
        <v>150</v>
      </c>
      <c r="C72" s="211" t="s">
        <v>3</v>
      </c>
      <c r="D72" s="211">
        <f t="shared" si="4"/>
        <v>200</v>
      </c>
      <c r="E72" s="211" t="s">
        <v>3</v>
      </c>
      <c r="F72" s="209">
        <f t="shared" si="5"/>
        <v>1350</v>
      </c>
      <c r="G72" s="211" t="s">
        <v>3</v>
      </c>
      <c r="H72" s="208">
        <v>2</v>
      </c>
      <c r="I72" s="210" t="s">
        <v>529</v>
      </c>
      <c r="J72" s="103">
        <v>150</v>
      </c>
      <c r="K72" s="66">
        <v>200</v>
      </c>
      <c r="L72" s="66">
        <v>1350</v>
      </c>
      <c r="M72" s="164">
        <v>14.723042409318683</v>
      </c>
      <c r="N72" s="78">
        <v>2620.7064</v>
      </c>
      <c r="O72" s="113">
        <v>49702.536984719329</v>
      </c>
      <c r="P72" s="113">
        <v>58165.025437427241</v>
      </c>
      <c r="Q72" s="110">
        <v>14491.339262209587</v>
      </c>
      <c r="R72" s="113">
        <v>64193.876246928914</v>
      </c>
      <c r="S72" s="113">
        <v>72656.364699636833</v>
      </c>
      <c r="U72" s="7" t="s">
        <v>7240</v>
      </c>
    </row>
    <row r="73" spans="1:21" s="7" customFormat="1" ht="16.5" thickBot="1">
      <c r="A73" s="207" t="s">
        <v>10</v>
      </c>
      <c r="B73" s="211">
        <f t="shared" si="3"/>
        <v>150</v>
      </c>
      <c r="C73" s="211" t="s">
        <v>3</v>
      </c>
      <c r="D73" s="211">
        <f t="shared" si="4"/>
        <v>200</v>
      </c>
      <c r="E73" s="211" t="s">
        <v>3</v>
      </c>
      <c r="F73" s="209">
        <f t="shared" si="5"/>
        <v>1400</v>
      </c>
      <c r="G73" s="211" t="s">
        <v>3</v>
      </c>
      <c r="H73" s="208">
        <v>2</v>
      </c>
      <c r="I73" s="210" t="s">
        <v>529</v>
      </c>
      <c r="J73" s="103">
        <v>150</v>
      </c>
      <c r="K73" s="66">
        <v>200</v>
      </c>
      <c r="L73" s="66">
        <v>1400</v>
      </c>
      <c r="M73" s="164">
        <v>15.190501421349342</v>
      </c>
      <c r="N73" s="78">
        <v>2751.74172</v>
      </c>
      <c r="O73" s="113">
        <v>51209.159165923287</v>
      </c>
      <c r="P73" s="113">
        <v>59937.967537432407</v>
      </c>
      <c r="Q73" s="110">
        <v>15133.349716206876</v>
      </c>
      <c r="R73" s="113">
        <v>66342.508882130162</v>
      </c>
      <c r="S73" s="113">
        <v>75071.317253639281</v>
      </c>
      <c r="U73" s="7" t="s">
        <v>7241</v>
      </c>
    </row>
    <row r="74" spans="1:21" s="7" customFormat="1" ht="16.5" thickBot="1">
      <c r="A74" s="207" t="s">
        <v>10</v>
      </c>
      <c r="B74" s="211">
        <f t="shared" si="3"/>
        <v>150</v>
      </c>
      <c r="C74" s="211" t="s">
        <v>3</v>
      </c>
      <c r="D74" s="211">
        <f t="shared" si="4"/>
        <v>200</v>
      </c>
      <c r="E74" s="211" t="s">
        <v>3</v>
      </c>
      <c r="F74" s="209">
        <f t="shared" si="5"/>
        <v>1450</v>
      </c>
      <c r="G74" s="211" t="s">
        <v>3</v>
      </c>
      <c r="H74" s="208">
        <v>2</v>
      </c>
      <c r="I74" s="210" t="s">
        <v>529</v>
      </c>
      <c r="J74" s="103">
        <v>150</v>
      </c>
      <c r="K74" s="66">
        <v>200</v>
      </c>
      <c r="L74" s="66">
        <v>1450</v>
      </c>
      <c r="M74" s="164">
        <v>15.64092043338</v>
      </c>
      <c r="N74" s="78">
        <v>2882.7770399999999</v>
      </c>
      <c r="O74" s="113">
        <v>52359.33338798691</v>
      </c>
      <c r="P74" s="113">
        <v>61346.446968116004</v>
      </c>
      <c r="Q74" s="110">
        <v>15524.026032420395</v>
      </c>
      <c r="R74" s="113">
        <v>67883.359420407302</v>
      </c>
      <c r="S74" s="113">
        <v>76870.473000536396</v>
      </c>
      <c r="U74" s="7" t="s">
        <v>7242</v>
      </c>
    </row>
    <row r="75" spans="1:21" s="7" customFormat="1" ht="16.5" thickBot="1">
      <c r="A75" s="207" t="s">
        <v>10</v>
      </c>
      <c r="B75" s="211">
        <f t="shared" si="3"/>
        <v>150</v>
      </c>
      <c r="C75" s="211" t="s">
        <v>3</v>
      </c>
      <c r="D75" s="211">
        <f t="shared" si="4"/>
        <v>200</v>
      </c>
      <c r="E75" s="211" t="s">
        <v>3</v>
      </c>
      <c r="F75" s="209">
        <f t="shared" si="5"/>
        <v>1500</v>
      </c>
      <c r="G75" s="211" t="s">
        <v>3</v>
      </c>
      <c r="H75" s="208">
        <v>2</v>
      </c>
      <c r="I75" s="210" t="s">
        <v>529</v>
      </c>
      <c r="J75" s="103">
        <v>150</v>
      </c>
      <c r="K75" s="66">
        <v>200</v>
      </c>
      <c r="L75" s="66">
        <v>1500</v>
      </c>
      <c r="M75" s="164">
        <v>15.962464032170658</v>
      </c>
      <c r="N75" s="78">
        <v>3013.8123599999999</v>
      </c>
      <c r="O75" s="113">
        <v>53980.630115146094</v>
      </c>
      <c r="P75" s="113">
        <v>63318.690727865294</v>
      </c>
      <c r="Q75" s="110">
        <v>16166.036486417688</v>
      </c>
      <c r="R75" s="113">
        <v>70146.666601563775</v>
      </c>
      <c r="S75" s="113">
        <v>79484.72721428299</v>
      </c>
      <c r="U75" s="7" t="s">
        <v>7243</v>
      </c>
    </row>
    <row r="76" spans="1:21" s="7" customFormat="1" ht="16.5" thickBot="1">
      <c r="A76" s="207" t="s">
        <v>10</v>
      </c>
      <c r="B76" s="211">
        <f t="shared" si="3"/>
        <v>150</v>
      </c>
      <c r="C76" s="211" t="s">
        <v>3</v>
      </c>
      <c r="D76" s="211">
        <f t="shared" si="4"/>
        <v>200</v>
      </c>
      <c r="E76" s="211" t="s">
        <v>3</v>
      </c>
      <c r="F76" s="209">
        <f t="shared" si="5"/>
        <v>1550</v>
      </c>
      <c r="G76" s="211" t="s">
        <v>3</v>
      </c>
      <c r="H76" s="208">
        <v>2</v>
      </c>
      <c r="I76" s="210" t="s">
        <v>529</v>
      </c>
      <c r="J76" s="103">
        <v>150</v>
      </c>
      <c r="K76" s="66">
        <v>200</v>
      </c>
      <c r="L76" s="66">
        <v>1550</v>
      </c>
      <c r="M76" s="164">
        <v>16.412883044201315</v>
      </c>
      <c r="N76" s="78">
        <v>3144.8476799999999</v>
      </c>
      <c r="O76" s="113">
        <v>55130.804337209709</v>
      </c>
      <c r="P76" s="113">
        <v>64727.206022370294</v>
      </c>
      <c r="Q76" s="110">
        <v>16556.712955659972</v>
      </c>
      <c r="R76" s="113">
        <v>71687.517292869685</v>
      </c>
      <c r="S76" s="113">
        <v>81283.918978030269</v>
      </c>
      <c r="U76" s="7" t="s">
        <v>7244</v>
      </c>
    </row>
    <row r="77" spans="1:21" s="7" customFormat="1" ht="16.5" thickBot="1">
      <c r="A77" s="207" t="s">
        <v>10</v>
      </c>
      <c r="B77" s="208">
        <f t="shared" si="3"/>
        <v>150</v>
      </c>
      <c r="C77" s="208" t="s">
        <v>3</v>
      </c>
      <c r="D77" s="208">
        <f t="shared" si="4"/>
        <v>200</v>
      </c>
      <c r="E77" s="208" t="s">
        <v>3</v>
      </c>
      <c r="F77" s="209">
        <f t="shared" si="5"/>
        <v>1600</v>
      </c>
      <c r="G77" s="208" t="s">
        <v>3</v>
      </c>
      <c r="H77" s="208">
        <v>2</v>
      </c>
      <c r="I77" s="210" t="s">
        <v>529</v>
      </c>
      <c r="J77" s="103">
        <v>150</v>
      </c>
      <c r="K77" s="66">
        <v>200</v>
      </c>
      <c r="L77" s="66">
        <v>1600</v>
      </c>
      <c r="M77" s="164">
        <v>16.863302056231969</v>
      </c>
      <c r="N77" s="78">
        <v>3275.8829999999998</v>
      </c>
      <c r="O77" s="113">
        <v>58402.163756224363</v>
      </c>
      <c r="P77" s="113">
        <v>68304.457688326307</v>
      </c>
      <c r="Q77" s="110">
        <v>16947.389271873493</v>
      </c>
      <c r="R77" s="113">
        <v>75349.553028097856</v>
      </c>
      <c r="S77" s="113">
        <v>85251.846960199793</v>
      </c>
      <c r="U77" s="7" t="s">
        <v>7245</v>
      </c>
    </row>
    <row r="78" spans="1:21" s="7" customFormat="1" ht="16.5" thickBot="1">
      <c r="A78" s="207" t="s">
        <v>10</v>
      </c>
      <c r="B78" s="211">
        <f t="shared" si="3"/>
        <v>150</v>
      </c>
      <c r="C78" s="211" t="s">
        <v>3</v>
      </c>
      <c r="D78" s="211">
        <f t="shared" si="4"/>
        <v>200</v>
      </c>
      <c r="E78" s="211" t="s">
        <v>3</v>
      </c>
      <c r="F78" s="209">
        <f t="shared" si="5"/>
        <v>1650</v>
      </c>
      <c r="G78" s="211" t="s">
        <v>3</v>
      </c>
      <c r="H78" s="208">
        <v>2</v>
      </c>
      <c r="I78" s="210" t="s">
        <v>529</v>
      </c>
      <c r="J78" s="103">
        <v>150</v>
      </c>
      <c r="K78" s="66">
        <v>200</v>
      </c>
      <c r="L78" s="66">
        <v>1650</v>
      </c>
      <c r="M78" s="164">
        <v>17.330761068262632</v>
      </c>
      <c r="N78" s="78">
        <v>3406.9183200000002</v>
      </c>
      <c r="O78" s="113">
        <v>61948.486645325938</v>
      </c>
      <c r="P78" s="113">
        <v>72163.114828855803</v>
      </c>
      <c r="Q78" s="110">
        <v>17589.399725870782</v>
      </c>
      <c r="R78" s="113">
        <v>79537.886371196713</v>
      </c>
      <c r="S78" s="113">
        <v>89752.514554726586</v>
      </c>
      <c r="U78" s="7" t="s">
        <v>7246</v>
      </c>
    </row>
    <row r="79" spans="1:21" s="7" customFormat="1" ht="16.5" thickBot="1">
      <c r="A79" s="207" t="s">
        <v>10</v>
      </c>
      <c r="B79" s="211">
        <f t="shared" si="3"/>
        <v>150</v>
      </c>
      <c r="C79" s="211" t="s">
        <v>3</v>
      </c>
      <c r="D79" s="211">
        <f t="shared" si="4"/>
        <v>200</v>
      </c>
      <c r="E79" s="211" t="s">
        <v>3</v>
      </c>
      <c r="F79" s="209">
        <f t="shared" si="5"/>
        <v>1700</v>
      </c>
      <c r="G79" s="211" t="s">
        <v>3</v>
      </c>
      <c r="H79" s="208">
        <v>2</v>
      </c>
      <c r="I79" s="210" t="s">
        <v>529</v>
      </c>
      <c r="J79" s="103">
        <v>150</v>
      </c>
      <c r="K79" s="66">
        <v>200</v>
      </c>
      <c r="L79" s="66">
        <v>1700</v>
      </c>
      <c r="M79" s="164">
        <v>18.643180080293291</v>
      </c>
      <c r="N79" s="78">
        <v>3537.9536400000002</v>
      </c>
      <c r="O79" s="113">
        <v>62875.050139931023</v>
      </c>
      <c r="P79" s="113">
        <v>73342.893089890218</v>
      </c>
      <c r="Q79" s="110">
        <v>17980.076042084303</v>
      </c>
      <c r="R79" s="113">
        <v>80855.12618201533</v>
      </c>
      <c r="S79" s="113">
        <v>91322.969131974518</v>
      </c>
      <c r="U79" s="7" t="s">
        <v>7247</v>
      </c>
    </row>
    <row r="80" spans="1:21" s="7" customFormat="1" ht="16.5" thickBot="1">
      <c r="A80" s="207" t="s">
        <v>10</v>
      </c>
      <c r="B80" s="211">
        <f t="shared" si="3"/>
        <v>150</v>
      </c>
      <c r="C80" s="211" t="s">
        <v>3</v>
      </c>
      <c r="D80" s="211">
        <f t="shared" si="4"/>
        <v>200</v>
      </c>
      <c r="E80" s="211" t="s">
        <v>3</v>
      </c>
      <c r="F80" s="209">
        <f t="shared" si="5"/>
        <v>1750</v>
      </c>
      <c r="G80" s="211" t="s">
        <v>3</v>
      </c>
      <c r="H80" s="208">
        <v>2</v>
      </c>
      <c r="I80" s="210" t="s">
        <v>529</v>
      </c>
      <c r="J80" s="103">
        <v>150</v>
      </c>
      <c r="K80" s="66">
        <v>200</v>
      </c>
      <c r="L80" s="66">
        <v>1750</v>
      </c>
      <c r="M80" s="164">
        <v>19.11063909232395</v>
      </c>
      <c r="N80" s="78">
        <v>3668.9889599999997</v>
      </c>
      <c r="O80" s="113">
        <v>63718.606103743463</v>
      </c>
      <c r="P80" s="113">
        <v>74437.808156599174</v>
      </c>
      <c r="Q80" s="110">
        <v>18622.086496081592</v>
      </c>
      <c r="R80" s="113">
        <v>82340.692599825052</v>
      </c>
      <c r="S80" s="113">
        <v>93059.89465268077</v>
      </c>
      <c r="U80" s="7" t="s">
        <v>7248</v>
      </c>
    </row>
    <row r="81" spans="1:21" s="7" customFormat="1" ht="16.5" thickBot="1">
      <c r="A81" s="207" t="s">
        <v>10</v>
      </c>
      <c r="B81" s="211">
        <f t="shared" si="3"/>
        <v>150</v>
      </c>
      <c r="C81" s="211" t="s">
        <v>3</v>
      </c>
      <c r="D81" s="211">
        <f t="shared" si="4"/>
        <v>200</v>
      </c>
      <c r="E81" s="211" t="s">
        <v>3</v>
      </c>
      <c r="F81" s="209">
        <f t="shared" si="5"/>
        <v>1800</v>
      </c>
      <c r="G81" s="211" t="s">
        <v>3</v>
      </c>
      <c r="H81" s="208">
        <v>2</v>
      </c>
      <c r="I81" s="210" t="s">
        <v>529</v>
      </c>
      <c r="J81" s="103">
        <v>150</v>
      </c>
      <c r="K81" s="66">
        <v>200</v>
      </c>
      <c r="L81" s="66">
        <v>1800</v>
      </c>
      <c r="M81" s="164">
        <v>19.561058104354601</v>
      </c>
      <c r="N81" s="78">
        <v>3800.0242799999996</v>
      </c>
      <c r="O81" s="113">
        <v>64645.928972989735</v>
      </c>
      <c r="P81" s="113">
        <v>75618.397480800748</v>
      </c>
      <c r="Q81" s="110">
        <v>19012.762965323876</v>
      </c>
      <c r="R81" s="113">
        <v>83658.691938313612</v>
      </c>
      <c r="S81" s="113">
        <v>94631.160446124617</v>
      </c>
      <c r="U81" s="7" t="s">
        <v>7249</v>
      </c>
    </row>
    <row r="82" spans="1:21" s="7" customFormat="1" ht="16.5" thickBot="1">
      <c r="A82" s="207" t="s">
        <v>10</v>
      </c>
      <c r="B82" s="211">
        <f t="shared" si="3"/>
        <v>150</v>
      </c>
      <c r="C82" s="211" t="s">
        <v>3</v>
      </c>
      <c r="D82" s="211">
        <f t="shared" si="4"/>
        <v>200</v>
      </c>
      <c r="E82" s="211" t="s">
        <v>3</v>
      </c>
      <c r="F82" s="209">
        <f t="shared" si="5"/>
        <v>1850</v>
      </c>
      <c r="G82" s="211" t="s">
        <v>3</v>
      </c>
      <c r="H82" s="208">
        <v>2</v>
      </c>
      <c r="I82" s="210" t="s">
        <v>529</v>
      </c>
      <c r="J82" s="103">
        <v>150</v>
      </c>
      <c r="K82" s="66">
        <v>200</v>
      </c>
      <c r="L82" s="66">
        <v>1850</v>
      </c>
      <c r="M82" s="164">
        <v>20.02851711638526</v>
      </c>
      <c r="N82" s="78">
        <v>3931.0596</v>
      </c>
      <c r="O82" s="113">
        <v>65573.199292158068</v>
      </c>
      <c r="P82" s="113">
        <v>76798.948237162665</v>
      </c>
      <c r="Q82" s="110">
        <v>19654.773419321165</v>
      </c>
      <c r="R82" s="113">
        <v>85227.972711479233</v>
      </c>
      <c r="S82" s="113">
        <v>96453.721656483831</v>
      </c>
      <c r="U82" s="7" t="s">
        <v>7250</v>
      </c>
    </row>
    <row r="83" spans="1:21" s="7" customFormat="1" ht="16.5" thickBot="1">
      <c r="A83" s="207" t="s">
        <v>10</v>
      </c>
      <c r="B83" s="211">
        <f t="shared" si="3"/>
        <v>150</v>
      </c>
      <c r="C83" s="211" t="s">
        <v>3</v>
      </c>
      <c r="D83" s="211">
        <f t="shared" si="4"/>
        <v>200</v>
      </c>
      <c r="E83" s="211" t="s">
        <v>3</v>
      </c>
      <c r="F83" s="209">
        <f t="shared" si="5"/>
        <v>1900</v>
      </c>
      <c r="G83" s="211" t="s">
        <v>3</v>
      </c>
      <c r="H83" s="208">
        <v>2</v>
      </c>
      <c r="I83" s="210" t="s">
        <v>529</v>
      </c>
      <c r="J83" s="103">
        <v>150</v>
      </c>
      <c r="K83" s="66">
        <v>200</v>
      </c>
      <c r="L83" s="66">
        <v>1900</v>
      </c>
      <c r="M83" s="164">
        <v>20.478936128415917</v>
      </c>
      <c r="N83" s="78">
        <v>4062.0949200000005</v>
      </c>
      <c r="O83" s="113">
        <v>66691.278944340767</v>
      </c>
      <c r="P83" s="113">
        <v>78174.609140301589</v>
      </c>
      <c r="Q83" s="110">
        <v>20045.449735534687</v>
      </c>
      <c r="R83" s="113">
        <v>86736.72867987545</v>
      </c>
      <c r="S83" s="113">
        <v>98220.058875836272</v>
      </c>
      <c r="U83" s="7" t="s">
        <v>7251</v>
      </c>
    </row>
    <row r="84" spans="1:21" s="7" customFormat="1" ht="16.5" thickBot="1">
      <c r="A84" s="207" t="s">
        <v>10</v>
      </c>
      <c r="B84" s="211">
        <f t="shared" si="3"/>
        <v>150</v>
      </c>
      <c r="C84" s="211" t="s">
        <v>3</v>
      </c>
      <c r="D84" s="211">
        <f t="shared" si="4"/>
        <v>200</v>
      </c>
      <c r="E84" s="211" t="s">
        <v>3</v>
      </c>
      <c r="F84" s="209">
        <f t="shared" si="5"/>
        <v>1950</v>
      </c>
      <c r="G84" s="211" t="s">
        <v>3</v>
      </c>
      <c r="H84" s="208">
        <v>2</v>
      </c>
      <c r="I84" s="210" t="s">
        <v>529</v>
      </c>
      <c r="J84" s="103">
        <v>150</v>
      </c>
      <c r="K84" s="66">
        <v>200</v>
      </c>
      <c r="L84" s="66">
        <v>1950</v>
      </c>
      <c r="M84" s="164">
        <v>20.968605140446581</v>
      </c>
      <c r="N84" s="78">
        <v>4193.1302400000004</v>
      </c>
      <c r="O84" s="113">
        <v>67982.888059105855</v>
      </c>
      <c r="P84" s="113">
        <v>79727.701176387709</v>
      </c>
      <c r="Q84" s="110">
        <v>20436.126051748208</v>
      </c>
      <c r="R84" s="113">
        <v>88419.01411085407</v>
      </c>
      <c r="S84" s="113">
        <v>100163.82722813592</v>
      </c>
      <c r="U84" s="7" t="s">
        <v>7252</v>
      </c>
    </row>
    <row r="85" spans="1:21" s="7" customFormat="1" ht="16.5" thickBot="1">
      <c r="A85" s="207" t="s">
        <v>10</v>
      </c>
      <c r="B85" s="211">
        <f t="shared" si="3"/>
        <v>150</v>
      </c>
      <c r="C85" s="211" t="s">
        <v>3</v>
      </c>
      <c r="D85" s="211">
        <f t="shared" si="4"/>
        <v>200</v>
      </c>
      <c r="E85" s="211" t="s">
        <v>3</v>
      </c>
      <c r="F85" s="209">
        <f t="shared" si="5"/>
        <v>2000</v>
      </c>
      <c r="G85" s="211" t="s">
        <v>3</v>
      </c>
      <c r="H85" s="208">
        <v>2</v>
      </c>
      <c r="I85" s="210" t="s">
        <v>529</v>
      </c>
      <c r="J85" s="103">
        <v>150</v>
      </c>
      <c r="K85" s="66">
        <v>200</v>
      </c>
      <c r="L85" s="66">
        <v>2000</v>
      </c>
      <c r="M85" s="164">
        <v>21.527626552477237</v>
      </c>
      <c r="N85" s="78">
        <v>4324.1655599999995</v>
      </c>
      <c r="O85" s="113">
        <v>69135.005723532246</v>
      </c>
      <c r="P85" s="113">
        <v>81368.062840751503</v>
      </c>
      <c r="Q85" s="110">
        <v>21078.136658774263</v>
      </c>
      <c r="R85" s="113">
        <v>90213.142382306512</v>
      </c>
      <c r="S85" s="113">
        <v>102446.19949952577</v>
      </c>
      <c r="U85" s="7" t="s">
        <v>7253</v>
      </c>
    </row>
    <row r="86" spans="1:21" s="7" customFormat="1" ht="16.5" thickBot="1">
      <c r="A86" s="207" t="s">
        <v>10</v>
      </c>
      <c r="B86" s="211">
        <f t="shared" si="3"/>
        <v>150</v>
      </c>
      <c r="C86" s="211" t="s">
        <v>3</v>
      </c>
      <c r="D86" s="211">
        <f t="shared" si="4"/>
        <v>200</v>
      </c>
      <c r="E86" s="211" t="s">
        <v>3</v>
      </c>
      <c r="F86" s="209">
        <f t="shared" si="5"/>
        <v>2050</v>
      </c>
      <c r="G86" s="211" t="s">
        <v>3</v>
      </c>
      <c r="H86" s="208">
        <v>2</v>
      </c>
      <c r="I86" s="210" t="s">
        <v>529</v>
      </c>
      <c r="J86" s="103">
        <v>150</v>
      </c>
      <c r="K86" s="66">
        <v>200</v>
      </c>
      <c r="L86" s="66">
        <v>2050</v>
      </c>
      <c r="M86" s="164">
        <v>22.840045564507896</v>
      </c>
      <c r="N86" s="78">
        <v>4455.2008799999994</v>
      </c>
      <c r="O86" s="113">
        <v>72399.203633533631</v>
      </c>
      <c r="P86" s="113">
        <v>84938.035289498424</v>
      </c>
      <c r="Q86" s="110">
        <v>21468.812974987781</v>
      </c>
      <c r="R86" s="113">
        <v>93868.016608521415</v>
      </c>
      <c r="S86" s="113">
        <v>106406.84826448621</v>
      </c>
      <c r="U86" s="7" t="s">
        <v>7254</v>
      </c>
    </row>
    <row r="87" spans="1:21" s="7" customFormat="1" ht="16.5" thickBot="1">
      <c r="A87" s="207" t="s">
        <v>10</v>
      </c>
      <c r="B87" s="208">
        <f t="shared" si="3"/>
        <v>150</v>
      </c>
      <c r="C87" s="208" t="s">
        <v>3</v>
      </c>
      <c r="D87" s="208">
        <f t="shared" si="4"/>
        <v>200</v>
      </c>
      <c r="E87" s="208" t="s">
        <v>3</v>
      </c>
      <c r="F87" s="209">
        <f t="shared" si="5"/>
        <v>2100</v>
      </c>
      <c r="G87" s="208" t="s">
        <v>3</v>
      </c>
      <c r="H87" s="208">
        <v>2</v>
      </c>
      <c r="I87" s="210" t="s">
        <v>529</v>
      </c>
      <c r="J87" s="103">
        <v>150</v>
      </c>
      <c r="K87" s="66">
        <v>200</v>
      </c>
      <c r="L87" s="66">
        <v>2100</v>
      </c>
      <c r="M87" s="164">
        <v>23.307504576538548</v>
      </c>
      <c r="N87" s="78">
        <v>4586.2362000000003</v>
      </c>
      <c r="O87" s="113">
        <v>73393.977649607739</v>
      </c>
      <c r="P87" s="113">
        <v>86187.603977699895</v>
      </c>
      <c r="Q87" s="110">
        <v>22110.823428985073</v>
      </c>
      <c r="R87" s="113">
        <v>95504.801078592805</v>
      </c>
      <c r="S87" s="113">
        <v>108298.42740668496</v>
      </c>
      <c r="U87" s="7" t="s">
        <v>7255</v>
      </c>
    </row>
    <row r="88" spans="1:21" s="7" customFormat="1" ht="16.5" thickBot="1">
      <c r="A88" s="207" t="s">
        <v>10</v>
      </c>
      <c r="B88" s="211">
        <f t="shared" si="3"/>
        <v>150</v>
      </c>
      <c r="C88" s="211" t="s">
        <v>3</v>
      </c>
      <c r="D88" s="211">
        <f t="shared" si="4"/>
        <v>200</v>
      </c>
      <c r="E88" s="211" t="s">
        <v>3</v>
      </c>
      <c r="F88" s="209">
        <f t="shared" si="5"/>
        <v>2150</v>
      </c>
      <c r="G88" s="211" t="s">
        <v>3</v>
      </c>
      <c r="H88" s="208">
        <v>2</v>
      </c>
      <c r="I88" s="210" t="s">
        <v>529</v>
      </c>
      <c r="J88" s="103">
        <v>150</v>
      </c>
      <c r="K88" s="66">
        <v>200</v>
      </c>
      <c r="L88" s="66">
        <v>2150</v>
      </c>
      <c r="M88" s="164">
        <v>23.757923588569213</v>
      </c>
      <c r="N88" s="78">
        <v>4717.2715200000002</v>
      </c>
      <c r="O88" s="113">
        <v>74549.654411144773</v>
      </c>
      <c r="P88" s="113">
        <v>87601.699796667308</v>
      </c>
      <c r="Q88" s="110">
        <v>22501.499745198591</v>
      </c>
      <c r="R88" s="113">
        <v>97051.154156343371</v>
      </c>
      <c r="S88" s="113">
        <v>110103.19954186591</v>
      </c>
      <c r="U88" s="7" t="s">
        <v>7256</v>
      </c>
    </row>
    <row r="89" spans="1:21" s="7" customFormat="1" ht="16.5" thickBot="1">
      <c r="A89" s="207" t="s">
        <v>10</v>
      </c>
      <c r="B89" s="211">
        <f t="shared" si="3"/>
        <v>150</v>
      </c>
      <c r="C89" s="211" t="s">
        <v>3</v>
      </c>
      <c r="D89" s="211">
        <f t="shared" si="4"/>
        <v>200</v>
      </c>
      <c r="E89" s="211" t="s">
        <v>3</v>
      </c>
      <c r="F89" s="209">
        <f t="shared" si="5"/>
        <v>2200</v>
      </c>
      <c r="G89" s="211" t="s">
        <v>3</v>
      </c>
      <c r="H89" s="208">
        <v>2</v>
      </c>
      <c r="I89" s="210" t="s">
        <v>529</v>
      </c>
      <c r="J89" s="103">
        <v>150</v>
      </c>
      <c r="K89" s="66">
        <v>200</v>
      </c>
      <c r="L89" s="66">
        <v>2200</v>
      </c>
      <c r="M89" s="164">
        <v>24.225382600599872</v>
      </c>
      <c r="N89" s="78">
        <v>4848.3068400000002</v>
      </c>
      <c r="O89" s="113">
        <v>75705.278882752769</v>
      </c>
      <c r="P89" s="113">
        <v>89015.745377821411</v>
      </c>
      <c r="Q89" s="110">
        <v>23143.510199195884</v>
      </c>
      <c r="R89" s="113">
        <v>98848.789081948649</v>
      </c>
      <c r="S89" s="113">
        <v>112159.25557701729</v>
      </c>
      <c r="U89" s="7" t="s">
        <v>7257</v>
      </c>
    </row>
    <row r="90" spans="1:21" s="7" customFormat="1" ht="16.5" thickBot="1">
      <c r="A90" s="207" t="s">
        <v>10</v>
      </c>
      <c r="B90" s="211">
        <f t="shared" si="3"/>
        <v>150</v>
      </c>
      <c r="C90" s="211" t="s">
        <v>3</v>
      </c>
      <c r="D90" s="211">
        <f t="shared" si="4"/>
        <v>200</v>
      </c>
      <c r="E90" s="211" t="s">
        <v>3</v>
      </c>
      <c r="F90" s="209">
        <f t="shared" si="5"/>
        <v>2250</v>
      </c>
      <c r="G90" s="211" t="s">
        <v>3</v>
      </c>
      <c r="H90" s="208">
        <v>2</v>
      </c>
      <c r="I90" s="210" t="s">
        <v>529</v>
      </c>
      <c r="J90" s="103">
        <v>150</v>
      </c>
      <c r="K90" s="66">
        <v>200</v>
      </c>
      <c r="L90" s="66">
        <v>2250</v>
      </c>
      <c r="M90" s="164">
        <v>24.675801612630529</v>
      </c>
      <c r="N90" s="78">
        <v>4979.3421600000001</v>
      </c>
      <c r="O90" s="113">
        <v>77209.279413409793</v>
      </c>
      <c r="P90" s="113">
        <v>90785.991286968143</v>
      </c>
      <c r="Q90" s="110">
        <v>23534.186668438168</v>
      </c>
      <c r="R90" s="113">
        <v>100743.46608184796</v>
      </c>
      <c r="S90" s="113">
        <v>114320.17795540631</v>
      </c>
      <c r="U90" s="7" t="s">
        <v>7258</v>
      </c>
    </row>
    <row r="91" spans="1:21" s="7" customFormat="1" ht="16.5" thickBot="1">
      <c r="A91" s="207" t="s">
        <v>10</v>
      </c>
      <c r="B91" s="211">
        <f t="shared" si="3"/>
        <v>150</v>
      </c>
      <c r="C91" s="211" t="s">
        <v>3</v>
      </c>
      <c r="D91" s="211">
        <f t="shared" si="4"/>
        <v>200</v>
      </c>
      <c r="E91" s="211" t="s">
        <v>3</v>
      </c>
      <c r="F91" s="209">
        <f t="shared" si="5"/>
        <v>2300</v>
      </c>
      <c r="G91" s="211" t="s">
        <v>3</v>
      </c>
      <c r="H91" s="208">
        <v>2</v>
      </c>
      <c r="I91" s="210" t="s">
        <v>529</v>
      </c>
      <c r="J91" s="103">
        <v>150</v>
      </c>
      <c r="K91" s="66">
        <v>200</v>
      </c>
      <c r="L91" s="66">
        <v>2300</v>
      </c>
      <c r="M91" s="164">
        <v>25.126220624661187</v>
      </c>
      <c r="N91" s="78">
        <v>5110.3774799999992</v>
      </c>
      <c r="O91" s="113">
        <v>78100.136821019842</v>
      </c>
      <c r="P91" s="113">
        <v>91929.330339981272</v>
      </c>
      <c r="Q91" s="110">
        <v>23924.862984651689</v>
      </c>
      <c r="R91" s="113">
        <v>102024.99980567153</v>
      </c>
      <c r="S91" s="113">
        <v>115854.19332463296</v>
      </c>
      <c r="U91" s="7" t="s">
        <v>7259</v>
      </c>
    </row>
    <row r="92" spans="1:21" s="7" customFormat="1" ht="16.5" thickBot="1">
      <c r="A92" s="207" t="s">
        <v>10</v>
      </c>
      <c r="B92" s="211">
        <f t="shared" si="3"/>
        <v>150</v>
      </c>
      <c r="C92" s="211" t="s">
        <v>3</v>
      </c>
      <c r="D92" s="211">
        <f t="shared" si="4"/>
        <v>200</v>
      </c>
      <c r="E92" s="211" t="s">
        <v>3</v>
      </c>
      <c r="F92" s="209">
        <f t="shared" si="5"/>
        <v>2350</v>
      </c>
      <c r="G92" s="211" t="s">
        <v>3</v>
      </c>
      <c r="H92" s="208">
        <v>2</v>
      </c>
      <c r="I92" s="210" t="s">
        <v>529</v>
      </c>
      <c r="J92" s="103">
        <v>150</v>
      </c>
      <c r="K92" s="66">
        <v>200</v>
      </c>
      <c r="L92" s="66">
        <v>2350</v>
      </c>
      <c r="M92" s="164">
        <v>25.593679636691846</v>
      </c>
      <c r="N92" s="78">
        <v>5241.4128000000001</v>
      </c>
      <c r="O92" s="113">
        <v>78990.941808626405</v>
      </c>
      <c r="P92" s="113">
        <v>93072.629259670473</v>
      </c>
      <c r="Q92" s="110">
        <v>24566.873438648978</v>
      </c>
      <c r="R92" s="113">
        <v>103557.81524727539</v>
      </c>
      <c r="S92" s="113">
        <v>117639.50269831945</v>
      </c>
      <c r="U92" s="7" t="s">
        <v>7260</v>
      </c>
    </row>
    <row r="93" spans="1:21" s="7" customFormat="1" ht="16.5" thickBot="1">
      <c r="A93" s="207" t="s">
        <v>10</v>
      </c>
      <c r="B93" s="211">
        <f t="shared" si="3"/>
        <v>150</v>
      </c>
      <c r="C93" s="211" t="s">
        <v>3</v>
      </c>
      <c r="D93" s="211">
        <f t="shared" si="4"/>
        <v>200</v>
      </c>
      <c r="E93" s="211" t="s">
        <v>3</v>
      </c>
      <c r="F93" s="209">
        <f t="shared" si="5"/>
        <v>2400</v>
      </c>
      <c r="G93" s="211" t="s">
        <v>3</v>
      </c>
      <c r="H93" s="208">
        <v>2</v>
      </c>
      <c r="I93" s="210" t="s">
        <v>529</v>
      </c>
      <c r="J93" s="103">
        <v>150</v>
      </c>
      <c r="K93" s="66">
        <v>200</v>
      </c>
      <c r="L93" s="66">
        <v>2400</v>
      </c>
      <c r="M93" s="164">
        <v>26.0440986487225</v>
      </c>
      <c r="N93" s="78">
        <v>5372.44812</v>
      </c>
      <c r="O93" s="113">
        <v>79881.694506303902</v>
      </c>
      <c r="P93" s="113">
        <v>94215.887619085464</v>
      </c>
      <c r="Q93" s="110">
        <v>24957.549754862499</v>
      </c>
      <c r="R93" s="113">
        <v>104839.2442611664</v>
      </c>
      <c r="S93" s="113">
        <v>119173.43737394796</v>
      </c>
      <c r="U93" s="7" t="s">
        <v>7261</v>
      </c>
    </row>
    <row r="94" spans="1:21" ht="16.5" thickBot="1">
      <c r="A94" s="207" t="s">
        <v>10</v>
      </c>
      <c r="B94" s="211">
        <f t="shared" si="3"/>
        <v>150</v>
      </c>
      <c r="C94" s="211" t="s">
        <v>3</v>
      </c>
      <c r="D94" s="211">
        <f t="shared" si="4"/>
        <v>200</v>
      </c>
      <c r="E94" s="211" t="s">
        <v>3</v>
      </c>
      <c r="F94" s="209">
        <f t="shared" si="5"/>
        <v>2450</v>
      </c>
      <c r="G94" s="211" t="s">
        <v>3</v>
      </c>
      <c r="H94" s="208">
        <v>2</v>
      </c>
      <c r="I94" s="210" t="s">
        <v>529</v>
      </c>
      <c r="J94" s="103">
        <v>150</v>
      </c>
      <c r="K94" s="66">
        <v>200</v>
      </c>
      <c r="L94" s="66">
        <v>2450</v>
      </c>
      <c r="M94" s="164">
        <v>27.22764224751316</v>
      </c>
      <c r="N94" s="78">
        <v>5503.48344</v>
      </c>
      <c r="O94" s="113">
        <v>81243.517158999035</v>
      </c>
      <c r="P94" s="113">
        <v>95923.055897603001</v>
      </c>
      <c r="Q94" s="110">
        <v>25599.560361888554</v>
      </c>
      <c r="R94" s="113">
        <v>106843.07752088759</v>
      </c>
      <c r="S94" s="113">
        <v>121522.61625949155</v>
      </c>
      <c r="U94" s="7" t="s">
        <v>7262</v>
      </c>
    </row>
    <row r="95" spans="1:21" ht="16.5" thickBot="1">
      <c r="A95" s="207" t="s">
        <v>10</v>
      </c>
      <c r="B95" s="211">
        <f t="shared" si="3"/>
        <v>150</v>
      </c>
      <c r="C95" s="211" t="s">
        <v>3</v>
      </c>
      <c r="D95" s="211">
        <f t="shared" si="4"/>
        <v>200</v>
      </c>
      <c r="E95" s="211" t="s">
        <v>3</v>
      </c>
      <c r="F95" s="209">
        <f t="shared" si="5"/>
        <v>2500</v>
      </c>
      <c r="G95" s="211" t="s">
        <v>3</v>
      </c>
      <c r="H95" s="208">
        <v>2</v>
      </c>
      <c r="I95" s="210" t="s">
        <v>529</v>
      </c>
      <c r="J95" s="103">
        <v>150</v>
      </c>
      <c r="K95" s="66">
        <v>200</v>
      </c>
      <c r="L95" s="66">
        <v>2500</v>
      </c>
      <c r="M95" s="164">
        <v>27.678061259543817</v>
      </c>
      <c r="N95" s="78">
        <v>5634.5187599999999</v>
      </c>
      <c r="O95" s="113">
        <v>82134.164886595099</v>
      </c>
      <c r="P95" s="113">
        <v>97066.260176652402</v>
      </c>
      <c r="Q95" s="110">
        <v>25990.236678102072</v>
      </c>
      <c r="R95" s="113">
        <v>108124.40156469717</v>
      </c>
      <c r="S95" s="113">
        <v>123056.49685475447</v>
      </c>
      <c r="U95" s="7" t="s">
        <v>7263</v>
      </c>
    </row>
    <row r="96" spans="1:21" ht="16.5" thickBot="1">
      <c r="A96" s="207" t="s">
        <v>10</v>
      </c>
      <c r="B96" s="211">
        <f t="shared" si="3"/>
        <v>150</v>
      </c>
      <c r="C96" s="211" t="s">
        <v>3</v>
      </c>
      <c r="D96" s="211">
        <f t="shared" si="4"/>
        <v>200</v>
      </c>
      <c r="E96" s="211" t="s">
        <v>3</v>
      </c>
      <c r="F96" s="209">
        <f t="shared" si="5"/>
        <v>2550</v>
      </c>
      <c r="G96" s="211" t="s">
        <v>3</v>
      </c>
      <c r="H96" s="208">
        <v>2</v>
      </c>
      <c r="I96" s="210" t="s">
        <v>529</v>
      </c>
      <c r="J96" s="103">
        <v>150</v>
      </c>
      <c r="K96" s="66">
        <v>200</v>
      </c>
      <c r="L96" s="66">
        <v>2550</v>
      </c>
      <c r="M96" s="164">
        <v>28.145520271574476</v>
      </c>
      <c r="N96" s="78">
        <v>5765.5540799999999</v>
      </c>
      <c r="O96" s="113">
        <v>86615.586235436349</v>
      </c>
      <c r="P96" s="113">
        <v>101880.48564061303</v>
      </c>
      <c r="Q96" s="110">
        <v>26632.247132099365</v>
      </c>
      <c r="R96" s="113">
        <v>113247.83336753571</v>
      </c>
      <c r="S96" s="113">
        <v>128512.73277271239</v>
      </c>
      <c r="U96" s="7" t="s">
        <v>7264</v>
      </c>
    </row>
    <row r="97" spans="1:21" ht="16.5" thickBot="1">
      <c r="A97" s="207" t="s">
        <v>10</v>
      </c>
      <c r="B97" s="208">
        <f t="shared" si="3"/>
        <v>150</v>
      </c>
      <c r="C97" s="208" t="s">
        <v>3</v>
      </c>
      <c r="D97" s="208">
        <f t="shared" si="4"/>
        <v>200</v>
      </c>
      <c r="E97" s="208" t="s">
        <v>3</v>
      </c>
      <c r="F97" s="209">
        <f t="shared" si="5"/>
        <v>2600</v>
      </c>
      <c r="G97" s="208" t="s">
        <v>3</v>
      </c>
      <c r="H97" s="208">
        <v>2</v>
      </c>
      <c r="I97" s="210" t="s">
        <v>529</v>
      </c>
      <c r="J97" s="103">
        <v>150</v>
      </c>
      <c r="K97" s="66">
        <v>200</v>
      </c>
      <c r="L97" s="66">
        <v>2600</v>
      </c>
      <c r="M97" s="164">
        <v>28.595939283605141</v>
      </c>
      <c r="N97" s="78">
        <v>5896.5893999999998</v>
      </c>
      <c r="O97" s="113">
        <v>87801.086987248869</v>
      </c>
      <c r="P97" s="113">
        <v>103325.08733991216</v>
      </c>
      <c r="Q97" s="110">
        <v>27022.923448312882</v>
      </c>
      <c r="R97" s="113">
        <v>114824.01043556175</v>
      </c>
      <c r="S97" s="113">
        <v>130348.01078822504</v>
      </c>
      <c r="U97" s="7" t="s">
        <v>7265</v>
      </c>
    </row>
    <row r="98" spans="1:21" ht="16.5" thickBot="1">
      <c r="A98" s="207" t="s">
        <v>10</v>
      </c>
      <c r="B98" s="211">
        <f t="shared" si="3"/>
        <v>150</v>
      </c>
      <c r="C98" s="211" t="s">
        <v>3</v>
      </c>
      <c r="D98" s="211">
        <f t="shared" si="4"/>
        <v>200</v>
      </c>
      <c r="E98" s="211" t="s">
        <v>3</v>
      </c>
      <c r="F98" s="209">
        <f t="shared" si="5"/>
        <v>2650</v>
      </c>
      <c r="G98" s="211" t="s">
        <v>3</v>
      </c>
      <c r="H98" s="208">
        <v>2</v>
      </c>
      <c r="I98" s="210" t="s">
        <v>529</v>
      </c>
      <c r="J98" s="103">
        <v>150</v>
      </c>
      <c r="K98" s="66">
        <v>200</v>
      </c>
      <c r="L98" s="66">
        <v>2650</v>
      </c>
      <c r="M98" s="164">
        <v>29.063398295635796</v>
      </c>
      <c r="N98" s="78">
        <v>6027.6247199999998</v>
      </c>
      <c r="O98" s="113">
        <v>88517.212133834095</v>
      </c>
      <c r="P98" s="113">
        <v>104289.8007954822</v>
      </c>
      <c r="Q98" s="110">
        <v>27664.933902310175</v>
      </c>
      <c r="R98" s="113">
        <v>116182.14603614427</v>
      </c>
      <c r="S98" s="113">
        <v>131954.73469779236</v>
      </c>
      <c r="U98" s="7" t="s">
        <v>7266</v>
      </c>
    </row>
    <row r="99" spans="1:21" ht="16.5" thickBot="1">
      <c r="A99" s="207" t="s">
        <v>10</v>
      </c>
      <c r="B99" s="211">
        <f t="shared" si="3"/>
        <v>150</v>
      </c>
      <c r="C99" s="211" t="s">
        <v>3</v>
      </c>
      <c r="D99" s="211">
        <f t="shared" si="4"/>
        <v>200</v>
      </c>
      <c r="E99" s="211" t="s">
        <v>3</v>
      </c>
      <c r="F99" s="209">
        <f t="shared" si="5"/>
        <v>2700</v>
      </c>
      <c r="G99" s="211" t="s">
        <v>3</v>
      </c>
      <c r="H99" s="208">
        <v>2</v>
      </c>
      <c r="I99" s="210" t="s">
        <v>529</v>
      </c>
      <c r="J99" s="103">
        <v>150</v>
      </c>
      <c r="K99" s="66">
        <v>200</v>
      </c>
      <c r="L99" s="66">
        <v>2700</v>
      </c>
      <c r="M99" s="164">
        <v>29.553067307666453</v>
      </c>
      <c r="N99" s="78">
        <v>6158.6600399999998</v>
      </c>
      <c r="O99" s="113">
        <v>89271.848553010757</v>
      </c>
      <c r="P99" s="113">
        <v>105293.90767020255</v>
      </c>
      <c r="Q99" s="110">
        <v>28055.610371552459</v>
      </c>
      <c r="R99" s="113">
        <v>117327.45892456322</v>
      </c>
      <c r="S99" s="113">
        <v>133349.51804175501</v>
      </c>
      <c r="U99" s="7" t="s">
        <v>7267</v>
      </c>
    </row>
    <row r="100" spans="1:21" ht="16.5" thickBot="1">
      <c r="A100" s="207" t="s">
        <v>10</v>
      </c>
      <c r="B100" s="211">
        <f t="shared" si="3"/>
        <v>150</v>
      </c>
      <c r="C100" s="211" t="s">
        <v>3</v>
      </c>
      <c r="D100" s="211">
        <f t="shared" si="4"/>
        <v>200</v>
      </c>
      <c r="E100" s="211" t="s">
        <v>3</v>
      </c>
      <c r="F100" s="209">
        <f t="shared" si="5"/>
        <v>2750</v>
      </c>
      <c r="G100" s="211" t="s">
        <v>3</v>
      </c>
      <c r="H100" s="208">
        <v>2</v>
      </c>
      <c r="I100" s="210" t="s">
        <v>529</v>
      </c>
      <c r="J100" s="103">
        <v>150</v>
      </c>
      <c r="K100" s="66">
        <v>200</v>
      </c>
      <c r="L100" s="66">
        <v>2750</v>
      </c>
      <c r="M100" s="164">
        <v>30.00348631969711</v>
      </c>
      <c r="N100" s="78">
        <v>6289.6953599999997</v>
      </c>
      <c r="O100" s="113">
        <v>90076.980784336862</v>
      </c>
      <c r="P100" s="113">
        <v>106349.65645529672</v>
      </c>
      <c r="Q100" s="110">
        <v>28446.286687765976</v>
      </c>
      <c r="R100" s="113">
        <v>118523.26747210283</v>
      </c>
      <c r="S100" s="113">
        <v>134795.9431430627</v>
      </c>
      <c r="U100" s="7" t="s">
        <v>7268</v>
      </c>
    </row>
    <row r="101" spans="1:21" ht="16.5" thickBot="1">
      <c r="A101" s="207" t="s">
        <v>10</v>
      </c>
      <c r="B101" s="211">
        <f t="shared" si="3"/>
        <v>150</v>
      </c>
      <c r="C101" s="211" t="s">
        <v>3</v>
      </c>
      <c r="D101" s="211">
        <f t="shared" si="4"/>
        <v>200</v>
      </c>
      <c r="E101" s="211" t="s">
        <v>3</v>
      </c>
      <c r="F101" s="209">
        <f t="shared" si="5"/>
        <v>2800</v>
      </c>
      <c r="G101" s="211" t="s">
        <v>3</v>
      </c>
      <c r="H101" s="208">
        <v>2</v>
      </c>
      <c r="I101" s="210" t="s">
        <v>529</v>
      </c>
      <c r="J101" s="103">
        <v>150</v>
      </c>
      <c r="K101" s="66">
        <v>200</v>
      </c>
      <c r="L101" s="66">
        <v>2800</v>
      </c>
      <c r="M101" s="164">
        <v>30.470945331727769</v>
      </c>
      <c r="N101" s="78">
        <v>6420.7306800000006</v>
      </c>
      <c r="O101" s="113">
        <v>90791.760440807629</v>
      </c>
      <c r="P101" s="113">
        <v>107313.05234238075</v>
      </c>
      <c r="Q101" s="110">
        <v>29088.297141763269</v>
      </c>
      <c r="R101" s="113">
        <v>119880.05758257089</v>
      </c>
      <c r="S101" s="113">
        <v>136401.34948414401</v>
      </c>
      <c r="U101" s="7" t="s">
        <v>7269</v>
      </c>
    </row>
    <row r="102" spans="1:21" ht="16.5" thickBot="1">
      <c r="A102" s="207" t="s">
        <v>10</v>
      </c>
      <c r="B102" s="211">
        <f t="shared" si="3"/>
        <v>150</v>
      </c>
      <c r="C102" s="211" t="s">
        <v>3</v>
      </c>
      <c r="D102" s="211">
        <f t="shared" si="4"/>
        <v>200</v>
      </c>
      <c r="E102" s="211" t="s">
        <v>3</v>
      </c>
      <c r="F102" s="209">
        <f t="shared" si="5"/>
        <v>2850</v>
      </c>
      <c r="G102" s="211" t="s">
        <v>3</v>
      </c>
      <c r="H102" s="208">
        <v>2</v>
      </c>
      <c r="I102" s="210" t="s">
        <v>529</v>
      </c>
      <c r="J102" s="103">
        <v>150</v>
      </c>
      <c r="K102" s="66">
        <v>200</v>
      </c>
      <c r="L102" s="66">
        <v>2850</v>
      </c>
      <c r="M102" s="164">
        <v>31.783364343758425</v>
      </c>
      <c r="N102" s="78">
        <v>6551.7659999999996</v>
      </c>
      <c r="O102" s="113">
        <v>91506.487807349316</v>
      </c>
      <c r="P102" s="113">
        <v>108276.41435807791</v>
      </c>
      <c r="Q102" s="110">
        <v>29478.973457976786</v>
      </c>
      <c r="R102" s="113">
        <v>120985.4612653261</v>
      </c>
      <c r="S102" s="113">
        <v>137755.38781605469</v>
      </c>
      <c r="U102" s="7" t="s">
        <v>7270</v>
      </c>
    </row>
    <row r="103" spans="1:21" ht="16.5" thickBot="1">
      <c r="A103" s="207" t="s">
        <v>10</v>
      </c>
      <c r="B103" s="211">
        <f t="shared" si="3"/>
        <v>150</v>
      </c>
      <c r="C103" s="211" t="s">
        <v>3</v>
      </c>
      <c r="D103" s="211">
        <f t="shared" si="4"/>
        <v>200</v>
      </c>
      <c r="E103" s="211" t="s">
        <v>3</v>
      </c>
      <c r="F103" s="209">
        <f t="shared" si="5"/>
        <v>2900</v>
      </c>
      <c r="G103" s="211" t="s">
        <v>3</v>
      </c>
      <c r="H103" s="208">
        <v>2</v>
      </c>
      <c r="I103" s="210" t="s">
        <v>529</v>
      </c>
      <c r="J103" s="103">
        <v>150</v>
      </c>
      <c r="K103" s="66">
        <v>200</v>
      </c>
      <c r="L103" s="66">
        <v>2900</v>
      </c>
      <c r="M103" s="164">
        <v>32.25082335578908</v>
      </c>
      <c r="N103" s="78">
        <v>6682.8013199999996</v>
      </c>
      <c r="O103" s="113">
        <v>92221.162623813099</v>
      </c>
      <c r="P103" s="113">
        <v>109239.7419331212</v>
      </c>
      <c r="Q103" s="110">
        <v>30120.983911974079</v>
      </c>
      <c r="R103" s="113">
        <v>122342.14653578718</v>
      </c>
      <c r="S103" s="113">
        <v>139360.72584509529</v>
      </c>
      <c r="U103" s="7" t="s">
        <v>7271</v>
      </c>
    </row>
    <row r="104" spans="1:21" ht="16.5" thickBot="1">
      <c r="A104" s="207" t="s">
        <v>10</v>
      </c>
      <c r="B104" s="211">
        <f t="shared" si="3"/>
        <v>150</v>
      </c>
      <c r="C104" s="211" t="s">
        <v>3</v>
      </c>
      <c r="D104" s="211">
        <f t="shared" si="4"/>
        <v>200</v>
      </c>
      <c r="E104" s="211" t="s">
        <v>3</v>
      </c>
      <c r="F104" s="209">
        <f t="shared" si="5"/>
        <v>2950</v>
      </c>
      <c r="G104" s="211" t="s">
        <v>3</v>
      </c>
      <c r="H104" s="208">
        <v>2</v>
      </c>
      <c r="I104" s="210" t="s">
        <v>529</v>
      </c>
      <c r="J104" s="103">
        <v>150</v>
      </c>
      <c r="K104" s="66">
        <v>200</v>
      </c>
      <c r="L104" s="66">
        <v>2950</v>
      </c>
      <c r="M104" s="164">
        <v>32.701242367819738</v>
      </c>
      <c r="N104" s="78">
        <v>6813.8366400000004</v>
      </c>
      <c r="O104" s="113">
        <v>92935.785020273368</v>
      </c>
      <c r="P104" s="113">
        <v>110203.03492519385</v>
      </c>
      <c r="Q104" s="110">
        <v>30511.660381216363</v>
      </c>
      <c r="R104" s="113">
        <v>123447.44540148973</v>
      </c>
      <c r="S104" s="113">
        <v>140714.6953064102</v>
      </c>
      <c r="U104" s="7" t="s">
        <v>7272</v>
      </c>
    </row>
    <row r="105" spans="1:21" ht="16.5" thickBot="1">
      <c r="A105" s="212" t="s">
        <v>10</v>
      </c>
      <c r="B105" s="213">
        <f t="shared" si="3"/>
        <v>150</v>
      </c>
      <c r="C105" s="213" t="s">
        <v>3</v>
      </c>
      <c r="D105" s="213">
        <f t="shared" si="4"/>
        <v>200</v>
      </c>
      <c r="E105" s="213" t="s">
        <v>3</v>
      </c>
      <c r="F105" s="214">
        <f t="shared" si="5"/>
        <v>3000</v>
      </c>
      <c r="G105" s="213" t="s">
        <v>3</v>
      </c>
      <c r="H105" s="215">
        <v>2</v>
      </c>
      <c r="I105" s="210" t="s">
        <v>529</v>
      </c>
      <c r="J105" s="287">
        <v>150</v>
      </c>
      <c r="K105" s="266">
        <v>200</v>
      </c>
      <c r="L105" s="266">
        <v>3000</v>
      </c>
      <c r="M105" s="249">
        <v>33.168701379850397</v>
      </c>
      <c r="N105" s="250">
        <v>6944.8719599999995</v>
      </c>
      <c r="O105" s="251">
        <v>95521.707107403068</v>
      </c>
      <c r="P105" s="251">
        <v>113079.23683463605</v>
      </c>
      <c r="Q105" s="252">
        <v>31153.670835213656</v>
      </c>
      <c r="R105" s="251">
        <v>126675.37794261673</v>
      </c>
      <c r="S105" s="251">
        <v>144232.90766984969</v>
      </c>
      <c r="U105" s="7" t="s">
        <v>7273</v>
      </c>
    </row>
    <row r="106" spans="1:21" ht="22.5" customHeight="1" thickBot="1">
      <c r="A106" s="2968" t="s">
        <v>45</v>
      </c>
      <c r="B106" s="2969"/>
      <c r="C106" s="2969"/>
      <c r="D106" s="2969"/>
      <c r="E106" s="2969"/>
      <c r="F106" s="2969"/>
      <c r="G106" s="2969"/>
      <c r="H106" s="2969"/>
      <c r="I106" s="2969"/>
      <c r="J106" s="2969"/>
      <c r="K106" s="2969"/>
      <c r="L106" s="2969"/>
      <c r="M106" s="2969"/>
      <c r="N106" s="2969"/>
      <c r="O106" s="2969"/>
      <c r="P106" s="2969"/>
      <c r="Q106" s="2969"/>
      <c r="R106" s="2969"/>
      <c r="S106" s="2970"/>
      <c r="U106" s="7"/>
    </row>
    <row r="107" spans="1:21" ht="19.5" thickBot="1">
      <c r="A107" s="3015" t="s">
        <v>117</v>
      </c>
      <c r="B107" s="3016"/>
      <c r="C107" s="3016"/>
      <c r="D107" s="3016"/>
      <c r="E107" s="3016"/>
      <c r="F107" s="3016"/>
      <c r="G107" s="3016"/>
      <c r="H107" s="3016"/>
      <c r="I107" s="3016"/>
      <c r="J107" s="3016"/>
      <c r="K107" s="3016"/>
      <c r="L107" s="3016"/>
      <c r="M107" s="3016"/>
      <c r="N107" s="3016"/>
      <c r="O107" s="3016"/>
      <c r="P107" s="3016"/>
      <c r="Q107" s="3016"/>
      <c r="R107" s="3016"/>
      <c r="S107" s="3017"/>
      <c r="U107" s="7"/>
    </row>
    <row r="108" spans="1:21" ht="16.5" thickBot="1">
      <c r="A108" s="207" t="s">
        <v>10</v>
      </c>
      <c r="B108" s="208">
        <f t="shared" ref="B108:B154" si="6">J108</f>
        <v>150</v>
      </c>
      <c r="C108" s="208" t="s">
        <v>3</v>
      </c>
      <c r="D108" s="208">
        <f t="shared" ref="D108:D154" si="7">K108</f>
        <v>260</v>
      </c>
      <c r="E108" s="208" t="s">
        <v>3</v>
      </c>
      <c r="F108" s="209">
        <f t="shared" ref="F108:F154" si="8">L108</f>
        <v>700</v>
      </c>
      <c r="G108" s="208" t="s">
        <v>3</v>
      </c>
      <c r="H108" s="208">
        <v>4</v>
      </c>
      <c r="I108" s="210" t="s">
        <v>530</v>
      </c>
      <c r="J108" s="286">
        <v>150</v>
      </c>
      <c r="K108" s="271">
        <v>260</v>
      </c>
      <c r="L108" s="271">
        <v>700</v>
      </c>
      <c r="M108" s="245">
        <v>9.5902850647160527</v>
      </c>
      <c r="N108" s="246">
        <v>2053.8281399999996</v>
      </c>
      <c r="O108" s="247">
        <v>32126.189548963786</v>
      </c>
      <c r="P108" s="247">
        <v>38441.416715385676</v>
      </c>
      <c r="Q108" s="248">
        <v>9406.5237862097401</v>
      </c>
      <c r="R108" s="247">
        <v>41532.713335173525</v>
      </c>
      <c r="S108" s="247">
        <v>47847.940501595418</v>
      </c>
      <c r="U108" s="7" t="s">
        <v>7274</v>
      </c>
    </row>
    <row r="109" spans="1:21" ht="16.5" thickBot="1">
      <c r="A109" s="207" t="s">
        <v>10</v>
      </c>
      <c r="B109" s="211">
        <f t="shared" si="6"/>
        <v>150</v>
      </c>
      <c r="C109" s="211" t="s">
        <v>3</v>
      </c>
      <c r="D109" s="211">
        <f t="shared" si="7"/>
        <v>260</v>
      </c>
      <c r="E109" s="211" t="s">
        <v>3</v>
      </c>
      <c r="F109" s="209">
        <f t="shared" si="8"/>
        <v>750</v>
      </c>
      <c r="G109" s="211" t="s">
        <v>3</v>
      </c>
      <c r="H109" s="208">
        <v>4</v>
      </c>
      <c r="I109" s="210" t="s">
        <v>530</v>
      </c>
      <c r="J109" s="103">
        <v>150</v>
      </c>
      <c r="K109" s="66">
        <v>260</v>
      </c>
      <c r="L109" s="66">
        <v>750</v>
      </c>
      <c r="M109" s="164">
        <v>10.184395252356314</v>
      </c>
      <c r="N109" s="78">
        <v>2347.23216</v>
      </c>
      <c r="O109" s="113">
        <v>34100.265355316566</v>
      </c>
      <c r="P109" s="113">
        <v>40749.335027316192</v>
      </c>
      <c r="Q109" s="110">
        <v>9876.9793536897032</v>
      </c>
      <c r="R109" s="113">
        <v>43977.244709006271</v>
      </c>
      <c r="S109" s="113">
        <v>50626.314381005897</v>
      </c>
      <c r="U109" s="7" t="s">
        <v>7275</v>
      </c>
    </row>
    <row r="110" spans="1:21" ht="16.5" thickBot="1">
      <c r="A110" s="207" t="s">
        <v>10</v>
      </c>
      <c r="B110" s="211">
        <f t="shared" si="6"/>
        <v>150</v>
      </c>
      <c r="C110" s="211" t="s">
        <v>3</v>
      </c>
      <c r="D110" s="211">
        <f t="shared" si="7"/>
        <v>260</v>
      </c>
      <c r="E110" s="211" t="s">
        <v>3</v>
      </c>
      <c r="F110" s="209">
        <f t="shared" si="8"/>
        <v>800</v>
      </c>
      <c r="G110" s="211" t="s">
        <v>3</v>
      </c>
      <c r="H110" s="208">
        <v>4</v>
      </c>
      <c r="I110" s="210" t="s">
        <v>530</v>
      </c>
      <c r="J110" s="103">
        <v>150</v>
      </c>
      <c r="K110" s="66">
        <v>260</v>
      </c>
      <c r="L110" s="66">
        <v>800</v>
      </c>
      <c r="M110" s="164">
        <v>10.778505439996579</v>
      </c>
      <c r="N110" s="78">
        <v>2640.6361799999995</v>
      </c>
      <c r="O110" s="113">
        <v>36075.000509058205</v>
      </c>
      <c r="P110" s="113">
        <v>43057.928632232899</v>
      </c>
      <c r="Q110" s="110">
        <v>10347.434921169664</v>
      </c>
      <c r="R110" s="113">
        <v>46422.435430227866</v>
      </c>
      <c r="S110" s="113">
        <v>53405.363553402567</v>
      </c>
      <c r="U110" s="7" t="s">
        <v>7276</v>
      </c>
    </row>
    <row r="111" spans="1:21" ht="16.5" thickBot="1">
      <c r="A111" s="207" t="s">
        <v>10</v>
      </c>
      <c r="B111" s="211">
        <f t="shared" si="6"/>
        <v>150</v>
      </c>
      <c r="C111" s="211" t="s">
        <v>3</v>
      </c>
      <c r="D111" s="211">
        <f t="shared" si="7"/>
        <v>260</v>
      </c>
      <c r="E111" s="211" t="s">
        <v>3</v>
      </c>
      <c r="F111" s="209">
        <f t="shared" si="8"/>
        <v>850</v>
      </c>
      <c r="G111" s="211" t="s">
        <v>3</v>
      </c>
      <c r="H111" s="208">
        <v>4</v>
      </c>
      <c r="I111" s="210" t="s">
        <v>530</v>
      </c>
      <c r="J111" s="103">
        <v>150</v>
      </c>
      <c r="K111" s="66">
        <v>260</v>
      </c>
      <c r="L111" s="66">
        <v>850</v>
      </c>
      <c r="M111" s="164">
        <v>11.389655627636841</v>
      </c>
      <c r="N111" s="78">
        <v>2934.0401999999999</v>
      </c>
      <c r="O111" s="113">
        <v>38049.735532725397</v>
      </c>
      <c r="P111" s="113">
        <v>45366.522379466354</v>
      </c>
      <c r="Q111" s="110">
        <v>11069.224626433395</v>
      </c>
      <c r="R111" s="113">
        <v>49118.960159158793</v>
      </c>
      <c r="S111" s="113">
        <v>56435.74700589975</v>
      </c>
      <c r="U111" s="7" t="s">
        <v>7277</v>
      </c>
    </row>
    <row r="112" spans="1:21" ht="16.5" thickBot="1">
      <c r="A112" s="207" t="s">
        <v>10</v>
      </c>
      <c r="B112" s="211">
        <f t="shared" si="6"/>
        <v>150</v>
      </c>
      <c r="C112" s="211" t="s">
        <v>3</v>
      </c>
      <c r="D112" s="211">
        <f t="shared" si="7"/>
        <v>260</v>
      </c>
      <c r="E112" s="211" t="s">
        <v>3</v>
      </c>
      <c r="F112" s="209">
        <f t="shared" si="8"/>
        <v>900</v>
      </c>
      <c r="G112" s="211" t="s">
        <v>3</v>
      </c>
      <c r="H112" s="208">
        <v>4</v>
      </c>
      <c r="I112" s="210" t="s">
        <v>530</v>
      </c>
      <c r="J112" s="103">
        <v>150</v>
      </c>
      <c r="K112" s="66">
        <v>260</v>
      </c>
      <c r="L112" s="66">
        <v>900</v>
      </c>
      <c r="M112" s="164">
        <v>12.142765815277105</v>
      </c>
      <c r="N112" s="78">
        <v>3227.4442199999999</v>
      </c>
      <c r="O112" s="113">
        <v>40024.47068646703</v>
      </c>
      <c r="P112" s="113">
        <v>47675.115984383054</v>
      </c>
      <c r="Q112" s="110">
        <v>11539.680193913358</v>
      </c>
      <c r="R112" s="113">
        <v>51564.150880380388</v>
      </c>
      <c r="S112" s="113">
        <v>59214.796178296412</v>
      </c>
      <c r="U112" s="7" t="s">
        <v>7278</v>
      </c>
    </row>
    <row r="113" spans="1:21" ht="16.5" thickBot="1">
      <c r="A113" s="207" t="s">
        <v>10</v>
      </c>
      <c r="B113" s="211">
        <f t="shared" si="6"/>
        <v>150</v>
      </c>
      <c r="C113" s="211" t="s">
        <v>3</v>
      </c>
      <c r="D113" s="211">
        <f t="shared" si="7"/>
        <v>260</v>
      </c>
      <c r="E113" s="211" t="s">
        <v>3</v>
      </c>
      <c r="F113" s="209">
        <f t="shared" si="8"/>
        <v>950</v>
      </c>
      <c r="G113" s="211" t="s">
        <v>3</v>
      </c>
      <c r="H113" s="208">
        <v>4</v>
      </c>
      <c r="I113" s="210" t="s">
        <v>530</v>
      </c>
      <c r="J113" s="103">
        <v>150</v>
      </c>
      <c r="K113" s="66">
        <v>260</v>
      </c>
      <c r="L113" s="66">
        <v>950</v>
      </c>
      <c r="M113" s="164">
        <v>12.753916002917368</v>
      </c>
      <c r="N113" s="78">
        <v>3520.8482399999998</v>
      </c>
      <c r="O113" s="113">
        <v>41999.20584020867</v>
      </c>
      <c r="P113" s="113">
        <v>49983.709731616509</v>
      </c>
      <c r="Q113" s="110">
        <v>12261.469899177091</v>
      </c>
      <c r="R113" s="113">
        <v>54260.675739385762</v>
      </c>
      <c r="S113" s="113">
        <v>62245.179630793602</v>
      </c>
      <c r="U113" s="7" t="s">
        <v>7279</v>
      </c>
    </row>
    <row r="114" spans="1:21" ht="16.5" thickBot="1">
      <c r="A114" s="207" t="s">
        <v>10</v>
      </c>
      <c r="B114" s="211">
        <f t="shared" si="6"/>
        <v>150</v>
      </c>
      <c r="C114" s="211" t="s">
        <v>3</v>
      </c>
      <c r="D114" s="211">
        <f t="shared" si="7"/>
        <v>260</v>
      </c>
      <c r="E114" s="211" t="s">
        <v>3</v>
      </c>
      <c r="F114" s="209">
        <f t="shared" si="8"/>
        <v>1000</v>
      </c>
      <c r="G114" s="211" t="s">
        <v>3</v>
      </c>
      <c r="H114" s="208">
        <v>4</v>
      </c>
      <c r="I114" s="210" t="s">
        <v>530</v>
      </c>
      <c r="J114" s="103">
        <v>150</v>
      </c>
      <c r="K114" s="66">
        <v>260</v>
      </c>
      <c r="L114" s="66">
        <v>1000</v>
      </c>
      <c r="M114" s="164">
        <v>13.348026190557633</v>
      </c>
      <c r="N114" s="78">
        <v>3814.2522599999998</v>
      </c>
      <c r="O114" s="113">
        <v>43870.246942870806</v>
      </c>
      <c r="P114" s="113">
        <v>52186.077686213903</v>
      </c>
      <c r="Q114" s="110">
        <v>12731.925466657052</v>
      </c>
      <c r="R114" s="113">
        <v>56602.172409527862</v>
      </c>
      <c r="S114" s="113">
        <v>64918.003152870951</v>
      </c>
      <c r="U114" s="7" t="s">
        <v>7280</v>
      </c>
    </row>
    <row r="115" spans="1:21" ht="16.5" thickBot="1">
      <c r="A115" s="207" t="s">
        <v>10</v>
      </c>
      <c r="B115" s="211">
        <f t="shared" si="6"/>
        <v>150</v>
      </c>
      <c r="C115" s="211" t="s">
        <v>3</v>
      </c>
      <c r="D115" s="211">
        <f t="shared" si="7"/>
        <v>260</v>
      </c>
      <c r="E115" s="211" t="s">
        <v>3</v>
      </c>
      <c r="F115" s="209">
        <f t="shared" si="8"/>
        <v>1050</v>
      </c>
      <c r="G115" s="211" t="s">
        <v>3</v>
      </c>
      <c r="H115" s="208">
        <v>4</v>
      </c>
      <c r="I115" s="210" t="s">
        <v>530</v>
      </c>
      <c r="J115" s="103">
        <v>150</v>
      </c>
      <c r="K115" s="66">
        <v>260</v>
      </c>
      <c r="L115" s="66">
        <v>1050</v>
      </c>
      <c r="M115" s="164">
        <v>13.959176378197894</v>
      </c>
      <c r="N115" s="78">
        <v>4107.6562799999992</v>
      </c>
      <c r="O115" s="113">
        <v>46091.255175258739</v>
      </c>
      <c r="P115" s="113">
        <v>54746.957477482865</v>
      </c>
      <c r="Q115" s="110">
        <v>13453.71501889202</v>
      </c>
      <c r="R115" s="113">
        <v>59544.970194150759</v>
      </c>
      <c r="S115" s="113">
        <v>68200.672496374886</v>
      </c>
      <c r="U115" s="7" t="s">
        <v>7281</v>
      </c>
    </row>
    <row r="116" spans="1:21" ht="16.5" thickBot="1">
      <c r="A116" s="207" t="s">
        <v>10</v>
      </c>
      <c r="B116" s="208">
        <f t="shared" si="6"/>
        <v>150</v>
      </c>
      <c r="C116" s="208" t="s">
        <v>3</v>
      </c>
      <c r="D116" s="208">
        <f t="shared" si="7"/>
        <v>260</v>
      </c>
      <c r="E116" s="208" t="s">
        <v>3</v>
      </c>
      <c r="F116" s="209">
        <f t="shared" si="8"/>
        <v>1100</v>
      </c>
      <c r="G116" s="208" t="s">
        <v>3</v>
      </c>
      <c r="H116" s="208">
        <v>4</v>
      </c>
      <c r="I116" s="210" t="s">
        <v>530</v>
      </c>
      <c r="J116" s="103">
        <v>150</v>
      </c>
      <c r="K116" s="66">
        <v>260</v>
      </c>
      <c r="L116" s="66">
        <v>1100</v>
      </c>
      <c r="M116" s="164">
        <v>14.553286565838157</v>
      </c>
      <c r="N116" s="78">
        <v>4401.0603000000001</v>
      </c>
      <c r="O116" s="113">
        <v>48065.990329000371</v>
      </c>
      <c r="P116" s="113">
        <v>57055.551224716321</v>
      </c>
      <c r="Q116" s="110">
        <v>13924.170586371982</v>
      </c>
      <c r="R116" s="113">
        <v>61990.160915372355</v>
      </c>
      <c r="S116" s="113">
        <v>70979.721811088297</v>
      </c>
      <c r="U116" s="7" t="s">
        <v>7282</v>
      </c>
    </row>
    <row r="117" spans="1:21" ht="16.5" thickBot="1">
      <c r="A117" s="207" t="s">
        <v>10</v>
      </c>
      <c r="B117" s="211">
        <f t="shared" si="6"/>
        <v>150</v>
      </c>
      <c r="C117" s="211" t="s">
        <v>3</v>
      </c>
      <c r="D117" s="211">
        <f t="shared" si="7"/>
        <v>260</v>
      </c>
      <c r="E117" s="211" t="s">
        <v>3</v>
      </c>
      <c r="F117" s="209">
        <f t="shared" si="8"/>
        <v>1150</v>
      </c>
      <c r="G117" s="211" t="s">
        <v>3</v>
      </c>
      <c r="H117" s="208">
        <v>4</v>
      </c>
      <c r="I117" s="210" t="s">
        <v>530</v>
      </c>
      <c r="J117" s="103">
        <v>150</v>
      </c>
      <c r="K117" s="66">
        <v>260</v>
      </c>
      <c r="L117" s="66">
        <v>1150</v>
      </c>
      <c r="M117" s="164">
        <v>15.147396753478422</v>
      </c>
      <c r="N117" s="78">
        <v>4694.46432</v>
      </c>
      <c r="O117" s="113">
        <v>49217.402079384679</v>
      </c>
      <c r="P117" s="113">
        <v>58520.719260101039</v>
      </c>
      <c r="Q117" s="110">
        <v>14394.626153851941</v>
      </c>
      <c r="R117" s="113">
        <v>63612.028233236619</v>
      </c>
      <c r="S117" s="113">
        <v>72915.345413952979</v>
      </c>
      <c r="U117" s="7" t="s">
        <v>7283</v>
      </c>
    </row>
    <row r="118" spans="1:21" ht="16.5" thickBot="1">
      <c r="A118" s="207" t="s">
        <v>10</v>
      </c>
      <c r="B118" s="211">
        <f t="shared" si="6"/>
        <v>150</v>
      </c>
      <c r="C118" s="211" t="s">
        <v>3</v>
      </c>
      <c r="D118" s="211">
        <f t="shared" si="7"/>
        <v>260</v>
      </c>
      <c r="E118" s="211" t="s">
        <v>3</v>
      </c>
      <c r="F118" s="209">
        <f t="shared" si="8"/>
        <v>1200</v>
      </c>
      <c r="G118" s="211" t="s">
        <v>3</v>
      </c>
      <c r="H118" s="208">
        <v>4</v>
      </c>
      <c r="I118" s="210" t="s">
        <v>530</v>
      </c>
      <c r="J118" s="103">
        <v>150</v>
      </c>
      <c r="K118" s="66">
        <v>260</v>
      </c>
      <c r="L118" s="66">
        <v>1200</v>
      </c>
      <c r="M118" s="164">
        <v>15.837046941118682</v>
      </c>
      <c r="N118" s="78">
        <v>4987.8683399999991</v>
      </c>
      <c r="O118" s="113">
        <v>50433.542518350871</v>
      </c>
      <c r="P118" s="113">
        <v>60052.196370276026</v>
      </c>
      <c r="Q118" s="110">
        <v>15116.415859115676</v>
      </c>
      <c r="R118" s="113">
        <v>65549.958377466552</v>
      </c>
      <c r="S118" s="113">
        <v>75168.6122293917</v>
      </c>
      <c r="U118" s="7" t="s">
        <v>7284</v>
      </c>
    </row>
    <row r="119" spans="1:21" ht="16.5" thickBot="1">
      <c r="A119" s="207" t="s">
        <v>10</v>
      </c>
      <c r="B119" s="211">
        <f t="shared" si="6"/>
        <v>150</v>
      </c>
      <c r="C119" s="211" t="s">
        <v>3</v>
      </c>
      <c r="D119" s="211">
        <f t="shared" si="7"/>
        <v>260</v>
      </c>
      <c r="E119" s="211" t="s">
        <v>3</v>
      </c>
      <c r="F119" s="209">
        <f t="shared" si="8"/>
        <v>1250</v>
      </c>
      <c r="G119" s="211" t="s">
        <v>3</v>
      </c>
      <c r="H119" s="208">
        <v>4</v>
      </c>
      <c r="I119" s="210" t="s">
        <v>530</v>
      </c>
      <c r="J119" s="103">
        <v>150</v>
      </c>
      <c r="K119" s="66">
        <v>260</v>
      </c>
      <c r="L119" s="66">
        <v>1250</v>
      </c>
      <c r="M119" s="164">
        <v>17.293157128758946</v>
      </c>
      <c r="N119" s="78">
        <v>5281.272359999999</v>
      </c>
      <c r="O119" s="113">
        <v>51584.43006870024</v>
      </c>
      <c r="P119" s="113">
        <v>61516.827302240359</v>
      </c>
      <c r="Q119" s="110">
        <v>15586.871426595639</v>
      </c>
      <c r="R119" s="113">
        <v>67171.301495295877</v>
      </c>
      <c r="S119" s="113">
        <v>77103.698728835996</v>
      </c>
      <c r="U119" s="7" t="s">
        <v>7285</v>
      </c>
    </row>
    <row r="120" spans="1:21" ht="16.5" thickBot="1">
      <c r="A120" s="207" t="s">
        <v>10</v>
      </c>
      <c r="B120" s="211">
        <f t="shared" si="6"/>
        <v>150</v>
      </c>
      <c r="C120" s="211" t="s">
        <v>3</v>
      </c>
      <c r="D120" s="211">
        <f t="shared" si="7"/>
        <v>260</v>
      </c>
      <c r="E120" s="211" t="s">
        <v>3</v>
      </c>
      <c r="F120" s="209">
        <f t="shared" si="8"/>
        <v>1300</v>
      </c>
      <c r="G120" s="211" t="s">
        <v>3</v>
      </c>
      <c r="H120" s="208">
        <v>4</v>
      </c>
      <c r="I120" s="210" t="s">
        <v>530</v>
      </c>
      <c r="J120" s="103">
        <v>150</v>
      </c>
      <c r="K120" s="66">
        <v>260</v>
      </c>
      <c r="L120" s="66">
        <v>1300</v>
      </c>
      <c r="M120" s="164">
        <v>17.904307316399212</v>
      </c>
      <c r="N120" s="78">
        <v>5574.676379999999</v>
      </c>
      <c r="O120" s="113">
        <v>55408.415472733628</v>
      </c>
      <c r="P120" s="113">
        <v>65719.822811836173</v>
      </c>
      <c r="Q120" s="110">
        <v>16308.66113185937</v>
      </c>
      <c r="R120" s="113">
        <v>71717.076604592992</v>
      </c>
      <c r="S120" s="113">
        <v>82028.483943695537</v>
      </c>
      <c r="U120" s="7" t="s">
        <v>7286</v>
      </c>
    </row>
    <row r="121" spans="1:21" ht="16.5" thickBot="1">
      <c r="A121" s="207" t="s">
        <v>10</v>
      </c>
      <c r="B121" s="211">
        <f t="shared" si="6"/>
        <v>150</v>
      </c>
      <c r="C121" s="211" t="s">
        <v>3</v>
      </c>
      <c r="D121" s="211">
        <f t="shared" si="7"/>
        <v>260</v>
      </c>
      <c r="E121" s="211" t="s">
        <v>3</v>
      </c>
      <c r="F121" s="209">
        <f t="shared" si="8"/>
        <v>1350</v>
      </c>
      <c r="G121" s="211" t="s">
        <v>3</v>
      </c>
      <c r="H121" s="208">
        <v>4</v>
      </c>
      <c r="I121" s="210" t="s">
        <v>530</v>
      </c>
      <c r="J121" s="103">
        <v>150</v>
      </c>
      <c r="K121" s="66">
        <v>260</v>
      </c>
      <c r="L121" s="66">
        <v>1350</v>
      </c>
      <c r="M121" s="164">
        <v>18.498417504039473</v>
      </c>
      <c r="N121" s="78">
        <v>5868.0803999999998</v>
      </c>
      <c r="O121" s="113">
        <v>56831.472103752923</v>
      </c>
      <c r="P121" s="113">
        <v>67463.268057278197</v>
      </c>
      <c r="Q121" s="110">
        <v>16779.116699339331</v>
      </c>
      <c r="R121" s="113">
        <v>73610.588803092251</v>
      </c>
      <c r="S121" s="113">
        <v>84242.384756617525</v>
      </c>
      <c r="U121" s="7" t="s">
        <v>7287</v>
      </c>
    </row>
    <row r="122" spans="1:21" ht="16.5" thickBot="1">
      <c r="A122" s="207" t="s">
        <v>10</v>
      </c>
      <c r="B122" s="211">
        <f t="shared" si="6"/>
        <v>150</v>
      </c>
      <c r="C122" s="211" t="s">
        <v>3</v>
      </c>
      <c r="D122" s="211">
        <f t="shared" si="7"/>
        <v>260</v>
      </c>
      <c r="E122" s="211" t="s">
        <v>3</v>
      </c>
      <c r="F122" s="209">
        <f t="shared" si="8"/>
        <v>1400</v>
      </c>
      <c r="G122" s="211" t="s">
        <v>3</v>
      </c>
      <c r="H122" s="208">
        <v>4</v>
      </c>
      <c r="I122" s="210" t="s">
        <v>530</v>
      </c>
      <c r="J122" s="103">
        <v>150</v>
      </c>
      <c r="K122" s="66">
        <v>260</v>
      </c>
      <c r="L122" s="66">
        <v>1400</v>
      </c>
      <c r="M122" s="164">
        <v>19.109567691679736</v>
      </c>
      <c r="N122" s="78">
        <v>6161.4844199999998</v>
      </c>
      <c r="O122" s="113">
        <v>58610.976693912562</v>
      </c>
      <c r="P122" s="113">
        <v>69571.864500485855</v>
      </c>
      <c r="Q122" s="110">
        <v>17500.906404603062</v>
      </c>
      <c r="R122" s="113">
        <v>76111.883098515624</v>
      </c>
      <c r="S122" s="113">
        <v>87072.770905088924</v>
      </c>
      <c r="U122" s="7" t="s">
        <v>7288</v>
      </c>
    </row>
    <row r="123" spans="1:21" ht="16.5" thickBot="1">
      <c r="A123" s="207" t="s">
        <v>10</v>
      </c>
      <c r="B123" s="211">
        <f t="shared" si="6"/>
        <v>150</v>
      </c>
      <c r="C123" s="211" t="s">
        <v>3</v>
      </c>
      <c r="D123" s="211">
        <f t="shared" si="7"/>
        <v>260</v>
      </c>
      <c r="E123" s="211" t="s">
        <v>3</v>
      </c>
      <c r="F123" s="209">
        <f t="shared" si="8"/>
        <v>1450</v>
      </c>
      <c r="G123" s="211" t="s">
        <v>3</v>
      </c>
      <c r="H123" s="208">
        <v>4</v>
      </c>
      <c r="I123" s="210" t="s">
        <v>530</v>
      </c>
      <c r="J123" s="103">
        <v>150</v>
      </c>
      <c r="K123" s="66">
        <v>260</v>
      </c>
      <c r="L123" s="66">
        <v>1450</v>
      </c>
      <c r="M123" s="164">
        <v>19.703677879319997</v>
      </c>
      <c r="N123" s="78">
        <v>6454.8884399999997</v>
      </c>
      <c r="O123" s="113">
        <v>60034.033194857402</v>
      </c>
      <c r="P123" s="113">
        <v>71315.309745927894</v>
      </c>
      <c r="Q123" s="110">
        <v>17971.361972083025</v>
      </c>
      <c r="R123" s="113">
        <v>78005.395166940434</v>
      </c>
      <c r="S123" s="113">
        <v>89286.671718010912</v>
      </c>
      <c r="U123" s="7" t="s">
        <v>7289</v>
      </c>
    </row>
    <row r="124" spans="1:21" ht="16.5" thickBot="1">
      <c r="A124" s="207" t="s">
        <v>10</v>
      </c>
      <c r="B124" s="211">
        <f t="shared" si="6"/>
        <v>150</v>
      </c>
      <c r="C124" s="211" t="s">
        <v>3</v>
      </c>
      <c r="D124" s="211">
        <f t="shared" si="7"/>
        <v>260</v>
      </c>
      <c r="E124" s="211" t="s">
        <v>3</v>
      </c>
      <c r="F124" s="209">
        <f t="shared" si="8"/>
        <v>1500</v>
      </c>
      <c r="G124" s="211" t="s">
        <v>3</v>
      </c>
      <c r="H124" s="208">
        <v>4</v>
      </c>
      <c r="I124" s="210" t="s">
        <v>530</v>
      </c>
      <c r="J124" s="103">
        <v>150</v>
      </c>
      <c r="K124" s="66">
        <v>260</v>
      </c>
      <c r="L124" s="66">
        <v>1500</v>
      </c>
      <c r="M124" s="164">
        <v>20.210738918920264</v>
      </c>
      <c r="N124" s="78">
        <v>6748.2924599999988</v>
      </c>
      <c r="O124" s="113">
        <v>61977.325711863188</v>
      </c>
      <c r="P124" s="113">
        <v>73745.565956889535</v>
      </c>
      <c r="Q124" s="110">
        <v>18693.151677346756</v>
      </c>
      <c r="R124" s="113">
        <v>80670.477389209947</v>
      </c>
      <c r="S124" s="113">
        <v>92438.717634236295</v>
      </c>
      <c r="U124" s="7" t="s">
        <v>7290</v>
      </c>
    </row>
    <row r="125" spans="1:21" ht="16.5" thickBot="1">
      <c r="A125" s="207" t="s">
        <v>10</v>
      </c>
      <c r="B125" s="211">
        <f t="shared" si="6"/>
        <v>150</v>
      </c>
      <c r="C125" s="211" t="s">
        <v>3</v>
      </c>
      <c r="D125" s="211">
        <f t="shared" si="7"/>
        <v>260</v>
      </c>
      <c r="E125" s="211" t="s">
        <v>3</v>
      </c>
      <c r="F125" s="209">
        <f t="shared" si="8"/>
        <v>1550</v>
      </c>
      <c r="G125" s="211" t="s">
        <v>3</v>
      </c>
      <c r="H125" s="208">
        <v>4</v>
      </c>
      <c r="I125" s="210" t="s">
        <v>530</v>
      </c>
      <c r="J125" s="103">
        <v>150</v>
      </c>
      <c r="K125" s="66">
        <v>260</v>
      </c>
      <c r="L125" s="66">
        <v>1550</v>
      </c>
      <c r="M125" s="164">
        <v>20.804849106560525</v>
      </c>
      <c r="N125" s="78">
        <v>7041.6964799999996</v>
      </c>
      <c r="O125" s="113">
        <v>63400.382212808159</v>
      </c>
      <c r="P125" s="113">
        <v>75489.011344648316</v>
      </c>
      <c r="Q125" s="110">
        <v>19163.607244826719</v>
      </c>
      <c r="R125" s="113">
        <v>82563.989457634874</v>
      </c>
      <c r="S125" s="113">
        <v>94652.618589475038</v>
      </c>
      <c r="U125" s="7" t="s">
        <v>7291</v>
      </c>
    </row>
    <row r="126" spans="1:21" ht="16.5" thickBot="1">
      <c r="A126" s="207" t="s">
        <v>10</v>
      </c>
      <c r="B126" s="208">
        <f t="shared" si="6"/>
        <v>150</v>
      </c>
      <c r="C126" s="208" t="s">
        <v>3</v>
      </c>
      <c r="D126" s="208">
        <f t="shared" si="7"/>
        <v>260</v>
      </c>
      <c r="E126" s="208" t="s">
        <v>3</v>
      </c>
      <c r="F126" s="209">
        <f t="shared" si="8"/>
        <v>1600</v>
      </c>
      <c r="G126" s="208" t="s">
        <v>3</v>
      </c>
      <c r="H126" s="208">
        <v>4</v>
      </c>
      <c r="I126" s="210" t="s">
        <v>530</v>
      </c>
      <c r="J126" s="103">
        <v>150</v>
      </c>
      <c r="K126" s="66">
        <v>260</v>
      </c>
      <c r="L126" s="66">
        <v>1600</v>
      </c>
      <c r="M126" s="164">
        <v>21.398959294200786</v>
      </c>
      <c r="N126" s="78">
        <v>7335.1004999999996</v>
      </c>
      <c r="O126" s="113">
        <v>66944.623910704046</v>
      </c>
      <c r="P126" s="113">
        <v>79405.432719887263</v>
      </c>
      <c r="Q126" s="110">
        <v>19634.062812306682</v>
      </c>
      <c r="R126" s="113">
        <v>86578.686723010731</v>
      </c>
      <c r="S126" s="113">
        <v>99039.495532193949</v>
      </c>
      <c r="U126" s="7" t="s">
        <v>7292</v>
      </c>
    </row>
    <row r="127" spans="1:21" ht="16.5" thickBot="1">
      <c r="A127" s="207" t="s">
        <v>10</v>
      </c>
      <c r="B127" s="211">
        <f t="shared" si="6"/>
        <v>150</v>
      </c>
      <c r="C127" s="211" t="s">
        <v>3</v>
      </c>
      <c r="D127" s="211">
        <f t="shared" si="7"/>
        <v>260</v>
      </c>
      <c r="E127" s="211" t="s">
        <v>3</v>
      </c>
      <c r="F127" s="209">
        <f t="shared" si="8"/>
        <v>1650</v>
      </c>
      <c r="G127" s="211" t="s">
        <v>3</v>
      </c>
      <c r="H127" s="208">
        <v>4</v>
      </c>
      <c r="I127" s="210" t="s">
        <v>530</v>
      </c>
      <c r="J127" s="103">
        <v>150</v>
      </c>
      <c r="K127" s="66">
        <v>260</v>
      </c>
      <c r="L127" s="66">
        <v>1650</v>
      </c>
      <c r="M127" s="164">
        <v>22.010109481841049</v>
      </c>
      <c r="N127" s="78">
        <v>7628.5045199999995</v>
      </c>
      <c r="O127" s="113">
        <v>70763.829078686831</v>
      </c>
      <c r="P127" s="113">
        <v>83603.531252378438</v>
      </c>
      <c r="Q127" s="110">
        <v>20355.852364541646</v>
      </c>
      <c r="R127" s="113">
        <v>91119.681443228474</v>
      </c>
      <c r="S127" s="113">
        <v>103959.38361692008</v>
      </c>
      <c r="U127" s="7" t="s">
        <v>7293</v>
      </c>
    </row>
    <row r="128" spans="1:21" ht="16.5" thickBot="1">
      <c r="A128" s="207" t="s">
        <v>10</v>
      </c>
      <c r="B128" s="211">
        <f t="shared" si="6"/>
        <v>150</v>
      </c>
      <c r="C128" s="211" t="s">
        <v>3</v>
      </c>
      <c r="D128" s="211">
        <f t="shared" si="7"/>
        <v>260</v>
      </c>
      <c r="E128" s="211" t="s">
        <v>3</v>
      </c>
      <c r="F128" s="209">
        <f t="shared" si="8"/>
        <v>1700</v>
      </c>
      <c r="G128" s="211" t="s">
        <v>3</v>
      </c>
      <c r="H128" s="208">
        <v>4</v>
      </c>
      <c r="I128" s="210" t="s">
        <v>530</v>
      </c>
      <c r="J128" s="103">
        <v>150</v>
      </c>
      <c r="K128" s="66">
        <v>260</v>
      </c>
      <c r="L128" s="66">
        <v>1700</v>
      </c>
      <c r="M128" s="164">
        <v>23.466219669481315</v>
      </c>
      <c r="N128" s="78">
        <v>7921.9085400000004</v>
      </c>
      <c r="O128" s="113">
        <v>71963.274982247603</v>
      </c>
      <c r="P128" s="113">
        <v>85117.906158517711</v>
      </c>
      <c r="Q128" s="110">
        <v>20826.307932021609</v>
      </c>
      <c r="R128" s="113">
        <v>92789.582914269209</v>
      </c>
      <c r="S128" s="113">
        <v>105944.21409053932</v>
      </c>
      <c r="U128" s="7" t="s">
        <v>7294</v>
      </c>
    </row>
    <row r="129" spans="1:21" ht="16.5" thickBot="1">
      <c r="A129" s="207" t="s">
        <v>10</v>
      </c>
      <c r="B129" s="211">
        <f t="shared" si="6"/>
        <v>150</v>
      </c>
      <c r="C129" s="211" t="s">
        <v>3</v>
      </c>
      <c r="D129" s="211">
        <f t="shared" si="7"/>
        <v>260</v>
      </c>
      <c r="E129" s="211" t="s">
        <v>3</v>
      </c>
      <c r="F129" s="209">
        <f t="shared" si="8"/>
        <v>1750</v>
      </c>
      <c r="G129" s="211" t="s">
        <v>3</v>
      </c>
      <c r="H129" s="208">
        <v>4</v>
      </c>
      <c r="I129" s="210" t="s">
        <v>530</v>
      </c>
      <c r="J129" s="103">
        <v>150</v>
      </c>
      <c r="K129" s="66">
        <v>260</v>
      </c>
      <c r="L129" s="66">
        <v>1750</v>
      </c>
      <c r="M129" s="164">
        <v>24.077369857121575</v>
      </c>
      <c r="N129" s="78">
        <v>8215.3125599999985</v>
      </c>
      <c r="O129" s="113">
        <v>73079.713224941268</v>
      </c>
      <c r="P129" s="113">
        <v>86547.246663279409</v>
      </c>
      <c r="Q129" s="110">
        <v>21548.09763728534</v>
      </c>
      <c r="R129" s="113">
        <v>94627.810862226615</v>
      </c>
      <c r="S129" s="113">
        <v>108095.34430056476</v>
      </c>
      <c r="U129" s="7" t="s">
        <v>7295</v>
      </c>
    </row>
    <row r="130" spans="1:21" ht="16.5" thickBot="1">
      <c r="A130" s="207" t="s">
        <v>10</v>
      </c>
      <c r="B130" s="211">
        <f t="shared" si="6"/>
        <v>150</v>
      </c>
      <c r="C130" s="211" t="s">
        <v>3</v>
      </c>
      <c r="D130" s="211">
        <f t="shared" si="7"/>
        <v>260</v>
      </c>
      <c r="E130" s="211" t="s">
        <v>3</v>
      </c>
      <c r="F130" s="209">
        <f t="shared" si="8"/>
        <v>1800</v>
      </c>
      <c r="G130" s="211" t="s">
        <v>3</v>
      </c>
      <c r="H130" s="208">
        <v>4</v>
      </c>
      <c r="I130" s="210" t="s">
        <v>530</v>
      </c>
      <c r="J130" s="103">
        <v>150</v>
      </c>
      <c r="K130" s="66">
        <v>260</v>
      </c>
      <c r="L130" s="66">
        <v>1800</v>
      </c>
      <c r="M130" s="164">
        <v>24.671480044761843</v>
      </c>
      <c r="N130" s="78">
        <v>8508.7165799999984</v>
      </c>
      <c r="O130" s="113">
        <v>74279.918373068766</v>
      </c>
      <c r="P130" s="113">
        <v>88062.399472782738</v>
      </c>
      <c r="Q130" s="110">
        <v>22018.553204765303</v>
      </c>
      <c r="R130" s="113">
        <v>96298.471577834076</v>
      </c>
      <c r="S130" s="113">
        <v>110080.95267754805</v>
      </c>
      <c r="U130" s="7" t="s">
        <v>7296</v>
      </c>
    </row>
    <row r="131" spans="1:21" ht="16.5" thickBot="1">
      <c r="A131" s="207" t="s">
        <v>10</v>
      </c>
      <c r="B131" s="211">
        <f t="shared" si="6"/>
        <v>150</v>
      </c>
      <c r="C131" s="211" t="s">
        <v>3</v>
      </c>
      <c r="D131" s="211">
        <f t="shared" si="7"/>
        <v>260</v>
      </c>
      <c r="E131" s="211" t="s">
        <v>3</v>
      </c>
      <c r="F131" s="209">
        <f t="shared" si="8"/>
        <v>1850</v>
      </c>
      <c r="G131" s="211" t="s">
        <v>3</v>
      </c>
      <c r="H131" s="208">
        <v>4</v>
      </c>
      <c r="I131" s="210" t="s">
        <v>530</v>
      </c>
      <c r="J131" s="103">
        <v>150</v>
      </c>
      <c r="K131" s="66">
        <v>260</v>
      </c>
      <c r="L131" s="66">
        <v>1850</v>
      </c>
      <c r="M131" s="164">
        <v>25.282630232402106</v>
      </c>
      <c r="N131" s="78">
        <v>8802.1206000000002</v>
      </c>
      <c r="O131" s="113">
        <v>75480.071101192763</v>
      </c>
      <c r="P131" s="113">
        <v>89577.498486553974</v>
      </c>
      <c r="Q131" s="110">
        <v>22740.342910029034</v>
      </c>
      <c r="R131" s="113">
        <v>98220.414011221801</v>
      </c>
      <c r="S131" s="113">
        <v>112317.84139658301</v>
      </c>
      <c r="U131" s="7" t="s">
        <v>7297</v>
      </c>
    </row>
    <row r="132" spans="1:21" ht="16.5" thickBot="1">
      <c r="A132" s="207" t="s">
        <v>10</v>
      </c>
      <c r="B132" s="211">
        <f t="shared" si="6"/>
        <v>150</v>
      </c>
      <c r="C132" s="211" t="s">
        <v>3</v>
      </c>
      <c r="D132" s="211">
        <f t="shared" si="7"/>
        <v>260</v>
      </c>
      <c r="E132" s="211" t="s">
        <v>3</v>
      </c>
      <c r="F132" s="209">
        <f t="shared" si="8"/>
        <v>1900</v>
      </c>
      <c r="G132" s="211" t="s">
        <v>3</v>
      </c>
      <c r="H132" s="208">
        <v>4</v>
      </c>
      <c r="I132" s="210" t="s">
        <v>530</v>
      </c>
      <c r="J132" s="103">
        <v>150</v>
      </c>
      <c r="K132" s="66">
        <v>260</v>
      </c>
      <c r="L132" s="66">
        <v>1900</v>
      </c>
      <c r="M132" s="164">
        <v>25.876740420042367</v>
      </c>
      <c r="N132" s="78">
        <v>9095.5246200000001</v>
      </c>
      <c r="O132" s="113">
        <v>76871.033032256702</v>
      </c>
      <c r="P132" s="113">
        <v>91288.065573732412</v>
      </c>
      <c r="Q132" s="110">
        <v>23210.798477508997</v>
      </c>
      <c r="R132" s="113">
        <v>100081.8315097657</v>
      </c>
      <c r="S132" s="113">
        <v>114498.86405124141</v>
      </c>
      <c r="U132" s="7" t="s">
        <v>7298</v>
      </c>
    </row>
    <row r="133" spans="1:21" ht="16.5" thickBot="1">
      <c r="A133" s="207" t="s">
        <v>10</v>
      </c>
      <c r="B133" s="211">
        <f t="shared" si="6"/>
        <v>150</v>
      </c>
      <c r="C133" s="211" t="s">
        <v>3</v>
      </c>
      <c r="D133" s="211">
        <f t="shared" si="7"/>
        <v>260</v>
      </c>
      <c r="E133" s="211" t="s">
        <v>3</v>
      </c>
      <c r="F133" s="209">
        <f t="shared" si="8"/>
        <v>1950</v>
      </c>
      <c r="G133" s="211" t="s">
        <v>3</v>
      </c>
      <c r="H133" s="208">
        <v>4</v>
      </c>
      <c r="I133" s="210" t="s">
        <v>530</v>
      </c>
      <c r="J133" s="103">
        <v>150</v>
      </c>
      <c r="K133" s="66">
        <v>260</v>
      </c>
      <c r="L133" s="66">
        <v>1950</v>
      </c>
      <c r="M133" s="164">
        <v>26.549350607682634</v>
      </c>
      <c r="N133" s="78">
        <v>9388.9286400000001</v>
      </c>
      <c r="O133" s="113">
        <v>78461.951521907438</v>
      </c>
      <c r="P133" s="113">
        <v>93203.471296191434</v>
      </c>
      <c r="Q133" s="110">
        <v>23681.25404498896</v>
      </c>
      <c r="R133" s="113">
        <v>102143.2055668964</v>
      </c>
      <c r="S133" s="113">
        <v>116884.7253411804</v>
      </c>
      <c r="U133" s="7" t="s">
        <v>7299</v>
      </c>
    </row>
    <row r="134" spans="1:21" ht="16.5" thickBot="1">
      <c r="A134" s="207" t="s">
        <v>10</v>
      </c>
      <c r="B134" s="211">
        <f t="shared" si="6"/>
        <v>150</v>
      </c>
      <c r="C134" s="211" t="s">
        <v>3</v>
      </c>
      <c r="D134" s="211">
        <f t="shared" si="7"/>
        <v>260</v>
      </c>
      <c r="E134" s="211" t="s">
        <v>3</v>
      </c>
      <c r="F134" s="209">
        <f t="shared" si="8"/>
        <v>2000</v>
      </c>
      <c r="G134" s="211" t="s">
        <v>3</v>
      </c>
      <c r="H134" s="208">
        <v>4</v>
      </c>
      <c r="I134" s="210" t="s">
        <v>530</v>
      </c>
      <c r="J134" s="103">
        <v>150</v>
      </c>
      <c r="K134" s="66">
        <v>260</v>
      </c>
      <c r="L134" s="66">
        <v>2000</v>
      </c>
      <c r="M134" s="164">
        <v>27.252063195322897</v>
      </c>
      <c r="N134" s="78">
        <v>9682.3326599999982</v>
      </c>
      <c r="O134" s="113">
        <v>79886.951465215054</v>
      </c>
      <c r="P134" s="113">
        <v>95175.805854028236</v>
      </c>
      <c r="Q134" s="110">
        <v>24403.043750252691</v>
      </c>
      <c r="R134" s="113">
        <v>104289.99521546774</v>
      </c>
      <c r="S134" s="113">
        <v>119578.84960428093</v>
      </c>
      <c r="U134" s="7" t="s">
        <v>7300</v>
      </c>
    </row>
    <row r="135" spans="1:21" ht="16.5" thickBot="1">
      <c r="A135" s="207" t="s">
        <v>10</v>
      </c>
      <c r="B135" s="211">
        <f t="shared" si="6"/>
        <v>150</v>
      </c>
      <c r="C135" s="211" t="s">
        <v>3</v>
      </c>
      <c r="D135" s="211">
        <f t="shared" si="7"/>
        <v>260</v>
      </c>
      <c r="E135" s="211" t="s">
        <v>3</v>
      </c>
      <c r="F135" s="209">
        <f t="shared" si="8"/>
        <v>2050</v>
      </c>
      <c r="G135" s="211" t="s">
        <v>3</v>
      </c>
      <c r="H135" s="208">
        <v>4</v>
      </c>
      <c r="I135" s="210" t="s">
        <v>530</v>
      </c>
      <c r="J135" s="103">
        <v>150</v>
      </c>
      <c r="K135" s="66">
        <v>260</v>
      </c>
      <c r="L135" s="66">
        <v>2050</v>
      </c>
      <c r="M135" s="164">
        <v>28.70817338296316</v>
      </c>
      <c r="N135" s="78">
        <v>9975.7366799999982</v>
      </c>
      <c r="O135" s="113">
        <v>83424.031784172112</v>
      </c>
      <c r="P135" s="113">
        <v>99084.891085357449</v>
      </c>
      <c r="Q135" s="110">
        <v>24873.499317732651</v>
      </c>
      <c r="R135" s="113">
        <v>108297.53110190477</v>
      </c>
      <c r="S135" s="113">
        <v>123958.3904030901</v>
      </c>
      <c r="U135" s="7" t="s">
        <v>7301</v>
      </c>
    </row>
    <row r="136" spans="1:21" ht="16.5" thickBot="1">
      <c r="A136" s="207" t="s">
        <v>10</v>
      </c>
      <c r="B136" s="208">
        <f t="shared" si="6"/>
        <v>150</v>
      </c>
      <c r="C136" s="208" t="s">
        <v>3</v>
      </c>
      <c r="D136" s="208">
        <f t="shared" si="7"/>
        <v>260</v>
      </c>
      <c r="E136" s="208" t="s">
        <v>3</v>
      </c>
      <c r="F136" s="209">
        <f t="shared" si="8"/>
        <v>2100</v>
      </c>
      <c r="G136" s="208" t="s">
        <v>3</v>
      </c>
      <c r="H136" s="208">
        <v>4</v>
      </c>
      <c r="I136" s="210" t="s">
        <v>530</v>
      </c>
      <c r="J136" s="103">
        <v>150</v>
      </c>
      <c r="K136" s="66">
        <v>260</v>
      </c>
      <c r="L136" s="66">
        <v>2100</v>
      </c>
      <c r="M136" s="164">
        <v>29.319323570603416</v>
      </c>
      <c r="N136" s="78">
        <v>10269.140699999998</v>
      </c>
      <c r="O136" s="113">
        <v>84691.687949052983</v>
      </c>
      <c r="P136" s="113">
        <v>100669.14180871475</v>
      </c>
      <c r="Q136" s="110">
        <v>25595.289022996385</v>
      </c>
      <c r="R136" s="113">
        <v>110286.97697204936</v>
      </c>
      <c r="S136" s="113">
        <v>126264.43083171113</v>
      </c>
      <c r="U136" s="7" t="s">
        <v>7302</v>
      </c>
    </row>
    <row r="137" spans="1:21" ht="16.5" thickBot="1">
      <c r="A137" s="207" t="s">
        <v>10</v>
      </c>
      <c r="B137" s="211">
        <f t="shared" si="6"/>
        <v>150</v>
      </c>
      <c r="C137" s="211" t="s">
        <v>3</v>
      </c>
      <c r="D137" s="211">
        <f t="shared" si="7"/>
        <v>260</v>
      </c>
      <c r="E137" s="211" t="s">
        <v>3</v>
      </c>
      <c r="F137" s="209">
        <f t="shared" si="8"/>
        <v>2150</v>
      </c>
      <c r="G137" s="211" t="s">
        <v>3</v>
      </c>
      <c r="H137" s="208">
        <v>4</v>
      </c>
      <c r="I137" s="210" t="s">
        <v>530</v>
      </c>
      <c r="J137" s="103">
        <v>150</v>
      </c>
      <c r="K137" s="66">
        <v>260</v>
      </c>
      <c r="L137" s="66">
        <v>2150</v>
      </c>
      <c r="M137" s="164">
        <v>29.913433758243684</v>
      </c>
      <c r="N137" s="78">
        <v>10562.544719999998</v>
      </c>
      <c r="O137" s="113">
        <v>86120.247119545704</v>
      </c>
      <c r="P137" s="113">
        <v>102418.22407836955</v>
      </c>
      <c r="Q137" s="110">
        <v>26065.744590476344</v>
      </c>
      <c r="R137" s="113">
        <v>112185.99171002205</v>
      </c>
      <c r="S137" s="113">
        <v>128483.96866884589</v>
      </c>
      <c r="U137" s="7" t="s">
        <v>7303</v>
      </c>
    </row>
    <row r="138" spans="1:21" ht="16.5" thickBot="1">
      <c r="A138" s="207" t="s">
        <v>10</v>
      </c>
      <c r="B138" s="211">
        <f t="shared" si="6"/>
        <v>150</v>
      </c>
      <c r="C138" s="211" t="s">
        <v>3</v>
      </c>
      <c r="D138" s="211">
        <f t="shared" si="7"/>
        <v>260</v>
      </c>
      <c r="E138" s="211" t="s">
        <v>3</v>
      </c>
      <c r="F138" s="209">
        <f t="shared" si="8"/>
        <v>2200</v>
      </c>
      <c r="G138" s="211" t="s">
        <v>3</v>
      </c>
      <c r="H138" s="208">
        <v>4</v>
      </c>
      <c r="I138" s="210" t="s">
        <v>530</v>
      </c>
      <c r="J138" s="103">
        <v>150</v>
      </c>
      <c r="K138" s="66">
        <v>260</v>
      </c>
      <c r="L138" s="66">
        <v>2200</v>
      </c>
      <c r="M138" s="164">
        <v>30.524583945883947</v>
      </c>
      <c r="N138" s="78">
        <v>10855.94874</v>
      </c>
      <c r="O138" s="113">
        <v>87548.753870034911</v>
      </c>
      <c r="P138" s="113">
        <v>104167.25269460904</v>
      </c>
      <c r="Q138" s="110">
        <v>26787.534295740079</v>
      </c>
      <c r="R138" s="113">
        <v>114336.28816577498</v>
      </c>
      <c r="S138" s="113">
        <v>130954.78699034912</v>
      </c>
      <c r="U138" s="7" t="s">
        <v>7304</v>
      </c>
    </row>
    <row r="139" spans="1:21" ht="16.5" thickBot="1">
      <c r="A139" s="207" t="s">
        <v>10</v>
      </c>
      <c r="B139" s="211">
        <f t="shared" si="6"/>
        <v>150</v>
      </c>
      <c r="C139" s="211" t="s">
        <v>3</v>
      </c>
      <c r="D139" s="211">
        <f t="shared" si="7"/>
        <v>260</v>
      </c>
      <c r="E139" s="211" t="s">
        <v>3</v>
      </c>
      <c r="F139" s="209">
        <f t="shared" si="8"/>
        <v>2250</v>
      </c>
      <c r="G139" s="211" t="s">
        <v>3</v>
      </c>
      <c r="H139" s="208">
        <v>4</v>
      </c>
      <c r="I139" s="210" t="s">
        <v>530</v>
      </c>
      <c r="J139" s="103">
        <v>150</v>
      </c>
      <c r="K139" s="66">
        <v>260</v>
      </c>
      <c r="L139" s="66">
        <v>2250</v>
      </c>
      <c r="M139" s="164">
        <v>31.118694133524208</v>
      </c>
      <c r="N139" s="78">
        <v>11149.352759999998</v>
      </c>
      <c r="O139" s="113">
        <v>89325.636679573174</v>
      </c>
      <c r="P139" s="113">
        <v>106273.16319376437</v>
      </c>
      <c r="Q139" s="110">
        <v>27257.989710191272</v>
      </c>
      <c r="R139" s="113">
        <v>116583.62638976445</v>
      </c>
      <c r="S139" s="113">
        <v>133531.15290395563</v>
      </c>
      <c r="U139" s="7" t="s">
        <v>7305</v>
      </c>
    </row>
    <row r="140" spans="1:21" ht="16.5" thickBot="1">
      <c r="A140" s="207" t="s">
        <v>10</v>
      </c>
      <c r="B140" s="211">
        <f t="shared" si="6"/>
        <v>150</v>
      </c>
      <c r="C140" s="211" t="s">
        <v>3</v>
      </c>
      <c r="D140" s="211">
        <f t="shared" si="7"/>
        <v>260</v>
      </c>
      <c r="E140" s="211" t="s">
        <v>3</v>
      </c>
      <c r="F140" s="209">
        <f t="shared" si="8"/>
        <v>2300</v>
      </c>
      <c r="G140" s="211" t="s">
        <v>3</v>
      </c>
      <c r="H140" s="208">
        <v>4</v>
      </c>
      <c r="I140" s="210" t="s">
        <v>530</v>
      </c>
      <c r="J140" s="103">
        <v>150</v>
      </c>
      <c r="K140" s="66">
        <v>260</v>
      </c>
      <c r="L140" s="66">
        <v>2300</v>
      </c>
      <c r="M140" s="164">
        <v>31.712804321164477</v>
      </c>
      <c r="N140" s="78">
        <v>11442.756779999998</v>
      </c>
      <c r="O140" s="113">
        <v>90489.376496138881</v>
      </c>
      <c r="P140" s="113">
        <v>107750.96027536635</v>
      </c>
      <c r="Q140" s="110">
        <v>27728.445277671239</v>
      </c>
      <c r="R140" s="113">
        <v>118217.82177381012</v>
      </c>
      <c r="S140" s="113">
        <v>135479.40555303759</v>
      </c>
      <c r="U140" s="7" t="s">
        <v>7306</v>
      </c>
    </row>
    <row r="141" spans="1:21" ht="16.5" thickBot="1">
      <c r="A141" s="207" t="s">
        <v>10</v>
      </c>
      <c r="B141" s="211">
        <f t="shared" si="6"/>
        <v>150</v>
      </c>
      <c r="C141" s="211" t="s">
        <v>3</v>
      </c>
      <c r="D141" s="211">
        <f t="shared" si="7"/>
        <v>260</v>
      </c>
      <c r="E141" s="211" t="s">
        <v>3</v>
      </c>
      <c r="F141" s="209">
        <f t="shared" si="8"/>
        <v>2350</v>
      </c>
      <c r="G141" s="211" t="s">
        <v>3</v>
      </c>
      <c r="H141" s="208">
        <v>4</v>
      </c>
      <c r="I141" s="210" t="s">
        <v>530</v>
      </c>
      <c r="J141" s="103">
        <v>150</v>
      </c>
      <c r="K141" s="66">
        <v>260</v>
      </c>
      <c r="L141" s="66">
        <v>2350</v>
      </c>
      <c r="M141" s="164">
        <v>32.323954508804732</v>
      </c>
      <c r="N141" s="78">
        <v>11736.1608</v>
      </c>
      <c r="O141" s="113">
        <v>91653.063762626683</v>
      </c>
      <c r="P141" s="113">
        <v>109228.70356123621</v>
      </c>
      <c r="Q141" s="110">
        <v>28450.234982934966</v>
      </c>
      <c r="R141" s="113">
        <v>120103.29874556165</v>
      </c>
      <c r="S141" s="113">
        <v>137678.93854417116</v>
      </c>
      <c r="U141" s="7" t="s">
        <v>7307</v>
      </c>
    </row>
    <row r="142" spans="1:21" ht="16.5" thickBot="1">
      <c r="A142" s="207" t="s">
        <v>10</v>
      </c>
      <c r="B142" s="211">
        <f t="shared" si="6"/>
        <v>150</v>
      </c>
      <c r="C142" s="211" t="s">
        <v>3</v>
      </c>
      <c r="D142" s="211">
        <f t="shared" si="7"/>
        <v>260</v>
      </c>
      <c r="E142" s="211" t="s">
        <v>3</v>
      </c>
      <c r="F142" s="209">
        <f t="shared" si="8"/>
        <v>2400</v>
      </c>
      <c r="G142" s="211" t="s">
        <v>3</v>
      </c>
      <c r="H142" s="208">
        <v>4</v>
      </c>
      <c r="I142" s="210" t="s">
        <v>530</v>
      </c>
      <c r="J142" s="103">
        <v>150</v>
      </c>
      <c r="K142" s="66">
        <v>260</v>
      </c>
      <c r="L142" s="66">
        <v>2400</v>
      </c>
      <c r="M142" s="164">
        <v>32.918064696445001</v>
      </c>
      <c r="N142" s="78">
        <v>12029.564819999998</v>
      </c>
      <c r="O142" s="113">
        <v>92816.698739185405</v>
      </c>
      <c r="P142" s="113">
        <v>110706.39319369075</v>
      </c>
      <c r="Q142" s="110">
        <v>28920.690550414929</v>
      </c>
      <c r="R142" s="113">
        <v>121737.38928960034</v>
      </c>
      <c r="S142" s="113">
        <v>139627.08374410568</v>
      </c>
      <c r="U142" s="7" t="s">
        <v>7308</v>
      </c>
    </row>
    <row r="143" spans="1:21" ht="16.5" thickBot="1">
      <c r="A143" s="207" t="s">
        <v>10</v>
      </c>
      <c r="B143" s="211">
        <f t="shared" si="6"/>
        <v>150</v>
      </c>
      <c r="C143" s="211" t="s">
        <v>3</v>
      </c>
      <c r="D143" s="211">
        <f t="shared" si="7"/>
        <v>260</v>
      </c>
      <c r="E143" s="211" t="s">
        <v>3</v>
      </c>
      <c r="F143" s="209">
        <f t="shared" si="8"/>
        <v>2450</v>
      </c>
      <c r="G143" s="211" t="s">
        <v>3</v>
      </c>
      <c r="H143" s="208">
        <v>4</v>
      </c>
      <c r="I143" s="210" t="s">
        <v>530</v>
      </c>
      <c r="J143" s="103">
        <v>150</v>
      </c>
      <c r="K143" s="66">
        <v>260</v>
      </c>
      <c r="L143" s="66">
        <v>2450</v>
      </c>
      <c r="M143" s="164">
        <v>34.287125736045262</v>
      </c>
      <c r="N143" s="78">
        <v>12322.96884</v>
      </c>
      <c r="O143" s="113">
        <v>94500.517181727264</v>
      </c>
      <c r="P143" s="113">
        <v>112870.83999593281</v>
      </c>
      <c r="Q143" s="110">
        <v>29642.480255678664</v>
      </c>
      <c r="R143" s="113">
        <v>124142.99743740592</v>
      </c>
      <c r="S143" s="113">
        <v>142513.32025161147</v>
      </c>
      <c r="U143" s="7" t="s">
        <v>7309</v>
      </c>
    </row>
    <row r="144" spans="1:21" ht="16.5" thickBot="1">
      <c r="A144" s="207" t="s">
        <v>10</v>
      </c>
      <c r="B144" s="211">
        <f t="shared" si="6"/>
        <v>150</v>
      </c>
      <c r="C144" s="211" t="s">
        <v>3</v>
      </c>
      <c r="D144" s="211">
        <f t="shared" si="7"/>
        <v>260</v>
      </c>
      <c r="E144" s="211" t="s">
        <v>3</v>
      </c>
      <c r="F144" s="209">
        <f t="shared" si="8"/>
        <v>2500</v>
      </c>
      <c r="G144" s="211" t="s">
        <v>3</v>
      </c>
      <c r="H144" s="208">
        <v>4</v>
      </c>
      <c r="I144" s="210" t="s">
        <v>530</v>
      </c>
      <c r="J144" s="103">
        <v>150</v>
      </c>
      <c r="K144" s="66">
        <v>260</v>
      </c>
      <c r="L144" s="66">
        <v>2500</v>
      </c>
      <c r="M144" s="164">
        <v>34.881235923685523</v>
      </c>
      <c r="N144" s="78">
        <v>12616.372859999999</v>
      </c>
      <c r="O144" s="113">
        <v>95664.047188204568</v>
      </c>
      <c r="P144" s="113">
        <v>114348.42217923993</v>
      </c>
      <c r="Q144" s="110">
        <v>30112.935823158623</v>
      </c>
      <c r="R144" s="113">
        <v>125776.98301136319</v>
      </c>
      <c r="S144" s="113">
        <v>144461.35800239857</v>
      </c>
      <c r="U144" s="7" t="s">
        <v>7310</v>
      </c>
    </row>
    <row r="145" spans="1:21" ht="16.5" thickBot="1">
      <c r="A145" s="207" t="s">
        <v>10</v>
      </c>
      <c r="B145" s="211">
        <f t="shared" si="6"/>
        <v>150</v>
      </c>
      <c r="C145" s="211" t="s">
        <v>3</v>
      </c>
      <c r="D145" s="211">
        <f t="shared" si="7"/>
        <v>260</v>
      </c>
      <c r="E145" s="211" t="s">
        <v>3</v>
      </c>
      <c r="F145" s="209">
        <f t="shared" si="8"/>
        <v>2550</v>
      </c>
      <c r="G145" s="211" t="s">
        <v>3</v>
      </c>
      <c r="H145" s="208">
        <v>4</v>
      </c>
      <c r="I145" s="210" t="s">
        <v>530</v>
      </c>
      <c r="J145" s="103">
        <v>150</v>
      </c>
      <c r="K145" s="66">
        <v>260</v>
      </c>
      <c r="L145" s="66">
        <v>2550</v>
      </c>
      <c r="M145" s="164">
        <v>35.492386111325793</v>
      </c>
      <c r="N145" s="78">
        <v>12909.776879999999</v>
      </c>
      <c r="O145" s="113">
        <v>100418.35094600149</v>
      </c>
      <c r="P145" s="113">
        <v>119504.45063933772</v>
      </c>
      <c r="Q145" s="110">
        <v>30834.725528422357</v>
      </c>
      <c r="R145" s="113">
        <v>131253.07647442384</v>
      </c>
      <c r="S145" s="113">
        <v>150339.17616776007</v>
      </c>
      <c r="U145" s="7" t="s">
        <v>7311</v>
      </c>
    </row>
    <row r="146" spans="1:21" ht="16.5" thickBot="1">
      <c r="A146" s="207" t="s">
        <v>10</v>
      </c>
      <c r="B146" s="208">
        <f t="shared" si="6"/>
        <v>150</v>
      </c>
      <c r="C146" s="208" t="s">
        <v>3</v>
      </c>
      <c r="D146" s="208">
        <f t="shared" si="7"/>
        <v>260</v>
      </c>
      <c r="E146" s="208" t="s">
        <v>3</v>
      </c>
      <c r="F146" s="209">
        <f t="shared" si="8"/>
        <v>2600</v>
      </c>
      <c r="G146" s="208" t="s">
        <v>3</v>
      </c>
      <c r="H146" s="208">
        <v>4</v>
      </c>
      <c r="I146" s="210" t="s">
        <v>530</v>
      </c>
      <c r="J146" s="103">
        <v>150</v>
      </c>
      <c r="K146" s="66">
        <v>260</v>
      </c>
      <c r="L146" s="66">
        <v>2600</v>
      </c>
      <c r="M146" s="164">
        <v>36.086496298966054</v>
      </c>
      <c r="N146" s="78">
        <v>13203.180899999999</v>
      </c>
      <c r="O146" s="113">
        <v>101876.73397669522</v>
      </c>
      <c r="P146" s="113">
        <v>121284.08504226853</v>
      </c>
      <c r="Q146" s="110">
        <v>31305.181095902317</v>
      </c>
      <c r="R146" s="113">
        <v>133181.91507259753</v>
      </c>
      <c r="S146" s="113">
        <v>152589.26613817085</v>
      </c>
      <c r="U146" s="7" t="s">
        <v>7312</v>
      </c>
    </row>
    <row r="147" spans="1:21" ht="16.5" thickBot="1">
      <c r="A147" s="207" t="s">
        <v>10</v>
      </c>
      <c r="B147" s="211">
        <f t="shared" si="6"/>
        <v>150</v>
      </c>
      <c r="C147" s="211" t="s">
        <v>3</v>
      </c>
      <c r="D147" s="211">
        <f t="shared" si="7"/>
        <v>260</v>
      </c>
      <c r="E147" s="211" t="s">
        <v>3</v>
      </c>
      <c r="F147" s="209">
        <f t="shared" si="8"/>
        <v>2650</v>
      </c>
      <c r="G147" s="211" t="s">
        <v>3</v>
      </c>
      <c r="H147" s="208">
        <v>4</v>
      </c>
      <c r="I147" s="210" t="s">
        <v>530</v>
      </c>
      <c r="J147" s="103">
        <v>150</v>
      </c>
      <c r="K147" s="66">
        <v>260</v>
      </c>
      <c r="L147" s="66">
        <v>2650</v>
      </c>
      <c r="M147" s="164">
        <v>36.697646486606317</v>
      </c>
      <c r="N147" s="78">
        <v>13496.584919999998</v>
      </c>
      <c r="O147" s="113">
        <v>102865.74140216169</v>
      </c>
      <c r="P147" s="113">
        <v>122582.88351422154</v>
      </c>
      <c r="Q147" s="110">
        <v>32026.970801166051</v>
      </c>
      <c r="R147" s="113">
        <v>134892.71220332774</v>
      </c>
      <c r="S147" s="113">
        <v>154609.85431538758</v>
      </c>
      <c r="U147" s="7" t="s">
        <v>7313</v>
      </c>
    </row>
    <row r="148" spans="1:21" ht="16.5" thickBot="1">
      <c r="A148" s="207" t="s">
        <v>10</v>
      </c>
      <c r="B148" s="211">
        <f t="shared" si="6"/>
        <v>150</v>
      </c>
      <c r="C148" s="211" t="s">
        <v>3</v>
      </c>
      <c r="D148" s="211">
        <f t="shared" si="7"/>
        <v>260</v>
      </c>
      <c r="E148" s="211" t="s">
        <v>3</v>
      </c>
      <c r="F148" s="209">
        <f t="shared" si="8"/>
        <v>2700</v>
      </c>
      <c r="G148" s="211" t="s">
        <v>3</v>
      </c>
      <c r="H148" s="208">
        <v>4</v>
      </c>
      <c r="I148" s="210" t="s">
        <v>530</v>
      </c>
      <c r="J148" s="103">
        <v>150</v>
      </c>
      <c r="K148" s="66">
        <v>260</v>
      </c>
      <c r="L148" s="66">
        <v>2700</v>
      </c>
      <c r="M148" s="164">
        <v>37.370256674246583</v>
      </c>
      <c r="N148" s="78">
        <v>13789.988939999999</v>
      </c>
      <c r="O148" s="113">
        <v>103919.68732629846</v>
      </c>
      <c r="P148" s="113">
        <v>123948.20581694295</v>
      </c>
      <c r="Q148" s="110">
        <v>32497.426368646011</v>
      </c>
      <c r="R148" s="113">
        <v>136417.11369494448</v>
      </c>
      <c r="S148" s="113">
        <v>156445.63218558897</v>
      </c>
      <c r="U148" s="7" t="s">
        <v>7314</v>
      </c>
    </row>
    <row r="149" spans="1:21" ht="16.5" thickBot="1">
      <c r="A149" s="207" t="s">
        <v>10</v>
      </c>
      <c r="B149" s="211">
        <f t="shared" si="6"/>
        <v>150</v>
      </c>
      <c r="C149" s="211" t="s">
        <v>3</v>
      </c>
      <c r="D149" s="211">
        <f t="shared" si="7"/>
        <v>260</v>
      </c>
      <c r="E149" s="211" t="s">
        <v>3</v>
      </c>
      <c r="F149" s="209">
        <f t="shared" si="8"/>
        <v>2750</v>
      </c>
      <c r="G149" s="211" t="s">
        <v>3</v>
      </c>
      <c r="H149" s="208">
        <v>4</v>
      </c>
      <c r="I149" s="210" t="s">
        <v>530</v>
      </c>
      <c r="J149" s="103">
        <v>150</v>
      </c>
      <c r="K149" s="66">
        <v>260</v>
      </c>
      <c r="L149" s="66">
        <v>2750</v>
      </c>
      <c r="M149" s="164">
        <v>37.964366861886845</v>
      </c>
      <c r="N149" s="78">
        <v>14083.392959999999</v>
      </c>
      <c r="O149" s="113">
        <v>104997.70183650579</v>
      </c>
      <c r="P149" s="113">
        <v>125338.18449687319</v>
      </c>
      <c r="Q149" s="110">
        <v>32967.881936125974</v>
      </c>
      <c r="R149" s="113">
        <v>137965.58377263177</v>
      </c>
      <c r="S149" s="113">
        <v>158306.06643299916</v>
      </c>
      <c r="U149" s="7" t="s">
        <v>7315</v>
      </c>
    </row>
    <row r="150" spans="1:21" ht="16.5" thickBot="1">
      <c r="A150" s="207" t="s">
        <v>10</v>
      </c>
      <c r="B150" s="211">
        <f t="shared" si="6"/>
        <v>150</v>
      </c>
      <c r="C150" s="211" t="s">
        <v>3</v>
      </c>
      <c r="D150" s="211">
        <f t="shared" si="7"/>
        <v>260</v>
      </c>
      <c r="E150" s="211" t="s">
        <v>3</v>
      </c>
      <c r="F150" s="209">
        <f t="shared" si="8"/>
        <v>2800</v>
      </c>
      <c r="G150" s="211" t="s">
        <v>3</v>
      </c>
      <c r="H150" s="208">
        <v>4</v>
      </c>
      <c r="I150" s="210" t="s">
        <v>530</v>
      </c>
      <c r="J150" s="103">
        <v>150</v>
      </c>
      <c r="K150" s="66">
        <v>260</v>
      </c>
      <c r="L150" s="66">
        <v>2800</v>
      </c>
      <c r="M150" s="164">
        <v>38.575517049527107</v>
      </c>
      <c r="N150" s="78">
        <v>14376.796979999999</v>
      </c>
      <c r="O150" s="113">
        <v>105985.36390193221</v>
      </c>
      <c r="P150" s="113">
        <v>126635.60463108729</v>
      </c>
      <c r="Q150" s="110">
        <v>33689.671488360938</v>
      </c>
      <c r="R150" s="113">
        <v>139675.03539029317</v>
      </c>
      <c r="S150" s="113">
        <v>160325.27611944824</v>
      </c>
      <c r="U150" s="7" t="s">
        <v>7316</v>
      </c>
    </row>
    <row r="151" spans="1:21" ht="16.5" thickBot="1">
      <c r="A151" s="207" t="s">
        <v>10</v>
      </c>
      <c r="B151" s="211">
        <f t="shared" si="6"/>
        <v>150</v>
      </c>
      <c r="C151" s="211" t="s">
        <v>3</v>
      </c>
      <c r="D151" s="211">
        <f t="shared" si="7"/>
        <v>260</v>
      </c>
      <c r="E151" s="211" t="s">
        <v>3</v>
      </c>
      <c r="F151" s="209">
        <f t="shared" si="8"/>
        <v>2850</v>
      </c>
      <c r="G151" s="211" t="s">
        <v>3</v>
      </c>
      <c r="H151" s="208">
        <v>4</v>
      </c>
      <c r="I151" s="210" t="s">
        <v>530</v>
      </c>
      <c r="J151" s="103">
        <v>150</v>
      </c>
      <c r="K151" s="66">
        <v>260</v>
      </c>
      <c r="L151" s="66">
        <v>2850</v>
      </c>
      <c r="M151" s="164">
        <v>40.03162723716737</v>
      </c>
      <c r="N151" s="78">
        <v>14670.200999999999</v>
      </c>
      <c r="O151" s="113">
        <v>106972.97341728069</v>
      </c>
      <c r="P151" s="113">
        <v>127932.97111188606</v>
      </c>
      <c r="Q151" s="110">
        <v>34160.127055840901</v>
      </c>
      <c r="R151" s="113">
        <v>141133.10047312159</v>
      </c>
      <c r="S151" s="113">
        <v>162093.09816772694</v>
      </c>
      <c r="U151" s="7" t="s">
        <v>7317</v>
      </c>
    </row>
    <row r="152" spans="1:21" ht="16.5" thickBot="1">
      <c r="A152" s="207" t="s">
        <v>10</v>
      </c>
      <c r="B152" s="211">
        <f t="shared" si="6"/>
        <v>150</v>
      </c>
      <c r="C152" s="211" t="s">
        <v>3</v>
      </c>
      <c r="D152" s="211">
        <f t="shared" si="7"/>
        <v>260</v>
      </c>
      <c r="E152" s="211" t="s">
        <v>3</v>
      </c>
      <c r="F152" s="209">
        <f t="shared" si="8"/>
        <v>2900</v>
      </c>
      <c r="G152" s="211" t="s">
        <v>3</v>
      </c>
      <c r="H152" s="208">
        <v>4</v>
      </c>
      <c r="I152" s="210" t="s">
        <v>530</v>
      </c>
      <c r="J152" s="103">
        <v>150</v>
      </c>
      <c r="K152" s="66">
        <v>260</v>
      </c>
      <c r="L152" s="66">
        <v>2900</v>
      </c>
      <c r="M152" s="164">
        <v>40.642777424807633</v>
      </c>
      <c r="N152" s="78">
        <v>14963.605019999999</v>
      </c>
      <c r="O152" s="113">
        <v>107960.53064270013</v>
      </c>
      <c r="P152" s="113">
        <v>129230.28379695273</v>
      </c>
      <c r="Q152" s="110">
        <v>34881.916761104636</v>
      </c>
      <c r="R152" s="113">
        <v>142842.44740380478</v>
      </c>
      <c r="S152" s="113">
        <v>164112.20055805738</v>
      </c>
      <c r="U152" s="7" t="s">
        <v>7318</v>
      </c>
    </row>
    <row r="153" spans="1:21" ht="16.5" thickBot="1">
      <c r="A153" s="207" t="s">
        <v>10</v>
      </c>
      <c r="B153" s="211">
        <f t="shared" si="6"/>
        <v>150</v>
      </c>
      <c r="C153" s="211" t="s">
        <v>3</v>
      </c>
      <c r="D153" s="211">
        <f t="shared" si="7"/>
        <v>260</v>
      </c>
      <c r="E153" s="211" t="s">
        <v>3</v>
      </c>
      <c r="F153" s="209">
        <f t="shared" si="8"/>
        <v>2950</v>
      </c>
      <c r="G153" s="211" t="s">
        <v>3</v>
      </c>
      <c r="H153" s="208">
        <v>4</v>
      </c>
      <c r="I153" s="210" t="s">
        <v>530</v>
      </c>
      <c r="J153" s="103">
        <v>150</v>
      </c>
      <c r="K153" s="66">
        <v>260</v>
      </c>
      <c r="L153" s="66">
        <v>2950</v>
      </c>
      <c r="M153" s="164">
        <v>41.236887612447894</v>
      </c>
      <c r="N153" s="78">
        <v>15257.009039999999</v>
      </c>
      <c r="O153" s="113">
        <v>108948.03531804161</v>
      </c>
      <c r="P153" s="113">
        <v>130527.54282860406</v>
      </c>
      <c r="Q153" s="110">
        <v>35352.372328584599</v>
      </c>
      <c r="R153" s="113">
        <v>144300.4076466262</v>
      </c>
      <c r="S153" s="113">
        <v>165879.91515718866</v>
      </c>
      <c r="U153" s="7" t="s">
        <v>7319</v>
      </c>
    </row>
    <row r="154" spans="1:21" ht="16.5" thickBot="1">
      <c r="A154" s="212" t="s">
        <v>10</v>
      </c>
      <c r="B154" s="213">
        <f t="shared" si="6"/>
        <v>150</v>
      </c>
      <c r="C154" s="213" t="s">
        <v>3</v>
      </c>
      <c r="D154" s="213">
        <f t="shared" si="7"/>
        <v>260</v>
      </c>
      <c r="E154" s="213" t="s">
        <v>3</v>
      </c>
      <c r="F154" s="214">
        <f t="shared" si="8"/>
        <v>3000</v>
      </c>
      <c r="G154" s="213" t="s">
        <v>3</v>
      </c>
      <c r="H154" s="215">
        <v>4</v>
      </c>
      <c r="I154" s="210" t="s">
        <v>530</v>
      </c>
      <c r="J154" s="287">
        <v>150</v>
      </c>
      <c r="K154" s="266">
        <v>260</v>
      </c>
      <c r="L154" s="266">
        <v>3000</v>
      </c>
      <c r="M154" s="249">
        <v>41.84803780008815</v>
      </c>
      <c r="N154" s="250">
        <v>15550.413059999997</v>
      </c>
      <c r="O154" s="251">
        <v>111806.83968405257</v>
      </c>
      <c r="P154" s="251">
        <v>133741.79128352582</v>
      </c>
      <c r="Q154" s="252">
        <v>36074.162033848326</v>
      </c>
      <c r="R154" s="251">
        <v>147881.00171790089</v>
      </c>
      <c r="S154" s="251">
        <v>169815.95331737414</v>
      </c>
      <c r="U154" s="7" t="s">
        <v>7320</v>
      </c>
    </row>
    <row r="155" spans="1:21" ht="22.5" customHeight="1" thickBot="1">
      <c r="A155" s="2968" t="s">
        <v>43</v>
      </c>
      <c r="B155" s="2969"/>
      <c r="C155" s="2969"/>
      <c r="D155" s="2969"/>
      <c r="E155" s="2969"/>
      <c r="F155" s="2969"/>
      <c r="G155" s="2969"/>
      <c r="H155" s="2969"/>
      <c r="I155" s="2969"/>
      <c r="J155" s="2969"/>
      <c r="K155" s="2969"/>
      <c r="L155" s="2969"/>
      <c r="M155" s="2969"/>
      <c r="N155" s="2969"/>
      <c r="O155" s="2969"/>
      <c r="P155" s="2969"/>
      <c r="Q155" s="2969"/>
      <c r="R155" s="2969"/>
      <c r="S155" s="2970"/>
      <c r="U155" s="7"/>
    </row>
    <row r="156" spans="1:21" ht="19.5" thickBot="1">
      <c r="A156" s="3015" t="s">
        <v>117</v>
      </c>
      <c r="B156" s="3016"/>
      <c r="C156" s="3016"/>
      <c r="D156" s="3016"/>
      <c r="E156" s="3016"/>
      <c r="F156" s="3016"/>
      <c r="G156" s="3016"/>
      <c r="H156" s="3016"/>
      <c r="I156" s="3016"/>
      <c r="J156" s="3016"/>
      <c r="K156" s="3016"/>
      <c r="L156" s="3016"/>
      <c r="M156" s="3016"/>
      <c r="N156" s="3016"/>
      <c r="O156" s="3016"/>
      <c r="P156" s="3016"/>
      <c r="Q156" s="3016"/>
      <c r="R156" s="3016"/>
      <c r="S156" s="3017"/>
      <c r="U156" s="7"/>
    </row>
    <row r="157" spans="1:21" ht="16.5" thickBot="1">
      <c r="A157" s="207" t="s">
        <v>10</v>
      </c>
      <c r="B157" s="208">
        <f t="shared" ref="B157:B203" si="9">J157</f>
        <v>150</v>
      </c>
      <c r="C157" s="208" t="s">
        <v>3</v>
      </c>
      <c r="D157" s="208">
        <f t="shared" ref="D157:D203" si="10">K157</f>
        <v>300</v>
      </c>
      <c r="E157" s="208" t="s">
        <v>3</v>
      </c>
      <c r="F157" s="209">
        <f t="shared" ref="F157:F203" si="11">L157</f>
        <v>700</v>
      </c>
      <c r="G157" s="208" t="s">
        <v>3</v>
      </c>
      <c r="H157" s="208">
        <v>4</v>
      </c>
      <c r="I157" s="210" t="s">
        <v>530</v>
      </c>
      <c r="J157" s="286">
        <v>150</v>
      </c>
      <c r="K157" s="271">
        <v>300</v>
      </c>
      <c r="L157" s="271">
        <v>700</v>
      </c>
      <c r="M157" s="245">
        <v>11.557613289455</v>
      </c>
      <c r="N157" s="246">
        <v>2199.5953979999999</v>
      </c>
      <c r="O157" s="247">
        <v>32653.055329685078</v>
      </c>
      <c r="P157" s="247">
        <v>39471.667177368727</v>
      </c>
      <c r="Q157" s="248">
        <v>10240.289076749623</v>
      </c>
      <c r="R157" s="247">
        <v>42893.344406434699</v>
      </c>
      <c r="S157" s="247">
        <v>49711.956254118348</v>
      </c>
      <c r="U157" s="7" t="s">
        <v>7321</v>
      </c>
    </row>
    <row r="158" spans="1:21" ht="16.5" thickBot="1">
      <c r="A158" s="207" t="s">
        <v>10</v>
      </c>
      <c r="B158" s="211">
        <f t="shared" si="9"/>
        <v>150</v>
      </c>
      <c r="C158" s="211" t="s">
        <v>3</v>
      </c>
      <c r="D158" s="211">
        <f t="shared" si="10"/>
        <v>300</v>
      </c>
      <c r="E158" s="211" t="s">
        <v>3</v>
      </c>
      <c r="F158" s="209">
        <f t="shared" si="11"/>
        <v>750</v>
      </c>
      <c r="G158" s="211" t="s">
        <v>3</v>
      </c>
      <c r="H158" s="208">
        <v>4</v>
      </c>
      <c r="I158" s="210" t="s">
        <v>530</v>
      </c>
      <c r="J158" s="103">
        <v>150</v>
      </c>
      <c r="K158" s="66">
        <v>300</v>
      </c>
      <c r="L158" s="66">
        <v>750</v>
      </c>
      <c r="M158" s="164">
        <v>12.215755776989997</v>
      </c>
      <c r="N158" s="78">
        <v>2513.8233120000004</v>
      </c>
      <c r="O158" s="113">
        <v>34644.051350614653</v>
      </c>
      <c r="P158" s="113">
        <v>41818.606892460943</v>
      </c>
      <c r="Q158" s="110">
        <v>10763.930709721371</v>
      </c>
      <c r="R158" s="113">
        <v>45407.982060336028</v>
      </c>
      <c r="S158" s="113">
        <v>52582.537602182318</v>
      </c>
      <c r="U158" s="7" t="s">
        <v>7322</v>
      </c>
    </row>
    <row r="159" spans="1:21" ht="16.5" thickBot="1">
      <c r="A159" s="207" t="s">
        <v>10</v>
      </c>
      <c r="B159" s="211">
        <f t="shared" si="9"/>
        <v>150</v>
      </c>
      <c r="C159" s="211" t="s">
        <v>3</v>
      </c>
      <c r="D159" s="211">
        <f t="shared" si="10"/>
        <v>300</v>
      </c>
      <c r="E159" s="211" t="s">
        <v>3</v>
      </c>
      <c r="F159" s="209">
        <f t="shared" si="11"/>
        <v>800</v>
      </c>
      <c r="G159" s="211" t="s">
        <v>3</v>
      </c>
      <c r="H159" s="208">
        <v>4</v>
      </c>
      <c r="I159" s="210" t="s">
        <v>530</v>
      </c>
      <c r="J159" s="103">
        <v>150</v>
      </c>
      <c r="K159" s="66">
        <v>300</v>
      </c>
      <c r="L159" s="66">
        <v>800</v>
      </c>
      <c r="M159" s="164">
        <v>12.873898264524998</v>
      </c>
      <c r="N159" s="78">
        <v>2828.0512260000005</v>
      </c>
      <c r="O159" s="113">
        <v>36635.706718933077</v>
      </c>
      <c r="P159" s="113">
        <v>44166.221900539334</v>
      </c>
      <c r="Q159" s="110">
        <v>11287.572342693116</v>
      </c>
      <c r="R159" s="113">
        <v>47923.279061626192</v>
      </c>
      <c r="S159" s="113">
        <v>55453.794243232449</v>
      </c>
      <c r="U159" s="7" t="s">
        <v>7323</v>
      </c>
    </row>
    <row r="160" spans="1:21" ht="16.5" thickBot="1">
      <c r="A160" s="207" t="s">
        <v>10</v>
      </c>
      <c r="B160" s="211">
        <f t="shared" si="9"/>
        <v>150</v>
      </c>
      <c r="C160" s="211" t="s">
        <v>3</v>
      </c>
      <c r="D160" s="211">
        <f t="shared" si="10"/>
        <v>300</v>
      </c>
      <c r="E160" s="211" t="s">
        <v>3</v>
      </c>
      <c r="F160" s="209">
        <f t="shared" si="11"/>
        <v>850</v>
      </c>
      <c r="G160" s="211" t="s">
        <v>3</v>
      </c>
      <c r="H160" s="208">
        <v>4</v>
      </c>
      <c r="I160" s="210" t="s">
        <v>530</v>
      </c>
      <c r="J160" s="103">
        <v>150</v>
      </c>
      <c r="K160" s="66">
        <v>300</v>
      </c>
      <c r="L160" s="66">
        <v>850</v>
      </c>
      <c r="M160" s="164">
        <v>13.54908075206</v>
      </c>
      <c r="N160" s="78">
        <v>3142.2791400000006</v>
      </c>
      <c r="O160" s="113">
        <v>38627.362087251509</v>
      </c>
      <c r="P160" s="113">
        <v>46513.837050934482</v>
      </c>
      <c r="Q160" s="110">
        <v>12062.548266477399</v>
      </c>
      <c r="R160" s="113">
        <v>50689.910353728905</v>
      </c>
      <c r="S160" s="113">
        <v>58576.385317411885</v>
      </c>
      <c r="U160" s="7" t="s">
        <v>7324</v>
      </c>
    </row>
    <row r="161" spans="1:21" ht="16.5" thickBot="1">
      <c r="A161" s="207" t="s">
        <v>10</v>
      </c>
      <c r="B161" s="211">
        <f t="shared" si="9"/>
        <v>150</v>
      </c>
      <c r="C161" s="211" t="s">
        <v>3</v>
      </c>
      <c r="D161" s="211">
        <f t="shared" si="10"/>
        <v>300</v>
      </c>
      <c r="E161" s="211" t="s">
        <v>3</v>
      </c>
      <c r="F161" s="209">
        <f t="shared" si="11"/>
        <v>900</v>
      </c>
      <c r="G161" s="211" t="s">
        <v>3</v>
      </c>
      <c r="H161" s="208">
        <v>4</v>
      </c>
      <c r="I161" s="210" t="s">
        <v>530</v>
      </c>
      <c r="J161" s="103">
        <v>150</v>
      </c>
      <c r="K161" s="66">
        <v>300</v>
      </c>
      <c r="L161" s="66">
        <v>900</v>
      </c>
      <c r="M161" s="164">
        <v>14.366223239594998</v>
      </c>
      <c r="N161" s="78">
        <v>3456.5070540000011</v>
      </c>
      <c r="O161" s="113">
        <v>40619.017455569934</v>
      </c>
      <c r="P161" s="113">
        <v>48861.45220132963</v>
      </c>
      <c r="Q161" s="110">
        <v>12586.189899449146</v>
      </c>
      <c r="R161" s="113">
        <v>53205.207355019083</v>
      </c>
      <c r="S161" s="113">
        <v>61447.642100778772</v>
      </c>
      <c r="U161" s="7" t="s">
        <v>7325</v>
      </c>
    </row>
    <row r="162" spans="1:21" ht="16.5" thickBot="1">
      <c r="A162" s="207" t="s">
        <v>10</v>
      </c>
      <c r="B162" s="211">
        <f t="shared" si="9"/>
        <v>150</v>
      </c>
      <c r="C162" s="211" t="s">
        <v>3</v>
      </c>
      <c r="D162" s="211">
        <f t="shared" si="10"/>
        <v>300</v>
      </c>
      <c r="E162" s="211" t="s">
        <v>3</v>
      </c>
      <c r="F162" s="209">
        <f t="shared" si="11"/>
        <v>950</v>
      </c>
      <c r="G162" s="211" t="s">
        <v>3</v>
      </c>
      <c r="H162" s="208">
        <v>4</v>
      </c>
      <c r="I162" s="210" t="s">
        <v>530</v>
      </c>
      <c r="J162" s="103">
        <v>150</v>
      </c>
      <c r="K162" s="66">
        <v>300</v>
      </c>
      <c r="L162" s="66">
        <v>950</v>
      </c>
      <c r="M162" s="164">
        <v>15.041405727129998</v>
      </c>
      <c r="N162" s="78">
        <v>3770.7349680000002</v>
      </c>
      <c r="O162" s="113">
        <v>42610.672953962814</v>
      </c>
      <c r="P162" s="113">
        <v>51209.067351724785</v>
      </c>
      <c r="Q162" s="110">
        <v>13361.165670204662</v>
      </c>
      <c r="R162" s="113">
        <v>55971.838624167474</v>
      </c>
      <c r="S162" s="113">
        <v>64570.233021929445</v>
      </c>
      <c r="U162" s="7" t="s">
        <v>7326</v>
      </c>
    </row>
    <row r="163" spans="1:21" ht="16.5" thickBot="1">
      <c r="A163" s="207" t="s">
        <v>10</v>
      </c>
      <c r="B163" s="211">
        <f t="shared" si="9"/>
        <v>150</v>
      </c>
      <c r="C163" s="211" t="s">
        <v>3</v>
      </c>
      <c r="D163" s="211">
        <f t="shared" si="10"/>
        <v>300</v>
      </c>
      <c r="E163" s="211" t="s">
        <v>3</v>
      </c>
      <c r="F163" s="209">
        <f t="shared" si="11"/>
        <v>1000</v>
      </c>
      <c r="G163" s="211" t="s">
        <v>3</v>
      </c>
      <c r="H163" s="208">
        <v>4</v>
      </c>
      <c r="I163" s="210" t="s">
        <v>530</v>
      </c>
      <c r="J163" s="103">
        <v>150</v>
      </c>
      <c r="K163" s="66">
        <v>300</v>
      </c>
      <c r="L163" s="66">
        <v>1000</v>
      </c>
      <c r="M163" s="164">
        <v>15.699548214664999</v>
      </c>
      <c r="N163" s="78">
        <v>4084.9628820000007</v>
      </c>
      <c r="O163" s="113">
        <v>44498.634271201743</v>
      </c>
      <c r="P163" s="113">
        <v>53450.456709483871</v>
      </c>
      <c r="Q163" s="110">
        <v>13884.807456205173</v>
      </c>
      <c r="R163" s="113">
        <v>58383.441727406913</v>
      </c>
      <c r="S163" s="113">
        <v>67335.264165689048</v>
      </c>
      <c r="U163" s="7" t="s">
        <v>7327</v>
      </c>
    </row>
    <row r="164" spans="1:21" ht="16.5" thickBot="1">
      <c r="A164" s="207" t="s">
        <v>10</v>
      </c>
      <c r="B164" s="211">
        <f t="shared" si="9"/>
        <v>150</v>
      </c>
      <c r="C164" s="211" t="s">
        <v>3</v>
      </c>
      <c r="D164" s="211">
        <f t="shared" si="10"/>
        <v>300</v>
      </c>
      <c r="E164" s="211" t="s">
        <v>3</v>
      </c>
      <c r="F164" s="209">
        <f t="shared" si="11"/>
        <v>1050</v>
      </c>
      <c r="G164" s="211" t="s">
        <v>3</v>
      </c>
      <c r="H164" s="208">
        <v>4</v>
      </c>
      <c r="I164" s="210" t="s">
        <v>530</v>
      </c>
      <c r="J164" s="103">
        <v>150</v>
      </c>
      <c r="K164" s="66">
        <v>300</v>
      </c>
      <c r="L164" s="66">
        <v>1050</v>
      </c>
      <c r="M164" s="164">
        <v>16.374730702199997</v>
      </c>
      <c r="N164" s="78">
        <v>4399.1907959999999</v>
      </c>
      <c r="O164" s="113">
        <v>46518.106450952204</v>
      </c>
      <c r="P164" s="113">
        <v>55826.567800728386</v>
      </c>
      <c r="Q164" s="110">
        <v>14659.78322696069</v>
      </c>
      <c r="R164" s="113">
        <v>61177.889677912892</v>
      </c>
      <c r="S164" s="113">
        <v>70486.351027689074</v>
      </c>
      <c r="U164" s="7" t="s">
        <v>7328</v>
      </c>
    </row>
    <row r="165" spans="1:21" ht="16.5" thickBot="1">
      <c r="A165" s="207" t="s">
        <v>10</v>
      </c>
      <c r="B165" s="208">
        <f t="shared" si="9"/>
        <v>150</v>
      </c>
      <c r="C165" s="208" t="s">
        <v>3</v>
      </c>
      <c r="D165" s="208">
        <f t="shared" si="10"/>
        <v>300</v>
      </c>
      <c r="E165" s="208" t="s">
        <v>3</v>
      </c>
      <c r="F165" s="209">
        <f t="shared" si="11"/>
        <v>1100</v>
      </c>
      <c r="G165" s="208" t="s">
        <v>3</v>
      </c>
      <c r="H165" s="208">
        <v>4</v>
      </c>
      <c r="I165" s="210" t="s">
        <v>530</v>
      </c>
      <c r="J165" s="103">
        <v>150</v>
      </c>
      <c r="K165" s="66">
        <v>300</v>
      </c>
      <c r="L165" s="66">
        <v>1100</v>
      </c>
      <c r="M165" s="164">
        <v>17.032873189734996</v>
      </c>
      <c r="N165" s="78">
        <v>4713.4187100000008</v>
      </c>
      <c r="O165" s="113">
        <v>48509.761949345091</v>
      </c>
      <c r="P165" s="113">
        <v>58174.182808806778</v>
      </c>
      <c r="Q165" s="110">
        <v>15183.425012961201</v>
      </c>
      <c r="R165" s="113">
        <v>63693.186962306296</v>
      </c>
      <c r="S165" s="113">
        <v>73357.607821767975</v>
      </c>
      <c r="U165" s="7" t="s">
        <v>7329</v>
      </c>
    </row>
    <row r="166" spans="1:21" ht="16.5" thickBot="1">
      <c r="A166" s="207" t="s">
        <v>10</v>
      </c>
      <c r="B166" s="211">
        <f t="shared" si="9"/>
        <v>150</v>
      </c>
      <c r="C166" s="211" t="s">
        <v>3</v>
      </c>
      <c r="D166" s="211">
        <f t="shared" si="10"/>
        <v>300</v>
      </c>
      <c r="E166" s="211" t="s">
        <v>3</v>
      </c>
      <c r="F166" s="209">
        <f t="shared" si="11"/>
        <v>1150</v>
      </c>
      <c r="G166" s="211" t="s">
        <v>3</v>
      </c>
      <c r="H166" s="208">
        <v>4</v>
      </c>
      <c r="I166" s="210" t="s">
        <v>530</v>
      </c>
      <c r="J166" s="103">
        <v>150</v>
      </c>
      <c r="K166" s="66">
        <v>300</v>
      </c>
      <c r="L166" s="66">
        <v>1150</v>
      </c>
      <c r="M166" s="164">
        <v>17.691015677269995</v>
      </c>
      <c r="N166" s="78">
        <v>5027.6466240000009</v>
      </c>
      <c r="O166" s="113">
        <v>49678.093914306184</v>
      </c>
      <c r="P166" s="113">
        <v>59678.372389669959</v>
      </c>
      <c r="Q166" s="110">
        <v>15707.066645932946</v>
      </c>
      <c r="R166" s="113">
        <v>65385.160560239128</v>
      </c>
      <c r="S166" s="113">
        <v>75385.439035602903</v>
      </c>
      <c r="U166" s="7" t="s">
        <v>7330</v>
      </c>
    </row>
    <row r="167" spans="1:21" ht="16.5" thickBot="1">
      <c r="A167" s="207" t="s">
        <v>10</v>
      </c>
      <c r="B167" s="211">
        <f t="shared" si="9"/>
        <v>150</v>
      </c>
      <c r="C167" s="211" t="s">
        <v>3</v>
      </c>
      <c r="D167" s="211">
        <f t="shared" si="10"/>
        <v>300</v>
      </c>
      <c r="E167" s="211" t="s">
        <v>3</v>
      </c>
      <c r="F167" s="209">
        <f t="shared" si="11"/>
        <v>1200</v>
      </c>
      <c r="G167" s="211" t="s">
        <v>3</v>
      </c>
      <c r="H167" s="208">
        <v>4</v>
      </c>
      <c r="I167" s="210" t="s">
        <v>530</v>
      </c>
      <c r="J167" s="103">
        <v>150</v>
      </c>
      <c r="K167" s="66">
        <v>300</v>
      </c>
      <c r="L167" s="66">
        <v>1200</v>
      </c>
      <c r="M167" s="164">
        <v>18.523198164804995</v>
      </c>
      <c r="N167" s="78">
        <v>5341.8745380000009</v>
      </c>
      <c r="O167" s="113">
        <v>50911.154697923615</v>
      </c>
      <c r="P167" s="113">
        <v>61248.870903006646</v>
      </c>
      <c r="Q167" s="110">
        <v>16482.042416688462</v>
      </c>
      <c r="R167" s="113">
        <v>67393.197114612078</v>
      </c>
      <c r="S167" s="113">
        <v>77730.913319695101</v>
      </c>
      <c r="U167" s="7" t="s">
        <v>7331</v>
      </c>
    </row>
    <row r="168" spans="1:21" ht="16.5" thickBot="1">
      <c r="A168" s="207" t="s">
        <v>10</v>
      </c>
      <c r="B168" s="211">
        <f t="shared" si="9"/>
        <v>150</v>
      </c>
      <c r="C168" s="211" t="s">
        <v>3</v>
      </c>
      <c r="D168" s="211">
        <f t="shared" si="10"/>
        <v>300</v>
      </c>
      <c r="E168" s="211" t="s">
        <v>3</v>
      </c>
      <c r="F168" s="209">
        <f t="shared" si="11"/>
        <v>1250</v>
      </c>
      <c r="G168" s="211" t="s">
        <v>3</v>
      </c>
      <c r="H168" s="208">
        <v>4</v>
      </c>
      <c r="I168" s="210" t="s">
        <v>530</v>
      </c>
      <c r="J168" s="103">
        <v>150</v>
      </c>
      <c r="K168" s="66">
        <v>300</v>
      </c>
      <c r="L168" s="66">
        <v>1250</v>
      </c>
      <c r="M168" s="164">
        <v>20.04334065234</v>
      </c>
      <c r="N168" s="78">
        <v>5656.102452000001</v>
      </c>
      <c r="O168" s="113">
        <v>52078.96246284977</v>
      </c>
      <c r="P168" s="113">
        <v>62752.523238132664</v>
      </c>
      <c r="Q168" s="110">
        <v>17005.684202688975</v>
      </c>
      <c r="R168" s="113">
        <v>69084.646665538748</v>
      </c>
      <c r="S168" s="113">
        <v>79758.207440821643</v>
      </c>
      <c r="U168" s="7" t="s">
        <v>7332</v>
      </c>
    </row>
    <row r="169" spans="1:21" ht="16.5" thickBot="1">
      <c r="A169" s="207" t="s">
        <v>10</v>
      </c>
      <c r="B169" s="211">
        <f t="shared" si="9"/>
        <v>150</v>
      </c>
      <c r="C169" s="211" t="s">
        <v>3</v>
      </c>
      <c r="D169" s="211">
        <f t="shared" si="10"/>
        <v>300</v>
      </c>
      <c r="E169" s="211" t="s">
        <v>3</v>
      </c>
      <c r="F169" s="209">
        <f t="shared" si="11"/>
        <v>1300</v>
      </c>
      <c r="G169" s="211" t="s">
        <v>3</v>
      </c>
      <c r="H169" s="208">
        <v>4</v>
      </c>
      <c r="I169" s="210" t="s">
        <v>530</v>
      </c>
      <c r="J169" s="103">
        <v>150</v>
      </c>
      <c r="K169" s="66">
        <v>300</v>
      </c>
      <c r="L169" s="66">
        <v>1300</v>
      </c>
      <c r="M169" s="164">
        <v>20.718523139875</v>
      </c>
      <c r="N169" s="78">
        <v>5970.330366000001</v>
      </c>
      <c r="O169" s="113">
        <v>55919.868211534405</v>
      </c>
      <c r="P169" s="113">
        <v>66994.54015089017</v>
      </c>
      <c r="Q169" s="110">
        <v>17780.65997344449</v>
      </c>
      <c r="R169" s="113">
        <v>73700.528184978903</v>
      </c>
      <c r="S169" s="113">
        <v>84775.20012433466</v>
      </c>
      <c r="U169" s="7" t="s">
        <v>7333</v>
      </c>
    </row>
    <row r="170" spans="1:21" ht="16.5" thickBot="1">
      <c r="A170" s="207" t="s">
        <v>10</v>
      </c>
      <c r="B170" s="211">
        <f t="shared" si="9"/>
        <v>150</v>
      </c>
      <c r="C170" s="211" t="s">
        <v>3</v>
      </c>
      <c r="D170" s="211">
        <f t="shared" si="10"/>
        <v>300</v>
      </c>
      <c r="E170" s="211" t="s">
        <v>3</v>
      </c>
      <c r="F170" s="209">
        <f t="shared" si="11"/>
        <v>1350</v>
      </c>
      <c r="G170" s="211" t="s">
        <v>3</v>
      </c>
      <c r="H170" s="208">
        <v>4</v>
      </c>
      <c r="I170" s="210" t="s">
        <v>530</v>
      </c>
      <c r="J170" s="103">
        <v>150</v>
      </c>
      <c r="K170" s="66">
        <v>300</v>
      </c>
      <c r="L170" s="66">
        <v>1350</v>
      </c>
      <c r="M170" s="164">
        <v>21.376665627409999</v>
      </c>
      <c r="N170" s="78">
        <v>6284.5582800000011</v>
      </c>
      <c r="O170" s="113">
        <v>57359.845057130493</v>
      </c>
      <c r="P170" s="113">
        <v>68777.006941810643</v>
      </c>
      <c r="Q170" s="110">
        <v>18304.301606416237</v>
      </c>
      <c r="R170" s="113">
        <v>75664.146663546737</v>
      </c>
      <c r="S170" s="113">
        <v>87081.30854822688</v>
      </c>
      <c r="U170" s="7" t="s">
        <v>7334</v>
      </c>
    </row>
    <row r="171" spans="1:21" ht="16.5" thickBot="1">
      <c r="A171" s="207" t="s">
        <v>10</v>
      </c>
      <c r="B171" s="211">
        <f t="shared" si="9"/>
        <v>150</v>
      </c>
      <c r="C171" s="211" t="s">
        <v>3</v>
      </c>
      <c r="D171" s="211">
        <f t="shared" si="10"/>
        <v>300</v>
      </c>
      <c r="E171" s="211" t="s">
        <v>3</v>
      </c>
      <c r="F171" s="209">
        <f t="shared" si="11"/>
        <v>1400</v>
      </c>
      <c r="G171" s="211" t="s">
        <v>3</v>
      </c>
      <c r="H171" s="208">
        <v>4</v>
      </c>
      <c r="I171" s="210" t="s">
        <v>530</v>
      </c>
      <c r="J171" s="103">
        <v>150</v>
      </c>
      <c r="K171" s="66">
        <v>300</v>
      </c>
      <c r="L171" s="66">
        <v>1400</v>
      </c>
      <c r="M171" s="164">
        <v>22.051848114945003</v>
      </c>
      <c r="N171" s="78">
        <v>6598.7861940000012</v>
      </c>
      <c r="O171" s="113">
        <v>59156.269861866909</v>
      </c>
      <c r="P171" s="113">
        <v>70924.624788179994</v>
      </c>
      <c r="Q171" s="110">
        <v>19079.277530200521</v>
      </c>
      <c r="R171" s="113">
        <v>78235.547392067427</v>
      </c>
      <c r="S171" s="113">
        <v>90003.902318380511</v>
      </c>
      <c r="U171" s="7" t="s">
        <v>7335</v>
      </c>
    </row>
    <row r="172" spans="1:21" ht="16.5" thickBot="1">
      <c r="A172" s="207" t="s">
        <v>10</v>
      </c>
      <c r="B172" s="211">
        <f t="shared" si="9"/>
        <v>150</v>
      </c>
      <c r="C172" s="211" t="s">
        <v>3</v>
      </c>
      <c r="D172" s="211">
        <f t="shared" si="10"/>
        <v>300</v>
      </c>
      <c r="E172" s="211" t="s">
        <v>3</v>
      </c>
      <c r="F172" s="209">
        <f t="shared" si="11"/>
        <v>1450</v>
      </c>
      <c r="G172" s="211" t="s">
        <v>3</v>
      </c>
      <c r="H172" s="208">
        <v>4</v>
      </c>
      <c r="I172" s="210" t="s">
        <v>530</v>
      </c>
      <c r="J172" s="103">
        <v>150</v>
      </c>
      <c r="K172" s="66">
        <v>300</v>
      </c>
      <c r="L172" s="66">
        <v>1450</v>
      </c>
      <c r="M172" s="164">
        <v>22.709990602479998</v>
      </c>
      <c r="N172" s="78">
        <v>6913.0141080000021</v>
      </c>
      <c r="O172" s="113">
        <v>60596.246707462997</v>
      </c>
      <c r="P172" s="113">
        <v>72707.091436783725</v>
      </c>
      <c r="Q172" s="110">
        <v>19602.919163172111</v>
      </c>
      <c r="R172" s="113">
        <v>80199.165870635101</v>
      </c>
      <c r="S172" s="113">
        <v>92310.010599955829</v>
      </c>
      <c r="U172" s="7" t="s">
        <v>7336</v>
      </c>
    </row>
    <row r="173" spans="1:21" ht="16.5" thickBot="1">
      <c r="A173" s="207" t="s">
        <v>10</v>
      </c>
      <c r="B173" s="211">
        <f t="shared" si="9"/>
        <v>150</v>
      </c>
      <c r="C173" s="211" t="s">
        <v>3</v>
      </c>
      <c r="D173" s="211">
        <f t="shared" si="10"/>
        <v>300</v>
      </c>
      <c r="E173" s="211" t="s">
        <v>3</v>
      </c>
      <c r="F173" s="209">
        <f t="shared" si="11"/>
        <v>1500</v>
      </c>
      <c r="G173" s="211" t="s">
        <v>3</v>
      </c>
      <c r="H173" s="208">
        <v>4</v>
      </c>
      <c r="I173" s="210" t="s">
        <v>530</v>
      </c>
      <c r="J173" s="103">
        <v>150</v>
      </c>
      <c r="K173" s="66">
        <v>300</v>
      </c>
      <c r="L173" s="66">
        <v>1500</v>
      </c>
      <c r="M173" s="164">
        <v>23.314624287314999</v>
      </c>
      <c r="N173" s="78">
        <v>7227.2420220000004</v>
      </c>
      <c r="O173" s="113">
        <v>62635.724988050504</v>
      </c>
      <c r="P173" s="113">
        <v>75281.276136523098</v>
      </c>
      <c r="Q173" s="110">
        <v>20377.895086956549</v>
      </c>
      <c r="R173" s="113">
        <v>83013.620075007057</v>
      </c>
      <c r="S173" s="113">
        <v>95659.171223479643</v>
      </c>
      <c r="U173" s="7" t="s">
        <v>7337</v>
      </c>
    </row>
    <row r="174" spans="1:21" ht="16.5" thickBot="1">
      <c r="A174" s="207" t="s">
        <v>10</v>
      </c>
      <c r="B174" s="211">
        <f t="shared" si="9"/>
        <v>150</v>
      </c>
      <c r="C174" s="211" t="s">
        <v>3</v>
      </c>
      <c r="D174" s="211">
        <f t="shared" si="10"/>
        <v>300</v>
      </c>
      <c r="E174" s="211" t="s">
        <v>3</v>
      </c>
      <c r="F174" s="209">
        <f t="shared" si="11"/>
        <v>1550</v>
      </c>
      <c r="G174" s="211" t="s">
        <v>3</v>
      </c>
      <c r="H174" s="208">
        <v>4</v>
      </c>
      <c r="I174" s="210" t="s">
        <v>530</v>
      </c>
      <c r="J174" s="103">
        <v>150</v>
      </c>
      <c r="K174" s="66">
        <v>300</v>
      </c>
      <c r="L174" s="66">
        <v>1550</v>
      </c>
      <c r="M174" s="164">
        <v>23.972766774850001</v>
      </c>
      <c r="N174" s="78">
        <v>7541.4699360000004</v>
      </c>
      <c r="O174" s="113">
        <v>64075.701833646592</v>
      </c>
      <c r="P174" s="113">
        <v>77063.742785126829</v>
      </c>
      <c r="Q174" s="110">
        <v>20901.536719928292</v>
      </c>
      <c r="R174" s="113">
        <v>84977.238553574891</v>
      </c>
      <c r="S174" s="113">
        <v>97965.279505055121</v>
      </c>
      <c r="U174" s="7" t="s">
        <v>7338</v>
      </c>
    </row>
    <row r="175" spans="1:21" ht="16.5" thickBot="1">
      <c r="A175" s="207" t="s">
        <v>10</v>
      </c>
      <c r="B175" s="208">
        <f t="shared" si="9"/>
        <v>150</v>
      </c>
      <c r="C175" s="208" t="s">
        <v>3</v>
      </c>
      <c r="D175" s="208">
        <f t="shared" si="10"/>
        <v>300</v>
      </c>
      <c r="E175" s="208" t="s">
        <v>3</v>
      </c>
      <c r="F175" s="209">
        <f t="shared" si="11"/>
        <v>1600</v>
      </c>
      <c r="G175" s="208" t="s">
        <v>3</v>
      </c>
      <c r="H175" s="208">
        <v>4</v>
      </c>
      <c r="I175" s="210" t="s">
        <v>530</v>
      </c>
      <c r="J175" s="103">
        <v>150</v>
      </c>
      <c r="K175" s="66">
        <v>300</v>
      </c>
      <c r="L175" s="66">
        <v>1600</v>
      </c>
      <c r="M175" s="164">
        <v>24.630909262384996</v>
      </c>
      <c r="N175" s="78">
        <v>7855.6978500000005</v>
      </c>
      <c r="O175" s="113">
        <v>67636.863746119256</v>
      </c>
      <c r="P175" s="113">
        <v>81019.18570584424</v>
      </c>
      <c r="Q175" s="110">
        <v>21425.178352900039</v>
      </c>
      <c r="R175" s="113">
        <v>89062.042099019294</v>
      </c>
      <c r="S175" s="113">
        <v>102444.36405874428</v>
      </c>
      <c r="U175" s="7" t="s">
        <v>7339</v>
      </c>
    </row>
    <row r="176" spans="1:21" ht="16.5" thickBot="1">
      <c r="A176" s="207" t="s">
        <v>10</v>
      </c>
      <c r="B176" s="211">
        <f t="shared" si="9"/>
        <v>150</v>
      </c>
      <c r="C176" s="211" t="s">
        <v>3</v>
      </c>
      <c r="D176" s="211">
        <f t="shared" si="10"/>
        <v>300</v>
      </c>
      <c r="E176" s="211" t="s">
        <v>3</v>
      </c>
      <c r="F176" s="209">
        <f t="shared" si="11"/>
        <v>1650</v>
      </c>
      <c r="G176" s="211" t="s">
        <v>3</v>
      </c>
      <c r="H176" s="208">
        <v>4</v>
      </c>
      <c r="I176" s="210" t="s">
        <v>530</v>
      </c>
      <c r="J176" s="103">
        <v>150</v>
      </c>
      <c r="K176" s="66">
        <v>300</v>
      </c>
      <c r="L176" s="66">
        <v>1650</v>
      </c>
      <c r="M176" s="164">
        <v>25.30609174992</v>
      </c>
      <c r="N176" s="78">
        <v>8169.9257640000014</v>
      </c>
      <c r="O176" s="113">
        <v>71472.98925875331</v>
      </c>
      <c r="P176" s="113">
        <v>85256.305641497107</v>
      </c>
      <c r="Q176" s="110">
        <v>22200.154276684319</v>
      </c>
      <c r="R176" s="113">
        <v>93673.14353543763</v>
      </c>
      <c r="S176" s="113">
        <v>107456.45991818143</v>
      </c>
      <c r="U176" s="7" t="s">
        <v>7340</v>
      </c>
    </row>
    <row r="177" spans="1:21" ht="16.5" thickBot="1">
      <c r="A177" s="207" t="s">
        <v>10</v>
      </c>
      <c r="B177" s="211">
        <f t="shared" si="9"/>
        <v>150</v>
      </c>
      <c r="C177" s="211" t="s">
        <v>3</v>
      </c>
      <c r="D177" s="211">
        <f t="shared" si="10"/>
        <v>300</v>
      </c>
      <c r="E177" s="211" t="s">
        <v>3</v>
      </c>
      <c r="F177" s="209">
        <f t="shared" si="11"/>
        <v>1700</v>
      </c>
      <c r="G177" s="211" t="s">
        <v>3</v>
      </c>
      <c r="H177" s="208">
        <v>4</v>
      </c>
      <c r="I177" s="210" t="s">
        <v>530</v>
      </c>
      <c r="J177" s="103">
        <v>150</v>
      </c>
      <c r="K177" s="66">
        <v>300</v>
      </c>
      <c r="L177" s="66">
        <v>1700</v>
      </c>
      <c r="M177" s="164">
        <v>26.826234237455001</v>
      </c>
      <c r="N177" s="78">
        <v>8484.1536780000024</v>
      </c>
      <c r="O177" s="113">
        <v>72689.355376890846</v>
      </c>
      <c r="P177" s="113">
        <v>86809.701950798073</v>
      </c>
      <c r="Q177" s="110">
        <v>22723.795909656066</v>
      </c>
      <c r="R177" s="113">
        <v>95413.151286546912</v>
      </c>
      <c r="S177" s="113">
        <v>109533.49786045414</v>
      </c>
      <c r="U177" s="7" t="s">
        <v>7341</v>
      </c>
    </row>
    <row r="178" spans="1:21" ht="16.5" thickBot="1">
      <c r="A178" s="207" t="s">
        <v>10</v>
      </c>
      <c r="B178" s="211">
        <f t="shared" si="9"/>
        <v>150</v>
      </c>
      <c r="C178" s="211" t="s">
        <v>3</v>
      </c>
      <c r="D178" s="211">
        <f t="shared" si="10"/>
        <v>300</v>
      </c>
      <c r="E178" s="211" t="s">
        <v>3</v>
      </c>
      <c r="F178" s="209">
        <f t="shared" si="11"/>
        <v>1750</v>
      </c>
      <c r="G178" s="211" t="s">
        <v>3</v>
      </c>
      <c r="H178" s="208">
        <v>4</v>
      </c>
      <c r="I178" s="210" t="s">
        <v>530</v>
      </c>
      <c r="J178" s="103">
        <v>150</v>
      </c>
      <c r="K178" s="66">
        <v>300</v>
      </c>
      <c r="L178" s="66">
        <v>1750</v>
      </c>
      <c r="M178" s="164">
        <v>27.501416724990001</v>
      </c>
      <c r="N178" s="78">
        <v>8798.3815919999997</v>
      </c>
      <c r="O178" s="113">
        <v>73822.713964235765</v>
      </c>
      <c r="P178" s="113">
        <v>88278.064001038205</v>
      </c>
      <c r="Q178" s="110">
        <v>23498.771833440347</v>
      </c>
      <c r="R178" s="113">
        <v>97321.485797676112</v>
      </c>
      <c r="S178" s="113">
        <v>111776.83583447855</v>
      </c>
      <c r="U178" s="7" t="s">
        <v>7342</v>
      </c>
    </row>
    <row r="179" spans="1:21" ht="16.5" thickBot="1">
      <c r="A179" s="207" t="s">
        <v>10</v>
      </c>
      <c r="B179" s="211">
        <f t="shared" si="9"/>
        <v>150</v>
      </c>
      <c r="C179" s="211" t="s">
        <v>3</v>
      </c>
      <c r="D179" s="211">
        <f t="shared" si="10"/>
        <v>300</v>
      </c>
      <c r="E179" s="211" t="s">
        <v>3</v>
      </c>
      <c r="F179" s="209">
        <f t="shared" si="11"/>
        <v>1800</v>
      </c>
      <c r="G179" s="211" t="s">
        <v>3</v>
      </c>
      <c r="H179" s="208">
        <v>4</v>
      </c>
      <c r="I179" s="210" t="s">
        <v>530</v>
      </c>
      <c r="J179" s="103">
        <v>150</v>
      </c>
      <c r="K179" s="66">
        <v>300</v>
      </c>
      <c r="L179" s="66">
        <v>1800</v>
      </c>
      <c r="M179" s="164">
        <v>28.159559212525004</v>
      </c>
      <c r="N179" s="78">
        <v>9112.6095060000007</v>
      </c>
      <c r="O179" s="113">
        <v>75039.83932694004</v>
      </c>
      <c r="P179" s="113">
        <v>89832.238071386484</v>
      </c>
      <c r="Q179" s="110">
        <v>24022.413466412094</v>
      </c>
      <c r="R179" s="113">
        <v>99062.252793352134</v>
      </c>
      <c r="S179" s="113">
        <v>113854.65153779858</v>
      </c>
      <c r="U179" s="7" t="s">
        <v>7343</v>
      </c>
    </row>
    <row r="180" spans="1:21" ht="16.5" thickBot="1">
      <c r="A180" s="207" t="s">
        <v>10</v>
      </c>
      <c r="B180" s="211">
        <f t="shared" si="9"/>
        <v>150</v>
      </c>
      <c r="C180" s="211" t="s">
        <v>3</v>
      </c>
      <c r="D180" s="211">
        <f t="shared" si="10"/>
        <v>300</v>
      </c>
      <c r="E180" s="211" t="s">
        <v>3</v>
      </c>
      <c r="F180" s="209">
        <f t="shared" si="11"/>
        <v>1850</v>
      </c>
      <c r="G180" s="211" t="s">
        <v>3</v>
      </c>
      <c r="H180" s="208">
        <v>4</v>
      </c>
      <c r="I180" s="210" t="s">
        <v>530</v>
      </c>
      <c r="J180" s="103">
        <v>150</v>
      </c>
      <c r="K180" s="66">
        <v>300</v>
      </c>
      <c r="L180" s="66">
        <v>1850</v>
      </c>
      <c r="M180" s="164">
        <v>28.834741700060007</v>
      </c>
      <c r="N180" s="78">
        <v>9426.8374200000017</v>
      </c>
      <c r="O180" s="113">
        <v>76256.912269640845</v>
      </c>
      <c r="P180" s="113">
        <v>91386.358630636169</v>
      </c>
      <c r="Q180" s="110">
        <v>24797.389237167612</v>
      </c>
      <c r="R180" s="113">
        <v>101054.30150680846</v>
      </c>
      <c r="S180" s="113">
        <v>116183.74786780379</v>
      </c>
      <c r="U180" s="7" t="s">
        <v>7344</v>
      </c>
    </row>
    <row r="181" spans="1:21" ht="16.5" thickBot="1">
      <c r="A181" s="207" t="s">
        <v>10</v>
      </c>
      <c r="B181" s="211">
        <f t="shared" si="9"/>
        <v>150</v>
      </c>
      <c r="C181" s="211" t="s">
        <v>3</v>
      </c>
      <c r="D181" s="211">
        <f t="shared" si="10"/>
        <v>300</v>
      </c>
      <c r="E181" s="211" t="s">
        <v>3</v>
      </c>
      <c r="F181" s="209">
        <f t="shared" si="11"/>
        <v>1900</v>
      </c>
      <c r="G181" s="211" t="s">
        <v>3</v>
      </c>
      <c r="H181" s="208">
        <v>4</v>
      </c>
      <c r="I181" s="210" t="s">
        <v>530</v>
      </c>
      <c r="J181" s="103">
        <v>150</v>
      </c>
      <c r="K181" s="66">
        <v>300</v>
      </c>
      <c r="L181" s="66">
        <v>1900</v>
      </c>
      <c r="M181" s="164">
        <v>29.492884187595003</v>
      </c>
      <c r="N181" s="78">
        <v>9741.0653340000026</v>
      </c>
      <c r="O181" s="113">
        <v>77664.79454535601</v>
      </c>
      <c r="P181" s="113">
        <v>93135.947120976314</v>
      </c>
      <c r="Q181" s="110">
        <v>25321.031023168125</v>
      </c>
      <c r="R181" s="113">
        <v>102985.82556852413</v>
      </c>
      <c r="S181" s="113">
        <v>118456.97814414444</v>
      </c>
      <c r="U181" s="7" t="s">
        <v>7345</v>
      </c>
    </row>
    <row r="182" spans="1:21" ht="16.5" thickBot="1">
      <c r="A182" s="207" t="s">
        <v>10</v>
      </c>
      <c r="B182" s="211">
        <f t="shared" si="9"/>
        <v>150</v>
      </c>
      <c r="C182" s="211" t="s">
        <v>3</v>
      </c>
      <c r="D182" s="211">
        <f t="shared" si="10"/>
        <v>300</v>
      </c>
      <c r="E182" s="211" t="s">
        <v>3</v>
      </c>
      <c r="F182" s="209">
        <f t="shared" si="11"/>
        <v>1950</v>
      </c>
      <c r="G182" s="211" t="s">
        <v>3</v>
      </c>
      <c r="H182" s="208">
        <v>4</v>
      </c>
      <c r="I182" s="210" t="s">
        <v>530</v>
      </c>
      <c r="J182" s="103">
        <v>150</v>
      </c>
      <c r="K182" s="66">
        <v>300</v>
      </c>
      <c r="L182" s="66">
        <v>1950</v>
      </c>
      <c r="M182" s="164">
        <v>30.308026675130002</v>
      </c>
      <c r="N182" s="78">
        <v>10055.293248000002</v>
      </c>
      <c r="O182" s="113">
        <v>79272.633379658</v>
      </c>
      <c r="P182" s="113">
        <v>95090.374388913784</v>
      </c>
      <c r="Q182" s="110">
        <v>25844.672656139872</v>
      </c>
      <c r="R182" s="113">
        <v>105117.30603579787</v>
      </c>
      <c r="S182" s="113">
        <v>120935.04704505365</v>
      </c>
      <c r="U182" s="7" t="s">
        <v>7346</v>
      </c>
    </row>
    <row r="183" spans="1:21" ht="16.5" thickBot="1">
      <c r="A183" s="207" t="s">
        <v>10</v>
      </c>
      <c r="B183" s="211">
        <f t="shared" si="9"/>
        <v>150</v>
      </c>
      <c r="C183" s="211" t="s">
        <v>3</v>
      </c>
      <c r="D183" s="211">
        <f t="shared" si="10"/>
        <v>300</v>
      </c>
      <c r="E183" s="211" t="s">
        <v>3</v>
      </c>
      <c r="F183" s="209">
        <f t="shared" si="11"/>
        <v>2000</v>
      </c>
      <c r="G183" s="211" t="s">
        <v>3</v>
      </c>
      <c r="H183" s="208">
        <v>4</v>
      </c>
      <c r="I183" s="210" t="s">
        <v>530</v>
      </c>
      <c r="J183" s="103">
        <v>150</v>
      </c>
      <c r="K183" s="66">
        <v>300</v>
      </c>
      <c r="L183" s="66">
        <v>2000</v>
      </c>
      <c r="M183" s="164">
        <v>31.074771562665006</v>
      </c>
      <c r="N183" s="78">
        <v>10369.521162000001</v>
      </c>
      <c r="O183" s="113">
        <v>80714.553537542408</v>
      </c>
      <c r="P183" s="113">
        <v>97101.730349912265</v>
      </c>
      <c r="Q183" s="110">
        <v>26619.648426895383</v>
      </c>
      <c r="R183" s="113">
        <v>107334.20196443779</v>
      </c>
      <c r="S183" s="113">
        <v>123721.37877680764</v>
      </c>
      <c r="U183" s="7" t="s">
        <v>7347</v>
      </c>
    </row>
    <row r="184" spans="1:21" ht="16.5" thickBot="1">
      <c r="A184" s="207" t="s">
        <v>10</v>
      </c>
      <c r="B184" s="211">
        <f t="shared" si="9"/>
        <v>150</v>
      </c>
      <c r="C184" s="211" t="s">
        <v>3</v>
      </c>
      <c r="D184" s="211">
        <f t="shared" si="10"/>
        <v>300</v>
      </c>
      <c r="E184" s="211" t="s">
        <v>3</v>
      </c>
      <c r="F184" s="209">
        <f t="shared" si="11"/>
        <v>2050</v>
      </c>
      <c r="G184" s="211" t="s">
        <v>3</v>
      </c>
      <c r="H184" s="208">
        <v>4</v>
      </c>
      <c r="I184" s="210" t="s">
        <v>530</v>
      </c>
      <c r="J184" s="103">
        <v>150</v>
      </c>
      <c r="K184" s="66">
        <v>300</v>
      </c>
      <c r="L184" s="66">
        <v>2050</v>
      </c>
      <c r="M184" s="164">
        <v>32.594914050200003</v>
      </c>
      <c r="N184" s="78">
        <v>10683.749076000002</v>
      </c>
      <c r="O184" s="113">
        <v>84268.554071076258</v>
      </c>
      <c r="P184" s="113">
        <v>101049.83698440317</v>
      </c>
      <c r="Q184" s="110">
        <v>27143.290212895896</v>
      </c>
      <c r="R184" s="113">
        <v>111411.84428397215</v>
      </c>
      <c r="S184" s="113">
        <v>128193.12719729907</v>
      </c>
      <c r="U184" s="7" t="s">
        <v>7348</v>
      </c>
    </row>
    <row r="185" spans="1:21" ht="16.5" thickBot="1">
      <c r="A185" s="207" t="s">
        <v>10</v>
      </c>
      <c r="B185" s="208">
        <f t="shared" si="9"/>
        <v>150</v>
      </c>
      <c r="C185" s="208" t="s">
        <v>3</v>
      </c>
      <c r="D185" s="208">
        <f t="shared" si="10"/>
        <v>300</v>
      </c>
      <c r="E185" s="208" t="s">
        <v>3</v>
      </c>
      <c r="F185" s="209">
        <f t="shared" si="11"/>
        <v>2100</v>
      </c>
      <c r="G185" s="208" t="s">
        <v>3</v>
      </c>
      <c r="H185" s="208">
        <v>4</v>
      </c>
      <c r="I185" s="210" t="s">
        <v>530</v>
      </c>
      <c r="J185" s="103">
        <v>150</v>
      </c>
      <c r="K185" s="66">
        <v>300</v>
      </c>
      <c r="L185" s="66">
        <v>2100</v>
      </c>
      <c r="M185" s="164">
        <v>33.270096537735</v>
      </c>
      <c r="N185" s="78">
        <v>10997.976990000003</v>
      </c>
      <c r="O185" s="113">
        <v>85553.130710682832</v>
      </c>
      <c r="P185" s="113">
        <v>102673.10911092215</v>
      </c>
      <c r="Q185" s="110">
        <v>27918.265983651414</v>
      </c>
      <c r="R185" s="113">
        <v>113471.39669433425</v>
      </c>
      <c r="S185" s="113">
        <v>130591.37509457357</v>
      </c>
      <c r="U185" s="7" t="s">
        <v>7349</v>
      </c>
    </row>
    <row r="186" spans="1:21" ht="16.5" thickBot="1">
      <c r="A186" s="207" t="s">
        <v>10</v>
      </c>
      <c r="B186" s="211">
        <f t="shared" si="9"/>
        <v>150</v>
      </c>
      <c r="C186" s="211" t="s">
        <v>3</v>
      </c>
      <c r="D186" s="211">
        <f t="shared" si="10"/>
        <v>300</v>
      </c>
      <c r="E186" s="211" t="s">
        <v>3</v>
      </c>
      <c r="F186" s="209">
        <f t="shared" si="11"/>
        <v>2150</v>
      </c>
      <c r="G186" s="211" t="s">
        <v>3</v>
      </c>
      <c r="H186" s="208">
        <v>4</v>
      </c>
      <c r="I186" s="210" t="s">
        <v>530</v>
      </c>
      <c r="J186" s="103">
        <v>150</v>
      </c>
      <c r="K186" s="66">
        <v>300</v>
      </c>
      <c r="L186" s="66">
        <v>2150</v>
      </c>
      <c r="M186" s="164">
        <v>33.92823902527001</v>
      </c>
      <c r="N186" s="78">
        <v>11312.204904000002</v>
      </c>
      <c r="O186" s="113">
        <v>86998.61009575233</v>
      </c>
      <c r="P186" s="113">
        <v>104461.21278373867</v>
      </c>
      <c r="Q186" s="110">
        <v>28441.907769651927</v>
      </c>
      <c r="R186" s="113">
        <v>115440.51786540425</v>
      </c>
      <c r="S186" s="113">
        <v>132903.12055339059</v>
      </c>
      <c r="U186" s="7" t="s">
        <v>7350</v>
      </c>
    </row>
    <row r="187" spans="1:21" ht="16.5" thickBot="1">
      <c r="A187" s="207" t="s">
        <v>10</v>
      </c>
      <c r="B187" s="211">
        <f t="shared" si="9"/>
        <v>150</v>
      </c>
      <c r="C187" s="211" t="s">
        <v>3</v>
      </c>
      <c r="D187" s="211">
        <f t="shared" si="10"/>
        <v>300</v>
      </c>
      <c r="E187" s="211" t="s">
        <v>3</v>
      </c>
      <c r="F187" s="209">
        <f t="shared" si="11"/>
        <v>2200</v>
      </c>
      <c r="G187" s="211" t="s">
        <v>3</v>
      </c>
      <c r="H187" s="208">
        <v>4</v>
      </c>
      <c r="I187" s="210" t="s">
        <v>530</v>
      </c>
      <c r="J187" s="103">
        <v>150</v>
      </c>
      <c r="K187" s="66">
        <v>300</v>
      </c>
      <c r="L187" s="66">
        <v>2200</v>
      </c>
      <c r="M187" s="164">
        <v>34.603421512804999</v>
      </c>
      <c r="N187" s="78">
        <v>11626.432818000001</v>
      </c>
      <c r="O187" s="113">
        <v>88444.037060818329</v>
      </c>
      <c r="P187" s="113">
        <v>106249.26280313983</v>
      </c>
      <c r="Q187" s="110">
        <v>29216.883540407438</v>
      </c>
      <c r="R187" s="113">
        <v>117660.92060122576</v>
      </c>
      <c r="S187" s="113">
        <v>135466.14634354727</v>
      </c>
      <c r="U187" s="7" t="s">
        <v>7351</v>
      </c>
    </row>
    <row r="188" spans="1:21" ht="16.5" thickBot="1">
      <c r="A188" s="207" t="s">
        <v>10</v>
      </c>
      <c r="B188" s="211">
        <f t="shared" si="9"/>
        <v>150</v>
      </c>
      <c r="C188" s="211" t="s">
        <v>3</v>
      </c>
      <c r="D188" s="211">
        <f t="shared" si="10"/>
        <v>300</v>
      </c>
      <c r="E188" s="211" t="s">
        <v>3</v>
      </c>
      <c r="F188" s="209">
        <f t="shared" si="11"/>
        <v>2250</v>
      </c>
      <c r="G188" s="211" t="s">
        <v>3</v>
      </c>
      <c r="H188" s="208">
        <v>4</v>
      </c>
      <c r="I188" s="210" t="s">
        <v>530</v>
      </c>
      <c r="J188" s="103">
        <v>150</v>
      </c>
      <c r="K188" s="66">
        <v>300</v>
      </c>
      <c r="L188" s="66">
        <v>2250</v>
      </c>
      <c r="M188" s="164">
        <v>35.261564000340002</v>
      </c>
      <c r="N188" s="78">
        <v>11940.660732000002</v>
      </c>
      <c r="O188" s="113">
        <v>90237.840215007847</v>
      </c>
      <c r="P188" s="113">
        <v>108394.19484777363</v>
      </c>
      <c r="Q188" s="110">
        <v>29740.525173379188</v>
      </c>
      <c r="R188" s="113">
        <v>119978.36538838703</v>
      </c>
      <c r="S188" s="113">
        <v>138134.72002115281</v>
      </c>
      <c r="U188" s="7" t="s">
        <v>7352</v>
      </c>
    </row>
    <row r="189" spans="1:21" ht="16.5" thickBot="1">
      <c r="A189" s="207" t="s">
        <v>10</v>
      </c>
      <c r="B189" s="211">
        <f t="shared" si="9"/>
        <v>150</v>
      </c>
      <c r="C189" s="211" t="s">
        <v>3</v>
      </c>
      <c r="D189" s="211">
        <f t="shared" si="10"/>
        <v>300</v>
      </c>
      <c r="E189" s="211" t="s">
        <v>3</v>
      </c>
      <c r="F189" s="209">
        <f t="shared" si="11"/>
        <v>2300</v>
      </c>
      <c r="G189" s="211" t="s">
        <v>3</v>
      </c>
      <c r="H189" s="208">
        <v>4</v>
      </c>
      <c r="I189" s="210" t="s">
        <v>530</v>
      </c>
      <c r="J189" s="103">
        <v>150</v>
      </c>
      <c r="K189" s="66">
        <v>300</v>
      </c>
      <c r="L189" s="66">
        <v>2300</v>
      </c>
      <c r="M189" s="164">
        <v>35.919706487875004</v>
      </c>
      <c r="N189" s="78">
        <v>12254.888646000001</v>
      </c>
      <c r="O189" s="113">
        <v>91418.500246150332</v>
      </c>
      <c r="P189" s="113">
        <v>109911.0133325373</v>
      </c>
      <c r="Q189" s="110">
        <v>30264.166959379701</v>
      </c>
      <c r="R189" s="113">
        <v>121682.66720553003</v>
      </c>
      <c r="S189" s="113">
        <v>140175.180291917</v>
      </c>
      <c r="U189" s="7" t="s">
        <v>7353</v>
      </c>
    </row>
    <row r="190" spans="1:21" ht="16.5" thickBot="1">
      <c r="A190" s="207" t="s">
        <v>10</v>
      </c>
      <c r="B190" s="211">
        <f t="shared" si="9"/>
        <v>150</v>
      </c>
      <c r="C190" s="211" t="s">
        <v>3</v>
      </c>
      <c r="D190" s="211">
        <f t="shared" si="10"/>
        <v>300</v>
      </c>
      <c r="E190" s="211" t="s">
        <v>3</v>
      </c>
      <c r="F190" s="209">
        <f t="shared" si="11"/>
        <v>2350</v>
      </c>
      <c r="G190" s="211" t="s">
        <v>3</v>
      </c>
      <c r="H190" s="208">
        <v>4</v>
      </c>
      <c r="I190" s="210" t="s">
        <v>530</v>
      </c>
      <c r="J190" s="103">
        <v>150</v>
      </c>
      <c r="K190" s="66">
        <v>300</v>
      </c>
      <c r="L190" s="66">
        <v>2350</v>
      </c>
      <c r="M190" s="164">
        <v>36.594888975410001</v>
      </c>
      <c r="N190" s="78">
        <v>12569.116560000002</v>
      </c>
      <c r="O190" s="113">
        <v>92599.107857289375</v>
      </c>
      <c r="P190" s="113">
        <v>111427.77802156887</v>
      </c>
      <c r="Q190" s="110">
        <v>31039.142730135216</v>
      </c>
      <c r="R190" s="113">
        <v>123638.25058742458</v>
      </c>
      <c r="S190" s="113">
        <v>142466.92075170408</v>
      </c>
      <c r="U190" s="7" t="s">
        <v>7354</v>
      </c>
    </row>
    <row r="191" spans="1:21" ht="16.5" thickBot="1">
      <c r="A191" s="207" t="s">
        <v>10</v>
      </c>
      <c r="B191" s="211">
        <f t="shared" si="9"/>
        <v>150</v>
      </c>
      <c r="C191" s="211" t="s">
        <v>3</v>
      </c>
      <c r="D191" s="211">
        <f t="shared" si="10"/>
        <v>300</v>
      </c>
      <c r="E191" s="211" t="s">
        <v>3</v>
      </c>
      <c r="F191" s="209">
        <f t="shared" si="11"/>
        <v>2400</v>
      </c>
      <c r="G191" s="211" t="s">
        <v>3</v>
      </c>
      <c r="H191" s="208">
        <v>4</v>
      </c>
      <c r="I191" s="210" t="s">
        <v>530</v>
      </c>
      <c r="J191" s="103">
        <v>150</v>
      </c>
      <c r="K191" s="66">
        <v>300</v>
      </c>
      <c r="L191" s="66">
        <v>2400</v>
      </c>
      <c r="M191" s="164">
        <v>37.253031462945003</v>
      </c>
      <c r="N191" s="78">
        <v>12883.344474000001</v>
      </c>
      <c r="O191" s="113">
        <v>93779.663048424889</v>
      </c>
      <c r="P191" s="113">
        <v>112944.4890571851</v>
      </c>
      <c r="Q191" s="110">
        <v>31562.784363106966</v>
      </c>
      <c r="R191" s="113">
        <v>125342.44741153186</v>
      </c>
      <c r="S191" s="113">
        <v>144507.27342029207</v>
      </c>
      <c r="U191" s="7" t="s">
        <v>7355</v>
      </c>
    </row>
    <row r="192" spans="1:21" ht="16.5" thickBot="1">
      <c r="A192" s="207" t="s">
        <v>10</v>
      </c>
      <c r="B192" s="211">
        <f t="shared" si="9"/>
        <v>150</v>
      </c>
      <c r="C192" s="211" t="s">
        <v>3</v>
      </c>
      <c r="D192" s="211">
        <f t="shared" si="10"/>
        <v>300</v>
      </c>
      <c r="E192" s="211" t="s">
        <v>3</v>
      </c>
      <c r="F192" s="209">
        <f t="shared" si="11"/>
        <v>2450</v>
      </c>
      <c r="G192" s="211" t="s">
        <v>3</v>
      </c>
      <c r="H192" s="208">
        <v>4</v>
      </c>
      <c r="I192" s="210" t="s">
        <v>530</v>
      </c>
      <c r="J192" s="103">
        <v>150</v>
      </c>
      <c r="K192" s="66">
        <v>300</v>
      </c>
      <c r="L192" s="66">
        <v>2450</v>
      </c>
      <c r="M192" s="164">
        <v>38.719665147779999</v>
      </c>
      <c r="N192" s="78">
        <v>13197.572388000002</v>
      </c>
      <c r="O192" s="113">
        <v>95559.667254548345</v>
      </c>
      <c r="P192" s="113">
        <v>115252.86434820491</v>
      </c>
      <c r="Q192" s="110">
        <v>32337.760286891244</v>
      </c>
      <c r="R192" s="113">
        <v>127897.4275414396</v>
      </c>
      <c r="S192" s="113">
        <v>147590.62463509614</v>
      </c>
      <c r="U192" s="7" t="s">
        <v>7356</v>
      </c>
    </row>
    <row r="193" spans="1:21" ht="16.5" thickBot="1">
      <c r="A193" s="207" t="s">
        <v>10</v>
      </c>
      <c r="B193" s="211">
        <f t="shared" si="9"/>
        <v>150</v>
      </c>
      <c r="C193" s="211" t="s">
        <v>3</v>
      </c>
      <c r="D193" s="211">
        <f t="shared" si="10"/>
        <v>300</v>
      </c>
      <c r="E193" s="211" t="s">
        <v>3</v>
      </c>
      <c r="F193" s="209">
        <f t="shared" si="11"/>
        <v>2500</v>
      </c>
      <c r="G193" s="211" t="s">
        <v>3</v>
      </c>
      <c r="H193" s="208">
        <v>4</v>
      </c>
      <c r="I193" s="210" t="s">
        <v>530</v>
      </c>
      <c r="J193" s="103">
        <v>150</v>
      </c>
      <c r="K193" s="66">
        <v>300</v>
      </c>
      <c r="L193" s="66">
        <v>2500</v>
      </c>
      <c r="M193" s="164">
        <v>39.377807635314994</v>
      </c>
      <c r="N193" s="78">
        <v>13511.800302000001</v>
      </c>
      <c r="O193" s="113">
        <v>96740.117605676889</v>
      </c>
      <c r="P193" s="113">
        <v>116769.4679346737</v>
      </c>
      <c r="Q193" s="110">
        <v>32861.40191986299</v>
      </c>
      <c r="R193" s="113">
        <v>129601.51952553989</v>
      </c>
      <c r="S193" s="113">
        <v>149630.86985453669</v>
      </c>
      <c r="U193" s="7" t="s">
        <v>7357</v>
      </c>
    </row>
    <row r="194" spans="1:21" ht="16.5" thickBot="1">
      <c r="A194" s="207" t="s">
        <v>10</v>
      </c>
      <c r="B194" s="211">
        <f t="shared" si="9"/>
        <v>150</v>
      </c>
      <c r="C194" s="211" t="s">
        <v>3</v>
      </c>
      <c r="D194" s="211">
        <f t="shared" si="10"/>
        <v>300</v>
      </c>
      <c r="E194" s="211" t="s">
        <v>3</v>
      </c>
      <c r="F194" s="209">
        <f t="shared" si="11"/>
        <v>2550</v>
      </c>
      <c r="G194" s="211" t="s">
        <v>3</v>
      </c>
      <c r="H194" s="208">
        <v>4</v>
      </c>
      <c r="I194" s="210" t="s">
        <v>530</v>
      </c>
      <c r="J194" s="103">
        <v>150</v>
      </c>
      <c r="K194" s="66">
        <v>300</v>
      </c>
      <c r="L194" s="66">
        <v>2550</v>
      </c>
      <c r="M194" s="164">
        <v>40.052990122850005</v>
      </c>
      <c r="N194" s="78">
        <v>13826.028216000004</v>
      </c>
      <c r="O194" s="113">
        <v>101511.34157805059</v>
      </c>
      <c r="P194" s="113">
        <v>121964.51779793321</v>
      </c>
      <c r="Q194" s="110">
        <v>33636.377843647271</v>
      </c>
      <c r="R194" s="113">
        <v>135147.71942169787</v>
      </c>
      <c r="S194" s="113">
        <v>155600.89564158049</v>
      </c>
      <c r="U194" s="7" t="s">
        <v>7358</v>
      </c>
    </row>
    <row r="195" spans="1:21" ht="16.5" thickBot="1">
      <c r="A195" s="207" t="s">
        <v>10</v>
      </c>
      <c r="B195" s="208">
        <f t="shared" si="9"/>
        <v>150</v>
      </c>
      <c r="C195" s="208" t="s">
        <v>3</v>
      </c>
      <c r="D195" s="208">
        <f t="shared" si="10"/>
        <v>300</v>
      </c>
      <c r="E195" s="208" t="s">
        <v>3</v>
      </c>
      <c r="F195" s="209">
        <f t="shared" si="11"/>
        <v>2600</v>
      </c>
      <c r="G195" s="208" t="s">
        <v>3</v>
      </c>
      <c r="H195" s="208">
        <v>4</v>
      </c>
      <c r="I195" s="210" t="s">
        <v>530</v>
      </c>
      <c r="J195" s="103">
        <v>150</v>
      </c>
      <c r="K195" s="66">
        <v>300</v>
      </c>
      <c r="L195" s="66">
        <v>2600</v>
      </c>
      <c r="M195" s="164">
        <v>40.711132610385008</v>
      </c>
      <c r="N195" s="78">
        <v>14140.256130000002</v>
      </c>
      <c r="O195" s="113">
        <v>102986.64495339557</v>
      </c>
      <c r="P195" s="113">
        <v>123783.17360402569</v>
      </c>
      <c r="Q195" s="110">
        <v>34160.019476619018</v>
      </c>
      <c r="R195" s="113">
        <v>137146.66443001459</v>
      </c>
      <c r="S195" s="113">
        <v>157943.19308064471</v>
      </c>
      <c r="U195" s="7" t="s">
        <v>7359</v>
      </c>
    </row>
    <row r="196" spans="1:21" ht="16.5" thickBot="1">
      <c r="A196" s="207" t="s">
        <v>10</v>
      </c>
      <c r="B196" s="211">
        <f t="shared" si="9"/>
        <v>150</v>
      </c>
      <c r="C196" s="211" t="s">
        <v>3</v>
      </c>
      <c r="D196" s="211">
        <f t="shared" si="10"/>
        <v>300</v>
      </c>
      <c r="E196" s="211" t="s">
        <v>3</v>
      </c>
      <c r="F196" s="209">
        <f t="shared" si="11"/>
        <v>2650</v>
      </c>
      <c r="G196" s="211" t="s">
        <v>3</v>
      </c>
      <c r="H196" s="208">
        <v>4</v>
      </c>
      <c r="I196" s="210" t="s">
        <v>530</v>
      </c>
      <c r="J196" s="103">
        <v>150</v>
      </c>
      <c r="K196" s="66">
        <v>300</v>
      </c>
      <c r="L196" s="66">
        <v>2650</v>
      </c>
      <c r="M196" s="164">
        <v>41.386315097920004</v>
      </c>
      <c r="N196" s="78">
        <v>14454.484044000001</v>
      </c>
      <c r="O196" s="113">
        <v>103992.57259343882</v>
      </c>
      <c r="P196" s="113">
        <v>125120.99347914042</v>
      </c>
      <c r="Q196" s="110">
        <v>34934.995247374536</v>
      </c>
      <c r="R196" s="113">
        <v>138927.56784081337</v>
      </c>
      <c r="S196" s="113">
        <v>160055.98872651497</v>
      </c>
      <c r="U196" s="7" t="s">
        <v>7360</v>
      </c>
    </row>
    <row r="197" spans="1:21" ht="16.5" thickBot="1">
      <c r="A197" s="207" t="s">
        <v>10</v>
      </c>
      <c r="B197" s="211">
        <f t="shared" si="9"/>
        <v>150</v>
      </c>
      <c r="C197" s="211" t="s">
        <v>3</v>
      </c>
      <c r="D197" s="211">
        <f t="shared" si="10"/>
        <v>300</v>
      </c>
      <c r="E197" s="211" t="s">
        <v>3</v>
      </c>
      <c r="F197" s="209">
        <f t="shared" si="11"/>
        <v>2700</v>
      </c>
      <c r="G197" s="211" t="s">
        <v>3</v>
      </c>
      <c r="H197" s="208">
        <v>4</v>
      </c>
      <c r="I197" s="210" t="s">
        <v>530</v>
      </c>
      <c r="J197" s="103">
        <v>150</v>
      </c>
      <c r="K197" s="66">
        <v>300</v>
      </c>
      <c r="L197" s="66">
        <v>2700</v>
      </c>
      <c r="M197" s="164">
        <v>42.201457585455003</v>
      </c>
      <c r="N197" s="78">
        <v>14768.711958000004</v>
      </c>
      <c r="O197" s="113">
        <v>105063.43873215238</v>
      </c>
      <c r="P197" s="113">
        <v>126525.33718502351</v>
      </c>
      <c r="Q197" s="110">
        <v>35458.637033375046</v>
      </c>
      <c r="R197" s="113">
        <v>140522.07576552744</v>
      </c>
      <c r="S197" s="113">
        <v>161983.97421839857</v>
      </c>
      <c r="U197" s="7" t="s">
        <v>7361</v>
      </c>
    </row>
    <row r="198" spans="1:21" ht="16.5" thickBot="1">
      <c r="A198" s="207" t="s">
        <v>10</v>
      </c>
      <c r="B198" s="211">
        <f t="shared" si="9"/>
        <v>150</v>
      </c>
      <c r="C198" s="211" t="s">
        <v>3</v>
      </c>
      <c r="D198" s="211">
        <f t="shared" si="10"/>
        <v>300</v>
      </c>
      <c r="E198" s="211" t="s">
        <v>3</v>
      </c>
      <c r="F198" s="209">
        <f t="shared" si="11"/>
        <v>2750</v>
      </c>
      <c r="G198" s="211" t="s">
        <v>3</v>
      </c>
      <c r="H198" s="208">
        <v>4</v>
      </c>
      <c r="I198" s="210" t="s">
        <v>530</v>
      </c>
      <c r="J198" s="103">
        <v>150</v>
      </c>
      <c r="K198" s="66">
        <v>300</v>
      </c>
      <c r="L198" s="66">
        <v>2750</v>
      </c>
      <c r="M198" s="164">
        <v>42.859600072990006</v>
      </c>
      <c r="N198" s="78">
        <v>15082.939872000001</v>
      </c>
      <c r="O198" s="113">
        <v>106158.37358701095</v>
      </c>
      <c r="P198" s="113">
        <v>127954.3374104322</v>
      </c>
      <c r="Q198" s="110">
        <v>35982.278666346792</v>
      </c>
      <c r="R198" s="113">
        <v>142140.65225335775</v>
      </c>
      <c r="S198" s="113">
        <v>163936.616076779</v>
      </c>
      <c r="U198" s="7" t="s">
        <v>7362</v>
      </c>
    </row>
    <row r="199" spans="1:21" ht="16.5" thickBot="1">
      <c r="A199" s="207" t="s">
        <v>10</v>
      </c>
      <c r="B199" s="211">
        <f t="shared" si="9"/>
        <v>150</v>
      </c>
      <c r="C199" s="211" t="s">
        <v>3</v>
      </c>
      <c r="D199" s="211">
        <f t="shared" si="10"/>
        <v>300</v>
      </c>
      <c r="E199" s="211" t="s">
        <v>3</v>
      </c>
      <c r="F199" s="209">
        <f t="shared" si="11"/>
        <v>2800</v>
      </c>
      <c r="G199" s="211" t="s">
        <v>3</v>
      </c>
      <c r="H199" s="208">
        <v>4</v>
      </c>
      <c r="I199" s="210" t="s">
        <v>530</v>
      </c>
      <c r="J199" s="103">
        <v>150</v>
      </c>
      <c r="K199" s="66">
        <v>300</v>
      </c>
      <c r="L199" s="66">
        <v>2800</v>
      </c>
      <c r="M199" s="164">
        <v>43.534782560524995</v>
      </c>
      <c r="N199" s="78">
        <v>15397.167786000004</v>
      </c>
      <c r="O199" s="113">
        <v>107162.95586701417</v>
      </c>
      <c r="P199" s="113">
        <v>129290.77894780801</v>
      </c>
      <c r="Q199" s="110">
        <v>36757.25443710231</v>
      </c>
      <c r="R199" s="113">
        <v>143920.21030411648</v>
      </c>
      <c r="S199" s="113">
        <v>166048.03338491032</v>
      </c>
      <c r="U199" s="7" t="s">
        <v>7363</v>
      </c>
    </row>
    <row r="200" spans="1:21" ht="16.5" thickBot="1">
      <c r="A200" s="207" t="s">
        <v>10</v>
      </c>
      <c r="B200" s="211">
        <f t="shared" si="9"/>
        <v>150</v>
      </c>
      <c r="C200" s="211" t="s">
        <v>3</v>
      </c>
      <c r="D200" s="211">
        <f t="shared" si="10"/>
        <v>300</v>
      </c>
      <c r="E200" s="211" t="s">
        <v>3</v>
      </c>
      <c r="F200" s="209">
        <f t="shared" si="11"/>
        <v>2850</v>
      </c>
      <c r="G200" s="211" t="s">
        <v>3</v>
      </c>
      <c r="H200" s="208">
        <v>4</v>
      </c>
      <c r="I200" s="210" t="s">
        <v>530</v>
      </c>
      <c r="J200" s="103">
        <v>150</v>
      </c>
      <c r="K200" s="66">
        <v>300</v>
      </c>
      <c r="L200" s="66">
        <v>2850</v>
      </c>
      <c r="M200" s="164">
        <v>45.054925048059999</v>
      </c>
      <c r="N200" s="78">
        <v>15711.395700000001</v>
      </c>
      <c r="O200" s="113">
        <v>108167.4857270139</v>
      </c>
      <c r="P200" s="113">
        <v>130627.16683176847</v>
      </c>
      <c r="Q200" s="110">
        <v>37280.89622310282</v>
      </c>
      <c r="R200" s="113">
        <v>145448.38195011672</v>
      </c>
      <c r="S200" s="113">
        <v>167908.06305487128</v>
      </c>
      <c r="U200" s="7" t="s">
        <v>7364</v>
      </c>
    </row>
    <row r="201" spans="1:21" ht="16.5" thickBot="1">
      <c r="A201" s="207" t="s">
        <v>10</v>
      </c>
      <c r="B201" s="211">
        <f t="shared" si="9"/>
        <v>150</v>
      </c>
      <c r="C201" s="211" t="s">
        <v>3</v>
      </c>
      <c r="D201" s="211">
        <f t="shared" si="10"/>
        <v>300</v>
      </c>
      <c r="E201" s="211" t="s">
        <v>3</v>
      </c>
      <c r="F201" s="209">
        <f t="shared" si="11"/>
        <v>2900</v>
      </c>
      <c r="G201" s="211" t="s">
        <v>3</v>
      </c>
      <c r="H201" s="208">
        <v>4</v>
      </c>
      <c r="I201" s="210" t="s">
        <v>530</v>
      </c>
      <c r="J201" s="103">
        <v>150</v>
      </c>
      <c r="K201" s="66">
        <v>300</v>
      </c>
      <c r="L201" s="66">
        <v>2900</v>
      </c>
      <c r="M201" s="164">
        <v>45.730107535594996</v>
      </c>
      <c r="N201" s="78">
        <v>16025.623614000002</v>
      </c>
      <c r="O201" s="113">
        <v>109171.96316701012</v>
      </c>
      <c r="P201" s="113">
        <v>131963.50091999682</v>
      </c>
      <c r="Q201" s="110">
        <v>38055.871993858338</v>
      </c>
      <c r="R201" s="113">
        <v>147227.83516086848</v>
      </c>
      <c r="S201" s="113">
        <v>170019.37291385516</v>
      </c>
      <c r="U201" s="7" t="s">
        <v>7365</v>
      </c>
    </row>
    <row r="202" spans="1:21" ht="16.5" thickBot="1">
      <c r="A202" s="207" t="s">
        <v>10</v>
      </c>
      <c r="B202" s="211">
        <f t="shared" si="9"/>
        <v>150</v>
      </c>
      <c r="C202" s="211" t="s">
        <v>3</v>
      </c>
      <c r="D202" s="211">
        <f t="shared" si="10"/>
        <v>300</v>
      </c>
      <c r="E202" s="211" t="s">
        <v>3</v>
      </c>
      <c r="F202" s="209">
        <f t="shared" si="11"/>
        <v>2950</v>
      </c>
      <c r="G202" s="211" t="s">
        <v>3</v>
      </c>
      <c r="H202" s="208">
        <v>4</v>
      </c>
      <c r="I202" s="210" t="s">
        <v>530</v>
      </c>
      <c r="J202" s="103">
        <v>150</v>
      </c>
      <c r="K202" s="66">
        <v>300</v>
      </c>
      <c r="L202" s="66">
        <v>2950</v>
      </c>
      <c r="M202" s="164">
        <v>46.388250023129999</v>
      </c>
      <c r="N202" s="78">
        <v>16339.851528000003</v>
      </c>
      <c r="O202" s="113">
        <v>110176.38818700286</v>
      </c>
      <c r="P202" s="113">
        <v>133299.78135480985</v>
      </c>
      <c r="Q202" s="110">
        <v>38579.513779858848</v>
      </c>
      <c r="R202" s="113">
        <v>148755.90196686171</v>
      </c>
      <c r="S202" s="113">
        <v>171879.2951346687</v>
      </c>
      <c r="U202" s="7" t="s">
        <v>7366</v>
      </c>
    </row>
    <row r="203" spans="1:21" ht="16.5" thickBot="1">
      <c r="A203" s="212" t="s">
        <v>10</v>
      </c>
      <c r="B203" s="213">
        <f t="shared" si="9"/>
        <v>150</v>
      </c>
      <c r="C203" s="213" t="s">
        <v>3</v>
      </c>
      <c r="D203" s="213">
        <f t="shared" si="10"/>
        <v>300</v>
      </c>
      <c r="E203" s="213" t="s">
        <v>3</v>
      </c>
      <c r="F203" s="214">
        <f t="shared" si="11"/>
        <v>3000</v>
      </c>
      <c r="G203" s="213" t="s">
        <v>3</v>
      </c>
      <c r="H203" s="215">
        <v>4</v>
      </c>
      <c r="I203" s="210" t="s">
        <v>530</v>
      </c>
      <c r="J203" s="287">
        <v>150</v>
      </c>
      <c r="K203" s="266">
        <v>300</v>
      </c>
      <c r="L203" s="266">
        <v>3000</v>
      </c>
      <c r="M203" s="281">
        <v>47.063432510664995</v>
      </c>
      <c r="N203" s="250">
        <v>16654.079442000002</v>
      </c>
      <c r="O203" s="251">
        <v>113052.11289766505</v>
      </c>
      <c r="P203" s="251">
        <v>136553.05135521007</v>
      </c>
      <c r="Q203" s="252">
        <v>39354.489550614366</v>
      </c>
      <c r="R203" s="251">
        <v>152406.60244827942</v>
      </c>
      <c r="S203" s="251">
        <v>175907.54090582445</v>
      </c>
      <c r="U203" s="7" t="s">
        <v>7367</v>
      </c>
    </row>
    <row r="204" spans="1:21" ht="22.5" customHeight="1" thickBot="1">
      <c r="A204" s="2968" t="s">
        <v>44</v>
      </c>
      <c r="B204" s="2969"/>
      <c r="C204" s="2969"/>
      <c r="D204" s="2969"/>
      <c r="E204" s="2969"/>
      <c r="F204" s="2969"/>
      <c r="G204" s="2969"/>
      <c r="H204" s="2969"/>
      <c r="I204" s="2969"/>
      <c r="J204" s="2969"/>
      <c r="K204" s="2969"/>
      <c r="L204" s="2969"/>
      <c r="M204" s="2969"/>
      <c r="N204" s="2969"/>
      <c r="O204" s="2969"/>
      <c r="P204" s="2969"/>
      <c r="Q204" s="2969"/>
      <c r="R204" s="2969"/>
      <c r="S204" s="2970"/>
      <c r="U204" s="7"/>
    </row>
    <row r="205" spans="1:21" ht="19.5" thickBot="1">
      <c r="A205" s="3015" t="s">
        <v>148</v>
      </c>
      <c r="B205" s="3016"/>
      <c r="C205" s="3016"/>
      <c r="D205" s="3016"/>
      <c r="E205" s="3016"/>
      <c r="F205" s="3016"/>
      <c r="G205" s="3016"/>
      <c r="H205" s="3016"/>
      <c r="I205" s="3016"/>
      <c r="J205" s="3016"/>
      <c r="K205" s="3016"/>
      <c r="L205" s="3016"/>
      <c r="M205" s="3016"/>
      <c r="N205" s="3016"/>
      <c r="O205" s="3016"/>
      <c r="P205" s="3016"/>
      <c r="Q205" s="3016"/>
      <c r="R205" s="3016"/>
      <c r="S205" s="3017"/>
      <c r="U205" s="7"/>
    </row>
    <row r="206" spans="1:21" ht="16.5" thickBot="1">
      <c r="A206" s="207" t="s">
        <v>10</v>
      </c>
      <c r="B206" s="208">
        <f t="shared" ref="B206:B252" si="12">J206</f>
        <v>150</v>
      </c>
      <c r="C206" s="208" t="s">
        <v>3</v>
      </c>
      <c r="D206" s="208">
        <f t="shared" ref="D206:D252" si="13">K206</f>
        <v>360</v>
      </c>
      <c r="E206" s="208" t="s">
        <v>3</v>
      </c>
      <c r="F206" s="209">
        <f t="shared" ref="F206:F252" si="14">L206</f>
        <v>700</v>
      </c>
      <c r="G206" s="208" t="s">
        <v>3</v>
      </c>
      <c r="H206" s="208">
        <v>6</v>
      </c>
      <c r="I206" s="210" t="s">
        <v>531</v>
      </c>
      <c r="J206" s="286">
        <v>150</v>
      </c>
      <c r="K206" s="271">
        <v>360</v>
      </c>
      <c r="L206" s="271">
        <v>700</v>
      </c>
      <c r="M206" s="282">
        <v>14.352040269826576</v>
      </c>
      <c r="N206" s="246">
        <v>2460.017742</v>
      </c>
      <c r="O206" s="247">
        <v>35739.989469708824</v>
      </c>
      <c r="P206" s="247">
        <v>43200.364218286704</v>
      </c>
      <c r="Q206" s="248">
        <v>11490.936859530682</v>
      </c>
      <c r="R206" s="247">
        <v>47230.926329239504</v>
      </c>
      <c r="S206" s="247">
        <v>54691.301077817385</v>
      </c>
      <c r="U206" s="7" t="s">
        <v>7368</v>
      </c>
    </row>
    <row r="207" spans="1:21" ht="16.5" thickBot="1">
      <c r="A207" s="207" t="s">
        <v>10</v>
      </c>
      <c r="B207" s="211">
        <f t="shared" si="12"/>
        <v>150</v>
      </c>
      <c r="C207" s="211" t="s">
        <v>3</v>
      </c>
      <c r="D207" s="211">
        <f t="shared" si="13"/>
        <v>360</v>
      </c>
      <c r="E207" s="211" t="s">
        <v>3</v>
      </c>
      <c r="F207" s="209">
        <f t="shared" si="14"/>
        <v>750</v>
      </c>
      <c r="G207" s="211" t="s">
        <v>3</v>
      </c>
      <c r="H207" s="208">
        <v>6</v>
      </c>
      <c r="I207" s="210" t="s">
        <v>531</v>
      </c>
      <c r="J207" s="103">
        <v>150</v>
      </c>
      <c r="K207" s="66">
        <v>360</v>
      </c>
      <c r="L207" s="66">
        <v>750</v>
      </c>
      <c r="M207" s="156">
        <v>15.149683836747471</v>
      </c>
      <c r="N207" s="78">
        <v>2811.4488480000005</v>
      </c>
      <c r="O207" s="113">
        <v>38051.704859903788</v>
      </c>
      <c r="P207" s="113">
        <v>45895.707438136982</v>
      </c>
      <c r="Q207" s="110">
        <v>12094.357743768871</v>
      </c>
      <c r="R207" s="113">
        <v>50146.062603672661</v>
      </c>
      <c r="S207" s="113">
        <v>57990.065181905855</v>
      </c>
      <c r="U207" s="7" t="s">
        <v>7369</v>
      </c>
    </row>
    <row r="208" spans="1:21" ht="16.5" thickBot="1">
      <c r="A208" s="207" t="s">
        <v>10</v>
      </c>
      <c r="B208" s="211">
        <f t="shared" si="12"/>
        <v>150</v>
      </c>
      <c r="C208" s="211" t="s">
        <v>3</v>
      </c>
      <c r="D208" s="211">
        <f t="shared" si="13"/>
        <v>360</v>
      </c>
      <c r="E208" s="211" t="s">
        <v>3</v>
      </c>
      <c r="F208" s="209">
        <f t="shared" si="14"/>
        <v>800</v>
      </c>
      <c r="G208" s="211" t="s">
        <v>3</v>
      </c>
      <c r="H208" s="208">
        <v>6</v>
      </c>
      <c r="I208" s="210" t="s">
        <v>531</v>
      </c>
      <c r="J208" s="103">
        <v>150</v>
      </c>
      <c r="K208" s="66">
        <v>360</v>
      </c>
      <c r="L208" s="66">
        <v>800</v>
      </c>
      <c r="M208" s="156">
        <v>15.947327403668368</v>
      </c>
      <c r="N208" s="78">
        <v>3162.8799540000005</v>
      </c>
      <c r="O208" s="113">
        <v>40351.39005440865</v>
      </c>
      <c r="P208" s="113">
        <v>48578.855393228798</v>
      </c>
      <c r="Q208" s="110">
        <v>12697.77862800706</v>
      </c>
      <c r="R208" s="113">
        <v>53049.168682415708</v>
      </c>
      <c r="S208" s="113">
        <v>61276.634021235855</v>
      </c>
      <c r="U208" s="7" t="s">
        <v>7370</v>
      </c>
    </row>
    <row r="209" spans="1:21" ht="16.5" thickBot="1">
      <c r="A209" s="207" t="s">
        <v>10</v>
      </c>
      <c r="B209" s="211">
        <f t="shared" si="12"/>
        <v>150</v>
      </c>
      <c r="C209" s="211" t="s">
        <v>3</v>
      </c>
      <c r="D209" s="211">
        <f t="shared" si="13"/>
        <v>360</v>
      </c>
      <c r="E209" s="211" t="s">
        <v>3</v>
      </c>
      <c r="F209" s="209">
        <f t="shared" si="14"/>
        <v>850</v>
      </c>
      <c r="G209" s="211" t="s">
        <v>3</v>
      </c>
      <c r="H209" s="208">
        <v>6</v>
      </c>
      <c r="I209" s="210" t="s">
        <v>531</v>
      </c>
      <c r="J209" s="103">
        <v>150</v>
      </c>
      <c r="K209" s="66">
        <v>360</v>
      </c>
      <c r="L209" s="66">
        <v>850</v>
      </c>
      <c r="M209" s="156">
        <v>16.760306970589259</v>
      </c>
      <c r="N209" s="78">
        <v>3514.3110600000005</v>
      </c>
      <c r="O209" s="113">
        <v>42650.11061678968</v>
      </c>
      <c r="P209" s="113">
        <v>51261.117711175619</v>
      </c>
      <c r="Q209" s="110">
        <v>13552.533650029018</v>
      </c>
      <c r="R209" s="113">
        <v>56202.644266818694</v>
      </c>
      <c r="S209" s="113">
        <v>64813.65136120464</v>
      </c>
      <c r="U209" s="7" t="s">
        <v>7371</v>
      </c>
    </row>
    <row r="210" spans="1:21" ht="16.5" thickBot="1">
      <c r="A210" s="207" t="s">
        <v>10</v>
      </c>
      <c r="B210" s="211">
        <f t="shared" si="12"/>
        <v>150</v>
      </c>
      <c r="C210" s="211" t="s">
        <v>3</v>
      </c>
      <c r="D210" s="211">
        <f t="shared" si="13"/>
        <v>360</v>
      </c>
      <c r="E210" s="211" t="s">
        <v>3</v>
      </c>
      <c r="F210" s="209">
        <f t="shared" si="14"/>
        <v>900</v>
      </c>
      <c r="G210" s="211" t="s">
        <v>3</v>
      </c>
      <c r="H210" s="208">
        <v>6</v>
      </c>
      <c r="I210" s="210" t="s">
        <v>531</v>
      </c>
      <c r="J210" s="103">
        <v>150</v>
      </c>
      <c r="K210" s="66">
        <v>360</v>
      </c>
      <c r="L210" s="66">
        <v>900</v>
      </c>
      <c r="M210" s="156">
        <v>17.701050537510159</v>
      </c>
      <c r="N210" s="78">
        <v>3865.7421660000005</v>
      </c>
      <c r="O210" s="113">
        <v>44948.9593025043</v>
      </c>
      <c r="P210" s="113">
        <v>53943.626379419395</v>
      </c>
      <c r="Q210" s="110">
        <v>14155.954534267206</v>
      </c>
      <c r="R210" s="113">
        <v>59104.913836771506</v>
      </c>
      <c r="S210" s="113">
        <v>68099.580913686601</v>
      </c>
      <c r="U210" s="7" t="s">
        <v>7372</v>
      </c>
    </row>
    <row r="211" spans="1:21" ht="16.5" thickBot="1">
      <c r="A211" s="207" t="s">
        <v>10</v>
      </c>
      <c r="B211" s="211">
        <f t="shared" si="12"/>
        <v>150</v>
      </c>
      <c r="C211" s="211" t="s">
        <v>3</v>
      </c>
      <c r="D211" s="211">
        <f t="shared" si="13"/>
        <v>360</v>
      </c>
      <c r="E211" s="211" t="s">
        <v>3</v>
      </c>
      <c r="F211" s="209">
        <f t="shared" si="14"/>
        <v>950</v>
      </c>
      <c r="G211" s="211" t="s">
        <v>3</v>
      </c>
      <c r="H211" s="208">
        <v>6</v>
      </c>
      <c r="I211" s="210" t="s">
        <v>531</v>
      </c>
      <c r="J211" s="103">
        <v>150</v>
      </c>
      <c r="K211" s="66">
        <v>360</v>
      </c>
      <c r="L211" s="66">
        <v>950</v>
      </c>
      <c r="M211" s="156">
        <v>18.514030104431054</v>
      </c>
      <c r="N211" s="78">
        <v>4217.173272</v>
      </c>
      <c r="O211" s="113">
        <v>47247.914909417115</v>
      </c>
      <c r="P211" s="113">
        <v>56626.341264636198</v>
      </c>
      <c r="Q211" s="110">
        <v>15010.709556289165</v>
      </c>
      <c r="R211" s="113">
        <v>62258.624465706278</v>
      </c>
      <c r="S211" s="113">
        <v>71637.05082092536</v>
      </c>
      <c r="U211" s="7" t="s">
        <v>7373</v>
      </c>
    </row>
    <row r="212" spans="1:21" ht="16.5" thickBot="1">
      <c r="A212" s="207" t="s">
        <v>10</v>
      </c>
      <c r="B212" s="211">
        <f t="shared" si="12"/>
        <v>150</v>
      </c>
      <c r="C212" s="211" t="s">
        <v>3</v>
      </c>
      <c r="D212" s="211">
        <f t="shared" si="13"/>
        <v>360</v>
      </c>
      <c r="E212" s="211" t="s">
        <v>3</v>
      </c>
      <c r="F212" s="209">
        <f t="shared" si="14"/>
        <v>1000</v>
      </c>
      <c r="G212" s="211" t="s">
        <v>3</v>
      </c>
      <c r="H212" s="208">
        <v>6</v>
      </c>
      <c r="I212" s="210" t="s">
        <v>531</v>
      </c>
      <c r="J212" s="103">
        <v>150</v>
      </c>
      <c r="K212" s="66">
        <v>360</v>
      </c>
      <c r="L212" s="66">
        <v>1000</v>
      </c>
      <c r="M212" s="156">
        <v>19.311673671351947</v>
      </c>
      <c r="N212" s="78">
        <v>4568.6043780000009</v>
      </c>
      <c r="O212" s="113">
        <v>49466.631750287575</v>
      </c>
      <c r="P212" s="113">
        <v>59227.038578975109</v>
      </c>
      <c r="Q212" s="110">
        <v>15614.130440527351</v>
      </c>
      <c r="R212" s="113">
        <v>65080.76219081493</v>
      </c>
      <c r="S212" s="113">
        <v>74841.169019502457</v>
      </c>
      <c r="U212" s="7" t="s">
        <v>7374</v>
      </c>
    </row>
    <row r="213" spans="1:21" ht="16.5" thickBot="1">
      <c r="A213" s="207" t="s">
        <v>10</v>
      </c>
      <c r="B213" s="211">
        <f t="shared" si="12"/>
        <v>150</v>
      </c>
      <c r="C213" s="211" t="s">
        <v>3</v>
      </c>
      <c r="D213" s="211">
        <f t="shared" si="13"/>
        <v>360</v>
      </c>
      <c r="E213" s="211" t="s">
        <v>3</v>
      </c>
      <c r="F213" s="209">
        <f t="shared" si="14"/>
        <v>1050</v>
      </c>
      <c r="G213" s="211" t="s">
        <v>3</v>
      </c>
      <c r="H213" s="208">
        <v>6</v>
      </c>
      <c r="I213" s="210" t="s">
        <v>531</v>
      </c>
      <c r="J213" s="103">
        <v>150</v>
      </c>
      <c r="K213" s="66">
        <v>360</v>
      </c>
      <c r="L213" s="66">
        <v>1050</v>
      </c>
      <c r="M213" s="156">
        <v>20.124653238272845</v>
      </c>
      <c r="N213" s="78">
        <v>4920.035484</v>
      </c>
      <c r="O213" s="113">
        <v>52000.212398891745</v>
      </c>
      <c r="P213" s="113">
        <v>62151.735775414018</v>
      </c>
      <c r="Q213" s="110">
        <v>16468.885462549311</v>
      </c>
      <c r="R213" s="113">
        <v>68469.097861441056</v>
      </c>
      <c r="S213" s="113">
        <v>78620.621237963322</v>
      </c>
      <c r="U213" s="7" t="s">
        <v>7375</v>
      </c>
    </row>
    <row r="214" spans="1:21" ht="16.5" thickBot="1">
      <c r="A214" s="207" t="s">
        <v>10</v>
      </c>
      <c r="B214" s="208">
        <f t="shared" si="12"/>
        <v>150</v>
      </c>
      <c r="C214" s="208" t="s">
        <v>3</v>
      </c>
      <c r="D214" s="208">
        <f t="shared" si="13"/>
        <v>360</v>
      </c>
      <c r="E214" s="208" t="s">
        <v>3</v>
      </c>
      <c r="F214" s="209">
        <f t="shared" si="14"/>
        <v>1100</v>
      </c>
      <c r="G214" s="208" t="s">
        <v>3</v>
      </c>
      <c r="H214" s="208">
        <v>6</v>
      </c>
      <c r="I214" s="210" t="s">
        <v>531</v>
      </c>
      <c r="J214" s="103">
        <v>150</v>
      </c>
      <c r="K214" s="66">
        <v>360</v>
      </c>
      <c r="L214" s="66">
        <v>1100</v>
      </c>
      <c r="M214" s="156">
        <v>20.922296805193739</v>
      </c>
      <c r="N214" s="78">
        <v>5271.46659</v>
      </c>
      <c r="O214" s="113">
        <v>54307.687101856194</v>
      </c>
      <c r="P214" s="113">
        <v>64843.739105738539</v>
      </c>
      <c r="Q214" s="110">
        <v>17072.3063467875</v>
      </c>
      <c r="R214" s="113">
        <v>71379.993448643698</v>
      </c>
      <c r="S214" s="113">
        <v>81916.045452526043</v>
      </c>
      <c r="U214" s="7" t="s">
        <v>7376</v>
      </c>
    </row>
    <row r="215" spans="1:21" ht="16.5" thickBot="1">
      <c r="A215" s="207" t="s">
        <v>10</v>
      </c>
      <c r="B215" s="211">
        <f t="shared" si="12"/>
        <v>150</v>
      </c>
      <c r="C215" s="211" t="s">
        <v>3</v>
      </c>
      <c r="D215" s="211">
        <f t="shared" si="13"/>
        <v>360</v>
      </c>
      <c r="E215" s="211" t="s">
        <v>3</v>
      </c>
      <c r="F215" s="209">
        <f t="shared" si="14"/>
        <v>1150</v>
      </c>
      <c r="G215" s="211" t="s">
        <v>3</v>
      </c>
      <c r="H215" s="208">
        <v>6</v>
      </c>
      <c r="I215" s="210" t="s">
        <v>531</v>
      </c>
      <c r="J215" s="103">
        <v>150</v>
      </c>
      <c r="K215" s="66">
        <v>360</v>
      </c>
      <c r="L215" s="66">
        <v>1150</v>
      </c>
      <c r="M215" s="156">
        <v>21.719940372114632</v>
      </c>
      <c r="N215" s="78">
        <v>5622.8976960000009</v>
      </c>
      <c r="O215" s="113">
        <v>55859.251696626088</v>
      </c>
      <c r="P215" s="113">
        <v>66757.818151439453</v>
      </c>
      <c r="Q215" s="110">
        <v>17675.727231025689</v>
      </c>
      <c r="R215" s="113">
        <v>73534.978927651769</v>
      </c>
      <c r="S215" s="113">
        <v>84433.545382465149</v>
      </c>
      <c r="U215" s="7" t="s">
        <v>7377</v>
      </c>
    </row>
    <row r="216" spans="1:21" ht="16.5" thickBot="1">
      <c r="A216" s="207" t="s">
        <v>10</v>
      </c>
      <c r="B216" s="211">
        <f t="shared" si="12"/>
        <v>150</v>
      </c>
      <c r="C216" s="211" t="s">
        <v>3</v>
      </c>
      <c r="D216" s="211">
        <f t="shared" si="13"/>
        <v>360</v>
      </c>
      <c r="E216" s="211" t="s">
        <v>3</v>
      </c>
      <c r="F216" s="209">
        <f t="shared" si="14"/>
        <v>1200</v>
      </c>
      <c r="G216" s="211" t="s">
        <v>3</v>
      </c>
      <c r="H216" s="208">
        <v>6</v>
      </c>
      <c r="I216" s="210" t="s">
        <v>531</v>
      </c>
      <c r="J216" s="103">
        <v>150</v>
      </c>
      <c r="K216" s="66">
        <v>360</v>
      </c>
      <c r="L216" s="66">
        <v>1200</v>
      </c>
      <c r="M216" s="156">
        <v>22.674219939035524</v>
      </c>
      <c r="N216" s="78">
        <v>5974.328802</v>
      </c>
      <c r="O216" s="113">
        <v>57529.871354615861</v>
      </c>
      <c r="P216" s="113">
        <v>68794.578791126536</v>
      </c>
      <c r="Q216" s="110">
        <v>18530.482406076411</v>
      </c>
      <c r="R216" s="113">
        <v>76060.353760692276</v>
      </c>
      <c r="S216" s="113">
        <v>87325.061197202944</v>
      </c>
      <c r="U216" s="7" t="s">
        <v>7378</v>
      </c>
    </row>
    <row r="217" spans="1:21" ht="16.5" thickBot="1">
      <c r="A217" s="207" t="s">
        <v>10</v>
      </c>
      <c r="B217" s="211">
        <f t="shared" si="12"/>
        <v>150</v>
      </c>
      <c r="C217" s="211" t="s">
        <v>3</v>
      </c>
      <c r="D217" s="211">
        <f t="shared" si="13"/>
        <v>360</v>
      </c>
      <c r="E217" s="211" t="s">
        <v>3</v>
      </c>
      <c r="F217" s="209">
        <f t="shared" si="14"/>
        <v>1250</v>
      </c>
      <c r="G217" s="211" t="s">
        <v>3</v>
      </c>
      <c r="H217" s="208">
        <v>6</v>
      </c>
      <c r="I217" s="210" t="s">
        <v>531</v>
      </c>
      <c r="J217" s="103">
        <v>150</v>
      </c>
      <c r="K217" s="66">
        <v>360</v>
      </c>
      <c r="L217" s="66">
        <v>1250</v>
      </c>
      <c r="M217" s="156">
        <v>24.247663505956421</v>
      </c>
      <c r="N217" s="78">
        <v>6325.7599080000009</v>
      </c>
      <c r="O217" s="113">
        <v>59080.876499174774</v>
      </c>
      <c r="P217" s="113">
        <v>70708.370499306038</v>
      </c>
      <c r="Q217" s="110">
        <v>19133.9032903146</v>
      </c>
      <c r="R217" s="113">
        <v>78214.779789489374</v>
      </c>
      <c r="S217" s="113">
        <v>89842.273789620638</v>
      </c>
      <c r="U217" s="7" t="s">
        <v>7379</v>
      </c>
    </row>
    <row r="218" spans="1:21" ht="16.5" thickBot="1">
      <c r="A218" s="207" t="s">
        <v>10</v>
      </c>
      <c r="B218" s="211">
        <f t="shared" si="12"/>
        <v>150</v>
      </c>
      <c r="C218" s="211" t="s">
        <v>3</v>
      </c>
      <c r="D218" s="211">
        <f t="shared" si="13"/>
        <v>360</v>
      </c>
      <c r="E218" s="211" t="s">
        <v>3</v>
      </c>
      <c r="F218" s="209">
        <f t="shared" si="14"/>
        <v>1300</v>
      </c>
      <c r="G218" s="211" t="s">
        <v>3</v>
      </c>
      <c r="H218" s="208">
        <v>6</v>
      </c>
      <c r="I218" s="210" t="s">
        <v>531</v>
      </c>
      <c r="J218" s="103">
        <v>150</v>
      </c>
      <c r="K218" s="66">
        <v>360</v>
      </c>
      <c r="L218" s="66">
        <v>1300</v>
      </c>
      <c r="M218" s="156">
        <v>25.060643072877316</v>
      </c>
      <c r="N218" s="78">
        <v>6677.191014</v>
      </c>
      <c r="O218" s="113">
        <v>63020.733654404474</v>
      </c>
      <c r="P218" s="113">
        <v>75076.301446428028</v>
      </c>
      <c r="Q218" s="110">
        <v>19988.658312336556</v>
      </c>
      <c r="R218" s="113">
        <v>83009.391966741037</v>
      </c>
      <c r="S218" s="113">
        <v>95064.959758764584</v>
      </c>
      <c r="U218" s="7" t="s">
        <v>7380</v>
      </c>
    </row>
    <row r="219" spans="1:21" ht="16.5" thickBot="1">
      <c r="A219" s="207" t="s">
        <v>10</v>
      </c>
      <c r="B219" s="211">
        <f t="shared" si="12"/>
        <v>150</v>
      </c>
      <c r="C219" s="211" t="s">
        <v>3</v>
      </c>
      <c r="D219" s="211">
        <f t="shared" si="13"/>
        <v>360</v>
      </c>
      <c r="E219" s="211" t="s">
        <v>3</v>
      </c>
      <c r="F219" s="209">
        <f t="shared" si="14"/>
        <v>1350</v>
      </c>
      <c r="G219" s="211" t="s">
        <v>3</v>
      </c>
      <c r="H219" s="208">
        <v>6</v>
      </c>
      <c r="I219" s="210" t="s">
        <v>531</v>
      </c>
      <c r="J219" s="103">
        <v>150</v>
      </c>
      <c r="K219" s="66">
        <v>360</v>
      </c>
      <c r="L219" s="66">
        <v>1350</v>
      </c>
      <c r="M219" s="156">
        <v>25.858286639798209</v>
      </c>
      <c r="N219" s="78">
        <v>7028.6221200000009</v>
      </c>
      <c r="O219" s="113">
        <v>64774.802706094742</v>
      </c>
      <c r="P219" s="113">
        <v>77197.137984170884</v>
      </c>
      <c r="Q219" s="110">
        <v>20592.079196574745</v>
      </c>
      <c r="R219" s="113">
        <v>85366.881902669484</v>
      </c>
      <c r="S219" s="113">
        <v>97789.217180745633</v>
      </c>
      <c r="U219" s="7" t="s">
        <v>7381</v>
      </c>
    </row>
    <row r="220" spans="1:21" ht="16.5" thickBot="1">
      <c r="A220" s="207" t="s">
        <v>10</v>
      </c>
      <c r="B220" s="211">
        <f t="shared" si="12"/>
        <v>150</v>
      </c>
      <c r="C220" s="211" t="s">
        <v>3</v>
      </c>
      <c r="D220" s="211">
        <f t="shared" si="13"/>
        <v>360</v>
      </c>
      <c r="E220" s="211" t="s">
        <v>3</v>
      </c>
      <c r="F220" s="209">
        <f t="shared" si="14"/>
        <v>1400</v>
      </c>
      <c r="G220" s="211" t="s">
        <v>3</v>
      </c>
      <c r="H220" s="208">
        <v>6</v>
      </c>
      <c r="I220" s="210" t="s">
        <v>531</v>
      </c>
      <c r="J220" s="103">
        <v>150</v>
      </c>
      <c r="K220" s="66">
        <v>360</v>
      </c>
      <c r="L220" s="66">
        <v>1400</v>
      </c>
      <c r="M220" s="156">
        <v>26.671266206719107</v>
      </c>
      <c r="N220" s="78">
        <v>7380.0532260000009</v>
      </c>
      <c r="O220" s="113">
        <v>66855.718674257805</v>
      </c>
      <c r="P220" s="113">
        <v>79654.333048403001</v>
      </c>
      <c r="Q220" s="110">
        <v>21446.834218596705</v>
      </c>
      <c r="R220" s="113">
        <v>88302.55289285451</v>
      </c>
      <c r="S220" s="113">
        <v>101101.16726699971</v>
      </c>
      <c r="U220" s="7" t="s">
        <v>7382</v>
      </c>
    </row>
    <row r="221" spans="1:21" ht="16.5" thickBot="1">
      <c r="A221" s="207" t="s">
        <v>10</v>
      </c>
      <c r="B221" s="211">
        <f t="shared" si="12"/>
        <v>150</v>
      </c>
      <c r="C221" s="211" t="s">
        <v>3</v>
      </c>
      <c r="D221" s="211">
        <f t="shared" si="13"/>
        <v>360</v>
      </c>
      <c r="E221" s="211" t="s">
        <v>3</v>
      </c>
      <c r="F221" s="209">
        <f t="shared" si="14"/>
        <v>1450</v>
      </c>
      <c r="G221" s="211" t="s">
        <v>3</v>
      </c>
      <c r="H221" s="208">
        <v>6</v>
      </c>
      <c r="I221" s="210" t="s">
        <v>531</v>
      </c>
      <c r="J221" s="103">
        <v>150</v>
      </c>
      <c r="K221" s="66">
        <v>360</v>
      </c>
      <c r="L221" s="66">
        <v>1450</v>
      </c>
      <c r="M221" s="156">
        <v>27.468909773640004</v>
      </c>
      <c r="N221" s="78">
        <v>7731.4843320000009</v>
      </c>
      <c r="O221" s="113">
        <v>68610.247799278979</v>
      </c>
      <c r="P221" s="113">
        <v>81775.623718900111</v>
      </c>
      <c r="Q221" s="110">
        <v>22050.255102834893</v>
      </c>
      <c r="R221" s="113">
        <v>90660.502902113876</v>
      </c>
      <c r="S221" s="113">
        <v>103825.87882173501</v>
      </c>
      <c r="U221" s="7" t="s">
        <v>7383</v>
      </c>
    </row>
    <row r="222" spans="1:21" ht="16.5" thickBot="1">
      <c r="A222" s="207" t="s">
        <v>10</v>
      </c>
      <c r="B222" s="211">
        <f t="shared" si="12"/>
        <v>150</v>
      </c>
      <c r="C222" s="211" t="s">
        <v>3</v>
      </c>
      <c r="D222" s="211">
        <f t="shared" si="13"/>
        <v>360</v>
      </c>
      <c r="E222" s="211" t="s">
        <v>3</v>
      </c>
      <c r="F222" s="209">
        <f t="shared" si="14"/>
        <v>1500</v>
      </c>
      <c r="G222" s="211" t="s">
        <v>3</v>
      </c>
      <c r="H222" s="208">
        <v>6</v>
      </c>
      <c r="I222" s="210" t="s">
        <v>531</v>
      </c>
      <c r="J222" s="103">
        <v>150</v>
      </c>
      <c r="K222" s="66">
        <v>360</v>
      </c>
      <c r="L222" s="66">
        <v>1500</v>
      </c>
      <c r="M222" s="156">
        <v>28.250948505124899</v>
      </c>
      <c r="N222" s="78">
        <v>8082.915438</v>
      </c>
      <c r="O222" s="113">
        <v>71018.081444415788</v>
      </c>
      <c r="P222" s="113">
        <v>84791.905729840961</v>
      </c>
      <c r="Q222" s="110">
        <v>22905.01012485685</v>
      </c>
      <c r="R222" s="113">
        <v>93923.091569272641</v>
      </c>
      <c r="S222" s="113">
        <v>107696.91585469781</v>
      </c>
      <c r="U222" s="7" t="s">
        <v>7384</v>
      </c>
    </row>
    <row r="223" spans="1:21" ht="16.5" thickBot="1">
      <c r="A223" s="207" t="s">
        <v>10</v>
      </c>
      <c r="B223" s="211">
        <f t="shared" si="12"/>
        <v>150</v>
      </c>
      <c r="C223" s="211" t="s">
        <v>3</v>
      </c>
      <c r="D223" s="211">
        <f t="shared" si="13"/>
        <v>360</v>
      </c>
      <c r="E223" s="211" t="s">
        <v>3</v>
      </c>
      <c r="F223" s="209">
        <f t="shared" si="14"/>
        <v>1550</v>
      </c>
      <c r="G223" s="211" t="s">
        <v>3</v>
      </c>
      <c r="H223" s="208">
        <v>6</v>
      </c>
      <c r="I223" s="210" t="s">
        <v>531</v>
      </c>
      <c r="J223" s="103">
        <v>150</v>
      </c>
      <c r="K223" s="66">
        <v>360</v>
      </c>
      <c r="L223" s="66">
        <v>1550</v>
      </c>
      <c r="M223" s="156">
        <v>29.048592072045793</v>
      </c>
      <c r="N223" s="78">
        <v>8434.346544</v>
      </c>
      <c r="O223" s="113">
        <v>72773.019913732249</v>
      </c>
      <c r="P223" s="113">
        <v>86913.591329323666</v>
      </c>
      <c r="Q223" s="110">
        <v>23508.431009095038</v>
      </c>
      <c r="R223" s="113">
        <v>96281.450922827295</v>
      </c>
      <c r="S223" s="113">
        <v>110422.0223384187</v>
      </c>
      <c r="U223" s="7" t="s">
        <v>7385</v>
      </c>
    </row>
    <row r="224" spans="1:21" ht="16.5" thickBot="1">
      <c r="A224" s="207" t="s">
        <v>10</v>
      </c>
      <c r="B224" s="208">
        <f t="shared" si="12"/>
        <v>150</v>
      </c>
      <c r="C224" s="208" t="s">
        <v>3</v>
      </c>
      <c r="D224" s="208">
        <f t="shared" si="13"/>
        <v>360</v>
      </c>
      <c r="E224" s="208" t="s">
        <v>3</v>
      </c>
      <c r="F224" s="209">
        <f t="shared" si="14"/>
        <v>1600</v>
      </c>
      <c r="G224" s="208" t="s">
        <v>3</v>
      </c>
      <c r="H224" s="208">
        <v>6</v>
      </c>
      <c r="I224" s="210" t="s">
        <v>531</v>
      </c>
      <c r="J224" s="103">
        <v>150</v>
      </c>
      <c r="K224" s="66">
        <v>360</v>
      </c>
      <c r="L224" s="66">
        <v>1600</v>
      </c>
      <c r="M224" s="156">
        <v>29.846235638966679</v>
      </c>
      <c r="N224" s="78">
        <v>8785.77765</v>
      </c>
      <c r="O224" s="113">
        <v>76468.631070549993</v>
      </c>
      <c r="P224" s="113">
        <v>91032.732101095622</v>
      </c>
      <c r="Q224" s="110">
        <v>24111.851893333227</v>
      </c>
      <c r="R224" s="113">
        <v>100580.48296388322</v>
      </c>
      <c r="S224" s="113">
        <v>115144.58399442885</v>
      </c>
      <c r="U224" s="7" t="s">
        <v>7386</v>
      </c>
    </row>
    <row r="225" spans="1:21" ht="16.5" thickBot="1">
      <c r="A225" s="207" t="s">
        <v>10</v>
      </c>
      <c r="B225" s="211">
        <f t="shared" si="12"/>
        <v>150</v>
      </c>
      <c r="C225" s="211" t="s">
        <v>3</v>
      </c>
      <c r="D225" s="211">
        <f t="shared" si="13"/>
        <v>360</v>
      </c>
      <c r="E225" s="211" t="s">
        <v>3</v>
      </c>
      <c r="F225" s="209">
        <f t="shared" si="14"/>
        <v>1650</v>
      </c>
      <c r="G225" s="211" t="s">
        <v>3</v>
      </c>
      <c r="H225" s="208">
        <v>6</v>
      </c>
      <c r="I225" s="210" t="s">
        <v>531</v>
      </c>
      <c r="J225" s="103">
        <v>150</v>
      </c>
      <c r="K225" s="66">
        <v>360</v>
      </c>
      <c r="L225" s="66">
        <v>1650</v>
      </c>
      <c r="M225" s="156">
        <v>30.65921520588758</v>
      </c>
      <c r="N225" s="78">
        <v>9137.2087560000018</v>
      </c>
      <c r="O225" s="113">
        <v>80413.958246640526</v>
      </c>
      <c r="P225" s="113">
        <v>95408.936774886679</v>
      </c>
      <c r="Q225" s="110">
        <v>24966.606915355183</v>
      </c>
      <c r="R225" s="113">
        <v>105380.56516199571</v>
      </c>
      <c r="S225" s="113">
        <v>120375.54369024186</v>
      </c>
      <c r="U225" s="7" t="s">
        <v>7387</v>
      </c>
    </row>
    <row r="226" spans="1:21" ht="16.5" thickBot="1">
      <c r="A226" s="207" t="s">
        <v>10</v>
      </c>
      <c r="B226" s="211">
        <f t="shared" si="12"/>
        <v>150</v>
      </c>
      <c r="C226" s="211" t="s">
        <v>3</v>
      </c>
      <c r="D226" s="211">
        <f t="shared" si="13"/>
        <v>360</v>
      </c>
      <c r="E226" s="211" t="s">
        <v>3</v>
      </c>
      <c r="F226" s="209">
        <f t="shared" si="14"/>
        <v>1700</v>
      </c>
      <c r="G226" s="211" t="s">
        <v>3</v>
      </c>
      <c r="H226" s="208">
        <v>6</v>
      </c>
      <c r="I226" s="210" t="s">
        <v>531</v>
      </c>
      <c r="J226" s="103">
        <v>150</v>
      </c>
      <c r="K226" s="66">
        <v>360</v>
      </c>
      <c r="L226" s="66">
        <v>1700</v>
      </c>
      <c r="M226" s="156">
        <v>32.23265877280847</v>
      </c>
      <c r="N226" s="78">
        <v>9488.6398620000018</v>
      </c>
      <c r="O226" s="113">
        <v>82000.475797337902</v>
      </c>
      <c r="P226" s="113">
        <v>97358.644677025455</v>
      </c>
      <c r="Q226" s="110">
        <v>25570.027799593372</v>
      </c>
      <c r="R226" s="113">
        <v>107570.50359693127</v>
      </c>
      <c r="S226" s="113">
        <v>122928.67247661883</v>
      </c>
      <c r="U226" s="7" t="s">
        <v>7388</v>
      </c>
    </row>
    <row r="227" spans="1:21" ht="16.5" thickBot="1">
      <c r="A227" s="207" t="s">
        <v>10</v>
      </c>
      <c r="B227" s="211">
        <f t="shared" si="12"/>
        <v>150</v>
      </c>
      <c r="C227" s="211" t="s">
        <v>3</v>
      </c>
      <c r="D227" s="211">
        <f t="shared" si="13"/>
        <v>360</v>
      </c>
      <c r="E227" s="211" t="s">
        <v>3</v>
      </c>
      <c r="F227" s="209">
        <f t="shared" si="14"/>
        <v>1750</v>
      </c>
      <c r="G227" s="211" t="s">
        <v>3</v>
      </c>
      <c r="H227" s="208">
        <v>6</v>
      </c>
      <c r="I227" s="210" t="s">
        <v>531</v>
      </c>
      <c r="J227" s="103">
        <v>150</v>
      </c>
      <c r="K227" s="66">
        <v>360</v>
      </c>
      <c r="L227" s="66">
        <v>1750</v>
      </c>
      <c r="M227" s="156">
        <v>33.045638339729365</v>
      </c>
      <c r="N227" s="78">
        <v>9840.070968</v>
      </c>
      <c r="O227" s="113">
        <v>83511.130936875168</v>
      </c>
      <c r="P227" s="113">
        <v>99230.343501910946</v>
      </c>
      <c r="Q227" s="110">
        <v>26424.782821615332</v>
      </c>
      <c r="R227" s="113">
        <v>109935.9137584905</v>
      </c>
      <c r="S227" s="113">
        <v>125655.12632352627</v>
      </c>
      <c r="U227" s="7" t="s">
        <v>7389</v>
      </c>
    </row>
    <row r="228" spans="1:21" ht="16.5" thickBot="1">
      <c r="A228" s="207" t="s">
        <v>10</v>
      </c>
      <c r="B228" s="211">
        <f t="shared" si="12"/>
        <v>150</v>
      </c>
      <c r="C228" s="211" t="s">
        <v>3</v>
      </c>
      <c r="D228" s="211">
        <f t="shared" si="13"/>
        <v>360</v>
      </c>
      <c r="E228" s="211" t="s">
        <v>3</v>
      </c>
      <c r="F228" s="209">
        <f t="shared" si="14"/>
        <v>1800</v>
      </c>
      <c r="G228" s="211" t="s">
        <v>3</v>
      </c>
      <c r="H228" s="208">
        <v>6</v>
      </c>
      <c r="I228" s="210" t="s">
        <v>531</v>
      </c>
      <c r="J228" s="103">
        <v>150</v>
      </c>
      <c r="K228" s="66">
        <v>360</v>
      </c>
      <c r="L228" s="66">
        <v>1800</v>
      </c>
      <c r="M228" s="156">
        <v>33.843281906650262</v>
      </c>
      <c r="N228" s="78">
        <v>10191.502074</v>
      </c>
      <c r="O228" s="113">
        <v>85098.403179533503</v>
      </c>
      <c r="P228" s="113">
        <v>101180.96208894301</v>
      </c>
      <c r="Q228" s="110">
        <v>27028.203705853517</v>
      </c>
      <c r="R228" s="113">
        <v>112126.60688538702</v>
      </c>
      <c r="S228" s="113">
        <v>128209.16579479653</v>
      </c>
      <c r="U228" s="7" t="s">
        <v>7390</v>
      </c>
    </row>
    <row r="229" spans="1:21" ht="16.5" thickBot="1">
      <c r="A229" s="207" t="s">
        <v>10</v>
      </c>
      <c r="B229" s="211">
        <f t="shared" si="12"/>
        <v>150</v>
      </c>
      <c r="C229" s="211" t="s">
        <v>3</v>
      </c>
      <c r="D229" s="211">
        <f t="shared" si="13"/>
        <v>360</v>
      </c>
      <c r="E229" s="211" t="s">
        <v>3</v>
      </c>
      <c r="F229" s="209">
        <f t="shared" si="14"/>
        <v>1850</v>
      </c>
      <c r="G229" s="211" t="s">
        <v>3</v>
      </c>
      <c r="H229" s="208">
        <v>6</v>
      </c>
      <c r="I229" s="210" t="s">
        <v>531</v>
      </c>
      <c r="J229" s="103">
        <v>150</v>
      </c>
      <c r="K229" s="66">
        <v>360</v>
      </c>
      <c r="L229" s="66">
        <v>1850</v>
      </c>
      <c r="M229" s="156">
        <v>34.656261473571163</v>
      </c>
      <c r="N229" s="78">
        <v>10542.93318</v>
      </c>
      <c r="O229" s="113">
        <v>86685.653179460845</v>
      </c>
      <c r="P229" s="113">
        <v>103131.61554357919</v>
      </c>
      <c r="Q229" s="110">
        <v>27882.958880904247</v>
      </c>
      <c r="R229" s="113">
        <v>114568.61206036509</v>
      </c>
      <c r="S229" s="113">
        <v>131014.57442448343</v>
      </c>
      <c r="U229" s="7" t="s">
        <v>7391</v>
      </c>
    </row>
    <row r="230" spans="1:21" ht="16.5" thickBot="1">
      <c r="A230" s="207" t="s">
        <v>10</v>
      </c>
      <c r="B230" s="211">
        <f t="shared" si="12"/>
        <v>150</v>
      </c>
      <c r="C230" s="211" t="s">
        <v>3</v>
      </c>
      <c r="D230" s="211">
        <f t="shared" si="13"/>
        <v>360</v>
      </c>
      <c r="E230" s="211" t="s">
        <v>3</v>
      </c>
      <c r="F230" s="209">
        <f t="shared" si="14"/>
        <v>1900</v>
      </c>
      <c r="G230" s="211" t="s">
        <v>3</v>
      </c>
      <c r="H230" s="208">
        <v>6</v>
      </c>
      <c r="I230" s="210" t="s">
        <v>531</v>
      </c>
      <c r="J230" s="103">
        <v>150</v>
      </c>
      <c r="K230" s="66">
        <v>360</v>
      </c>
      <c r="L230" s="66">
        <v>1900</v>
      </c>
      <c r="M230" s="156">
        <v>35.453905040492053</v>
      </c>
      <c r="N230" s="78">
        <v>10894.364286000002</v>
      </c>
      <c r="O230" s="113">
        <v>88447.375161437827</v>
      </c>
      <c r="P230" s="113">
        <v>105261.87288100873</v>
      </c>
      <c r="Q230" s="110">
        <v>28486.379765142432</v>
      </c>
      <c r="R230" s="113">
        <v>116933.75492658027</v>
      </c>
      <c r="S230" s="113">
        <v>133748.25264615117</v>
      </c>
      <c r="U230" s="7" t="s">
        <v>7392</v>
      </c>
    </row>
    <row r="231" spans="1:21" ht="16.5" thickBot="1">
      <c r="A231" s="207" t="s">
        <v>10</v>
      </c>
      <c r="B231" s="211">
        <f t="shared" si="12"/>
        <v>150</v>
      </c>
      <c r="C231" s="211" t="s">
        <v>3</v>
      </c>
      <c r="D231" s="211">
        <f t="shared" si="13"/>
        <v>360</v>
      </c>
      <c r="E231" s="211" t="s">
        <v>3</v>
      </c>
      <c r="F231" s="209">
        <f t="shared" si="14"/>
        <v>1950</v>
      </c>
      <c r="G231" s="211" t="s">
        <v>3</v>
      </c>
      <c r="H231" s="208">
        <v>6</v>
      </c>
      <c r="I231" s="210" t="s">
        <v>531</v>
      </c>
      <c r="J231" s="103">
        <v>150</v>
      </c>
      <c r="K231" s="66">
        <v>360</v>
      </c>
      <c r="L231" s="66">
        <v>1950</v>
      </c>
      <c r="M231" s="156">
        <v>36.392848607412944</v>
      </c>
      <c r="N231" s="78">
        <v>11245.795392000002</v>
      </c>
      <c r="O231" s="113">
        <v>90451.340515589065</v>
      </c>
      <c r="P231" s="113">
        <v>107641.45778184223</v>
      </c>
      <c r="Q231" s="110">
        <v>29089.800649380621</v>
      </c>
      <c r="R231" s="113">
        <v>119541.14116496968</v>
      </c>
      <c r="S231" s="113">
        <v>136731.25843122284</v>
      </c>
      <c r="U231" s="7" t="s">
        <v>7393</v>
      </c>
    </row>
    <row r="232" spans="1:21" ht="16.5" thickBot="1">
      <c r="A232" s="207" t="s">
        <v>10</v>
      </c>
      <c r="B232" s="211">
        <f t="shared" si="12"/>
        <v>150</v>
      </c>
      <c r="C232" s="211" t="s">
        <v>3</v>
      </c>
      <c r="D232" s="211">
        <f t="shared" si="13"/>
        <v>360</v>
      </c>
      <c r="E232" s="211" t="s">
        <v>3</v>
      </c>
      <c r="F232" s="209">
        <f t="shared" si="14"/>
        <v>2000</v>
      </c>
      <c r="G232" s="211" t="s">
        <v>3</v>
      </c>
      <c r="H232" s="208">
        <v>6</v>
      </c>
      <c r="I232" s="210" t="s">
        <v>531</v>
      </c>
      <c r="J232" s="103">
        <v>150</v>
      </c>
      <c r="K232" s="66">
        <v>360</v>
      </c>
      <c r="L232" s="66">
        <v>2000</v>
      </c>
      <c r="M232" s="156">
        <v>37.288234334333843</v>
      </c>
      <c r="N232" s="78">
        <v>11597.226498</v>
      </c>
      <c r="O232" s="113">
        <v>92253.809359735751</v>
      </c>
      <c r="P232" s="113">
        <v>110024.87797681367</v>
      </c>
      <c r="Q232" s="110">
        <v>29944.555671402581</v>
      </c>
      <c r="R232" s="113">
        <v>122198.36503113832</v>
      </c>
      <c r="S232" s="113">
        <v>139969.43364821625</v>
      </c>
      <c r="U232" s="7" t="s">
        <v>7394</v>
      </c>
    </row>
    <row r="233" spans="1:21" ht="16.5" thickBot="1">
      <c r="A233" s="207" t="s">
        <v>10</v>
      </c>
      <c r="B233" s="211">
        <f t="shared" si="12"/>
        <v>150</v>
      </c>
      <c r="C233" s="211" t="s">
        <v>3</v>
      </c>
      <c r="D233" s="211">
        <f t="shared" si="13"/>
        <v>360</v>
      </c>
      <c r="E233" s="211" t="s">
        <v>3</v>
      </c>
      <c r="F233" s="209">
        <f t="shared" si="14"/>
        <v>2050</v>
      </c>
      <c r="G233" s="211" t="s">
        <v>3</v>
      </c>
      <c r="H233" s="208">
        <v>6</v>
      </c>
      <c r="I233" s="210" t="s">
        <v>531</v>
      </c>
      <c r="J233" s="103">
        <v>150</v>
      </c>
      <c r="K233" s="66">
        <v>360</v>
      </c>
      <c r="L233" s="66">
        <v>2050</v>
      </c>
      <c r="M233" s="156">
        <v>38.86167790125473</v>
      </c>
      <c r="N233" s="78">
        <v>11948.657604</v>
      </c>
      <c r="O233" s="113">
        <v>96053.47227237148</v>
      </c>
      <c r="P233" s="113">
        <v>114245.55776595912</v>
      </c>
      <c r="Q233" s="110">
        <v>30547.976555640766</v>
      </c>
      <c r="R233" s="113">
        <v>126601.44882801225</v>
      </c>
      <c r="S233" s="113">
        <v>144793.53432159987</v>
      </c>
      <c r="U233" s="7" t="s">
        <v>7395</v>
      </c>
    </row>
    <row r="234" spans="1:21" ht="16.5" thickBot="1">
      <c r="A234" s="207" t="s">
        <v>10</v>
      </c>
      <c r="B234" s="208">
        <f t="shared" si="12"/>
        <v>150</v>
      </c>
      <c r="C234" s="208" t="s">
        <v>3</v>
      </c>
      <c r="D234" s="208">
        <f t="shared" si="13"/>
        <v>360</v>
      </c>
      <c r="E234" s="208" t="s">
        <v>3</v>
      </c>
      <c r="F234" s="209">
        <f t="shared" si="14"/>
        <v>2100</v>
      </c>
      <c r="G234" s="208" t="s">
        <v>3</v>
      </c>
      <c r="H234" s="208">
        <v>6</v>
      </c>
      <c r="I234" s="210" t="s">
        <v>531</v>
      </c>
      <c r="J234" s="103">
        <v>150</v>
      </c>
      <c r="K234" s="66">
        <v>360</v>
      </c>
      <c r="L234" s="66">
        <v>2100</v>
      </c>
      <c r="M234" s="156">
        <v>39.674657468175624</v>
      </c>
      <c r="N234" s="78">
        <v>12300.08871</v>
      </c>
      <c r="O234" s="113">
        <v>97701.874303719262</v>
      </c>
      <c r="P234" s="113">
        <v>116259.39815048969</v>
      </c>
      <c r="Q234" s="110">
        <v>31402.731577662726</v>
      </c>
      <c r="R234" s="113">
        <v>129104.60588138198</v>
      </c>
      <c r="S234" s="113">
        <v>147662.12972815242</v>
      </c>
      <c r="U234" s="7" t="s">
        <v>7396</v>
      </c>
    </row>
    <row r="235" spans="1:21" ht="16.5" thickBot="1">
      <c r="A235" s="207" t="s">
        <v>10</v>
      </c>
      <c r="B235" s="211">
        <f t="shared" si="12"/>
        <v>150</v>
      </c>
      <c r="C235" s="211" t="s">
        <v>3</v>
      </c>
      <c r="D235" s="211">
        <f t="shared" si="13"/>
        <v>360</v>
      </c>
      <c r="E235" s="211" t="s">
        <v>3</v>
      </c>
      <c r="F235" s="209">
        <f t="shared" si="14"/>
        <v>2150</v>
      </c>
      <c r="G235" s="211" t="s">
        <v>3</v>
      </c>
      <c r="H235" s="208">
        <v>6</v>
      </c>
      <c r="I235" s="210" t="s">
        <v>531</v>
      </c>
      <c r="J235" s="103">
        <v>150</v>
      </c>
      <c r="K235" s="66">
        <v>360</v>
      </c>
      <c r="L235" s="66">
        <v>2150</v>
      </c>
      <c r="M235" s="156">
        <v>40.472301035096528</v>
      </c>
      <c r="N235" s="78">
        <v>12651.519816000002</v>
      </c>
      <c r="O235" s="113">
        <v>99497.544416494711</v>
      </c>
      <c r="P235" s="113">
        <v>118424.78410097533</v>
      </c>
      <c r="Q235" s="110">
        <v>32006.152461900914</v>
      </c>
      <c r="R235" s="113">
        <v>131503.69687839563</v>
      </c>
      <c r="S235" s="113">
        <v>150430.93656287625</v>
      </c>
      <c r="U235" s="7" t="s">
        <v>7397</v>
      </c>
    </row>
    <row r="236" spans="1:21" ht="16.5" thickBot="1">
      <c r="A236" s="207" t="s">
        <v>10</v>
      </c>
      <c r="B236" s="211">
        <f t="shared" si="12"/>
        <v>150</v>
      </c>
      <c r="C236" s="211" t="s">
        <v>3</v>
      </c>
      <c r="D236" s="211">
        <f t="shared" si="13"/>
        <v>360</v>
      </c>
      <c r="E236" s="211" t="s">
        <v>3</v>
      </c>
      <c r="F236" s="209">
        <f t="shared" si="14"/>
        <v>2200</v>
      </c>
      <c r="G236" s="211" t="s">
        <v>3</v>
      </c>
      <c r="H236" s="208">
        <v>6</v>
      </c>
      <c r="I236" s="210" t="s">
        <v>531</v>
      </c>
      <c r="J236" s="103">
        <v>150</v>
      </c>
      <c r="K236" s="66">
        <v>360</v>
      </c>
      <c r="L236" s="66">
        <v>2200</v>
      </c>
      <c r="M236" s="156">
        <v>41.285280602017416</v>
      </c>
      <c r="N236" s="78">
        <v>13002.950922000002</v>
      </c>
      <c r="O236" s="113">
        <v>101293.20048122955</v>
      </c>
      <c r="P236" s="113">
        <v>120590.17930204984</v>
      </c>
      <c r="Q236" s="110">
        <v>32860.907483922878</v>
      </c>
      <c r="R236" s="113">
        <v>134154.10796515242</v>
      </c>
      <c r="S236" s="113">
        <v>153451.08678597273</v>
      </c>
      <c r="U236" s="7" t="s">
        <v>7398</v>
      </c>
    </row>
    <row r="237" spans="1:21" ht="16.5" thickBot="1">
      <c r="A237" s="207" t="s">
        <v>10</v>
      </c>
      <c r="B237" s="211">
        <f t="shared" si="12"/>
        <v>150</v>
      </c>
      <c r="C237" s="211" t="s">
        <v>3</v>
      </c>
      <c r="D237" s="211">
        <f t="shared" si="13"/>
        <v>360</v>
      </c>
      <c r="E237" s="211" t="s">
        <v>3</v>
      </c>
      <c r="F237" s="209">
        <f t="shared" si="14"/>
        <v>2250</v>
      </c>
      <c r="G237" s="211" t="s">
        <v>3</v>
      </c>
      <c r="H237" s="208">
        <v>6</v>
      </c>
      <c r="I237" s="210" t="s">
        <v>531</v>
      </c>
      <c r="J237" s="103">
        <v>150</v>
      </c>
      <c r="K237" s="66">
        <v>360</v>
      </c>
      <c r="L237" s="66">
        <v>2250</v>
      </c>
      <c r="M237" s="156">
        <v>42.08292416893832</v>
      </c>
      <c r="N237" s="78">
        <v>13354.382028</v>
      </c>
      <c r="O237" s="113">
        <v>103328.42688818381</v>
      </c>
      <c r="P237" s="113">
        <v>122998.14956361672</v>
      </c>
      <c r="Q237" s="110">
        <v>33464.328368161063</v>
      </c>
      <c r="R237" s="113">
        <v>136792.75525634486</v>
      </c>
      <c r="S237" s="113">
        <v>156462.47793177777</v>
      </c>
      <c r="U237" s="7" t="s">
        <v>7399</v>
      </c>
    </row>
    <row r="238" spans="1:21" ht="16.5" thickBot="1">
      <c r="A238" s="207" t="s">
        <v>10</v>
      </c>
      <c r="B238" s="211">
        <f t="shared" si="12"/>
        <v>150</v>
      </c>
      <c r="C238" s="211" t="s">
        <v>3</v>
      </c>
      <c r="D238" s="211">
        <f t="shared" si="13"/>
        <v>360</v>
      </c>
      <c r="E238" s="211" t="s">
        <v>3</v>
      </c>
      <c r="F238" s="209">
        <f t="shared" si="14"/>
        <v>2300</v>
      </c>
      <c r="G238" s="211" t="s">
        <v>3</v>
      </c>
      <c r="H238" s="208">
        <v>6</v>
      </c>
      <c r="I238" s="210" t="s">
        <v>531</v>
      </c>
      <c r="J238" s="103">
        <v>150</v>
      </c>
      <c r="K238" s="66">
        <v>360</v>
      </c>
      <c r="L238" s="66">
        <v>2300</v>
      </c>
      <c r="M238" s="156">
        <v>42.880567735859202</v>
      </c>
      <c r="N238" s="78">
        <v>13705.813134</v>
      </c>
      <c r="O238" s="113">
        <v>104802.57988508983</v>
      </c>
      <c r="P238" s="113">
        <v>124828.8025295495</v>
      </c>
      <c r="Q238" s="110">
        <v>34067.749252399248</v>
      </c>
      <c r="R238" s="113">
        <v>138870.32913748908</v>
      </c>
      <c r="S238" s="113">
        <v>158896.55178194874</v>
      </c>
      <c r="U238" s="7" t="s">
        <v>7400</v>
      </c>
    </row>
    <row r="239" spans="1:21" ht="16.5" thickBot="1">
      <c r="A239" s="207" t="s">
        <v>10</v>
      </c>
      <c r="B239" s="211">
        <f t="shared" si="12"/>
        <v>150</v>
      </c>
      <c r="C239" s="211" t="s">
        <v>3</v>
      </c>
      <c r="D239" s="211">
        <f t="shared" si="13"/>
        <v>360</v>
      </c>
      <c r="E239" s="211" t="s">
        <v>3</v>
      </c>
      <c r="F239" s="209">
        <f t="shared" si="14"/>
        <v>2350</v>
      </c>
      <c r="G239" s="211" t="s">
        <v>3</v>
      </c>
      <c r="H239" s="208">
        <v>6</v>
      </c>
      <c r="I239" s="210" t="s">
        <v>531</v>
      </c>
      <c r="J239" s="103">
        <v>150</v>
      </c>
      <c r="K239" s="66">
        <v>360</v>
      </c>
      <c r="L239" s="66">
        <v>2350</v>
      </c>
      <c r="M239" s="156">
        <v>43.693547302780097</v>
      </c>
      <c r="N239" s="78">
        <v>14057.244240000002</v>
      </c>
      <c r="O239" s="113">
        <v>106259.71107927334</v>
      </c>
      <c r="P239" s="113">
        <v>126639.66322020846</v>
      </c>
      <c r="Q239" s="110">
        <v>34922.504274421211</v>
      </c>
      <c r="R239" s="113">
        <v>141182.21535369457</v>
      </c>
      <c r="S239" s="113">
        <v>161562.16749462968</v>
      </c>
      <c r="U239" s="7" t="s">
        <v>7401</v>
      </c>
    </row>
    <row r="240" spans="1:21" ht="16.5" thickBot="1">
      <c r="A240" s="207" t="s">
        <v>10</v>
      </c>
      <c r="B240" s="211">
        <f t="shared" si="12"/>
        <v>150</v>
      </c>
      <c r="C240" s="211" t="s">
        <v>3</v>
      </c>
      <c r="D240" s="211">
        <f t="shared" si="13"/>
        <v>360</v>
      </c>
      <c r="E240" s="211" t="s">
        <v>3</v>
      </c>
      <c r="F240" s="209">
        <f t="shared" si="14"/>
        <v>2400</v>
      </c>
      <c r="G240" s="211" t="s">
        <v>3</v>
      </c>
      <c r="H240" s="208">
        <v>6</v>
      </c>
      <c r="I240" s="210" t="s">
        <v>531</v>
      </c>
      <c r="J240" s="103">
        <v>150</v>
      </c>
      <c r="K240" s="66">
        <v>360</v>
      </c>
      <c r="L240" s="66">
        <v>2400</v>
      </c>
      <c r="M240" s="156">
        <v>44.491190869701001</v>
      </c>
      <c r="N240" s="78">
        <v>14408.675346</v>
      </c>
      <c r="O240" s="113">
        <v>107788.72765829734</v>
      </c>
      <c r="P240" s="113">
        <v>128543.06495162311</v>
      </c>
      <c r="Q240" s="110">
        <v>35525.925158659396</v>
      </c>
      <c r="R240" s="113">
        <v>143314.65281695675</v>
      </c>
      <c r="S240" s="113">
        <v>164068.9901102825</v>
      </c>
      <c r="U240" s="7" t="s">
        <v>7402</v>
      </c>
    </row>
    <row r="241" spans="1:21" ht="16.5" thickBot="1">
      <c r="A241" s="207" t="s">
        <v>10</v>
      </c>
      <c r="B241" s="211">
        <f t="shared" si="12"/>
        <v>150</v>
      </c>
      <c r="C241" s="211" t="s">
        <v>3</v>
      </c>
      <c r="D241" s="211">
        <f t="shared" si="13"/>
        <v>360</v>
      </c>
      <c r="E241" s="211" t="s">
        <v>3</v>
      </c>
      <c r="F241" s="209">
        <f t="shared" si="14"/>
        <v>2450</v>
      </c>
      <c r="G241" s="211" t="s">
        <v>3</v>
      </c>
      <c r="H241" s="208">
        <v>6</v>
      </c>
      <c r="I241" s="210" t="s">
        <v>531</v>
      </c>
      <c r="J241" s="103">
        <v>150</v>
      </c>
      <c r="K241" s="66">
        <v>360</v>
      </c>
      <c r="L241" s="66">
        <v>2450</v>
      </c>
      <c r="M241" s="156">
        <v>46.049029601185886</v>
      </c>
      <c r="N241" s="78">
        <v>14760.106452000002</v>
      </c>
      <c r="O241" s="113">
        <v>109848.91066959476</v>
      </c>
      <c r="P241" s="113">
        <v>131182.68447434789</v>
      </c>
      <c r="Q241" s="110">
        <v>36380.680180681353</v>
      </c>
      <c r="R241" s="113">
        <v>146229.59085027612</v>
      </c>
      <c r="S241" s="113">
        <v>167563.36465502923</v>
      </c>
      <c r="U241" s="7" t="s">
        <v>7403</v>
      </c>
    </row>
    <row r="242" spans="1:21" ht="16.5" thickBot="1">
      <c r="A242" s="207" t="s">
        <v>10</v>
      </c>
      <c r="B242" s="211">
        <f t="shared" si="12"/>
        <v>150</v>
      </c>
      <c r="C242" s="211" t="s">
        <v>3</v>
      </c>
      <c r="D242" s="211">
        <f t="shared" si="13"/>
        <v>360</v>
      </c>
      <c r="E242" s="211" t="s">
        <v>3</v>
      </c>
      <c r="F242" s="209">
        <f t="shared" si="14"/>
        <v>2500</v>
      </c>
      <c r="G242" s="211" t="s">
        <v>3</v>
      </c>
      <c r="H242" s="208">
        <v>6</v>
      </c>
      <c r="I242" s="210" t="s">
        <v>531</v>
      </c>
      <c r="J242" s="103">
        <v>150</v>
      </c>
      <c r="K242" s="66">
        <v>360</v>
      </c>
      <c r="L242" s="66">
        <v>2500</v>
      </c>
      <c r="M242" s="156">
        <v>46.846673168106783</v>
      </c>
      <c r="N242" s="78">
        <v>15111.537558</v>
      </c>
      <c r="O242" s="113">
        <v>111378.63849571331</v>
      </c>
      <c r="P242" s="113">
        <v>133065.03826978966</v>
      </c>
      <c r="Q242" s="110">
        <v>36984.101064919538</v>
      </c>
      <c r="R242" s="113">
        <v>148362.73956063285</v>
      </c>
      <c r="S242" s="113">
        <v>170049.13933470921</v>
      </c>
      <c r="U242" s="7" t="s">
        <v>7404</v>
      </c>
    </row>
    <row r="243" spans="1:21" ht="16.5" thickBot="1">
      <c r="A243" s="207" t="s">
        <v>10</v>
      </c>
      <c r="B243" s="211">
        <f t="shared" si="12"/>
        <v>150</v>
      </c>
      <c r="C243" s="211" t="s">
        <v>3</v>
      </c>
      <c r="D243" s="211">
        <f t="shared" si="13"/>
        <v>360</v>
      </c>
      <c r="E243" s="211" t="s">
        <v>3</v>
      </c>
      <c r="F243" s="209">
        <f t="shared" si="14"/>
        <v>2550</v>
      </c>
      <c r="G243" s="211" t="s">
        <v>3</v>
      </c>
      <c r="H243" s="208">
        <v>6</v>
      </c>
      <c r="I243" s="210" t="s">
        <v>531</v>
      </c>
      <c r="J243" s="103">
        <v>150</v>
      </c>
      <c r="K243" s="66">
        <v>360</v>
      </c>
      <c r="L243" s="66">
        <v>2550</v>
      </c>
      <c r="M243" s="156">
        <v>47.659652735027684</v>
      </c>
      <c r="N243" s="78">
        <v>15462.968664000002</v>
      </c>
      <c r="O243" s="113">
        <v>116125.22220480713</v>
      </c>
      <c r="P243" s="113">
        <v>138263.19960418865</v>
      </c>
      <c r="Q243" s="110">
        <v>37838.856239970264</v>
      </c>
      <c r="R243" s="113">
        <v>153964.07844477741</v>
      </c>
      <c r="S243" s="113">
        <v>176102.05584415892</v>
      </c>
      <c r="U243" s="7" t="s">
        <v>7405</v>
      </c>
    </row>
    <row r="244" spans="1:21" ht="16.5" thickBot="1">
      <c r="A244" s="207" t="s">
        <v>10</v>
      </c>
      <c r="B244" s="208">
        <f t="shared" si="12"/>
        <v>150</v>
      </c>
      <c r="C244" s="208" t="s">
        <v>3</v>
      </c>
      <c r="D244" s="208">
        <f t="shared" si="13"/>
        <v>360</v>
      </c>
      <c r="E244" s="208" t="s">
        <v>3</v>
      </c>
      <c r="F244" s="209">
        <f t="shared" si="14"/>
        <v>2600</v>
      </c>
      <c r="G244" s="208" t="s">
        <v>3</v>
      </c>
      <c r="H244" s="208">
        <v>6</v>
      </c>
      <c r="I244" s="210" t="s">
        <v>531</v>
      </c>
      <c r="J244" s="103">
        <v>150</v>
      </c>
      <c r="K244" s="66">
        <v>360</v>
      </c>
      <c r="L244" s="66">
        <v>2600</v>
      </c>
      <c r="M244" s="156">
        <v>48.457296301948581</v>
      </c>
      <c r="N244" s="78">
        <v>15814.399770000002</v>
      </c>
      <c r="O244" s="113">
        <v>117860.53959365959</v>
      </c>
      <c r="P244" s="113">
        <v>140362.17571962392</v>
      </c>
      <c r="Q244" s="110">
        <v>38442.277124208456</v>
      </c>
      <c r="R244" s="113">
        <v>156302.81671786803</v>
      </c>
      <c r="S244" s="113">
        <v>178804.45284383238</v>
      </c>
      <c r="U244" s="7" t="s">
        <v>7406</v>
      </c>
    </row>
    <row r="245" spans="1:21" ht="16.5" thickBot="1">
      <c r="A245" s="207" t="s">
        <v>10</v>
      </c>
      <c r="B245" s="211">
        <f t="shared" si="12"/>
        <v>150</v>
      </c>
      <c r="C245" s="211" t="s">
        <v>3</v>
      </c>
      <c r="D245" s="211">
        <f t="shared" si="13"/>
        <v>360</v>
      </c>
      <c r="E245" s="211" t="s">
        <v>3</v>
      </c>
      <c r="F245" s="209">
        <f t="shared" si="14"/>
        <v>2650</v>
      </c>
      <c r="G245" s="211" t="s">
        <v>3</v>
      </c>
      <c r="H245" s="208">
        <v>6</v>
      </c>
      <c r="I245" s="210" t="s">
        <v>531</v>
      </c>
      <c r="J245" s="103">
        <v>150</v>
      </c>
      <c r="K245" s="66">
        <v>360</v>
      </c>
      <c r="L245" s="66">
        <v>2650</v>
      </c>
      <c r="M245" s="156">
        <v>49.270275868869483</v>
      </c>
      <c r="N245" s="78">
        <v>16165.830876</v>
      </c>
      <c r="O245" s="113">
        <v>119168.36912245853</v>
      </c>
      <c r="P245" s="113">
        <v>142021.12565954332</v>
      </c>
      <c r="Q245" s="110">
        <v>39297.032146230413</v>
      </c>
      <c r="R245" s="113">
        <v>158465.40126868896</v>
      </c>
      <c r="S245" s="113">
        <v>181318.15780577372</v>
      </c>
      <c r="U245" s="7" t="s">
        <v>7407</v>
      </c>
    </row>
    <row r="246" spans="1:21" ht="16.5" thickBot="1">
      <c r="A246" s="207" t="s">
        <v>10</v>
      </c>
      <c r="B246" s="211">
        <f t="shared" si="12"/>
        <v>150</v>
      </c>
      <c r="C246" s="211" t="s">
        <v>3</v>
      </c>
      <c r="D246" s="211">
        <f t="shared" si="13"/>
        <v>360</v>
      </c>
      <c r="E246" s="211" t="s">
        <v>3</v>
      </c>
      <c r="F246" s="209">
        <f t="shared" si="14"/>
        <v>2700</v>
      </c>
      <c r="G246" s="211" t="s">
        <v>3</v>
      </c>
      <c r="H246" s="208">
        <v>6</v>
      </c>
      <c r="I246" s="210" t="s">
        <v>531</v>
      </c>
      <c r="J246" s="103">
        <v>150</v>
      </c>
      <c r="K246" s="66">
        <v>360</v>
      </c>
      <c r="L246" s="66">
        <v>2700</v>
      </c>
      <c r="M246" s="156">
        <v>50.209219435790374</v>
      </c>
      <c r="N246" s="78">
        <v>16517.261982000004</v>
      </c>
      <c r="O246" s="113">
        <v>120594.46247159585</v>
      </c>
      <c r="P246" s="113">
        <v>143801.72497004975</v>
      </c>
      <c r="Q246" s="110">
        <v>39900.453030468605</v>
      </c>
      <c r="R246" s="113">
        <v>160494.91550206445</v>
      </c>
      <c r="S246" s="113">
        <v>183702.17800051835</v>
      </c>
      <c r="U246" s="7" t="s">
        <v>7408</v>
      </c>
    </row>
    <row r="247" spans="1:21" ht="16.5" thickBot="1">
      <c r="A247" s="207" t="s">
        <v>10</v>
      </c>
      <c r="B247" s="211">
        <f t="shared" si="12"/>
        <v>150</v>
      </c>
      <c r="C247" s="211" t="s">
        <v>3</v>
      </c>
      <c r="D247" s="211">
        <f t="shared" si="13"/>
        <v>360</v>
      </c>
      <c r="E247" s="211" t="s">
        <v>3</v>
      </c>
      <c r="F247" s="209">
        <f t="shared" si="14"/>
        <v>2750</v>
      </c>
      <c r="G247" s="211" t="s">
        <v>3</v>
      </c>
      <c r="H247" s="208">
        <v>6</v>
      </c>
      <c r="I247" s="210" t="s">
        <v>531</v>
      </c>
      <c r="J247" s="103">
        <v>150</v>
      </c>
      <c r="K247" s="66">
        <v>360</v>
      </c>
      <c r="L247" s="66">
        <v>2750</v>
      </c>
      <c r="M247" s="156">
        <v>51.006863002711263</v>
      </c>
      <c r="N247" s="78">
        <v>16868.693088</v>
      </c>
      <c r="O247" s="113">
        <v>121983.3499753255</v>
      </c>
      <c r="P247" s="113">
        <v>145543.96208858769</v>
      </c>
      <c r="Q247" s="110">
        <v>40503.87391470679</v>
      </c>
      <c r="R247" s="113">
        <v>162487.2238900323</v>
      </c>
      <c r="S247" s="113">
        <v>186047.83600329448</v>
      </c>
      <c r="U247" s="7" t="s">
        <v>7409</v>
      </c>
    </row>
    <row r="248" spans="1:21" ht="16.5" thickBot="1">
      <c r="A248" s="207" t="s">
        <v>10</v>
      </c>
      <c r="B248" s="211">
        <f t="shared" si="12"/>
        <v>150</v>
      </c>
      <c r="C248" s="211" t="s">
        <v>3</v>
      </c>
      <c r="D248" s="211">
        <f t="shared" si="13"/>
        <v>360</v>
      </c>
      <c r="E248" s="211" t="s">
        <v>3</v>
      </c>
      <c r="F248" s="209">
        <f t="shared" si="14"/>
        <v>2800</v>
      </c>
      <c r="G248" s="211" t="s">
        <v>3</v>
      </c>
      <c r="H248" s="208">
        <v>6</v>
      </c>
      <c r="I248" s="210" t="s">
        <v>531</v>
      </c>
      <c r="J248" s="103">
        <v>150</v>
      </c>
      <c r="K248" s="66">
        <v>360</v>
      </c>
      <c r="L248" s="66">
        <v>2800</v>
      </c>
      <c r="M248" s="156">
        <v>51.819842569632158</v>
      </c>
      <c r="N248" s="78">
        <v>17220.124194000004</v>
      </c>
      <c r="O248" s="113">
        <v>123290.21994490418</v>
      </c>
      <c r="P248" s="113">
        <v>147201.7054670873</v>
      </c>
      <c r="Q248" s="110">
        <v>41358.628936728746</v>
      </c>
      <c r="R248" s="113">
        <v>164648.84888163293</v>
      </c>
      <c r="S248" s="113">
        <v>188560.33440381606</v>
      </c>
      <c r="U248" s="7" t="s">
        <v>7410</v>
      </c>
    </row>
    <row r="249" spans="1:21" ht="16.5" thickBot="1">
      <c r="A249" s="207" t="s">
        <v>10</v>
      </c>
      <c r="B249" s="211">
        <f t="shared" si="12"/>
        <v>150</v>
      </c>
      <c r="C249" s="211" t="s">
        <v>3</v>
      </c>
      <c r="D249" s="211">
        <f t="shared" si="13"/>
        <v>360</v>
      </c>
      <c r="E249" s="211" t="s">
        <v>3</v>
      </c>
      <c r="F249" s="209">
        <f t="shared" si="14"/>
        <v>2850</v>
      </c>
      <c r="G249" s="211" t="s">
        <v>3</v>
      </c>
      <c r="H249" s="208">
        <v>6</v>
      </c>
      <c r="I249" s="210" t="s">
        <v>531</v>
      </c>
      <c r="J249" s="103">
        <v>150</v>
      </c>
      <c r="K249" s="66">
        <v>360</v>
      </c>
      <c r="L249" s="66">
        <v>2850</v>
      </c>
      <c r="M249" s="156">
        <v>53.393286136553044</v>
      </c>
      <c r="N249" s="78">
        <v>17571.5553</v>
      </c>
      <c r="O249" s="113">
        <v>124597.16730878082</v>
      </c>
      <c r="P249" s="113">
        <v>148859.45738459201</v>
      </c>
      <c r="Q249" s="110">
        <v>41962.049820966939</v>
      </c>
      <c r="R249" s="113">
        <v>166559.21712974776</v>
      </c>
      <c r="S249" s="113">
        <v>190821.50720555894</v>
      </c>
      <c r="U249" s="7" t="s">
        <v>7411</v>
      </c>
    </row>
    <row r="250" spans="1:21" ht="16.5" thickBot="1">
      <c r="A250" s="207" t="s">
        <v>10</v>
      </c>
      <c r="B250" s="211">
        <f t="shared" si="12"/>
        <v>150</v>
      </c>
      <c r="C250" s="211" t="s">
        <v>3</v>
      </c>
      <c r="D250" s="211">
        <f t="shared" si="13"/>
        <v>360</v>
      </c>
      <c r="E250" s="211" t="s">
        <v>3</v>
      </c>
      <c r="F250" s="209">
        <f t="shared" si="14"/>
        <v>2900</v>
      </c>
      <c r="G250" s="211" t="s">
        <v>3</v>
      </c>
      <c r="H250" s="208">
        <v>6</v>
      </c>
      <c r="I250" s="210" t="s">
        <v>531</v>
      </c>
      <c r="J250" s="103">
        <v>150</v>
      </c>
      <c r="K250" s="66">
        <v>360</v>
      </c>
      <c r="L250" s="66">
        <v>2900</v>
      </c>
      <c r="M250" s="156">
        <v>54.206265703473946</v>
      </c>
      <c r="N250" s="78">
        <v>17922.986406</v>
      </c>
      <c r="O250" s="113">
        <v>125904.18790457302</v>
      </c>
      <c r="P250" s="113">
        <v>150517.21584866726</v>
      </c>
      <c r="Q250" s="110">
        <v>42816.804842988895</v>
      </c>
      <c r="R250" s="113">
        <v>168720.99274756192</v>
      </c>
      <c r="S250" s="113">
        <v>193334.02069165616</v>
      </c>
      <c r="U250" s="7" t="s">
        <v>7412</v>
      </c>
    </row>
    <row r="251" spans="1:21" ht="16.5" thickBot="1">
      <c r="A251" s="207" t="s">
        <v>10</v>
      </c>
      <c r="B251" s="211">
        <f t="shared" si="12"/>
        <v>150</v>
      </c>
      <c r="C251" s="211" t="s">
        <v>3</v>
      </c>
      <c r="D251" s="211">
        <f t="shared" si="13"/>
        <v>360</v>
      </c>
      <c r="E251" s="211" t="s">
        <v>3</v>
      </c>
      <c r="F251" s="209">
        <f t="shared" si="14"/>
        <v>2950</v>
      </c>
      <c r="G251" s="211" t="s">
        <v>3</v>
      </c>
      <c r="H251" s="208">
        <v>6</v>
      </c>
      <c r="I251" s="210" t="s">
        <v>531</v>
      </c>
      <c r="J251" s="103">
        <v>150</v>
      </c>
      <c r="K251" s="66">
        <v>360</v>
      </c>
      <c r="L251" s="66">
        <v>2950</v>
      </c>
      <c r="M251" s="156">
        <v>55.003909270394836</v>
      </c>
      <c r="N251" s="78">
        <v>18274.417512000004</v>
      </c>
      <c r="O251" s="113">
        <v>127211.27730974944</v>
      </c>
      <c r="P251" s="113">
        <v>152174.97915151206</v>
      </c>
      <c r="Q251" s="110">
        <v>43420.22572722708</v>
      </c>
      <c r="R251" s="113">
        <v>170631.5030369765</v>
      </c>
      <c r="S251" s="113">
        <v>195595.20487873914</v>
      </c>
      <c r="U251" s="7" t="s">
        <v>7413</v>
      </c>
    </row>
    <row r="252" spans="1:21" ht="16.5" thickBot="1">
      <c r="A252" s="207" t="s">
        <v>10</v>
      </c>
      <c r="B252" s="211">
        <f t="shared" si="12"/>
        <v>150</v>
      </c>
      <c r="C252" s="211" t="s">
        <v>3</v>
      </c>
      <c r="D252" s="211">
        <f t="shared" si="13"/>
        <v>360</v>
      </c>
      <c r="E252" s="211" t="s">
        <v>3</v>
      </c>
      <c r="F252" s="209">
        <f t="shared" si="14"/>
        <v>3000</v>
      </c>
      <c r="G252" s="211" t="s">
        <v>3</v>
      </c>
      <c r="H252" s="208">
        <v>6</v>
      </c>
      <c r="I252" s="210" t="s">
        <v>531</v>
      </c>
      <c r="J252" s="125">
        <v>150</v>
      </c>
      <c r="K252" s="126">
        <v>360</v>
      </c>
      <c r="L252" s="126">
        <v>3000</v>
      </c>
      <c r="M252" s="157">
        <v>55.81688883731573</v>
      </c>
      <c r="N252" s="127">
        <v>18625.848618</v>
      </c>
      <c r="O252" s="128">
        <v>130226.58751457791</v>
      </c>
      <c r="P252" s="128">
        <v>155592.03865495487</v>
      </c>
      <c r="Q252" s="136">
        <v>44274.980749249036</v>
      </c>
      <c r="R252" s="128">
        <v>174501.56826382695</v>
      </c>
      <c r="S252" s="128">
        <v>199867.01940420392</v>
      </c>
      <c r="U252" s="7" t="s">
        <v>7414</v>
      </c>
    </row>
    <row r="253" spans="1:21" ht="22.5" customHeight="1" thickBot="1">
      <c r="A253" s="2968" t="s">
        <v>44</v>
      </c>
      <c r="B253" s="2969"/>
      <c r="C253" s="2969"/>
      <c r="D253" s="2969"/>
      <c r="E253" s="2969"/>
      <c r="F253" s="2969"/>
      <c r="G253" s="2969"/>
      <c r="H253" s="2969"/>
      <c r="I253" s="2969"/>
      <c r="J253" s="2969"/>
      <c r="K253" s="2969"/>
      <c r="L253" s="2969"/>
      <c r="M253" s="2969"/>
      <c r="N253" s="2969"/>
      <c r="O253" s="2969"/>
      <c r="P253" s="2969"/>
      <c r="Q253" s="2969"/>
      <c r="R253" s="2969"/>
      <c r="S253" s="2970"/>
      <c r="U253" s="7"/>
    </row>
    <row r="254" spans="1:21" ht="19.5" thickBot="1">
      <c r="A254" s="3015" t="s">
        <v>118</v>
      </c>
      <c r="B254" s="3016"/>
      <c r="C254" s="3016"/>
      <c r="D254" s="3016"/>
      <c r="E254" s="3016"/>
      <c r="F254" s="3016"/>
      <c r="G254" s="3016"/>
      <c r="H254" s="3016"/>
      <c r="I254" s="3016"/>
      <c r="J254" s="3016"/>
      <c r="K254" s="3016"/>
      <c r="L254" s="3016"/>
      <c r="M254" s="3016"/>
      <c r="N254" s="3016"/>
      <c r="O254" s="3016"/>
      <c r="P254" s="3016"/>
      <c r="Q254" s="3016"/>
      <c r="R254" s="3016"/>
      <c r="S254" s="3017"/>
      <c r="U254" s="7"/>
    </row>
    <row r="255" spans="1:21" ht="16.5" thickBot="1">
      <c r="A255" s="207" t="s">
        <v>10</v>
      </c>
      <c r="B255" s="208">
        <f t="shared" ref="B255:B301" si="15">J255</f>
        <v>150</v>
      </c>
      <c r="C255" s="208" t="s">
        <v>3</v>
      </c>
      <c r="D255" s="208">
        <f t="shared" ref="D255:D301" si="16">K255</f>
        <v>360</v>
      </c>
      <c r="E255" s="208" t="s">
        <v>3</v>
      </c>
      <c r="F255" s="209">
        <f t="shared" ref="F255:F301" si="17">L255</f>
        <v>700</v>
      </c>
      <c r="G255" s="208" t="s">
        <v>3</v>
      </c>
      <c r="H255" s="208">
        <v>8</v>
      </c>
      <c r="I255" s="210" t="s">
        <v>531</v>
      </c>
      <c r="J255" s="286">
        <v>150</v>
      </c>
      <c r="K255" s="271">
        <v>360</v>
      </c>
      <c r="L255" s="271">
        <v>700</v>
      </c>
      <c r="M255" s="282">
        <v>15.946711410918418</v>
      </c>
      <c r="N255" s="246">
        <v>2589.4923600000002</v>
      </c>
      <c r="O255" s="247">
        <v>38900.013874206699</v>
      </c>
      <c r="P255" s="247">
        <v>46757.209512185895</v>
      </c>
      <c r="Q255" s="248">
        <v>11490.936859530682</v>
      </c>
      <c r="R255" s="247">
        <v>50390.95073373738</v>
      </c>
      <c r="S255" s="247">
        <v>58248.146371716575</v>
      </c>
      <c r="U255" s="7" t="s">
        <v>7415</v>
      </c>
    </row>
    <row r="256" spans="1:21" ht="16.5" thickBot="1">
      <c r="A256" s="207" t="s">
        <v>10</v>
      </c>
      <c r="B256" s="211">
        <f t="shared" si="15"/>
        <v>150</v>
      </c>
      <c r="C256" s="211" t="s">
        <v>3</v>
      </c>
      <c r="D256" s="211">
        <f t="shared" si="16"/>
        <v>360</v>
      </c>
      <c r="E256" s="211" t="s">
        <v>3</v>
      </c>
      <c r="F256" s="209">
        <f t="shared" si="17"/>
        <v>750</v>
      </c>
      <c r="G256" s="211" t="s">
        <v>3</v>
      </c>
      <c r="H256" s="208">
        <v>8</v>
      </c>
      <c r="I256" s="210" t="s">
        <v>531</v>
      </c>
      <c r="J256" s="103">
        <v>150</v>
      </c>
      <c r="K256" s="66">
        <v>360</v>
      </c>
      <c r="L256" s="66">
        <v>750</v>
      </c>
      <c r="M256" s="156">
        <v>16.832982040830522</v>
      </c>
      <c r="N256" s="78">
        <v>2959.4198400000005</v>
      </c>
      <c r="O256" s="113">
        <v>41426.564779215812</v>
      </c>
      <c r="P256" s="113">
        <v>49694.281150173476</v>
      </c>
      <c r="Q256" s="110">
        <v>12094.357743768871</v>
      </c>
      <c r="R256" s="113">
        <v>53520.922522984685</v>
      </c>
      <c r="S256" s="113">
        <v>61788.638893942349</v>
      </c>
      <c r="U256" s="7" t="s">
        <v>7416</v>
      </c>
    </row>
    <row r="257" spans="1:21" ht="16.5" thickBot="1">
      <c r="A257" s="207" t="s">
        <v>10</v>
      </c>
      <c r="B257" s="211">
        <f t="shared" si="15"/>
        <v>150</v>
      </c>
      <c r="C257" s="211" t="s">
        <v>3</v>
      </c>
      <c r="D257" s="211">
        <f t="shared" si="16"/>
        <v>360</v>
      </c>
      <c r="E257" s="211" t="s">
        <v>3</v>
      </c>
      <c r="F257" s="209">
        <f t="shared" si="17"/>
        <v>800</v>
      </c>
      <c r="G257" s="211" t="s">
        <v>3</v>
      </c>
      <c r="H257" s="208">
        <v>8</v>
      </c>
      <c r="I257" s="210" t="s">
        <v>531</v>
      </c>
      <c r="J257" s="103">
        <v>150</v>
      </c>
      <c r="K257" s="66">
        <v>360</v>
      </c>
      <c r="L257" s="66">
        <v>800</v>
      </c>
      <c r="M257" s="156">
        <v>17.71925267074263</v>
      </c>
      <c r="N257" s="78">
        <v>3329.3473200000008</v>
      </c>
      <c r="O257" s="113">
        <v>43938.604318394275</v>
      </c>
      <c r="P257" s="113">
        <v>52616.48723419298</v>
      </c>
      <c r="Q257" s="110">
        <v>12697.77862800706</v>
      </c>
      <c r="R257" s="113">
        <v>56636.382946401332</v>
      </c>
      <c r="S257" s="113">
        <v>65314.265862200038</v>
      </c>
      <c r="U257" s="7" t="s">
        <v>7417</v>
      </c>
    </row>
    <row r="258" spans="1:21" ht="16.5" thickBot="1">
      <c r="A258" s="207" t="s">
        <v>10</v>
      </c>
      <c r="B258" s="211">
        <f t="shared" si="15"/>
        <v>150</v>
      </c>
      <c r="C258" s="211" t="s">
        <v>3</v>
      </c>
      <c r="D258" s="211">
        <f t="shared" si="16"/>
        <v>360</v>
      </c>
      <c r="E258" s="211" t="s">
        <v>3</v>
      </c>
      <c r="F258" s="209">
        <f t="shared" si="17"/>
        <v>850</v>
      </c>
      <c r="G258" s="211" t="s">
        <v>3</v>
      </c>
      <c r="H258" s="208">
        <v>8</v>
      </c>
      <c r="I258" s="210" t="s">
        <v>531</v>
      </c>
      <c r="J258" s="103">
        <v>150</v>
      </c>
      <c r="K258" s="66">
        <v>360</v>
      </c>
      <c r="L258" s="66">
        <v>850</v>
      </c>
      <c r="M258" s="156">
        <v>18.622563300654733</v>
      </c>
      <c r="N258" s="78">
        <v>3699.2748000000006</v>
      </c>
      <c r="O258" s="113">
        <v>46450.643857572737</v>
      </c>
      <c r="P258" s="113">
        <v>55538.693318212463</v>
      </c>
      <c r="Q258" s="110">
        <v>13552.533650029018</v>
      </c>
      <c r="R258" s="113">
        <v>60003.177507601751</v>
      </c>
      <c r="S258" s="113">
        <v>69091.226968241477</v>
      </c>
      <c r="U258" s="7" t="s">
        <v>7418</v>
      </c>
    </row>
    <row r="259" spans="1:21" ht="16.5" thickBot="1">
      <c r="A259" s="207" t="s">
        <v>10</v>
      </c>
      <c r="B259" s="211">
        <f t="shared" si="15"/>
        <v>150</v>
      </c>
      <c r="C259" s="211" t="s">
        <v>3</v>
      </c>
      <c r="D259" s="211">
        <f t="shared" si="16"/>
        <v>360</v>
      </c>
      <c r="E259" s="211" t="s">
        <v>3</v>
      </c>
      <c r="F259" s="209">
        <f t="shared" si="17"/>
        <v>900</v>
      </c>
      <c r="G259" s="211" t="s">
        <v>3</v>
      </c>
      <c r="H259" s="208">
        <v>8</v>
      </c>
      <c r="I259" s="210" t="s">
        <v>531</v>
      </c>
      <c r="J259" s="103">
        <v>150</v>
      </c>
      <c r="K259" s="66">
        <v>360</v>
      </c>
      <c r="L259" s="66">
        <v>900</v>
      </c>
      <c r="M259" s="156">
        <v>19.667833930566843</v>
      </c>
      <c r="N259" s="78">
        <v>4069.2022800000009</v>
      </c>
      <c r="O259" s="113">
        <v>48962.683526825655</v>
      </c>
      <c r="P259" s="113">
        <v>58460.899402231953</v>
      </c>
      <c r="Q259" s="110">
        <v>14155.954534267206</v>
      </c>
      <c r="R259" s="113">
        <v>63118.638061092861</v>
      </c>
      <c r="S259" s="113">
        <v>72616.853936499159</v>
      </c>
      <c r="U259" s="7" t="s">
        <v>7419</v>
      </c>
    </row>
    <row r="260" spans="1:21" ht="16.5" thickBot="1">
      <c r="A260" s="207" t="s">
        <v>10</v>
      </c>
      <c r="B260" s="211">
        <f t="shared" si="15"/>
        <v>150</v>
      </c>
      <c r="C260" s="211" t="s">
        <v>3</v>
      </c>
      <c r="D260" s="211">
        <f t="shared" si="16"/>
        <v>360</v>
      </c>
      <c r="E260" s="211" t="s">
        <v>3</v>
      </c>
      <c r="F260" s="209">
        <f t="shared" si="17"/>
        <v>950</v>
      </c>
      <c r="G260" s="211" t="s">
        <v>3</v>
      </c>
      <c r="H260" s="208">
        <v>8</v>
      </c>
      <c r="I260" s="210" t="s">
        <v>531</v>
      </c>
      <c r="J260" s="103">
        <v>150</v>
      </c>
      <c r="K260" s="66">
        <v>360</v>
      </c>
      <c r="L260" s="66">
        <v>950</v>
      </c>
      <c r="M260" s="156">
        <v>20.571144560478949</v>
      </c>
      <c r="N260" s="78">
        <v>4439.1297600000007</v>
      </c>
      <c r="O260" s="113">
        <v>51474.723066004117</v>
      </c>
      <c r="P260" s="113">
        <v>61383.105628568199</v>
      </c>
      <c r="Q260" s="110">
        <v>15010.709556289165</v>
      </c>
      <c r="R260" s="113">
        <v>66485.432622293287</v>
      </c>
      <c r="S260" s="113">
        <v>76393.815184857362</v>
      </c>
      <c r="U260" s="7" t="s">
        <v>7420</v>
      </c>
    </row>
    <row r="261" spans="1:21" ht="16.5" thickBot="1">
      <c r="A261" s="207" t="s">
        <v>10</v>
      </c>
      <c r="B261" s="211">
        <f t="shared" si="15"/>
        <v>150</v>
      </c>
      <c r="C261" s="211" t="s">
        <v>3</v>
      </c>
      <c r="D261" s="211">
        <f t="shared" si="16"/>
        <v>360</v>
      </c>
      <c r="E261" s="211" t="s">
        <v>3</v>
      </c>
      <c r="F261" s="209">
        <f t="shared" si="17"/>
        <v>1000</v>
      </c>
      <c r="G261" s="211" t="s">
        <v>3</v>
      </c>
      <c r="H261" s="208">
        <v>8</v>
      </c>
      <c r="I261" s="210" t="s">
        <v>531</v>
      </c>
      <c r="J261" s="103">
        <v>150</v>
      </c>
      <c r="K261" s="66">
        <v>360</v>
      </c>
      <c r="L261" s="66">
        <v>1000</v>
      </c>
      <c r="M261" s="156">
        <v>21.457415190391053</v>
      </c>
      <c r="N261" s="78">
        <v>4809.057240000001</v>
      </c>
      <c r="O261" s="113">
        <v>53883.068684177539</v>
      </c>
      <c r="P261" s="113">
        <v>64199.085919951627</v>
      </c>
      <c r="Q261" s="110">
        <v>15614.130440527351</v>
      </c>
      <c r="R261" s="113">
        <v>69497.199124704886</v>
      </c>
      <c r="S261" s="113">
        <v>79813.216360478982</v>
      </c>
      <c r="U261" s="7" t="s">
        <v>7421</v>
      </c>
    </row>
    <row r="262" spans="1:21" ht="16.5" thickBot="1">
      <c r="A262" s="207" t="s">
        <v>10</v>
      </c>
      <c r="B262" s="211">
        <f t="shared" si="15"/>
        <v>150</v>
      </c>
      <c r="C262" s="211" t="s">
        <v>3</v>
      </c>
      <c r="D262" s="211">
        <f t="shared" si="16"/>
        <v>360</v>
      </c>
      <c r="E262" s="211" t="s">
        <v>3</v>
      </c>
      <c r="F262" s="209">
        <f t="shared" si="17"/>
        <v>1050</v>
      </c>
      <c r="G262" s="211" t="s">
        <v>3</v>
      </c>
      <c r="H262" s="208">
        <v>8</v>
      </c>
      <c r="I262" s="210" t="s">
        <v>531</v>
      </c>
      <c r="J262" s="103">
        <v>150</v>
      </c>
      <c r="K262" s="66">
        <v>360</v>
      </c>
      <c r="L262" s="66">
        <v>1050</v>
      </c>
      <c r="M262" s="156">
        <v>22.360725820303159</v>
      </c>
      <c r="N262" s="78">
        <v>5178.9847200000004</v>
      </c>
      <c r="O262" s="113">
        <v>56641.381432076749</v>
      </c>
      <c r="P262" s="113">
        <v>67373.578190323373</v>
      </c>
      <c r="Q262" s="110">
        <v>16468.885462549311</v>
      </c>
      <c r="R262" s="113">
        <v>73110.266894626053</v>
      </c>
      <c r="S262" s="113">
        <v>83842.463652872684</v>
      </c>
      <c r="U262" s="7" t="s">
        <v>7422</v>
      </c>
    </row>
    <row r="263" spans="1:21" ht="16.5" thickBot="1">
      <c r="A263" s="207" t="s">
        <v>10</v>
      </c>
      <c r="B263" s="208">
        <f t="shared" si="15"/>
        <v>150</v>
      </c>
      <c r="C263" s="208" t="s">
        <v>3</v>
      </c>
      <c r="D263" s="208">
        <f t="shared" si="16"/>
        <v>360</v>
      </c>
      <c r="E263" s="208" t="s">
        <v>3</v>
      </c>
      <c r="F263" s="209">
        <f t="shared" si="17"/>
        <v>1100</v>
      </c>
      <c r="G263" s="208" t="s">
        <v>3</v>
      </c>
      <c r="H263" s="208">
        <v>8</v>
      </c>
      <c r="I263" s="210" t="s">
        <v>531</v>
      </c>
      <c r="J263" s="103">
        <v>150</v>
      </c>
      <c r="K263" s="66">
        <v>360</v>
      </c>
      <c r="L263" s="66">
        <v>1100</v>
      </c>
      <c r="M263" s="156">
        <v>23.246996450215264</v>
      </c>
      <c r="N263" s="78">
        <v>5548.9122000000007</v>
      </c>
      <c r="O263" s="113">
        <v>59153.420971255211</v>
      </c>
      <c r="P263" s="113">
        <v>70295.784274342863</v>
      </c>
      <c r="Q263" s="110">
        <v>17072.3063467875</v>
      </c>
      <c r="R263" s="113">
        <v>76225.727318042715</v>
      </c>
      <c r="S263" s="113">
        <v>87368.090621130366</v>
      </c>
      <c r="U263" s="7" t="s">
        <v>7423</v>
      </c>
    </row>
    <row r="264" spans="1:21" ht="16.5" thickBot="1">
      <c r="A264" s="207" t="s">
        <v>10</v>
      </c>
      <c r="B264" s="211">
        <f t="shared" si="15"/>
        <v>150</v>
      </c>
      <c r="C264" s="211" t="s">
        <v>3</v>
      </c>
      <c r="D264" s="211">
        <f t="shared" si="16"/>
        <v>360</v>
      </c>
      <c r="E264" s="211" t="s">
        <v>3</v>
      </c>
      <c r="F264" s="209">
        <f t="shared" si="17"/>
        <v>1150</v>
      </c>
      <c r="G264" s="211" t="s">
        <v>3</v>
      </c>
      <c r="H264" s="208">
        <v>8</v>
      </c>
      <c r="I264" s="210" t="s">
        <v>531</v>
      </c>
      <c r="J264" s="103">
        <v>150</v>
      </c>
      <c r="K264" s="66">
        <v>360</v>
      </c>
      <c r="L264" s="66">
        <v>1150</v>
      </c>
      <c r="M264" s="156">
        <v>24.133267080127368</v>
      </c>
      <c r="N264" s="78">
        <v>5918.839680000001</v>
      </c>
      <c r="O264" s="113">
        <v>60842.137237150797</v>
      </c>
      <c r="P264" s="113">
        <v>72374.564788830379</v>
      </c>
      <c r="Q264" s="110">
        <v>17675.727231025689</v>
      </c>
      <c r="R264" s="113">
        <v>78517.864468176485</v>
      </c>
      <c r="S264" s="113">
        <v>90050.292019856075</v>
      </c>
      <c r="U264" s="7" t="s">
        <v>7424</v>
      </c>
    </row>
    <row r="265" spans="1:21" ht="16.5" thickBot="1">
      <c r="A265" s="207" t="s">
        <v>10</v>
      </c>
      <c r="B265" s="211">
        <f t="shared" si="15"/>
        <v>150</v>
      </c>
      <c r="C265" s="211" t="s">
        <v>3</v>
      </c>
      <c r="D265" s="211">
        <f t="shared" si="16"/>
        <v>360</v>
      </c>
      <c r="E265" s="211" t="s">
        <v>3</v>
      </c>
      <c r="F265" s="209">
        <f t="shared" si="17"/>
        <v>1200</v>
      </c>
      <c r="G265" s="211" t="s">
        <v>3</v>
      </c>
      <c r="H265" s="208">
        <v>8</v>
      </c>
      <c r="I265" s="210" t="s">
        <v>531</v>
      </c>
      <c r="J265" s="103">
        <v>150</v>
      </c>
      <c r="K265" s="66">
        <v>360</v>
      </c>
      <c r="L265" s="66">
        <v>1200</v>
      </c>
      <c r="M265" s="156">
        <v>25.19357771003947</v>
      </c>
      <c r="N265" s="78">
        <v>6288.7671600000003</v>
      </c>
      <c r="O265" s="113">
        <v>62660.572980227611</v>
      </c>
      <c r="P265" s="113">
        <v>74586.231862291868</v>
      </c>
      <c r="Q265" s="110">
        <v>18530.482406076411</v>
      </c>
      <c r="R265" s="113">
        <v>81191.055386304026</v>
      </c>
      <c r="S265" s="113">
        <v>93116.714268368276</v>
      </c>
      <c r="U265" s="7" t="s">
        <v>7425</v>
      </c>
    </row>
    <row r="266" spans="1:21" ht="16.5" thickBot="1">
      <c r="A266" s="207" t="s">
        <v>10</v>
      </c>
      <c r="B266" s="211">
        <f t="shared" si="15"/>
        <v>150</v>
      </c>
      <c r="C266" s="211" t="s">
        <v>3</v>
      </c>
      <c r="D266" s="211">
        <f t="shared" si="16"/>
        <v>360</v>
      </c>
      <c r="E266" s="211" t="s">
        <v>3</v>
      </c>
      <c r="F266" s="209">
        <f t="shared" si="17"/>
        <v>1250</v>
      </c>
      <c r="G266" s="211" t="s">
        <v>3</v>
      </c>
      <c r="H266" s="208">
        <v>8</v>
      </c>
      <c r="I266" s="210" t="s">
        <v>531</v>
      </c>
      <c r="J266" s="103">
        <v>150</v>
      </c>
      <c r="K266" s="66">
        <v>360</v>
      </c>
      <c r="L266" s="66">
        <v>1250</v>
      </c>
      <c r="M266" s="156">
        <v>26.941848339951576</v>
      </c>
      <c r="N266" s="78">
        <v>6658.6946400000015</v>
      </c>
      <c r="O266" s="113">
        <v>64348.76491601381</v>
      </c>
      <c r="P266" s="113">
        <v>76664.475273358985</v>
      </c>
      <c r="Q266" s="110">
        <v>19133.9032903146</v>
      </c>
      <c r="R266" s="113">
        <v>83482.66820632841</v>
      </c>
      <c r="S266" s="113">
        <v>95798.378563673585</v>
      </c>
      <c r="U266" s="7" t="s">
        <v>7426</v>
      </c>
    </row>
    <row r="267" spans="1:21" ht="16.5" thickBot="1">
      <c r="A267" s="207" t="s">
        <v>10</v>
      </c>
      <c r="B267" s="211">
        <f t="shared" si="15"/>
        <v>150</v>
      </c>
      <c r="C267" s="211" t="s">
        <v>3</v>
      </c>
      <c r="D267" s="211">
        <f t="shared" si="16"/>
        <v>360</v>
      </c>
      <c r="E267" s="211" t="s">
        <v>3</v>
      </c>
      <c r="F267" s="209">
        <f t="shared" si="17"/>
        <v>1300</v>
      </c>
      <c r="G267" s="211" t="s">
        <v>3</v>
      </c>
      <c r="H267" s="208">
        <v>8</v>
      </c>
      <c r="I267" s="210" t="s">
        <v>531</v>
      </c>
      <c r="J267" s="103">
        <v>150</v>
      </c>
      <c r="K267" s="66">
        <v>360</v>
      </c>
      <c r="L267" s="66">
        <v>1300</v>
      </c>
      <c r="M267" s="156">
        <v>27.845158969863682</v>
      </c>
      <c r="N267" s="78">
        <v>7028.6221200000009</v>
      </c>
      <c r="O267" s="113">
        <v>68710.054965632924</v>
      </c>
      <c r="P267" s="113">
        <v>81481.083262057597</v>
      </c>
      <c r="Q267" s="110">
        <v>19988.658312336556</v>
      </c>
      <c r="R267" s="113">
        <v>88698.71327796948</v>
      </c>
      <c r="S267" s="113">
        <v>101469.74157439415</v>
      </c>
      <c r="U267" s="7" t="s">
        <v>7427</v>
      </c>
    </row>
    <row r="268" spans="1:21" ht="16.5" thickBot="1">
      <c r="A268" s="207" t="s">
        <v>10</v>
      </c>
      <c r="B268" s="211">
        <f t="shared" si="15"/>
        <v>150</v>
      </c>
      <c r="C268" s="211" t="s">
        <v>3</v>
      </c>
      <c r="D268" s="211">
        <f t="shared" si="16"/>
        <v>360</v>
      </c>
      <c r="E268" s="211" t="s">
        <v>3</v>
      </c>
      <c r="F268" s="209">
        <f t="shared" si="17"/>
        <v>1350</v>
      </c>
      <c r="G268" s="211" t="s">
        <v>3</v>
      </c>
      <c r="H268" s="208">
        <v>8</v>
      </c>
      <c r="I268" s="210" t="s">
        <v>531</v>
      </c>
      <c r="J268" s="103">
        <v>150</v>
      </c>
      <c r="K268" s="66">
        <v>360</v>
      </c>
      <c r="L268" s="66">
        <v>1350</v>
      </c>
      <c r="M268" s="156">
        <v>28.731429599775787</v>
      </c>
      <c r="N268" s="78">
        <v>7398.5496000000012</v>
      </c>
      <c r="O268" s="113">
        <v>70670.415982089049</v>
      </c>
      <c r="P268" s="113">
        <v>83838.140986602404</v>
      </c>
      <c r="Q268" s="110">
        <v>20592.079196574745</v>
      </c>
      <c r="R268" s="113">
        <v>91262.495178663798</v>
      </c>
      <c r="S268" s="113">
        <v>104430.22018317715</v>
      </c>
      <c r="U268" s="7" t="s">
        <v>7428</v>
      </c>
    </row>
    <row r="269" spans="1:21" ht="16.5" thickBot="1">
      <c r="A269" s="207" t="s">
        <v>10</v>
      </c>
      <c r="B269" s="211">
        <f t="shared" si="15"/>
        <v>150</v>
      </c>
      <c r="C269" s="211" t="s">
        <v>3</v>
      </c>
      <c r="D269" s="211">
        <f t="shared" si="16"/>
        <v>360</v>
      </c>
      <c r="E269" s="211" t="s">
        <v>3</v>
      </c>
      <c r="F269" s="209">
        <f t="shared" si="17"/>
        <v>1400</v>
      </c>
      <c r="G269" s="211" t="s">
        <v>3</v>
      </c>
      <c r="H269" s="208">
        <v>8</v>
      </c>
      <c r="I269" s="210" t="s">
        <v>531</v>
      </c>
      <c r="J269" s="103">
        <v>150</v>
      </c>
      <c r="K269" s="66">
        <v>360</v>
      </c>
      <c r="L269" s="66">
        <v>1400</v>
      </c>
      <c r="M269" s="156">
        <v>29.634740229687896</v>
      </c>
      <c r="N269" s="78">
        <v>7768.4770800000015</v>
      </c>
      <c r="O269" s="113">
        <v>72987.22495768551</v>
      </c>
      <c r="P269" s="113">
        <v>86560.349766596104</v>
      </c>
      <c r="Q269" s="110">
        <v>21446.834218596705</v>
      </c>
      <c r="R269" s="113">
        <v>94434.059176282215</v>
      </c>
      <c r="S269" s="113">
        <v>108007.18398519281</v>
      </c>
      <c r="U269" s="7" t="s">
        <v>7429</v>
      </c>
    </row>
    <row r="270" spans="1:21" ht="16.5" thickBot="1">
      <c r="A270" s="207" t="s">
        <v>10</v>
      </c>
      <c r="B270" s="211">
        <f t="shared" si="15"/>
        <v>150</v>
      </c>
      <c r="C270" s="211" t="s">
        <v>3</v>
      </c>
      <c r="D270" s="211">
        <f t="shared" si="16"/>
        <v>360</v>
      </c>
      <c r="E270" s="211" t="s">
        <v>3</v>
      </c>
      <c r="F270" s="209">
        <f t="shared" si="17"/>
        <v>1450</v>
      </c>
      <c r="G270" s="211" t="s">
        <v>3</v>
      </c>
      <c r="H270" s="208">
        <v>8</v>
      </c>
      <c r="I270" s="210" t="s">
        <v>531</v>
      </c>
      <c r="J270" s="103">
        <v>150</v>
      </c>
      <c r="K270" s="66">
        <v>360</v>
      </c>
      <c r="L270" s="66">
        <v>1450</v>
      </c>
      <c r="M270" s="156">
        <v>30.521010859600004</v>
      </c>
      <c r="N270" s="78">
        <v>8138.4045600000018</v>
      </c>
      <c r="O270" s="113">
        <v>74947.585974141635</v>
      </c>
      <c r="P270" s="113">
        <v>88917.407491140912</v>
      </c>
      <c r="Q270" s="110">
        <v>22050.255102834893</v>
      </c>
      <c r="R270" s="113">
        <v>96997.841076976532</v>
      </c>
      <c r="S270" s="113">
        <v>110967.66259397581</v>
      </c>
      <c r="U270" s="7" t="s">
        <v>7430</v>
      </c>
    </row>
    <row r="271" spans="1:21" ht="16.5" thickBot="1">
      <c r="A271" s="207" t="s">
        <v>10</v>
      </c>
      <c r="B271" s="211">
        <f t="shared" si="15"/>
        <v>150</v>
      </c>
      <c r="C271" s="211" t="s">
        <v>3</v>
      </c>
      <c r="D271" s="211">
        <f t="shared" si="16"/>
        <v>360</v>
      </c>
      <c r="E271" s="211" t="s">
        <v>3</v>
      </c>
      <c r="F271" s="209">
        <f t="shared" si="17"/>
        <v>1500</v>
      </c>
      <c r="G271" s="211" t="s">
        <v>3</v>
      </c>
      <c r="H271" s="208">
        <v>8</v>
      </c>
      <c r="I271" s="210" t="s">
        <v>531</v>
      </c>
      <c r="J271" s="103">
        <v>150</v>
      </c>
      <c r="K271" s="66">
        <v>360</v>
      </c>
      <c r="L271" s="66">
        <v>1500</v>
      </c>
      <c r="M271" s="156">
        <v>31.389942783472108</v>
      </c>
      <c r="N271" s="78">
        <v>8508.3320400000011</v>
      </c>
      <c r="O271" s="113">
        <v>77550.49370329667</v>
      </c>
      <c r="P271" s="113">
        <v>92157.494263893299</v>
      </c>
      <c r="Q271" s="110">
        <v>22905.01012485685</v>
      </c>
      <c r="R271" s="113">
        <v>100455.50382815352</v>
      </c>
      <c r="S271" s="113">
        <v>115062.50438875015</v>
      </c>
      <c r="U271" s="7" t="s">
        <v>7431</v>
      </c>
    </row>
    <row r="272" spans="1:21" ht="16.5" thickBot="1">
      <c r="A272" s="207" t="s">
        <v>10</v>
      </c>
      <c r="B272" s="211">
        <f t="shared" si="15"/>
        <v>150</v>
      </c>
      <c r="C272" s="211" t="s">
        <v>3</v>
      </c>
      <c r="D272" s="211">
        <f t="shared" si="16"/>
        <v>360</v>
      </c>
      <c r="E272" s="211" t="s">
        <v>3</v>
      </c>
      <c r="F272" s="209">
        <f t="shared" si="17"/>
        <v>1550</v>
      </c>
      <c r="G272" s="211" t="s">
        <v>3</v>
      </c>
      <c r="H272" s="208">
        <v>8</v>
      </c>
      <c r="I272" s="210" t="s">
        <v>531</v>
      </c>
      <c r="J272" s="103">
        <v>150</v>
      </c>
      <c r="K272" s="66">
        <v>360</v>
      </c>
      <c r="L272" s="66">
        <v>1550</v>
      </c>
      <c r="M272" s="156">
        <v>32.276213413384212</v>
      </c>
      <c r="N272" s="78">
        <v>8878.2595200000014</v>
      </c>
      <c r="O272" s="113">
        <v>79510.854719752795</v>
      </c>
      <c r="P272" s="113">
        <v>94514.551988438121</v>
      </c>
      <c r="Q272" s="110">
        <v>23508.431009095038</v>
      </c>
      <c r="R272" s="113">
        <v>103019.28572884784</v>
      </c>
      <c r="S272" s="113">
        <v>118022.98299753317</v>
      </c>
      <c r="U272" s="7" t="s">
        <v>7432</v>
      </c>
    </row>
    <row r="273" spans="1:21" ht="16.5" thickBot="1">
      <c r="A273" s="207" t="s">
        <v>10</v>
      </c>
      <c r="B273" s="208">
        <f t="shared" si="15"/>
        <v>150</v>
      </c>
      <c r="C273" s="208" t="s">
        <v>3</v>
      </c>
      <c r="D273" s="208">
        <f t="shared" si="16"/>
        <v>360</v>
      </c>
      <c r="E273" s="208" t="s">
        <v>3</v>
      </c>
      <c r="F273" s="209">
        <f t="shared" si="17"/>
        <v>1600</v>
      </c>
      <c r="G273" s="208" t="s">
        <v>3</v>
      </c>
      <c r="H273" s="208">
        <v>8</v>
      </c>
      <c r="I273" s="210" t="s">
        <v>531</v>
      </c>
      <c r="J273" s="103">
        <v>150</v>
      </c>
      <c r="K273" s="66">
        <v>360</v>
      </c>
      <c r="L273" s="66">
        <v>1600</v>
      </c>
      <c r="M273" s="156">
        <v>33.16248404329631</v>
      </c>
      <c r="N273" s="78">
        <v>9248.1870000000017</v>
      </c>
      <c r="O273" s="113">
        <v>83592.400803085504</v>
      </c>
      <c r="P273" s="113">
        <v>99044.585842779867</v>
      </c>
      <c r="Q273" s="110">
        <v>24111.851893333227</v>
      </c>
      <c r="R273" s="113">
        <v>107704.25269641873</v>
      </c>
      <c r="S273" s="113">
        <v>123156.43773611309</v>
      </c>
      <c r="U273" s="7" t="s">
        <v>7433</v>
      </c>
    </row>
    <row r="274" spans="1:21" ht="16.5" thickBot="1">
      <c r="A274" s="207" t="s">
        <v>10</v>
      </c>
      <c r="B274" s="211">
        <f t="shared" si="15"/>
        <v>150</v>
      </c>
      <c r="C274" s="211" t="s">
        <v>3</v>
      </c>
      <c r="D274" s="211">
        <f t="shared" si="16"/>
        <v>360</v>
      </c>
      <c r="E274" s="211" t="s">
        <v>3</v>
      </c>
      <c r="F274" s="209">
        <f t="shared" si="17"/>
        <v>1650</v>
      </c>
      <c r="G274" s="211" t="s">
        <v>3</v>
      </c>
      <c r="H274" s="208">
        <v>8</v>
      </c>
      <c r="I274" s="210" t="s">
        <v>531</v>
      </c>
      <c r="J274" s="103">
        <v>150</v>
      </c>
      <c r="K274" s="66">
        <v>360</v>
      </c>
      <c r="L274" s="66">
        <v>1650</v>
      </c>
      <c r="M274" s="156">
        <v>34.065794673208423</v>
      </c>
      <c r="N274" s="78">
        <v>9618.114480000002</v>
      </c>
      <c r="O274" s="113">
        <v>87948.910486579567</v>
      </c>
      <c r="P274" s="113">
        <v>103856.2967120571</v>
      </c>
      <c r="Q274" s="110">
        <v>24966.606915355183</v>
      </c>
      <c r="R274" s="113">
        <v>112915.51740193475</v>
      </c>
      <c r="S274" s="113">
        <v>128822.90362741228</v>
      </c>
      <c r="U274" s="7" t="s">
        <v>7434</v>
      </c>
    </row>
    <row r="275" spans="1:21" ht="16.5" thickBot="1">
      <c r="A275" s="207" t="s">
        <v>10</v>
      </c>
      <c r="B275" s="211">
        <f t="shared" si="15"/>
        <v>150</v>
      </c>
      <c r="C275" s="211" t="s">
        <v>3</v>
      </c>
      <c r="D275" s="211">
        <f t="shared" si="16"/>
        <v>360</v>
      </c>
      <c r="E275" s="211" t="s">
        <v>3</v>
      </c>
      <c r="F275" s="209">
        <f t="shared" si="17"/>
        <v>1700</v>
      </c>
      <c r="G275" s="211" t="s">
        <v>3</v>
      </c>
      <c r="H275" s="208">
        <v>8</v>
      </c>
      <c r="I275" s="210" t="s">
        <v>531</v>
      </c>
      <c r="J275" s="103">
        <v>150</v>
      </c>
      <c r="K275" s="66">
        <v>360</v>
      </c>
      <c r="L275" s="66">
        <v>1700</v>
      </c>
      <c r="M275" s="156">
        <v>35.814065303120522</v>
      </c>
      <c r="N275" s="78">
        <v>9988.0419600000023</v>
      </c>
      <c r="O275" s="113">
        <v>89685.660905651617</v>
      </c>
      <c r="P275" s="113">
        <v>105984.28409729914</v>
      </c>
      <c r="Q275" s="110">
        <v>25570.027799593372</v>
      </c>
      <c r="R275" s="113">
        <v>115255.68870524499</v>
      </c>
      <c r="S275" s="113">
        <v>131554.3118968925</v>
      </c>
      <c r="U275" s="7" t="s">
        <v>7435</v>
      </c>
    </row>
    <row r="276" spans="1:21" ht="16.5" thickBot="1">
      <c r="A276" s="207" t="s">
        <v>10</v>
      </c>
      <c r="B276" s="211">
        <f t="shared" si="15"/>
        <v>150</v>
      </c>
      <c r="C276" s="211" t="s">
        <v>3</v>
      </c>
      <c r="D276" s="211">
        <f t="shared" si="16"/>
        <v>360</v>
      </c>
      <c r="E276" s="211" t="s">
        <v>3</v>
      </c>
      <c r="F276" s="209">
        <f t="shared" si="17"/>
        <v>1750</v>
      </c>
      <c r="G276" s="211" t="s">
        <v>3</v>
      </c>
      <c r="H276" s="208">
        <v>8</v>
      </c>
      <c r="I276" s="210" t="s">
        <v>531</v>
      </c>
      <c r="J276" s="103">
        <v>150</v>
      </c>
      <c r="K276" s="66">
        <v>360</v>
      </c>
      <c r="L276" s="66">
        <v>1750</v>
      </c>
      <c r="M276" s="156">
        <v>36.717375933032628</v>
      </c>
      <c r="N276" s="78">
        <v>10357.969440000001</v>
      </c>
      <c r="O276" s="113">
        <v>91339.403533782111</v>
      </c>
      <c r="P276" s="113">
        <v>108027.23708116361</v>
      </c>
      <c r="Q276" s="110">
        <v>26424.782821615332</v>
      </c>
      <c r="R276" s="113">
        <v>117764.18635539744</v>
      </c>
      <c r="S276" s="113">
        <v>134452.01990277893</v>
      </c>
      <c r="U276" s="7" t="s">
        <v>7436</v>
      </c>
    </row>
    <row r="277" spans="1:21" ht="16.5" thickBot="1">
      <c r="A277" s="207" t="s">
        <v>10</v>
      </c>
      <c r="B277" s="211">
        <f t="shared" si="15"/>
        <v>150</v>
      </c>
      <c r="C277" s="211" t="s">
        <v>3</v>
      </c>
      <c r="D277" s="211">
        <f t="shared" si="16"/>
        <v>360</v>
      </c>
      <c r="E277" s="211" t="s">
        <v>3</v>
      </c>
      <c r="F277" s="209">
        <f t="shared" si="17"/>
        <v>1800</v>
      </c>
      <c r="G277" s="211" t="s">
        <v>3</v>
      </c>
      <c r="H277" s="208">
        <v>8</v>
      </c>
      <c r="I277" s="210" t="s">
        <v>531</v>
      </c>
      <c r="J277" s="103">
        <v>150</v>
      </c>
      <c r="K277" s="66">
        <v>360</v>
      </c>
      <c r="L277" s="66">
        <v>1800</v>
      </c>
      <c r="M277" s="156">
        <v>37.603646562944732</v>
      </c>
      <c r="N277" s="78">
        <v>10727.896920000001</v>
      </c>
      <c r="O277" s="113">
        <v>93076.913197420872</v>
      </c>
      <c r="P277" s="113">
        <v>110156.00222745301</v>
      </c>
      <c r="Q277" s="110">
        <v>27028.203705853517</v>
      </c>
      <c r="R277" s="113">
        <v>120105.11690327439</v>
      </c>
      <c r="S277" s="113">
        <v>137184.20593330651</v>
      </c>
      <c r="U277" s="7" t="s">
        <v>7437</v>
      </c>
    </row>
    <row r="278" spans="1:21" ht="16.5" thickBot="1">
      <c r="A278" s="207" t="s">
        <v>10</v>
      </c>
      <c r="B278" s="211">
        <f t="shared" si="15"/>
        <v>150</v>
      </c>
      <c r="C278" s="211" t="s">
        <v>3</v>
      </c>
      <c r="D278" s="211">
        <f t="shared" si="16"/>
        <v>360</v>
      </c>
      <c r="E278" s="211" t="s">
        <v>3</v>
      </c>
      <c r="F278" s="209">
        <f t="shared" si="17"/>
        <v>1850</v>
      </c>
      <c r="G278" s="211" t="s">
        <v>3</v>
      </c>
      <c r="H278" s="208">
        <v>8</v>
      </c>
      <c r="I278" s="210" t="s">
        <v>531</v>
      </c>
      <c r="J278" s="103">
        <v>150</v>
      </c>
      <c r="K278" s="66">
        <v>360</v>
      </c>
      <c r="L278" s="66">
        <v>1850</v>
      </c>
      <c r="M278" s="156">
        <v>38.506957192856845</v>
      </c>
      <c r="N278" s="78">
        <v>11097.824400000001</v>
      </c>
      <c r="O278" s="113">
        <v>94814.3703109817</v>
      </c>
      <c r="P278" s="113">
        <v>112284.71372032702</v>
      </c>
      <c r="Q278" s="110">
        <v>27882.958880904247</v>
      </c>
      <c r="R278" s="113">
        <v>122697.32919188595</v>
      </c>
      <c r="S278" s="113">
        <v>140167.67260123126</v>
      </c>
      <c r="U278" s="7" t="s">
        <v>7438</v>
      </c>
    </row>
    <row r="279" spans="1:21" ht="16.5" thickBot="1">
      <c r="A279" s="207" t="s">
        <v>10</v>
      </c>
      <c r="B279" s="211">
        <f t="shared" si="15"/>
        <v>150</v>
      </c>
      <c r="C279" s="211" t="s">
        <v>3</v>
      </c>
      <c r="D279" s="211">
        <f t="shared" si="16"/>
        <v>360</v>
      </c>
      <c r="E279" s="211" t="s">
        <v>3</v>
      </c>
      <c r="F279" s="209">
        <f t="shared" si="17"/>
        <v>1900</v>
      </c>
      <c r="G279" s="211" t="s">
        <v>3</v>
      </c>
      <c r="H279" s="208">
        <v>8</v>
      </c>
      <c r="I279" s="210" t="s">
        <v>531</v>
      </c>
      <c r="J279" s="103">
        <v>150</v>
      </c>
      <c r="K279" s="66">
        <v>360</v>
      </c>
      <c r="L279" s="66">
        <v>1900</v>
      </c>
      <c r="M279" s="156">
        <v>39.393227822768949</v>
      </c>
      <c r="N279" s="78">
        <v>11467.751880000002</v>
      </c>
      <c r="O279" s="113">
        <v>96742.636757556917</v>
      </c>
      <c r="P279" s="113">
        <v>114608.89314429151</v>
      </c>
      <c r="Q279" s="110">
        <v>28486.379765142432</v>
      </c>
      <c r="R279" s="113">
        <v>125229.01652269936</v>
      </c>
      <c r="S279" s="113">
        <v>143095.27290943393</v>
      </c>
      <c r="U279" s="7" t="s">
        <v>7439</v>
      </c>
    </row>
    <row r="280" spans="1:21" ht="16.5" thickBot="1">
      <c r="A280" s="207" t="s">
        <v>10</v>
      </c>
      <c r="B280" s="211">
        <f t="shared" si="15"/>
        <v>150</v>
      </c>
      <c r="C280" s="211" t="s">
        <v>3</v>
      </c>
      <c r="D280" s="211">
        <f t="shared" si="16"/>
        <v>360</v>
      </c>
      <c r="E280" s="211" t="s">
        <v>3</v>
      </c>
      <c r="F280" s="209">
        <f t="shared" si="17"/>
        <v>1950</v>
      </c>
      <c r="G280" s="211" t="s">
        <v>3</v>
      </c>
      <c r="H280" s="208">
        <v>8</v>
      </c>
      <c r="I280" s="210" t="s">
        <v>531</v>
      </c>
      <c r="J280" s="103">
        <v>150</v>
      </c>
      <c r="K280" s="66">
        <v>360</v>
      </c>
      <c r="L280" s="66">
        <v>1950</v>
      </c>
      <c r="M280" s="156">
        <v>40.43649845268105</v>
      </c>
      <c r="N280" s="78">
        <v>11837.679360000002</v>
      </c>
      <c r="O280" s="113">
        <v>98935.85055131829</v>
      </c>
      <c r="P280" s="113">
        <v>117204.48897235378</v>
      </c>
      <c r="Q280" s="110">
        <v>29089.800649380621</v>
      </c>
      <c r="R280" s="113">
        <v>128025.65120069891</v>
      </c>
      <c r="S280" s="113">
        <v>146294.28962173441</v>
      </c>
      <c r="U280" s="7" t="s">
        <v>7440</v>
      </c>
    </row>
    <row r="281" spans="1:21" ht="16.5" thickBot="1">
      <c r="A281" s="207" t="s">
        <v>10</v>
      </c>
      <c r="B281" s="211">
        <f t="shared" si="15"/>
        <v>150</v>
      </c>
      <c r="C281" s="211" t="s">
        <v>3</v>
      </c>
      <c r="D281" s="211">
        <f t="shared" si="16"/>
        <v>360</v>
      </c>
      <c r="E281" s="211" t="s">
        <v>3</v>
      </c>
      <c r="F281" s="209">
        <f t="shared" si="17"/>
        <v>2000</v>
      </c>
      <c r="G281" s="211" t="s">
        <v>3</v>
      </c>
      <c r="H281" s="208">
        <v>8</v>
      </c>
      <c r="I281" s="210" t="s">
        <v>531</v>
      </c>
      <c r="J281" s="103">
        <v>150</v>
      </c>
      <c r="K281" s="66">
        <v>360</v>
      </c>
      <c r="L281" s="66">
        <v>2000</v>
      </c>
      <c r="M281" s="156">
        <v>41.431371482593157</v>
      </c>
      <c r="N281" s="78">
        <v>12207.60684</v>
      </c>
      <c r="O281" s="113">
        <v>100898.15501013718</v>
      </c>
      <c r="P281" s="113">
        <v>119790.43600929336</v>
      </c>
      <c r="Q281" s="110">
        <v>29944.555671402581</v>
      </c>
      <c r="R281" s="113">
        <v>130842.71068153976</v>
      </c>
      <c r="S281" s="113">
        <v>149734.99168069594</v>
      </c>
      <c r="U281" s="7" t="s">
        <v>7441</v>
      </c>
    </row>
    <row r="282" spans="1:21" ht="16.5" thickBot="1">
      <c r="A282" s="207" t="s">
        <v>10</v>
      </c>
      <c r="B282" s="211">
        <f t="shared" si="15"/>
        <v>150</v>
      </c>
      <c r="C282" s="211" t="s">
        <v>3</v>
      </c>
      <c r="D282" s="211">
        <f t="shared" si="16"/>
        <v>360</v>
      </c>
      <c r="E282" s="211" t="s">
        <v>3</v>
      </c>
      <c r="F282" s="209">
        <f t="shared" si="17"/>
        <v>2050</v>
      </c>
      <c r="G282" s="211" t="s">
        <v>3</v>
      </c>
      <c r="H282" s="208">
        <v>8</v>
      </c>
      <c r="I282" s="210" t="s">
        <v>531</v>
      </c>
      <c r="J282" s="103">
        <v>150</v>
      </c>
      <c r="K282" s="66">
        <v>360</v>
      </c>
      <c r="L282" s="66">
        <v>2050</v>
      </c>
      <c r="M282" s="156">
        <v>43.179642112505256</v>
      </c>
      <c r="N282" s="78">
        <v>12577.534320000001</v>
      </c>
      <c r="O282" s="113">
        <v>104972.53971453107</v>
      </c>
      <c r="P282" s="113">
        <v>124313.13357740862</v>
      </c>
      <c r="Q282" s="110">
        <v>30547.976555640766</v>
      </c>
      <c r="R282" s="113">
        <v>135520.51627017185</v>
      </c>
      <c r="S282" s="113">
        <v>154861.11013304937</v>
      </c>
      <c r="U282" s="7" t="s">
        <v>7442</v>
      </c>
    </row>
    <row r="283" spans="1:21" ht="16.5" thickBot="1">
      <c r="A283" s="207" t="s">
        <v>10</v>
      </c>
      <c r="B283" s="208">
        <f t="shared" si="15"/>
        <v>150</v>
      </c>
      <c r="C283" s="208" t="s">
        <v>3</v>
      </c>
      <c r="D283" s="208">
        <f t="shared" si="16"/>
        <v>360</v>
      </c>
      <c r="E283" s="208" t="s">
        <v>3</v>
      </c>
      <c r="F283" s="209">
        <f t="shared" si="17"/>
        <v>2100</v>
      </c>
      <c r="G283" s="208" t="s">
        <v>3</v>
      </c>
      <c r="H283" s="208">
        <v>8</v>
      </c>
      <c r="I283" s="210" t="s">
        <v>531</v>
      </c>
      <c r="J283" s="103">
        <v>150</v>
      </c>
      <c r="K283" s="66">
        <v>360</v>
      </c>
      <c r="L283" s="66">
        <v>2100</v>
      </c>
      <c r="M283" s="156">
        <v>44.082952742417362</v>
      </c>
      <c r="N283" s="78">
        <v>12947.461800000001</v>
      </c>
      <c r="O283" s="113">
        <v>106777.50052499768</v>
      </c>
      <c r="P283" s="113">
        <v>126510.99677986868</v>
      </c>
      <c r="Q283" s="110">
        <v>31402.731577662726</v>
      </c>
      <c r="R283" s="113">
        <v>138180.2321026604</v>
      </c>
      <c r="S283" s="113">
        <v>157913.72835753142</v>
      </c>
      <c r="U283" s="7" t="s">
        <v>7443</v>
      </c>
    </row>
    <row r="284" spans="1:21" ht="16.5" thickBot="1">
      <c r="A284" s="207" t="s">
        <v>10</v>
      </c>
      <c r="B284" s="211">
        <f t="shared" si="15"/>
        <v>150</v>
      </c>
      <c r="C284" s="211" t="s">
        <v>3</v>
      </c>
      <c r="D284" s="211">
        <f t="shared" si="16"/>
        <v>360</v>
      </c>
      <c r="E284" s="211" t="s">
        <v>3</v>
      </c>
      <c r="F284" s="209">
        <f t="shared" si="17"/>
        <v>2150</v>
      </c>
      <c r="G284" s="211" t="s">
        <v>3</v>
      </c>
      <c r="H284" s="208">
        <v>8</v>
      </c>
      <c r="I284" s="210" t="s">
        <v>531</v>
      </c>
      <c r="J284" s="103">
        <v>150</v>
      </c>
      <c r="K284" s="66">
        <v>360</v>
      </c>
      <c r="L284" s="66">
        <v>2150</v>
      </c>
      <c r="M284" s="156">
        <v>44.969223372329473</v>
      </c>
      <c r="N284" s="78">
        <v>13317.389280000003</v>
      </c>
      <c r="O284" s="113">
        <v>108743.36408092723</v>
      </c>
      <c r="P284" s="113">
        <v>128873.69138630954</v>
      </c>
      <c r="Q284" s="110">
        <v>32006.152461900914</v>
      </c>
      <c r="R284" s="113">
        <v>140749.51654282815</v>
      </c>
      <c r="S284" s="113">
        <v>160879.84384821047</v>
      </c>
      <c r="U284" s="7" t="s">
        <v>7444</v>
      </c>
    </row>
    <row r="285" spans="1:21" ht="16.5" thickBot="1">
      <c r="A285" s="207" t="s">
        <v>10</v>
      </c>
      <c r="B285" s="211">
        <f t="shared" si="15"/>
        <v>150</v>
      </c>
      <c r="C285" s="211" t="s">
        <v>3</v>
      </c>
      <c r="D285" s="211">
        <f t="shared" si="16"/>
        <v>360</v>
      </c>
      <c r="E285" s="211" t="s">
        <v>3</v>
      </c>
      <c r="F285" s="209">
        <f t="shared" si="17"/>
        <v>2200</v>
      </c>
      <c r="G285" s="211" t="s">
        <v>3</v>
      </c>
      <c r="H285" s="208">
        <v>8</v>
      </c>
      <c r="I285" s="210" t="s">
        <v>531</v>
      </c>
      <c r="J285" s="103">
        <v>150</v>
      </c>
      <c r="K285" s="66">
        <v>360</v>
      </c>
      <c r="L285" s="66">
        <v>2200</v>
      </c>
      <c r="M285" s="156">
        <v>45.872534002241572</v>
      </c>
      <c r="N285" s="78">
        <v>13687.316760000003</v>
      </c>
      <c r="O285" s="113">
        <v>110709.17534692772</v>
      </c>
      <c r="P285" s="113">
        <v>131236.3324816518</v>
      </c>
      <c r="Q285" s="110">
        <v>32860.907483922878</v>
      </c>
      <c r="R285" s="113">
        <v>143570.08283085059</v>
      </c>
      <c r="S285" s="113">
        <v>164097.23996557467</v>
      </c>
      <c r="U285" s="7" t="s">
        <v>7445</v>
      </c>
    </row>
    <row r="286" spans="1:21" ht="16.5" thickBot="1">
      <c r="A286" s="207" t="s">
        <v>10</v>
      </c>
      <c r="B286" s="211">
        <f t="shared" si="15"/>
        <v>150</v>
      </c>
      <c r="C286" s="211" t="s">
        <v>3</v>
      </c>
      <c r="D286" s="211">
        <f t="shared" si="16"/>
        <v>360</v>
      </c>
      <c r="E286" s="211" t="s">
        <v>3</v>
      </c>
      <c r="F286" s="209">
        <f t="shared" si="17"/>
        <v>2250</v>
      </c>
      <c r="G286" s="211" t="s">
        <v>3</v>
      </c>
      <c r="H286" s="208">
        <v>8</v>
      </c>
      <c r="I286" s="210" t="s">
        <v>531</v>
      </c>
      <c r="J286" s="103">
        <v>150</v>
      </c>
      <c r="K286" s="66">
        <v>360</v>
      </c>
      <c r="L286" s="66">
        <v>2250</v>
      </c>
      <c r="M286" s="156">
        <v>46.758804632153684</v>
      </c>
      <c r="N286" s="78">
        <v>14057.244240000002</v>
      </c>
      <c r="O286" s="113">
        <v>113023.3625419028</v>
      </c>
      <c r="P286" s="113">
        <v>133955.85545990994</v>
      </c>
      <c r="Q286" s="110">
        <v>33464.328368161063</v>
      </c>
      <c r="R286" s="113">
        <v>146487.69091006386</v>
      </c>
      <c r="S286" s="113">
        <v>167420.18382807099</v>
      </c>
      <c r="U286" s="7" t="s">
        <v>7446</v>
      </c>
    </row>
    <row r="287" spans="1:21" ht="16.5" thickBot="1">
      <c r="A287" s="207" t="s">
        <v>10</v>
      </c>
      <c r="B287" s="211">
        <f t="shared" si="15"/>
        <v>150</v>
      </c>
      <c r="C287" s="211" t="s">
        <v>3</v>
      </c>
      <c r="D287" s="211">
        <f t="shared" si="16"/>
        <v>360</v>
      </c>
      <c r="E287" s="211" t="s">
        <v>3</v>
      </c>
      <c r="F287" s="209">
        <f t="shared" si="17"/>
        <v>2300</v>
      </c>
      <c r="G287" s="211" t="s">
        <v>3</v>
      </c>
      <c r="H287" s="208">
        <v>8</v>
      </c>
      <c r="I287" s="210" t="s">
        <v>531</v>
      </c>
      <c r="J287" s="103">
        <v>150</v>
      </c>
      <c r="K287" s="66">
        <v>360</v>
      </c>
      <c r="L287" s="66">
        <v>2300</v>
      </c>
      <c r="M287" s="156">
        <v>47.645075262065781</v>
      </c>
      <c r="N287" s="78">
        <v>14427.171720000002</v>
      </c>
      <c r="O287" s="113">
        <v>114724.40687397981</v>
      </c>
      <c r="P287" s="113">
        <v>136047.26487829795</v>
      </c>
      <c r="Q287" s="110">
        <v>34067.749252399248</v>
      </c>
      <c r="R287" s="113">
        <v>148792.15612637906</v>
      </c>
      <c r="S287" s="113">
        <v>170115.01413069721</v>
      </c>
      <c r="U287" s="7" t="s">
        <v>7447</v>
      </c>
    </row>
    <row r="288" spans="1:21" ht="16.5" thickBot="1">
      <c r="A288" s="207" t="s">
        <v>10</v>
      </c>
      <c r="B288" s="211">
        <f t="shared" si="15"/>
        <v>150</v>
      </c>
      <c r="C288" s="211" t="s">
        <v>3</v>
      </c>
      <c r="D288" s="211">
        <f t="shared" si="16"/>
        <v>360</v>
      </c>
      <c r="E288" s="211" t="s">
        <v>3</v>
      </c>
      <c r="F288" s="209">
        <f t="shared" si="17"/>
        <v>2350</v>
      </c>
      <c r="G288" s="211" t="s">
        <v>3</v>
      </c>
      <c r="H288" s="208">
        <v>8</v>
      </c>
      <c r="I288" s="210" t="s">
        <v>531</v>
      </c>
      <c r="J288" s="103">
        <v>150</v>
      </c>
      <c r="K288" s="66">
        <v>360</v>
      </c>
      <c r="L288" s="66">
        <v>2350</v>
      </c>
      <c r="M288" s="156">
        <v>48.548385891977887</v>
      </c>
      <c r="N288" s="78">
        <v>14797.099200000002</v>
      </c>
      <c r="O288" s="113">
        <v>116425.39865597885</v>
      </c>
      <c r="P288" s="113">
        <v>138138.62064327061</v>
      </c>
      <c r="Q288" s="110">
        <v>34922.504274421211</v>
      </c>
      <c r="R288" s="113">
        <v>151347.90293040004</v>
      </c>
      <c r="S288" s="113">
        <v>173061.12491769181</v>
      </c>
      <c r="U288" s="7" t="s">
        <v>7448</v>
      </c>
    </row>
    <row r="289" spans="1:21" ht="16.5" thickBot="1">
      <c r="A289" s="207" t="s">
        <v>10</v>
      </c>
      <c r="B289" s="211">
        <f t="shared" si="15"/>
        <v>150</v>
      </c>
      <c r="C289" s="211" t="s">
        <v>3</v>
      </c>
      <c r="D289" s="211">
        <f t="shared" si="16"/>
        <v>360</v>
      </c>
      <c r="E289" s="211" t="s">
        <v>3</v>
      </c>
      <c r="F289" s="209">
        <f t="shared" si="17"/>
        <v>2400</v>
      </c>
      <c r="G289" s="211" t="s">
        <v>3</v>
      </c>
      <c r="H289" s="208">
        <v>8</v>
      </c>
      <c r="I289" s="210" t="s">
        <v>531</v>
      </c>
      <c r="J289" s="103">
        <v>150</v>
      </c>
      <c r="K289" s="66">
        <v>360</v>
      </c>
      <c r="L289" s="66">
        <v>2400</v>
      </c>
      <c r="M289" s="156">
        <v>49.434656521889998</v>
      </c>
      <c r="N289" s="78">
        <v>15167.026679999999</v>
      </c>
      <c r="O289" s="113">
        <v>118126.3380179744</v>
      </c>
      <c r="P289" s="113">
        <v>140229.92261251117</v>
      </c>
      <c r="Q289" s="110">
        <v>35525.925158659396</v>
      </c>
      <c r="R289" s="113">
        <v>153652.2631766338</v>
      </c>
      <c r="S289" s="113">
        <v>175755.84777117058</v>
      </c>
      <c r="U289" s="7" t="s">
        <v>7449</v>
      </c>
    </row>
    <row r="290" spans="1:21" ht="16.5" thickBot="1">
      <c r="A290" s="207" t="s">
        <v>10</v>
      </c>
      <c r="B290" s="211">
        <f t="shared" si="15"/>
        <v>150</v>
      </c>
      <c r="C290" s="211" t="s">
        <v>3</v>
      </c>
      <c r="D290" s="211">
        <f t="shared" si="16"/>
        <v>360</v>
      </c>
      <c r="E290" s="211" t="s">
        <v>3</v>
      </c>
      <c r="F290" s="209">
        <f t="shared" si="17"/>
        <v>2450</v>
      </c>
      <c r="G290" s="211" t="s">
        <v>3</v>
      </c>
      <c r="H290" s="208">
        <v>8</v>
      </c>
      <c r="I290" s="210" t="s">
        <v>531</v>
      </c>
      <c r="J290" s="103">
        <v>150</v>
      </c>
      <c r="K290" s="66">
        <v>360</v>
      </c>
      <c r="L290" s="66">
        <v>2450</v>
      </c>
      <c r="M290" s="156">
        <v>51.165588445762097</v>
      </c>
      <c r="N290" s="78">
        <v>15536.954160000003</v>
      </c>
      <c r="O290" s="113">
        <v>120469.7716726654</v>
      </c>
      <c r="P290" s="113">
        <v>143204.20011886072</v>
      </c>
      <c r="Q290" s="110">
        <v>36380.680180681353</v>
      </c>
      <c r="R290" s="113">
        <v>156850.45185334675</v>
      </c>
      <c r="S290" s="113">
        <v>179584.88029954207</v>
      </c>
      <c r="U290" s="7" t="s">
        <v>7450</v>
      </c>
    </row>
    <row r="291" spans="1:21" ht="16.5" thickBot="1">
      <c r="A291" s="207" t="s">
        <v>10</v>
      </c>
      <c r="B291" s="211">
        <f t="shared" si="15"/>
        <v>150</v>
      </c>
      <c r="C291" s="211" t="s">
        <v>3</v>
      </c>
      <c r="D291" s="211">
        <f t="shared" si="16"/>
        <v>360</v>
      </c>
      <c r="E291" s="211" t="s">
        <v>3</v>
      </c>
      <c r="F291" s="209">
        <f t="shared" si="17"/>
        <v>2500</v>
      </c>
      <c r="G291" s="211" t="s">
        <v>3</v>
      </c>
      <c r="H291" s="208">
        <v>8</v>
      </c>
      <c r="I291" s="210" t="s">
        <v>531</v>
      </c>
      <c r="J291" s="103">
        <v>150</v>
      </c>
      <c r="K291" s="66">
        <v>360</v>
      </c>
      <c r="L291" s="66">
        <v>2500</v>
      </c>
      <c r="M291" s="156">
        <v>52.051859075674201</v>
      </c>
      <c r="N291" s="78">
        <v>15906.88164</v>
      </c>
      <c r="O291" s="113">
        <v>122170.60619465397</v>
      </c>
      <c r="P291" s="113">
        <v>145295.39463895388</v>
      </c>
      <c r="Q291" s="110">
        <v>36984.101064919538</v>
      </c>
      <c r="R291" s="113">
        <v>159154.70725957351</v>
      </c>
      <c r="S291" s="113">
        <v>182279.4957038734</v>
      </c>
      <c r="U291" s="7" t="s">
        <v>7451</v>
      </c>
    </row>
    <row r="292" spans="1:21" ht="16.5" thickBot="1">
      <c r="A292" s="207" t="s">
        <v>10</v>
      </c>
      <c r="B292" s="211">
        <f t="shared" si="15"/>
        <v>150</v>
      </c>
      <c r="C292" s="211" t="s">
        <v>3</v>
      </c>
      <c r="D292" s="211">
        <f t="shared" si="16"/>
        <v>360</v>
      </c>
      <c r="E292" s="211" t="s">
        <v>3</v>
      </c>
      <c r="F292" s="209">
        <f t="shared" si="17"/>
        <v>2550</v>
      </c>
      <c r="G292" s="211" t="s">
        <v>3</v>
      </c>
      <c r="H292" s="208">
        <v>8</v>
      </c>
      <c r="I292" s="210" t="s">
        <v>531</v>
      </c>
      <c r="J292" s="103">
        <v>150</v>
      </c>
      <c r="K292" s="66">
        <v>360</v>
      </c>
      <c r="L292" s="66">
        <v>2550</v>
      </c>
      <c r="M292" s="156">
        <v>52.955169705586314</v>
      </c>
      <c r="N292" s="78">
        <v>16276.809120000004</v>
      </c>
      <c r="O292" s="113">
        <v>127462.21433788772</v>
      </c>
      <c r="P292" s="113">
        <v>151065.03557815449</v>
      </c>
      <c r="Q292" s="110">
        <v>37838.856239970264</v>
      </c>
      <c r="R292" s="113">
        <v>165301.07057785799</v>
      </c>
      <c r="S292" s="113">
        <v>188903.89181812474</v>
      </c>
      <c r="U292" s="7" t="s">
        <v>7452</v>
      </c>
    </row>
    <row r="293" spans="1:21" ht="16.5" thickBot="1">
      <c r="A293" s="207" t="s">
        <v>10</v>
      </c>
      <c r="B293" s="208">
        <f t="shared" si="15"/>
        <v>150</v>
      </c>
      <c r="C293" s="208" t="s">
        <v>3</v>
      </c>
      <c r="D293" s="208">
        <f t="shared" si="16"/>
        <v>360</v>
      </c>
      <c r="E293" s="208" t="s">
        <v>3</v>
      </c>
      <c r="F293" s="209">
        <f t="shared" si="17"/>
        <v>2600</v>
      </c>
      <c r="G293" s="208" t="s">
        <v>3</v>
      </c>
      <c r="H293" s="208">
        <v>8</v>
      </c>
      <c r="I293" s="210" t="s">
        <v>531</v>
      </c>
      <c r="J293" s="103">
        <v>150</v>
      </c>
      <c r="K293" s="66">
        <v>360</v>
      </c>
      <c r="L293" s="66">
        <v>2600</v>
      </c>
      <c r="M293" s="156">
        <v>53.841440335498419</v>
      </c>
      <c r="N293" s="78">
        <v>16646.736600000004</v>
      </c>
      <c r="O293" s="113">
        <v>129457.90188409273</v>
      </c>
      <c r="P293" s="113">
        <v>153458.28231787132</v>
      </c>
      <c r="Q293" s="110">
        <v>38442.277124208456</v>
      </c>
      <c r="R293" s="113">
        <v>167900.17900830117</v>
      </c>
      <c r="S293" s="113">
        <v>191900.55944207977</v>
      </c>
      <c r="U293" s="7" t="s">
        <v>7453</v>
      </c>
    </row>
    <row r="294" spans="1:21" ht="16.5" thickBot="1">
      <c r="A294" s="207" t="s">
        <v>10</v>
      </c>
      <c r="B294" s="211">
        <f t="shared" si="15"/>
        <v>150</v>
      </c>
      <c r="C294" s="211" t="s">
        <v>3</v>
      </c>
      <c r="D294" s="211">
        <f t="shared" si="16"/>
        <v>360</v>
      </c>
      <c r="E294" s="211" t="s">
        <v>3</v>
      </c>
      <c r="F294" s="209">
        <f t="shared" si="17"/>
        <v>2650</v>
      </c>
      <c r="G294" s="211" t="s">
        <v>3</v>
      </c>
      <c r="H294" s="208">
        <v>8</v>
      </c>
      <c r="I294" s="210" t="s">
        <v>531</v>
      </c>
      <c r="J294" s="103">
        <v>150</v>
      </c>
      <c r="K294" s="66">
        <v>360</v>
      </c>
      <c r="L294" s="66">
        <v>2650</v>
      </c>
      <c r="M294" s="156">
        <v>54.744750965410532</v>
      </c>
      <c r="N294" s="78">
        <v>17016.664080000002</v>
      </c>
      <c r="O294" s="113">
        <v>130984.21382507047</v>
      </c>
      <c r="P294" s="113">
        <v>155370.69312661036</v>
      </c>
      <c r="Q294" s="110">
        <v>39297.032146230413</v>
      </c>
      <c r="R294" s="113">
        <v>170281.24597130087</v>
      </c>
      <c r="S294" s="113">
        <v>194667.72527284076</v>
      </c>
      <c r="U294" s="7" t="s">
        <v>7454</v>
      </c>
    </row>
    <row r="295" spans="1:21" ht="16.5" thickBot="1">
      <c r="A295" s="207" t="s">
        <v>10</v>
      </c>
      <c r="B295" s="211">
        <f t="shared" si="15"/>
        <v>150</v>
      </c>
      <c r="C295" s="211" t="s">
        <v>3</v>
      </c>
      <c r="D295" s="211">
        <f t="shared" si="16"/>
        <v>360</v>
      </c>
      <c r="E295" s="211" t="s">
        <v>3</v>
      </c>
      <c r="F295" s="209">
        <f t="shared" si="17"/>
        <v>2700</v>
      </c>
      <c r="G295" s="211" t="s">
        <v>3</v>
      </c>
      <c r="H295" s="208">
        <v>8</v>
      </c>
      <c r="I295" s="210" t="s">
        <v>531</v>
      </c>
      <c r="J295" s="103">
        <v>150</v>
      </c>
      <c r="K295" s="66">
        <v>360</v>
      </c>
      <c r="L295" s="66">
        <v>2700</v>
      </c>
      <c r="M295" s="156">
        <v>55.788021595322633</v>
      </c>
      <c r="N295" s="78">
        <v>17386.591560000004</v>
      </c>
      <c r="O295" s="113">
        <v>132640.45492324341</v>
      </c>
      <c r="P295" s="113">
        <v>157416.20553493503</v>
      </c>
      <c r="Q295" s="110">
        <v>39900.453030468605</v>
      </c>
      <c r="R295" s="113">
        <v>172540.90795371201</v>
      </c>
      <c r="S295" s="113">
        <v>197316.65856540363</v>
      </c>
      <c r="U295" s="7" t="s">
        <v>7455</v>
      </c>
    </row>
    <row r="296" spans="1:21" ht="16.5" thickBot="1">
      <c r="A296" s="207" t="s">
        <v>10</v>
      </c>
      <c r="B296" s="211">
        <f t="shared" si="15"/>
        <v>150</v>
      </c>
      <c r="C296" s="211" t="s">
        <v>3</v>
      </c>
      <c r="D296" s="211">
        <f t="shared" si="16"/>
        <v>360</v>
      </c>
      <c r="E296" s="211" t="s">
        <v>3</v>
      </c>
      <c r="F296" s="209">
        <f t="shared" si="17"/>
        <v>2750</v>
      </c>
      <c r="G296" s="211" t="s">
        <v>3</v>
      </c>
      <c r="H296" s="208">
        <v>8</v>
      </c>
      <c r="I296" s="210" t="s">
        <v>531</v>
      </c>
      <c r="J296" s="103">
        <v>150</v>
      </c>
      <c r="K296" s="66">
        <v>360</v>
      </c>
      <c r="L296" s="66">
        <v>2750</v>
      </c>
      <c r="M296" s="156">
        <v>56.674292225234737</v>
      </c>
      <c r="N296" s="78">
        <v>17756.519040000003</v>
      </c>
      <c r="O296" s="113">
        <v>134255.77394896201</v>
      </c>
      <c r="P296" s="113">
        <v>159419.79669396806</v>
      </c>
      <c r="Q296" s="110">
        <v>40503.87391470679</v>
      </c>
      <c r="R296" s="113">
        <v>174759.6478636688</v>
      </c>
      <c r="S296" s="113">
        <v>199923.67060867485</v>
      </c>
      <c r="U296" s="7" t="s">
        <v>7456</v>
      </c>
    </row>
    <row r="297" spans="1:21" ht="16.5" thickBot="1">
      <c r="A297" s="207" t="s">
        <v>10</v>
      </c>
      <c r="B297" s="211">
        <f t="shared" si="15"/>
        <v>150</v>
      </c>
      <c r="C297" s="211" t="s">
        <v>3</v>
      </c>
      <c r="D297" s="211">
        <f t="shared" si="16"/>
        <v>360</v>
      </c>
      <c r="E297" s="211" t="s">
        <v>3</v>
      </c>
      <c r="F297" s="209">
        <f t="shared" si="17"/>
        <v>2800</v>
      </c>
      <c r="G297" s="211" t="s">
        <v>3</v>
      </c>
      <c r="H297" s="208">
        <v>8</v>
      </c>
      <c r="I297" s="210" t="s">
        <v>531</v>
      </c>
      <c r="J297" s="103">
        <v>150</v>
      </c>
      <c r="K297" s="66">
        <v>360</v>
      </c>
      <c r="L297" s="66">
        <v>2800</v>
      </c>
      <c r="M297" s="156">
        <v>57.577602855146843</v>
      </c>
      <c r="N297" s="78">
        <v>18126.446520000005</v>
      </c>
      <c r="O297" s="113">
        <v>135780.74039982527</v>
      </c>
      <c r="P297" s="113">
        <v>161330.82930728493</v>
      </c>
      <c r="Q297" s="110">
        <v>41358.628936728746</v>
      </c>
      <c r="R297" s="113">
        <v>177139.36933655402</v>
      </c>
      <c r="S297" s="113">
        <v>202689.45824401369</v>
      </c>
      <c r="U297" s="7" t="s">
        <v>7457</v>
      </c>
    </row>
    <row r="298" spans="1:21" ht="16.5" thickBot="1">
      <c r="A298" s="207" t="s">
        <v>10</v>
      </c>
      <c r="B298" s="211">
        <f t="shared" si="15"/>
        <v>150</v>
      </c>
      <c r="C298" s="211" t="s">
        <v>3</v>
      </c>
      <c r="D298" s="211">
        <f t="shared" si="16"/>
        <v>360</v>
      </c>
      <c r="E298" s="211" t="s">
        <v>3</v>
      </c>
      <c r="F298" s="209">
        <f t="shared" si="17"/>
        <v>2850</v>
      </c>
      <c r="G298" s="211" t="s">
        <v>3</v>
      </c>
      <c r="H298" s="208">
        <v>8</v>
      </c>
      <c r="I298" s="210" t="s">
        <v>531</v>
      </c>
      <c r="J298" s="103">
        <v>150</v>
      </c>
      <c r="K298" s="66">
        <v>360</v>
      </c>
      <c r="L298" s="66">
        <v>2850</v>
      </c>
      <c r="M298" s="156">
        <v>59.325873485058935</v>
      </c>
      <c r="N298" s="78">
        <v>18496.374000000003</v>
      </c>
      <c r="O298" s="113">
        <v>137305.65456075949</v>
      </c>
      <c r="P298" s="113">
        <v>163241.80812486974</v>
      </c>
      <c r="Q298" s="110">
        <v>41962.049820966939</v>
      </c>
      <c r="R298" s="113">
        <v>179267.70438172642</v>
      </c>
      <c r="S298" s="113">
        <v>205203.85794583667</v>
      </c>
      <c r="U298" s="7" t="s">
        <v>7458</v>
      </c>
    </row>
    <row r="299" spans="1:21" ht="16.5" thickBot="1">
      <c r="A299" s="207" t="s">
        <v>10</v>
      </c>
      <c r="B299" s="211">
        <f t="shared" si="15"/>
        <v>150</v>
      </c>
      <c r="C299" s="211" t="s">
        <v>3</v>
      </c>
      <c r="D299" s="211">
        <f t="shared" si="16"/>
        <v>360</v>
      </c>
      <c r="E299" s="211" t="s">
        <v>3</v>
      </c>
      <c r="F299" s="209">
        <f t="shared" si="17"/>
        <v>2900</v>
      </c>
      <c r="G299" s="211" t="s">
        <v>3</v>
      </c>
      <c r="H299" s="208">
        <v>8</v>
      </c>
      <c r="I299" s="210" t="s">
        <v>531</v>
      </c>
      <c r="J299" s="103">
        <v>150</v>
      </c>
      <c r="K299" s="66">
        <v>360</v>
      </c>
      <c r="L299" s="66">
        <v>2900</v>
      </c>
      <c r="M299" s="156">
        <v>60.229184114971048</v>
      </c>
      <c r="N299" s="78">
        <v>18866.301480000002</v>
      </c>
      <c r="O299" s="113">
        <v>138830.51617161577</v>
      </c>
      <c r="P299" s="113">
        <v>165152.7332890392</v>
      </c>
      <c r="Q299" s="110">
        <v>42816.804842988895</v>
      </c>
      <c r="R299" s="113">
        <v>181647.32101460468</v>
      </c>
      <c r="S299" s="113">
        <v>207969.5381320281</v>
      </c>
      <c r="U299" s="7" t="s">
        <v>7459</v>
      </c>
    </row>
    <row r="300" spans="1:21" ht="16.5" thickBot="1">
      <c r="A300" s="207" t="s">
        <v>10</v>
      </c>
      <c r="B300" s="211">
        <f t="shared" si="15"/>
        <v>150</v>
      </c>
      <c r="C300" s="211" t="s">
        <v>3</v>
      </c>
      <c r="D300" s="211">
        <f t="shared" si="16"/>
        <v>360</v>
      </c>
      <c r="E300" s="211" t="s">
        <v>3</v>
      </c>
      <c r="F300" s="209">
        <f t="shared" si="17"/>
        <v>2950</v>
      </c>
      <c r="G300" s="211" t="s">
        <v>3</v>
      </c>
      <c r="H300" s="208">
        <v>8</v>
      </c>
      <c r="I300" s="210" t="s">
        <v>531</v>
      </c>
      <c r="J300" s="103">
        <v>150</v>
      </c>
      <c r="K300" s="66">
        <v>360</v>
      </c>
      <c r="L300" s="66">
        <v>2950</v>
      </c>
      <c r="M300" s="156">
        <v>61.115454744883152</v>
      </c>
      <c r="N300" s="78">
        <v>19236.228960000004</v>
      </c>
      <c r="O300" s="113">
        <v>140355.32536246855</v>
      </c>
      <c r="P300" s="113">
        <v>167063.60465747656</v>
      </c>
      <c r="Q300" s="110">
        <v>43420.22572722708</v>
      </c>
      <c r="R300" s="113">
        <v>183775.55108969563</v>
      </c>
      <c r="S300" s="113">
        <v>210483.83038470364</v>
      </c>
      <c r="U300" s="7" t="s">
        <v>7460</v>
      </c>
    </row>
    <row r="301" spans="1:21" ht="16.5" thickBot="1">
      <c r="A301" s="207" t="s">
        <v>10</v>
      </c>
      <c r="B301" s="211">
        <f t="shared" si="15"/>
        <v>150</v>
      </c>
      <c r="C301" s="211" t="s">
        <v>3</v>
      </c>
      <c r="D301" s="211">
        <f t="shared" si="16"/>
        <v>360</v>
      </c>
      <c r="E301" s="211" t="s">
        <v>3</v>
      </c>
      <c r="F301" s="209">
        <f t="shared" si="17"/>
        <v>3000</v>
      </c>
      <c r="G301" s="211" t="s">
        <v>3</v>
      </c>
      <c r="H301" s="208">
        <v>8</v>
      </c>
      <c r="I301" s="210" t="s">
        <v>531</v>
      </c>
      <c r="J301" s="125">
        <v>150</v>
      </c>
      <c r="K301" s="126">
        <v>360</v>
      </c>
      <c r="L301" s="126">
        <v>3000</v>
      </c>
      <c r="M301" s="157">
        <v>62.018765374795251</v>
      </c>
      <c r="N301" s="127">
        <v>19606.156439999999</v>
      </c>
      <c r="O301" s="128">
        <v>143751.43424399075</v>
      </c>
      <c r="P301" s="128">
        <v>170891.46559150112</v>
      </c>
      <c r="Q301" s="136">
        <v>44274.980749249036</v>
      </c>
      <c r="R301" s="128">
        <v>188026.4149932398</v>
      </c>
      <c r="S301" s="128">
        <v>215166.44634075015</v>
      </c>
      <c r="U301" s="7" t="s">
        <v>7461</v>
      </c>
    </row>
    <row r="302" spans="1:21" ht="19.5" thickBot="1">
      <c r="A302" s="2968" t="s">
        <v>60</v>
      </c>
      <c r="B302" s="2969"/>
      <c r="C302" s="2969"/>
      <c r="D302" s="2969"/>
      <c r="E302" s="2969"/>
      <c r="F302" s="2969"/>
      <c r="G302" s="2969"/>
      <c r="H302" s="2969"/>
      <c r="I302" s="2969"/>
      <c r="J302" s="2969"/>
      <c r="K302" s="2969"/>
      <c r="L302" s="2969"/>
      <c r="M302" s="2969"/>
      <c r="N302" s="2969"/>
      <c r="O302" s="2969"/>
      <c r="P302" s="2969"/>
      <c r="Q302" s="2969"/>
      <c r="R302" s="2969"/>
      <c r="S302" s="2970"/>
      <c r="U302" s="7"/>
    </row>
    <row r="303" spans="1:21" ht="19.5" thickBot="1">
      <c r="A303" s="3015" t="s">
        <v>148</v>
      </c>
      <c r="B303" s="3016"/>
      <c r="C303" s="3016"/>
      <c r="D303" s="3016"/>
      <c r="E303" s="3016"/>
      <c r="F303" s="3016"/>
      <c r="G303" s="3016"/>
      <c r="H303" s="3016"/>
      <c r="I303" s="3016"/>
      <c r="J303" s="3016"/>
      <c r="K303" s="3016"/>
      <c r="L303" s="3016"/>
      <c r="M303" s="3016"/>
      <c r="N303" s="3016"/>
      <c r="O303" s="3016"/>
      <c r="P303" s="3016"/>
      <c r="Q303" s="3016"/>
      <c r="R303" s="3016"/>
      <c r="S303" s="3017"/>
      <c r="U303" s="7"/>
    </row>
    <row r="304" spans="1:21" ht="16.5" thickBot="1">
      <c r="A304" s="207" t="s">
        <v>10</v>
      </c>
      <c r="B304" s="208">
        <f t="shared" ref="B304:B350" si="18">J304</f>
        <v>150</v>
      </c>
      <c r="C304" s="208" t="s">
        <v>3</v>
      </c>
      <c r="D304" s="208">
        <f t="shared" ref="D304:D350" si="19">K304</f>
        <v>400</v>
      </c>
      <c r="E304" s="208" t="s">
        <v>3</v>
      </c>
      <c r="F304" s="209">
        <f t="shared" ref="F304:F350" si="20">L304</f>
        <v>700</v>
      </c>
      <c r="G304" s="208" t="s">
        <v>3</v>
      </c>
      <c r="H304" s="208">
        <v>6</v>
      </c>
      <c r="I304" s="210" t="s">
        <v>531</v>
      </c>
      <c r="J304" s="286">
        <v>150</v>
      </c>
      <c r="K304" s="271">
        <v>400</v>
      </c>
      <c r="L304" s="271">
        <v>700</v>
      </c>
      <c r="M304" s="282">
        <v>15.787244296809236</v>
      </c>
      <c r="N304" s="246">
        <v>2546.7199757999997</v>
      </c>
      <c r="O304" s="247">
        <v>36364.972749673936</v>
      </c>
      <c r="P304" s="247">
        <v>43966.536697149728</v>
      </c>
      <c r="Q304" s="139">
        <v>12324.7019970418</v>
      </c>
      <c r="R304" s="247">
        <v>48689.67474671574</v>
      </c>
      <c r="S304" s="247">
        <v>56291.238694191532</v>
      </c>
      <c r="U304" s="7" t="s">
        <v>7462</v>
      </c>
    </row>
    <row r="305" spans="1:21" ht="16.5" thickBot="1">
      <c r="A305" s="207" t="s">
        <v>10</v>
      </c>
      <c r="B305" s="211">
        <f t="shared" si="18"/>
        <v>150</v>
      </c>
      <c r="C305" s="211" t="s">
        <v>3</v>
      </c>
      <c r="D305" s="211">
        <f t="shared" si="19"/>
        <v>400</v>
      </c>
      <c r="E305" s="211" t="s">
        <v>3</v>
      </c>
      <c r="F305" s="209">
        <f t="shared" si="20"/>
        <v>750</v>
      </c>
      <c r="G305" s="211" t="s">
        <v>3</v>
      </c>
      <c r="H305" s="208">
        <v>6</v>
      </c>
      <c r="I305" s="210" t="s">
        <v>531</v>
      </c>
      <c r="J305" s="103">
        <v>150</v>
      </c>
      <c r="K305" s="66">
        <v>400</v>
      </c>
      <c r="L305" s="66">
        <v>750</v>
      </c>
      <c r="M305" s="282">
        <v>16.664652220422219</v>
      </c>
      <c r="N305" s="78">
        <v>2910.5371152000002</v>
      </c>
      <c r="O305" s="113">
        <v>38685.812992635845</v>
      </c>
      <c r="P305" s="113">
        <v>46671.840666442127</v>
      </c>
      <c r="Q305" s="110">
        <v>12981.309099800537</v>
      </c>
      <c r="R305" s="113">
        <v>51667.122092436381</v>
      </c>
      <c r="S305" s="113">
        <v>59653.149766242663</v>
      </c>
      <c r="U305" s="7" t="s">
        <v>7463</v>
      </c>
    </row>
    <row r="306" spans="1:21" ht="16.5" thickBot="1">
      <c r="A306" s="207" t="s">
        <v>10</v>
      </c>
      <c r="B306" s="211">
        <f t="shared" si="18"/>
        <v>150</v>
      </c>
      <c r="C306" s="211" t="s">
        <v>3</v>
      </c>
      <c r="D306" s="211">
        <f t="shared" si="19"/>
        <v>400</v>
      </c>
      <c r="E306" s="211" t="s">
        <v>3</v>
      </c>
      <c r="F306" s="209">
        <f t="shared" si="20"/>
        <v>800</v>
      </c>
      <c r="G306" s="211" t="s">
        <v>3</v>
      </c>
      <c r="H306" s="208">
        <v>6</v>
      </c>
      <c r="I306" s="210" t="s">
        <v>531</v>
      </c>
      <c r="J306" s="103">
        <v>150</v>
      </c>
      <c r="K306" s="66">
        <v>400</v>
      </c>
      <c r="L306" s="66">
        <v>800</v>
      </c>
      <c r="M306" s="282">
        <v>17.542060144035208</v>
      </c>
      <c r="N306" s="78">
        <v>3274.3542546000003</v>
      </c>
      <c r="O306" s="113">
        <v>41000.432425009458</v>
      </c>
      <c r="P306" s="113">
        <v>49372.098083723984</v>
      </c>
      <c r="Q306" s="110">
        <v>13637.916049530511</v>
      </c>
      <c r="R306" s="113">
        <v>54638.348474539969</v>
      </c>
      <c r="S306" s="113">
        <v>63010.014133254495</v>
      </c>
      <c r="U306" s="7" t="s">
        <v>7464</v>
      </c>
    </row>
    <row r="307" spans="1:21" ht="16.5" thickBot="1">
      <c r="A307" s="207" t="s">
        <v>10</v>
      </c>
      <c r="B307" s="211">
        <f t="shared" si="18"/>
        <v>150</v>
      </c>
      <c r="C307" s="211" t="s">
        <v>3</v>
      </c>
      <c r="D307" s="211">
        <f t="shared" si="19"/>
        <v>400</v>
      </c>
      <c r="E307" s="211" t="s">
        <v>3</v>
      </c>
      <c r="F307" s="209">
        <f t="shared" si="20"/>
        <v>850</v>
      </c>
      <c r="G307" s="211" t="s">
        <v>3</v>
      </c>
      <c r="H307" s="208">
        <v>6</v>
      </c>
      <c r="I307" s="210" t="s">
        <v>531</v>
      </c>
      <c r="J307" s="103">
        <v>150</v>
      </c>
      <c r="K307" s="66">
        <v>400</v>
      </c>
      <c r="L307" s="66">
        <v>850</v>
      </c>
      <c r="M307" s="282">
        <v>18.436337667648186</v>
      </c>
      <c r="N307" s="78">
        <v>3638.171394</v>
      </c>
      <c r="O307" s="113">
        <v>43314.450913422435</v>
      </c>
      <c r="P307" s="113">
        <v>52071.993304873111</v>
      </c>
      <c r="Q307" s="110">
        <v>14545.85729007302</v>
      </c>
      <c r="R307" s="113">
        <v>57860.308203495457</v>
      </c>
      <c r="S307" s="113">
        <v>66617.850594946125</v>
      </c>
      <c r="U307" s="7" t="s">
        <v>7465</v>
      </c>
    </row>
    <row r="308" spans="1:21" ht="16.5" thickBot="1">
      <c r="A308" s="207" t="s">
        <v>10</v>
      </c>
      <c r="B308" s="211">
        <f t="shared" si="18"/>
        <v>150</v>
      </c>
      <c r="C308" s="211" t="s">
        <v>3</v>
      </c>
      <c r="D308" s="211">
        <f t="shared" si="19"/>
        <v>400</v>
      </c>
      <c r="E308" s="211" t="s">
        <v>3</v>
      </c>
      <c r="F308" s="209">
        <f t="shared" si="20"/>
        <v>900</v>
      </c>
      <c r="G308" s="211" t="s">
        <v>3</v>
      </c>
      <c r="H308" s="208">
        <v>6</v>
      </c>
      <c r="I308" s="210" t="s">
        <v>531</v>
      </c>
      <c r="J308" s="103">
        <v>150</v>
      </c>
      <c r="K308" s="66">
        <v>400</v>
      </c>
      <c r="L308" s="66">
        <v>900</v>
      </c>
      <c r="M308" s="282">
        <v>19.471155591261176</v>
      </c>
      <c r="N308" s="78">
        <v>4001.9885334000005</v>
      </c>
      <c r="O308" s="113">
        <v>45628.726559023758</v>
      </c>
      <c r="P308" s="113">
        <v>54772.355609600883</v>
      </c>
      <c r="Q308" s="110">
        <v>15202.464239802994</v>
      </c>
      <c r="R308" s="113">
        <v>60831.190798826749</v>
      </c>
      <c r="S308" s="113">
        <v>69974.819849403881</v>
      </c>
      <c r="U308" s="7" t="s">
        <v>7466</v>
      </c>
    </row>
    <row r="309" spans="1:21" ht="16.5" thickBot="1">
      <c r="A309" s="207" t="s">
        <v>10</v>
      </c>
      <c r="B309" s="211">
        <f t="shared" si="18"/>
        <v>150</v>
      </c>
      <c r="C309" s="211" t="s">
        <v>3</v>
      </c>
      <c r="D309" s="211">
        <f t="shared" si="19"/>
        <v>400</v>
      </c>
      <c r="E309" s="211" t="s">
        <v>3</v>
      </c>
      <c r="F309" s="209">
        <f t="shared" si="20"/>
        <v>950</v>
      </c>
      <c r="G309" s="211" t="s">
        <v>3</v>
      </c>
      <c r="H309" s="208">
        <v>6</v>
      </c>
      <c r="I309" s="210" t="s">
        <v>531</v>
      </c>
      <c r="J309" s="103">
        <v>150</v>
      </c>
      <c r="K309" s="66">
        <v>400</v>
      </c>
      <c r="L309" s="66">
        <v>950</v>
      </c>
      <c r="M309" s="282">
        <v>20.365433114874165</v>
      </c>
      <c r="N309" s="78">
        <v>4365.8056728000001</v>
      </c>
      <c r="O309" s="113">
        <v>47943.217998138229</v>
      </c>
      <c r="P309" s="113">
        <v>57473.110993196467</v>
      </c>
      <c r="Q309" s="110">
        <v>16110.4054803455</v>
      </c>
      <c r="R309" s="113">
        <v>64053.623478483729</v>
      </c>
      <c r="S309" s="113">
        <v>73583.516473541968</v>
      </c>
      <c r="U309" s="7" t="s">
        <v>7467</v>
      </c>
    </row>
    <row r="310" spans="1:21" ht="16.5" thickBot="1">
      <c r="A310" s="207" t="s">
        <v>10</v>
      </c>
      <c r="B310" s="211">
        <f t="shared" si="18"/>
        <v>150</v>
      </c>
      <c r="C310" s="211" t="s">
        <v>3</v>
      </c>
      <c r="D310" s="211">
        <f t="shared" si="19"/>
        <v>400</v>
      </c>
      <c r="E310" s="211" t="s">
        <v>3</v>
      </c>
      <c r="F310" s="209">
        <f t="shared" si="20"/>
        <v>1000</v>
      </c>
      <c r="G310" s="211" t="s">
        <v>3</v>
      </c>
      <c r="H310" s="208">
        <v>6</v>
      </c>
      <c r="I310" s="210" t="s">
        <v>531</v>
      </c>
      <c r="J310" s="103">
        <v>150</v>
      </c>
      <c r="K310" s="66">
        <v>400</v>
      </c>
      <c r="L310" s="66">
        <v>1000</v>
      </c>
      <c r="M310" s="282">
        <v>21.242841038487143</v>
      </c>
      <c r="N310" s="78">
        <v>4729.6228122000002</v>
      </c>
      <c r="O310" s="113">
        <v>50183.499752058793</v>
      </c>
      <c r="P310" s="113">
        <v>60099.141116264429</v>
      </c>
      <c r="Q310" s="110">
        <v>16767.012583104239</v>
      </c>
      <c r="R310" s="113">
        <v>66950.512335163032</v>
      </c>
      <c r="S310" s="113">
        <v>76866.153699368675</v>
      </c>
      <c r="U310" s="7" t="s">
        <v>7468</v>
      </c>
    </row>
    <row r="311" spans="1:21" ht="16.5" thickBot="1">
      <c r="A311" s="207" t="s">
        <v>10</v>
      </c>
      <c r="B311" s="211">
        <f t="shared" si="18"/>
        <v>150</v>
      </c>
      <c r="C311" s="211" t="s">
        <v>3</v>
      </c>
      <c r="D311" s="211">
        <f t="shared" si="19"/>
        <v>400</v>
      </c>
      <c r="E311" s="211" t="s">
        <v>3</v>
      </c>
      <c r="F311" s="209">
        <f t="shared" si="20"/>
        <v>1050</v>
      </c>
      <c r="G311" s="211" t="s">
        <v>3</v>
      </c>
      <c r="H311" s="208">
        <v>6</v>
      </c>
      <c r="I311" s="210" t="s">
        <v>531</v>
      </c>
      <c r="J311" s="103">
        <v>150</v>
      </c>
      <c r="K311" s="66">
        <v>400</v>
      </c>
      <c r="L311" s="66">
        <v>1050</v>
      </c>
      <c r="M311" s="282">
        <v>22.137118562100131</v>
      </c>
      <c r="N311" s="78">
        <v>5093.4399515999994</v>
      </c>
      <c r="O311" s="113">
        <v>52735.936513284403</v>
      </c>
      <c r="P311" s="113">
        <v>63045.399869832625</v>
      </c>
      <c r="Q311" s="110">
        <v>17674.953670617982</v>
      </c>
      <c r="R311" s="113">
        <v>70410.890183902389</v>
      </c>
      <c r="S311" s="113">
        <v>80720.353540450611</v>
      </c>
      <c r="U311" s="7" t="s">
        <v>7469</v>
      </c>
    </row>
    <row r="312" spans="1:21" ht="16.5" thickBot="1">
      <c r="A312" s="207" t="s">
        <v>10</v>
      </c>
      <c r="B312" s="208">
        <f t="shared" si="18"/>
        <v>150</v>
      </c>
      <c r="C312" s="208" t="s">
        <v>3</v>
      </c>
      <c r="D312" s="208">
        <f t="shared" si="19"/>
        <v>400</v>
      </c>
      <c r="E312" s="208" t="s">
        <v>3</v>
      </c>
      <c r="F312" s="209">
        <f t="shared" si="20"/>
        <v>1100</v>
      </c>
      <c r="G312" s="208" t="s">
        <v>3</v>
      </c>
      <c r="H312" s="208">
        <v>6</v>
      </c>
      <c r="I312" s="210" t="s">
        <v>531</v>
      </c>
      <c r="J312" s="103">
        <v>150</v>
      </c>
      <c r="K312" s="66">
        <v>400</v>
      </c>
      <c r="L312" s="66">
        <v>1100</v>
      </c>
      <c r="M312" s="282">
        <v>23.014526485713112</v>
      </c>
      <c r="N312" s="78">
        <v>5457.2570910000004</v>
      </c>
      <c r="O312" s="113">
        <v>55059.069188359383</v>
      </c>
      <c r="P312" s="113">
        <v>65755.66955522068</v>
      </c>
      <c r="Q312" s="110">
        <v>18331.560773376717</v>
      </c>
      <c r="R312" s="113">
        <v>73390.629961736093</v>
      </c>
      <c r="S312" s="113">
        <v>84087.23032859739</v>
      </c>
      <c r="U312" s="7" t="s">
        <v>7470</v>
      </c>
    </row>
    <row r="313" spans="1:21" ht="16.5" thickBot="1">
      <c r="A313" s="207" t="s">
        <v>10</v>
      </c>
      <c r="B313" s="211">
        <f t="shared" si="18"/>
        <v>150</v>
      </c>
      <c r="C313" s="211" t="s">
        <v>3</v>
      </c>
      <c r="D313" s="211">
        <f t="shared" si="19"/>
        <v>400</v>
      </c>
      <c r="E313" s="211" t="s">
        <v>3</v>
      </c>
      <c r="F313" s="209">
        <f t="shared" si="20"/>
        <v>1150</v>
      </c>
      <c r="G313" s="211" t="s">
        <v>3</v>
      </c>
      <c r="H313" s="208">
        <v>6</v>
      </c>
      <c r="I313" s="210" t="s">
        <v>531</v>
      </c>
      <c r="J313" s="103">
        <v>150</v>
      </c>
      <c r="K313" s="66">
        <v>400</v>
      </c>
      <c r="L313" s="66">
        <v>1150</v>
      </c>
      <c r="M313" s="282">
        <v>23.891934409326097</v>
      </c>
      <c r="N313" s="78">
        <v>5821.0742304000005</v>
      </c>
      <c r="O313" s="113">
        <v>56608.156645296702</v>
      </c>
      <c r="P313" s="113">
        <v>67667.896063766457</v>
      </c>
      <c r="Q313" s="110">
        <v>18988.167723106693</v>
      </c>
      <c r="R313" s="113">
        <v>75596.324368403395</v>
      </c>
      <c r="S313" s="113">
        <v>86656.063786873157</v>
      </c>
      <c r="U313" s="7" t="s">
        <v>7471</v>
      </c>
    </row>
    <row r="314" spans="1:21" ht="16.5" thickBot="1">
      <c r="A314" s="207" t="s">
        <v>10</v>
      </c>
      <c r="B314" s="211">
        <f t="shared" si="18"/>
        <v>150</v>
      </c>
      <c r="C314" s="211" t="s">
        <v>3</v>
      </c>
      <c r="D314" s="211">
        <f t="shared" si="19"/>
        <v>400</v>
      </c>
      <c r="E314" s="211" t="s">
        <v>3</v>
      </c>
      <c r="F314" s="209">
        <f t="shared" si="20"/>
        <v>1200</v>
      </c>
      <c r="G314" s="211" t="s">
        <v>3</v>
      </c>
      <c r="H314" s="208">
        <v>6</v>
      </c>
      <c r="I314" s="210" t="s">
        <v>531</v>
      </c>
      <c r="J314" s="103">
        <v>150</v>
      </c>
      <c r="K314" s="66">
        <v>400</v>
      </c>
      <c r="L314" s="66">
        <v>1200</v>
      </c>
      <c r="M314" s="282">
        <v>24.941641932939078</v>
      </c>
      <c r="N314" s="78">
        <v>6184.8913697999997</v>
      </c>
      <c r="O314" s="113">
        <v>58272.038446758015</v>
      </c>
      <c r="P314" s="113">
        <v>69697.428577958242</v>
      </c>
      <c r="Q314" s="110">
        <v>19896.1089636492</v>
      </c>
      <c r="R314" s="113">
        <v>78168.147410407211</v>
      </c>
      <c r="S314" s="113">
        <v>89593.537541607438</v>
      </c>
      <c r="U314" s="7" t="s">
        <v>7472</v>
      </c>
    </row>
    <row r="315" spans="1:21" ht="16.5" thickBot="1">
      <c r="A315" s="207" t="s">
        <v>10</v>
      </c>
      <c r="B315" s="211">
        <f t="shared" si="18"/>
        <v>150</v>
      </c>
      <c r="C315" s="211" t="s">
        <v>3</v>
      </c>
      <c r="D315" s="211">
        <f t="shared" si="19"/>
        <v>400</v>
      </c>
      <c r="E315" s="211" t="s">
        <v>3</v>
      </c>
      <c r="F315" s="209">
        <f t="shared" si="20"/>
        <v>1250</v>
      </c>
      <c r="G315" s="211" t="s">
        <v>3</v>
      </c>
      <c r="H315" s="208">
        <v>6</v>
      </c>
      <c r="I315" s="210" t="s">
        <v>531</v>
      </c>
      <c r="J315" s="103">
        <v>150</v>
      </c>
      <c r="K315" s="66">
        <v>400</v>
      </c>
      <c r="L315" s="66">
        <v>1250</v>
      </c>
      <c r="M315" s="282">
        <v>26.672429856552064</v>
      </c>
      <c r="N315" s="78">
        <v>6548.7085092000007</v>
      </c>
      <c r="O315" s="113">
        <v>59816.482375892076</v>
      </c>
      <c r="P315" s="113">
        <v>71604.387658895037</v>
      </c>
      <c r="Q315" s="110">
        <v>20552.715913379172</v>
      </c>
      <c r="R315" s="113">
        <v>80369.19828927124</v>
      </c>
      <c r="S315" s="113">
        <v>92157.103572274209</v>
      </c>
      <c r="U315" s="7" t="s">
        <v>7473</v>
      </c>
    </row>
    <row r="316" spans="1:21" ht="16.5" thickBot="1">
      <c r="A316" s="207" t="s">
        <v>10</v>
      </c>
      <c r="B316" s="211">
        <f t="shared" si="18"/>
        <v>150</v>
      </c>
      <c r="C316" s="211" t="s">
        <v>3</v>
      </c>
      <c r="D316" s="211">
        <f t="shared" si="19"/>
        <v>400</v>
      </c>
      <c r="E316" s="211" t="s">
        <v>3</v>
      </c>
      <c r="F316" s="209">
        <f t="shared" si="20"/>
        <v>1300</v>
      </c>
      <c r="G316" s="211" t="s">
        <v>3</v>
      </c>
      <c r="H316" s="208">
        <v>6</v>
      </c>
      <c r="I316" s="210" t="s">
        <v>531</v>
      </c>
      <c r="J316" s="103">
        <v>150</v>
      </c>
      <c r="K316" s="66">
        <v>400</v>
      </c>
      <c r="L316" s="66">
        <v>1300</v>
      </c>
      <c r="M316" s="282">
        <v>27.566707380165049</v>
      </c>
      <c r="N316" s="78">
        <v>6912.5256485999989</v>
      </c>
      <c r="O316" s="113">
        <v>63795.409213328567</v>
      </c>
      <c r="P316" s="113">
        <v>76015.876355634915</v>
      </c>
      <c r="Q316" s="110">
        <v>21460.657153921682</v>
      </c>
      <c r="R316" s="113">
        <v>85256.066367250256</v>
      </c>
      <c r="S316" s="113">
        <v>97476.533509556597</v>
      </c>
      <c r="U316" s="7" t="s">
        <v>7474</v>
      </c>
    </row>
    <row r="317" spans="1:21" ht="16.5" thickBot="1">
      <c r="A317" s="207" t="s">
        <v>10</v>
      </c>
      <c r="B317" s="211">
        <f t="shared" si="18"/>
        <v>150</v>
      </c>
      <c r="C317" s="211" t="s">
        <v>3</v>
      </c>
      <c r="D317" s="211">
        <f t="shared" si="19"/>
        <v>400</v>
      </c>
      <c r="E317" s="211" t="s">
        <v>3</v>
      </c>
      <c r="F317" s="209">
        <f t="shared" si="20"/>
        <v>1350</v>
      </c>
      <c r="G317" s="211" t="s">
        <v>3</v>
      </c>
      <c r="H317" s="208">
        <v>6</v>
      </c>
      <c r="I317" s="210" t="s">
        <v>531</v>
      </c>
      <c r="J317" s="103">
        <v>150</v>
      </c>
      <c r="K317" s="66">
        <v>400</v>
      </c>
      <c r="L317" s="66">
        <v>1350</v>
      </c>
      <c r="M317" s="282">
        <v>28.44411530377803</v>
      </c>
      <c r="N317" s="78">
        <v>7276.3427879999999</v>
      </c>
      <c r="O317" s="113">
        <v>65562.424835211699</v>
      </c>
      <c r="P317" s="113">
        <v>78153.037620999676</v>
      </c>
      <c r="Q317" s="110">
        <v>22117.264103651651</v>
      </c>
      <c r="R317" s="113">
        <v>87679.688938863343</v>
      </c>
      <c r="S317" s="113">
        <v>100270.30172465133</v>
      </c>
      <c r="U317" s="7" t="s">
        <v>7475</v>
      </c>
    </row>
    <row r="318" spans="1:21" ht="16.5" thickBot="1">
      <c r="A318" s="207" t="s">
        <v>10</v>
      </c>
      <c r="B318" s="211">
        <f t="shared" si="18"/>
        <v>150</v>
      </c>
      <c r="C318" s="211" t="s">
        <v>3</v>
      </c>
      <c r="D318" s="211">
        <f t="shared" si="19"/>
        <v>400</v>
      </c>
      <c r="E318" s="211" t="s">
        <v>3</v>
      </c>
      <c r="F318" s="209">
        <f t="shared" si="20"/>
        <v>1400</v>
      </c>
      <c r="G318" s="211" t="s">
        <v>3</v>
      </c>
      <c r="H318" s="208">
        <v>6</v>
      </c>
      <c r="I318" s="210" t="s">
        <v>531</v>
      </c>
      <c r="J318" s="103">
        <v>150</v>
      </c>
      <c r="K318" s="66">
        <v>400</v>
      </c>
      <c r="L318" s="66">
        <v>1400</v>
      </c>
      <c r="M318" s="282">
        <v>29.338392827391022</v>
      </c>
      <c r="N318" s="78">
        <v>7640.1599274000009</v>
      </c>
      <c r="O318" s="113">
        <v>67660.289504256172</v>
      </c>
      <c r="P318" s="113">
        <v>80630.752483739634</v>
      </c>
      <c r="Q318" s="110">
        <v>23025.205344194161</v>
      </c>
      <c r="R318" s="113">
        <v>90685.494848450326</v>
      </c>
      <c r="S318" s="113">
        <v>103655.9578279338</v>
      </c>
      <c r="U318" s="7" t="s">
        <v>7476</v>
      </c>
    </row>
    <row r="319" spans="1:21" ht="16.5" thickBot="1">
      <c r="A319" s="207" t="s">
        <v>10</v>
      </c>
      <c r="B319" s="211">
        <f t="shared" si="18"/>
        <v>150</v>
      </c>
      <c r="C319" s="211" t="s">
        <v>3</v>
      </c>
      <c r="D319" s="211">
        <f t="shared" si="19"/>
        <v>400</v>
      </c>
      <c r="E319" s="211" t="s">
        <v>3</v>
      </c>
      <c r="F319" s="209">
        <f t="shared" si="20"/>
        <v>1450</v>
      </c>
      <c r="G319" s="211" t="s">
        <v>3</v>
      </c>
      <c r="H319" s="208">
        <v>6</v>
      </c>
      <c r="I319" s="210" t="s">
        <v>531</v>
      </c>
      <c r="J319" s="103">
        <v>150</v>
      </c>
      <c r="K319" s="66">
        <v>400</v>
      </c>
      <c r="L319" s="66">
        <v>1450</v>
      </c>
      <c r="M319" s="282">
        <v>30.215800751004007</v>
      </c>
      <c r="N319" s="78">
        <v>8003.977066800001</v>
      </c>
      <c r="O319" s="113">
        <v>69427.863795903584</v>
      </c>
      <c r="P319" s="113">
        <v>82768.471346137041</v>
      </c>
      <c r="Q319" s="110">
        <v>23681.812293924133</v>
      </c>
      <c r="R319" s="113">
        <v>93109.676089827713</v>
      </c>
      <c r="S319" s="113">
        <v>106450.28364006117</v>
      </c>
      <c r="U319" s="7" t="s">
        <v>7477</v>
      </c>
    </row>
    <row r="320" spans="1:21" ht="16.5" thickBot="1">
      <c r="A320" s="207" t="s">
        <v>10</v>
      </c>
      <c r="B320" s="211">
        <f t="shared" si="18"/>
        <v>150</v>
      </c>
      <c r="C320" s="211" t="s">
        <v>3</v>
      </c>
      <c r="D320" s="211">
        <f t="shared" si="19"/>
        <v>400</v>
      </c>
      <c r="E320" s="211" t="s">
        <v>3</v>
      </c>
      <c r="F320" s="209">
        <f t="shared" si="20"/>
        <v>1500</v>
      </c>
      <c r="G320" s="211" t="s">
        <v>3</v>
      </c>
      <c r="H320" s="208">
        <v>6</v>
      </c>
      <c r="I320" s="210" t="s">
        <v>531</v>
      </c>
      <c r="J320" s="103">
        <v>150</v>
      </c>
      <c r="K320" s="66">
        <v>400</v>
      </c>
      <c r="L320" s="66">
        <v>1500</v>
      </c>
      <c r="M320" s="282">
        <v>31.076043355637388</v>
      </c>
      <c r="N320" s="78">
        <v>8367.7942062000002</v>
      </c>
      <c r="O320" s="113">
        <v>71900.699285968018</v>
      </c>
      <c r="P320" s="113">
        <v>85865.125461674135</v>
      </c>
      <c r="Q320" s="110">
        <v>24589.753534466639</v>
      </c>
      <c r="R320" s="113">
        <v>96490.452820434657</v>
      </c>
      <c r="S320" s="113">
        <v>110454.87899614077</v>
      </c>
      <c r="U320" s="7" t="s">
        <v>7478</v>
      </c>
    </row>
    <row r="321" spans="1:21" ht="16.5" thickBot="1">
      <c r="A321" s="207" t="s">
        <v>10</v>
      </c>
      <c r="B321" s="211">
        <f t="shared" si="18"/>
        <v>150</v>
      </c>
      <c r="C321" s="211" t="s">
        <v>3</v>
      </c>
      <c r="D321" s="211">
        <f t="shared" si="19"/>
        <v>400</v>
      </c>
      <c r="E321" s="211" t="s">
        <v>3</v>
      </c>
      <c r="F321" s="209">
        <f t="shared" si="20"/>
        <v>1550</v>
      </c>
      <c r="G321" s="211" t="s">
        <v>3</v>
      </c>
      <c r="H321" s="208">
        <v>6</v>
      </c>
      <c r="I321" s="210" t="s">
        <v>531</v>
      </c>
      <c r="J321" s="103">
        <v>150</v>
      </c>
      <c r="K321" s="66">
        <v>400</v>
      </c>
      <c r="L321" s="66">
        <v>1550</v>
      </c>
      <c r="M321" s="282">
        <v>31.953451279250377</v>
      </c>
      <c r="N321" s="78">
        <v>8731.6113456000003</v>
      </c>
      <c r="O321" s="113">
        <v>73668.661849849741</v>
      </c>
      <c r="P321" s="113">
        <v>88003.206947154555</v>
      </c>
      <c r="Q321" s="110">
        <v>25246.360484196612</v>
      </c>
      <c r="R321" s="113">
        <v>98915.022334046356</v>
      </c>
      <c r="S321" s="113">
        <v>113249.56743135117</v>
      </c>
      <c r="U321" s="7" t="s">
        <v>7479</v>
      </c>
    </row>
    <row r="322" spans="1:21" ht="16.5" thickBot="1">
      <c r="A322" s="207" t="s">
        <v>10</v>
      </c>
      <c r="B322" s="208">
        <f t="shared" si="18"/>
        <v>150</v>
      </c>
      <c r="C322" s="208" t="s">
        <v>3</v>
      </c>
      <c r="D322" s="208">
        <f t="shared" si="19"/>
        <v>400</v>
      </c>
      <c r="E322" s="208" t="s">
        <v>3</v>
      </c>
      <c r="F322" s="209">
        <f t="shared" si="20"/>
        <v>1600</v>
      </c>
      <c r="G322" s="208" t="s">
        <v>3</v>
      </c>
      <c r="H322" s="208">
        <v>6</v>
      </c>
      <c r="I322" s="210" t="s">
        <v>531</v>
      </c>
      <c r="J322" s="103">
        <v>150</v>
      </c>
      <c r="K322" s="66">
        <v>400</v>
      </c>
      <c r="L322" s="66">
        <v>1600</v>
      </c>
      <c r="M322" s="282">
        <v>32.830859202863351</v>
      </c>
      <c r="N322" s="78">
        <v>9095.4284850000004</v>
      </c>
      <c r="O322" s="113">
        <v>77401.016827627478</v>
      </c>
      <c r="P322" s="113">
        <v>92163.617726762939</v>
      </c>
      <c r="Q322" s="110">
        <v>25902.96758695535</v>
      </c>
      <c r="R322" s="113">
        <v>103303.98441458282</v>
      </c>
      <c r="S322" s="113">
        <v>118066.58531371829</v>
      </c>
      <c r="U322" s="7" t="s">
        <v>7480</v>
      </c>
    </row>
    <row r="323" spans="1:21" ht="16.5" thickBot="1">
      <c r="A323" s="207" t="s">
        <v>10</v>
      </c>
      <c r="B323" s="211">
        <f t="shared" si="18"/>
        <v>150</v>
      </c>
      <c r="C323" s="211" t="s">
        <v>3</v>
      </c>
      <c r="D323" s="211">
        <f t="shared" si="19"/>
        <v>400</v>
      </c>
      <c r="E323" s="211" t="s">
        <v>3</v>
      </c>
      <c r="F323" s="209">
        <f t="shared" si="20"/>
        <v>1650</v>
      </c>
      <c r="G323" s="211" t="s">
        <v>3</v>
      </c>
      <c r="H323" s="208">
        <v>6</v>
      </c>
      <c r="I323" s="210" t="s">
        <v>531</v>
      </c>
      <c r="J323" s="103">
        <v>150</v>
      </c>
      <c r="K323" s="66">
        <v>400</v>
      </c>
      <c r="L323" s="66">
        <v>1650</v>
      </c>
      <c r="M323" s="282">
        <v>33.725136726476343</v>
      </c>
      <c r="N323" s="78">
        <v>9459.2456244000005</v>
      </c>
      <c r="O323" s="113">
        <v>81385.737311157296</v>
      </c>
      <c r="P323" s="113">
        <v>96583.881674404387</v>
      </c>
      <c r="Q323" s="110">
        <v>26810.908827497857</v>
      </c>
      <c r="R323" s="113">
        <v>108196.64613865515</v>
      </c>
      <c r="S323" s="113">
        <v>123394.79050190224</v>
      </c>
      <c r="U323" s="7" t="s">
        <v>7481</v>
      </c>
    </row>
    <row r="324" spans="1:21" ht="16.5" thickBot="1">
      <c r="A324" s="207" t="s">
        <v>10</v>
      </c>
      <c r="B324" s="211">
        <f t="shared" si="18"/>
        <v>150</v>
      </c>
      <c r="C324" s="211" t="s">
        <v>3</v>
      </c>
      <c r="D324" s="211">
        <f t="shared" si="19"/>
        <v>400</v>
      </c>
      <c r="E324" s="211" t="s">
        <v>3</v>
      </c>
      <c r="F324" s="209">
        <f t="shared" si="20"/>
        <v>1700</v>
      </c>
      <c r="G324" s="211" t="s">
        <v>3</v>
      </c>
      <c r="H324" s="208">
        <v>6</v>
      </c>
      <c r="I324" s="210" t="s">
        <v>531</v>
      </c>
      <c r="J324" s="103">
        <v>150</v>
      </c>
      <c r="K324" s="66">
        <v>400</v>
      </c>
      <c r="L324" s="66">
        <v>1700</v>
      </c>
      <c r="M324" s="282">
        <v>35.455924650089322</v>
      </c>
      <c r="N324" s="78">
        <v>9823.0627638000005</v>
      </c>
      <c r="O324" s="113">
        <v>82977.835706147205</v>
      </c>
      <c r="P324" s="113">
        <v>98541.330326977593</v>
      </c>
      <c r="Q324" s="110">
        <v>27467.515777227836</v>
      </c>
      <c r="R324" s="113">
        <v>110445.35148337504</v>
      </c>
      <c r="S324" s="113">
        <v>126008.84610420543</v>
      </c>
      <c r="U324" s="7" t="s">
        <v>7482</v>
      </c>
    </row>
    <row r="325" spans="1:21" ht="16.5" thickBot="1">
      <c r="A325" s="207" t="s">
        <v>10</v>
      </c>
      <c r="B325" s="211">
        <f t="shared" si="18"/>
        <v>150</v>
      </c>
      <c r="C325" s="211" t="s">
        <v>3</v>
      </c>
      <c r="D325" s="211">
        <f t="shared" si="19"/>
        <v>400</v>
      </c>
      <c r="E325" s="211" t="s">
        <v>3</v>
      </c>
      <c r="F325" s="209">
        <f t="shared" si="20"/>
        <v>1750</v>
      </c>
      <c r="G325" s="211" t="s">
        <v>3</v>
      </c>
      <c r="H325" s="208">
        <v>6</v>
      </c>
      <c r="I325" s="210" t="s">
        <v>531</v>
      </c>
      <c r="J325" s="103">
        <v>150</v>
      </c>
      <c r="K325" s="66">
        <v>400</v>
      </c>
      <c r="L325" s="66">
        <v>1750</v>
      </c>
      <c r="M325" s="282">
        <v>36.3502021737023</v>
      </c>
      <c r="N325" s="78">
        <v>10186.879903199999</v>
      </c>
      <c r="O325" s="113">
        <v>84493.472176835319</v>
      </c>
      <c r="P325" s="113">
        <v>100420.16107123435</v>
      </c>
      <c r="Q325" s="110">
        <v>28375.457017770343</v>
      </c>
      <c r="R325" s="113">
        <v>112868.92919460566</v>
      </c>
      <c r="S325" s="113">
        <v>128795.6180890047</v>
      </c>
      <c r="U325" s="7" t="s">
        <v>7483</v>
      </c>
    </row>
    <row r="326" spans="1:21" ht="16.5" thickBot="1">
      <c r="A326" s="207" t="s">
        <v>10</v>
      </c>
      <c r="B326" s="211">
        <f t="shared" si="18"/>
        <v>150</v>
      </c>
      <c r="C326" s="211" t="s">
        <v>3</v>
      </c>
      <c r="D326" s="211">
        <f t="shared" si="19"/>
        <v>400</v>
      </c>
      <c r="E326" s="211" t="s">
        <v>3</v>
      </c>
      <c r="F326" s="209">
        <f t="shared" si="20"/>
        <v>1800</v>
      </c>
      <c r="G326" s="211" t="s">
        <v>3</v>
      </c>
      <c r="H326" s="208">
        <v>6</v>
      </c>
      <c r="I326" s="210" t="s">
        <v>531</v>
      </c>
      <c r="J326" s="103">
        <v>150</v>
      </c>
      <c r="K326" s="66">
        <v>400</v>
      </c>
      <c r="L326" s="66">
        <v>1800</v>
      </c>
      <c r="M326" s="282">
        <v>37.227610097315292</v>
      </c>
      <c r="N326" s="78">
        <v>10550.697042600001</v>
      </c>
      <c r="O326" s="113">
        <v>86086.905395834794</v>
      </c>
      <c r="P326" s="113">
        <v>102379.16780760372</v>
      </c>
      <c r="Q326" s="110">
        <v>29032.063967500315</v>
      </c>
      <c r="R326" s="113">
        <v>115118.96936333511</v>
      </c>
      <c r="S326" s="113">
        <v>131411.23177510404</v>
      </c>
      <c r="U326" s="7" t="s">
        <v>7484</v>
      </c>
    </row>
    <row r="327" spans="1:21" ht="16.5" thickBot="1">
      <c r="A327" s="207" t="s">
        <v>10</v>
      </c>
      <c r="B327" s="211">
        <f t="shared" si="18"/>
        <v>150</v>
      </c>
      <c r="C327" s="211" t="s">
        <v>3</v>
      </c>
      <c r="D327" s="211">
        <f t="shared" si="19"/>
        <v>400</v>
      </c>
      <c r="E327" s="211" t="s">
        <v>3</v>
      </c>
      <c r="F327" s="209">
        <f t="shared" si="20"/>
        <v>1850</v>
      </c>
      <c r="G327" s="211" t="s">
        <v>3</v>
      </c>
      <c r="H327" s="208">
        <v>6</v>
      </c>
      <c r="I327" s="210" t="s">
        <v>531</v>
      </c>
      <c r="J327" s="103">
        <v>150</v>
      </c>
      <c r="K327" s="66">
        <v>400</v>
      </c>
      <c r="L327" s="66">
        <v>1850</v>
      </c>
      <c r="M327" s="282">
        <v>38.121887620928284</v>
      </c>
      <c r="N327" s="78">
        <v>10914.514182000001</v>
      </c>
      <c r="O327" s="113">
        <v>87680.56078199546</v>
      </c>
      <c r="P327" s="113">
        <v>104338.48265974023</v>
      </c>
      <c r="Q327" s="110">
        <v>29940.005208042821</v>
      </c>
      <c r="R327" s="113">
        <v>117620.56599003827</v>
      </c>
      <c r="S327" s="113">
        <v>134278.48786778306</v>
      </c>
      <c r="U327" s="7" t="s">
        <v>7485</v>
      </c>
    </row>
    <row r="328" spans="1:21" ht="16.5" thickBot="1">
      <c r="A328" s="207" t="s">
        <v>10</v>
      </c>
      <c r="B328" s="211">
        <f t="shared" si="18"/>
        <v>150</v>
      </c>
      <c r="C328" s="211" t="s">
        <v>3</v>
      </c>
      <c r="D328" s="211">
        <f t="shared" si="19"/>
        <v>400</v>
      </c>
      <c r="E328" s="211" t="s">
        <v>3</v>
      </c>
      <c r="F328" s="209">
        <f t="shared" si="20"/>
        <v>1900</v>
      </c>
      <c r="G328" s="211" t="s">
        <v>3</v>
      </c>
      <c r="H328" s="208">
        <v>6</v>
      </c>
      <c r="I328" s="210" t="s">
        <v>531</v>
      </c>
      <c r="J328" s="103">
        <v>150</v>
      </c>
      <c r="K328" s="66">
        <v>400</v>
      </c>
      <c r="L328" s="66">
        <v>1900</v>
      </c>
      <c r="M328" s="282">
        <v>38.999295544541262</v>
      </c>
      <c r="N328" s="78">
        <v>11278.331321400001</v>
      </c>
      <c r="O328" s="113">
        <v>89450.89200161818</v>
      </c>
      <c r="P328" s="113">
        <v>106479.72983904247</v>
      </c>
      <c r="Q328" s="110">
        <v>30596.612157772794</v>
      </c>
      <c r="R328" s="113">
        <v>120047.50415939097</v>
      </c>
      <c r="S328" s="113">
        <v>137076.34199681526</v>
      </c>
      <c r="U328" s="7" t="s">
        <v>7486</v>
      </c>
    </row>
    <row r="329" spans="1:21" ht="16.5" thickBot="1">
      <c r="A329" s="207" t="s">
        <v>10</v>
      </c>
      <c r="B329" s="211">
        <f t="shared" si="18"/>
        <v>150</v>
      </c>
      <c r="C329" s="211" t="s">
        <v>3</v>
      </c>
      <c r="D329" s="211">
        <f t="shared" si="19"/>
        <v>400</v>
      </c>
      <c r="E329" s="211" t="s">
        <v>3</v>
      </c>
      <c r="F329" s="209">
        <f t="shared" si="20"/>
        <v>1950</v>
      </c>
      <c r="G329" s="211" t="s">
        <v>3</v>
      </c>
      <c r="H329" s="208">
        <v>6</v>
      </c>
      <c r="I329" s="210" t="s">
        <v>531</v>
      </c>
      <c r="J329" s="103">
        <v>150</v>
      </c>
      <c r="K329" s="66">
        <v>400</v>
      </c>
      <c r="L329" s="66">
        <v>1950</v>
      </c>
      <c r="M329" s="282">
        <v>40.032133468154242</v>
      </c>
      <c r="N329" s="78">
        <v>11642.148460800001</v>
      </c>
      <c r="O329" s="113">
        <v>91466.34826278835</v>
      </c>
      <c r="P329" s="113">
        <v>108873.34361366161</v>
      </c>
      <c r="Q329" s="110">
        <v>31253.219260531532</v>
      </c>
      <c r="R329" s="113">
        <v>122719.56752331989</v>
      </c>
      <c r="S329" s="113">
        <v>140126.56287419313</v>
      </c>
      <c r="U329" s="7" t="s">
        <v>7487</v>
      </c>
    </row>
    <row r="330" spans="1:21" ht="16.5" thickBot="1">
      <c r="A330" s="207" t="s">
        <v>10</v>
      </c>
      <c r="B330" s="211">
        <f t="shared" si="18"/>
        <v>150</v>
      </c>
      <c r="C330" s="211" t="s">
        <v>3</v>
      </c>
      <c r="D330" s="211">
        <f t="shared" si="19"/>
        <v>400</v>
      </c>
      <c r="E330" s="211" t="s">
        <v>3</v>
      </c>
      <c r="F330" s="209">
        <f t="shared" si="20"/>
        <v>2000</v>
      </c>
      <c r="G330" s="211" t="s">
        <v>3</v>
      </c>
      <c r="H330" s="208">
        <v>6</v>
      </c>
      <c r="I330" s="210" t="s">
        <v>531</v>
      </c>
      <c r="J330" s="103">
        <v>150</v>
      </c>
      <c r="K330" s="66">
        <v>400</v>
      </c>
      <c r="L330" s="66">
        <v>2000</v>
      </c>
      <c r="M330" s="282">
        <v>41.017057767767234</v>
      </c>
      <c r="N330" s="78">
        <v>12005.965600199999</v>
      </c>
      <c r="O330" s="113">
        <v>93284.644566054369</v>
      </c>
      <c r="P330" s="113">
        <v>111278.49273026218</v>
      </c>
      <c r="Q330" s="110">
        <v>32161.160348045276</v>
      </c>
      <c r="R330" s="113">
        <v>125445.80491409964</v>
      </c>
      <c r="S330" s="113">
        <v>143439.65307830746</v>
      </c>
      <c r="U330" s="7" t="s">
        <v>7488</v>
      </c>
    </row>
    <row r="331" spans="1:21" ht="16.5" thickBot="1">
      <c r="A331" s="207" t="s">
        <v>10</v>
      </c>
      <c r="B331" s="211">
        <f t="shared" si="18"/>
        <v>150</v>
      </c>
      <c r="C331" s="211" t="s">
        <v>3</v>
      </c>
      <c r="D331" s="211">
        <f t="shared" si="19"/>
        <v>400</v>
      </c>
      <c r="E331" s="211" t="s">
        <v>3</v>
      </c>
      <c r="F331" s="209">
        <f t="shared" si="20"/>
        <v>2050</v>
      </c>
      <c r="G331" s="211" t="s">
        <v>3</v>
      </c>
      <c r="H331" s="208">
        <v>6</v>
      </c>
      <c r="I331" s="210" t="s">
        <v>531</v>
      </c>
      <c r="J331" s="103">
        <v>150</v>
      </c>
      <c r="K331" s="66">
        <v>400</v>
      </c>
      <c r="L331" s="66">
        <v>2050</v>
      </c>
      <c r="M331" s="282">
        <v>42.747845691380206</v>
      </c>
      <c r="N331" s="78">
        <v>12369.782739599999</v>
      </c>
      <c r="O331" s="113">
        <v>97130.69527954841</v>
      </c>
      <c r="P331" s="113">
        <v>115550.70256881473</v>
      </c>
      <c r="Q331" s="110">
        <v>32817.767450804015</v>
      </c>
      <c r="R331" s="113">
        <v>129948.46273035242</v>
      </c>
      <c r="S331" s="113">
        <v>148368.47001961875</v>
      </c>
      <c r="U331" s="7" t="s">
        <v>7489</v>
      </c>
    </row>
    <row r="332" spans="1:21" ht="16.5" thickBot="1">
      <c r="A332" s="207" t="s">
        <v>10</v>
      </c>
      <c r="B332" s="208">
        <f t="shared" si="18"/>
        <v>150</v>
      </c>
      <c r="C332" s="208" t="s">
        <v>3</v>
      </c>
      <c r="D332" s="208">
        <f t="shared" si="19"/>
        <v>400</v>
      </c>
      <c r="E332" s="208" t="s">
        <v>3</v>
      </c>
      <c r="F332" s="209">
        <f t="shared" si="20"/>
        <v>2100</v>
      </c>
      <c r="G332" s="208" t="s">
        <v>3</v>
      </c>
      <c r="H332" s="208">
        <v>6</v>
      </c>
      <c r="I332" s="210" t="s">
        <v>531</v>
      </c>
      <c r="J332" s="103">
        <v>150</v>
      </c>
      <c r="K332" s="66">
        <v>400</v>
      </c>
      <c r="L332" s="66">
        <v>2100</v>
      </c>
      <c r="M332" s="282">
        <v>43.642123214993191</v>
      </c>
      <c r="N332" s="78">
        <v>12733.599879000001</v>
      </c>
      <c r="O332" s="113">
        <v>98786.752452448534</v>
      </c>
      <c r="P332" s="113">
        <v>117574.57770749825</v>
      </c>
      <c r="Q332" s="110">
        <v>33725.708538317755</v>
      </c>
      <c r="R332" s="113">
        <v>132512.4609907663</v>
      </c>
      <c r="S332" s="113">
        <v>151300.28624581601</v>
      </c>
      <c r="U332" s="7" t="s">
        <v>7490</v>
      </c>
    </row>
    <row r="333" spans="1:21" ht="16.5" thickBot="1">
      <c r="A333" s="207" t="s">
        <v>10</v>
      </c>
      <c r="B333" s="211">
        <f t="shared" si="18"/>
        <v>150</v>
      </c>
      <c r="C333" s="211" t="s">
        <v>3</v>
      </c>
      <c r="D333" s="211">
        <f t="shared" si="19"/>
        <v>400</v>
      </c>
      <c r="E333" s="211" t="s">
        <v>3</v>
      </c>
      <c r="F333" s="209">
        <f t="shared" si="20"/>
        <v>2150</v>
      </c>
      <c r="G333" s="211" t="s">
        <v>3</v>
      </c>
      <c r="H333" s="208">
        <v>6</v>
      </c>
      <c r="I333" s="210" t="s">
        <v>531</v>
      </c>
      <c r="J333" s="103">
        <v>150</v>
      </c>
      <c r="K333" s="66">
        <v>400</v>
      </c>
      <c r="L333" s="66">
        <v>2150</v>
      </c>
      <c r="M333" s="282">
        <v>44.519531138606183</v>
      </c>
      <c r="N333" s="78">
        <v>13097.417018400001</v>
      </c>
      <c r="O333" s="113">
        <v>100591.85322302373</v>
      </c>
      <c r="P333" s="113">
        <v>119751.87044668692</v>
      </c>
      <c r="Q333" s="110">
        <v>34382.315641076493</v>
      </c>
      <c r="R333" s="113">
        <v>134974.16886410024</v>
      </c>
      <c r="S333" s="113">
        <v>154134.1860877634</v>
      </c>
      <c r="U333" s="7" t="s">
        <v>7491</v>
      </c>
    </row>
    <row r="334" spans="1:21" ht="16.5" thickBot="1">
      <c r="A334" s="207" t="s">
        <v>10</v>
      </c>
      <c r="B334" s="211">
        <f t="shared" si="18"/>
        <v>150</v>
      </c>
      <c r="C334" s="211" t="s">
        <v>3</v>
      </c>
      <c r="D334" s="211">
        <f t="shared" si="19"/>
        <v>400</v>
      </c>
      <c r="E334" s="211" t="s">
        <v>3</v>
      </c>
      <c r="F334" s="209">
        <f t="shared" si="20"/>
        <v>2200</v>
      </c>
      <c r="G334" s="211" t="s">
        <v>3</v>
      </c>
      <c r="H334" s="208">
        <v>6</v>
      </c>
      <c r="I334" s="210" t="s">
        <v>531</v>
      </c>
      <c r="J334" s="103">
        <v>150</v>
      </c>
      <c r="K334" s="66">
        <v>400</v>
      </c>
      <c r="L334" s="66">
        <v>2200</v>
      </c>
      <c r="M334" s="282">
        <v>45.413808662219161</v>
      </c>
      <c r="N334" s="78">
        <v>13461.2341578</v>
      </c>
      <c r="O334" s="113">
        <v>102397.05532159573</v>
      </c>
      <c r="P334" s="113">
        <v>121929.3039371429</v>
      </c>
      <c r="Q334" s="110">
        <v>35290.256728590233</v>
      </c>
      <c r="R334" s="113">
        <v>137687.31205018598</v>
      </c>
      <c r="S334" s="113">
        <v>157219.56066573312</v>
      </c>
      <c r="U334" s="7" t="s">
        <v>7492</v>
      </c>
    </row>
    <row r="335" spans="1:21" ht="16.5" thickBot="1">
      <c r="A335" s="207" t="s">
        <v>10</v>
      </c>
      <c r="B335" s="211">
        <f t="shared" si="18"/>
        <v>150</v>
      </c>
      <c r="C335" s="211" t="s">
        <v>3</v>
      </c>
      <c r="D335" s="211">
        <f t="shared" si="19"/>
        <v>400</v>
      </c>
      <c r="E335" s="211" t="s">
        <v>3</v>
      </c>
      <c r="F335" s="209">
        <f t="shared" si="20"/>
        <v>2250</v>
      </c>
      <c r="G335" s="211" t="s">
        <v>3</v>
      </c>
      <c r="H335" s="208">
        <v>6</v>
      </c>
      <c r="I335" s="210" t="s">
        <v>531</v>
      </c>
      <c r="J335" s="103">
        <v>150</v>
      </c>
      <c r="K335" s="66">
        <v>400</v>
      </c>
      <c r="L335" s="66">
        <v>2250</v>
      </c>
      <c r="M335" s="282">
        <v>46.291216585832153</v>
      </c>
      <c r="N335" s="78">
        <v>13825.051297199998</v>
      </c>
      <c r="O335" s="113">
        <v>104454.5528157911</v>
      </c>
      <c r="P335" s="113">
        <v>124364.36689638872</v>
      </c>
      <c r="Q335" s="110">
        <v>35946.863831348819</v>
      </c>
      <c r="R335" s="113">
        <v>140401.41664713994</v>
      </c>
      <c r="S335" s="113">
        <v>160311.23072773754</v>
      </c>
      <c r="U335" s="7" t="s">
        <v>7493</v>
      </c>
    </row>
    <row r="336" spans="1:21" ht="16.5" thickBot="1">
      <c r="A336" s="207" t="s">
        <v>10</v>
      </c>
      <c r="B336" s="211">
        <f t="shared" si="18"/>
        <v>150</v>
      </c>
      <c r="C336" s="211" t="s">
        <v>3</v>
      </c>
      <c r="D336" s="211">
        <f t="shared" si="19"/>
        <v>400</v>
      </c>
      <c r="E336" s="211" t="s">
        <v>3</v>
      </c>
      <c r="F336" s="209">
        <f t="shared" si="20"/>
        <v>2300</v>
      </c>
      <c r="G336" s="211" t="s">
        <v>3</v>
      </c>
      <c r="H336" s="208">
        <v>6</v>
      </c>
      <c r="I336" s="210" t="s">
        <v>531</v>
      </c>
      <c r="J336" s="103">
        <v>150</v>
      </c>
      <c r="K336" s="66">
        <v>400</v>
      </c>
      <c r="L336" s="66">
        <v>2300</v>
      </c>
      <c r="M336" s="282">
        <v>47.168624509445124</v>
      </c>
      <c r="N336" s="78">
        <v>14188.8684366</v>
      </c>
      <c r="O336" s="113">
        <v>105944.86327069704</v>
      </c>
      <c r="P336" s="113">
        <v>126215.70304046011</v>
      </c>
      <c r="Q336" s="110">
        <v>36603.470781078948</v>
      </c>
      <c r="R336" s="113">
        <v>142548.33405177598</v>
      </c>
      <c r="S336" s="113">
        <v>162819.17382153907</v>
      </c>
      <c r="U336" s="7" t="s">
        <v>7494</v>
      </c>
    </row>
    <row r="337" spans="1:21" ht="16.5" thickBot="1">
      <c r="A337" s="207" t="s">
        <v>10</v>
      </c>
      <c r="B337" s="211">
        <f t="shared" si="18"/>
        <v>150</v>
      </c>
      <c r="C337" s="211" t="s">
        <v>3</v>
      </c>
      <c r="D337" s="211">
        <f t="shared" si="19"/>
        <v>400</v>
      </c>
      <c r="E337" s="211" t="s">
        <v>3</v>
      </c>
      <c r="F337" s="209">
        <f t="shared" si="20"/>
        <v>2350</v>
      </c>
      <c r="G337" s="211" t="s">
        <v>3</v>
      </c>
      <c r="H337" s="208">
        <v>6</v>
      </c>
      <c r="I337" s="210" t="s">
        <v>531</v>
      </c>
      <c r="J337" s="103">
        <v>150</v>
      </c>
      <c r="K337" s="66">
        <v>400</v>
      </c>
      <c r="L337" s="66">
        <v>2350</v>
      </c>
      <c r="M337" s="282">
        <v>48.062902033058108</v>
      </c>
      <c r="N337" s="78">
        <v>14552.685576</v>
      </c>
      <c r="O337" s="113">
        <v>107417.11587988338</v>
      </c>
      <c r="P337" s="113">
        <v>128046.05102159429</v>
      </c>
      <c r="Q337" s="110">
        <v>37511.412021621458</v>
      </c>
      <c r="R337" s="113">
        <v>144928.52790150483</v>
      </c>
      <c r="S337" s="113">
        <v>165557.46304321574</v>
      </c>
      <c r="U337" s="7" t="s">
        <v>7495</v>
      </c>
    </row>
    <row r="338" spans="1:21" ht="16.5" thickBot="1">
      <c r="A338" s="207" t="s">
        <v>10</v>
      </c>
      <c r="B338" s="211">
        <f t="shared" si="18"/>
        <v>150</v>
      </c>
      <c r="C338" s="211" t="s">
        <v>3</v>
      </c>
      <c r="D338" s="211">
        <f t="shared" si="19"/>
        <v>400</v>
      </c>
      <c r="E338" s="211" t="s">
        <v>3</v>
      </c>
      <c r="F338" s="209">
        <f t="shared" si="20"/>
        <v>2400</v>
      </c>
      <c r="G338" s="211" t="s">
        <v>3</v>
      </c>
      <c r="H338" s="208">
        <v>6</v>
      </c>
      <c r="I338" s="210" t="s">
        <v>531</v>
      </c>
      <c r="J338" s="103">
        <v>150</v>
      </c>
      <c r="K338" s="66">
        <v>400</v>
      </c>
      <c r="L338" s="66">
        <v>2400</v>
      </c>
      <c r="M338" s="282">
        <v>48.940309956671101</v>
      </c>
      <c r="N338" s="78">
        <v>14916.502715399998</v>
      </c>
      <c r="O338" s="113">
        <v>109000.00903609602</v>
      </c>
      <c r="P338" s="113">
        <v>130015.77492094036</v>
      </c>
      <c r="Q338" s="110">
        <v>38168.019124380196</v>
      </c>
      <c r="R338" s="113">
        <v>147168.02816047621</v>
      </c>
      <c r="S338" s="113">
        <v>168183.79404532054</v>
      </c>
      <c r="U338" s="7" t="s">
        <v>7496</v>
      </c>
    </row>
    <row r="339" spans="1:21" ht="16.5" thickBot="1">
      <c r="A339" s="207" t="s">
        <v>10</v>
      </c>
      <c r="B339" s="211">
        <f t="shared" si="18"/>
        <v>150</v>
      </c>
      <c r="C339" s="211" t="s">
        <v>3</v>
      </c>
      <c r="D339" s="211">
        <f t="shared" si="19"/>
        <v>400</v>
      </c>
      <c r="E339" s="211" t="s">
        <v>3</v>
      </c>
      <c r="F339" s="209">
        <f t="shared" si="20"/>
        <v>2450</v>
      </c>
      <c r="G339" s="211" t="s">
        <v>3</v>
      </c>
      <c r="H339" s="208">
        <v>6</v>
      </c>
      <c r="I339" s="210" t="s">
        <v>531</v>
      </c>
      <c r="J339" s="103">
        <v>150</v>
      </c>
      <c r="K339" s="66">
        <v>400</v>
      </c>
      <c r="L339" s="66">
        <v>2450</v>
      </c>
      <c r="M339" s="282">
        <v>50.65393256130448</v>
      </c>
      <c r="N339" s="78">
        <v>15280.319854800002</v>
      </c>
      <c r="O339" s="113">
        <v>111082.94753188766</v>
      </c>
      <c r="P339" s="113">
        <v>132685.39097234301</v>
      </c>
      <c r="Q339" s="110">
        <v>39075.960211893937</v>
      </c>
      <c r="R339" s="113">
        <v>150158.9077437816</v>
      </c>
      <c r="S339" s="113">
        <v>171761.35118423693</v>
      </c>
      <c r="U339" s="7" t="s">
        <v>7497</v>
      </c>
    </row>
    <row r="340" spans="1:21" ht="16.5" thickBot="1">
      <c r="A340" s="207" t="s">
        <v>10</v>
      </c>
      <c r="B340" s="211">
        <f t="shared" si="18"/>
        <v>150</v>
      </c>
      <c r="C340" s="211" t="s">
        <v>3</v>
      </c>
      <c r="D340" s="211">
        <f t="shared" si="19"/>
        <v>400</v>
      </c>
      <c r="E340" s="211" t="s">
        <v>3</v>
      </c>
      <c r="F340" s="209">
        <f t="shared" si="20"/>
        <v>2500</v>
      </c>
      <c r="G340" s="211" t="s">
        <v>3</v>
      </c>
      <c r="H340" s="208">
        <v>6</v>
      </c>
      <c r="I340" s="210" t="s">
        <v>531</v>
      </c>
      <c r="J340" s="103">
        <v>150</v>
      </c>
      <c r="K340" s="66">
        <v>400</v>
      </c>
      <c r="L340" s="66">
        <v>2500</v>
      </c>
      <c r="M340" s="282">
        <v>51.531340484917465</v>
      </c>
      <c r="N340" s="78">
        <v>15644.1369942</v>
      </c>
      <c r="O340" s="113">
        <v>112654.23778697962</v>
      </c>
      <c r="P340" s="113">
        <v>134617.45771690787</v>
      </c>
      <c r="Q340" s="110">
        <v>39732.567314652675</v>
      </c>
      <c r="R340" s="113">
        <v>152386.80510163229</v>
      </c>
      <c r="S340" s="113">
        <v>174350.02503156054</v>
      </c>
      <c r="U340" s="7" t="s">
        <v>7498</v>
      </c>
    </row>
    <row r="341" spans="1:21" ht="16.5" thickBot="1">
      <c r="A341" s="207" t="s">
        <v>10</v>
      </c>
      <c r="B341" s="211">
        <f t="shared" si="18"/>
        <v>150</v>
      </c>
      <c r="C341" s="211" t="s">
        <v>3</v>
      </c>
      <c r="D341" s="211">
        <f t="shared" si="19"/>
        <v>400</v>
      </c>
      <c r="E341" s="211" t="s">
        <v>3</v>
      </c>
      <c r="F341" s="209">
        <f t="shared" si="20"/>
        <v>2550</v>
      </c>
      <c r="G341" s="211" t="s">
        <v>3</v>
      </c>
      <c r="H341" s="208">
        <v>6</v>
      </c>
      <c r="I341" s="210" t="s">
        <v>531</v>
      </c>
      <c r="J341" s="103">
        <v>150</v>
      </c>
      <c r="K341" s="66">
        <v>400</v>
      </c>
      <c r="L341" s="66">
        <v>2550</v>
      </c>
      <c r="M341" s="282">
        <v>52.425618008530456</v>
      </c>
      <c r="N341" s="78">
        <v>16007.954133600002</v>
      </c>
      <c r="O341" s="113">
        <v>117454.32059720717</v>
      </c>
      <c r="P341" s="113">
        <v>139875.4666609425</v>
      </c>
      <c r="Q341" s="110">
        <v>40640.508402166415</v>
      </c>
      <c r="R341" s="113">
        <v>158094.8289993736</v>
      </c>
      <c r="S341" s="113">
        <v>180515.97506310893</v>
      </c>
      <c r="U341" s="7" t="s">
        <v>7499</v>
      </c>
    </row>
    <row r="342" spans="1:21" ht="16.5" thickBot="1">
      <c r="A342" s="207" t="s">
        <v>10</v>
      </c>
      <c r="B342" s="208">
        <f t="shared" si="18"/>
        <v>150</v>
      </c>
      <c r="C342" s="208" t="s">
        <v>3</v>
      </c>
      <c r="D342" s="208">
        <f t="shared" si="19"/>
        <v>400</v>
      </c>
      <c r="E342" s="208" t="s">
        <v>3</v>
      </c>
      <c r="F342" s="209">
        <f t="shared" si="20"/>
        <v>2600</v>
      </c>
      <c r="G342" s="208" t="s">
        <v>3</v>
      </c>
      <c r="H342" s="208">
        <v>6</v>
      </c>
      <c r="I342" s="210" t="s">
        <v>531</v>
      </c>
      <c r="J342" s="103">
        <v>150</v>
      </c>
      <c r="K342" s="66">
        <v>400</v>
      </c>
      <c r="L342" s="66">
        <v>2600</v>
      </c>
      <c r="M342" s="282">
        <v>53.303025932143441</v>
      </c>
      <c r="N342" s="78">
        <v>16371.771273</v>
      </c>
      <c r="O342" s="113">
        <v>119209.42803323465</v>
      </c>
      <c r="P342" s="113">
        <v>141999.08534886176</v>
      </c>
      <c r="Q342" s="110">
        <v>41297.115504925154</v>
      </c>
      <c r="R342" s="113">
        <v>160506.54353815981</v>
      </c>
      <c r="S342" s="113">
        <v>183296.2008537869</v>
      </c>
      <c r="U342" s="7" t="s">
        <v>7500</v>
      </c>
    </row>
    <row r="343" spans="1:21" ht="16.5" thickBot="1">
      <c r="A343" s="207" t="s">
        <v>10</v>
      </c>
      <c r="B343" s="211">
        <f t="shared" si="18"/>
        <v>150</v>
      </c>
      <c r="C343" s="211" t="s">
        <v>3</v>
      </c>
      <c r="D343" s="211">
        <f t="shared" si="19"/>
        <v>400</v>
      </c>
      <c r="E343" s="211" t="s">
        <v>3</v>
      </c>
      <c r="F343" s="209">
        <f t="shared" si="20"/>
        <v>2650</v>
      </c>
      <c r="G343" s="211" t="s">
        <v>3</v>
      </c>
      <c r="H343" s="208">
        <v>6</v>
      </c>
      <c r="I343" s="210" t="s">
        <v>531</v>
      </c>
      <c r="J343" s="103">
        <v>150</v>
      </c>
      <c r="K343" s="66">
        <v>400</v>
      </c>
      <c r="L343" s="66">
        <v>2650</v>
      </c>
      <c r="M343" s="282">
        <v>54.197303455756433</v>
      </c>
      <c r="N343" s="78">
        <v>16735.5884124</v>
      </c>
      <c r="O343" s="113">
        <v>120532.15563920516</v>
      </c>
      <c r="P343" s="113">
        <v>143677.54762700459</v>
      </c>
      <c r="Q343" s="110">
        <v>42205.056592438901</v>
      </c>
      <c r="R343" s="113">
        <v>162737.21223164405</v>
      </c>
      <c r="S343" s="113">
        <v>185882.60421944348</v>
      </c>
      <c r="U343" s="7" t="s">
        <v>7501</v>
      </c>
    </row>
    <row r="344" spans="1:21" ht="16.5" thickBot="1">
      <c r="A344" s="207" t="s">
        <v>10</v>
      </c>
      <c r="B344" s="211">
        <f t="shared" si="18"/>
        <v>150</v>
      </c>
      <c r="C344" s="211" t="s">
        <v>3</v>
      </c>
      <c r="D344" s="211">
        <f t="shared" si="19"/>
        <v>400</v>
      </c>
      <c r="E344" s="211" t="s">
        <v>3</v>
      </c>
      <c r="F344" s="209">
        <f t="shared" si="20"/>
        <v>2700</v>
      </c>
      <c r="G344" s="211" t="s">
        <v>3</v>
      </c>
      <c r="H344" s="208">
        <v>6</v>
      </c>
      <c r="I344" s="210" t="s">
        <v>531</v>
      </c>
      <c r="J344" s="103">
        <v>150</v>
      </c>
      <c r="K344" s="66">
        <v>400</v>
      </c>
      <c r="L344" s="66">
        <v>2700</v>
      </c>
      <c r="M344" s="282">
        <v>55.230141379369407</v>
      </c>
      <c r="N344" s="78">
        <v>17099.405551800002</v>
      </c>
      <c r="O344" s="113">
        <v>121974.50114054223</v>
      </c>
      <c r="P344" s="113">
        <v>145479.0788853314</v>
      </c>
      <c r="Q344" s="110">
        <v>42861.66369519764</v>
      </c>
      <c r="R344" s="113">
        <v>164836.16483573988</v>
      </c>
      <c r="S344" s="113">
        <v>188340.74258052904</v>
      </c>
      <c r="U344" s="7" t="s">
        <v>7502</v>
      </c>
    </row>
    <row r="345" spans="1:21" ht="16.5" thickBot="1">
      <c r="A345" s="207" t="s">
        <v>10</v>
      </c>
      <c r="B345" s="211">
        <f t="shared" si="18"/>
        <v>150</v>
      </c>
      <c r="C345" s="211" t="s">
        <v>3</v>
      </c>
      <c r="D345" s="211">
        <f t="shared" si="19"/>
        <v>400</v>
      </c>
      <c r="E345" s="211" t="s">
        <v>3</v>
      </c>
      <c r="F345" s="209">
        <f t="shared" si="20"/>
        <v>2750</v>
      </c>
      <c r="G345" s="211" t="s">
        <v>3</v>
      </c>
      <c r="H345" s="208">
        <v>6</v>
      </c>
      <c r="I345" s="210" t="s">
        <v>531</v>
      </c>
      <c r="J345" s="103">
        <v>150</v>
      </c>
      <c r="K345" s="66">
        <v>400</v>
      </c>
      <c r="L345" s="66">
        <v>2750</v>
      </c>
      <c r="M345" s="282">
        <v>56.107549302982399</v>
      </c>
      <c r="N345" s="78">
        <v>17463.222691200001</v>
      </c>
      <c r="O345" s="113">
        <v>123379.21545301897</v>
      </c>
      <c r="P345" s="113">
        <v>147241.80178867359</v>
      </c>
      <c r="Q345" s="110">
        <v>43518.270644927608</v>
      </c>
      <c r="R345" s="113">
        <v>166897.48609794659</v>
      </c>
      <c r="S345" s="113">
        <v>190760.07243360119</v>
      </c>
      <c r="U345" s="7" t="s">
        <v>7503</v>
      </c>
    </row>
    <row r="346" spans="1:21" ht="16.5" thickBot="1">
      <c r="A346" s="207" t="s">
        <v>10</v>
      </c>
      <c r="B346" s="211">
        <f t="shared" si="18"/>
        <v>150</v>
      </c>
      <c r="C346" s="211" t="s">
        <v>3</v>
      </c>
      <c r="D346" s="211">
        <f t="shared" si="19"/>
        <v>400</v>
      </c>
      <c r="E346" s="211" t="s">
        <v>3</v>
      </c>
      <c r="F346" s="209">
        <f t="shared" si="20"/>
        <v>2800</v>
      </c>
      <c r="G346" s="211" t="s">
        <v>3</v>
      </c>
      <c r="H346" s="208">
        <v>6</v>
      </c>
      <c r="I346" s="210" t="s">
        <v>531</v>
      </c>
      <c r="J346" s="103">
        <v>150</v>
      </c>
      <c r="K346" s="66">
        <v>400</v>
      </c>
      <c r="L346" s="66">
        <v>2800</v>
      </c>
      <c r="M346" s="282">
        <v>57.001826826595384</v>
      </c>
      <c r="N346" s="78">
        <v>17827.039830600002</v>
      </c>
      <c r="O346" s="113">
        <v>124700.97439455768</v>
      </c>
      <c r="P346" s="113">
        <v>148919.04583542305</v>
      </c>
      <c r="Q346" s="110">
        <v>44426.211885470118</v>
      </c>
      <c r="R346" s="113">
        <v>169127.18628002779</v>
      </c>
      <c r="S346" s="113">
        <v>193345.25772089316</v>
      </c>
      <c r="U346" s="7" t="s">
        <v>7504</v>
      </c>
    </row>
    <row r="347" spans="1:21" ht="16.5" thickBot="1">
      <c r="A347" s="207" t="s">
        <v>10</v>
      </c>
      <c r="B347" s="211">
        <f t="shared" si="18"/>
        <v>150</v>
      </c>
      <c r="C347" s="211" t="s">
        <v>3</v>
      </c>
      <c r="D347" s="211">
        <f t="shared" si="19"/>
        <v>400</v>
      </c>
      <c r="E347" s="211" t="s">
        <v>3</v>
      </c>
      <c r="F347" s="209">
        <f t="shared" si="20"/>
        <v>2850</v>
      </c>
      <c r="G347" s="211" t="s">
        <v>3</v>
      </c>
      <c r="H347" s="208">
        <v>6</v>
      </c>
      <c r="I347" s="210" t="s">
        <v>531</v>
      </c>
      <c r="J347" s="103">
        <v>150</v>
      </c>
      <c r="K347" s="66">
        <v>400</v>
      </c>
      <c r="L347" s="66">
        <v>2850</v>
      </c>
      <c r="M347" s="282">
        <v>58.732614750208356</v>
      </c>
      <c r="N347" s="78">
        <v>18190.856970000001</v>
      </c>
      <c r="O347" s="113">
        <v>126022.81229128776</v>
      </c>
      <c r="P347" s="113">
        <v>150596.29941739485</v>
      </c>
      <c r="Q347" s="110">
        <v>45082.818835200087</v>
      </c>
      <c r="R347" s="113">
        <v>171105.63112648786</v>
      </c>
      <c r="S347" s="113">
        <v>195679.11825259496</v>
      </c>
      <c r="U347" s="7" t="s">
        <v>7505</v>
      </c>
    </row>
    <row r="348" spans="1:21" ht="16.5" thickBot="1">
      <c r="A348" s="207" t="s">
        <v>10</v>
      </c>
      <c r="B348" s="211">
        <f t="shared" si="18"/>
        <v>150</v>
      </c>
      <c r="C348" s="211" t="s">
        <v>3</v>
      </c>
      <c r="D348" s="211">
        <f t="shared" si="19"/>
        <v>400</v>
      </c>
      <c r="E348" s="211" t="s">
        <v>3</v>
      </c>
      <c r="F348" s="209">
        <f t="shared" si="20"/>
        <v>2900</v>
      </c>
      <c r="G348" s="211" t="s">
        <v>3</v>
      </c>
      <c r="H348" s="208">
        <v>6</v>
      </c>
      <c r="I348" s="210" t="s">
        <v>531</v>
      </c>
      <c r="J348" s="103">
        <v>150</v>
      </c>
      <c r="K348" s="66">
        <v>400</v>
      </c>
      <c r="L348" s="66">
        <v>2900</v>
      </c>
      <c r="M348" s="282">
        <v>59.626892273821348</v>
      </c>
      <c r="N348" s="78">
        <v>18554.674109399999</v>
      </c>
      <c r="O348" s="113">
        <v>127344.72485075233</v>
      </c>
      <c r="P348" s="113">
        <v>152273.56039983776</v>
      </c>
      <c r="Q348" s="110">
        <v>45990.760075742597</v>
      </c>
      <c r="R348" s="113">
        <v>173335.48492649494</v>
      </c>
      <c r="S348" s="113">
        <v>198264.32047558035</v>
      </c>
      <c r="U348" s="7" t="s">
        <v>7506</v>
      </c>
    </row>
    <row r="349" spans="1:21" ht="16.5" thickBot="1">
      <c r="A349" s="207" t="s">
        <v>10</v>
      </c>
      <c r="B349" s="211">
        <f t="shared" si="18"/>
        <v>150</v>
      </c>
      <c r="C349" s="211" t="s">
        <v>3</v>
      </c>
      <c r="D349" s="211">
        <f t="shared" si="19"/>
        <v>400</v>
      </c>
      <c r="E349" s="211" t="s">
        <v>3</v>
      </c>
      <c r="F349" s="209">
        <f t="shared" si="20"/>
        <v>2950</v>
      </c>
      <c r="G349" s="211" t="s">
        <v>3</v>
      </c>
      <c r="H349" s="208">
        <v>6</v>
      </c>
      <c r="I349" s="210" t="s">
        <v>531</v>
      </c>
      <c r="J349" s="103">
        <v>150</v>
      </c>
      <c r="K349" s="66">
        <v>400</v>
      </c>
      <c r="L349" s="66">
        <v>2950</v>
      </c>
      <c r="M349" s="282">
        <v>60.504300197434333</v>
      </c>
      <c r="N349" s="78">
        <v>18918.491248800001</v>
      </c>
      <c r="O349" s="113">
        <v>128666.7076504201</v>
      </c>
      <c r="P349" s="113">
        <v>153950.82664800045</v>
      </c>
      <c r="Q349" s="110">
        <v>46647.367025472573</v>
      </c>
      <c r="R349" s="113">
        <v>175314.07467589265</v>
      </c>
      <c r="S349" s="113">
        <v>200598.19367347303</v>
      </c>
      <c r="U349" s="7" t="s">
        <v>7507</v>
      </c>
    </row>
    <row r="350" spans="1:21" ht="16.5" thickBot="1">
      <c r="A350" s="207" t="s">
        <v>10</v>
      </c>
      <c r="B350" s="211">
        <f t="shared" si="18"/>
        <v>150</v>
      </c>
      <c r="C350" s="211" t="s">
        <v>3</v>
      </c>
      <c r="D350" s="211">
        <f t="shared" si="19"/>
        <v>400</v>
      </c>
      <c r="E350" s="211" t="s">
        <v>3</v>
      </c>
      <c r="F350" s="209">
        <f t="shared" si="20"/>
        <v>3000</v>
      </c>
      <c r="G350" s="211" t="s">
        <v>3</v>
      </c>
      <c r="H350" s="208">
        <v>6</v>
      </c>
      <c r="I350" s="210" t="s">
        <v>531</v>
      </c>
      <c r="J350" s="125">
        <v>150</v>
      </c>
      <c r="K350" s="66">
        <v>400</v>
      </c>
      <c r="L350" s="126">
        <v>3000</v>
      </c>
      <c r="M350" s="282">
        <v>61.39857772104731</v>
      </c>
      <c r="N350" s="127">
        <v>19282.308388199999</v>
      </c>
      <c r="O350" s="128">
        <v>131729.91061749749</v>
      </c>
      <c r="P350" s="128">
        <v>157423.7766438016</v>
      </c>
      <c r="Q350" s="136">
        <v>47555.308266015076</v>
      </c>
      <c r="R350" s="128">
        <v>179285.21888351257</v>
      </c>
      <c r="S350" s="128">
        <v>204979.08490981668</v>
      </c>
      <c r="U350" s="7" t="s">
        <v>7508</v>
      </c>
    </row>
    <row r="351" spans="1:21" ht="19.5" thickBot="1">
      <c r="A351" s="2968" t="s">
        <v>60</v>
      </c>
      <c r="B351" s="2969"/>
      <c r="C351" s="2969"/>
      <c r="D351" s="2969"/>
      <c r="E351" s="2969"/>
      <c r="F351" s="2969"/>
      <c r="G351" s="2969"/>
      <c r="H351" s="2969"/>
      <c r="I351" s="2969"/>
      <c r="J351" s="2969"/>
      <c r="K351" s="2969"/>
      <c r="L351" s="2969"/>
      <c r="M351" s="2969"/>
      <c r="N351" s="2969"/>
      <c r="O351" s="2969"/>
      <c r="P351" s="2969"/>
      <c r="Q351" s="2969"/>
      <c r="R351" s="2969"/>
      <c r="S351" s="2970"/>
      <c r="U351" s="7"/>
    </row>
    <row r="352" spans="1:21" ht="19.5" thickBot="1">
      <c r="A352" s="3015" t="s">
        <v>118</v>
      </c>
      <c r="B352" s="3016"/>
      <c r="C352" s="3016"/>
      <c r="D352" s="3016"/>
      <c r="E352" s="3016"/>
      <c r="F352" s="3016"/>
      <c r="G352" s="3016"/>
      <c r="H352" s="3016"/>
      <c r="I352" s="3016"/>
      <c r="J352" s="3016"/>
      <c r="K352" s="3016"/>
      <c r="L352" s="3016"/>
      <c r="M352" s="3016"/>
      <c r="N352" s="3016"/>
      <c r="O352" s="3016"/>
      <c r="P352" s="3016"/>
      <c r="Q352" s="3016"/>
      <c r="R352" s="3016"/>
      <c r="S352" s="3017"/>
      <c r="U352" s="7"/>
    </row>
    <row r="353" spans="1:21" ht="16.5" thickBot="1">
      <c r="A353" s="1093" t="s">
        <v>10</v>
      </c>
      <c r="B353" s="211">
        <f t="shared" ref="B353:B399" si="21">J353</f>
        <v>150</v>
      </c>
      <c r="C353" s="211" t="s">
        <v>3</v>
      </c>
      <c r="D353" s="211">
        <f t="shared" ref="D353:D399" si="22">K353</f>
        <v>400</v>
      </c>
      <c r="E353" s="211" t="s">
        <v>3</v>
      </c>
      <c r="F353" s="1094">
        <f t="shared" ref="F353:F399" si="23">L353</f>
        <v>700</v>
      </c>
      <c r="G353" s="211" t="s">
        <v>3</v>
      </c>
      <c r="H353" s="211">
        <v>8</v>
      </c>
      <c r="I353" s="1169" t="s">
        <v>531</v>
      </c>
      <c r="J353" s="121">
        <v>150</v>
      </c>
      <c r="K353" s="122">
        <v>400</v>
      </c>
      <c r="L353" s="122">
        <v>700</v>
      </c>
      <c r="M353" s="155">
        <v>17.541382552010262</v>
      </c>
      <c r="N353" s="123">
        <v>2783.3005199999998</v>
      </c>
      <c r="O353" s="124">
        <v>39526.624385545772</v>
      </c>
      <c r="P353" s="124">
        <v>47510.385482979123</v>
      </c>
      <c r="Q353" s="139">
        <v>12324.7019970418</v>
      </c>
      <c r="R353" s="124">
        <v>51851.326382587577</v>
      </c>
      <c r="S353" s="124">
        <v>59835.087480020928</v>
      </c>
      <c r="U353" s="7" t="s">
        <v>7509</v>
      </c>
    </row>
    <row r="354" spans="1:21" ht="16.5" thickBot="1">
      <c r="A354" s="207" t="s">
        <v>10</v>
      </c>
      <c r="B354" s="211">
        <f t="shared" si="21"/>
        <v>150</v>
      </c>
      <c r="C354" s="211" t="s">
        <v>3</v>
      </c>
      <c r="D354" s="211">
        <f t="shared" si="22"/>
        <v>400</v>
      </c>
      <c r="E354" s="211" t="s">
        <v>3</v>
      </c>
      <c r="F354" s="209">
        <f t="shared" si="23"/>
        <v>750</v>
      </c>
      <c r="G354" s="211" t="s">
        <v>3</v>
      </c>
      <c r="H354" s="208">
        <v>8</v>
      </c>
      <c r="I354" s="210" t="s">
        <v>531</v>
      </c>
      <c r="J354" s="103">
        <v>150</v>
      </c>
      <c r="K354" s="66">
        <v>400</v>
      </c>
      <c r="L354" s="66">
        <v>750</v>
      </c>
      <c r="M354" s="282">
        <v>18.516280244913577</v>
      </c>
      <c r="N354" s="78">
        <v>3180.9148799999998</v>
      </c>
      <c r="O354" s="113">
        <v>42062.147045693753</v>
      </c>
      <c r="P354" s="113">
        <v>50456.709986886555</v>
      </c>
      <c r="Q354" s="110">
        <v>12981.309099800537</v>
      </c>
      <c r="R354" s="113">
        <v>55043.456145494289</v>
      </c>
      <c r="S354" s="113">
        <v>63438.019086687091</v>
      </c>
      <c r="U354" s="7" t="s">
        <v>7510</v>
      </c>
    </row>
    <row r="355" spans="1:21" ht="16.5" thickBot="1">
      <c r="A355" s="207" t="s">
        <v>10</v>
      </c>
      <c r="B355" s="211">
        <f t="shared" si="21"/>
        <v>150</v>
      </c>
      <c r="C355" s="211" t="s">
        <v>3</v>
      </c>
      <c r="D355" s="211">
        <f t="shared" si="22"/>
        <v>400</v>
      </c>
      <c r="E355" s="211" t="s">
        <v>3</v>
      </c>
      <c r="F355" s="209">
        <f t="shared" si="23"/>
        <v>800</v>
      </c>
      <c r="G355" s="211" t="s">
        <v>3</v>
      </c>
      <c r="H355" s="208">
        <v>8</v>
      </c>
      <c r="I355" s="210" t="s">
        <v>531</v>
      </c>
      <c r="J355" s="103">
        <v>150</v>
      </c>
      <c r="K355" s="66">
        <v>400</v>
      </c>
      <c r="L355" s="66">
        <v>800</v>
      </c>
      <c r="M355" s="282">
        <v>19.491177937816897</v>
      </c>
      <c r="N355" s="78">
        <v>3578.5292399999998</v>
      </c>
      <c r="O355" s="113">
        <v>44589.461877949805</v>
      </c>
      <c r="P355" s="113">
        <v>53395.889193648087</v>
      </c>
      <c r="Q355" s="110">
        <v>13637.916049530511</v>
      </c>
      <c r="R355" s="113">
        <v>58227.377927480316</v>
      </c>
      <c r="S355" s="113">
        <v>67033.805243178591</v>
      </c>
      <c r="U355" s="7" t="s">
        <v>7511</v>
      </c>
    </row>
    <row r="356" spans="1:21" ht="16.5" thickBot="1">
      <c r="A356" s="207" t="s">
        <v>10</v>
      </c>
      <c r="B356" s="211">
        <f t="shared" si="21"/>
        <v>150</v>
      </c>
      <c r="C356" s="211" t="s">
        <v>3</v>
      </c>
      <c r="D356" s="211">
        <f t="shared" si="22"/>
        <v>400</v>
      </c>
      <c r="E356" s="211" t="s">
        <v>3</v>
      </c>
      <c r="F356" s="209">
        <f t="shared" si="23"/>
        <v>850</v>
      </c>
      <c r="G356" s="211" t="s">
        <v>3</v>
      </c>
      <c r="H356" s="208">
        <v>8</v>
      </c>
      <c r="I356" s="210" t="s">
        <v>531</v>
      </c>
      <c r="J356" s="103">
        <v>150</v>
      </c>
      <c r="K356" s="66">
        <v>400</v>
      </c>
      <c r="L356" s="66">
        <v>850</v>
      </c>
      <c r="M356" s="282">
        <v>20.484819630720207</v>
      </c>
      <c r="N356" s="78">
        <v>3976.1435999999999</v>
      </c>
      <c r="O356" s="113">
        <v>47117.116074446836</v>
      </c>
      <c r="P356" s="113">
        <v>56335.560531736541</v>
      </c>
      <c r="Q356" s="110">
        <v>14545.85729007302</v>
      </c>
      <c r="R356" s="113">
        <v>61662.973364519858</v>
      </c>
      <c r="S356" s="113">
        <v>70881.417821809562</v>
      </c>
      <c r="U356" s="7" t="s">
        <v>7512</v>
      </c>
    </row>
    <row r="357" spans="1:21" ht="16.5" thickBot="1">
      <c r="A357" s="207" t="s">
        <v>10</v>
      </c>
      <c r="B357" s="211">
        <f t="shared" si="21"/>
        <v>150</v>
      </c>
      <c r="C357" s="211" t="s">
        <v>3</v>
      </c>
      <c r="D357" s="211">
        <f t="shared" si="22"/>
        <v>400</v>
      </c>
      <c r="E357" s="211" t="s">
        <v>3</v>
      </c>
      <c r="F357" s="209">
        <f t="shared" si="23"/>
        <v>900</v>
      </c>
      <c r="G357" s="211" t="s">
        <v>3</v>
      </c>
      <c r="H357" s="208">
        <v>8</v>
      </c>
      <c r="I357" s="210" t="s">
        <v>531</v>
      </c>
      <c r="J357" s="103">
        <v>150</v>
      </c>
      <c r="K357" s="66">
        <v>400</v>
      </c>
      <c r="L357" s="66">
        <v>900</v>
      </c>
      <c r="M357" s="282">
        <v>21.63461732362353</v>
      </c>
      <c r="N357" s="78">
        <v>4373.7579599999999</v>
      </c>
      <c r="O357" s="113">
        <v>49644.878362812109</v>
      </c>
      <c r="P357" s="113">
        <v>59275.432678761455</v>
      </c>
      <c r="Q357" s="110">
        <v>15202.464239802994</v>
      </c>
      <c r="R357" s="113">
        <v>64847.342602615099</v>
      </c>
      <c r="S357" s="113">
        <v>74477.896918564453</v>
      </c>
      <c r="U357" s="7" t="s">
        <v>7513</v>
      </c>
    </row>
    <row r="358" spans="1:21" ht="16.5" thickBot="1">
      <c r="A358" s="207" t="s">
        <v>10</v>
      </c>
      <c r="B358" s="211">
        <f t="shared" si="21"/>
        <v>150</v>
      </c>
      <c r="C358" s="211" t="s">
        <v>3</v>
      </c>
      <c r="D358" s="211">
        <f t="shared" si="22"/>
        <v>400</v>
      </c>
      <c r="E358" s="211" t="s">
        <v>3</v>
      </c>
      <c r="F358" s="209">
        <f t="shared" si="23"/>
        <v>950</v>
      </c>
      <c r="G358" s="211" t="s">
        <v>3</v>
      </c>
      <c r="H358" s="208">
        <v>8</v>
      </c>
      <c r="I358" s="210" t="s">
        <v>531</v>
      </c>
      <c r="J358" s="103">
        <v>150</v>
      </c>
      <c r="K358" s="66">
        <v>400</v>
      </c>
      <c r="L358" s="66">
        <v>950</v>
      </c>
      <c r="M358" s="282">
        <v>22.628259016526847</v>
      </c>
      <c r="N358" s="78">
        <v>4771.3723199999995</v>
      </c>
      <c r="O358" s="113">
        <v>52172.732353664891</v>
      </c>
      <c r="P358" s="113">
        <v>62215.474894304483</v>
      </c>
      <c r="Q358" s="110">
        <v>16110.4054803455</v>
      </c>
      <c r="R358" s="113">
        <v>68283.137834010384</v>
      </c>
      <c r="S358" s="113">
        <v>78325.880374649976</v>
      </c>
      <c r="U358" s="7" t="s">
        <v>7514</v>
      </c>
    </row>
    <row r="359" spans="1:21" ht="16.5" thickBot="1">
      <c r="A359" s="207" t="s">
        <v>10</v>
      </c>
      <c r="B359" s="211">
        <f t="shared" si="21"/>
        <v>150</v>
      </c>
      <c r="C359" s="211" t="s">
        <v>3</v>
      </c>
      <c r="D359" s="211">
        <f t="shared" si="22"/>
        <v>400</v>
      </c>
      <c r="E359" s="211" t="s">
        <v>3</v>
      </c>
      <c r="F359" s="209">
        <f t="shared" si="23"/>
        <v>1000</v>
      </c>
      <c r="G359" s="211" t="s">
        <v>3</v>
      </c>
      <c r="H359" s="208">
        <v>8</v>
      </c>
      <c r="I359" s="210" t="s">
        <v>531</v>
      </c>
      <c r="J359" s="103">
        <v>150</v>
      </c>
      <c r="K359" s="66">
        <v>400</v>
      </c>
      <c r="L359" s="66">
        <v>1000</v>
      </c>
      <c r="M359" s="282">
        <v>23.603156709430159</v>
      </c>
      <c r="N359" s="78">
        <v>5168.98668</v>
      </c>
      <c r="O359" s="113">
        <v>54603.007093349421</v>
      </c>
      <c r="P359" s="113">
        <v>65056.857871941989</v>
      </c>
      <c r="Q359" s="110">
        <v>16767.012583104239</v>
      </c>
      <c r="R359" s="113">
        <v>71370.019676453667</v>
      </c>
      <c r="S359" s="113">
        <v>81823.870455046228</v>
      </c>
      <c r="U359" s="7" t="s">
        <v>7515</v>
      </c>
    </row>
    <row r="360" spans="1:21" ht="16.5" thickBot="1">
      <c r="A360" s="207" t="s">
        <v>10</v>
      </c>
      <c r="B360" s="211">
        <f t="shared" si="21"/>
        <v>150</v>
      </c>
      <c r="C360" s="211" t="s">
        <v>3</v>
      </c>
      <c r="D360" s="211">
        <f t="shared" si="22"/>
        <v>400</v>
      </c>
      <c r="E360" s="211" t="s">
        <v>3</v>
      </c>
      <c r="F360" s="209">
        <f t="shared" si="23"/>
        <v>1050</v>
      </c>
      <c r="G360" s="211" t="s">
        <v>3</v>
      </c>
      <c r="H360" s="208">
        <v>8</v>
      </c>
      <c r="I360" s="210" t="s">
        <v>531</v>
      </c>
      <c r="J360" s="103">
        <v>150</v>
      </c>
      <c r="K360" s="66">
        <v>400</v>
      </c>
      <c r="L360" s="66">
        <v>1050</v>
      </c>
      <c r="M360" s="282">
        <v>24.596798402333476</v>
      </c>
      <c r="N360" s="78">
        <v>5566.6010399999996</v>
      </c>
      <c r="O360" s="113">
        <v>57380.537040544259</v>
      </c>
      <c r="P360" s="113">
        <v>68252.786318384897</v>
      </c>
      <c r="Q360" s="110">
        <v>17674.953670617982</v>
      </c>
      <c r="R360" s="113">
        <v>75055.490711162245</v>
      </c>
      <c r="S360" s="113">
        <v>85927.739989002876</v>
      </c>
      <c r="U360" s="7" t="s">
        <v>7516</v>
      </c>
    </row>
    <row r="361" spans="1:21" ht="16.5" thickBot="1">
      <c r="A361" s="207" t="s">
        <v>10</v>
      </c>
      <c r="B361" s="208">
        <f t="shared" si="21"/>
        <v>150</v>
      </c>
      <c r="C361" s="208" t="s">
        <v>3</v>
      </c>
      <c r="D361" s="208">
        <f t="shared" si="22"/>
        <v>400</v>
      </c>
      <c r="E361" s="208" t="s">
        <v>3</v>
      </c>
      <c r="F361" s="209">
        <f t="shared" si="23"/>
        <v>1100</v>
      </c>
      <c r="G361" s="208" t="s">
        <v>3</v>
      </c>
      <c r="H361" s="208">
        <v>8</v>
      </c>
      <c r="I361" s="210" t="s">
        <v>531</v>
      </c>
      <c r="J361" s="103">
        <v>150</v>
      </c>
      <c r="K361" s="66">
        <v>400</v>
      </c>
      <c r="L361" s="66">
        <v>1100</v>
      </c>
      <c r="M361" s="282">
        <v>25.571696095236792</v>
      </c>
      <c r="N361" s="78">
        <v>5964.2153999999991</v>
      </c>
      <c r="O361" s="113">
        <v>59908.564680788259</v>
      </c>
      <c r="P361" s="113">
        <v>71193.169667181428</v>
      </c>
      <c r="Q361" s="110">
        <v>18331.560773376717</v>
      </c>
      <c r="R361" s="113">
        <v>78240.125454164983</v>
      </c>
      <c r="S361" s="113">
        <v>89524.730440558138</v>
      </c>
      <c r="U361" s="7" t="s">
        <v>7517</v>
      </c>
    </row>
    <row r="362" spans="1:21" ht="16.5" thickBot="1">
      <c r="A362" s="207" t="s">
        <v>10</v>
      </c>
      <c r="B362" s="211">
        <f t="shared" si="21"/>
        <v>150</v>
      </c>
      <c r="C362" s="211" t="s">
        <v>3</v>
      </c>
      <c r="D362" s="211">
        <f t="shared" si="22"/>
        <v>400</v>
      </c>
      <c r="E362" s="211" t="s">
        <v>3</v>
      </c>
      <c r="F362" s="209">
        <f t="shared" si="23"/>
        <v>1150</v>
      </c>
      <c r="G362" s="211" t="s">
        <v>3</v>
      </c>
      <c r="H362" s="208">
        <v>8</v>
      </c>
      <c r="I362" s="210" t="s">
        <v>531</v>
      </c>
      <c r="J362" s="103">
        <v>150</v>
      </c>
      <c r="K362" s="66">
        <v>400</v>
      </c>
      <c r="L362" s="66">
        <v>1150</v>
      </c>
      <c r="M362" s="282">
        <v>26.546593788140108</v>
      </c>
      <c r="N362" s="78">
        <v>6361.8297599999996</v>
      </c>
      <c r="O362" s="113">
        <v>61594.363246687783</v>
      </c>
      <c r="P362" s="113">
        <v>73269.372682981193</v>
      </c>
      <c r="Q362" s="110">
        <v>18988.167723106693</v>
      </c>
      <c r="R362" s="113">
        <v>80582.530969794476</v>
      </c>
      <c r="S362" s="113">
        <v>92257.540406087879</v>
      </c>
      <c r="U362" s="7" t="s">
        <v>7518</v>
      </c>
    </row>
    <row r="363" spans="1:21" ht="16.5" thickBot="1">
      <c r="A363" s="207" t="s">
        <v>10</v>
      </c>
      <c r="B363" s="211">
        <f t="shared" si="21"/>
        <v>150</v>
      </c>
      <c r="C363" s="211" t="s">
        <v>3</v>
      </c>
      <c r="D363" s="211">
        <f t="shared" si="22"/>
        <v>400</v>
      </c>
      <c r="E363" s="211" t="s">
        <v>3</v>
      </c>
      <c r="F363" s="209">
        <f t="shared" si="23"/>
        <v>1200</v>
      </c>
      <c r="G363" s="211" t="s">
        <v>3</v>
      </c>
      <c r="H363" s="208">
        <v>8</v>
      </c>
      <c r="I363" s="210" t="s">
        <v>531</v>
      </c>
      <c r="J363" s="103">
        <v>150</v>
      </c>
      <c r="K363" s="66">
        <v>400</v>
      </c>
      <c r="L363" s="66">
        <v>1200</v>
      </c>
      <c r="M363" s="282">
        <v>27.71293548104342</v>
      </c>
      <c r="N363" s="78">
        <v>6759.4441199999992</v>
      </c>
      <c r="O363" s="113">
        <v>63405.05851937292</v>
      </c>
      <c r="P363" s="113">
        <v>75472.409099360855</v>
      </c>
      <c r="Q363" s="110">
        <v>19896.1089636492</v>
      </c>
      <c r="R363" s="113">
        <v>83301.167483022116</v>
      </c>
      <c r="S363" s="113">
        <v>95368.518063010051</v>
      </c>
      <c r="U363" s="7" t="s">
        <v>7519</v>
      </c>
    </row>
    <row r="364" spans="1:21" ht="16.5" thickBot="1">
      <c r="A364" s="207" t="s">
        <v>10</v>
      </c>
      <c r="B364" s="211">
        <f t="shared" si="21"/>
        <v>150</v>
      </c>
      <c r="C364" s="211" t="s">
        <v>3</v>
      </c>
      <c r="D364" s="211">
        <f t="shared" si="22"/>
        <v>400</v>
      </c>
      <c r="E364" s="211" t="s">
        <v>3</v>
      </c>
      <c r="F364" s="209">
        <f t="shared" si="23"/>
        <v>1250</v>
      </c>
      <c r="G364" s="211" t="s">
        <v>3</v>
      </c>
      <c r="H364" s="208">
        <v>8</v>
      </c>
      <c r="I364" s="210" t="s">
        <v>531</v>
      </c>
      <c r="J364" s="103">
        <v>150</v>
      </c>
      <c r="K364" s="66">
        <v>400</v>
      </c>
      <c r="L364" s="66">
        <v>1250</v>
      </c>
      <c r="M364" s="282">
        <v>29.636033173946736</v>
      </c>
      <c r="N364" s="78">
        <v>7157.0584799999997</v>
      </c>
      <c r="O364" s="113">
        <v>65085.786653123221</v>
      </c>
      <c r="P364" s="113">
        <v>77542.555541164344</v>
      </c>
      <c r="Q364" s="110">
        <v>20552.715913379172</v>
      </c>
      <c r="R364" s="113">
        <v>85638.5025665024</v>
      </c>
      <c r="S364" s="113">
        <v>98095.271454543516</v>
      </c>
      <c r="U364" s="7" t="s">
        <v>7520</v>
      </c>
    </row>
    <row r="365" spans="1:21" ht="16.5" thickBot="1">
      <c r="A365" s="207" t="s">
        <v>10</v>
      </c>
      <c r="B365" s="211">
        <f t="shared" si="21"/>
        <v>150</v>
      </c>
      <c r="C365" s="211" t="s">
        <v>3</v>
      </c>
      <c r="D365" s="211">
        <f t="shared" si="22"/>
        <v>400</v>
      </c>
      <c r="E365" s="211" t="s">
        <v>3</v>
      </c>
      <c r="F365" s="209">
        <f t="shared" si="23"/>
        <v>1300</v>
      </c>
      <c r="G365" s="211" t="s">
        <v>3</v>
      </c>
      <c r="H365" s="208">
        <v>8</v>
      </c>
      <c r="I365" s="210" t="s">
        <v>531</v>
      </c>
      <c r="J365" s="103">
        <v>150</v>
      </c>
      <c r="K365" s="66">
        <v>400</v>
      </c>
      <c r="L365" s="66">
        <v>1300</v>
      </c>
      <c r="M365" s="282">
        <v>30.629674866850053</v>
      </c>
      <c r="N365" s="78">
        <v>7554.6728399999993</v>
      </c>
      <c r="O365" s="113">
        <v>69486.204007930661</v>
      </c>
      <c r="P365" s="113">
        <v>82401.493939815307</v>
      </c>
      <c r="Q365" s="110">
        <v>21460.657153921682</v>
      </c>
      <c r="R365" s="113">
        <v>90946.861161852343</v>
      </c>
      <c r="S365" s="113">
        <v>103862.15109373699</v>
      </c>
      <c r="U365" s="7" t="s">
        <v>7521</v>
      </c>
    </row>
    <row r="366" spans="1:21" ht="16.5" thickBot="1">
      <c r="A366" s="207" t="s">
        <v>10</v>
      </c>
      <c r="B366" s="211">
        <f t="shared" si="21"/>
        <v>150</v>
      </c>
      <c r="C366" s="211" t="s">
        <v>3</v>
      </c>
      <c r="D366" s="211">
        <f t="shared" si="22"/>
        <v>400</v>
      </c>
      <c r="E366" s="211" t="s">
        <v>3</v>
      </c>
      <c r="F366" s="209">
        <f t="shared" si="23"/>
        <v>1350</v>
      </c>
      <c r="G366" s="211" t="s">
        <v>3</v>
      </c>
      <c r="H366" s="208">
        <v>8</v>
      </c>
      <c r="I366" s="210" t="s">
        <v>531</v>
      </c>
      <c r="J366" s="103">
        <v>150</v>
      </c>
      <c r="K366" s="66">
        <v>400</v>
      </c>
      <c r="L366" s="66">
        <v>1350</v>
      </c>
      <c r="M366" s="282">
        <v>31.604572559753368</v>
      </c>
      <c r="N366" s="78">
        <v>7952.2871999999998</v>
      </c>
      <c r="O366" s="113">
        <v>71459.513675770839</v>
      </c>
      <c r="P366" s="113">
        <v>84774.267845552342</v>
      </c>
      <c r="Q366" s="110">
        <v>22117.264103651651</v>
      </c>
      <c r="R366" s="113">
        <v>93576.777779422497</v>
      </c>
      <c r="S366" s="113">
        <v>106891.53194920399</v>
      </c>
      <c r="U366" s="7" t="s">
        <v>7522</v>
      </c>
    </row>
    <row r="367" spans="1:21" ht="16.5" thickBot="1">
      <c r="A367" s="207" t="s">
        <v>10</v>
      </c>
      <c r="B367" s="211">
        <f t="shared" si="21"/>
        <v>150</v>
      </c>
      <c r="C367" s="211" t="s">
        <v>3</v>
      </c>
      <c r="D367" s="211">
        <f t="shared" si="22"/>
        <v>400</v>
      </c>
      <c r="E367" s="211" t="s">
        <v>3</v>
      </c>
      <c r="F367" s="209">
        <f t="shared" si="23"/>
        <v>1400</v>
      </c>
      <c r="G367" s="211" t="s">
        <v>3</v>
      </c>
      <c r="H367" s="208">
        <v>8</v>
      </c>
      <c r="I367" s="210" t="s">
        <v>531</v>
      </c>
      <c r="J367" s="103">
        <v>150</v>
      </c>
      <c r="K367" s="66">
        <v>400</v>
      </c>
      <c r="L367" s="66">
        <v>1400</v>
      </c>
      <c r="M367" s="282">
        <v>32.598214252656689</v>
      </c>
      <c r="N367" s="78">
        <v>8349.9015600000002</v>
      </c>
      <c r="O367" s="113">
        <v>73793.280327385801</v>
      </c>
      <c r="P367" s="113">
        <v>87516.303768423997</v>
      </c>
      <c r="Q367" s="110">
        <v>23025.205344194161</v>
      </c>
      <c r="R367" s="113">
        <v>96818.485671579954</v>
      </c>
      <c r="S367" s="113">
        <v>110541.50911261817</v>
      </c>
      <c r="U367" s="7" t="s">
        <v>7523</v>
      </c>
    </row>
    <row r="368" spans="1:21" ht="16.5" thickBot="1">
      <c r="A368" s="207" t="s">
        <v>10</v>
      </c>
      <c r="B368" s="211">
        <f t="shared" si="21"/>
        <v>150</v>
      </c>
      <c r="C368" s="211" t="s">
        <v>3</v>
      </c>
      <c r="D368" s="211">
        <f t="shared" si="22"/>
        <v>400</v>
      </c>
      <c r="E368" s="211" t="s">
        <v>3</v>
      </c>
      <c r="F368" s="209">
        <f t="shared" si="23"/>
        <v>1450</v>
      </c>
      <c r="G368" s="211" t="s">
        <v>3</v>
      </c>
      <c r="H368" s="208">
        <v>8</v>
      </c>
      <c r="I368" s="210" t="s">
        <v>531</v>
      </c>
      <c r="J368" s="103">
        <v>150</v>
      </c>
      <c r="K368" s="66">
        <v>400</v>
      </c>
      <c r="L368" s="66">
        <v>1450</v>
      </c>
      <c r="M368" s="282">
        <v>33.573111945560008</v>
      </c>
      <c r="N368" s="78">
        <v>8747.5159199999998</v>
      </c>
      <c r="O368" s="113">
        <v>75766.687551063747</v>
      </c>
      <c r="P368" s="113">
        <v>89889.18512330846</v>
      </c>
      <c r="Q368" s="110">
        <v>23681.812293924133</v>
      </c>
      <c r="R368" s="113">
        <v>99448.499844987877</v>
      </c>
      <c r="S368" s="113">
        <v>113570.99741723259</v>
      </c>
      <c r="U368" s="7" t="s">
        <v>7524</v>
      </c>
    </row>
    <row r="369" spans="1:21" ht="16.5" thickBot="1">
      <c r="A369" s="207" t="s">
        <v>10</v>
      </c>
      <c r="B369" s="211">
        <f t="shared" si="21"/>
        <v>150</v>
      </c>
      <c r="C369" s="211" t="s">
        <v>3</v>
      </c>
      <c r="D369" s="211">
        <f t="shared" si="22"/>
        <v>400</v>
      </c>
      <c r="E369" s="211" t="s">
        <v>3</v>
      </c>
      <c r="F369" s="209">
        <f t="shared" si="23"/>
        <v>1500</v>
      </c>
      <c r="G369" s="211" t="s">
        <v>3</v>
      </c>
      <c r="H369" s="208">
        <v>8</v>
      </c>
      <c r="I369" s="210" t="s">
        <v>531</v>
      </c>
      <c r="J369" s="103">
        <v>150</v>
      </c>
      <c r="K369" s="66">
        <v>400</v>
      </c>
      <c r="L369" s="66">
        <v>1500</v>
      </c>
      <c r="M369" s="282">
        <v>34.52893706181932</v>
      </c>
      <c r="N369" s="78">
        <v>9145.1302799999994</v>
      </c>
      <c r="O369" s="113">
        <v>78435.320209015947</v>
      </c>
      <c r="P369" s="113">
        <v>93208.982085445576</v>
      </c>
      <c r="Q369" s="110">
        <v>24589.753534466639</v>
      </c>
      <c r="R369" s="113">
        <v>103025.07374348259</v>
      </c>
      <c r="S369" s="113">
        <v>117798.73561991222</v>
      </c>
      <c r="U369" s="7" t="s">
        <v>7525</v>
      </c>
    </row>
    <row r="370" spans="1:21" ht="16.5" thickBot="1">
      <c r="A370" s="207" t="s">
        <v>10</v>
      </c>
      <c r="B370" s="211">
        <f t="shared" si="21"/>
        <v>150</v>
      </c>
      <c r="C370" s="211" t="s">
        <v>3</v>
      </c>
      <c r="D370" s="211">
        <f t="shared" si="22"/>
        <v>400</v>
      </c>
      <c r="E370" s="211" t="s">
        <v>3</v>
      </c>
      <c r="F370" s="209">
        <f t="shared" si="23"/>
        <v>1550</v>
      </c>
      <c r="G370" s="211" t="s">
        <v>3</v>
      </c>
      <c r="H370" s="208">
        <v>8</v>
      </c>
      <c r="I370" s="210" t="s">
        <v>531</v>
      </c>
      <c r="J370" s="103">
        <v>150</v>
      </c>
      <c r="K370" s="66">
        <v>400</v>
      </c>
      <c r="L370" s="66">
        <v>1550</v>
      </c>
      <c r="M370" s="282">
        <v>35.503834754722639</v>
      </c>
      <c r="N370" s="78">
        <v>9542.744639999999</v>
      </c>
      <c r="O370" s="113">
        <v>80408.708701973039</v>
      </c>
      <c r="P370" s="113">
        <v>95581.830992110685</v>
      </c>
      <c r="Q370" s="110">
        <v>25246.360484196612</v>
      </c>
      <c r="R370" s="113">
        <v>105655.06918616965</v>
      </c>
      <c r="S370" s="113">
        <v>120828.1914763073</v>
      </c>
      <c r="U370" s="7" t="s">
        <v>7526</v>
      </c>
    </row>
    <row r="371" spans="1:21" ht="16.5" thickBot="1">
      <c r="A371" s="207" t="s">
        <v>10</v>
      </c>
      <c r="B371" s="208">
        <f t="shared" si="21"/>
        <v>150</v>
      </c>
      <c r="C371" s="208" t="s">
        <v>3</v>
      </c>
      <c r="D371" s="208">
        <f t="shared" si="22"/>
        <v>400</v>
      </c>
      <c r="E371" s="208" t="s">
        <v>3</v>
      </c>
      <c r="F371" s="209">
        <f t="shared" si="23"/>
        <v>1600</v>
      </c>
      <c r="G371" s="208" t="s">
        <v>3</v>
      </c>
      <c r="H371" s="208">
        <v>8</v>
      </c>
      <c r="I371" s="210" t="s">
        <v>531</v>
      </c>
      <c r="J371" s="103">
        <v>150</v>
      </c>
      <c r="K371" s="66">
        <v>400</v>
      </c>
      <c r="L371" s="66">
        <v>1600</v>
      </c>
      <c r="M371" s="282">
        <v>36.478732447625944</v>
      </c>
      <c r="N371" s="78">
        <v>9940.3589999999986</v>
      </c>
      <c r="O371" s="113">
        <v>84527.059090885145</v>
      </c>
      <c r="P371" s="113">
        <v>100152.01709852209</v>
      </c>
      <c r="Q371" s="110">
        <v>25902.96758695535</v>
      </c>
      <c r="R371" s="113">
        <v>110430.02667784049</v>
      </c>
      <c r="S371" s="113">
        <v>126054.98468547744</v>
      </c>
      <c r="U371" s="7" t="s">
        <v>7527</v>
      </c>
    </row>
    <row r="372" spans="1:21" ht="16.5" thickBot="1">
      <c r="A372" s="207" t="s">
        <v>10</v>
      </c>
      <c r="B372" s="211">
        <f t="shared" si="21"/>
        <v>150</v>
      </c>
      <c r="C372" s="211" t="s">
        <v>3</v>
      </c>
      <c r="D372" s="211">
        <f t="shared" si="22"/>
        <v>400</v>
      </c>
      <c r="E372" s="211" t="s">
        <v>3</v>
      </c>
      <c r="F372" s="209">
        <f t="shared" si="23"/>
        <v>1650</v>
      </c>
      <c r="G372" s="211" t="s">
        <v>3</v>
      </c>
      <c r="H372" s="208">
        <v>8</v>
      </c>
      <c r="I372" s="210" t="s">
        <v>531</v>
      </c>
      <c r="J372" s="103">
        <v>150</v>
      </c>
      <c r="K372" s="66">
        <v>400</v>
      </c>
      <c r="L372" s="66">
        <v>1650</v>
      </c>
      <c r="M372" s="282">
        <v>37.472374140529269</v>
      </c>
      <c r="N372" s="78">
        <v>10337.97336</v>
      </c>
      <c r="O372" s="113">
        <v>88923.027249118153</v>
      </c>
      <c r="P372" s="113">
        <v>105006.60273932639</v>
      </c>
      <c r="Q372" s="110">
        <v>26810.908827497857</v>
      </c>
      <c r="R372" s="113">
        <v>115733.93607661601</v>
      </c>
      <c r="S372" s="113">
        <v>131817.51156682425</v>
      </c>
      <c r="U372" s="7" t="s">
        <v>7528</v>
      </c>
    </row>
    <row r="373" spans="1:21" ht="16.5" thickBot="1">
      <c r="A373" s="207" t="s">
        <v>10</v>
      </c>
      <c r="B373" s="211">
        <f t="shared" si="21"/>
        <v>150</v>
      </c>
      <c r="C373" s="211" t="s">
        <v>3</v>
      </c>
      <c r="D373" s="211">
        <f t="shared" si="22"/>
        <v>400</v>
      </c>
      <c r="E373" s="211" t="s">
        <v>3</v>
      </c>
      <c r="F373" s="209">
        <f t="shared" si="23"/>
        <v>1700</v>
      </c>
      <c r="G373" s="211" t="s">
        <v>3</v>
      </c>
      <c r="H373" s="208">
        <v>8</v>
      </c>
      <c r="I373" s="210" t="s">
        <v>531</v>
      </c>
      <c r="J373" s="103">
        <v>150</v>
      </c>
      <c r="K373" s="66">
        <v>400</v>
      </c>
      <c r="L373" s="66">
        <v>1700</v>
      </c>
      <c r="M373" s="282">
        <v>39.39547183343258</v>
      </c>
      <c r="N373" s="78">
        <v>10735.587720000001</v>
      </c>
      <c r="O373" s="113">
        <v>90665.330156252545</v>
      </c>
      <c r="P373" s="113">
        <v>107141.98917248238</v>
      </c>
      <c r="Q373" s="110">
        <v>27467.515777227836</v>
      </c>
      <c r="R373" s="113">
        <v>118132.84593348038</v>
      </c>
      <c r="S373" s="113">
        <v>134609.50494971022</v>
      </c>
      <c r="U373" s="7" t="s">
        <v>7529</v>
      </c>
    </row>
    <row r="374" spans="1:21" ht="16.5" thickBot="1">
      <c r="A374" s="207" t="s">
        <v>10</v>
      </c>
      <c r="B374" s="211">
        <f t="shared" si="21"/>
        <v>150</v>
      </c>
      <c r="C374" s="211" t="s">
        <v>3</v>
      </c>
      <c r="D374" s="211">
        <f t="shared" si="22"/>
        <v>400</v>
      </c>
      <c r="E374" s="211" t="s">
        <v>3</v>
      </c>
      <c r="F374" s="209">
        <f t="shared" si="23"/>
        <v>1750</v>
      </c>
      <c r="G374" s="211" t="s">
        <v>3</v>
      </c>
      <c r="H374" s="208">
        <v>8</v>
      </c>
      <c r="I374" s="210" t="s">
        <v>531</v>
      </c>
      <c r="J374" s="103">
        <v>150</v>
      </c>
      <c r="K374" s="66">
        <v>400</v>
      </c>
      <c r="L374" s="66">
        <v>1750</v>
      </c>
      <c r="M374" s="282">
        <v>40.38911352633589</v>
      </c>
      <c r="N374" s="78">
        <v>11133.202079999999</v>
      </c>
      <c r="O374" s="113">
        <v>92324.025499154814</v>
      </c>
      <c r="P374" s="113">
        <v>109191.75073205854</v>
      </c>
      <c r="Q374" s="110">
        <v>28375.457017770343</v>
      </c>
      <c r="R374" s="113">
        <v>120699.48251692516</v>
      </c>
      <c r="S374" s="113">
        <v>137567.20774982887</v>
      </c>
      <c r="U374" s="7" t="s">
        <v>7530</v>
      </c>
    </row>
    <row r="375" spans="1:21" ht="16.5" thickBot="1">
      <c r="A375" s="207" t="s">
        <v>10</v>
      </c>
      <c r="B375" s="211">
        <f t="shared" si="21"/>
        <v>150</v>
      </c>
      <c r="C375" s="211" t="s">
        <v>3</v>
      </c>
      <c r="D375" s="211">
        <f t="shared" si="22"/>
        <v>400</v>
      </c>
      <c r="E375" s="211" t="s">
        <v>3</v>
      </c>
      <c r="F375" s="209">
        <f t="shared" si="23"/>
        <v>1800</v>
      </c>
      <c r="G375" s="211" t="s">
        <v>3</v>
      </c>
      <c r="H375" s="208">
        <v>8</v>
      </c>
      <c r="I375" s="210" t="s">
        <v>531</v>
      </c>
      <c r="J375" s="103">
        <v>150</v>
      </c>
      <c r="K375" s="66">
        <v>400</v>
      </c>
      <c r="L375" s="66">
        <v>1800</v>
      </c>
      <c r="M375" s="282">
        <v>41.36401121923921</v>
      </c>
      <c r="N375" s="78">
        <v>11530.816439999999</v>
      </c>
      <c r="O375" s="113">
        <v>94067.671164840242</v>
      </c>
      <c r="P375" s="113">
        <v>111328.55876724594</v>
      </c>
      <c r="Q375" s="110">
        <v>29032.063967500315</v>
      </c>
      <c r="R375" s="113">
        <v>123099.73513234056</v>
      </c>
      <c r="S375" s="113">
        <v>140360.62273474626</v>
      </c>
      <c r="U375" s="7" t="s">
        <v>7531</v>
      </c>
    </row>
    <row r="376" spans="1:21" ht="16.5" thickBot="1">
      <c r="A376" s="207" t="s">
        <v>10</v>
      </c>
      <c r="B376" s="211">
        <f t="shared" si="21"/>
        <v>150</v>
      </c>
      <c r="C376" s="211" t="s">
        <v>3</v>
      </c>
      <c r="D376" s="211">
        <f t="shared" si="22"/>
        <v>400</v>
      </c>
      <c r="E376" s="211" t="s">
        <v>3</v>
      </c>
      <c r="F376" s="209">
        <f t="shared" si="23"/>
        <v>1850</v>
      </c>
      <c r="G376" s="211" t="s">
        <v>3</v>
      </c>
      <c r="H376" s="208">
        <v>8</v>
      </c>
      <c r="I376" s="210" t="s">
        <v>531</v>
      </c>
      <c r="J376" s="103">
        <v>150</v>
      </c>
      <c r="K376" s="66">
        <v>400</v>
      </c>
      <c r="L376" s="66">
        <v>1850</v>
      </c>
      <c r="M376" s="282">
        <v>42.357652912142534</v>
      </c>
      <c r="N376" s="78">
        <v>11928.430799999998</v>
      </c>
      <c r="O376" s="113">
        <v>95811.509861009996</v>
      </c>
      <c r="P376" s="113">
        <v>113465.5845470632</v>
      </c>
      <c r="Q376" s="110">
        <v>29940.005208042821</v>
      </c>
      <c r="R376" s="113">
        <v>125751.51506905281</v>
      </c>
      <c r="S376" s="113">
        <v>143405.58975510602</v>
      </c>
      <c r="U376" s="7" t="s">
        <v>7532</v>
      </c>
    </row>
    <row r="377" spans="1:21" ht="16.5" thickBot="1">
      <c r="A377" s="207" t="s">
        <v>10</v>
      </c>
      <c r="B377" s="211">
        <f t="shared" si="21"/>
        <v>150</v>
      </c>
      <c r="C377" s="211" t="s">
        <v>3</v>
      </c>
      <c r="D377" s="211">
        <f t="shared" si="22"/>
        <v>400</v>
      </c>
      <c r="E377" s="211" t="s">
        <v>3</v>
      </c>
      <c r="F377" s="209">
        <f t="shared" si="23"/>
        <v>1900</v>
      </c>
      <c r="G377" s="211" t="s">
        <v>3</v>
      </c>
      <c r="H377" s="208">
        <v>8</v>
      </c>
      <c r="I377" s="210" t="s">
        <v>531</v>
      </c>
      <c r="J377" s="103">
        <v>150</v>
      </c>
      <c r="K377" s="66">
        <v>400</v>
      </c>
      <c r="L377" s="66">
        <v>1900</v>
      </c>
      <c r="M377" s="282">
        <v>43.332550605045846</v>
      </c>
      <c r="N377" s="78">
        <v>12326.04516</v>
      </c>
      <c r="O377" s="113">
        <v>97748.367594956799</v>
      </c>
      <c r="P377" s="113">
        <v>115800.36044939906</v>
      </c>
      <c r="Q377" s="110">
        <v>30596.612157772794</v>
      </c>
      <c r="R377" s="113">
        <v>128344.97975272959</v>
      </c>
      <c r="S377" s="113">
        <v>146396.97260717186</v>
      </c>
      <c r="U377" s="7" t="s">
        <v>7533</v>
      </c>
    </row>
    <row r="378" spans="1:21" ht="16.5" thickBot="1">
      <c r="A378" s="207" t="s">
        <v>10</v>
      </c>
      <c r="B378" s="211">
        <f t="shared" si="21"/>
        <v>150</v>
      </c>
      <c r="C378" s="211" t="s">
        <v>3</v>
      </c>
      <c r="D378" s="211">
        <f t="shared" si="22"/>
        <v>400</v>
      </c>
      <c r="E378" s="211" t="s">
        <v>3</v>
      </c>
      <c r="F378" s="209">
        <f t="shared" si="23"/>
        <v>1950</v>
      </c>
      <c r="G378" s="211" t="s">
        <v>3</v>
      </c>
      <c r="H378" s="208">
        <v>8</v>
      </c>
      <c r="I378" s="210" t="s">
        <v>531</v>
      </c>
      <c r="J378" s="103">
        <v>150</v>
      </c>
      <c r="K378" s="66">
        <v>400</v>
      </c>
      <c r="L378" s="66">
        <v>1950</v>
      </c>
      <c r="M378" s="282">
        <v>44.480148297949157</v>
      </c>
      <c r="N378" s="78">
        <v>12723.659519999999</v>
      </c>
      <c r="O378" s="113">
        <v>99953.060979259899</v>
      </c>
      <c r="P378" s="113">
        <v>118409.52859910794</v>
      </c>
      <c r="Q378" s="110">
        <v>31253.219260531532</v>
      </c>
      <c r="R378" s="113">
        <v>131206.28023979143</v>
      </c>
      <c r="S378" s="113">
        <v>149662.74785963946</v>
      </c>
      <c r="U378" s="7" t="s">
        <v>7534</v>
      </c>
    </row>
    <row r="379" spans="1:21" ht="16.5" thickBot="1">
      <c r="A379" s="207" t="s">
        <v>10</v>
      </c>
      <c r="B379" s="211">
        <f t="shared" si="21"/>
        <v>150</v>
      </c>
      <c r="C379" s="211" t="s">
        <v>3</v>
      </c>
      <c r="D379" s="211">
        <f t="shared" si="22"/>
        <v>400</v>
      </c>
      <c r="E379" s="211" t="s">
        <v>3</v>
      </c>
      <c r="F379" s="209">
        <f t="shared" si="23"/>
        <v>2000</v>
      </c>
      <c r="G379" s="211" t="s">
        <v>3</v>
      </c>
      <c r="H379" s="208">
        <v>8</v>
      </c>
      <c r="I379" s="210" t="s">
        <v>531</v>
      </c>
      <c r="J379" s="103">
        <v>150</v>
      </c>
      <c r="K379" s="66">
        <v>400</v>
      </c>
      <c r="L379" s="66">
        <v>2000</v>
      </c>
      <c r="M379" s="282">
        <v>45.574508630852478</v>
      </c>
      <c r="N379" s="78">
        <v>13121.273879999997</v>
      </c>
      <c r="O379" s="113">
        <v>101931.17130483937</v>
      </c>
      <c r="P379" s="113">
        <v>121016.87537903029</v>
      </c>
      <c r="Q379" s="110">
        <v>32161.160348045276</v>
      </c>
      <c r="R379" s="113">
        <v>134092.33165288466</v>
      </c>
      <c r="S379" s="113">
        <v>153178.03572707556</v>
      </c>
      <c r="U379" s="7" t="s">
        <v>7535</v>
      </c>
    </row>
    <row r="380" spans="1:21" ht="16.5" thickBot="1">
      <c r="A380" s="207" t="s">
        <v>10</v>
      </c>
      <c r="B380" s="211">
        <f t="shared" si="21"/>
        <v>150</v>
      </c>
      <c r="C380" s="211" t="s">
        <v>3</v>
      </c>
      <c r="D380" s="211">
        <f t="shared" si="22"/>
        <v>400</v>
      </c>
      <c r="E380" s="211" t="s">
        <v>3</v>
      </c>
      <c r="F380" s="209">
        <f t="shared" si="23"/>
        <v>2050</v>
      </c>
      <c r="G380" s="211" t="s">
        <v>3</v>
      </c>
      <c r="H380" s="208">
        <v>8</v>
      </c>
      <c r="I380" s="210" t="s">
        <v>531</v>
      </c>
      <c r="J380" s="103">
        <v>150</v>
      </c>
      <c r="K380" s="66">
        <v>400</v>
      </c>
      <c r="L380" s="66">
        <v>2050</v>
      </c>
      <c r="M380" s="282">
        <v>47.497606323755782</v>
      </c>
      <c r="N380" s="78">
        <v>13518.888239999998</v>
      </c>
      <c r="O380" s="113">
        <v>106051.93470488004</v>
      </c>
      <c r="P380" s="113">
        <v>125591.40100783044</v>
      </c>
      <c r="Q380" s="110">
        <v>32817.767450804015</v>
      </c>
      <c r="R380" s="113">
        <v>138869.70215568406</v>
      </c>
      <c r="S380" s="113">
        <v>158409.16845863446</v>
      </c>
      <c r="U380" s="7" t="s">
        <v>7536</v>
      </c>
    </row>
    <row r="381" spans="1:21" ht="16.5" thickBot="1">
      <c r="A381" s="207" t="s">
        <v>10</v>
      </c>
      <c r="B381" s="208">
        <f t="shared" si="21"/>
        <v>150</v>
      </c>
      <c r="C381" s="208" t="s">
        <v>3</v>
      </c>
      <c r="D381" s="208">
        <f t="shared" si="22"/>
        <v>400</v>
      </c>
      <c r="E381" s="208" t="s">
        <v>3</v>
      </c>
      <c r="F381" s="209">
        <f t="shared" si="23"/>
        <v>2100</v>
      </c>
      <c r="G381" s="208" t="s">
        <v>3</v>
      </c>
      <c r="H381" s="208">
        <v>8</v>
      </c>
      <c r="I381" s="210" t="s">
        <v>531</v>
      </c>
      <c r="J381" s="103">
        <v>150</v>
      </c>
      <c r="K381" s="66">
        <v>400</v>
      </c>
      <c r="L381" s="66">
        <v>2100</v>
      </c>
      <c r="M381" s="282">
        <v>48.4912480166591</v>
      </c>
      <c r="N381" s="78">
        <v>13916.502599999998</v>
      </c>
      <c r="O381" s="113">
        <v>107864.53322692266</v>
      </c>
      <c r="P381" s="113">
        <v>127798.92353285282</v>
      </c>
      <c r="Q381" s="110">
        <v>33725.708538317755</v>
      </c>
      <c r="R381" s="113">
        <v>141590.24176524041</v>
      </c>
      <c r="S381" s="113">
        <v>161524.63207117058</v>
      </c>
      <c r="U381" s="7" t="s">
        <v>7537</v>
      </c>
    </row>
    <row r="382" spans="1:21" ht="16.5" thickBot="1">
      <c r="A382" s="207" t="s">
        <v>10</v>
      </c>
      <c r="B382" s="211">
        <f t="shared" si="21"/>
        <v>150</v>
      </c>
      <c r="C382" s="211" t="s">
        <v>3</v>
      </c>
      <c r="D382" s="211">
        <f t="shared" si="22"/>
        <v>400</v>
      </c>
      <c r="E382" s="211" t="s">
        <v>3</v>
      </c>
      <c r="F382" s="209">
        <f t="shared" si="23"/>
        <v>2150</v>
      </c>
      <c r="G382" s="211" t="s">
        <v>3</v>
      </c>
      <c r="H382" s="208">
        <v>8</v>
      </c>
      <c r="I382" s="210" t="s">
        <v>531</v>
      </c>
      <c r="J382" s="103">
        <v>150</v>
      </c>
      <c r="K382" s="66">
        <v>400</v>
      </c>
      <c r="L382" s="66">
        <v>2150</v>
      </c>
      <c r="M382" s="282">
        <v>49.466145709562426</v>
      </c>
      <c r="N382" s="78">
        <v>14314.116959999999</v>
      </c>
      <c r="O382" s="113">
        <v>109839.81404298353</v>
      </c>
      <c r="P382" s="113">
        <v>130173.11377490142</v>
      </c>
      <c r="Q382" s="110">
        <v>34382.315641076493</v>
      </c>
      <c r="R382" s="113">
        <v>144222.12968406003</v>
      </c>
      <c r="S382" s="113">
        <v>164555.42941597791</v>
      </c>
      <c r="U382" s="7" t="s">
        <v>7538</v>
      </c>
    </row>
    <row r="383" spans="1:21" ht="16.5" thickBot="1">
      <c r="A383" s="207" t="s">
        <v>10</v>
      </c>
      <c r="B383" s="211">
        <f t="shared" si="21"/>
        <v>150</v>
      </c>
      <c r="C383" s="211" t="s">
        <v>3</v>
      </c>
      <c r="D383" s="211">
        <f t="shared" si="22"/>
        <v>400</v>
      </c>
      <c r="E383" s="211" t="s">
        <v>3</v>
      </c>
      <c r="F383" s="209">
        <f t="shared" si="23"/>
        <v>2200</v>
      </c>
      <c r="G383" s="211" t="s">
        <v>3</v>
      </c>
      <c r="H383" s="208">
        <v>8</v>
      </c>
      <c r="I383" s="210" t="s">
        <v>531</v>
      </c>
      <c r="J383" s="103">
        <v>150</v>
      </c>
      <c r="K383" s="66">
        <v>400</v>
      </c>
      <c r="L383" s="66">
        <v>2200</v>
      </c>
      <c r="M383" s="282">
        <v>50.459787402465736</v>
      </c>
      <c r="N383" s="78">
        <v>14711.731320000001</v>
      </c>
      <c r="O383" s="113">
        <v>111815.15820530175</v>
      </c>
      <c r="P383" s="113">
        <v>132547.38129494616</v>
      </c>
      <c r="Q383" s="110">
        <v>35290.256728590233</v>
      </c>
      <c r="R383" s="113">
        <v>147105.41493389197</v>
      </c>
      <c r="S383" s="113">
        <v>167837.63802353639</v>
      </c>
      <c r="U383" s="7" t="s">
        <v>7539</v>
      </c>
    </row>
    <row r="384" spans="1:21" ht="16.5" thickBot="1">
      <c r="A384" s="207" t="s">
        <v>10</v>
      </c>
      <c r="B384" s="211">
        <f t="shared" si="21"/>
        <v>150</v>
      </c>
      <c r="C384" s="211" t="s">
        <v>3</v>
      </c>
      <c r="D384" s="211">
        <f t="shared" si="22"/>
        <v>400</v>
      </c>
      <c r="E384" s="211" t="s">
        <v>3</v>
      </c>
      <c r="F384" s="209">
        <f t="shared" si="23"/>
        <v>2250</v>
      </c>
      <c r="G384" s="211" t="s">
        <v>3</v>
      </c>
      <c r="H384" s="208">
        <v>8</v>
      </c>
      <c r="I384" s="210" t="s">
        <v>531</v>
      </c>
      <c r="J384" s="103">
        <v>150</v>
      </c>
      <c r="K384" s="66">
        <v>400</v>
      </c>
      <c r="L384" s="66">
        <v>2250</v>
      </c>
      <c r="M384" s="282">
        <v>51.434685095369055</v>
      </c>
      <c r="N384" s="78">
        <v>15109.345679999999</v>
      </c>
      <c r="O384" s="113">
        <v>114151.64497382255</v>
      </c>
      <c r="P384" s="113">
        <v>135293.10137156557</v>
      </c>
      <c r="Q384" s="110">
        <v>35946.863831348819</v>
      </c>
      <c r="R384" s="113">
        <v>150098.50880517135</v>
      </c>
      <c r="S384" s="113">
        <v>171239.96520291438</v>
      </c>
      <c r="U384" s="7" t="s">
        <v>7540</v>
      </c>
    </row>
    <row r="385" spans="1:21" ht="16.5" thickBot="1">
      <c r="A385" s="207" t="s">
        <v>10</v>
      </c>
      <c r="B385" s="211">
        <f t="shared" si="21"/>
        <v>150</v>
      </c>
      <c r="C385" s="211" t="s">
        <v>3</v>
      </c>
      <c r="D385" s="211">
        <f t="shared" si="22"/>
        <v>400</v>
      </c>
      <c r="E385" s="211" t="s">
        <v>3</v>
      </c>
      <c r="F385" s="209">
        <f t="shared" si="23"/>
        <v>2300</v>
      </c>
      <c r="G385" s="211" t="s">
        <v>3</v>
      </c>
      <c r="H385" s="208">
        <v>8</v>
      </c>
      <c r="I385" s="210" t="s">
        <v>531</v>
      </c>
      <c r="J385" s="103">
        <v>150</v>
      </c>
      <c r="K385" s="66">
        <v>400</v>
      </c>
      <c r="L385" s="66">
        <v>2300</v>
      </c>
      <c r="M385" s="282">
        <v>52.40958278827236</v>
      </c>
      <c r="N385" s="78">
        <v>15506.960039999998</v>
      </c>
      <c r="O385" s="113">
        <v>115868.8626329824</v>
      </c>
      <c r="P385" s="113">
        <v>137404.43100798706</v>
      </c>
      <c r="Q385" s="110">
        <v>36603.470781078948</v>
      </c>
      <c r="R385" s="113">
        <v>152472.33341406134</v>
      </c>
      <c r="S385" s="113">
        <v>174007.901789066</v>
      </c>
      <c r="U385" s="7" t="s">
        <v>7541</v>
      </c>
    </row>
    <row r="386" spans="1:21" ht="16.5" thickBot="1">
      <c r="A386" s="207" t="s">
        <v>10</v>
      </c>
      <c r="B386" s="211">
        <f t="shared" si="21"/>
        <v>150</v>
      </c>
      <c r="C386" s="211" t="s">
        <v>3</v>
      </c>
      <c r="D386" s="211">
        <f t="shared" si="22"/>
        <v>400</v>
      </c>
      <c r="E386" s="211" t="s">
        <v>3</v>
      </c>
      <c r="F386" s="209">
        <f t="shared" si="23"/>
        <v>2350</v>
      </c>
      <c r="G386" s="211" t="s">
        <v>3</v>
      </c>
      <c r="H386" s="208">
        <v>8</v>
      </c>
      <c r="I386" s="210" t="s">
        <v>531</v>
      </c>
      <c r="J386" s="103">
        <v>150</v>
      </c>
      <c r="K386" s="66">
        <v>400</v>
      </c>
      <c r="L386" s="66">
        <v>2350</v>
      </c>
      <c r="M386" s="282">
        <v>53.403224481175677</v>
      </c>
      <c r="N386" s="78">
        <v>15904.5744</v>
      </c>
      <c r="O386" s="113">
        <v>117584.99299981171</v>
      </c>
      <c r="P386" s="113">
        <v>139514.47822816021</v>
      </c>
      <c r="Q386" s="110">
        <v>37511.412021621458</v>
      </c>
      <c r="R386" s="113">
        <v>155096.40502143317</v>
      </c>
      <c r="S386" s="113">
        <v>177025.89024978166</v>
      </c>
      <c r="U386" s="7" t="s">
        <v>7542</v>
      </c>
    </row>
    <row r="387" spans="1:21" ht="16.5" thickBot="1">
      <c r="A387" s="207" t="s">
        <v>10</v>
      </c>
      <c r="B387" s="211">
        <f t="shared" si="21"/>
        <v>150</v>
      </c>
      <c r="C387" s="211" t="s">
        <v>3</v>
      </c>
      <c r="D387" s="211">
        <f t="shared" si="22"/>
        <v>400</v>
      </c>
      <c r="E387" s="211" t="s">
        <v>3</v>
      </c>
      <c r="F387" s="209">
        <f t="shared" si="23"/>
        <v>2400</v>
      </c>
      <c r="G387" s="211" t="s">
        <v>3</v>
      </c>
      <c r="H387" s="208">
        <v>8</v>
      </c>
      <c r="I387" s="210" t="s">
        <v>531</v>
      </c>
      <c r="J387" s="103">
        <v>150</v>
      </c>
      <c r="K387" s="66">
        <v>400</v>
      </c>
      <c r="L387" s="66">
        <v>2400</v>
      </c>
      <c r="M387" s="282">
        <v>54.378122174079003</v>
      </c>
      <c r="N387" s="78">
        <v>16302.188759999997</v>
      </c>
      <c r="O387" s="113">
        <v>119340.5468513528</v>
      </c>
      <c r="P387" s="113">
        <v>141671.33200475594</v>
      </c>
      <c r="Q387" s="110">
        <v>38168.019124380196</v>
      </c>
      <c r="R387" s="113">
        <v>157508.56597573298</v>
      </c>
      <c r="S387" s="113">
        <v>179839.35112913614</v>
      </c>
      <c r="U387" s="7" t="s">
        <v>7543</v>
      </c>
    </row>
    <row r="388" spans="1:21" ht="16.5" thickBot="1">
      <c r="A388" s="207" t="s">
        <v>10</v>
      </c>
      <c r="B388" s="211">
        <f t="shared" si="21"/>
        <v>150</v>
      </c>
      <c r="C388" s="211" t="s">
        <v>3</v>
      </c>
      <c r="D388" s="211">
        <f t="shared" si="22"/>
        <v>400</v>
      </c>
      <c r="E388" s="211" t="s">
        <v>3</v>
      </c>
      <c r="F388" s="209">
        <f t="shared" si="23"/>
        <v>2450</v>
      </c>
      <c r="G388" s="211" t="s">
        <v>3</v>
      </c>
      <c r="H388" s="208">
        <v>8</v>
      </c>
      <c r="I388" s="210" t="s">
        <v>531</v>
      </c>
      <c r="J388" s="103">
        <v>150</v>
      </c>
      <c r="K388" s="66">
        <v>400</v>
      </c>
      <c r="L388" s="66">
        <v>2450</v>
      </c>
      <c r="M388" s="282">
        <v>56.282147290338308</v>
      </c>
      <c r="N388" s="78">
        <v>16699.80312</v>
      </c>
      <c r="O388" s="113">
        <v>121706.77202116075</v>
      </c>
      <c r="P388" s="113">
        <v>144674.64070525751</v>
      </c>
      <c r="Q388" s="110">
        <v>39075.960211893937</v>
      </c>
      <c r="R388" s="113">
        <v>160782.7322330547</v>
      </c>
      <c r="S388" s="113">
        <v>183750.60091715143</v>
      </c>
      <c r="U388" s="7" t="s">
        <v>7544</v>
      </c>
    </row>
    <row r="389" spans="1:21" ht="16.5" thickBot="1">
      <c r="A389" s="207" t="s">
        <v>10</v>
      </c>
      <c r="B389" s="211">
        <f t="shared" si="21"/>
        <v>150</v>
      </c>
      <c r="C389" s="211" t="s">
        <v>3</v>
      </c>
      <c r="D389" s="211">
        <f t="shared" si="22"/>
        <v>400</v>
      </c>
      <c r="E389" s="211" t="s">
        <v>3</v>
      </c>
      <c r="F389" s="209">
        <f t="shared" si="23"/>
        <v>2500</v>
      </c>
      <c r="G389" s="211" t="s">
        <v>3</v>
      </c>
      <c r="H389" s="208">
        <v>8</v>
      </c>
      <c r="I389" s="210" t="s">
        <v>531</v>
      </c>
      <c r="J389" s="103">
        <v>150</v>
      </c>
      <c r="K389" s="66">
        <v>400</v>
      </c>
      <c r="L389" s="66">
        <v>2500</v>
      </c>
      <c r="M389" s="282">
        <v>57.257044983241627</v>
      </c>
      <c r="N389" s="78">
        <v>17097.417479999996</v>
      </c>
      <c r="O389" s="113">
        <v>123449.15453385879</v>
      </c>
      <c r="P389" s="113">
        <v>146815.95021929694</v>
      </c>
      <c r="Q389" s="110">
        <v>39732.567314652675</v>
      </c>
      <c r="R389" s="113">
        <v>163181.72184851146</v>
      </c>
      <c r="S389" s="113">
        <v>186548.51753394961</v>
      </c>
      <c r="U389" s="7" t="s">
        <v>7545</v>
      </c>
    </row>
    <row r="390" spans="1:21" ht="16.5" thickBot="1">
      <c r="A390" s="207" t="s">
        <v>10</v>
      </c>
      <c r="B390" s="211">
        <f t="shared" si="21"/>
        <v>150</v>
      </c>
      <c r="C390" s="211" t="s">
        <v>3</v>
      </c>
      <c r="D390" s="211">
        <f t="shared" si="22"/>
        <v>400</v>
      </c>
      <c r="E390" s="211" t="s">
        <v>3</v>
      </c>
      <c r="F390" s="209">
        <f t="shared" si="23"/>
        <v>2550</v>
      </c>
      <c r="G390" s="211" t="s">
        <v>3</v>
      </c>
      <c r="H390" s="208">
        <v>8</v>
      </c>
      <c r="I390" s="210" t="s">
        <v>531</v>
      </c>
      <c r="J390" s="103">
        <v>150</v>
      </c>
      <c r="K390" s="66">
        <v>400</v>
      </c>
      <c r="L390" s="66">
        <v>2550</v>
      </c>
      <c r="M390" s="282">
        <v>58.250686676144952</v>
      </c>
      <c r="N390" s="78">
        <v>17495.03184</v>
      </c>
      <c r="O390" s="113">
        <v>128794.36648815879</v>
      </c>
      <c r="P390" s="113">
        <v>152643.86901436339</v>
      </c>
      <c r="Q390" s="110">
        <v>40640.508402166415</v>
      </c>
      <c r="R390" s="113">
        <v>169434.87489032521</v>
      </c>
      <c r="S390" s="113">
        <v>193284.37741652981</v>
      </c>
      <c r="U390" s="7" t="s">
        <v>7546</v>
      </c>
    </row>
    <row r="391" spans="1:21" ht="16.5" thickBot="1">
      <c r="A391" s="207" t="s">
        <v>10</v>
      </c>
      <c r="B391" s="208">
        <f t="shared" si="21"/>
        <v>150</v>
      </c>
      <c r="C391" s="208" t="s">
        <v>3</v>
      </c>
      <c r="D391" s="208">
        <f t="shared" si="22"/>
        <v>400</v>
      </c>
      <c r="E391" s="208" t="s">
        <v>3</v>
      </c>
      <c r="F391" s="209">
        <f t="shared" si="23"/>
        <v>2600</v>
      </c>
      <c r="G391" s="208" t="s">
        <v>3</v>
      </c>
      <c r="H391" s="208">
        <v>8</v>
      </c>
      <c r="I391" s="210" t="s">
        <v>531</v>
      </c>
      <c r="J391" s="103">
        <v>150</v>
      </c>
      <c r="K391" s="66">
        <v>400</v>
      </c>
      <c r="L391" s="66">
        <v>2600</v>
      </c>
      <c r="M391" s="282">
        <v>59.225584369048264</v>
      </c>
      <c r="N391" s="78">
        <v>17892.646199999999</v>
      </c>
      <c r="O391" s="113">
        <v>130809.87165732229</v>
      </c>
      <c r="P391" s="113">
        <v>155060.89560241619</v>
      </c>
      <c r="Q391" s="110">
        <v>41297.115504925154</v>
      </c>
      <c r="R391" s="113">
        <v>172106.98716224745</v>
      </c>
      <c r="S391" s="113">
        <v>196358.01110734133</v>
      </c>
      <c r="U391" s="7" t="s">
        <v>7547</v>
      </c>
    </row>
    <row r="392" spans="1:21" ht="16.5" thickBot="1">
      <c r="A392" s="207" t="s">
        <v>10</v>
      </c>
      <c r="B392" s="211">
        <f t="shared" si="21"/>
        <v>150</v>
      </c>
      <c r="C392" s="211" t="s">
        <v>3</v>
      </c>
      <c r="D392" s="211">
        <f t="shared" si="22"/>
        <v>400</v>
      </c>
      <c r="E392" s="211" t="s">
        <v>3</v>
      </c>
      <c r="F392" s="209">
        <f t="shared" si="23"/>
        <v>2650</v>
      </c>
      <c r="G392" s="211" t="s">
        <v>3</v>
      </c>
      <c r="H392" s="208">
        <v>8</v>
      </c>
      <c r="I392" s="210" t="s">
        <v>531</v>
      </c>
      <c r="J392" s="103">
        <v>150</v>
      </c>
      <c r="K392" s="66">
        <v>400</v>
      </c>
      <c r="L392" s="66">
        <v>2650</v>
      </c>
      <c r="M392" s="282">
        <v>60.219226061951588</v>
      </c>
      <c r="N392" s="78">
        <v>18290.260559999999</v>
      </c>
      <c r="O392" s="113">
        <v>132351.09728440561</v>
      </c>
      <c r="P392" s="113">
        <v>156992.0613396269</v>
      </c>
      <c r="Q392" s="110">
        <v>42205.056592438901</v>
      </c>
      <c r="R392" s="113">
        <v>174556.1538768445</v>
      </c>
      <c r="S392" s="113">
        <v>199197.1179320658</v>
      </c>
      <c r="U392" s="7" t="s">
        <v>7548</v>
      </c>
    </row>
    <row r="393" spans="1:21" ht="16.5" thickBot="1">
      <c r="A393" s="207" t="s">
        <v>10</v>
      </c>
      <c r="B393" s="211">
        <f t="shared" si="21"/>
        <v>150</v>
      </c>
      <c r="C393" s="211" t="s">
        <v>3</v>
      </c>
      <c r="D393" s="211">
        <f t="shared" si="22"/>
        <v>400</v>
      </c>
      <c r="E393" s="211" t="s">
        <v>3</v>
      </c>
      <c r="F393" s="209">
        <f t="shared" si="23"/>
        <v>2700</v>
      </c>
      <c r="G393" s="211" t="s">
        <v>3</v>
      </c>
      <c r="H393" s="208">
        <v>8</v>
      </c>
      <c r="I393" s="210" t="s">
        <v>531</v>
      </c>
      <c r="J393" s="103">
        <v>150</v>
      </c>
      <c r="K393" s="66">
        <v>400</v>
      </c>
      <c r="L393" s="66">
        <v>2700</v>
      </c>
      <c r="M393" s="282">
        <v>61.366823754854899</v>
      </c>
      <c r="N393" s="78">
        <v>18687.874919999998</v>
      </c>
      <c r="O393" s="113">
        <v>134023.60874520137</v>
      </c>
      <c r="P393" s="113">
        <v>159057.71697633472</v>
      </c>
      <c r="Q393" s="110">
        <v>42861.66369519764</v>
      </c>
      <c r="R393" s="113">
        <v>176885.27244039901</v>
      </c>
      <c r="S393" s="113">
        <v>201919.38067153236</v>
      </c>
      <c r="U393" s="7" t="s">
        <v>7549</v>
      </c>
    </row>
    <row r="394" spans="1:21" ht="16.5" thickBot="1">
      <c r="A394" s="207" t="s">
        <v>10</v>
      </c>
      <c r="B394" s="211">
        <f t="shared" si="21"/>
        <v>150</v>
      </c>
      <c r="C394" s="211" t="s">
        <v>3</v>
      </c>
      <c r="D394" s="211">
        <f t="shared" si="22"/>
        <v>400</v>
      </c>
      <c r="E394" s="211" t="s">
        <v>3</v>
      </c>
      <c r="F394" s="209">
        <f t="shared" si="23"/>
        <v>2750</v>
      </c>
      <c r="G394" s="211" t="s">
        <v>3</v>
      </c>
      <c r="H394" s="208">
        <v>8</v>
      </c>
      <c r="I394" s="210" t="s">
        <v>531</v>
      </c>
      <c r="J394" s="103">
        <v>150</v>
      </c>
      <c r="K394" s="66">
        <v>400</v>
      </c>
      <c r="L394" s="66">
        <v>2750</v>
      </c>
      <c r="M394" s="282">
        <v>62.341721447758218</v>
      </c>
      <c r="N394" s="78">
        <v>19085.489279999998</v>
      </c>
      <c r="O394" s="113">
        <v>135654.77148934561</v>
      </c>
      <c r="P394" s="113">
        <v>161081.01317047287</v>
      </c>
      <c r="Q394" s="110">
        <v>43518.270644927608</v>
      </c>
      <c r="R394" s="113">
        <v>179173.04213427322</v>
      </c>
      <c r="S394" s="113">
        <v>204599.28381540047</v>
      </c>
      <c r="U394" s="7" t="s">
        <v>7550</v>
      </c>
    </row>
    <row r="395" spans="1:21" ht="16.5" thickBot="1">
      <c r="A395" s="207" t="s">
        <v>10</v>
      </c>
      <c r="B395" s="211">
        <f t="shared" si="21"/>
        <v>150</v>
      </c>
      <c r="C395" s="211" t="s">
        <v>3</v>
      </c>
      <c r="D395" s="211">
        <f t="shared" si="22"/>
        <v>400</v>
      </c>
      <c r="E395" s="211" t="s">
        <v>3</v>
      </c>
      <c r="F395" s="209">
        <f t="shared" si="23"/>
        <v>2800</v>
      </c>
      <c r="G395" s="211" t="s">
        <v>3</v>
      </c>
      <c r="H395" s="208">
        <v>8</v>
      </c>
      <c r="I395" s="210" t="s">
        <v>531</v>
      </c>
      <c r="J395" s="103">
        <v>150</v>
      </c>
      <c r="K395" s="66">
        <v>400</v>
      </c>
      <c r="L395" s="66">
        <v>2800</v>
      </c>
      <c r="M395" s="282">
        <v>63.335363140661535</v>
      </c>
      <c r="N395" s="78">
        <v>19483.103640000001</v>
      </c>
      <c r="O395" s="113">
        <v>137194.64096020954</v>
      </c>
      <c r="P395" s="113">
        <v>163010.78591131925</v>
      </c>
      <c r="Q395" s="110">
        <v>44426.211885470118</v>
      </c>
      <c r="R395" s="113">
        <v>181620.85284567965</v>
      </c>
      <c r="S395" s="113">
        <v>207436.99779678936</v>
      </c>
      <c r="U395" s="7" t="s">
        <v>7551</v>
      </c>
    </row>
    <row r="396" spans="1:21" ht="16.5" thickBot="1">
      <c r="A396" s="207" t="s">
        <v>10</v>
      </c>
      <c r="B396" s="211">
        <f t="shared" si="21"/>
        <v>150</v>
      </c>
      <c r="C396" s="211" t="s">
        <v>3</v>
      </c>
      <c r="D396" s="211">
        <f t="shared" si="22"/>
        <v>400</v>
      </c>
      <c r="E396" s="211" t="s">
        <v>3</v>
      </c>
      <c r="F396" s="209">
        <f t="shared" si="23"/>
        <v>2850</v>
      </c>
      <c r="G396" s="211" t="s">
        <v>3</v>
      </c>
      <c r="H396" s="208">
        <v>8</v>
      </c>
      <c r="I396" s="210" t="s">
        <v>531</v>
      </c>
      <c r="J396" s="103">
        <v>150</v>
      </c>
      <c r="K396" s="66">
        <v>400</v>
      </c>
      <c r="L396" s="66">
        <v>2850</v>
      </c>
      <c r="M396" s="282">
        <v>65.25846083356484</v>
      </c>
      <c r="N396" s="78">
        <v>19880.717999999997</v>
      </c>
      <c r="O396" s="113">
        <v>138734.45918174001</v>
      </c>
      <c r="P396" s="113">
        <v>164940.50485643354</v>
      </c>
      <c r="Q396" s="110">
        <v>45082.818835200087</v>
      </c>
      <c r="R396" s="113">
        <v>183817.27801694011</v>
      </c>
      <c r="S396" s="113">
        <v>210023.32369163365</v>
      </c>
      <c r="U396" s="7" t="s">
        <v>7552</v>
      </c>
    </row>
    <row r="397" spans="1:21" ht="16.5" thickBot="1">
      <c r="A397" s="207" t="s">
        <v>10</v>
      </c>
      <c r="B397" s="211">
        <f t="shared" si="21"/>
        <v>150</v>
      </c>
      <c r="C397" s="211" t="s">
        <v>3</v>
      </c>
      <c r="D397" s="211">
        <f t="shared" si="22"/>
        <v>400</v>
      </c>
      <c r="E397" s="211" t="s">
        <v>3</v>
      </c>
      <c r="F397" s="209">
        <f t="shared" si="23"/>
        <v>2900</v>
      </c>
      <c r="G397" s="211" t="s">
        <v>3</v>
      </c>
      <c r="H397" s="208">
        <v>8</v>
      </c>
      <c r="I397" s="210" t="s">
        <v>531</v>
      </c>
      <c r="J397" s="103">
        <v>150</v>
      </c>
      <c r="K397" s="66">
        <v>400</v>
      </c>
      <c r="L397" s="66">
        <v>2900</v>
      </c>
      <c r="M397" s="282">
        <v>66.252102526468164</v>
      </c>
      <c r="N397" s="78">
        <v>20278.332359999997</v>
      </c>
      <c r="O397" s="113">
        <v>140274.22589378816</v>
      </c>
      <c r="P397" s="113">
        <v>166870.169863499</v>
      </c>
      <c r="Q397" s="110">
        <v>45990.760075742597</v>
      </c>
      <c r="R397" s="113">
        <v>186264.98596953077</v>
      </c>
      <c r="S397" s="113">
        <v>212860.92993924161</v>
      </c>
      <c r="U397" s="7" t="s">
        <v>7553</v>
      </c>
    </row>
    <row r="398" spans="1:21" ht="16.5" thickBot="1">
      <c r="A398" s="207" t="s">
        <v>10</v>
      </c>
      <c r="B398" s="211">
        <f t="shared" si="21"/>
        <v>150</v>
      </c>
      <c r="C398" s="211" t="s">
        <v>3</v>
      </c>
      <c r="D398" s="211">
        <f t="shared" si="22"/>
        <v>400</v>
      </c>
      <c r="E398" s="211" t="s">
        <v>3</v>
      </c>
      <c r="F398" s="209">
        <f t="shared" si="23"/>
        <v>2950</v>
      </c>
      <c r="G398" s="211" t="s">
        <v>3</v>
      </c>
      <c r="H398" s="208">
        <v>8</v>
      </c>
      <c r="I398" s="210" t="s">
        <v>531</v>
      </c>
      <c r="J398" s="103">
        <v>150</v>
      </c>
      <c r="K398" s="66">
        <v>400</v>
      </c>
      <c r="L398" s="66">
        <v>2950</v>
      </c>
      <c r="M398" s="282">
        <v>67.227000219371476</v>
      </c>
      <c r="N398" s="78">
        <v>20675.94672</v>
      </c>
      <c r="O398" s="113">
        <v>141813.9412264284</v>
      </c>
      <c r="P398" s="113">
        <v>168799.78121714911</v>
      </c>
      <c r="Q398" s="110">
        <v>46647.367025472573</v>
      </c>
      <c r="R398" s="113">
        <v>188461.30825190098</v>
      </c>
      <c r="S398" s="113">
        <v>215447.14824262168</v>
      </c>
      <c r="U398" s="7" t="s">
        <v>7554</v>
      </c>
    </row>
    <row r="399" spans="1:21" ht="16.5" thickBot="1">
      <c r="A399" s="207" t="s">
        <v>10</v>
      </c>
      <c r="B399" s="211">
        <f t="shared" si="21"/>
        <v>150</v>
      </c>
      <c r="C399" s="211" t="s">
        <v>3</v>
      </c>
      <c r="D399" s="211">
        <f t="shared" si="22"/>
        <v>400</v>
      </c>
      <c r="E399" s="211" t="s">
        <v>3</v>
      </c>
      <c r="F399" s="209">
        <f t="shared" si="23"/>
        <v>3000</v>
      </c>
      <c r="G399" s="211" t="s">
        <v>3</v>
      </c>
      <c r="H399" s="208">
        <v>8</v>
      </c>
      <c r="I399" s="210" t="s">
        <v>531</v>
      </c>
      <c r="J399" s="125">
        <v>150</v>
      </c>
      <c r="K399" s="126">
        <v>400</v>
      </c>
      <c r="L399" s="126">
        <v>3000</v>
      </c>
      <c r="M399" s="1838">
        <v>68.220641912274786</v>
      </c>
      <c r="N399" s="127">
        <v>21073.561079999996</v>
      </c>
      <c r="O399" s="128">
        <v>145257.98904662943</v>
      </c>
      <c r="P399" s="128">
        <v>172682.4554480394</v>
      </c>
      <c r="Q399" s="136">
        <v>47555.308266015076</v>
      </c>
      <c r="R399" s="128">
        <v>192813.29731264451</v>
      </c>
      <c r="S399" s="128">
        <v>220237.76371405448</v>
      </c>
      <c r="U399" s="7" t="s">
        <v>7555</v>
      </c>
    </row>
  </sheetData>
  <mergeCells count="26">
    <mergeCell ref="A302:S302"/>
    <mergeCell ref="A303:S303"/>
    <mergeCell ref="A351:S351"/>
    <mergeCell ref="A352:S352"/>
    <mergeCell ref="Q4:Q5"/>
    <mergeCell ref="R4:R5"/>
    <mergeCell ref="S4:S5"/>
    <mergeCell ref="O6:S6"/>
    <mergeCell ref="A4:I6"/>
    <mergeCell ref="J4:M5"/>
    <mergeCell ref="N4:N6"/>
    <mergeCell ref="O4:O5"/>
    <mergeCell ref="P4:P5"/>
    <mergeCell ref="A9:S9"/>
    <mergeCell ref="A7:S7"/>
    <mergeCell ref="A8:S8"/>
    <mergeCell ref="A253:S253"/>
    <mergeCell ref="A254:S254"/>
    <mergeCell ref="A57:S57"/>
    <mergeCell ref="A58:S58"/>
    <mergeCell ref="A106:S106"/>
    <mergeCell ref="A107:S107"/>
    <mergeCell ref="A155:S155"/>
    <mergeCell ref="A156:S156"/>
    <mergeCell ref="A204:S204"/>
    <mergeCell ref="A205:S205"/>
  </mergeCells>
  <hyperlinks>
    <hyperlink ref="A1:I1" location="Главная!A1" display="Вернуться на главную страницу" xr:uid="{00000000-0004-0000-0E00-000000000000}"/>
    <hyperlink ref="A2" location="'Калькулятор теплоотдач ВКВ'!R1C1" display="Вернуться Калькулятор теплоотдач ВКВ" xr:uid="{00000000-0004-0000-0E00-000001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7">
    <tabColor rgb="FFFFC000"/>
  </sheetPr>
  <dimension ref="A1:U264"/>
  <sheetViews>
    <sheetView zoomScale="70" zoomScaleNormal="70" workbookViewId="0">
      <pane ySplit="6" topLeftCell="A7" activePane="bottomLeft" state="frozen"/>
      <selection pane="bottomLeft" activeCell="AC6" sqref="AC6"/>
    </sheetView>
  </sheetViews>
  <sheetFormatPr defaultRowHeight="15"/>
  <cols>
    <col min="1" max="1" width="3.7109375" style="65" customWidth="1"/>
    <col min="2" max="2" width="6" style="65" customWidth="1"/>
    <col min="3" max="3" width="3" style="65" customWidth="1"/>
    <col min="4" max="4" width="6" style="65" customWidth="1"/>
    <col min="5" max="5" width="3" style="65" customWidth="1"/>
    <col min="6" max="6" width="7.7109375" style="65" customWidth="1"/>
    <col min="7" max="7" width="3" style="65" customWidth="1"/>
    <col min="8" max="8" width="6" style="65" customWidth="1"/>
    <col min="9" max="9" width="4.5703125" style="65" customWidth="1"/>
    <col min="10" max="12" width="11.28515625" style="65" customWidth="1"/>
    <col min="13" max="13" width="15.5703125" style="65" customWidth="1"/>
    <col min="14" max="14" width="19.140625" style="65" customWidth="1"/>
    <col min="15" max="16" width="27.7109375" style="65" customWidth="1"/>
    <col min="17" max="17" width="26.28515625" style="65" customWidth="1"/>
    <col min="18" max="19" width="27.7109375" style="65" customWidth="1"/>
    <col min="21" max="21" width="22.42578125" customWidth="1"/>
  </cols>
  <sheetData>
    <row r="1" spans="1:21" s="65" customFormat="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s="65" customFormat="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137</v>
      </c>
      <c r="P4" s="3008" t="s">
        <v>138</v>
      </c>
      <c r="Q4" s="3045" t="s">
        <v>123</v>
      </c>
      <c r="R4" s="3020" t="s">
        <v>139</v>
      </c>
      <c r="S4" s="2981" t="s">
        <v>140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s="65" customFormat="1" ht="22.5" customHeight="1" thickBot="1">
      <c r="A7" s="2968" t="s">
        <v>472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s="65" customFormat="1" ht="22.5" customHeight="1" thickBot="1">
      <c r="A8" s="2971" t="s">
        <v>62</v>
      </c>
      <c r="B8" s="2972"/>
      <c r="C8" s="2972"/>
      <c r="D8" s="2972"/>
      <c r="E8" s="2972"/>
      <c r="F8" s="2972"/>
      <c r="G8" s="2972"/>
      <c r="H8" s="2972"/>
      <c r="I8" s="2972"/>
      <c r="J8" s="2972"/>
      <c r="K8" s="2972"/>
      <c r="L8" s="2972"/>
      <c r="M8" s="2972"/>
      <c r="N8" s="2972"/>
      <c r="O8" s="2972"/>
      <c r="P8" s="2972"/>
      <c r="Q8" s="2972"/>
      <c r="R8" s="2972"/>
      <c r="S8" s="2973"/>
    </row>
    <row r="9" spans="1:21" s="65" customFormat="1" ht="16.5" customHeight="1" thickBot="1">
      <c r="A9" s="2974" t="s">
        <v>115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5"/>
      <c r="R9" s="3022"/>
      <c r="S9" s="3023"/>
    </row>
    <row r="10" spans="1:21" s="65" customFormat="1" ht="16.5" customHeight="1" thickBot="1">
      <c r="A10" s="38" t="s">
        <v>31</v>
      </c>
      <c r="B10" s="39">
        <f>J10</f>
        <v>55</v>
      </c>
      <c r="C10" s="39" t="s">
        <v>3</v>
      </c>
      <c r="D10" s="39">
        <f>K10</f>
        <v>160</v>
      </c>
      <c r="E10" s="39" t="s">
        <v>3</v>
      </c>
      <c r="F10" s="101">
        <f>L10</f>
        <v>600</v>
      </c>
      <c r="G10" s="39" t="s">
        <v>3</v>
      </c>
      <c r="H10" s="39">
        <v>2</v>
      </c>
      <c r="I10" s="40" t="s">
        <v>40</v>
      </c>
      <c r="J10" s="146">
        <v>55</v>
      </c>
      <c r="K10" s="138">
        <v>160</v>
      </c>
      <c r="L10" s="138">
        <v>600</v>
      </c>
      <c r="M10" s="147">
        <v>3.4224419183571433</v>
      </c>
      <c r="N10" s="123">
        <v>28.962994500000004</v>
      </c>
      <c r="O10" s="153">
        <v>9795.5304055669822</v>
      </c>
      <c r="P10" s="148">
        <v>11320.640175520213</v>
      </c>
      <c r="Q10" s="253">
        <v>3990.9684643753531</v>
      </c>
      <c r="R10" s="256">
        <v>13786.498869942336</v>
      </c>
      <c r="S10" s="257">
        <v>15311.608639895567</v>
      </c>
      <c r="U10" s="7" t="s">
        <v>563</v>
      </c>
    </row>
    <row r="11" spans="1:21" s="65" customFormat="1" ht="16.5" customHeight="1" thickBot="1">
      <c r="A11" s="41" t="s">
        <v>31</v>
      </c>
      <c r="B11" s="42">
        <f t="shared" ref="B11:B58" si="0">J11</f>
        <v>55</v>
      </c>
      <c r="C11" s="42" t="s">
        <v>3</v>
      </c>
      <c r="D11" s="42">
        <f t="shared" ref="D11:D58" si="1">K11</f>
        <v>160</v>
      </c>
      <c r="E11" s="42" t="s">
        <v>3</v>
      </c>
      <c r="F11" s="101">
        <f t="shared" ref="F11:F58" si="2">L11</f>
        <v>650</v>
      </c>
      <c r="G11" s="42" t="s">
        <v>3</v>
      </c>
      <c r="H11" s="39">
        <v>2</v>
      </c>
      <c r="I11" s="40" t="s">
        <v>40</v>
      </c>
      <c r="J11" s="149">
        <v>55</v>
      </c>
      <c r="K11" s="104">
        <v>160</v>
      </c>
      <c r="L11" s="104">
        <v>650</v>
      </c>
      <c r="M11" s="150">
        <v>3.6575850397428571</v>
      </c>
      <c r="N11" s="78">
        <v>34.755593400000002</v>
      </c>
      <c r="O11" s="109">
        <v>10201.443795923999</v>
      </c>
      <c r="P11" s="111">
        <v>11818.094761059943</v>
      </c>
      <c r="Q11" s="254">
        <v>4319.749235958765</v>
      </c>
      <c r="R11" s="258">
        <v>14521.193031882764</v>
      </c>
      <c r="S11" s="259">
        <v>16137.843997018708</v>
      </c>
      <c r="U11" s="7" t="s">
        <v>564</v>
      </c>
    </row>
    <row r="12" spans="1:21" s="65" customFormat="1" ht="16.5" customHeight="1" thickBot="1">
      <c r="A12" s="41" t="s">
        <v>31</v>
      </c>
      <c r="B12" s="42">
        <f t="shared" si="0"/>
        <v>55</v>
      </c>
      <c r="C12" s="42" t="s">
        <v>3</v>
      </c>
      <c r="D12" s="42">
        <f t="shared" si="1"/>
        <v>160</v>
      </c>
      <c r="E12" s="42" t="s">
        <v>3</v>
      </c>
      <c r="F12" s="101">
        <f t="shared" si="2"/>
        <v>700</v>
      </c>
      <c r="G12" s="42" t="s">
        <v>3</v>
      </c>
      <c r="H12" s="39">
        <v>2</v>
      </c>
      <c r="I12" s="40" t="s">
        <v>40</v>
      </c>
      <c r="J12" s="149">
        <v>55</v>
      </c>
      <c r="K12" s="104">
        <v>160</v>
      </c>
      <c r="L12" s="104">
        <v>700</v>
      </c>
      <c r="M12" s="150">
        <v>3.8927281611285709</v>
      </c>
      <c r="N12" s="78">
        <v>40.548192300000004</v>
      </c>
      <c r="O12" s="109">
        <v>10607.35703325225</v>
      </c>
      <c r="P12" s="111">
        <v>12315.549346599675</v>
      </c>
      <c r="Q12" s="254">
        <v>4648.5300075421756</v>
      </c>
      <c r="R12" s="258">
        <v>15255.887040794427</v>
      </c>
      <c r="S12" s="259">
        <v>16964.07935414185</v>
      </c>
      <c r="U12" s="7" t="s">
        <v>565</v>
      </c>
    </row>
    <row r="13" spans="1:21" s="65" customFormat="1" ht="16.5" customHeight="1" thickBot="1">
      <c r="A13" s="41" t="s">
        <v>31</v>
      </c>
      <c r="B13" s="42">
        <f t="shared" si="0"/>
        <v>55</v>
      </c>
      <c r="C13" s="42" t="s">
        <v>3</v>
      </c>
      <c r="D13" s="42">
        <f t="shared" si="1"/>
        <v>160</v>
      </c>
      <c r="E13" s="42" t="s">
        <v>3</v>
      </c>
      <c r="F13" s="101">
        <f t="shared" si="2"/>
        <v>750</v>
      </c>
      <c r="G13" s="42" t="s">
        <v>3</v>
      </c>
      <c r="H13" s="39">
        <v>2</v>
      </c>
      <c r="I13" s="40" t="s">
        <v>40</v>
      </c>
      <c r="J13" s="149">
        <v>55</v>
      </c>
      <c r="K13" s="104">
        <v>160</v>
      </c>
      <c r="L13" s="104">
        <v>750</v>
      </c>
      <c r="M13" s="150">
        <v>4.1278712825142865</v>
      </c>
      <c r="N13" s="78">
        <v>46.340791200000012</v>
      </c>
      <c r="O13" s="109">
        <v>11013.270423609267</v>
      </c>
      <c r="P13" s="111">
        <v>12813.003932139407</v>
      </c>
      <c r="Q13" s="254">
        <v>4977.3109321543525</v>
      </c>
      <c r="R13" s="258">
        <v>15990.581355763619</v>
      </c>
      <c r="S13" s="259">
        <v>17790.314864293759</v>
      </c>
      <c r="U13" s="7" t="s">
        <v>566</v>
      </c>
    </row>
    <row r="14" spans="1:21" s="65" customFormat="1" ht="16.5" customHeight="1" thickBot="1">
      <c r="A14" s="41" t="s">
        <v>31</v>
      </c>
      <c r="B14" s="42">
        <f t="shared" si="0"/>
        <v>55</v>
      </c>
      <c r="C14" s="42" t="s">
        <v>3</v>
      </c>
      <c r="D14" s="42">
        <f t="shared" si="1"/>
        <v>160</v>
      </c>
      <c r="E14" s="42" t="s">
        <v>3</v>
      </c>
      <c r="F14" s="101">
        <f t="shared" si="2"/>
        <v>800</v>
      </c>
      <c r="G14" s="42" t="s">
        <v>3</v>
      </c>
      <c r="H14" s="39">
        <v>2</v>
      </c>
      <c r="I14" s="40" t="s">
        <v>40</v>
      </c>
      <c r="J14" s="149">
        <v>55</v>
      </c>
      <c r="K14" s="104">
        <v>160</v>
      </c>
      <c r="L14" s="104">
        <v>800</v>
      </c>
      <c r="M14" s="150">
        <v>4.3630225253100008</v>
      </c>
      <c r="N14" s="78">
        <v>52.133390100000007</v>
      </c>
      <c r="O14" s="109">
        <v>11419.183660937517</v>
      </c>
      <c r="P14" s="111">
        <v>13310.4586707079</v>
      </c>
      <c r="Q14" s="254">
        <v>5306.0917037377631</v>
      </c>
      <c r="R14" s="258">
        <v>16725.275364675279</v>
      </c>
      <c r="S14" s="259">
        <v>18616.550374445662</v>
      </c>
      <c r="U14" s="7" t="s">
        <v>567</v>
      </c>
    </row>
    <row r="15" spans="1:21" s="65" customFormat="1" ht="16.5" customHeight="1" thickBot="1">
      <c r="A15" s="41" t="s">
        <v>31</v>
      </c>
      <c r="B15" s="42">
        <f t="shared" si="0"/>
        <v>55</v>
      </c>
      <c r="C15" s="42" t="s">
        <v>3</v>
      </c>
      <c r="D15" s="42">
        <f t="shared" si="1"/>
        <v>160</v>
      </c>
      <c r="E15" s="42" t="s">
        <v>3</v>
      </c>
      <c r="F15" s="101">
        <f t="shared" si="2"/>
        <v>850</v>
      </c>
      <c r="G15" s="42" t="s">
        <v>3</v>
      </c>
      <c r="H15" s="39">
        <v>2</v>
      </c>
      <c r="I15" s="40" t="s">
        <v>40</v>
      </c>
      <c r="J15" s="149">
        <v>55</v>
      </c>
      <c r="K15" s="104">
        <v>160</v>
      </c>
      <c r="L15" s="104">
        <v>850</v>
      </c>
      <c r="M15" s="150">
        <v>4.5981656466957146</v>
      </c>
      <c r="N15" s="78">
        <v>57.925989000000008</v>
      </c>
      <c r="O15" s="109">
        <v>11825.097051294533</v>
      </c>
      <c r="P15" s="111">
        <v>13807.913256247633</v>
      </c>
      <c r="Q15" s="254">
        <v>5634.8724753211745</v>
      </c>
      <c r="R15" s="258">
        <v>17459.969526615707</v>
      </c>
      <c r="S15" s="259">
        <v>19442.785731568809</v>
      </c>
      <c r="U15" s="7" t="s">
        <v>568</v>
      </c>
    </row>
    <row r="16" spans="1:21" s="65" customFormat="1" ht="16.5" customHeight="1" thickBot="1">
      <c r="A16" s="41" t="s">
        <v>31</v>
      </c>
      <c r="B16" s="42">
        <f t="shared" si="0"/>
        <v>55</v>
      </c>
      <c r="C16" s="42" t="s">
        <v>3</v>
      </c>
      <c r="D16" s="42">
        <f t="shared" si="1"/>
        <v>160</v>
      </c>
      <c r="E16" s="42" t="s">
        <v>3</v>
      </c>
      <c r="F16" s="101">
        <f t="shared" si="2"/>
        <v>900</v>
      </c>
      <c r="G16" s="42" t="s">
        <v>3</v>
      </c>
      <c r="H16" s="39">
        <v>2</v>
      </c>
      <c r="I16" s="40" t="s">
        <v>40</v>
      </c>
      <c r="J16" s="149">
        <v>55</v>
      </c>
      <c r="K16" s="104">
        <v>160</v>
      </c>
      <c r="L16" s="104">
        <v>900</v>
      </c>
      <c r="M16" s="150">
        <v>4.8333087680814302</v>
      </c>
      <c r="N16" s="78">
        <v>63.718587900000017</v>
      </c>
      <c r="O16" s="109">
        <v>12231.010288622785</v>
      </c>
      <c r="P16" s="111">
        <v>14305.367841787363</v>
      </c>
      <c r="Q16" s="254">
        <v>5963.6533999333515</v>
      </c>
      <c r="R16" s="258">
        <v>18194.663688556138</v>
      </c>
      <c r="S16" s="259">
        <v>20269.021241720715</v>
      </c>
      <c r="U16" s="7" t="s">
        <v>569</v>
      </c>
    </row>
    <row r="17" spans="1:21" s="65" customFormat="1" ht="16.5" customHeight="1" thickBot="1">
      <c r="A17" s="41" t="s">
        <v>31</v>
      </c>
      <c r="B17" s="42">
        <f t="shared" si="0"/>
        <v>55</v>
      </c>
      <c r="C17" s="42" t="s">
        <v>3</v>
      </c>
      <c r="D17" s="42">
        <f t="shared" si="1"/>
        <v>160</v>
      </c>
      <c r="E17" s="42" t="s">
        <v>3</v>
      </c>
      <c r="F17" s="101">
        <f t="shared" si="2"/>
        <v>950</v>
      </c>
      <c r="G17" s="42" t="s">
        <v>3</v>
      </c>
      <c r="H17" s="39">
        <v>2</v>
      </c>
      <c r="I17" s="40" t="s">
        <v>40</v>
      </c>
      <c r="J17" s="149">
        <v>55</v>
      </c>
      <c r="K17" s="104">
        <v>160</v>
      </c>
      <c r="L17" s="104">
        <v>950</v>
      </c>
      <c r="M17" s="150">
        <v>5.0684518894671431</v>
      </c>
      <c r="N17" s="78">
        <v>69.511186800000004</v>
      </c>
      <c r="O17" s="109">
        <v>12636.923678979801</v>
      </c>
      <c r="P17" s="111">
        <v>14802.822427327093</v>
      </c>
      <c r="Q17" s="254">
        <v>6292.4341715167629</v>
      </c>
      <c r="R17" s="258">
        <v>18929.357850496563</v>
      </c>
      <c r="S17" s="259">
        <v>21095.256598843858</v>
      </c>
      <c r="U17" s="7" t="s">
        <v>570</v>
      </c>
    </row>
    <row r="18" spans="1:21" s="65" customFormat="1" ht="16.5" customHeight="1" thickBot="1">
      <c r="A18" s="41" t="s">
        <v>31</v>
      </c>
      <c r="B18" s="42">
        <f t="shared" si="0"/>
        <v>55</v>
      </c>
      <c r="C18" s="42" t="s">
        <v>3</v>
      </c>
      <c r="D18" s="42">
        <f t="shared" si="1"/>
        <v>160</v>
      </c>
      <c r="E18" s="42" t="s">
        <v>3</v>
      </c>
      <c r="F18" s="101">
        <f t="shared" si="2"/>
        <v>1000</v>
      </c>
      <c r="G18" s="42" t="s">
        <v>3</v>
      </c>
      <c r="H18" s="39">
        <v>2</v>
      </c>
      <c r="I18" s="40" t="s">
        <v>40</v>
      </c>
      <c r="J18" s="149">
        <v>55</v>
      </c>
      <c r="K18" s="104">
        <v>160</v>
      </c>
      <c r="L18" s="104">
        <v>1000</v>
      </c>
      <c r="M18" s="150">
        <v>5.3035950108528578</v>
      </c>
      <c r="N18" s="78">
        <v>75.30378570000002</v>
      </c>
      <c r="O18" s="109">
        <v>13042.836916308052</v>
      </c>
      <c r="P18" s="111">
        <v>15300.277012866823</v>
      </c>
      <c r="Q18" s="254">
        <v>6621.2149431001744</v>
      </c>
      <c r="R18" s="258">
        <v>19664.051859408224</v>
      </c>
      <c r="S18" s="259">
        <v>21921.491955966998</v>
      </c>
      <c r="U18" s="7" t="s">
        <v>571</v>
      </c>
    </row>
    <row r="19" spans="1:21" s="65" customFormat="1" ht="16.5" customHeight="1" thickBot="1">
      <c r="A19" s="41" t="s">
        <v>31</v>
      </c>
      <c r="B19" s="42">
        <f t="shared" si="0"/>
        <v>55</v>
      </c>
      <c r="C19" s="42" t="s">
        <v>3</v>
      </c>
      <c r="D19" s="42">
        <f t="shared" si="1"/>
        <v>160</v>
      </c>
      <c r="E19" s="42" t="s">
        <v>3</v>
      </c>
      <c r="F19" s="101">
        <f t="shared" si="2"/>
        <v>1050</v>
      </c>
      <c r="G19" s="42" t="s">
        <v>3</v>
      </c>
      <c r="H19" s="39">
        <v>2</v>
      </c>
      <c r="I19" s="40" t="s">
        <v>40</v>
      </c>
      <c r="J19" s="149">
        <v>55</v>
      </c>
      <c r="K19" s="104">
        <v>160</v>
      </c>
      <c r="L19" s="104">
        <v>1050</v>
      </c>
      <c r="M19" s="150">
        <v>5.5387381322385707</v>
      </c>
      <c r="N19" s="78">
        <v>81.096384600000007</v>
      </c>
      <c r="O19" s="109">
        <v>13448.750153636302</v>
      </c>
      <c r="P19" s="111">
        <v>15797.731598406557</v>
      </c>
      <c r="Q19" s="254">
        <v>6949.9958677123495</v>
      </c>
      <c r="R19" s="258">
        <v>20398.746021348652</v>
      </c>
      <c r="S19" s="259">
        <v>22747.727466118908</v>
      </c>
      <c r="U19" s="7" t="s">
        <v>572</v>
      </c>
    </row>
    <row r="20" spans="1:21" s="65" customFormat="1" ht="16.5" customHeight="1" thickBot="1">
      <c r="A20" s="38" t="s">
        <v>31</v>
      </c>
      <c r="B20" s="39">
        <f t="shared" si="0"/>
        <v>55</v>
      </c>
      <c r="C20" s="39" t="s">
        <v>3</v>
      </c>
      <c r="D20" s="39">
        <f t="shared" si="1"/>
        <v>160</v>
      </c>
      <c r="E20" s="39" t="s">
        <v>3</v>
      </c>
      <c r="F20" s="101">
        <f t="shared" si="2"/>
        <v>1100</v>
      </c>
      <c r="G20" s="39" t="s">
        <v>3</v>
      </c>
      <c r="H20" s="39">
        <v>2</v>
      </c>
      <c r="I20" s="40" t="s">
        <v>40</v>
      </c>
      <c r="J20" s="149">
        <v>55</v>
      </c>
      <c r="K20" s="104">
        <v>160</v>
      </c>
      <c r="L20" s="104">
        <v>1100</v>
      </c>
      <c r="M20" s="150">
        <v>5.7738812536242872</v>
      </c>
      <c r="N20" s="78">
        <v>86.888983500000009</v>
      </c>
      <c r="O20" s="109">
        <v>13854.66354399332</v>
      </c>
      <c r="P20" s="111">
        <v>16295.186183946287</v>
      </c>
      <c r="Q20" s="254">
        <v>7278.776639295761</v>
      </c>
      <c r="R20" s="258">
        <v>21133.44018328908</v>
      </c>
      <c r="S20" s="259">
        <v>23573.962823242047</v>
      </c>
      <c r="U20" s="7" t="s">
        <v>573</v>
      </c>
    </row>
    <row r="21" spans="1:21" s="65" customFormat="1" ht="16.5" customHeight="1" thickBot="1">
      <c r="A21" s="41" t="s">
        <v>31</v>
      </c>
      <c r="B21" s="42">
        <f t="shared" si="0"/>
        <v>55</v>
      </c>
      <c r="C21" s="42" t="s">
        <v>3</v>
      </c>
      <c r="D21" s="42">
        <f t="shared" si="1"/>
        <v>160</v>
      </c>
      <c r="E21" s="42" t="s">
        <v>3</v>
      </c>
      <c r="F21" s="101">
        <f t="shared" si="2"/>
        <v>1150</v>
      </c>
      <c r="G21" s="42" t="s">
        <v>3</v>
      </c>
      <c r="H21" s="39">
        <v>2</v>
      </c>
      <c r="I21" s="40" t="s">
        <v>40</v>
      </c>
      <c r="J21" s="149">
        <v>55</v>
      </c>
      <c r="K21" s="104">
        <v>160</v>
      </c>
      <c r="L21" s="104">
        <v>1150</v>
      </c>
      <c r="M21" s="150">
        <v>6.0090243750100001</v>
      </c>
      <c r="N21" s="78">
        <v>92.681582400000025</v>
      </c>
      <c r="O21" s="109">
        <v>14260.57678132157</v>
      </c>
      <c r="P21" s="111">
        <v>16792.640769486017</v>
      </c>
      <c r="Q21" s="254">
        <v>7607.5574108791734</v>
      </c>
      <c r="R21" s="258">
        <v>21868.134192200741</v>
      </c>
      <c r="S21" s="259">
        <v>24400.198180365191</v>
      </c>
      <c r="U21" s="7" t="s">
        <v>574</v>
      </c>
    </row>
    <row r="22" spans="1:21" s="65" customFormat="1" ht="16.5" customHeight="1" thickBot="1">
      <c r="A22" s="41" t="s">
        <v>31</v>
      </c>
      <c r="B22" s="42">
        <f t="shared" si="0"/>
        <v>55</v>
      </c>
      <c r="C22" s="42" t="s">
        <v>3</v>
      </c>
      <c r="D22" s="42">
        <f t="shared" si="1"/>
        <v>160</v>
      </c>
      <c r="E22" s="42" t="s">
        <v>3</v>
      </c>
      <c r="F22" s="101">
        <f t="shared" si="2"/>
        <v>1200</v>
      </c>
      <c r="G22" s="42" t="s">
        <v>3</v>
      </c>
      <c r="H22" s="39">
        <v>2</v>
      </c>
      <c r="I22" s="40" t="s">
        <v>40</v>
      </c>
      <c r="J22" s="149">
        <v>55</v>
      </c>
      <c r="K22" s="104">
        <v>160</v>
      </c>
      <c r="L22" s="104">
        <v>1200</v>
      </c>
      <c r="M22" s="150">
        <v>6.3119674963957149</v>
      </c>
      <c r="N22" s="78">
        <v>98.474181300000012</v>
      </c>
      <c r="O22" s="109">
        <v>14713.990300373389</v>
      </c>
      <c r="P22" s="111">
        <v>17336.147678573703</v>
      </c>
      <c r="Q22" s="254">
        <v>7936.3383354913503</v>
      </c>
      <c r="R22" s="258">
        <v>22650.328635864738</v>
      </c>
      <c r="S22" s="259">
        <v>25272.486014065053</v>
      </c>
      <c r="U22" s="7" t="s">
        <v>575</v>
      </c>
    </row>
    <row r="23" spans="1:21" s="65" customFormat="1" ht="16.5" customHeight="1" thickBot="1">
      <c r="A23" s="41" t="s">
        <v>31</v>
      </c>
      <c r="B23" s="42">
        <f t="shared" si="0"/>
        <v>55</v>
      </c>
      <c r="C23" s="42" t="s">
        <v>3</v>
      </c>
      <c r="D23" s="42">
        <f t="shared" si="1"/>
        <v>160</v>
      </c>
      <c r="E23" s="42" t="s">
        <v>3</v>
      </c>
      <c r="F23" s="101">
        <f t="shared" si="2"/>
        <v>1250</v>
      </c>
      <c r="G23" s="42" t="s">
        <v>3</v>
      </c>
      <c r="H23" s="39">
        <v>2</v>
      </c>
      <c r="I23" s="40" t="s">
        <v>40</v>
      </c>
      <c r="J23" s="149">
        <v>55</v>
      </c>
      <c r="K23" s="104">
        <v>160</v>
      </c>
      <c r="L23" s="104">
        <v>1250</v>
      </c>
      <c r="M23" s="150">
        <v>6.5471106177814296</v>
      </c>
      <c r="N23" s="78">
        <v>104.26678020000001</v>
      </c>
      <c r="O23" s="109">
        <v>15119.903690730403</v>
      </c>
      <c r="P23" s="111">
        <v>17833.602264113433</v>
      </c>
      <c r="Q23" s="254">
        <v>8265.1191070747609</v>
      </c>
      <c r="R23" s="258">
        <v>23385.022797805163</v>
      </c>
      <c r="S23" s="259">
        <v>26098.721371188192</v>
      </c>
      <c r="U23" s="7" t="s">
        <v>576</v>
      </c>
    </row>
    <row r="24" spans="1:21" s="65" customFormat="1" ht="16.5" customHeight="1" thickBot="1">
      <c r="A24" s="41" t="s">
        <v>31</v>
      </c>
      <c r="B24" s="42">
        <f t="shared" si="0"/>
        <v>55</v>
      </c>
      <c r="C24" s="42" t="s">
        <v>3</v>
      </c>
      <c r="D24" s="42">
        <f t="shared" si="1"/>
        <v>160</v>
      </c>
      <c r="E24" s="42" t="s">
        <v>3</v>
      </c>
      <c r="F24" s="101">
        <f t="shared" si="2"/>
        <v>1300</v>
      </c>
      <c r="G24" s="42" t="s">
        <v>3</v>
      </c>
      <c r="H24" s="39">
        <v>2</v>
      </c>
      <c r="I24" s="40" t="s">
        <v>40</v>
      </c>
      <c r="J24" s="149">
        <v>55</v>
      </c>
      <c r="K24" s="104">
        <v>160</v>
      </c>
      <c r="L24" s="104">
        <v>1300</v>
      </c>
      <c r="M24" s="150">
        <v>6.7822537391671425</v>
      </c>
      <c r="N24" s="78">
        <v>110.05937910000002</v>
      </c>
      <c r="O24" s="109">
        <v>15525.816928058654</v>
      </c>
      <c r="P24" s="111">
        <v>18331.056849653163</v>
      </c>
      <c r="Q24" s="254">
        <v>8593.8998786581724</v>
      </c>
      <c r="R24" s="258">
        <v>24119.716806716824</v>
      </c>
      <c r="S24" s="259">
        <v>26924.956728311336</v>
      </c>
      <c r="U24" s="7" t="s">
        <v>577</v>
      </c>
    </row>
    <row r="25" spans="1:21" s="65" customFormat="1" ht="16.5" customHeight="1" thickBot="1">
      <c r="A25" s="41" t="s">
        <v>31</v>
      </c>
      <c r="B25" s="42">
        <f t="shared" si="0"/>
        <v>55</v>
      </c>
      <c r="C25" s="42" t="s">
        <v>3</v>
      </c>
      <c r="D25" s="42">
        <f t="shared" si="1"/>
        <v>160</v>
      </c>
      <c r="E25" s="42" t="s">
        <v>3</v>
      </c>
      <c r="F25" s="101">
        <f t="shared" si="2"/>
        <v>1350</v>
      </c>
      <c r="G25" s="42" t="s">
        <v>3</v>
      </c>
      <c r="H25" s="39">
        <v>2</v>
      </c>
      <c r="I25" s="40" t="s">
        <v>40</v>
      </c>
      <c r="J25" s="149">
        <v>55</v>
      </c>
      <c r="K25" s="104">
        <v>160</v>
      </c>
      <c r="L25" s="104">
        <v>1350</v>
      </c>
      <c r="M25" s="150">
        <v>7.0173968605528572</v>
      </c>
      <c r="N25" s="78">
        <v>115.85197800000002</v>
      </c>
      <c r="O25" s="109">
        <v>15931.730318415672</v>
      </c>
      <c r="P25" s="111">
        <v>18828.511435192893</v>
      </c>
      <c r="Q25" s="254">
        <v>8922.6808032703484</v>
      </c>
      <c r="R25" s="258">
        <v>24854.411121686018</v>
      </c>
      <c r="S25" s="259">
        <v>27751.192238463242</v>
      </c>
      <c r="U25" s="7" t="s">
        <v>578</v>
      </c>
    </row>
    <row r="26" spans="1:21" s="65" customFormat="1" ht="16.5" customHeight="1" thickBot="1">
      <c r="A26" s="41" t="s">
        <v>31</v>
      </c>
      <c r="B26" s="42">
        <f t="shared" si="0"/>
        <v>55</v>
      </c>
      <c r="C26" s="42" t="s">
        <v>3</v>
      </c>
      <c r="D26" s="42">
        <f t="shared" si="1"/>
        <v>160</v>
      </c>
      <c r="E26" s="42" t="s">
        <v>3</v>
      </c>
      <c r="F26" s="101">
        <f t="shared" si="2"/>
        <v>1400</v>
      </c>
      <c r="G26" s="42" t="s">
        <v>3</v>
      </c>
      <c r="H26" s="39">
        <v>2</v>
      </c>
      <c r="I26" s="40" t="s">
        <v>40</v>
      </c>
      <c r="J26" s="149">
        <v>55</v>
      </c>
      <c r="K26" s="104">
        <v>160</v>
      </c>
      <c r="L26" s="104">
        <v>1400</v>
      </c>
      <c r="M26" s="150">
        <v>7.2525399819385719</v>
      </c>
      <c r="N26" s="78">
        <v>121.64457690000002</v>
      </c>
      <c r="O26" s="109">
        <v>16337.643555743922</v>
      </c>
      <c r="P26" s="111">
        <v>19325.966020732623</v>
      </c>
      <c r="Q26" s="254">
        <v>9251.4615748537599</v>
      </c>
      <c r="R26" s="258">
        <v>25589.10513059768</v>
      </c>
      <c r="S26" s="259">
        <v>28577.427595586385</v>
      </c>
      <c r="U26" s="7" t="s">
        <v>579</v>
      </c>
    </row>
    <row r="27" spans="1:21" s="65" customFormat="1" ht="16.5" customHeight="1" thickBot="1">
      <c r="A27" s="41" t="s">
        <v>31</v>
      </c>
      <c r="B27" s="42">
        <f t="shared" si="0"/>
        <v>55</v>
      </c>
      <c r="C27" s="42" t="s">
        <v>3</v>
      </c>
      <c r="D27" s="42">
        <f t="shared" si="1"/>
        <v>160</v>
      </c>
      <c r="E27" s="42" t="s">
        <v>3</v>
      </c>
      <c r="F27" s="101">
        <f t="shared" si="2"/>
        <v>1450</v>
      </c>
      <c r="G27" s="42" t="s">
        <v>3</v>
      </c>
      <c r="H27" s="39">
        <v>2</v>
      </c>
      <c r="I27" s="40" t="s">
        <v>40</v>
      </c>
      <c r="J27" s="149">
        <v>55</v>
      </c>
      <c r="K27" s="104">
        <v>160</v>
      </c>
      <c r="L27" s="104">
        <v>1450</v>
      </c>
      <c r="M27" s="150">
        <v>7.4876831033242865</v>
      </c>
      <c r="N27" s="78">
        <v>127.43717580000003</v>
      </c>
      <c r="O27" s="109">
        <v>16743.55694610094</v>
      </c>
      <c r="P27" s="111">
        <v>19823.420606272353</v>
      </c>
      <c r="Q27" s="254">
        <v>9580.2423464371714</v>
      </c>
      <c r="R27" s="258">
        <v>26323.799292538111</v>
      </c>
      <c r="S27" s="259">
        <v>29403.662952709525</v>
      </c>
      <c r="U27" s="7" t="s">
        <v>580</v>
      </c>
    </row>
    <row r="28" spans="1:21" s="65" customFormat="1" ht="16.5" customHeight="1" thickBot="1">
      <c r="A28" s="41" t="s">
        <v>31</v>
      </c>
      <c r="B28" s="42">
        <f t="shared" si="0"/>
        <v>55</v>
      </c>
      <c r="C28" s="42" t="s">
        <v>3</v>
      </c>
      <c r="D28" s="42">
        <f t="shared" si="1"/>
        <v>160</v>
      </c>
      <c r="E28" s="42" t="s">
        <v>3</v>
      </c>
      <c r="F28" s="101">
        <f t="shared" si="2"/>
        <v>1500</v>
      </c>
      <c r="G28" s="42" t="s">
        <v>3</v>
      </c>
      <c r="H28" s="39">
        <v>2</v>
      </c>
      <c r="I28" s="40" t="s">
        <v>40</v>
      </c>
      <c r="J28" s="149">
        <v>55</v>
      </c>
      <c r="K28" s="104">
        <v>160</v>
      </c>
      <c r="L28" s="104">
        <v>1500</v>
      </c>
      <c r="M28" s="150">
        <v>7.7918129767100002</v>
      </c>
      <c r="N28" s="78">
        <v>133.22977470000001</v>
      </c>
      <c r="O28" s="109">
        <v>17708.055169773404</v>
      </c>
      <c r="P28" s="111">
        <v>20784.250730444775</v>
      </c>
      <c r="Q28" s="254">
        <v>9909.0231180205828</v>
      </c>
      <c r="R28" s="258">
        <v>27617.078287793986</v>
      </c>
      <c r="S28" s="259">
        <v>30693.27384846536</v>
      </c>
      <c r="U28" s="7" t="s">
        <v>581</v>
      </c>
    </row>
    <row r="29" spans="1:21" s="65" customFormat="1" ht="16.5" customHeight="1" thickBot="1">
      <c r="A29" s="41" t="s">
        <v>31</v>
      </c>
      <c r="B29" s="42">
        <f t="shared" si="0"/>
        <v>55</v>
      </c>
      <c r="C29" s="42" t="s">
        <v>3</v>
      </c>
      <c r="D29" s="42">
        <f t="shared" si="1"/>
        <v>160</v>
      </c>
      <c r="E29" s="42" t="s">
        <v>3</v>
      </c>
      <c r="F29" s="101">
        <f t="shared" si="2"/>
        <v>1550</v>
      </c>
      <c r="G29" s="42" t="s">
        <v>3</v>
      </c>
      <c r="H29" s="39">
        <v>2</v>
      </c>
      <c r="I29" s="40" t="s">
        <v>40</v>
      </c>
      <c r="J29" s="149">
        <v>55</v>
      </c>
      <c r="K29" s="104">
        <v>160</v>
      </c>
      <c r="L29" s="104">
        <v>1550</v>
      </c>
      <c r="M29" s="150">
        <v>8.0269560980957149</v>
      </c>
      <c r="N29" s="78">
        <v>139.02237360000001</v>
      </c>
      <c r="O29" s="109">
        <v>18113.968560130419</v>
      </c>
      <c r="P29" s="111">
        <v>21281.705315984505</v>
      </c>
      <c r="Q29" s="254">
        <v>10237.804042632759</v>
      </c>
      <c r="R29" s="258">
        <v>28351.77260276318</v>
      </c>
      <c r="S29" s="259">
        <v>31519.509358617266</v>
      </c>
      <c r="U29" s="7" t="s">
        <v>582</v>
      </c>
    </row>
    <row r="30" spans="1:21" s="65" customFormat="1" ht="16.5" customHeight="1" thickBot="1">
      <c r="A30" s="38" t="s">
        <v>31</v>
      </c>
      <c r="B30" s="39">
        <f t="shared" si="0"/>
        <v>55</v>
      </c>
      <c r="C30" s="39" t="s">
        <v>3</v>
      </c>
      <c r="D30" s="39">
        <f t="shared" si="1"/>
        <v>160</v>
      </c>
      <c r="E30" s="39" t="s">
        <v>3</v>
      </c>
      <c r="F30" s="101">
        <f t="shared" si="2"/>
        <v>1600</v>
      </c>
      <c r="G30" s="39" t="s">
        <v>3</v>
      </c>
      <c r="H30" s="39">
        <v>2</v>
      </c>
      <c r="I30" s="40" t="s">
        <v>40</v>
      </c>
      <c r="J30" s="149">
        <v>55</v>
      </c>
      <c r="K30" s="104">
        <v>160</v>
      </c>
      <c r="L30" s="104">
        <v>1600</v>
      </c>
      <c r="M30" s="150">
        <v>8.2620992194814278</v>
      </c>
      <c r="N30" s="78">
        <v>144.81497250000001</v>
      </c>
      <c r="O30" s="109">
        <v>18519.881797458671</v>
      </c>
      <c r="P30" s="111">
        <v>21779.159901524235</v>
      </c>
      <c r="Q30" s="254">
        <v>10566.58481421617</v>
      </c>
      <c r="R30" s="258">
        <v>29086.466611674841</v>
      </c>
      <c r="S30" s="259">
        <v>32345.744715740406</v>
      </c>
      <c r="U30" s="7" t="s">
        <v>583</v>
      </c>
    </row>
    <row r="31" spans="1:21" s="65" customFormat="1" ht="16.5" customHeight="1" thickBot="1">
      <c r="A31" s="41" t="s">
        <v>31</v>
      </c>
      <c r="B31" s="42">
        <f t="shared" si="0"/>
        <v>55</v>
      </c>
      <c r="C31" s="42" t="s">
        <v>3</v>
      </c>
      <c r="D31" s="42">
        <f t="shared" si="1"/>
        <v>160</v>
      </c>
      <c r="E31" s="42" t="s">
        <v>3</v>
      </c>
      <c r="F31" s="101">
        <f t="shared" si="2"/>
        <v>1650</v>
      </c>
      <c r="G31" s="42" t="s">
        <v>3</v>
      </c>
      <c r="H31" s="39">
        <v>2</v>
      </c>
      <c r="I31" s="40" t="s">
        <v>40</v>
      </c>
      <c r="J31" s="149">
        <v>55</v>
      </c>
      <c r="K31" s="104">
        <v>160</v>
      </c>
      <c r="L31" s="104">
        <v>1650</v>
      </c>
      <c r="M31" s="150">
        <v>8.4972423408671425</v>
      </c>
      <c r="N31" s="78">
        <v>150.60757140000004</v>
      </c>
      <c r="O31" s="109">
        <v>18925.795187815689</v>
      </c>
      <c r="P31" s="111">
        <v>22276.614487063969</v>
      </c>
      <c r="Q31" s="254">
        <v>10895.365585799582</v>
      </c>
      <c r="R31" s="258">
        <v>29821.160773615273</v>
      </c>
      <c r="S31" s="259">
        <v>33171.980072863553</v>
      </c>
      <c r="U31" s="7" t="s">
        <v>584</v>
      </c>
    </row>
    <row r="32" spans="1:21" s="65" customFormat="1" ht="16.5" customHeight="1" thickBot="1">
      <c r="A32" s="41" t="s">
        <v>31</v>
      </c>
      <c r="B32" s="42">
        <f t="shared" si="0"/>
        <v>55</v>
      </c>
      <c r="C32" s="42" t="s">
        <v>3</v>
      </c>
      <c r="D32" s="42">
        <f t="shared" si="1"/>
        <v>160</v>
      </c>
      <c r="E32" s="42" t="s">
        <v>3</v>
      </c>
      <c r="F32" s="101">
        <f t="shared" si="2"/>
        <v>1700</v>
      </c>
      <c r="G32" s="42" t="s">
        <v>3</v>
      </c>
      <c r="H32" s="39">
        <v>2</v>
      </c>
      <c r="I32" s="40" t="s">
        <v>40</v>
      </c>
      <c r="J32" s="149">
        <v>55</v>
      </c>
      <c r="K32" s="104">
        <v>160</v>
      </c>
      <c r="L32" s="104">
        <v>1700</v>
      </c>
      <c r="M32" s="150">
        <v>8.7323854622528572</v>
      </c>
      <c r="N32" s="78">
        <v>156.40017030000004</v>
      </c>
      <c r="O32" s="109">
        <v>19331.708425143937</v>
      </c>
      <c r="P32" s="111">
        <v>22774.069072603699</v>
      </c>
      <c r="Q32" s="254">
        <v>11224.146510411758</v>
      </c>
      <c r="R32" s="258">
        <v>30555.854935555697</v>
      </c>
      <c r="S32" s="259">
        <v>33998.215583015459</v>
      </c>
      <c r="U32" s="7" t="s">
        <v>585</v>
      </c>
    </row>
    <row r="33" spans="1:21" s="65" customFormat="1" ht="16.5" customHeight="1" thickBot="1">
      <c r="A33" s="41" t="s">
        <v>31</v>
      </c>
      <c r="B33" s="42">
        <f t="shared" si="0"/>
        <v>55</v>
      </c>
      <c r="C33" s="42" t="s">
        <v>3</v>
      </c>
      <c r="D33" s="42">
        <f t="shared" si="1"/>
        <v>160</v>
      </c>
      <c r="E33" s="42" t="s">
        <v>3</v>
      </c>
      <c r="F33" s="101">
        <f t="shared" si="2"/>
        <v>1750</v>
      </c>
      <c r="G33" s="42" t="s">
        <v>3</v>
      </c>
      <c r="H33" s="39">
        <v>2</v>
      </c>
      <c r="I33" s="40" t="s">
        <v>40</v>
      </c>
      <c r="J33" s="149">
        <v>55</v>
      </c>
      <c r="K33" s="104">
        <v>160</v>
      </c>
      <c r="L33" s="104">
        <v>1750</v>
      </c>
      <c r="M33" s="150">
        <v>8.9675285836385719</v>
      </c>
      <c r="N33" s="78">
        <v>162.19276920000001</v>
      </c>
      <c r="O33" s="109">
        <v>19737.621815500956</v>
      </c>
      <c r="P33" s="111">
        <v>23271.523658143429</v>
      </c>
      <c r="Q33" s="254">
        <v>11552.927281995169</v>
      </c>
      <c r="R33" s="258">
        <v>31290.549097496125</v>
      </c>
      <c r="S33" s="259">
        <v>34824.450940138602</v>
      </c>
      <c r="U33" s="7" t="s">
        <v>586</v>
      </c>
    </row>
    <row r="34" spans="1:21" s="65" customFormat="1" ht="16.5" customHeight="1" thickBot="1">
      <c r="A34" s="41" t="s">
        <v>31</v>
      </c>
      <c r="B34" s="42">
        <f t="shared" si="0"/>
        <v>55</v>
      </c>
      <c r="C34" s="42" t="s">
        <v>3</v>
      </c>
      <c r="D34" s="42">
        <f t="shared" si="1"/>
        <v>160</v>
      </c>
      <c r="E34" s="42" t="s">
        <v>3</v>
      </c>
      <c r="F34" s="101">
        <f t="shared" si="2"/>
        <v>1800</v>
      </c>
      <c r="G34" s="42" t="s">
        <v>3</v>
      </c>
      <c r="H34" s="39">
        <v>2</v>
      </c>
      <c r="I34" s="40" t="s">
        <v>40</v>
      </c>
      <c r="J34" s="149">
        <v>55</v>
      </c>
      <c r="K34" s="104">
        <v>160</v>
      </c>
      <c r="L34" s="104">
        <v>1800</v>
      </c>
      <c r="M34" s="150">
        <v>9.2026717050242848</v>
      </c>
      <c r="N34" s="78">
        <v>167.98536810000002</v>
      </c>
      <c r="O34" s="109">
        <v>20143.535052829207</v>
      </c>
      <c r="P34" s="111">
        <v>23768.978243683159</v>
      </c>
      <c r="Q34" s="254">
        <v>11881.708053578581</v>
      </c>
      <c r="R34" s="258">
        <v>32025.24310640779</v>
      </c>
      <c r="S34" s="259">
        <v>35650.686297261738</v>
      </c>
      <c r="U34" s="7" t="s">
        <v>587</v>
      </c>
    </row>
    <row r="35" spans="1:21" s="65" customFormat="1" ht="16.5" customHeight="1" thickBot="1">
      <c r="A35" s="41" t="s">
        <v>31</v>
      </c>
      <c r="B35" s="42">
        <f t="shared" si="0"/>
        <v>55</v>
      </c>
      <c r="C35" s="42" t="s">
        <v>3</v>
      </c>
      <c r="D35" s="42">
        <f t="shared" si="1"/>
        <v>160</v>
      </c>
      <c r="E35" s="42" t="s">
        <v>3</v>
      </c>
      <c r="F35" s="101">
        <f t="shared" si="2"/>
        <v>1850</v>
      </c>
      <c r="G35" s="42" t="s">
        <v>3</v>
      </c>
      <c r="H35" s="39">
        <v>2</v>
      </c>
      <c r="I35" s="40" t="s">
        <v>40</v>
      </c>
      <c r="J35" s="149">
        <v>55</v>
      </c>
      <c r="K35" s="104">
        <v>160</v>
      </c>
      <c r="L35" s="104">
        <v>1850</v>
      </c>
      <c r="M35" s="150">
        <v>9.4378148264100012</v>
      </c>
      <c r="N35" s="78">
        <v>173.77796700000002</v>
      </c>
      <c r="O35" s="109">
        <v>20549.448443186222</v>
      </c>
      <c r="P35" s="111">
        <v>24266.432829222893</v>
      </c>
      <c r="Q35" s="254">
        <v>12210.488978190757</v>
      </c>
      <c r="R35" s="258">
        <v>32759.937421376977</v>
      </c>
      <c r="S35" s="259">
        <v>36476.921807413652</v>
      </c>
      <c r="U35" s="7" t="s">
        <v>588</v>
      </c>
    </row>
    <row r="36" spans="1:21" s="65" customFormat="1" ht="16.5" customHeight="1" thickBot="1">
      <c r="A36" s="41" t="s">
        <v>31</v>
      </c>
      <c r="B36" s="42">
        <f t="shared" si="0"/>
        <v>55</v>
      </c>
      <c r="C36" s="42" t="s">
        <v>3</v>
      </c>
      <c r="D36" s="42">
        <f t="shared" si="1"/>
        <v>160</v>
      </c>
      <c r="E36" s="42" t="s">
        <v>3</v>
      </c>
      <c r="F36" s="101">
        <f t="shared" si="2"/>
        <v>1900</v>
      </c>
      <c r="G36" s="42" t="s">
        <v>3</v>
      </c>
      <c r="H36" s="39">
        <v>2</v>
      </c>
      <c r="I36" s="40" t="s">
        <v>40</v>
      </c>
      <c r="J36" s="149">
        <v>55</v>
      </c>
      <c r="K36" s="104">
        <v>160</v>
      </c>
      <c r="L36" s="104">
        <v>1900</v>
      </c>
      <c r="M36" s="150">
        <v>9.6729579477957124</v>
      </c>
      <c r="N36" s="78">
        <v>179.57056590000002</v>
      </c>
      <c r="O36" s="109">
        <v>20955.361680514474</v>
      </c>
      <c r="P36" s="111">
        <v>24763.887414762623</v>
      </c>
      <c r="Q36" s="254">
        <v>12539.26974977417</v>
      </c>
      <c r="R36" s="258">
        <v>33494.631430288646</v>
      </c>
      <c r="S36" s="259">
        <v>37303.157164536795</v>
      </c>
      <c r="U36" s="7" t="s">
        <v>589</v>
      </c>
    </row>
    <row r="37" spans="1:21" s="65" customFormat="1" ht="16.5" customHeight="1" thickBot="1">
      <c r="A37" s="41" t="s">
        <v>31</v>
      </c>
      <c r="B37" s="42">
        <f t="shared" si="0"/>
        <v>55</v>
      </c>
      <c r="C37" s="42" t="s">
        <v>3</v>
      </c>
      <c r="D37" s="42">
        <f t="shared" si="1"/>
        <v>160</v>
      </c>
      <c r="E37" s="42" t="s">
        <v>3</v>
      </c>
      <c r="F37" s="101">
        <f t="shared" si="2"/>
        <v>1950</v>
      </c>
      <c r="G37" s="42" t="s">
        <v>3</v>
      </c>
      <c r="H37" s="39">
        <v>2</v>
      </c>
      <c r="I37" s="40" t="s">
        <v>40</v>
      </c>
      <c r="J37" s="149">
        <v>55</v>
      </c>
      <c r="K37" s="104">
        <v>160</v>
      </c>
      <c r="L37" s="104">
        <v>1950</v>
      </c>
      <c r="M37" s="150">
        <v>9.9759010691814289</v>
      </c>
      <c r="N37" s="78">
        <v>185.36316480000005</v>
      </c>
      <c r="O37" s="109">
        <v>21408.775199566291</v>
      </c>
      <c r="P37" s="111">
        <v>25307.394323850305</v>
      </c>
      <c r="Q37" s="254">
        <v>12868.050521357582</v>
      </c>
      <c r="R37" s="258">
        <v>34276.825720923873</v>
      </c>
      <c r="S37" s="259">
        <v>38175.444845207887</v>
      </c>
      <c r="U37" s="7" t="s">
        <v>590</v>
      </c>
    </row>
    <row r="38" spans="1:21" s="65" customFormat="1" ht="16.5" customHeight="1" thickBot="1">
      <c r="A38" s="41" t="s">
        <v>31</v>
      </c>
      <c r="B38" s="42">
        <f t="shared" si="0"/>
        <v>55</v>
      </c>
      <c r="C38" s="42" t="s">
        <v>3</v>
      </c>
      <c r="D38" s="42">
        <f t="shared" si="1"/>
        <v>160</v>
      </c>
      <c r="E38" s="42" t="s">
        <v>3</v>
      </c>
      <c r="F38" s="101">
        <f t="shared" si="2"/>
        <v>2000</v>
      </c>
      <c r="G38" s="42" t="s">
        <v>3</v>
      </c>
      <c r="H38" s="39">
        <v>2</v>
      </c>
      <c r="I38" s="40" t="s">
        <v>40</v>
      </c>
      <c r="J38" s="149">
        <v>55</v>
      </c>
      <c r="K38" s="104">
        <v>160</v>
      </c>
      <c r="L38" s="104">
        <v>2000</v>
      </c>
      <c r="M38" s="150">
        <v>10.302614711977144</v>
      </c>
      <c r="N38" s="78">
        <v>191.15576370000002</v>
      </c>
      <c r="O38" s="109">
        <v>22053.415758949785</v>
      </c>
      <c r="P38" s="111">
        <v>26116.856044999331</v>
      </c>
      <c r="Q38" s="254">
        <v>13196.831445969756</v>
      </c>
      <c r="R38" s="258">
        <v>35250.247204919542</v>
      </c>
      <c r="S38" s="259">
        <v>39313.687490969089</v>
      </c>
      <c r="U38" s="7" t="s">
        <v>591</v>
      </c>
    </row>
    <row r="39" spans="1:21" s="65" customFormat="1" ht="16.5" customHeight="1" thickBot="1">
      <c r="A39" s="41" t="s">
        <v>31</v>
      </c>
      <c r="B39" s="42">
        <f t="shared" si="0"/>
        <v>55</v>
      </c>
      <c r="C39" s="42" t="s">
        <v>3</v>
      </c>
      <c r="D39" s="42">
        <f t="shared" si="1"/>
        <v>160</v>
      </c>
      <c r="E39" s="42" t="s">
        <v>3</v>
      </c>
      <c r="F39" s="101">
        <f t="shared" si="2"/>
        <v>2050</v>
      </c>
      <c r="G39" s="42" t="s">
        <v>3</v>
      </c>
      <c r="H39" s="39">
        <v>2</v>
      </c>
      <c r="I39" s="40" t="s">
        <v>40</v>
      </c>
      <c r="J39" s="149">
        <v>55</v>
      </c>
      <c r="K39" s="104">
        <v>160</v>
      </c>
      <c r="L39" s="104">
        <v>2050</v>
      </c>
      <c r="M39" s="150">
        <v>10.537757833362857</v>
      </c>
      <c r="N39" s="78">
        <v>196.94836260000002</v>
      </c>
      <c r="O39" s="109">
        <v>22459.329149306803</v>
      </c>
      <c r="P39" s="111">
        <v>26614.310630539061</v>
      </c>
      <c r="Q39" s="254">
        <v>13525.612217553169</v>
      </c>
      <c r="R39" s="258">
        <v>35984.941366859974</v>
      </c>
      <c r="S39" s="259">
        <v>40139.922848092232</v>
      </c>
      <c r="U39" s="7" t="s">
        <v>592</v>
      </c>
    </row>
    <row r="40" spans="1:21" s="65" customFormat="1" ht="16.5" customHeight="1" thickBot="1">
      <c r="A40" s="38" t="s">
        <v>31</v>
      </c>
      <c r="B40" s="39">
        <f t="shared" si="0"/>
        <v>55</v>
      </c>
      <c r="C40" s="39" t="s">
        <v>3</v>
      </c>
      <c r="D40" s="39">
        <f t="shared" si="1"/>
        <v>160</v>
      </c>
      <c r="E40" s="39" t="s">
        <v>3</v>
      </c>
      <c r="F40" s="101">
        <f t="shared" si="2"/>
        <v>2100</v>
      </c>
      <c r="G40" s="39" t="s">
        <v>3</v>
      </c>
      <c r="H40" s="39">
        <v>2</v>
      </c>
      <c r="I40" s="40" t="s">
        <v>40</v>
      </c>
      <c r="J40" s="149">
        <v>55</v>
      </c>
      <c r="K40" s="104">
        <v>160</v>
      </c>
      <c r="L40" s="104">
        <v>2100</v>
      </c>
      <c r="M40" s="150">
        <v>10.772900954748572</v>
      </c>
      <c r="N40" s="78">
        <v>202.74096150000003</v>
      </c>
      <c r="O40" s="109">
        <v>22865.242386635051</v>
      </c>
      <c r="P40" s="111">
        <v>27111.765216078791</v>
      </c>
      <c r="Q40" s="254">
        <v>13854.392989136581</v>
      </c>
      <c r="R40" s="258">
        <v>36719.635375771628</v>
      </c>
      <c r="S40" s="259">
        <v>40966.158205215368</v>
      </c>
      <c r="U40" s="7" t="s">
        <v>593</v>
      </c>
    </row>
    <row r="41" spans="1:21" s="65" customFormat="1" ht="16.5" customHeight="1" thickBot="1">
      <c r="A41" s="41" t="s">
        <v>31</v>
      </c>
      <c r="B41" s="42">
        <f t="shared" si="0"/>
        <v>55</v>
      </c>
      <c r="C41" s="42" t="s">
        <v>3</v>
      </c>
      <c r="D41" s="42">
        <f t="shared" si="1"/>
        <v>160</v>
      </c>
      <c r="E41" s="42" t="s">
        <v>3</v>
      </c>
      <c r="F41" s="101">
        <f t="shared" si="2"/>
        <v>2150</v>
      </c>
      <c r="G41" s="42" t="s">
        <v>3</v>
      </c>
      <c r="H41" s="39">
        <v>2</v>
      </c>
      <c r="I41" s="40" t="s">
        <v>40</v>
      </c>
      <c r="J41" s="149">
        <v>55</v>
      </c>
      <c r="K41" s="104">
        <v>160</v>
      </c>
      <c r="L41" s="104">
        <v>2150</v>
      </c>
      <c r="M41" s="150">
        <v>11.008044076134285</v>
      </c>
      <c r="N41" s="78">
        <v>208.53356040000003</v>
      </c>
      <c r="O41" s="109">
        <v>23271.155776992069</v>
      </c>
      <c r="P41" s="111">
        <v>27609.219801618521</v>
      </c>
      <c r="Q41" s="254">
        <v>14183.173760719992</v>
      </c>
      <c r="R41" s="258">
        <v>37454.329537712059</v>
      </c>
      <c r="S41" s="259">
        <v>41792.393562338511</v>
      </c>
      <c r="U41" s="7" t="s">
        <v>594</v>
      </c>
    </row>
    <row r="42" spans="1:21" s="65" customFormat="1" ht="16.5" customHeight="1" thickBot="1">
      <c r="A42" s="41" t="s">
        <v>31</v>
      </c>
      <c r="B42" s="42">
        <f t="shared" si="0"/>
        <v>55</v>
      </c>
      <c r="C42" s="42" t="s">
        <v>3</v>
      </c>
      <c r="D42" s="42">
        <f t="shared" si="1"/>
        <v>160</v>
      </c>
      <c r="E42" s="42" t="s">
        <v>3</v>
      </c>
      <c r="F42" s="101">
        <f t="shared" si="2"/>
        <v>2200</v>
      </c>
      <c r="G42" s="42" t="s">
        <v>3</v>
      </c>
      <c r="H42" s="39">
        <v>2</v>
      </c>
      <c r="I42" s="40" t="s">
        <v>40</v>
      </c>
      <c r="J42" s="149">
        <v>55</v>
      </c>
      <c r="K42" s="104">
        <v>160</v>
      </c>
      <c r="L42" s="104">
        <v>2200</v>
      </c>
      <c r="M42" s="150">
        <v>11.243187197519999</v>
      </c>
      <c r="N42" s="78">
        <v>214.32615930000003</v>
      </c>
      <c r="O42" s="109">
        <v>23677.069014320321</v>
      </c>
      <c r="P42" s="111">
        <v>28106.674387158251</v>
      </c>
      <c r="Q42" s="254">
        <v>14511.954685332166</v>
      </c>
      <c r="R42" s="258">
        <v>38189.023699652491</v>
      </c>
      <c r="S42" s="259">
        <v>42618.629072490417</v>
      </c>
      <c r="U42" s="7" t="s">
        <v>595</v>
      </c>
    </row>
    <row r="43" spans="1:21" s="65" customFormat="1" ht="16.5" customHeight="1" thickBot="1">
      <c r="A43" s="41" t="s">
        <v>31</v>
      </c>
      <c r="B43" s="42">
        <f t="shared" si="0"/>
        <v>55</v>
      </c>
      <c r="C43" s="42" t="s">
        <v>3</v>
      </c>
      <c r="D43" s="42">
        <f t="shared" si="1"/>
        <v>160</v>
      </c>
      <c r="E43" s="42" t="s">
        <v>3</v>
      </c>
      <c r="F43" s="101">
        <f t="shared" si="2"/>
        <v>2250</v>
      </c>
      <c r="G43" s="42" t="s">
        <v>3</v>
      </c>
      <c r="H43" s="39">
        <v>2</v>
      </c>
      <c r="I43" s="40" t="s">
        <v>40</v>
      </c>
      <c r="J43" s="149">
        <v>55</v>
      </c>
      <c r="K43" s="104">
        <v>160</v>
      </c>
      <c r="L43" s="104">
        <v>2250</v>
      </c>
      <c r="M43" s="150">
        <v>11.478330318905716</v>
      </c>
      <c r="N43" s="78">
        <v>220.11875820000003</v>
      </c>
      <c r="O43" s="109">
        <v>24082.982404677336</v>
      </c>
      <c r="P43" s="111">
        <v>28604.128972697989</v>
      </c>
      <c r="Q43" s="254">
        <v>14840.735456915578</v>
      </c>
      <c r="R43" s="258">
        <v>38923.717861592915</v>
      </c>
      <c r="S43" s="259">
        <v>43444.864429613568</v>
      </c>
      <c r="U43" s="7" t="s">
        <v>596</v>
      </c>
    </row>
    <row r="44" spans="1:21" s="65" customFormat="1" ht="16.5" customHeight="1" thickBot="1">
      <c r="A44" s="41" t="s">
        <v>31</v>
      </c>
      <c r="B44" s="42">
        <f t="shared" si="0"/>
        <v>55</v>
      </c>
      <c r="C44" s="42" t="s">
        <v>3</v>
      </c>
      <c r="D44" s="42">
        <f t="shared" si="1"/>
        <v>160</v>
      </c>
      <c r="E44" s="42" t="s">
        <v>3</v>
      </c>
      <c r="F44" s="101">
        <f t="shared" si="2"/>
        <v>2300</v>
      </c>
      <c r="G44" s="42" t="s">
        <v>3</v>
      </c>
      <c r="H44" s="39">
        <v>2</v>
      </c>
      <c r="I44" s="40" t="s">
        <v>40</v>
      </c>
      <c r="J44" s="149">
        <v>55</v>
      </c>
      <c r="K44" s="104">
        <v>160</v>
      </c>
      <c r="L44" s="104">
        <v>2300</v>
      </c>
      <c r="M44" s="150">
        <v>11.713473440291429</v>
      </c>
      <c r="N44" s="78">
        <v>225.91135710000003</v>
      </c>
      <c r="O44" s="109">
        <v>24488.895642005587</v>
      </c>
      <c r="P44" s="111">
        <v>29101.583558237719</v>
      </c>
      <c r="Q44" s="254">
        <v>15169.516228498989</v>
      </c>
      <c r="R44" s="258">
        <v>39658.411870504577</v>
      </c>
      <c r="S44" s="259">
        <v>44271.099786736711</v>
      </c>
      <c r="U44" s="7" t="s">
        <v>597</v>
      </c>
    </row>
    <row r="45" spans="1:21" s="65" customFormat="1" ht="16.5" customHeight="1" thickBot="1">
      <c r="A45" s="41" t="s">
        <v>31</v>
      </c>
      <c r="B45" s="42">
        <f t="shared" si="0"/>
        <v>55</v>
      </c>
      <c r="C45" s="42" t="s">
        <v>3</v>
      </c>
      <c r="D45" s="42">
        <f t="shared" si="1"/>
        <v>160</v>
      </c>
      <c r="E45" s="42" t="s">
        <v>3</v>
      </c>
      <c r="F45" s="101">
        <f t="shared" si="2"/>
        <v>2350</v>
      </c>
      <c r="G45" s="42" t="s">
        <v>3</v>
      </c>
      <c r="H45" s="39">
        <v>2</v>
      </c>
      <c r="I45" s="40" t="s">
        <v>40</v>
      </c>
      <c r="J45" s="149">
        <v>55</v>
      </c>
      <c r="K45" s="104">
        <v>160</v>
      </c>
      <c r="L45" s="104">
        <v>2350</v>
      </c>
      <c r="M45" s="150">
        <v>11.948616561677143</v>
      </c>
      <c r="N45" s="78">
        <v>231.70395600000003</v>
      </c>
      <c r="O45" s="109">
        <v>24894.808879333839</v>
      </c>
      <c r="P45" s="111">
        <v>29599.038143777449</v>
      </c>
      <c r="Q45" s="254">
        <v>15498.297153111165</v>
      </c>
      <c r="R45" s="258">
        <v>40393.106032445008</v>
      </c>
      <c r="S45" s="259">
        <v>45097.335296888617</v>
      </c>
      <c r="U45" s="7" t="s">
        <v>598</v>
      </c>
    </row>
    <row r="46" spans="1:21" s="65" customFormat="1" ht="16.5" customHeight="1" thickBot="1">
      <c r="A46" s="41" t="s">
        <v>31</v>
      </c>
      <c r="B46" s="42">
        <f t="shared" si="0"/>
        <v>55</v>
      </c>
      <c r="C46" s="42" t="s">
        <v>3</v>
      </c>
      <c r="D46" s="42">
        <f t="shared" si="1"/>
        <v>160</v>
      </c>
      <c r="E46" s="42" t="s">
        <v>3</v>
      </c>
      <c r="F46" s="101">
        <f t="shared" si="2"/>
        <v>2400</v>
      </c>
      <c r="G46" s="42" t="s">
        <v>3</v>
      </c>
      <c r="H46" s="39">
        <v>2</v>
      </c>
      <c r="I46" s="40" t="s">
        <v>40</v>
      </c>
      <c r="J46" s="149">
        <v>55</v>
      </c>
      <c r="K46" s="104">
        <v>160</v>
      </c>
      <c r="L46" s="104">
        <v>2400</v>
      </c>
      <c r="M46" s="150">
        <v>12.18375968306286</v>
      </c>
      <c r="N46" s="78">
        <v>237.49655490000001</v>
      </c>
      <c r="O46" s="109">
        <v>25300.722269690854</v>
      </c>
      <c r="P46" s="111">
        <v>30096.492729317179</v>
      </c>
      <c r="Q46" s="254">
        <v>15827.077924694577</v>
      </c>
      <c r="R46" s="258">
        <v>41127.800194385432</v>
      </c>
      <c r="S46" s="259">
        <v>45923.570654011754</v>
      </c>
      <c r="U46" s="7" t="s">
        <v>599</v>
      </c>
    </row>
    <row r="47" spans="1:21" s="65" customFormat="1" ht="16.5" customHeight="1" thickBot="1">
      <c r="A47" s="41" t="s">
        <v>31</v>
      </c>
      <c r="B47" s="42">
        <f t="shared" si="0"/>
        <v>55</v>
      </c>
      <c r="C47" s="42" t="s">
        <v>3</v>
      </c>
      <c r="D47" s="42">
        <f t="shared" si="1"/>
        <v>160</v>
      </c>
      <c r="E47" s="42" t="s">
        <v>3</v>
      </c>
      <c r="F47" s="101">
        <f t="shared" si="2"/>
        <v>2450</v>
      </c>
      <c r="G47" s="42" t="s">
        <v>3</v>
      </c>
      <c r="H47" s="39">
        <v>2</v>
      </c>
      <c r="I47" s="40" t="s">
        <v>40</v>
      </c>
      <c r="J47" s="149">
        <v>55</v>
      </c>
      <c r="K47" s="104">
        <v>160</v>
      </c>
      <c r="L47" s="104">
        <v>2450</v>
      </c>
      <c r="M47" s="150">
        <v>12.487889556448572</v>
      </c>
      <c r="N47" s="78">
        <v>243.28915380000004</v>
      </c>
      <c r="O47" s="109">
        <v>26265.220646392085</v>
      </c>
      <c r="P47" s="111">
        <v>31057.322853489593</v>
      </c>
      <c r="Q47" s="254">
        <v>16155.858696277988</v>
      </c>
      <c r="R47" s="258">
        <v>42421.079342670069</v>
      </c>
      <c r="S47" s="259">
        <v>47213.181549767585</v>
      </c>
      <c r="U47" s="7" t="s">
        <v>600</v>
      </c>
    </row>
    <row r="48" spans="1:21" s="65" customFormat="1" ht="16.5" customHeight="1" thickBot="1">
      <c r="A48" s="41" t="s">
        <v>31</v>
      </c>
      <c r="B48" s="42">
        <f t="shared" si="0"/>
        <v>55</v>
      </c>
      <c r="C48" s="42" t="s">
        <v>3</v>
      </c>
      <c r="D48" s="42">
        <f t="shared" si="1"/>
        <v>160</v>
      </c>
      <c r="E48" s="42" t="s">
        <v>3</v>
      </c>
      <c r="F48" s="101">
        <f t="shared" si="2"/>
        <v>2500</v>
      </c>
      <c r="G48" s="42" t="s">
        <v>3</v>
      </c>
      <c r="H48" s="39">
        <v>2</v>
      </c>
      <c r="I48" s="40" t="s">
        <v>40</v>
      </c>
      <c r="J48" s="149">
        <v>55</v>
      </c>
      <c r="K48" s="104">
        <v>160</v>
      </c>
      <c r="L48" s="104">
        <v>2500</v>
      </c>
      <c r="M48" s="150">
        <v>12.723032677834286</v>
      </c>
      <c r="N48" s="78">
        <v>249.08175270000004</v>
      </c>
      <c r="O48" s="109">
        <v>26671.133883720333</v>
      </c>
      <c r="P48" s="111">
        <v>31554.777439029331</v>
      </c>
      <c r="Q48" s="254">
        <v>16484.639620890164</v>
      </c>
      <c r="R48" s="258">
        <v>43155.773504610494</v>
      </c>
      <c r="S48" s="259">
        <v>48039.417059919491</v>
      </c>
      <c r="U48" s="7" t="s">
        <v>601</v>
      </c>
    </row>
    <row r="49" spans="1:21" s="65" customFormat="1" ht="16.5" customHeight="1" thickBot="1">
      <c r="A49" s="41" t="s">
        <v>31</v>
      </c>
      <c r="B49" s="42">
        <f t="shared" si="0"/>
        <v>55</v>
      </c>
      <c r="C49" s="42" t="s">
        <v>3</v>
      </c>
      <c r="D49" s="42">
        <f t="shared" si="1"/>
        <v>160</v>
      </c>
      <c r="E49" s="42" t="s">
        <v>3</v>
      </c>
      <c r="F49" s="101">
        <f t="shared" si="2"/>
        <v>2550</v>
      </c>
      <c r="G49" s="42" t="s">
        <v>3</v>
      </c>
      <c r="H49" s="39">
        <v>2</v>
      </c>
      <c r="I49" s="40" t="s">
        <v>40</v>
      </c>
      <c r="J49" s="149">
        <v>55</v>
      </c>
      <c r="K49" s="104">
        <v>160</v>
      </c>
      <c r="L49" s="104">
        <v>2550</v>
      </c>
      <c r="M49" s="150">
        <v>12.958175799220001</v>
      </c>
      <c r="N49" s="78">
        <v>254.87435160000007</v>
      </c>
      <c r="O49" s="109">
        <v>27077.047274077351</v>
      </c>
      <c r="P49" s="111">
        <v>32052.232024569061</v>
      </c>
      <c r="Q49" s="254">
        <v>16813.420392473578</v>
      </c>
      <c r="R49" s="258">
        <v>43890.467666550932</v>
      </c>
      <c r="S49" s="259">
        <v>48865.652417042642</v>
      </c>
      <c r="U49" s="7" t="s">
        <v>602</v>
      </c>
    </row>
    <row r="50" spans="1:21" s="65" customFormat="1" ht="16.5" customHeight="1" thickBot="1">
      <c r="A50" s="38" t="s">
        <v>31</v>
      </c>
      <c r="B50" s="39">
        <f t="shared" si="0"/>
        <v>55</v>
      </c>
      <c r="C50" s="39" t="s">
        <v>3</v>
      </c>
      <c r="D50" s="39">
        <f t="shared" si="1"/>
        <v>160</v>
      </c>
      <c r="E50" s="39" t="s">
        <v>3</v>
      </c>
      <c r="F50" s="101">
        <f t="shared" si="2"/>
        <v>2600</v>
      </c>
      <c r="G50" s="39" t="s">
        <v>3</v>
      </c>
      <c r="H50" s="39">
        <v>2</v>
      </c>
      <c r="I50" s="40" t="s">
        <v>40</v>
      </c>
      <c r="J50" s="149">
        <v>55</v>
      </c>
      <c r="K50" s="104">
        <v>160</v>
      </c>
      <c r="L50" s="104">
        <v>2600</v>
      </c>
      <c r="M50" s="150">
        <v>13.193318920605716</v>
      </c>
      <c r="N50" s="78">
        <v>260.66695050000004</v>
      </c>
      <c r="O50" s="109">
        <v>27482.960511405603</v>
      </c>
      <c r="P50" s="111">
        <v>32549.686610108791</v>
      </c>
      <c r="Q50" s="254">
        <v>17142.201164056987</v>
      </c>
      <c r="R50" s="258">
        <v>44625.161675462587</v>
      </c>
      <c r="S50" s="259">
        <v>49691.887774165778</v>
      </c>
      <c r="U50" s="7" t="s">
        <v>603</v>
      </c>
    </row>
    <row r="51" spans="1:21" s="65" customFormat="1" ht="16.5" customHeight="1" thickBot="1">
      <c r="A51" s="41" t="s">
        <v>31</v>
      </c>
      <c r="B51" s="42">
        <f t="shared" si="0"/>
        <v>55</v>
      </c>
      <c r="C51" s="42" t="s">
        <v>3</v>
      </c>
      <c r="D51" s="42">
        <f t="shared" si="1"/>
        <v>160</v>
      </c>
      <c r="E51" s="42" t="s">
        <v>3</v>
      </c>
      <c r="F51" s="101">
        <f t="shared" si="2"/>
        <v>2650</v>
      </c>
      <c r="G51" s="42" t="s">
        <v>3</v>
      </c>
      <c r="H51" s="39">
        <v>2</v>
      </c>
      <c r="I51" s="40" t="s">
        <v>40</v>
      </c>
      <c r="J51" s="149">
        <v>55</v>
      </c>
      <c r="K51" s="104">
        <v>160</v>
      </c>
      <c r="L51" s="104">
        <v>2650</v>
      </c>
      <c r="M51" s="150">
        <v>13.42846204199143</v>
      </c>
      <c r="N51" s="78">
        <v>266.45954940000001</v>
      </c>
      <c r="O51" s="109">
        <v>27888.873901762618</v>
      </c>
      <c r="P51" s="111">
        <v>33047.141195648517</v>
      </c>
      <c r="Q51" s="254">
        <v>17470.982088669163</v>
      </c>
      <c r="R51" s="258">
        <v>45359.855990431781</v>
      </c>
      <c r="S51" s="259">
        <v>50518.123284317684</v>
      </c>
      <c r="U51" s="7" t="s">
        <v>604</v>
      </c>
    </row>
    <row r="52" spans="1:21" s="65" customFormat="1" ht="16.5" customHeight="1" thickBot="1">
      <c r="A52" s="41" t="s">
        <v>31</v>
      </c>
      <c r="B52" s="42">
        <f t="shared" si="0"/>
        <v>55</v>
      </c>
      <c r="C52" s="42" t="s">
        <v>3</v>
      </c>
      <c r="D52" s="42">
        <f t="shared" si="1"/>
        <v>160</v>
      </c>
      <c r="E52" s="42" t="s">
        <v>3</v>
      </c>
      <c r="F52" s="101">
        <f t="shared" si="2"/>
        <v>2700</v>
      </c>
      <c r="G52" s="42" t="s">
        <v>3</v>
      </c>
      <c r="H52" s="39">
        <v>2</v>
      </c>
      <c r="I52" s="40" t="s">
        <v>40</v>
      </c>
      <c r="J52" s="149">
        <v>55</v>
      </c>
      <c r="K52" s="104">
        <v>160</v>
      </c>
      <c r="L52" s="104">
        <v>2700</v>
      </c>
      <c r="M52" s="150">
        <v>13.731405163377147</v>
      </c>
      <c r="N52" s="78">
        <v>272.25214830000004</v>
      </c>
      <c r="O52" s="109">
        <v>28342.287420814439</v>
      </c>
      <c r="P52" s="111">
        <v>33590.648104736203</v>
      </c>
      <c r="Q52" s="254">
        <v>17799.762860252577</v>
      </c>
      <c r="R52" s="258">
        <v>46142.050281067015</v>
      </c>
      <c r="S52" s="259">
        <v>51390.410964988783</v>
      </c>
      <c r="U52" s="7" t="s">
        <v>605</v>
      </c>
    </row>
    <row r="53" spans="1:21" s="65" customFormat="1" ht="16.5" customHeight="1" thickBot="1">
      <c r="A53" s="41" t="s">
        <v>31</v>
      </c>
      <c r="B53" s="42">
        <f t="shared" si="0"/>
        <v>55</v>
      </c>
      <c r="C53" s="42" t="s">
        <v>3</v>
      </c>
      <c r="D53" s="42">
        <f t="shared" si="1"/>
        <v>160</v>
      </c>
      <c r="E53" s="42" t="s">
        <v>3</v>
      </c>
      <c r="F53" s="101">
        <f t="shared" si="2"/>
        <v>2750</v>
      </c>
      <c r="G53" s="42" t="s">
        <v>3</v>
      </c>
      <c r="H53" s="39">
        <v>2</v>
      </c>
      <c r="I53" s="40" t="s">
        <v>40</v>
      </c>
      <c r="J53" s="149">
        <v>55</v>
      </c>
      <c r="K53" s="104">
        <v>160</v>
      </c>
      <c r="L53" s="104">
        <v>2750</v>
      </c>
      <c r="M53" s="150">
        <v>13.966548284762858</v>
      </c>
      <c r="N53" s="78">
        <v>278.04474720000002</v>
      </c>
      <c r="O53" s="109">
        <v>28748.200658142687</v>
      </c>
      <c r="P53" s="111">
        <v>34088.102690275933</v>
      </c>
      <c r="Q53" s="254">
        <v>18128.543631835986</v>
      </c>
      <c r="R53" s="258">
        <v>46876.744289978669</v>
      </c>
      <c r="S53" s="259">
        <v>52216.646322111919</v>
      </c>
      <c r="U53" s="7" t="s">
        <v>606</v>
      </c>
    </row>
    <row r="54" spans="1:21" s="65" customFormat="1" ht="16.5" customHeight="1" thickBot="1">
      <c r="A54" s="41" t="s">
        <v>31</v>
      </c>
      <c r="B54" s="42">
        <f t="shared" si="0"/>
        <v>55</v>
      </c>
      <c r="C54" s="42" t="s">
        <v>3</v>
      </c>
      <c r="D54" s="42">
        <f t="shared" si="1"/>
        <v>160</v>
      </c>
      <c r="E54" s="42" t="s">
        <v>3</v>
      </c>
      <c r="F54" s="101">
        <f t="shared" si="2"/>
        <v>2800</v>
      </c>
      <c r="G54" s="42" t="s">
        <v>3</v>
      </c>
      <c r="H54" s="39">
        <v>2</v>
      </c>
      <c r="I54" s="40" t="s">
        <v>40</v>
      </c>
      <c r="J54" s="149">
        <v>55</v>
      </c>
      <c r="K54" s="104">
        <v>160</v>
      </c>
      <c r="L54" s="104">
        <v>2800</v>
      </c>
      <c r="M54" s="150">
        <v>14.201691406148573</v>
      </c>
      <c r="N54" s="78">
        <v>283.83734610000005</v>
      </c>
      <c r="O54" s="109">
        <v>29154.114048499705</v>
      </c>
      <c r="P54" s="111">
        <v>34585.557275815663</v>
      </c>
      <c r="Q54" s="254">
        <v>18457.324403419399</v>
      </c>
      <c r="R54" s="258">
        <v>47611.438451919108</v>
      </c>
      <c r="S54" s="259">
        <v>53042.881679235063</v>
      </c>
      <c r="U54" s="7" t="s">
        <v>607</v>
      </c>
    </row>
    <row r="55" spans="1:21" s="65" customFormat="1" ht="16.5" customHeight="1" thickBot="1">
      <c r="A55" s="41" t="s">
        <v>31</v>
      </c>
      <c r="B55" s="42">
        <f t="shared" si="0"/>
        <v>55</v>
      </c>
      <c r="C55" s="42" t="s">
        <v>3</v>
      </c>
      <c r="D55" s="42">
        <f t="shared" si="1"/>
        <v>160</v>
      </c>
      <c r="E55" s="42" t="s">
        <v>3</v>
      </c>
      <c r="F55" s="101">
        <f t="shared" si="2"/>
        <v>2850</v>
      </c>
      <c r="G55" s="42" t="s">
        <v>3</v>
      </c>
      <c r="H55" s="39">
        <v>2</v>
      </c>
      <c r="I55" s="40" t="s">
        <v>40</v>
      </c>
      <c r="J55" s="149">
        <v>55</v>
      </c>
      <c r="K55" s="104">
        <v>160</v>
      </c>
      <c r="L55" s="104">
        <v>2850</v>
      </c>
      <c r="M55" s="150">
        <v>14.436834527534288</v>
      </c>
      <c r="N55" s="78">
        <v>289.62994500000002</v>
      </c>
      <c r="O55" s="109">
        <v>29560.027285827957</v>
      </c>
      <c r="P55" s="111">
        <v>35083.0118613554</v>
      </c>
      <c r="Q55" s="254">
        <v>18786.105328031572</v>
      </c>
      <c r="R55" s="258">
        <v>48346.132613859532</v>
      </c>
      <c r="S55" s="259">
        <v>53869.117189386976</v>
      </c>
      <c r="U55" s="7" t="s">
        <v>608</v>
      </c>
    </row>
    <row r="56" spans="1:21" s="65" customFormat="1" ht="16.5" customHeight="1" thickBot="1">
      <c r="A56" s="41" t="s">
        <v>31</v>
      </c>
      <c r="B56" s="42">
        <f t="shared" si="0"/>
        <v>55</v>
      </c>
      <c r="C56" s="42" t="s">
        <v>3</v>
      </c>
      <c r="D56" s="42">
        <f t="shared" si="1"/>
        <v>160</v>
      </c>
      <c r="E56" s="42" t="s">
        <v>3</v>
      </c>
      <c r="F56" s="101">
        <f t="shared" si="2"/>
        <v>2900</v>
      </c>
      <c r="G56" s="42" t="s">
        <v>3</v>
      </c>
      <c r="H56" s="39">
        <v>2</v>
      </c>
      <c r="I56" s="40" t="s">
        <v>40</v>
      </c>
      <c r="J56" s="149">
        <v>55</v>
      </c>
      <c r="K56" s="104">
        <v>160</v>
      </c>
      <c r="L56" s="104">
        <v>2900</v>
      </c>
      <c r="M56" s="150">
        <v>14.671977648920002</v>
      </c>
      <c r="N56" s="78">
        <v>295.42254390000005</v>
      </c>
      <c r="O56" s="109">
        <v>29965.940523156205</v>
      </c>
      <c r="P56" s="111">
        <v>35580.466446895131</v>
      </c>
      <c r="Q56" s="254">
        <v>19114.886099614985</v>
      </c>
      <c r="R56" s="258">
        <v>49080.826622771187</v>
      </c>
      <c r="S56" s="259">
        <v>54695.352546510112</v>
      </c>
      <c r="U56" s="7" t="s">
        <v>609</v>
      </c>
    </row>
    <row r="57" spans="1:21" s="65" customFormat="1" ht="16.5" customHeight="1" thickBot="1">
      <c r="A57" s="41" t="s">
        <v>31</v>
      </c>
      <c r="B57" s="42">
        <f t="shared" si="0"/>
        <v>55</v>
      </c>
      <c r="C57" s="42" t="s">
        <v>3</v>
      </c>
      <c r="D57" s="42">
        <f t="shared" si="1"/>
        <v>160</v>
      </c>
      <c r="E57" s="42" t="s">
        <v>3</v>
      </c>
      <c r="F57" s="101">
        <f t="shared" si="2"/>
        <v>2950</v>
      </c>
      <c r="G57" s="42" t="s">
        <v>3</v>
      </c>
      <c r="H57" s="39">
        <v>2</v>
      </c>
      <c r="I57" s="40" t="s">
        <v>40</v>
      </c>
      <c r="J57" s="149">
        <v>55</v>
      </c>
      <c r="K57" s="104">
        <v>160</v>
      </c>
      <c r="L57" s="104">
        <v>2950</v>
      </c>
      <c r="M57" s="150">
        <v>14.907120770305715</v>
      </c>
      <c r="N57" s="78">
        <v>301.21514280000008</v>
      </c>
      <c r="O57" s="109">
        <v>30371.853913513223</v>
      </c>
      <c r="P57" s="111">
        <v>36077.921032434861</v>
      </c>
      <c r="Q57" s="254">
        <v>19443.666871198395</v>
      </c>
      <c r="R57" s="258">
        <v>49815.520784711618</v>
      </c>
      <c r="S57" s="259">
        <v>55521.587903633255</v>
      </c>
      <c r="U57" s="7" t="s">
        <v>610</v>
      </c>
    </row>
    <row r="58" spans="1:21" s="65" customFormat="1" ht="16.5" customHeight="1" thickBot="1">
      <c r="A58" s="43" t="s">
        <v>31</v>
      </c>
      <c r="B58" s="44">
        <f t="shared" si="0"/>
        <v>55</v>
      </c>
      <c r="C58" s="44" t="s">
        <v>3</v>
      </c>
      <c r="D58" s="44">
        <f t="shared" si="1"/>
        <v>160</v>
      </c>
      <c r="E58" s="44" t="s">
        <v>3</v>
      </c>
      <c r="F58" s="102">
        <f t="shared" si="2"/>
        <v>3000</v>
      </c>
      <c r="G58" s="44" t="s">
        <v>3</v>
      </c>
      <c r="H58" s="46">
        <v>2</v>
      </c>
      <c r="I58" s="45" t="s">
        <v>40</v>
      </c>
      <c r="J58" s="149">
        <v>55</v>
      </c>
      <c r="K58" s="134">
        <v>160</v>
      </c>
      <c r="L58" s="134">
        <v>3000</v>
      </c>
      <c r="M58" s="152">
        <v>15.142263891691432</v>
      </c>
      <c r="N58" s="127">
        <v>307.00774170000005</v>
      </c>
      <c r="O58" s="154">
        <v>30777.767150841475</v>
      </c>
      <c r="P58" s="135">
        <v>36575.375617974591</v>
      </c>
      <c r="Q58" s="255">
        <v>19772.447795810571</v>
      </c>
      <c r="R58" s="260">
        <v>50550.21494665205</v>
      </c>
      <c r="S58" s="261">
        <v>56347.823413785161</v>
      </c>
      <c r="U58" s="7" t="s">
        <v>611</v>
      </c>
    </row>
    <row r="59" spans="1:21" s="65" customFormat="1" ht="22.5" customHeight="1" thickBot="1">
      <c r="A59" s="2968" t="s">
        <v>46</v>
      </c>
      <c r="B59" s="2969"/>
      <c r="C59" s="2969"/>
      <c r="D59" s="2969"/>
      <c r="E59" s="2969"/>
      <c r="F59" s="2969"/>
      <c r="G59" s="2969"/>
      <c r="H59" s="2969"/>
      <c r="I59" s="2969"/>
      <c r="J59" s="2969"/>
      <c r="K59" s="2969"/>
      <c r="L59" s="2969"/>
      <c r="M59" s="2969"/>
      <c r="N59" s="2969"/>
      <c r="O59" s="2969"/>
      <c r="P59" s="2969"/>
      <c r="Q59" s="2969"/>
      <c r="R59" s="3018"/>
      <c r="S59" s="3019"/>
      <c r="U59" s="7"/>
    </row>
    <row r="60" spans="1:21" s="65" customFormat="1" ht="22.5" customHeight="1" thickBot="1">
      <c r="A60" s="2971" t="s">
        <v>62</v>
      </c>
      <c r="B60" s="2972"/>
      <c r="C60" s="2972"/>
      <c r="D60" s="2972"/>
      <c r="E60" s="2972"/>
      <c r="F60" s="2972"/>
      <c r="G60" s="2972"/>
      <c r="H60" s="2972"/>
      <c r="I60" s="2972"/>
      <c r="J60" s="2972"/>
      <c r="K60" s="2972"/>
      <c r="L60" s="2972"/>
      <c r="M60" s="2972"/>
      <c r="N60" s="2972"/>
      <c r="O60" s="2972"/>
      <c r="P60" s="2972"/>
      <c r="Q60" s="2972"/>
      <c r="R60" s="2972"/>
      <c r="S60" s="2973"/>
      <c r="U60" s="7"/>
    </row>
    <row r="61" spans="1:21" s="65" customFormat="1" ht="16.5" customHeight="1" thickBot="1">
      <c r="A61" s="2974" t="s">
        <v>115</v>
      </c>
      <c r="B61" s="2975"/>
      <c r="C61" s="2975"/>
      <c r="D61" s="2975"/>
      <c r="E61" s="2975"/>
      <c r="F61" s="2975"/>
      <c r="G61" s="2975"/>
      <c r="H61" s="2975"/>
      <c r="I61" s="2975"/>
      <c r="J61" s="2975"/>
      <c r="K61" s="2975"/>
      <c r="L61" s="2975"/>
      <c r="M61" s="2975"/>
      <c r="N61" s="2975"/>
      <c r="O61" s="2975"/>
      <c r="P61" s="2975"/>
      <c r="Q61" s="2975"/>
      <c r="R61" s="2975"/>
      <c r="S61" s="2976"/>
      <c r="U61" s="7"/>
    </row>
    <row r="62" spans="1:21" s="65" customFormat="1" ht="16.5" customHeight="1" thickBot="1">
      <c r="A62" s="38" t="s">
        <v>31</v>
      </c>
      <c r="B62" s="39">
        <f>J62</f>
        <v>55</v>
      </c>
      <c r="C62" s="39" t="s">
        <v>3</v>
      </c>
      <c r="D62" s="39">
        <f>K62</f>
        <v>200</v>
      </c>
      <c r="E62" s="39" t="s">
        <v>3</v>
      </c>
      <c r="F62" s="101">
        <f>L62</f>
        <v>600</v>
      </c>
      <c r="G62" s="39" t="s">
        <v>3</v>
      </c>
      <c r="H62" s="39">
        <v>2</v>
      </c>
      <c r="I62" s="40" t="s">
        <v>40</v>
      </c>
      <c r="J62" s="146">
        <v>55</v>
      </c>
      <c r="K62" s="138">
        <v>200</v>
      </c>
      <c r="L62" s="138">
        <v>600</v>
      </c>
      <c r="M62" s="147">
        <v>3.8955251297857139</v>
      </c>
      <c r="N62" s="123">
        <v>32.181104999999995</v>
      </c>
      <c r="O62" s="148">
        <v>10051.402152294238</v>
      </c>
      <c r="P62" s="153">
        <v>11328.663626704481</v>
      </c>
      <c r="Q62" s="139">
        <v>4684.1930551970272</v>
      </c>
      <c r="R62" s="256">
        <v>14735.595207491266</v>
      </c>
      <c r="S62" s="257">
        <v>16012.856681901509</v>
      </c>
      <c r="U62" s="7" t="s">
        <v>612</v>
      </c>
    </row>
    <row r="63" spans="1:21" s="65" customFormat="1" ht="16.5" customHeight="1" thickBot="1">
      <c r="A63" s="41" t="s">
        <v>31</v>
      </c>
      <c r="B63" s="42">
        <f t="shared" ref="B63:B110" si="3">J63</f>
        <v>55</v>
      </c>
      <c r="C63" s="42" t="s">
        <v>3</v>
      </c>
      <c r="D63" s="42">
        <f t="shared" ref="D63:D110" si="4">K63</f>
        <v>200</v>
      </c>
      <c r="E63" s="42" t="s">
        <v>3</v>
      </c>
      <c r="F63" s="101">
        <f t="shared" ref="F63:F110" si="5">L63</f>
        <v>650</v>
      </c>
      <c r="G63" s="42" t="s">
        <v>3</v>
      </c>
      <c r="H63" s="39">
        <v>2</v>
      </c>
      <c r="I63" s="40" t="s">
        <v>40</v>
      </c>
      <c r="J63" s="149">
        <v>55</v>
      </c>
      <c r="K63" s="104">
        <v>200</v>
      </c>
      <c r="L63" s="104">
        <v>650</v>
      </c>
      <c r="M63" s="150">
        <v>4.1619731083142861</v>
      </c>
      <c r="N63" s="78">
        <v>38.617325999999991</v>
      </c>
      <c r="O63" s="111">
        <v>10456.986836863767</v>
      </c>
      <c r="P63" s="109">
        <v>11826.436818133203</v>
      </c>
      <c r="Q63" s="110">
        <v>5069.8581384389981</v>
      </c>
      <c r="R63" s="258">
        <v>15526.844975302765</v>
      </c>
      <c r="S63" s="259">
        <v>16896.294956572201</v>
      </c>
      <c r="U63" s="7" t="s">
        <v>613</v>
      </c>
    </row>
    <row r="64" spans="1:21" s="65" customFormat="1" ht="16.5" customHeight="1" thickBot="1">
      <c r="A64" s="41" t="s">
        <v>31</v>
      </c>
      <c r="B64" s="42">
        <f t="shared" si="3"/>
        <v>55</v>
      </c>
      <c r="C64" s="42" t="s">
        <v>3</v>
      </c>
      <c r="D64" s="42">
        <f t="shared" si="4"/>
        <v>200</v>
      </c>
      <c r="E64" s="42" t="s">
        <v>3</v>
      </c>
      <c r="F64" s="101">
        <f t="shared" si="5"/>
        <v>700</v>
      </c>
      <c r="G64" s="42" t="s">
        <v>3</v>
      </c>
      <c r="H64" s="39">
        <v>2</v>
      </c>
      <c r="I64" s="40" t="s">
        <v>40</v>
      </c>
      <c r="J64" s="149">
        <v>55</v>
      </c>
      <c r="K64" s="104">
        <v>200</v>
      </c>
      <c r="L64" s="104">
        <v>700</v>
      </c>
      <c r="M64" s="150">
        <v>4.4284210868428566</v>
      </c>
      <c r="N64" s="78">
        <v>45.053546999999988</v>
      </c>
      <c r="O64" s="111">
        <v>10862.571521433294</v>
      </c>
      <c r="P64" s="109">
        <v>12324.210009561924</v>
      </c>
      <c r="Q64" s="110">
        <v>5455.52322168097</v>
      </c>
      <c r="R64" s="258">
        <v>16318.094743114263</v>
      </c>
      <c r="S64" s="259">
        <v>17779.733231242895</v>
      </c>
      <c r="U64" s="7" t="s">
        <v>614</v>
      </c>
    </row>
    <row r="65" spans="1:21" s="65" customFormat="1" ht="16.5" customHeight="1" thickBot="1">
      <c r="A65" s="41" t="s">
        <v>31</v>
      </c>
      <c r="B65" s="42">
        <f t="shared" si="3"/>
        <v>55</v>
      </c>
      <c r="C65" s="42" t="s">
        <v>3</v>
      </c>
      <c r="D65" s="42">
        <f t="shared" si="4"/>
        <v>200</v>
      </c>
      <c r="E65" s="42" t="s">
        <v>3</v>
      </c>
      <c r="F65" s="101">
        <f t="shared" si="5"/>
        <v>750</v>
      </c>
      <c r="G65" s="42" t="s">
        <v>3</v>
      </c>
      <c r="H65" s="39">
        <v>2</v>
      </c>
      <c r="I65" s="40" t="s">
        <v>40</v>
      </c>
      <c r="J65" s="149">
        <v>55</v>
      </c>
      <c r="K65" s="104">
        <v>200</v>
      </c>
      <c r="L65" s="104">
        <v>750</v>
      </c>
      <c r="M65" s="150">
        <v>4.6948690653714289</v>
      </c>
      <c r="N65" s="78">
        <v>51.489767999999998</v>
      </c>
      <c r="O65" s="111">
        <v>11268.156359031587</v>
      </c>
      <c r="P65" s="109">
        <v>12821.983047961879</v>
      </c>
      <c r="Q65" s="110">
        <v>5841.1884579517073</v>
      </c>
      <c r="R65" s="258">
        <v>17109.344816983295</v>
      </c>
      <c r="S65" s="259">
        <v>18663.171505913586</v>
      </c>
      <c r="U65" s="7" t="s">
        <v>615</v>
      </c>
    </row>
    <row r="66" spans="1:21" s="65" customFormat="1" ht="16.5" customHeight="1" thickBot="1">
      <c r="A66" s="41" t="s">
        <v>31</v>
      </c>
      <c r="B66" s="42">
        <f t="shared" si="3"/>
        <v>55</v>
      </c>
      <c r="C66" s="42" t="s">
        <v>3</v>
      </c>
      <c r="D66" s="42">
        <f t="shared" si="4"/>
        <v>200</v>
      </c>
      <c r="E66" s="42" t="s">
        <v>3</v>
      </c>
      <c r="F66" s="101">
        <f t="shared" si="5"/>
        <v>800</v>
      </c>
      <c r="G66" s="42" t="s">
        <v>3</v>
      </c>
      <c r="H66" s="39">
        <v>2</v>
      </c>
      <c r="I66" s="40" t="s">
        <v>40</v>
      </c>
      <c r="J66" s="149">
        <v>55</v>
      </c>
      <c r="K66" s="104">
        <v>200</v>
      </c>
      <c r="L66" s="104">
        <v>800</v>
      </c>
      <c r="M66" s="150">
        <v>4.96132611131</v>
      </c>
      <c r="N66" s="78">
        <v>57.925988999999994</v>
      </c>
      <c r="O66" s="111">
        <v>11673.741043601116</v>
      </c>
      <c r="P66" s="109">
        <v>13319.756239390603</v>
      </c>
      <c r="Q66" s="110">
        <v>6226.8535411936782</v>
      </c>
      <c r="R66" s="258">
        <v>17900.594584794795</v>
      </c>
      <c r="S66" s="259">
        <v>19546.60978058428</v>
      </c>
      <c r="U66" s="7" t="s">
        <v>616</v>
      </c>
    </row>
    <row r="67" spans="1:21" s="65" customFormat="1" ht="16.5" customHeight="1" thickBot="1">
      <c r="A67" s="41" t="s">
        <v>31</v>
      </c>
      <c r="B67" s="42">
        <f t="shared" si="3"/>
        <v>55</v>
      </c>
      <c r="C67" s="42" t="s">
        <v>3</v>
      </c>
      <c r="D67" s="42">
        <f t="shared" si="4"/>
        <v>200</v>
      </c>
      <c r="E67" s="42" t="s">
        <v>3</v>
      </c>
      <c r="F67" s="101">
        <f t="shared" si="5"/>
        <v>850</v>
      </c>
      <c r="G67" s="42" t="s">
        <v>3</v>
      </c>
      <c r="H67" s="39">
        <v>2</v>
      </c>
      <c r="I67" s="40" t="s">
        <v>40</v>
      </c>
      <c r="J67" s="149">
        <v>55</v>
      </c>
      <c r="K67" s="104">
        <v>200</v>
      </c>
      <c r="L67" s="104">
        <v>850</v>
      </c>
      <c r="M67" s="150">
        <v>5.2277740898385705</v>
      </c>
      <c r="N67" s="78">
        <v>64.36220999999999</v>
      </c>
      <c r="O67" s="111">
        <v>12079.325728170643</v>
      </c>
      <c r="P67" s="109">
        <v>13817.529430819321</v>
      </c>
      <c r="Q67" s="110">
        <v>6612.5186244356501</v>
      </c>
      <c r="R67" s="258">
        <v>18691.844352606291</v>
      </c>
      <c r="S67" s="259">
        <v>20430.048055254971</v>
      </c>
      <c r="U67" s="7" t="s">
        <v>617</v>
      </c>
    </row>
    <row r="68" spans="1:21" s="65" customFormat="1" ht="16.5" customHeight="1" thickBot="1">
      <c r="A68" s="41" t="s">
        <v>31</v>
      </c>
      <c r="B68" s="42">
        <f t="shared" si="3"/>
        <v>55</v>
      </c>
      <c r="C68" s="42" t="s">
        <v>3</v>
      </c>
      <c r="D68" s="42">
        <f t="shared" si="4"/>
        <v>200</v>
      </c>
      <c r="E68" s="42" t="s">
        <v>3</v>
      </c>
      <c r="F68" s="101">
        <f t="shared" si="5"/>
        <v>900</v>
      </c>
      <c r="G68" s="42" t="s">
        <v>3</v>
      </c>
      <c r="H68" s="39">
        <v>2</v>
      </c>
      <c r="I68" s="40" t="s">
        <v>40</v>
      </c>
      <c r="J68" s="149">
        <v>55</v>
      </c>
      <c r="K68" s="104">
        <v>200</v>
      </c>
      <c r="L68" s="104">
        <v>900</v>
      </c>
      <c r="M68" s="150">
        <v>5.4942220683671437</v>
      </c>
      <c r="N68" s="78">
        <v>70.798430999999994</v>
      </c>
      <c r="O68" s="111">
        <v>12484.910565768936</v>
      </c>
      <c r="P68" s="109">
        <v>14315.302622248042</v>
      </c>
      <c r="Q68" s="110">
        <v>6998.1837076776219</v>
      </c>
      <c r="R68" s="258">
        <v>19483.094273446557</v>
      </c>
      <c r="S68" s="259">
        <v>21313.486329925665</v>
      </c>
      <c r="U68" s="7" t="s">
        <v>618</v>
      </c>
    </row>
    <row r="69" spans="1:21" s="65" customFormat="1" ht="16.5" customHeight="1" thickBot="1">
      <c r="A69" s="41" t="s">
        <v>31</v>
      </c>
      <c r="B69" s="42">
        <f t="shared" si="3"/>
        <v>55</v>
      </c>
      <c r="C69" s="42" t="s">
        <v>3</v>
      </c>
      <c r="D69" s="42">
        <f t="shared" si="4"/>
        <v>200</v>
      </c>
      <c r="E69" s="42" t="s">
        <v>3</v>
      </c>
      <c r="F69" s="101">
        <f t="shared" si="5"/>
        <v>950</v>
      </c>
      <c r="G69" s="42" t="s">
        <v>3</v>
      </c>
      <c r="H69" s="39">
        <v>2</v>
      </c>
      <c r="I69" s="40" t="s">
        <v>40</v>
      </c>
      <c r="J69" s="149">
        <v>55</v>
      </c>
      <c r="K69" s="104">
        <v>200</v>
      </c>
      <c r="L69" s="104">
        <v>950</v>
      </c>
      <c r="M69" s="150">
        <v>5.760670046895715</v>
      </c>
      <c r="N69" s="78">
        <v>77.234651999999983</v>
      </c>
      <c r="O69" s="111">
        <v>12890.495250338465</v>
      </c>
      <c r="P69" s="109">
        <v>14813.075660648001</v>
      </c>
      <c r="Q69" s="110">
        <v>7383.8489439483583</v>
      </c>
      <c r="R69" s="258">
        <v>20274.344194286823</v>
      </c>
      <c r="S69" s="259">
        <v>22196.924604596359</v>
      </c>
      <c r="U69" s="7" t="s">
        <v>619</v>
      </c>
    </row>
    <row r="70" spans="1:21" s="65" customFormat="1" ht="16.5" customHeight="1" thickBot="1">
      <c r="A70" s="41" t="s">
        <v>31</v>
      </c>
      <c r="B70" s="42">
        <f t="shared" si="3"/>
        <v>55</v>
      </c>
      <c r="C70" s="42" t="s">
        <v>3</v>
      </c>
      <c r="D70" s="42">
        <f t="shared" si="4"/>
        <v>200</v>
      </c>
      <c r="E70" s="42" t="s">
        <v>3</v>
      </c>
      <c r="F70" s="101">
        <f t="shared" si="5"/>
        <v>1000</v>
      </c>
      <c r="G70" s="42" t="s">
        <v>3</v>
      </c>
      <c r="H70" s="39">
        <v>2</v>
      </c>
      <c r="I70" s="40" t="s">
        <v>40</v>
      </c>
      <c r="J70" s="149">
        <v>55</v>
      </c>
      <c r="K70" s="104">
        <v>200</v>
      </c>
      <c r="L70" s="104">
        <v>1000</v>
      </c>
      <c r="M70" s="150">
        <v>6.0271180254242864</v>
      </c>
      <c r="N70" s="78">
        <v>83.670872999999986</v>
      </c>
      <c r="O70" s="111">
        <v>13296.07993490799</v>
      </c>
      <c r="P70" s="109">
        <v>15310.848852076719</v>
      </c>
      <c r="Q70" s="110">
        <v>7769.514027190331</v>
      </c>
      <c r="R70" s="258">
        <v>21065.593962098319</v>
      </c>
      <c r="S70" s="259">
        <v>23080.36287926705</v>
      </c>
      <c r="U70" s="7" t="s">
        <v>620</v>
      </c>
    </row>
    <row r="71" spans="1:21" s="65" customFormat="1" ht="16.5" customHeight="1" thickBot="1">
      <c r="A71" s="41" t="s">
        <v>31</v>
      </c>
      <c r="B71" s="42">
        <f t="shared" si="3"/>
        <v>55</v>
      </c>
      <c r="C71" s="42" t="s">
        <v>3</v>
      </c>
      <c r="D71" s="42">
        <f t="shared" si="4"/>
        <v>200</v>
      </c>
      <c r="E71" s="42" t="s">
        <v>3</v>
      </c>
      <c r="F71" s="101">
        <f t="shared" si="5"/>
        <v>1050</v>
      </c>
      <c r="G71" s="42" t="s">
        <v>3</v>
      </c>
      <c r="H71" s="39">
        <v>2</v>
      </c>
      <c r="I71" s="40" t="s">
        <v>40</v>
      </c>
      <c r="J71" s="149">
        <v>55</v>
      </c>
      <c r="K71" s="104">
        <v>200</v>
      </c>
      <c r="L71" s="104">
        <v>1050</v>
      </c>
      <c r="M71" s="150">
        <v>6.2935660039528578</v>
      </c>
      <c r="N71" s="78">
        <v>90.107093999999975</v>
      </c>
      <c r="O71" s="111">
        <v>13701.66461947752</v>
      </c>
      <c r="P71" s="109">
        <v>15808.622043505442</v>
      </c>
      <c r="Q71" s="110">
        <v>8155.1791104323029</v>
      </c>
      <c r="R71" s="258">
        <v>21856.843729909822</v>
      </c>
      <c r="S71" s="259">
        <v>23963.801153937744</v>
      </c>
      <c r="U71" s="7" t="s">
        <v>621</v>
      </c>
    </row>
    <row r="72" spans="1:21" s="65" customFormat="1" ht="16.5" customHeight="1" thickBot="1">
      <c r="A72" s="38" t="s">
        <v>31</v>
      </c>
      <c r="B72" s="39">
        <f t="shared" si="3"/>
        <v>55</v>
      </c>
      <c r="C72" s="39" t="s">
        <v>3</v>
      </c>
      <c r="D72" s="39">
        <f t="shared" si="4"/>
        <v>200</v>
      </c>
      <c r="E72" s="39" t="s">
        <v>3</v>
      </c>
      <c r="F72" s="101">
        <f t="shared" si="5"/>
        <v>1100</v>
      </c>
      <c r="G72" s="39" t="s">
        <v>3</v>
      </c>
      <c r="H72" s="39">
        <v>2</v>
      </c>
      <c r="I72" s="40" t="s">
        <v>40</v>
      </c>
      <c r="J72" s="149">
        <v>55</v>
      </c>
      <c r="K72" s="104">
        <v>200</v>
      </c>
      <c r="L72" s="104">
        <v>1100</v>
      </c>
      <c r="M72" s="150">
        <v>6.5600139824814292</v>
      </c>
      <c r="N72" s="78">
        <v>96.543314999999978</v>
      </c>
      <c r="O72" s="111">
        <v>14107.249457075814</v>
      </c>
      <c r="P72" s="109">
        <v>16306.395234934163</v>
      </c>
      <c r="Q72" s="110">
        <v>8540.8441936742729</v>
      </c>
      <c r="R72" s="258">
        <v>22648.093650750088</v>
      </c>
      <c r="S72" s="259">
        <v>24847.239428608438</v>
      </c>
      <c r="U72" s="7" t="s">
        <v>622</v>
      </c>
    </row>
    <row r="73" spans="1:21" s="65" customFormat="1" ht="16.5" customHeight="1" thickBot="1">
      <c r="A73" s="41" t="s">
        <v>31</v>
      </c>
      <c r="B73" s="42">
        <f t="shared" si="3"/>
        <v>55</v>
      </c>
      <c r="C73" s="42" t="s">
        <v>3</v>
      </c>
      <c r="D73" s="42">
        <f t="shared" si="4"/>
        <v>200</v>
      </c>
      <c r="E73" s="42" t="s">
        <v>3</v>
      </c>
      <c r="F73" s="101">
        <f t="shared" si="5"/>
        <v>1150</v>
      </c>
      <c r="G73" s="42" t="s">
        <v>3</v>
      </c>
      <c r="H73" s="39">
        <v>2</v>
      </c>
      <c r="I73" s="40" t="s">
        <v>40</v>
      </c>
      <c r="J73" s="149">
        <v>55</v>
      </c>
      <c r="K73" s="104">
        <v>200</v>
      </c>
      <c r="L73" s="104">
        <v>1150</v>
      </c>
      <c r="M73" s="150">
        <v>6.8264619610100006</v>
      </c>
      <c r="N73" s="78">
        <v>102.979536</v>
      </c>
      <c r="O73" s="111">
        <v>14512.834141645339</v>
      </c>
      <c r="P73" s="109">
        <v>16804.168273334119</v>
      </c>
      <c r="Q73" s="110">
        <v>8926.5092769162457</v>
      </c>
      <c r="R73" s="258">
        <v>23439.343418561584</v>
      </c>
      <c r="S73" s="259">
        <v>25730.677550250366</v>
      </c>
      <c r="U73" s="7" t="s">
        <v>623</v>
      </c>
    </row>
    <row r="74" spans="1:21" s="65" customFormat="1" ht="16.5" customHeight="1" thickBot="1">
      <c r="A74" s="41" t="s">
        <v>31</v>
      </c>
      <c r="B74" s="42">
        <f t="shared" si="3"/>
        <v>55</v>
      </c>
      <c r="C74" s="42" t="s">
        <v>3</v>
      </c>
      <c r="D74" s="42">
        <f t="shared" si="4"/>
        <v>200</v>
      </c>
      <c r="E74" s="42" t="s">
        <v>3</v>
      </c>
      <c r="F74" s="101">
        <f t="shared" si="5"/>
        <v>1200</v>
      </c>
      <c r="G74" s="42" t="s">
        <v>3</v>
      </c>
      <c r="H74" s="39">
        <v>2</v>
      </c>
      <c r="I74" s="40" t="s">
        <v>40</v>
      </c>
      <c r="J74" s="149">
        <v>55</v>
      </c>
      <c r="K74" s="104">
        <v>200</v>
      </c>
      <c r="L74" s="104">
        <v>1200</v>
      </c>
      <c r="M74" s="150">
        <v>7.1607099395385729</v>
      </c>
      <c r="N74" s="78">
        <v>109.41575699999999</v>
      </c>
      <c r="O74" s="111">
        <v>14965.919107938435</v>
      </c>
      <c r="P74" s="109">
        <v>17347.993788310792</v>
      </c>
      <c r="Q74" s="110">
        <v>9312.1745131869829</v>
      </c>
      <c r="R74" s="258">
        <v>24278.093621125416</v>
      </c>
      <c r="S74" s="259">
        <v>26660.168301497775</v>
      </c>
      <c r="U74" s="7" t="s">
        <v>624</v>
      </c>
    </row>
    <row r="75" spans="1:21" s="65" customFormat="1" ht="16.5" customHeight="1" thickBot="1">
      <c r="A75" s="41" t="s">
        <v>31</v>
      </c>
      <c r="B75" s="42">
        <f t="shared" si="3"/>
        <v>55</v>
      </c>
      <c r="C75" s="42" t="s">
        <v>3</v>
      </c>
      <c r="D75" s="42">
        <f t="shared" si="4"/>
        <v>200</v>
      </c>
      <c r="E75" s="42" t="s">
        <v>3</v>
      </c>
      <c r="F75" s="101">
        <f t="shared" si="5"/>
        <v>1250</v>
      </c>
      <c r="G75" s="42" t="s">
        <v>3</v>
      </c>
      <c r="H75" s="39">
        <v>2</v>
      </c>
      <c r="I75" s="40" t="s">
        <v>40</v>
      </c>
      <c r="J75" s="149">
        <v>55</v>
      </c>
      <c r="K75" s="104">
        <v>200</v>
      </c>
      <c r="L75" s="104">
        <v>1250</v>
      </c>
      <c r="M75" s="150">
        <v>7.4271579180671434</v>
      </c>
      <c r="N75" s="78">
        <v>115.85197799999999</v>
      </c>
      <c r="O75" s="111">
        <v>15371.50379250796</v>
      </c>
      <c r="P75" s="109">
        <v>17845.766979739514</v>
      </c>
      <c r="Q75" s="110">
        <v>9697.8395964289539</v>
      </c>
      <c r="R75" s="258">
        <v>25069.343388936912</v>
      </c>
      <c r="S75" s="259">
        <v>27543.606576168466</v>
      </c>
      <c r="U75" s="7" t="s">
        <v>625</v>
      </c>
    </row>
    <row r="76" spans="1:21" s="65" customFormat="1" ht="16.5" customHeight="1" thickBot="1">
      <c r="A76" s="41" t="s">
        <v>31</v>
      </c>
      <c r="B76" s="42">
        <f t="shared" si="3"/>
        <v>55</v>
      </c>
      <c r="C76" s="42" t="s">
        <v>3</v>
      </c>
      <c r="D76" s="42">
        <f t="shared" si="4"/>
        <v>200</v>
      </c>
      <c r="E76" s="42" t="s">
        <v>3</v>
      </c>
      <c r="F76" s="101">
        <f t="shared" si="5"/>
        <v>1300</v>
      </c>
      <c r="G76" s="42" t="s">
        <v>3</v>
      </c>
      <c r="H76" s="39">
        <v>2</v>
      </c>
      <c r="I76" s="40" t="s">
        <v>40</v>
      </c>
      <c r="J76" s="149">
        <v>55</v>
      </c>
      <c r="K76" s="104">
        <v>200</v>
      </c>
      <c r="L76" s="104">
        <v>1300</v>
      </c>
      <c r="M76" s="150">
        <v>7.6936058965957139</v>
      </c>
      <c r="N76" s="78">
        <v>122.28819899999998</v>
      </c>
      <c r="O76" s="111">
        <v>15777.08847707749</v>
      </c>
      <c r="P76" s="109">
        <v>18343.540171168235</v>
      </c>
      <c r="Q76" s="110">
        <v>10083.504679670925</v>
      </c>
      <c r="R76" s="258">
        <v>25860.593156748415</v>
      </c>
      <c r="S76" s="259">
        <v>28427.04485083916</v>
      </c>
      <c r="U76" s="7" t="s">
        <v>626</v>
      </c>
    </row>
    <row r="77" spans="1:21" s="65" customFormat="1" ht="16.5" customHeight="1" thickBot="1">
      <c r="A77" s="41" t="s">
        <v>31</v>
      </c>
      <c r="B77" s="42">
        <f t="shared" si="3"/>
        <v>55</v>
      </c>
      <c r="C77" s="42" t="s">
        <v>3</v>
      </c>
      <c r="D77" s="42">
        <f t="shared" si="4"/>
        <v>200</v>
      </c>
      <c r="E77" s="42" t="s">
        <v>3</v>
      </c>
      <c r="F77" s="101">
        <f t="shared" si="5"/>
        <v>1350</v>
      </c>
      <c r="G77" s="42" t="s">
        <v>3</v>
      </c>
      <c r="H77" s="39">
        <v>2</v>
      </c>
      <c r="I77" s="40" t="s">
        <v>40</v>
      </c>
      <c r="J77" s="149">
        <v>55</v>
      </c>
      <c r="K77" s="104">
        <v>200</v>
      </c>
      <c r="L77" s="104">
        <v>1350</v>
      </c>
      <c r="M77" s="150">
        <v>7.9600538751242862</v>
      </c>
      <c r="N77" s="78">
        <v>128.72441999999998</v>
      </c>
      <c r="O77" s="111">
        <v>16182.673314675783</v>
      </c>
      <c r="P77" s="109">
        <v>18841.313362596953</v>
      </c>
      <c r="Q77" s="110">
        <v>10469.169762912898</v>
      </c>
      <c r="R77" s="258">
        <v>26651.843077588681</v>
      </c>
      <c r="S77" s="259">
        <v>29310.483125509851</v>
      </c>
      <c r="U77" s="7" t="s">
        <v>627</v>
      </c>
    </row>
    <row r="78" spans="1:21" s="65" customFormat="1" ht="16.5" customHeight="1" thickBot="1">
      <c r="A78" s="41" t="s">
        <v>31</v>
      </c>
      <c r="B78" s="42">
        <f t="shared" si="3"/>
        <v>55</v>
      </c>
      <c r="C78" s="42" t="s">
        <v>3</v>
      </c>
      <c r="D78" s="42">
        <f t="shared" si="4"/>
        <v>200</v>
      </c>
      <c r="E78" s="42" t="s">
        <v>3</v>
      </c>
      <c r="F78" s="101">
        <f t="shared" si="5"/>
        <v>1400</v>
      </c>
      <c r="G78" s="42" t="s">
        <v>3</v>
      </c>
      <c r="H78" s="39">
        <v>2</v>
      </c>
      <c r="I78" s="40" t="s">
        <v>40</v>
      </c>
      <c r="J78" s="149">
        <v>55</v>
      </c>
      <c r="K78" s="104">
        <v>200</v>
      </c>
      <c r="L78" s="104">
        <v>1400</v>
      </c>
      <c r="M78" s="150">
        <v>8.2265018536528576</v>
      </c>
      <c r="N78" s="78">
        <v>135.160641</v>
      </c>
      <c r="O78" s="111">
        <v>16588.25799924531</v>
      </c>
      <c r="P78" s="109">
        <v>19339.086400996912</v>
      </c>
      <c r="Q78" s="110">
        <v>10854.834999183635</v>
      </c>
      <c r="R78" s="258">
        <v>27443.092998428947</v>
      </c>
      <c r="S78" s="259">
        <v>30193.921400180545</v>
      </c>
      <c r="U78" s="7" t="s">
        <v>628</v>
      </c>
    </row>
    <row r="79" spans="1:21" s="65" customFormat="1" ht="16.5" customHeight="1" thickBot="1">
      <c r="A79" s="41" t="s">
        <v>31</v>
      </c>
      <c r="B79" s="42">
        <f t="shared" si="3"/>
        <v>55</v>
      </c>
      <c r="C79" s="42" t="s">
        <v>3</v>
      </c>
      <c r="D79" s="42">
        <f t="shared" si="4"/>
        <v>200</v>
      </c>
      <c r="E79" s="42" t="s">
        <v>3</v>
      </c>
      <c r="F79" s="101">
        <f t="shared" si="5"/>
        <v>1450</v>
      </c>
      <c r="G79" s="42" t="s">
        <v>3</v>
      </c>
      <c r="H79" s="39">
        <v>2</v>
      </c>
      <c r="I79" s="40" t="s">
        <v>40</v>
      </c>
      <c r="J79" s="149">
        <v>55</v>
      </c>
      <c r="K79" s="104">
        <v>200</v>
      </c>
      <c r="L79" s="104">
        <v>1450</v>
      </c>
      <c r="M79" s="150">
        <v>8.4929498321814307</v>
      </c>
      <c r="N79" s="78">
        <v>141.59686199999999</v>
      </c>
      <c r="O79" s="111">
        <v>16993.842683814837</v>
      </c>
      <c r="P79" s="109">
        <v>19836.85959242563</v>
      </c>
      <c r="Q79" s="110">
        <v>11240.500082425606</v>
      </c>
      <c r="R79" s="258">
        <v>28234.342766240443</v>
      </c>
      <c r="S79" s="259">
        <v>31077.359674851235</v>
      </c>
      <c r="U79" s="7" t="s">
        <v>629</v>
      </c>
    </row>
    <row r="80" spans="1:21" s="65" customFormat="1" ht="16.5" customHeight="1" thickBot="1">
      <c r="A80" s="41" t="s">
        <v>31</v>
      </c>
      <c r="B80" s="42">
        <f t="shared" si="3"/>
        <v>55</v>
      </c>
      <c r="C80" s="42" t="s">
        <v>3</v>
      </c>
      <c r="D80" s="42">
        <f t="shared" si="4"/>
        <v>200</v>
      </c>
      <c r="E80" s="42" t="s">
        <v>3</v>
      </c>
      <c r="F80" s="101">
        <f t="shared" si="5"/>
        <v>1500</v>
      </c>
      <c r="G80" s="42" t="s">
        <v>3</v>
      </c>
      <c r="H80" s="39">
        <v>2</v>
      </c>
      <c r="I80" s="40" t="s">
        <v>40</v>
      </c>
      <c r="J80" s="149">
        <v>55</v>
      </c>
      <c r="K80" s="104">
        <v>200</v>
      </c>
      <c r="L80" s="104">
        <v>1500</v>
      </c>
      <c r="M80" s="150">
        <v>8.8483807227099991</v>
      </c>
      <c r="N80" s="78">
        <v>148.03308299999998</v>
      </c>
      <c r="O80" s="111">
        <v>17958.012507757347</v>
      </c>
      <c r="P80" s="109">
        <v>20798.008322487043</v>
      </c>
      <c r="Q80" s="110">
        <v>11626.165165667579</v>
      </c>
      <c r="R80" s="258">
        <v>29584.177673424925</v>
      </c>
      <c r="S80" s="259">
        <v>32424.173488154622</v>
      </c>
      <c r="U80" s="7" t="s">
        <v>630</v>
      </c>
    </row>
    <row r="81" spans="1:21" s="65" customFormat="1" ht="16.5" customHeight="1" thickBot="1">
      <c r="A81" s="41" t="s">
        <v>31</v>
      </c>
      <c r="B81" s="42">
        <f t="shared" si="3"/>
        <v>55</v>
      </c>
      <c r="C81" s="42" t="s">
        <v>3</v>
      </c>
      <c r="D81" s="42">
        <f t="shared" si="4"/>
        <v>200</v>
      </c>
      <c r="E81" s="42" t="s">
        <v>3</v>
      </c>
      <c r="F81" s="101">
        <f t="shared" si="5"/>
        <v>1550</v>
      </c>
      <c r="G81" s="42" t="s">
        <v>3</v>
      </c>
      <c r="H81" s="39">
        <v>2</v>
      </c>
      <c r="I81" s="40" t="s">
        <v>40</v>
      </c>
      <c r="J81" s="149">
        <v>55</v>
      </c>
      <c r="K81" s="104">
        <v>200</v>
      </c>
      <c r="L81" s="104">
        <v>1550</v>
      </c>
      <c r="M81" s="150">
        <v>9.1148287012385705</v>
      </c>
      <c r="N81" s="78">
        <v>154.46930399999997</v>
      </c>
      <c r="O81" s="111">
        <v>18363.59719232687</v>
      </c>
      <c r="P81" s="109">
        <v>21295.781360886998</v>
      </c>
      <c r="Q81" s="110">
        <v>12011.830248909549</v>
      </c>
      <c r="R81" s="258">
        <v>30375.427441236418</v>
      </c>
      <c r="S81" s="259">
        <v>33307.61160979655</v>
      </c>
      <c r="U81" s="7" t="s">
        <v>631</v>
      </c>
    </row>
    <row r="82" spans="1:21" s="65" customFormat="1" ht="16.5" customHeight="1" thickBot="1">
      <c r="A82" s="38" t="s">
        <v>31</v>
      </c>
      <c r="B82" s="39">
        <f t="shared" si="3"/>
        <v>55</v>
      </c>
      <c r="C82" s="39" t="s">
        <v>3</v>
      </c>
      <c r="D82" s="39">
        <f t="shared" si="4"/>
        <v>200</v>
      </c>
      <c r="E82" s="39" t="s">
        <v>3</v>
      </c>
      <c r="F82" s="101">
        <f t="shared" si="5"/>
        <v>1600</v>
      </c>
      <c r="G82" s="39" t="s">
        <v>3</v>
      </c>
      <c r="H82" s="39">
        <v>2</v>
      </c>
      <c r="I82" s="40" t="s">
        <v>40</v>
      </c>
      <c r="J82" s="149">
        <v>55</v>
      </c>
      <c r="K82" s="104">
        <v>200</v>
      </c>
      <c r="L82" s="104">
        <v>1600</v>
      </c>
      <c r="M82" s="150">
        <v>9.3812766797671419</v>
      </c>
      <c r="N82" s="78">
        <v>160.90552499999998</v>
      </c>
      <c r="O82" s="111">
        <v>18769.1818768964</v>
      </c>
      <c r="P82" s="109">
        <v>21793.55455231572</v>
      </c>
      <c r="Q82" s="110">
        <v>12397.495332151522</v>
      </c>
      <c r="R82" s="258">
        <v>31166.677209047921</v>
      </c>
      <c r="S82" s="259">
        <v>34191.04988446724</v>
      </c>
      <c r="U82" s="7" t="s">
        <v>632</v>
      </c>
    </row>
    <row r="83" spans="1:21" s="65" customFormat="1" ht="16.5" customHeight="1" thickBot="1">
      <c r="A83" s="41" t="s">
        <v>31</v>
      </c>
      <c r="B83" s="42">
        <f t="shared" si="3"/>
        <v>55</v>
      </c>
      <c r="C83" s="42" t="s">
        <v>3</v>
      </c>
      <c r="D83" s="42">
        <f t="shared" si="4"/>
        <v>200</v>
      </c>
      <c r="E83" s="42" t="s">
        <v>3</v>
      </c>
      <c r="F83" s="101">
        <f t="shared" si="5"/>
        <v>1650</v>
      </c>
      <c r="G83" s="42" t="s">
        <v>3</v>
      </c>
      <c r="H83" s="39">
        <v>2</v>
      </c>
      <c r="I83" s="40" t="s">
        <v>40</v>
      </c>
      <c r="J83" s="149">
        <v>55</v>
      </c>
      <c r="K83" s="104">
        <v>200</v>
      </c>
      <c r="L83" s="104">
        <v>1650</v>
      </c>
      <c r="M83" s="150">
        <v>9.647724658295715</v>
      </c>
      <c r="N83" s="78">
        <v>167.34174599999997</v>
      </c>
      <c r="O83" s="111">
        <v>19174.766714494694</v>
      </c>
      <c r="P83" s="109">
        <v>22291.327743744441</v>
      </c>
      <c r="Q83" s="110">
        <v>12783.16056842226</v>
      </c>
      <c r="R83" s="258">
        <v>31957.927282916953</v>
      </c>
      <c r="S83" s="259">
        <v>35074.488312166701</v>
      </c>
      <c r="U83" s="7" t="s">
        <v>633</v>
      </c>
    </row>
    <row r="84" spans="1:21" s="65" customFormat="1" ht="16.5" customHeight="1" thickBot="1">
      <c r="A84" s="41" t="s">
        <v>31</v>
      </c>
      <c r="B84" s="42">
        <f t="shared" si="3"/>
        <v>55</v>
      </c>
      <c r="C84" s="42" t="s">
        <v>3</v>
      </c>
      <c r="D84" s="42">
        <f t="shared" si="4"/>
        <v>200</v>
      </c>
      <c r="E84" s="42" t="s">
        <v>3</v>
      </c>
      <c r="F84" s="101">
        <f t="shared" si="5"/>
        <v>1700</v>
      </c>
      <c r="G84" s="42" t="s">
        <v>3</v>
      </c>
      <c r="H84" s="39">
        <v>2</v>
      </c>
      <c r="I84" s="40" t="s">
        <v>40</v>
      </c>
      <c r="J84" s="149">
        <v>55</v>
      </c>
      <c r="K84" s="104">
        <v>200</v>
      </c>
      <c r="L84" s="104">
        <v>1700</v>
      </c>
      <c r="M84" s="150">
        <v>9.9141726368242864</v>
      </c>
      <c r="N84" s="78">
        <v>173.77796699999999</v>
      </c>
      <c r="O84" s="111">
        <v>19580.35139906422</v>
      </c>
      <c r="P84" s="109">
        <v>22789.100935173159</v>
      </c>
      <c r="Q84" s="110">
        <v>13168.82565166423</v>
      </c>
      <c r="R84" s="258">
        <v>32749.177050728453</v>
      </c>
      <c r="S84" s="259">
        <v>35957.926586837391</v>
      </c>
      <c r="U84" s="7" t="s">
        <v>634</v>
      </c>
    </row>
    <row r="85" spans="1:21" s="65" customFormat="1" ht="16.5" customHeight="1" thickBot="1">
      <c r="A85" s="41" t="s">
        <v>31</v>
      </c>
      <c r="B85" s="42">
        <f t="shared" si="3"/>
        <v>55</v>
      </c>
      <c r="C85" s="42" t="s">
        <v>3</v>
      </c>
      <c r="D85" s="42">
        <f t="shared" si="4"/>
        <v>200</v>
      </c>
      <c r="E85" s="42" t="s">
        <v>3</v>
      </c>
      <c r="F85" s="101">
        <f t="shared" si="5"/>
        <v>1750</v>
      </c>
      <c r="G85" s="42" t="s">
        <v>3</v>
      </c>
      <c r="H85" s="39">
        <v>2</v>
      </c>
      <c r="I85" s="40" t="s">
        <v>40</v>
      </c>
      <c r="J85" s="149">
        <v>55</v>
      </c>
      <c r="K85" s="104">
        <v>200</v>
      </c>
      <c r="L85" s="104">
        <v>1750</v>
      </c>
      <c r="M85" s="150">
        <v>10.180620615352858</v>
      </c>
      <c r="N85" s="78">
        <v>180.21418799999995</v>
      </c>
      <c r="O85" s="111">
        <v>19985.936083633751</v>
      </c>
      <c r="P85" s="109">
        <v>23286.873973573118</v>
      </c>
      <c r="Q85" s="110">
        <v>13554.490734906201</v>
      </c>
      <c r="R85" s="258">
        <v>33540.426818539956</v>
      </c>
      <c r="S85" s="259">
        <v>36841.364708479319</v>
      </c>
      <c r="U85" s="7" t="s">
        <v>635</v>
      </c>
    </row>
    <row r="86" spans="1:21" s="65" customFormat="1" ht="16.5" customHeight="1" thickBot="1">
      <c r="A86" s="41" t="s">
        <v>31</v>
      </c>
      <c r="B86" s="42">
        <f t="shared" si="3"/>
        <v>55</v>
      </c>
      <c r="C86" s="42" t="s">
        <v>3</v>
      </c>
      <c r="D86" s="42">
        <f t="shared" si="4"/>
        <v>200</v>
      </c>
      <c r="E86" s="42" t="s">
        <v>3</v>
      </c>
      <c r="F86" s="101">
        <f t="shared" si="5"/>
        <v>1800</v>
      </c>
      <c r="G86" s="42" t="s">
        <v>3</v>
      </c>
      <c r="H86" s="39">
        <v>2</v>
      </c>
      <c r="I86" s="40" t="s">
        <v>40</v>
      </c>
      <c r="J86" s="149">
        <v>55</v>
      </c>
      <c r="K86" s="104">
        <v>200</v>
      </c>
      <c r="L86" s="104">
        <v>1800</v>
      </c>
      <c r="M86" s="150">
        <v>10.447068593881429</v>
      </c>
      <c r="N86" s="78">
        <v>186.65040899999997</v>
      </c>
      <c r="O86" s="111">
        <v>20391.520921232044</v>
      </c>
      <c r="P86" s="109">
        <v>23784.647165001839</v>
      </c>
      <c r="Q86" s="110">
        <v>13940.155818148172</v>
      </c>
      <c r="R86" s="258">
        <v>34331.676739380215</v>
      </c>
      <c r="S86" s="259">
        <v>37724.80298315001</v>
      </c>
      <c r="U86" s="7" t="s">
        <v>636</v>
      </c>
    </row>
    <row r="87" spans="1:21" s="65" customFormat="1" ht="16.5" customHeight="1" thickBot="1">
      <c r="A87" s="41" t="s">
        <v>31</v>
      </c>
      <c r="B87" s="42">
        <f t="shared" si="3"/>
        <v>55</v>
      </c>
      <c r="C87" s="42" t="s">
        <v>3</v>
      </c>
      <c r="D87" s="42">
        <f t="shared" si="4"/>
        <v>200</v>
      </c>
      <c r="E87" s="42" t="s">
        <v>3</v>
      </c>
      <c r="F87" s="101">
        <f t="shared" si="5"/>
        <v>1850</v>
      </c>
      <c r="G87" s="42" t="s">
        <v>3</v>
      </c>
      <c r="H87" s="39">
        <v>2</v>
      </c>
      <c r="I87" s="40" t="s">
        <v>40</v>
      </c>
      <c r="J87" s="149">
        <v>55</v>
      </c>
      <c r="K87" s="104">
        <v>200</v>
      </c>
      <c r="L87" s="104">
        <v>1850</v>
      </c>
      <c r="M87" s="150">
        <v>10.713516572410001</v>
      </c>
      <c r="N87" s="78">
        <v>193.08662999999996</v>
      </c>
      <c r="O87" s="111">
        <v>20797.105605801567</v>
      </c>
      <c r="P87" s="109">
        <v>24282.420356430561</v>
      </c>
      <c r="Q87" s="110">
        <v>14325.82105441891</v>
      </c>
      <c r="R87" s="258">
        <v>35122.926660220473</v>
      </c>
      <c r="S87" s="259">
        <v>38608.24141084947</v>
      </c>
      <c r="U87" s="7" t="s">
        <v>637</v>
      </c>
    </row>
    <row r="88" spans="1:21" s="65" customFormat="1" ht="16.5" customHeight="1" thickBot="1">
      <c r="A88" s="41" t="s">
        <v>31</v>
      </c>
      <c r="B88" s="42">
        <f t="shared" si="3"/>
        <v>55</v>
      </c>
      <c r="C88" s="42" t="s">
        <v>3</v>
      </c>
      <c r="D88" s="42">
        <f t="shared" si="4"/>
        <v>200</v>
      </c>
      <c r="E88" s="42" t="s">
        <v>3</v>
      </c>
      <c r="F88" s="101">
        <f t="shared" si="5"/>
        <v>1900</v>
      </c>
      <c r="G88" s="42" t="s">
        <v>3</v>
      </c>
      <c r="H88" s="39">
        <v>2</v>
      </c>
      <c r="I88" s="40" t="s">
        <v>40</v>
      </c>
      <c r="J88" s="149">
        <v>55</v>
      </c>
      <c r="K88" s="104">
        <v>200</v>
      </c>
      <c r="L88" s="104">
        <v>1900</v>
      </c>
      <c r="M88" s="150">
        <v>10.979964550938572</v>
      </c>
      <c r="N88" s="78">
        <v>199.52285099999997</v>
      </c>
      <c r="O88" s="111">
        <v>21202.690290371098</v>
      </c>
      <c r="P88" s="109">
        <v>24780.193547859282</v>
      </c>
      <c r="Q88" s="110">
        <v>14711.486137660881</v>
      </c>
      <c r="R88" s="258">
        <v>35914.176428031977</v>
      </c>
      <c r="S88" s="259">
        <v>39491.679685520161</v>
      </c>
      <c r="U88" s="7" t="s">
        <v>638</v>
      </c>
    </row>
    <row r="89" spans="1:21" s="65" customFormat="1" ht="16.5" customHeight="1" thickBot="1">
      <c r="A89" s="41" t="s">
        <v>31</v>
      </c>
      <c r="B89" s="42">
        <f t="shared" si="3"/>
        <v>55</v>
      </c>
      <c r="C89" s="42" t="s">
        <v>3</v>
      </c>
      <c r="D89" s="42">
        <f t="shared" si="4"/>
        <v>200</v>
      </c>
      <c r="E89" s="42" t="s">
        <v>3</v>
      </c>
      <c r="F89" s="101">
        <f t="shared" si="5"/>
        <v>1950</v>
      </c>
      <c r="G89" s="42" t="s">
        <v>3</v>
      </c>
      <c r="H89" s="39">
        <v>2</v>
      </c>
      <c r="I89" s="40" t="s">
        <v>40</v>
      </c>
      <c r="J89" s="149">
        <v>55</v>
      </c>
      <c r="K89" s="104">
        <v>200</v>
      </c>
      <c r="L89" s="104">
        <v>1950</v>
      </c>
      <c r="M89" s="150">
        <v>11.314212529467145</v>
      </c>
      <c r="N89" s="78">
        <v>205.95907199999999</v>
      </c>
      <c r="O89" s="111">
        <v>21655.77525666419</v>
      </c>
      <c r="P89" s="109">
        <v>25324.019062835952</v>
      </c>
      <c r="Q89" s="110">
        <v>15097.151220902853</v>
      </c>
      <c r="R89" s="258">
        <v>36752.926477567045</v>
      </c>
      <c r="S89" s="259">
        <v>40421.170283738807</v>
      </c>
      <c r="U89" s="7" t="s">
        <v>639</v>
      </c>
    </row>
    <row r="90" spans="1:21" s="65" customFormat="1" ht="16.5" customHeight="1" thickBot="1">
      <c r="A90" s="41" t="s">
        <v>31</v>
      </c>
      <c r="B90" s="42">
        <f t="shared" si="3"/>
        <v>55</v>
      </c>
      <c r="C90" s="42" t="s">
        <v>3</v>
      </c>
      <c r="D90" s="42">
        <f t="shared" si="4"/>
        <v>200</v>
      </c>
      <c r="E90" s="42" t="s">
        <v>3</v>
      </c>
      <c r="F90" s="101">
        <f t="shared" si="5"/>
        <v>2000</v>
      </c>
      <c r="G90" s="42" t="s">
        <v>3</v>
      </c>
      <c r="H90" s="39">
        <v>2</v>
      </c>
      <c r="I90" s="40" t="s">
        <v>40</v>
      </c>
      <c r="J90" s="149">
        <v>55</v>
      </c>
      <c r="K90" s="104">
        <v>200</v>
      </c>
      <c r="L90" s="104">
        <v>2000</v>
      </c>
      <c r="M90" s="150">
        <v>11.672231975405714</v>
      </c>
      <c r="N90" s="78">
        <v>212.39529299999995</v>
      </c>
      <c r="O90" s="111">
        <v>22300.087263288962</v>
      </c>
      <c r="P90" s="109">
        <v>26133.799236845203</v>
      </c>
      <c r="Q90" s="110">
        <v>15482.816304144826</v>
      </c>
      <c r="R90" s="258">
        <v>37782.903567433787</v>
      </c>
      <c r="S90" s="259">
        <v>41616.615540990031</v>
      </c>
      <c r="U90" s="7" t="s">
        <v>640</v>
      </c>
    </row>
    <row r="91" spans="1:21" s="65" customFormat="1" ht="16.5" customHeight="1" thickBot="1">
      <c r="A91" s="41" t="s">
        <v>31</v>
      </c>
      <c r="B91" s="42">
        <f t="shared" si="3"/>
        <v>55</v>
      </c>
      <c r="C91" s="42" t="s">
        <v>3</v>
      </c>
      <c r="D91" s="42">
        <f t="shared" si="4"/>
        <v>200</v>
      </c>
      <c r="E91" s="42" t="s">
        <v>3</v>
      </c>
      <c r="F91" s="101">
        <f t="shared" si="5"/>
        <v>2050</v>
      </c>
      <c r="G91" s="42" t="s">
        <v>3</v>
      </c>
      <c r="H91" s="39">
        <v>2</v>
      </c>
      <c r="I91" s="40" t="s">
        <v>40</v>
      </c>
      <c r="J91" s="149">
        <v>55</v>
      </c>
      <c r="K91" s="104">
        <v>200</v>
      </c>
      <c r="L91" s="104">
        <v>2050</v>
      </c>
      <c r="M91" s="150">
        <v>11.938679953934287</v>
      </c>
      <c r="N91" s="78">
        <v>218.83151399999997</v>
      </c>
      <c r="O91" s="111">
        <v>22705.671947858486</v>
      </c>
      <c r="P91" s="109">
        <v>26631.572428273925</v>
      </c>
      <c r="Q91" s="110">
        <v>15868.481387386799</v>
      </c>
      <c r="R91" s="258">
        <v>38574.153335245283</v>
      </c>
      <c r="S91" s="259">
        <v>42500.053815660722</v>
      </c>
      <c r="U91" s="7" t="s">
        <v>641</v>
      </c>
    </row>
    <row r="92" spans="1:21" s="65" customFormat="1" ht="16.5" customHeight="1" thickBot="1">
      <c r="A92" s="38" t="s">
        <v>31</v>
      </c>
      <c r="B92" s="39">
        <f t="shared" si="3"/>
        <v>55</v>
      </c>
      <c r="C92" s="39" t="s">
        <v>3</v>
      </c>
      <c r="D92" s="39">
        <f t="shared" si="4"/>
        <v>200</v>
      </c>
      <c r="E92" s="39" t="s">
        <v>3</v>
      </c>
      <c r="F92" s="101">
        <f t="shared" si="5"/>
        <v>2100</v>
      </c>
      <c r="G92" s="39" t="s">
        <v>3</v>
      </c>
      <c r="H92" s="39">
        <v>2</v>
      </c>
      <c r="I92" s="40" t="s">
        <v>40</v>
      </c>
      <c r="J92" s="149">
        <v>55</v>
      </c>
      <c r="K92" s="104">
        <v>200</v>
      </c>
      <c r="L92" s="104">
        <v>2100</v>
      </c>
      <c r="M92" s="150">
        <v>12.205127932462858</v>
      </c>
      <c r="N92" s="78">
        <v>225.26773499999996</v>
      </c>
      <c r="O92" s="111">
        <v>23111.256785456779</v>
      </c>
      <c r="P92" s="109">
        <v>27129.34546667388</v>
      </c>
      <c r="Q92" s="110">
        <v>16254.146623657534</v>
      </c>
      <c r="R92" s="258">
        <v>39365.403409114311</v>
      </c>
      <c r="S92" s="259">
        <v>43383.492090331412</v>
      </c>
      <c r="U92" s="7" t="s">
        <v>642</v>
      </c>
    </row>
    <row r="93" spans="1:21" s="65" customFormat="1" ht="16.5" customHeight="1" thickBot="1">
      <c r="A93" s="41" t="s">
        <v>31</v>
      </c>
      <c r="B93" s="42">
        <f t="shared" si="3"/>
        <v>55</v>
      </c>
      <c r="C93" s="42" t="s">
        <v>3</v>
      </c>
      <c r="D93" s="42">
        <f t="shared" si="4"/>
        <v>200</v>
      </c>
      <c r="E93" s="42" t="s">
        <v>3</v>
      </c>
      <c r="F93" s="101">
        <f t="shared" si="5"/>
        <v>2150</v>
      </c>
      <c r="G93" s="42" t="s">
        <v>3</v>
      </c>
      <c r="H93" s="39">
        <v>2</v>
      </c>
      <c r="I93" s="40" t="s">
        <v>40</v>
      </c>
      <c r="J93" s="149">
        <v>55</v>
      </c>
      <c r="K93" s="104">
        <v>200</v>
      </c>
      <c r="L93" s="104">
        <v>2150</v>
      </c>
      <c r="M93" s="150">
        <v>12.471575910991429</v>
      </c>
      <c r="N93" s="78">
        <v>231.70395599999998</v>
      </c>
      <c r="O93" s="111">
        <v>23516.841470026309</v>
      </c>
      <c r="P93" s="109">
        <v>27627.118658102601</v>
      </c>
      <c r="Q93" s="110">
        <v>16639.811706899505</v>
      </c>
      <c r="R93" s="258">
        <v>40156.653176925814</v>
      </c>
      <c r="S93" s="259">
        <v>44266.930365002103</v>
      </c>
      <c r="U93" s="7" t="s">
        <v>643</v>
      </c>
    </row>
    <row r="94" spans="1:21" s="65" customFormat="1" ht="16.5" customHeight="1" thickBot="1">
      <c r="A94" s="41" t="s">
        <v>31</v>
      </c>
      <c r="B94" s="42">
        <f t="shared" si="3"/>
        <v>55</v>
      </c>
      <c r="C94" s="42" t="s">
        <v>3</v>
      </c>
      <c r="D94" s="42">
        <f t="shared" si="4"/>
        <v>200</v>
      </c>
      <c r="E94" s="42" t="s">
        <v>3</v>
      </c>
      <c r="F94" s="101">
        <f t="shared" si="5"/>
        <v>2200</v>
      </c>
      <c r="G94" s="42" t="s">
        <v>3</v>
      </c>
      <c r="H94" s="39">
        <v>2</v>
      </c>
      <c r="I94" s="40" t="s">
        <v>40</v>
      </c>
      <c r="J94" s="149">
        <v>55</v>
      </c>
      <c r="K94" s="104">
        <v>200</v>
      </c>
      <c r="L94" s="104">
        <v>2200</v>
      </c>
      <c r="M94" s="150">
        <v>12.738023889520001</v>
      </c>
      <c r="N94" s="78">
        <v>238.14017699999997</v>
      </c>
      <c r="O94" s="111">
        <v>23922.426154595836</v>
      </c>
      <c r="P94" s="109">
        <v>28124.891849531326</v>
      </c>
      <c r="Q94" s="110">
        <v>17025.476790141474</v>
      </c>
      <c r="R94" s="258">
        <v>40947.90294473731</v>
      </c>
      <c r="S94" s="259">
        <v>45150.368639672801</v>
      </c>
      <c r="U94" s="7" t="s">
        <v>644</v>
      </c>
    </row>
    <row r="95" spans="1:21" s="65" customFormat="1" ht="16.5" customHeight="1" thickBot="1">
      <c r="A95" s="41" t="s">
        <v>31</v>
      </c>
      <c r="B95" s="42">
        <f t="shared" si="3"/>
        <v>55</v>
      </c>
      <c r="C95" s="42" t="s">
        <v>3</v>
      </c>
      <c r="D95" s="42">
        <f t="shared" si="4"/>
        <v>200</v>
      </c>
      <c r="E95" s="42" t="s">
        <v>3</v>
      </c>
      <c r="F95" s="101">
        <f t="shared" si="5"/>
        <v>2250</v>
      </c>
      <c r="G95" s="42" t="s">
        <v>3</v>
      </c>
      <c r="H95" s="39">
        <v>2</v>
      </c>
      <c r="I95" s="40" t="s">
        <v>40</v>
      </c>
      <c r="J95" s="149">
        <v>55</v>
      </c>
      <c r="K95" s="104">
        <v>200</v>
      </c>
      <c r="L95" s="104">
        <v>2250</v>
      </c>
      <c r="M95" s="150">
        <v>13.004471868048572</v>
      </c>
      <c r="N95" s="78">
        <v>244.57639799999995</v>
      </c>
      <c r="O95" s="111">
        <v>24328.010839165367</v>
      </c>
      <c r="P95" s="109">
        <v>28622.665040960048</v>
      </c>
      <c r="Q95" s="110">
        <v>17411.141873383447</v>
      </c>
      <c r="R95" s="258">
        <v>41739.152712548814</v>
      </c>
      <c r="S95" s="259">
        <v>46033.806914343499</v>
      </c>
      <c r="U95" s="7" t="s">
        <v>645</v>
      </c>
    </row>
    <row r="96" spans="1:21" s="65" customFormat="1" ht="16.5" customHeight="1" thickBot="1">
      <c r="A96" s="41" t="s">
        <v>31</v>
      </c>
      <c r="B96" s="42">
        <f t="shared" si="3"/>
        <v>55</v>
      </c>
      <c r="C96" s="42" t="s">
        <v>3</v>
      </c>
      <c r="D96" s="42">
        <f t="shared" si="4"/>
        <v>200</v>
      </c>
      <c r="E96" s="42" t="s">
        <v>3</v>
      </c>
      <c r="F96" s="101">
        <f t="shared" si="5"/>
        <v>2300</v>
      </c>
      <c r="G96" s="42" t="s">
        <v>3</v>
      </c>
      <c r="H96" s="39">
        <v>2</v>
      </c>
      <c r="I96" s="40" t="s">
        <v>40</v>
      </c>
      <c r="J96" s="149">
        <v>55</v>
      </c>
      <c r="K96" s="104">
        <v>200</v>
      </c>
      <c r="L96" s="104">
        <v>2300</v>
      </c>
      <c r="M96" s="150">
        <v>13.270919846577144</v>
      </c>
      <c r="N96" s="78">
        <v>251.01261899999994</v>
      </c>
      <c r="O96" s="111">
        <v>24733.59567676366</v>
      </c>
      <c r="P96" s="109">
        <v>29120.438079360003</v>
      </c>
      <c r="Q96" s="110">
        <v>17796.807109654186</v>
      </c>
      <c r="R96" s="258">
        <v>42530.40278641785</v>
      </c>
      <c r="S96" s="259">
        <v>46917.245189014189</v>
      </c>
      <c r="U96" s="7" t="s">
        <v>646</v>
      </c>
    </row>
    <row r="97" spans="1:21" s="65" customFormat="1" ht="16.5" customHeight="1" thickBot="1">
      <c r="A97" s="41" t="s">
        <v>31</v>
      </c>
      <c r="B97" s="42">
        <f t="shared" si="3"/>
        <v>55</v>
      </c>
      <c r="C97" s="42" t="s">
        <v>3</v>
      </c>
      <c r="D97" s="42">
        <f t="shared" si="4"/>
        <v>200</v>
      </c>
      <c r="E97" s="42" t="s">
        <v>3</v>
      </c>
      <c r="F97" s="101">
        <f t="shared" si="5"/>
        <v>2350</v>
      </c>
      <c r="G97" s="42" t="s">
        <v>3</v>
      </c>
      <c r="H97" s="39">
        <v>2</v>
      </c>
      <c r="I97" s="40" t="s">
        <v>40</v>
      </c>
      <c r="J97" s="149">
        <v>55</v>
      </c>
      <c r="K97" s="104">
        <v>200</v>
      </c>
      <c r="L97" s="104">
        <v>2350</v>
      </c>
      <c r="M97" s="150">
        <v>13.537367825105715</v>
      </c>
      <c r="N97" s="78">
        <v>257.44883999999996</v>
      </c>
      <c r="O97" s="111">
        <v>25139.180361333183</v>
      </c>
      <c r="P97" s="109">
        <v>29618.211270788725</v>
      </c>
      <c r="Q97" s="110">
        <v>18182.472192896155</v>
      </c>
      <c r="R97" s="258">
        <v>43321.652554229338</v>
      </c>
      <c r="S97" s="259">
        <v>47800.68346368488</v>
      </c>
      <c r="U97" s="7" t="s">
        <v>647</v>
      </c>
    </row>
    <row r="98" spans="1:21" s="65" customFormat="1" ht="16.5" customHeight="1" thickBot="1">
      <c r="A98" s="41" t="s">
        <v>31</v>
      </c>
      <c r="B98" s="42">
        <f t="shared" si="3"/>
        <v>55</v>
      </c>
      <c r="C98" s="42" t="s">
        <v>3</v>
      </c>
      <c r="D98" s="42">
        <f t="shared" si="4"/>
        <v>200</v>
      </c>
      <c r="E98" s="42" t="s">
        <v>3</v>
      </c>
      <c r="F98" s="101">
        <f t="shared" si="5"/>
        <v>2400</v>
      </c>
      <c r="G98" s="42" t="s">
        <v>3</v>
      </c>
      <c r="H98" s="39">
        <v>2</v>
      </c>
      <c r="I98" s="40" t="s">
        <v>40</v>
      </c>
      <c r="J98" s="149">
        <v>55</v>
      </c>
      <c r="K98" s="104">
        <v>200</v>
      </c>
      <c r="L98" s="104">
        <v>2400</v>
      </c>
      <c r="M98" s="150">
        <v>13.803815803634286</v>
      </c>
      <c r="N98" s="78">
        <v>263.88506099999995</v>
      </c>
      <c r="O98" s="111">
        <v>25544.76504590271</v>
      </c>
      <c r="P98" s="109">
        <v>30115.984462217446</v>
      </c>
      <c r="Q98" s="110">
        <v>18568.137276138128</v>
      </c>
      <c r="R98" s="258">
        <v>44112.902322040842</v>
      </c>
      <c r="S98" s="259">
        <v>48684.121738355578</v>
      </c>
      <c r="U98" s="7" t="s">
        <v>648</v>
      </c>
    </row>
    <row r="99" spans="1:21" s="65" customFormat="1" ht="16.5" customHeight="1" thickBot="1">
      <c r="A99" s="41" t="s">
        <v>31</v>
      </c>
      <c r="B99" s="42">
        <f t="shared" si="3"/>
        <v>55</v>
      </c>
      <c r="C99" s="42" t="s">
        <v>3</v>
      </c>
      <c r="D99" s="42">
        <f t="shared" si="4"/>
        <v>200</v>
      </c>
      <c r="E99" s="42" t="s">
        <v>3</v>
      </c>
      <c r="F99" s="101">
        <f t="shared" si="5"/>
        <v>2450</v>
      </c>
      <c r="G99" s="42" t="s">
        <v>3</v>
      </c>
      <c r="H99" s="39">
        <v>2</v>
      </c>
      <c r="I99" s="40" t="s">
        <v>40</v>
      </c>
      <c r="J99" s="149">
        <v>55</v>
      </c>
      <c r="K99" s="104">
        <v>200</v>
      </c>
      <c r="L99" s="104">
        <v>2450</v>
      </c>
      <c r="M99" s="150">
        <v>14.159246694162857</v>
      </c>
      <c r="N99" s="78">
        <v>270.321282</v>
      </c>
      <c r="O99" s="111">
        <v>26508.934869845223</v>
      </c>
      <c r="P99" s="109">
        <v>31077.133039250086</v>
      </c>
      <c r="Q99" s="110">
        <v>18953.802359380101</v>
      </c>
      <c r="R99" s="258">
        <v>45462.737229225328</v>
      </c>
      <c r="S99" s="259">
        <v>50030.935398630187</v>
      </c>
      <c r="U99" s="7" t="s">
        <v>649</v>
      </c>
    </row>
    <row r="100" spans="1:21" s="65" customFormat="1" ht="16.5" customHeight="1" thickBot="1">
      <c r="A100" s="41" t="s">
        <v>31</v>
      </c>
      <c r="B100" s="42">
        <f t="shared" si="3"/>
        <v>55</v>
      </c>
      <c r="C100" s="42" t="s">
        <v>3</v>
      </c>
      <c r="D100" s="42">
        <f t="shared" si="4"/>
        <v>200</v>
      </c>
      <c r="E100" s="42" t="s">
        <v>3</v>
      </c>
      <c r="F100" s="101">
        <f t="shared" si="5"/>
        <v>2500</v>
      </c>
      <c r="G100" s="42" t="s">
        <v>3</v>
      </c>
      <c r="H100" s="39">
        <v>2</v>
      </c>
      <c r="I100" s="40" t="s">
        <v>40</v>
      </c>
      <c r="J100" s="149">
        <v>55</v>
      </c>
      <c r="K100" s="104">
        <v>200</v>
      </c>
      <c r="L100" s="104">
        <v>2500</v>
      </c>
      <c r="M100" s="150">
        <v>14.42569467269143</v>
      </c>
      <c r="N100" s="78">
        <v>276.75750299999993</v>
      </c>
      <c r="O100" s="111">
        <v>26914.51955441475</v>
      </c>
      <c r="P100" s="109">
        <v>31574.906230678807</v>
      </c>
      <c r="Q100" s="110">
        <v>19339.467442622074</v>
      </c>
      <c r="R100" s="258">
        <v>46253.986997036824</v>
      </c>
      <c r="S100" s="259">
        <v>50914.373673300885</v>
      </c>
      <c r="U100" s="7" t="s">
        <v>650</v>
      </c>
    </row>
    <row r="101" spans="1:21" s="65" customFormat="1" ht="16.5" customHeight="1" thickBot="1">
      <c r="A101" s="41" t="s">
        <v>31</v>
      </c>
      <c r="B101" s="42">
        <f t="shared" si="3"/>
        <v>55</v>
      </c>
      <c r="C101" s="42" t="s">
        <v>3</v>
      </c>
      <c r="D101" s="42">
        <f t="shared" si="4"/>
        <v>200</v>
      </c>
      <c r="E101" s="42" t="s">
        <v>3</v>
      </c>
      <c r="F101" s="101">
        <f t="shared" si="5"/>
        <v>2550</v>
      </c>
      <c r="G101" s="42" t="s">
        <v>3</v>
      </c>
      <c r="H101" s="39">
        <v>2</v>
      </c>
      <c r="I101" s="40" t="s">
        <v>40</v>
      </c>
      <c r="J101" s="149">
        <v>55</v>
      </c>
      <c r="K101" s="104">
        <v>200</v>
      </c>
      <c r="L101" s="104">
        <v>2550</v>
      </c>
      <c r="M101" s="150">
        <v>14.692142651219999</v>
      </c>
      <c r="N101" s="78">
        <v>283.19372399999997</v>
      </c>
      <c r="O101" s="111">
        <v>27320.104238984277</v>
      </c>
      <c r="P101" s="109">
        <v>32072.679422107529</v>
      </c>
      <c r="Q101" s="110">
        <v>19725.132678892809</v>
      </c>
      <c r="R101" s="258">
        <v>47045.23691787709</v>
      </c>
      <c r="S101" s="259">
        <v>51797.812101000338</v>
      </c>
      <c r="U101" s="7" t="s">
        <v>651</v>
      </c>
    </row>
    <row r="102" spans="1:21" s="65" customFormat="1" ht="16.5" customHeight="1" thickBot="1">
      <c r="A102" s="38" t="s">
        <v>31</v>
      </c>
      <c r="B102" s="39">
        <f t="shared" si="3"/>
        <v>55</v>
      </c>
      <c r="C102" s="39" t="s">
        <v>3</v>
      </c>
      <c r="D102" s="39">
        <f t="shared" si="4"/>
        <v>200</v>
      </c>
      <c r="E102" s="39" t="s">
        <v>3</v>
      </c>
      <c r="F102" s="101">
        <f t="shared" si="5"/>
        <v>2600</v>
      </c>
      <c r="G102" s="39" t="s">
        <v>3</v>
      </c>
      <c r="H102" s="39">
        <v>2</v>
      </c>
      <c r="I102" s="40" t="s">
        <v>40</v>
      </c>
      <c r="J102" s="149">
        <v>55</v>
      </c>
      <c r="K102" s="104">
        <v>200</v>
      </c>
      <c r="L102" s="104">
        <v>2600</v>
      </c>
      <c r="M102" s="150">
        <v>14.958590629748574</v>
      </c>
      <c r="N102" s="78">
        <v>289.62994499999996</v>
      </c>
      <c r="O102" s="111">
        <v>27725.68907658257</v>
      </c>
      <c r="P102" s="109">
        <v>32570.452613536254</v>
      </c>
      <c r="Q102" s="110">
        <v>20110.797762134782</v>
      </c>
      <c r="R102" s="258">
        <v>47836.486838717348</v>
      </c>
      <c r="S102" s="259">
        <v>52681.250375671036</v>
      </c>
      <c r="U102" s="7" t="s">
        <v>652</v>
      </c>
    </row>
    <row r="103" spans="1:21" s="65" customFormat="1" ht="16.5" customHeight="1" thickBot="1">
      <c r="A103" s="41" t="s">
        <v>31</v>
      </c>
      <c r="B103" s="42">
        <f t="shared" si="3"/>
        <v>55</v>
      </c>
      <c r="C103" s="42" t="s">
        <v>3</v>
      </c>
      <c r="D103" s="42">
        <f t="shared" si="4"/>
        <v>200</v>
      </c>
      <c r="E103" s="42" t="s">
        <v>3</v>
      </c>
      <c r="F103" s="101">
        <f t="shared" si="5"/>
        <v>2650</v>
      </c>
      <c r="G103" s="42" t="s">
        <v>3</v>
      </c>
      <c r="H103" s="39">
        <v>2</v>
      </c>
      <c r="I103" s="40" t="s">
        <v>40</v>
      </c>
      <c r="J103" s="149">
        <v>55</v>
      </c>
      <c r="K103" s="104">
        <v>200</v>
      </c>
      <c r="L103" s="104">
        <v>2650</v>
      </c>
      <c r="M103" s="150">
        <v>15.225038608277142</v>
      </c>
      <c r="N103" s="78">
        <v>296.06616599999995</v>
      </c>
      <c r="O103" s="111">
        <v>28131.273761152097</v>
      </c>
      <c r="P103" s="109">
        <v>33068.225651936205</v>
      </c>
      <c r="Q103" s="110">
        <v>20496.462845376755</v>
      </c>
      <c r="R103" s="258">
        <v>48627.736606528852</v>
      </c>
      <c r="S103" s="259">
        <v>53564.688497312964</v>
      </c>
      <c r="U103" s="7" t="s">
        <v>653</v>
      </c>
    </row>
    <row r="104" spans="1:21" s="65" customFormat="1" ht="16.5" customHeight="1" thickBot="1">
      <c r="A104" s="41" t="s">
        <v>31</v>
      </c>
      <c r="B104" s="42">
        <f t="shared" si="3"/>
        <v>55</v>
      </c>
      <c r="C104" s="42" t="s">
        <v>3</v>
      </c>
      <c r="D104" s="42">
        <f t="shared" si="4"/>
        <v>200</v>
      </c>
      <c r="E104" s="42" t="s">
        <v>3</v>
      </c>
      <c r="F104" s="101">
        <f t="shared" si="5"/>
        <v>2700</v>
      </c>
      <c r="G104" s="42" t="s">
        <v>3</v>
      </c>
      <c r="H104" s="39">
        <v>2</v>
      </c>
      <c r="I104" s="40" t="s">
        <v>40</v>
      </c>
      <c r="J104" s="149">
        <v>55</v>
      </c>
      <c r="K104" s="104">
        <v>200</v>
      </c>
      <c r="L104" s="104">
        <v>2700</v>
      </c>
      <c r="M104" s="150">
        <v>15.559286586805715</v>
      </c>
      <c r="N104" s="78">
        <v>302.50238699999994</v>
      </c>
      <c r="O104" s="111">
        <v>28584.358727445189</v>
      </c>
      <c r="P104" s="109">
        <v>33612.051319941645</v>
      </c>
      <c r="Q104" s="110">
        <v>20882.127928618724</v>
      </c>
      <c r="R104" s="258">
        <v>49466.486656063913</v>
      </c>
      <c r="S104" s="259">
        <v>54494.179248560366</v>
      </c>
      <c r="U104" s="7" t="s">
        <v>654</v>
      </c>
    </row>
    <row r="105" spans="1:21" s="65" customFormat="1" ht="16.5" customHeight="1" thickBot="1">
      <c r="A105" s="41" t="s">
        <v>31</v>
      </c>
      <c r="B105" s="42">
        <f t="shared" si="3"/>
        <v>55</v>
      </c>
      <c r="C105" s="42" t="s">
        <v>3</v>
      </c>
      <c r="D105" s="42">
        <f t="shared" si="4"/>
        <v>200</v>
      </c>
      <c r="E105" s="42" t="s">
        <v>3</v>
      </c>
      <c r="F105" s="101">
        <f t="shared" si="5"/>
        <v>2750</v>
      </c>
      <c r="G105" s="42" t="s">
        <v>3</v>
      </c>
      <c r="H105" s="39">
        <v>2</v>
      </c>
      <c r="I105" s="40" t="s">
        <v>40</v>
      </c>
      <c r="J105" s="149">
        <v>55</v>
      </c>
      <c r="K105" s="104">
        <v>200</v>
      </c>
      <c r="L105" s="104">
        <v>2750</v>
      </c>
      <c r="M105" s="150">
        <v>15.825734565334287</v>
      </c>
      <c r="N105" s="78">
        <v>308.93860799999993</v>
      </c>
      <c r="O105" s="111">
        <v>28989.943412014716</v>
      </c>
      <c r="P105" s="109">
        <v>34109.824358341604</v>
      </c>
      <c r="Q105" s="110">
        <v>21267.793164889463</v>
      </c>
      <c r="R105" s="258">
        <v>50257.736576904179</v>
      </c>
      <c r="S105" s="259">
        <v>55377.617523231063</v>
      </c>
      <c r="U105" s="7" t="s">
        <v>655</v>
      </c>
    </row>
    <row r="106" spans="1:21" s="65" customFormat="1" ht="16.5" customHeight="1" thickBot="1">
      <c r="A106" s="41" t="s">
        <v>31</v>
      </c>
      <c r="B106" s="42">
        <f t="shared" si="3"/>
        <v>55</v>
      </c>
      <c r="C106" s="42" t="s">
        <v>3</v>
      </c>
      <c r="D106" s="42">
        <f t="shared" si="4"/>
        <v>200</v>
      </c>
      <c r="E106" s="42" t="s">
        <v>3</v>
      </c>
      <c r="F106" s="101">
        <f t="shared" si="5"/>
        <v>2800</v>
      </c>
      <c r="G106" s="42" t="s">
        <v>3</v>
      </c>
      <c r="H106" s="39">
        <v>2</v>
      </c>
      <c r="I106" s="40" t="s">
        <v>40</v>
      </c>
      <c r="J106" s="149">
        <v>55</v>
      </c>
      <c r="K106" s="104">
        <v>200</v>
      </c>
      <c r="L106" s="104">
        <v>2800</v>
      </c>
      <c r="M106" s="150">
        <v>16.092182543862862</v>
      </c>
      <c r="N106" s="78">
        <v>315.37482899999998</v>
      </c>
      <c r="O106" s="111">
        <v>29395.528096584243</v>
      </c>
      <c r="P106" s="109">
        <v>34607.597549770326</v>
      </c>
      <c r="Q106" s="110">
        <v>21653.458248131432</v>
      </c>
      <c r="R106" s="258">
        <v>51048.986344715675</v>
      </c>
      <c r="S106" s="259">
        <v>56261.055797901761</v>
      </c>
      <c r="U106" s="7" t="s">
        <v>656</v>
      </c>
    </row>
    <row r="107" spans="1:21" s="65" customFormat="1" ht="16.5" customHeight="1" thickBot="1">
      <c r="A107" s="41" t="s">
        <v>31</v>
      </c>
      <c r="B107" s="42">
        <f t="shared" si="3"/>
        <v>55</v>
      </c>
      <c r="C107" s="42" t="s">
        <v>3</v>
      </c>
      <c r="D107" s="42">
        <f t="shared" si="4"/>
        <v>200</v>
      </c>
      <c r="E107" s="42" t="s">
        <v>3</v>
      </c>
      <c r="F107" s="101">
        <f t="shared" si="5"/>
        <v>2850</v>
      </c>
      <c r="G107" s="42" t="s">
        <v>3</v>
      </c>
      <c r="H107" s="39">
        <v>2</v>
      </c>
      <c r="I107" s="40" t="s">
        <v>40</v>
      </c>
      <c r="J107" s="149">
        <v>55</v>
      </c>
      <c r="K107" s="104">
        <v>200</v>
      </c>
      <c r="L107" s="104">
        <v>2850</v>
      </c>
      <c r="M107" s="150">
        <v>16.358630522391429</v>
      </c>
      <c r="N107" s="78">
        <v>321.81104999999997</v>
      </c>
      <c r="O107" s="111">
        <v>29801.112934182536</v>
      </c>
      <c r="P107" s="109">
        <v>35105.370741199047</v>
      </c>
      <c r="Q107" s="110">
        <v>22039.123331373405</v>
      </c>
      <c r="R107" s="258">
        <v>51840.236265555941</v>
      </c>
      <c r="S107" s="259">
        <v>57144.494072572452</v>
      </c>
      <c r="U107" s="7" t="s">
        <v>657</v>
      </c>
    </row>
    <row r="108" spans="1:21" s="65" customFormat="1" ht="16.5" customHeight="1" thickBot="1">
      <c r="A108" s="41" t="s">
        <v>31</v>
      </c>
      <c r="B108" s="42">
        <f t="shared" si="3"/>
        <v>55</v>
      </c>
      <c r="C108" s="42" t="s">
        <v>3</v>
      </c>
      <c r="D108" s="42">
        <f t="shared" si="4"/>
        <v>200</v>
      </c>
      <c r="E108" s="42" t="s">
        <v>3</v>
      </c>
      <c r="F108" s="101">
        <f t="shared" si="5"/>
        <v>2900</v>
      </c>
      <c r="G108" s="42" t="s">
        <v>3</v>
      </c>
      <c r="H108" s="39">
        <v>2</v>
      </c>
      <c r="I108" s="40" t="s">
        <v>40</v>
      </c>
      <c r="J108" s="149">
        <v>55</v>
      </c>
      <c r="K108" s="104">
        <v>200</v>
      </c>
      <c r="L108" s="104">
        <v>2900</v>
      </c>
      <c r="M108" s="150">
        <v>16.625078500919997</v>
      </c>
      <c r="N108" s="78">
        <v>328.24727099999996</v>
      </c>
      <c r="O108" s="111">
        <v>30206.69761875207</v>
      </c>
      <c r="P108" s="109">
        <v>35603.143779598999</v>
      </c>
      <c r="Q108" s="110">
        <v>22424.788414615377</v>
      </c>
      <c r="R108" s="258">
        <v>52631.486033367444</v>
      </c>
      <c r="S108" s="259">
        <v>58027.932194214372</v>
      </c>
      <c r="U108" s="7" t="s">
        <v>658</v>
      </c>
    </row>
    <row r="109" spans="1:21" s="65" customFormat="1" ht="16.5" customHeight="1" thickBot="1">
      <c r="A109" s="41" t="s">
        <v>31</v>
      </c>
      <c r="B109" s="42">
        <f t="shared" si="3"/>
        <v>55</v>
      </c>
      <c r="C109" s="42" t="s">
        <v>3</v>
      </c>
      <c r="D109" s="42">
        <f t="shared" si="4"/>
        <v>200</v>
      </c>
      <c r="E109" s="42" t="s">
        <v>3</v>
      </c>
      <c r="F109" s="101">
        <f t="shared" si="5"/>
        <v>2950</v>
      </c>
      <c r="G109" s="42" t="s">
        <v>3</v>
      </c>
      <c r="H109" s="39">
        <v>2</v>
      </c>
      <c r="I109" s="40" t="s">
        <v>40</v>
      </c>
      <c r="J109" s="149">
        <v>55</v>
      </c>
      <c r="K109" s="104">
        <v>200</v>
      </c>
      <c r="L109" s="104">
        <v>2950</v>
      </c>
      <c r="M109" s="150">
        <v>16.891526479448572</v>
      </c>
      <c r="N109" s="78">
        <v>334.68349199999994</v>
      </c>
      <c r="O109" s="111">
        <v>30612.282303321594</v>
      </c>
      <c r="P109" s="109">
        <v>36100.91697102772</v>
      </c>
      <c r="Q109" s="110">
        <v>22810.45349785735</v>
      </c>
      <c r="R109" s="258">
        <v>53422.735801178947</v>
      </c>
      <c r="S109" s="259">
        <v>58911.37046888507</v>
      </c>
      <c r="U109" s="7" t="s">
        <v>659</v>
      </c>
    </row>
    <row r="110" spans="1:21" s="65" customFormat="1" ht="16.5" customHeight="1" thickBot="1">
      <c r="A110" s="43" t="s">
        <v>31</v>
      </c>
      <c r="B110" s="44">
        <f t="shared" si="3"/>
        <v>55</v>
      </c>
      <c r="C110" s="44" t="s">
        <v>3</v>
      </c>
      <c r="D110" s="44">
        <f t="shared" si="4"/>
        <v>200</v>
      </c>
      <c r="E110" s="44" t="s">
        <v>3</v>
      </c>
      <c r="F110" s="102">
        <f t="shared" si="5"/>
        <v>3000</v>
      </c>
      <c r="G110" s="44" t="s">
        <v>3</v>
      </c>
      <c r="H110" s="46">
        <v>2</v>
      </c>
      <c r="I110" s="45" t="s">
        <v>40</v>
      </c>
      <c r="J110" s="149">
        <v>55</v>
      </c>
      <c r="K110" s="134">
        <v>200</v>
      </c>
      <c r="L110" s="134">
        <v>3000</v>
      </c>
      <c r="M110" s="152">
        <v>17.15797445797714</v>
      </c>
      <c r="N110" s="127">
        <v>341.11971299999993</v>
      </c>
      <c r="O110" s="135">
        <v>32234.742546439214</v>
      </c>
      <c r="P110" s="154">
        <v>36598.690162456442</v>
      </c>
      <c r="Q110" s="136">
        <v>23196.118734128086</v>
      </c>
      <c r="R110" s="260">
        <v>55430.861280567304</v>
      </c>
      <c r="S110" s="261">
        <v>59794.808896584524</v>
      </c>
      <c r="U110" s="7" t="s">
        <v>660</v>
      </c>
    </row>
    <row r="111" spans="1:21" s="65" customFormat="1" ht="22.5" customHeight="1" thickBot="1">
      <c r="A111" s="2968" t="s">
        <v>45</v>
      </c>
      <c r="B111" s="2969"/>
      <c r="C111" s="2969"/>
      <c r="D111" s="2969"/>
      <c r="E111" s="2969"/>
      <c r="F111" s="2969"/>
      <c r="G111" s="2969"/>
      <c r="H111" s="2969"/>
      <c r="I111" s="2969"/>
      <c r="J111" s="2969"/>
      <c r="K111" s="2969"/>
      <c r="L111" s="2969"/>
      <c r="M111" s="2969"/>
      <c r="N111" s="2969"/>
      <c r="O111" s="2969"/>
      <c r="P111" s="2969"/>
      <c r="Q111" s="2969"/>
      <c r="R111" s="2969"/>
      <c r="S111" s="2970"/>
      <c r="U111" s="7"/>
    </row>
    <row r="112" spans="1:21" s="65" customFormat="1" ht="22.5" customHeight="1" thickBot="1">
      <c r="A112" s="2971" t="s">
        <v>62</v>
      </c>
      <c r="B112" s="2972"/>
      <c r="C112" s="2972"/>
      <c r="D112" s="2972"/>
      <c r="E112" s="2972"/>
      <c r="F112" s="2972"/>
      <c r="G112" s="2972"/>
      <c r="H112" s="2972"/>
      <c r="I112" s="2972"/>
      <c r="J112" s="2972"/>
      <c r="K112" s="2972"/>
      <c r="L112" s="2972"/>
      <c r="M112" s="2972"/>
      <c r="N112" s="2972"/>
      <c r="O112" s="2972"/>
      <c r="P112" s="2972"/>
      <c r="Q112" s="2972"/>
      <c r="R112" s="2972"/>
      <c r="S112" s="2973"/>
      <c r="U112" s="7"/>
    </row>
    <row r="113" spans="1:21" s="65" customFormat="1" ht="16.5" customHeight="1" thickBot="1">
      <c r="A113" s="2974" t="s">
        <v>115</v>
      </c>
      <c r="B113" s="2975"/>
      <c r="C113" s="2975"/>
      <c r="D113" s="2975"/>
      <c r="E113" s="2975"/>
      <c r="F113" s="2975"/>
      <c r="G113" s="2975"/>
      <c r="H113" s="2975"/>
      <c r="I113" s="2975"/>
      <c r="J113" s="2975"/>
      <c r="K113" s="2975"/>
      <c r="L113" s="2975"/>
      <c r="M113" s="2975"/>
      <c r="N113" s="2975"/>
      <c r="O113" s="2975"/>
      <c r="P113" s="2975"/>
      <c r="Q113" s="2975"/>
      <c r="R113" s="2975"/>
      <c r="S113" s="2976"/>
      <c r="U113" s="7"/>
    </row>
    <row r="114" spans="1:21" s="65" customFormat="1" ht="16.5" thickBot="1">
      <c r="A114" s="38" t="s">
        <v>31</v>
      </c>
      <c r="B114" s="39">
        <f>J114</f>
        <v>55</v>
      </c>
      <c r="C114" s="39" t="s">
        <v>3</v>
      </c>
      <c r="D114" s="39">
        <f>K114</f>
        <v>260</v>
      </c>
      <c r="E114" s="39" t="s">
        <v>3</v>
      </c>
      <c r="F114" s="101">
        <f>L114</f>
        <v>600</v>
      </c>
      <c r="G114" s="39" t="s">
        <v>3</v>
      </c>
      <c r="H114" s="39">
        <v>2</v>
      </c>
      <c r="I114" s="40" t="s">
        <v>40</v>
      </c>
      <c r="J114" s="146">
        <v>55</v>
      </c>
      <c r="K114" s="138">
        <v>260</v>
      </c>
      <c r="L114" s="138">
        <v>600</v>
      </c>
      <c r="M114" s="147">
        <v>4.6051499469285719</v>
      </c>
      <c r="N114" s="122">
        <v>41.450507999999999</v>
      </c>
      <c r="O114" s="153">
        <v>10394.59869263872</v>
      </c>
      <c r="P114" s="153">
        <v>12262.053397858512</v>
      </c>
      <c r="Q114" s="139">
        <v>5724.0299414295368</v>
      </c>
      <c r="R114" s="256">
        <v>16118.628634068256</v>
      </c>
      <c r="S114" s="257">
        <v>17986.083339288049</v>
      </c>
      <c r="U114" s="7" t="s">
        <v>661</v>
      </c>
    </row>
    <row r="115" spans="1:21" s="65" customFormat="1" ht="16.5" thickBot="1">
      <c r="A115" s="41" t="s">
        <v>31</v>
      </c>
      <c r="B115" s="42">
        <f t="shared" ref="B115:B162" si="6">J115</f>
        <v>55</v>
      </c>
      <c r="C115" s="42" t="s">
        <v>3</v>
      </c>
      <c r="D115" s="42">
        <f t="shared" ref="D115:D162" si="7">K115</f>
        <v>260</v>
      </c>
      <c r="E115" s="42" t="s">
        <v>3</v>
      </c>
      <c r="F115" s="101">
        <f t="shared" ref="F115:F162" si="8">L115</f>
        <v>650</v>
      </c>
      <c r="G115" s="42" t="s">
        <v>3</v>
      </c>
      <c r="H115" s="39">
        <v>2</v>
      </c>
      <c r="I115" s="40" t="s">
        <v>40</v>
      </c>
      <c r="J115" s="149">
        <v>55</v>
      </c>
      <c r="K115" s="104">
        <v>260</v>
      </c>
      <c r="L115" s="104">
        <v>650</v>
      </c>
      <c r="M115" s="150">
        <v>4.9185552111714292</v>
      </c>
      <c r="N115" s="66">
        <v>49.740609599999999</v>
      </c>
      <c r="O115" s="109">
        <v>10829.629172193601</v>
      </c>
      <c r="P115" s="109">
        <v>12808.969328746885</v>
      </c>
      <c r="Q115" s="110">
        <v>6195.021568673732</v>
      </c>
      <c r="R115" s="258">
        <v>17024.650740867335</v>
      </c>
      <c r="S115" s="259">
        <v>19003.990897420619</v>
      </c>
      <c r="U115" s="7" t="s">
        <v>662</v>
      </c>
    </row>
    <row r="116" spans="1:21" s="65" customFormat="1" ht="16.5" thickBot="1">
      <c r="A116" s="41" t="s">
        <v>31</v>
      </c>
      <c r="B116" s="42">
        <f t="shared" si="6"/>
        <v>55</v>
      </c>
      <c r="C116" s="42" t="s">
        <v>3</v>
      </c>
      <c r="D116" s="42">
        <f t="shared" si="7"/>
        <v>260</v>
      </c>
      <c r="E116" s="42" t="s">
        <v>3</v>
      </c>
      <c r="F116" s="101">
        <f t="shared" si="8"/>
        <v>700</v>
      </c>
      <c r="G116" s="42" t="s">
        <v>3</v>
      </c>
      <c r="H116" s="39">
        <v>2</v>
      </c>
      <c r="I116" s="40" t="s">
        <v>40</v>
      </c>
      <c r="J116" s="149">
        <v>55</v>
      </c>
      <c r="K116" s="104">
        <v>260</v>
      </c>
      <c r="L116" s="104">
        <v>700</v>
      </c>
      <c r="M116" s="150">
        <v>5.2319604754142865</v>
      </c>
      <c r="N116" s="66">
        <v>58.030711199999992</v>
      </c>
      <c r="O116" s="109">
        <v>11264.659804777246</v>
      </c>
      <c r="P116" s="109">
        <v>13355.885259635259</v>
      </c>
      <c r="Q116" s="110">
        <v>6666.0130428891625</v>
      </c>
      <c r="R116" s="258">
        <v>17930.672847666407</v>
      </c>
      <c r="S116" s="259">
        <v>20021.898302524423</v>
      </c>
      <c r="U116" s="7" t="s">
        <v>663</v>
      </c>
    </row>
    <row r="117" spans="1:21" s="65" customFormat="1" ht="16.5" thickBot="1">
      <c r="A117" s="41" t="s">
        <v>31</v>
      </c>
      <c r="B117" s="42">
        <f t="shared" si="6"/>
        <v>55</v>
      </c>
      <c r="C117" s="42" t="s">
        <v>3</v>
      </c>
      <c r="D117" s="42">
        <f t="shared" si="7"/>
        <v>260</v>
      </c>
      <c r="E117" s="42" t="s">
        <v>3</v>
      </c>
      <c r="F117" s="101">
        <f t="shared" si="8"/>
        <v>750</v>
      </c>
      <c r="G117" s="42" t="s">
        <v>3</v>
      </c>
      <c r="H117" s="39">
        <v>2</v>
      </c>
      <c r="I117" s="40" t="s">
        <v>40</v>
      </c>
      <c r="J117" s="149">
        <v>55</v>
      </c>
      <c r="K117" s="104">
        <v>260</v>
      </c>
      <c r="L117" s="104">
        <v>750</v>
      </c>
      <c r="M117" s="150">
        <v>5.545365739657143</v>
      </c>
      <c r="N117" s="66">
        <v>66.320812799999999</v>
      </c>
      <c r="O117" s="109">
        <v>11699.690284332126</v>
      </c>
      <c r="P117" s="109">
        <v>13902.801190523629</v>
      </c>
      <c r="Q117" s="110">
        <v>7137.0046701333404</v>
      </c>
      <c r="R117" s="258">
        <v>18836.694954465467</v>
      </c>
      <c r="S117" s="259">
        <v>21039.805860656968</v>
      </c>
      <c r="U117" s="7" t="s">
        <v>664</v>
      </c>
    </row>
    <row r="118" spans="1:21" s="65" customFormat="1" ht="16.5" thickBot="1">
      <c r="A118" s="41" t="s">
        <v>31</v>
      </c>
      <c r="B118" s="42">
        <f t="shared" si="6"/>
        <v>55</v>
      </c>
      <c r="C118" s="42" t="s">
        <v>3</v>
      </c>
      <c r="D118" s="42">
        <f t="shared" si="7"/>
        <v>260</v>
      </c>
      <c r="E118" s="42" t="s">
        <v>3</v>
      </c>
      <c r="F118" s="101">
        <f t="shared" si="8"/>
        <v>800</v>
      </c>
      <c r="G118" s="42" t="s">
        <v>3</v>
      </c>
      <c r="H118" s="39">
        <v>2</v>
      </c>
      <c r="I118" s="40" t="s">
        <v>40</v>
      </c>
      <c r="J118" s="149">
        <v>55</v>
      </c>
      <c r="K118" s="104">
        <v>260</v>
      </c>
      <c r="L118" s="104">
        <v>800</v>
      </c>
      <c r="M118" s="150">
        <v>5.8587829093100012</v>
      </c>
      <c r="N118" s="66">
        <v>74.610914399999999</v>
      </c>
      <c r="O118" s="109">
        <v>12134.720763887006</v>
      </c>
      <c r="P118" s="109">
        <v>14449.717121412004</v>
      </c>
      <c r="Q118" s="110">
        <v>7607.9961443487855</v>
      </c>
      <c r="R118" s="258">
        <v>19742.71690823579</v>
      </c>
      <c r="S118" s="259">
        <v>22057.713265760791</v>
      </c>
      <c r="U118" s="7" t="s">
        <v>665</v>
      </c>
    </row>
    <row r="119" spans="1:21" s="65" customFormat="1" ht="16.5" thickBot="1">
      <c r="A119" s="41" t="s">
        <v>31</v>
      </c>
      <c r="B119" s="42">
        <f t="shared" si="6"/>
        <v>55</v>
      </c>
      <c r="C119" s="42" t="s">
        <v>3</v>
      </c>
      <c r="D119" s="42">
        <f t="shared" si="7"/>
        <v>260</v>
      </c>
      <c r="E119" s="42" t="s">
        <v>3</v>
      </c>
      <c r="F119" s="101">
        <f t="shared" si="8"/>
        <v>850</v>
      </c>
      <c r="G119" s="42" t="s">
        <v>3</v>
      </c>
      <c r="H119" s="39">
        <v>2</v>
      </c>
      <c r="I119" s="40" t="s">
        <v>40</v>
      </c>
      <c r="J119" s="149">
        <v>55</v>
      </c>
      <c r="K119" s="104">
        <v>260</v>
      </c>
      <c r="L119" s="104">
        <v>850</v>
      </c>
      <c r="M119" s="150">
        <v>6.1721881735528576</v>
      </c>
      <c r="N119" s="66">
        <v>82.901015999999998</v>
      </c>
      <c r="O119" s="109">
        <v>12569.751243441888</v>
      </c>
      <c r="P119" s="109">
        <v>14996.633052300378</v>
      </c>
      <c r="Q119" s="110">
        <v>8078.9877715929815</v>
      </c>
      <c r="R119" s="258">
        <v>20648.739015034869</v>
      </c>
      <c r="S119" s="259">
        <v>23075.620823893361</v>
      </c>
      <c r="U119" s="7" t="s">
        <v>666</v>
      </c>
    </row>
    <row r="120" spans="1:21" s="65" customFormat="1" ht="16.5" thickBot="1">
      <c r="A120" s="41" t="s">
        <v>31</v>
      </c>
      <c r="B120" s="42">
        <f t="shared" si="6"/>
        <v>55</v>
      </c>
      <c r="C120" s="42" t="s">
        <v>3</v>
      </c>
      <c r="D120" s="42">
        <f t="shared" si="7"/>
        <v>260</v>
      </c>
      <c r="E120" s="42" t="s">
        <v>3</v>
      </c>
      <c r="F120" s="101">
        <f t="shared" si="8"/>
        <v>900</v>
      </c>
      <c r="G120" s="42" t="s">
        <v>3</v>
      </c>
      <c r="H120" s="39">
        <v>2</v>
      </c>
      <c r="I120" s="40" t="s">
        <v>40</v>
      </c>
      <c r="J120" s="149">
        <v>55</v>
      </c>
      <c r="K120" s="104">
        <v>260</v>
      </c>
      <c r="L120" s="104">
        <v>900</v>
      </c>
      <c r="M120" s="150">
        <v>6.4855934377957158</v>
      </c>
      <c r="N120" s="66">
        <v>91.191117600000013</v>
      </c>
      <c r="O120" s="109">
        <v>13004.781722996766</v>
      </c>
      <c r="P120" s="109">
        <v>15543.548983188748</v>
      </c>
      <c r="Q120" s="110">
        <v>8549.9793988371766</v>
      </c>
      <c r="R120" s="258">
        <v>21554.761121833944</v>
      </c>
      <c r="S120" s="259">
        <v>24093.528382025925</v>
      </c>
      <c r="U120" s="7" t="s">
        <v>667</v>
      </c>
    </row>
    <row r="121" spans="1:21" s="65" customFormat="1" ht="16.5" thickBot="1">
      <c r="A121" s="41" t="s">
        <v>31</v>
      </c>
      <c r="B121" s="42">
        <f t="shared" si="6"/>
        <v>55</v>
      </c>
      <c r="C121" s="42" t="s">
        <v>3</v>
      </c>
      <c r="D121" s="42">
        <f t="shared" si="7"/>
        <v>260</v>
      </c>
      <c r="E121" s="42" t="s">
        <v>3</v>
      </c>
      <c r="F121" s="101">
        <f t="shared" si="8"/>
        <v>950</v>
      </c>
      <c r="G121" s="42" t="s">
        <v>3</v>
      </c>
      <c r="H121" s="39">
        <v>2</v>
      </c>
      <c r="I121" s="40" t="s">
        <v>40</v>
      </c>
      <c r="J121" s="149">
        <v>55</v>
      </c>
      <c r="K121" s="104">
        <v>260</v>
      </c>
      <c r="L121" s="104">
        <v>950</v>
      </c>
      <c r="M121" s="150">
        <v>6.7989987020385723</v>
      </c>
      <c r="N121" s="66">
        <v>99.481219199999998</v>
      </c>
      <c r="O121" s="109">
        <v>13439.812202551648</v>
      </c>
      <c r="P121" s="109">
        <v>16090.464914077122</v>
      </c>
      <c r="Q121" s="110">
        <v>9020.9708730526054</v>
      </c>
      <c r="R121" s="258">
        <v>22460.783075604253</v>
      </c>
      <c r="S121" s="259">
        <v>25111.435787129725</v>
      </c>
      <c r="U121" s="7" t="s">
        <v>668</v>
      </c>
    </row>
    <row r="122" spans="1:21" s="65" customFormat="1" ht="16.5" thickBot="1">
      <c r="A122" s="41" t="s">
        <v>31</v>
      </c>
      <c r="B122" s="42">
        <f t="shared" si="6"/>
        <v>55</v>
      </c>
      <c r="C122" s="42" t="s">
        <v>3</v>
      </c>
      <c r="D122" s="42">
        <f t="shared" si="7"/>
        <v>260</v>
      </c>
      <c r="E122" s="42" t="s">
        <v>3</v>
      </c>
      <c r="F122" s="101">
        <f t="shared" si="8"/>
        <v>1000</v>
      </c>
      <c r="G122" s="42" t="s">
        <v>3</v>
      </c>
      <c r="H122" s="39">
        <v>2</v>
      </c>
      <c r="I122" s="40" t="s">
        <v>40</v>
      </c>
      <c r="J122" s="149">
        <v>55</v>
      </c>
      <c r="K122" s="104">
        <v>260</v>
      </c>
      <c r="L122" s="104">
        <v>1000</v>
      </c>
      <c r="M122" s="150">
        <v>7.1124039662814296</v>
      </c>
      <c r="N122" s="66">
        <v>107.7713208</v>
      </c>
      <c r="O122" s="109">
        <v>13874.842835135294</v>
      </c>
      <c r="P122" s="109">
        <v>16637.380844965497</v>
      </c>
      <c r="Q122" s="110">
        <v>9491.9625002968005</v>
      </c>
      <c r="R122" s="258">
        <v>23366.805335432095</v>
      </c>
      <c r="S122" s="259">
        <v>26129.343345262299</v>
      </c>
      <c r="U122" s="7" t="s">
        <v>669</v>
      </c>
    </row>
    <row r="123" spans="1:21" s="65" customFormat="1" ht="16.5" thickBot="1">
      <c r="A123" s="41" t="s">
        <v>31</v>
      </c>
      <c r="B123" s="42">
        <f t="shared" si="6"/>
        <v>55</v>
      </c>
      <c r="C123" s="42" t="s">
        <v>3</v>
      </c>
      <c r="D123" s="42">
        <f t="shared" si="7"/>
        <v>260</v>
      </c>
      <c r="E123" s="42" t="s">
        <v>3</v>
      </c>
      <c r="F123" s="101">
        <f t="shared" si="8"/>
        <v>1050</v>
      </c>
      <c r="G123" s="42" t="s">
        <v>3</v>
      </c>
      <c r="H123" s="39">
        <v>2</v>
      </c>
      <c r="I123" s="40" t="s">
        <v>40</v>
      </c>
      <c r="J123" s="149">
        <v>55</v>
      </c>
      <c r="K123" s="104">
        <v>260</v>
      </c>
      <c r="L123" s="104">
        <v>1050</v>
      </c>
      <c r="M123" s="150">
        <v>7.425809230524286</v>
      </c>
      <c r="N123" s="66">
        <v>116.06142239999998</v>
      </c>
      <c r="O123" s="109">
        <v>14309.873314690174</v>
      </c>
      <c r="P123" s="109">
        <v>17184.296775853869</v>
      </c>
      <c r="Q123" s="110">
        <v>9962.9539745122293</v>
      </c>
      <c r="R123" s="258">
        <v>24272.827289202403</v>
      </c>
      <c r="S123" s="259">
        <v>27147.250750366096</v>
      </c>
      <c r="U123" s="7" t="s">
        <v>670</v>
      </c>
    </row>
    <row r="124" spans="1:21" s="65" customFormat="1" ht="16.5" thickBot="1">
      <c r="A124" s="38" t="s">
        <v>31</v>
      </c>
      <c r="B124" s="39">
        <f t="shared" si="6"/>
        <v>55</v>
      </c>
      <c r="C124" s="39" t="s">
        <v>3</v>
      </c>
      <c r="D124" s="39">
        <f t="shared" si="7"/>
        <v>260</v>
      </c>
      <c r="E124" s="39" t="s">
        <v>3</v>
      </c>
      <c r="F124" s="101">
        <f t="shared" si="8"/>
        <v>1100</v>
      </c>
      <c r="G124" s="39" t="s">
        <v>3</v>
      </c>
      <c r="H124" s="39">
        <v>2</v>
      </c>
      <c r="I124" s="40" t="s">
        <v>40</v>
      </c>
      <c r="J124" s="149">
        <v>55</v>
      </c>
      <c r="K124" s="104">
        <v>260</v>
      </c>
      <c r="L124" s="104">
        <v>1100</v>
      </c>
      <c r="M124" s="150">
        <v>7.7392144947671433</v>
      </c>
      <c r="N124" s="66">
        <v>124.351524</v>
      </c>
      <c r="O124" s="109">
        <v>14744.903794245052</v>
      </c>
      <c r="P124" s="109">
        <v>17731.212706742241</v>
      </c>
      <c r="Q124" s="110">
        <v>10433.945601756424</v>
      </c>
      <c r="R124" s="258">
        <v>25178.849396001475</v>
      </c>
      <c r="S124" s="259">
        <v>28165.158308498663</v>
      </c>
      <c r="U124" s="7" t="s">
        <v>671</v>
      </c>
    </row>
    <row r="125" spans="1:21" s="65" customFormat="1" ht="16.5" thickBot="1">
      <c r="A125" s="41" t="s">
        <v>31</v>
      </c>
      <c r="B125" s="42">
        <f t="shared" si="6"/>
        <v>55</v>
      </c>
      <c r="C125" s="42" t="s">
        <v>3</v>
      </c>
      <c r="D125" s="42">
        <f t="shared" si="7"/>
        <v>260</v>
      </c>
      <c r="E125" s="42" t="s">
        <v>3</v>
      </c>
      <c r="F125" s="101">
        <f t="shared" si="8"/>
        <v>1150</v>
      </c>
      <c r="G125" s="42" t="s">
        <v>3</v>
      </c>
      <c r="H125" s="39">
        <v>2</v>
      </c>
      <c r="I125" s="40" t="s">
        <v>40</v>
      </c>
      <c r="J125" s="149">
        <v>55</v>
      </c>
      <c r="K125" s="104">
        <v>260</v>
      </c>
      <c r="L125" s="104">
        <v>1150</v>
      </c>
      <c r="M125" s="150">
        <v>8.0526197590099997</v>
      </c>
      <c r="N125" s="66">
        <v>132.6416256</v>
      </c>
      <c r="O125" s="109">
        <v>15179.934273799934</v>
      </c>
      <c r="P125" s="109">
        <v>18278.128637630616</v>
      </c>
      <c r="Q125" s="110">
        <v>10904.937229000619</v>
      </c>
      <c r="R125" s="258">
        <v>26084.871502800554</v>
      </c>
      <c r="S125" s="259">
        <v>29183.065866631237</v>
      </c>
      <c r="U125" s="7" t="s">
        <v>672</v>
      </c>
    </row>
    <row r="126" spans="1:21" s="65" customFormat="1" ht="16.5" thickBot="1">
      <c r="A126" s="41" t="s">
        <v>31</v>
      </c>
      <c r="B126" s="42">
        <f t="shared" si="6"/>
        <v>55</v>
      </c>
      <c r="C126" s="42" t="s">
        <v>3</v>
      </c>
      <c r="D126" s="42">
        <f t="shared" si="7"/>
        <v>260</v>
      </c>
      <c r="E126" s="42" t="s">
        <v>3</v>
      </c>
      <c r="F126" s="101">
        <f t="shared" si="8"/>
        <v>1200</v>
      </c>
      <c r="G126" s="42" t="s">
        <v>3</v>
      </c>
      <c r="H126" s="39">
        <v>2</v>
      </c>
      <c r="I126" s="40" t="s">
        <v>40</v>
      </c>
      <c r="J126" s="149">
        <v>55</v>
      </c>
      <c r="K126" s="104">
        <v>260</v>
      </c>
      <c r="L126" s="104">
        <v>1200</v>
      </c>
      <c r="M126" s="150">
        <v>8.433825023252858</v>
      </c>
      <c r="N126" s="66">
        <v>140.93172719999998</v>
      </c>
      <c r="O126" s="109">
        <v>15662.46503507838</v>
      </c>
      <c r="P126" s="109">
        <v>18871.096892066937</v>
      </c>
      <c r="Q126" s="110">
        <v>11375.92870321605</v>
      </c>
      <c r="R126" s="258">
        <v>27038.393738294428</v>
      </c>
      <c r="S126" s="259">
        <v>30247.025595282987</v>
      </c>
      <c r="U126" s="7" t="s">
        <v>673</v>
      </c>
    </row>
    <row r="127" spans="1:21" s="65" customFormat="1" ht="16.5" thickBot="1">
      <c r="A127" s="41" t="s">
        <v>31</v>
      </c>
      <c r="B127" s="42">
        <f t="shared" si="6"/>
        <v>55</v>
      </c>
      <c r="C127" s="42" t="s">
        <v>3</v>
      </c>
      <c r="D127" s="42">
        <f t="shared" si="7"/>
        <v>260</v>
      </c>
      <c r="E127" s="42" t="s">
        <v>3</v>
      </c>
      <c r="F127" s="101">
        <f t="shared" si="8"/>
        <v>1250</v>
      </c>
      <c r="G127" s="42" t="s">
        <v>3</v>
      </c>
      <c r="H127" s="39">
        <v>2</v>
      </c>
      <c r="I127" s="40" t="s">
        <v>40</v>
      </c>
      <c r="J127" s="149">
        <v>55</v>
      </c>
      <c r="K127" s="104">
        <v>260</v>
      </c>
      <c r="L127" s="104">
        <v>1250</v>
      </c>
      <c r="M127" s="150">
        <v>8.7472302874957126</v>
      </c>
      <c r="N127" s="66">
        <v>149.2218288</v>
      </c>
      <c r="O127" s="109">
        <v>16097.495514633261</v>
      </c>
      <c r="P127" s="109">
        <v>19418.012975984075</v>
      </c>
      <c r="Q127" s="110">
        <v>11846.920330460245</v>
      </c>
      <c r="R127" s="258">
        <v>27944.415845093507</v>
      </c>
      <c r="S127" s="259">
        <v>31264.93330644432</v>
      </c>
      <c r="U127" s="7" t="s">
        <v>674</v>
      </c>
    </row>
    <row r="128" spans="1:21" s="65" customFormat="1" ht="16.5" thickBot="1">
      <c r="A128" s="41" t="s">
        <v>31</v>
      </c>
      <c r="B128" s="42">
        <f t="shared" si="6"/>
        <v>55</v>
      </c>
      <c r="C128" s="42" t="s">
        <v>3</v>
      </c>
      <c r="D128" s="42">
        <f t="shared" si="7"/>
        <v>260</v>
      </c>
      <c r="E128" s="42" t="s">
        <v>3</v>
      </c>
      <c r="F128" s="101">
        <f t="shared" si="8"/>
        <v>1300</v>
      </c>
      <c r="G128" s="42" t="s">
        <v>3</v>
      </c>
      <c r="H128" s="39">
        <v>2</v>
      </c>
      <c r="I128" s="40" t="s">
        <v>40</v>
      </c>
      <c r="J128" s="149">
        <v>55</v>
      </c>
      <c r="K128" s="104">
        <v>260</v>
      </c>
      <c r="L128" s="104">
        <v>1300</v>
      </c>
      <c r="M128" s="150">
        <v>9.0606355517385708</v>
      </c>
      <c r="N128" s="66">
        <v>157.51193039999998</v>
      </c>
      <c r="O128" s="109">
        <v>16532.525994188141</v>
      </c>
      <c r="P128" s="109">
        <v>19964.92890687245</v>
      </c>
      <c r="Q128" s="110">
        <v>12317.911804675674</v>
      </c>
      <c r="R128" s="258">
        <v>28850.437798863815</v>
      </c>
      <c r="S128" s="259">
        <v>32282.840711548124</v>
      </c>
      <c r="U128" s="7" t="s">
        <v>675</v>
      </c>
    </row>
    <row r="129" spans="1:21" s="65" customFormat="1" ht="16.5" thickBot="1">
      <c r="A129" s="41" t="s">
        <v>31</v>
      </c>
      <c r="B129" s="42">
        <f t="shared" si="6"/>
        <v>55</v>
      </c>
      <c r="C129" s="42" t="s">
        <v>3</v>
      </c>
      <c r="D129" s="42">
        <f t="shared" si="7"/>
        <v>260</v>
      </c>
      <c r="E129" s="42" t="s">
        <v>3</v>
      </c>
      <c r="F129" s="101">
        <f t="shared" si="8"/>
        <v>1350</v>
      </c>
      <c r="G129" s="42" t="s">
        <v>3</v>
      </c>
      <c r="H129" s="39">
        <v>2</v>
      </c>
      <c r="I129" s="40" t="s">
        <v>40</v>
      </c>
      <c r="J129" s="149">
        <v>55</v>
      </c>
      <c r="K129" s="104">
        <v>260</v>
      </c>
      <c r="L129" s="104">
        <v>1350</v>
      </c>
      <c r="M129" s="150">
        <v>9.374040815981429</v>
      </c>
      <c r="N129" s="66">
        <v>165.802032</v>
      </c>
      <c r="O129" s="109">
        <v>16967.556473743021</v>
      </c>
      <c r="P129" s="109">
        <v>20511.844837760822</v>
      </c>
      <c r="Q129" s="110">
        <v>12788.903431919871</v>
      </c>
      <c r="R129" s="258">
        <v>29756.459905662894</v>
      </c>
      <c r="S129" s="259">
        <v>33300.748269680691</v>
      </c>
      <c r="U129" s="7" t="s">
        <v>676</v>
      </c>
    </row>
    <row r="130" spans="1:21" s="65" customFormat="1" ht="16.5" thickBot="1">
      <c r="A130" s="41" t="s">
        <v>31</v>
      </c>
      <c r="B130" s="42">
        <f t="shared" si="6"/>
        <v>55</v>
      </c>
      <c r="C130" s="42" t="s">
        <v>3</v>
      </c>
      <c r="D130" s="42">
        <f t="shared" si="7"/>
        <v>260</v>
      </c>
      <c r="E130" s="42" t="s">
        <v>3</v>
      </c>
      <c r="F130" s="101">
        <f t="shared" si="8"/>
        <v>1400</v>
      </c>
      <c r="G130" s="42" t="s">
        <v>3</v>
      </c>
      <c r="H130" s="39">
        <v>2</v>
      </c>
      <c r="I130" s="40" t="s">
        <v>40</v>
      </c>
      <c r="J130" s="149">
        <v>55</v>
      </c>
      <c r="K130" s="104">
        <v>260</v>
      </c>
      <c r="L130" s="104">
        <v>1400</v>
      </c>
      <c r="M130" s="150">
        <v>9.6874460802242872</v>
      </c>
      <c r="N130" s="66">
        <v>174.09213360000001</v>
      </c>
      <c r="O130" s="109">
        <v>17402.587106326664</v>
      </c>
      <c r="P130" s="109">
        <v>21058.760768649194</v>
      </c>
      <c r="Q130" s="110">
        <v>13259.895059164062</v>
      </c>
      <c r="R130" s="258">
        <v>30662.482165490728</v>
      </c>
      <c r="S130" s="259">
        <v>34318.655827813258</v>
      </c>
      <c r="U130" s="7" t="s">
        <v>677</v>
      </c>
    </row>
    <row r="131" spans="1:21" s="65" customFormat="1" ht="16.5" thickBot="1">
      <c r="A131" s="41" t="s">
        <v>31</v>
      </c>
      <c r="B131" s="42">
        <f t="shared" si="6"/>
        <v>55</v>
      </c>
      <c r="C131" s="42" t="s">
        <v>3</v>
      </c>
      <c r="D131" s="42">
        <f t="shared" si="7"/>
        <v>260</v>
      </c>
      <c r="E131" s="42" t="s">
        <v>3</v>
      </c>
      <c r="F131" s="101">
        <f t="shared" si="8"/>
        <v>1450</v>
      </c>
      <c r="G131" s="42" t="s">
        <v>3</v>
      </c>
      <c r="H131" s="39">
        <v>2</v>
      </c>
      <c r="I131" s="40" t="s">
        <v>40</v>
      </c>
      <c r="J131" s="149">
        <v>55</v>
      </c>
      <c r="K131" s="104">
        <v>260</v>
      </c>
      <c r="L131" s="104">
        <v>1450</v>
      </c>
      <c r="M131" s="150">
        <v>10.000851344467144</v>
      </c>
      <c r="N131" s="66">
        <v>182.38223520000003</v>
      </c>
      <c r="O131" s="109">
        <v>17837.617585881548</v>
      </c>
      <c r="P131" s="109">
        <v>21605.676699537569</v>
      </c>
      <c r="Q131" s="110">
        <v>13730.886533379495</v>
      </c>
      <c r="R131" s="258">
        <v>31568.504119261044</v>
      </c>
      <c r="S131" s="259">
        <v>35336.563232917062</v>
      </c>
      <c r="U131" s="7" t="s">
        <v>678</v>
      </c>
    </row>
    <row r="132" spans="1:21" s="65" customFormat="1" ht="16.5" thickBot="1">
      <c r="A132" s="41" t="s">
        <v>31</v>
      </c>
      <c r="B132" s="42">
        <f t="shared" si="6"/>
        <v>55</v>
      </c>
      <c r="C132" s="42" t="s">
        <v>3</v>
      </c>
      <c r="D132" s="42">
        <f t="shared" si="7"/>
        <v>260</v>
      </c>
      <c r="E132" s="42" t="s">
        <v>3</v>
      </c>
      <c r="F132" s="101">
        <f t="shared" si="8"/>
        <v>1500</v>
      </c>
      <c r="G132" s="42" t="s">
        <v>3</v>
      </c>
      <c r="H132" s="39">
        <v>2</v>
      </c>
      <c r="I132" s="40" t="s">
        <v>40</v>
      </c>
      <c r="J132" s="149">
        <v>55</v>
      </c>
      <c r="K132" s="104">
        <v>260</v>
      </c>
      <c r="L132" s="104">
        <v>1500</v>
      </c>
      <c r="M132" s="150">
        <v>10.433233760709999</v>
      </c>
      <c r="N132" s="66">
        <v>190.67233679999998</v>
      </c>
      <c r="O132" s="109">
        <v>18882.979269621366</v>
      </c>
      <c r="P132" s="109">
        <v>22687.047122912652</v>
      </c>
      <c r="Q132" s="110">
        <v>14201.87816062369</v>
      </c>
      <c r="R132" s="258">
        <v>33084.857430245058</v>
      </c>
      <c r="S132" s="259">
        <v>36888.925283536344</v>
      </c>
      <c r="U132" s="7" t="s">
        <v>679</v>
      </c>
    </row>
    <row r="133" spans="1:21" s="65" customFormat="1" ht="16.5" thickBot="1">
      <c r="A133" s="41" t="s">
        <v>31</v>
      </c>
      <c r="B133" s="42">
        <f t="shared" si="6"/>
        <v>55</v>
      </c>
      <c r="C133" s="42" t="s">
        <v>3</v>
      </c>
      <c r="D133" s="42">
        <f t="shared" si="7"/>
        <v>260</v>
      </c>
      <c r="E133" s="42" t="s">
        <v>3</v>
      </c>
      <c r="F133" s="101">
        <f t="shared" si="8"/>
        <v>1550</v>
      </c>
      <c r="G133" s="42" t="s">
        <v>3</v>
      </c>
      <c r="H133" s="39">
        <v>2</v>
      </c>
      <c r="I133" s="40" t="s">
        <v>40</v>
      </c>
      <c r="J133" s="149">
        <v>55</v>
      </c>
      <c r="K133" s="104">
        <v>260</v>
      </c>
      <c r="L133" s="104">
        <v>1550</v>
      </c>
      <c r="M133" s="150">
        <v>10.746639024952856</v>
      </c>
      <c r="N133" s="66">
        <v>198.9624384</v>
      </c>
      <c r="O133" s="109">
        <v>19318.009902205013</v>
      </c>
      <c r="P133" s="109">
        <v>23233.963053801028</v>
      </c>
      <c r="Q133" s="110">
        <v>14672.869634839117</v>
      </c>
      <c r="R133" s="258">
        <v>33990.879537044129</v>
      </c>
      <c r="S133" s="259">
        <v>37906.832688640148</v>
      </c>
      <c r="U133" s="7" t="s">
        <v>680</v>
      </c>
    </row>
    <row r="134" spans="1:21" s="65" customFormat="1" ht="16.5" thickBot="1">
      <c r="A134" s="38" t="s">
        <v>31</v>
      </c>
      <c r="B134" s="39">
        <f t="shared" si="6"/>
        <v>55</v>
      </c>
      <c r="C134" s="39" t="s">
        <v>3</v>
      </c>
      <c r="D134" s="39">
        <f t="shared" si="7"/>
        <v>260</v>
      </c>
      <c r="E134" s="39" t="s">
        <v>3</v>
      </c>
      <c r="F134" s="101">
        <f t="shared" si="8"/>
        <v>1600</v>
      </c>
      <c r="G134" s="39" t="s">
        <v>3</v>
      </c>
      <c r="H134" s="39">
        <v>2</v>
      </c>
      <c r="I134" s="40" t="s">
        <v>40</v>
      </c>
      <c r="J134" s="149">
        <v>55</v>
      </c>
      <c r="K134" s="104">
        <v>260</v>
      </c>
      <c r="L134" s="104">
        <v>1600</v>
      </c>
      <c r="M134" s="150">
        <v>11.060044289195714</v>
      </c>
      <c r="N134" s="66">
        <v>207.25254000000001</v>
      </c>
      <c r="O134" s="109">
        <v>19753.040381759889</v>
      </c>
      <c r="P134" s="109">
        <v>23780.8789846894</v>
      </c>
      <c r="Q134" s="110">
        <v>15143.861262083314</v>
      </c>
      <c r="R134" s="258">
        <v>34896.901643843201</v>
      </c>
      <c r="S134" s="259">
        <v>38924.740246772715</v>
      </c>
      <c r="U134" s="7" t="s">
        <v>681</v>
      </c>
    </row>
    <row r="135" spans="1:21" s="65" customFormat="1" ht="16.5" thickBot="1">
      <c r="A135" s="41" t="s">
        <v>31</v>
      </c>
      <c r="B135" s="42">
        <f t="shared" si="6"/>
        <v>55</v>
      </c>
      <c r="C135" s="42" t="s">
        <v>3</v>
      </c>
      <c r="D135" s="42">
        <f t="shared" si="7"/>
        <v>260</v>
      </c>
      <c r="E135" s="42" t="s">
        <v>3</v>
      </c>
      <c r="F135" s="101">
        <f t="shared" si="8"/>
        <v>1650</v>
      </c>
      <c r="G135" s="42" t="s">
        <v>3</v>
      </c>
      <c r="H135" s="39">
        <v>2</v>
      </c>
      <c r="I135" s="40" t="s">
        <v>40</v>
      </c>
      <c r="J135" s="149">
        <v>55</v>
      </c>
      <c r="K135" s="104">
        <v>260</v>
      </c>
      <c r="L135" s="104">
        <v>1650</v>
      </c>
      <c r="M135" s="150">
        <v>11.373449553438572</v>
      </c>
      <c r="N135" s="66">
        <v>215.5426416</v>
      </c>
      <c r="O135" s="109">
        <v>20188.070861314769</v>
      </c>
      <c r="P135" s="109">
        <v>24327.794915577771</v>
      </c>
      <c r="Q135" s="110">
        <v>15614.852889327509</v>
      </c>
      <c r="R135" s="258">
        <v>35802.92375064228</v>
      </c>
      <c r="S135" s="259">
        <v>39942.647804905282</v>
      </c>
      <c r="U135" s="7" t="s">
        <v>682</v>
      </c>
    </row>
    <row r="136" spans="1:21" s="65" customFormat="1" ht="16.5" thickBot="1">
      <c r="A136" s="41" t="s">
        <v>31</v>
      </c>
      <c r="B136" s="42">
        <f t="shared" si="6"/>
        <v>55</v>
      </c>
      <c r="C136" s="42" t="s">
        <v>3</v>
      </c>
      <c r="D136" s="42">
        <f t="shared" si="7"/>
        <v>260</v>
      </c>
      <c r="E136" s="42" t="s">
        <v>3</v>
      </c>
      <c r="F136" s="101">
        <f t="shared" si="8"/>
        <v>1700</v>
      </c>
      <c r="G136" s="42" t="s">
        <v>3</v>
      </c>
      <c r="H136" s="39">
        <v>2</v>
      </c>
      <c r="I136" s="40" t="s">
        <v>40</v>
      </c>
      <c r="J136" s="149">
        <v>55</v>
      </c>
      <c r="K136" s="104">
        <v>260</v>
      </c>
      <c r="L136" s="104">
        <v>1700</v>
      </c>
      <c r="M136" s="150">
        <v>11.686854817681429</v>
      </c>
      <c r="N136" s="66">
        <v>223.83274320000001</v>
      </c>
      <c r="O136" s="109">
        <v>20623.101340869653</v>
      </c>
      <c r="P136" s="109">
        <v>24874.710846466147</v>
      </c>
      <c r="Q136" s="110">
        <v>16085.844363542936</v>
      </c>
      <c r="R136" s="258">
        <v>36708.945704412588</v>
      </c>
      <c r="S136" s="259">
        <v>40960.555210009086</v>
      </c>
      <c r="U136" s="7" t="s">
        <v>683</v>
      </c>
    </row>
    <row r="137" spans="1:21" s="65" customFormat="1" ht="16.5" thickBot="1">
      <c r="A137" s="41" t="s">
        <v>31</v>
      </c>
      <c r="B137" s="42">
        <f t="shared" si="6"/>
        <v>55</v>
      </c>
      <c r="C137" s="42" t="s">
        <v>3</v>
      </c>
      <c r="D137" s="42">
        <f t="shared" si="7"/>
        <v>260</v>
      </c>
      <c r="E137" s="42" t="s">
        <v>3</v>
      </c>
      <c r="F137" s="101">
        <f t="shared" si="8"/>
        <v>1750</v>
      </c>
      <c r="G137" s="42" t="s">
        <v>3</v>
      </c>
      <c r="H137" s="39">
        <v>2</v>
      </c>
      <c r="I137" s="40" t="s">
        <v>40</v>
      </c>
      <c r="J137" s="149">
        <v>55</v>
      </c>
      <c r="K137" s="104">
        <v>260</v>
      </c>
      <c r="L137" s="104">
        <v>1750</v>
      </c>
      <c r="M137" s="150">
        <v>12.000260081924285</v>
      </c>
      <c r="N137" s="66">
        <v>232.12284479999997</v>
      </c>
      <c r="O137" s="109">
        <v>21058.131820424533</v>
      </c>
      <c r="P137" s="109">
        <v>25421.626930383289</v>
      </c>
      <c r="Q137" s="110">
        <v>16556.835990787131</v>
      </c>
      <c r="R137" s="258">
        <v>37614.967811211667</v>
      </c>
      <c r="S137" s="259">
        <v>41978.462921170416</v>
      </c>
      <c r="U137" s="7" t="s">
        <v>684</v>
      </c>
    </row>
    <row r="138" spans="1:21" s="65" customFormat="1" ht="16.5" thickBot="1">
      <c r="A138" s="41" t="s">
        <v>31</v>
      </c>
      <c r="B138" s="42">
        <f t="shared" si="6"/>
        <v>55</v>
      </c>
      <c r="C138" s="42" t="s">
        <v>3</v>
      </c>
      <c r="D138" s="42">
        <f t="shared" si="7"/>
        <v>260</v>
      </c>
      <c r="E138" s="42" t="s">
        <v>3</v>
      </c>
      <c r="F138" s="101">
        <f t="shared" si="8"/>
        <v>1800</v>
      </c>
      <c r="G138" s="42" t="s">
        <v>3</v>
      </c>
      <c r="H138" s="39">
        <v>2</v>
      </c>
      <c r="I138" s="40" t="s">
        <v>40</v>
      </c>
      <c r="J138" s="149">
        <v>55</v>
      </c>
      <c r="K138" s="104">
        <v>260</v>
      </c>
      <c r="L138" s="104">
        <v>1800</v>
      </c>
      <c r="M138" s="150">
        <v>12.313665346167145</v>
      </c>
      <c r="N138" s="66">
        <v>240.41294639999998</v>
      </c>
      <c r="O138" s="109">
        <v>21493.162453008175</v>
      </c>
      <c r="P138" s="109">
        <v>25968.542861271657</v>
      </c>
      <c r="Q138" s="110">
        <v>17027.827465002563</v>
      </c>
      <c r="R138" s="258">
        <v>38520.989918010739</v>
      </c>
      <c r="S138" s="259">
        <v>42996.37032627422</v>
      </c>
      <c r="U138" s="7" t="s">
        <v>685</v>
      </c>
    </row>
    <row r="139" spans="1:21" s="65" customFormat="1" ht="16.5" thickBot="1">
      <c r="A139" s="41" t="s">
        <v>31</v>
      </c>
      <c r="B139" s="42">
        <f t="shared" si="6"/>
        <v>55</v>
      </c>
      <c r="C139" s="42" t="s">
        <v>3</v>
      </c>
      <c r="D139" s="42">
        <f t="shared" si="7"/>
        <v>260</v>
      </c>
      <c r="E139" s="42" t="s">
        <v>3</v>
      </c>
      <c r="F139" s="101">
        <f t="shared" si="8"/>
        <v>1850</v>
      </c>
      <c r="G139" s="42" t="s">
        <v>3</v>
      </c>
      <c r="H139" s="39">
        <v>2</v>
      </c>
      <c r="I139" s="40" t="s">
        <v>40</v>
      </c>
      <c r="J139" s="149">
        <v>55</v>
      </c>
      <c r="K139" s="104">
        <v>260</v>
      </c>
      <c r="L139" s="104">
        <v>1850</v>
      </c>
      <c r="M139" s="150">
        <v>12.627070610410001</v>
      </c>
      <c r="N139" s="66">
        <v>248.703048</v>
      </c>
      <c r="O139" s="109">
        <v>21928.192932563055</v>
      </c>
      <c r="P139" s="109">
        <v>26515.458792160029</v>
      </c>
      <c r="Q139" s="110">
        <v>17498.819092246758</v>
      </c>
      <c r="R139" s="258">
        <v>39427.01202480981</v>
      </c>
      <c r="S139" s="259">
        <v>44014.277884406787</v>
      </c>
      <c r="U139" s="7" t="s">
        <v>686</v>
      </c>
    </row>
    <row r="140" spans="1:21" s="65" customFormat="1" ht="16.5" thickBot="1">
      <c r="A140" s="41" t="s">
        <v>31</v>
      </c>
      <c r="B140" s="42">
        <f t="shared" si="6"/>
        <v>55</v>
      </c>
      <c r="C140" s="42" t="s">
        <v>3</v>
      </c>
      <c r="D140" s="42">
        <f t="shared" si="7"/>
        <v>260</v>
      </c>
      <c r="E140" s="42" t="s">
        <v>3</v>
      </c>
      <c r="F140" s="101">
        <f t="shared" si="8"/>
        <v>1900</v>
      </c>
      <c r="G140" s="42" t="s">
        <v>3</v>
      </c>
      <c r="H140" s="39">
        <v>2</v>
      </c>
      <c r="I140" s="40" t="s">
        <v>40</v>
      </c>
      <c r="J140" s="149">
        <v>55</v>
      </c>
      <c r="K140" s="104">
        <v>260</v>
      </c>
      <c r="L140" s="104">
        <v>1900</v>
      </c>
      <c r="M140" s="150">
        <v>12.940475874652858</v>
      </c>
      <c r="N140" s="66">
        <v>256.99314959999998</v>
      </c>
      <c r="O140" s="109">
        <v>22363.223412117939</v>
      </c>
      <c r="P140" s="109">
        <v>27062.3747230484</v>
      </c>
      <c r="Q140" s="110">
        <v>17969.810719490953</v>
      </c>
      <c r="R140" s="258">
        <v>40333.034131608889</v>
      </c>
      <c r="S140" s="259">
        <v>45032.185442539354</v>
      </c>
      <c r="U140" s="7" t="s">
        <v>687</v>
      </c>
    </row>
    <row r="141" spans="1:21" s="65" customFormat="1" ht="16.5" thickBot="1">
      <c r="A141" s="41" t="s">
        <v>31</v>
      </c>
      <c r="B141" s="42">
        <f t="shared" si="6"/>
        <v>55</v>
      </c>
      <c r="C141" s="42" t="s">
        <v>3</v>
      </c>
      <c r="D141" s="42">
        <f t="shared" si="7"/>
        <v>260</v>
      </c>
      <c r="E141" s="42" t="s">
        <v>3</v>
      </c>
      <c r="F141" s="101">
        <f t="shared" si="8"/>
        <v>1950</v>
      </c>
      <c r="G141" s="42" t="s">
        <v>3</v>
      </c>
      <c r="H141" s="39">
        <v>2</v>
      </c>
      <c r="I141" s="40" t="s">
        <v>40</v>
      </c>
      <c r="J141" s="149">
        <v>55</v>
      </c>
      <c r="K141" s="104">
        <v>260</v>
      </c>
      <c r="L141" s="104">
        <v>1950</v>
      </c>
      <c r="M141" s="150">
        <v>13.321681138895716</v>
      </c>
      <c r="N141" s="66">
        <v>265.2832512</v>
      </c>
      <c r="O141" s="109">
        <v>22845.754173396381</v>
      </c>
      <c r="P141" s="109">
        <v>27655.342977484728</v>
      </c>
      <c r="Q141" s="110">
        <v>18440.802193706382</v>
      </c>
      <c r="R141" s="258">
        <v>41286.556367102763</v>
      </c>
      <c r="S141" s="259">
        <v>46096.145171191107</v>
      </c>
      <c r="U141" s="7" t="s">
        <v>688</v>
      </c>
    </row>
    <row r="142" spans="1:21" s="65" customFormat="1" ht="16.5" thickBot="1">
      <c r="A142" s="41" t="s">
        <v>31</v>
      </c>
      <c r="B142" s="42">
        <f t="shared" si="6"/>
        <v>55</v>
      </c>
      <c r="C142" s="42" t="s">
        <v>3</v>
      </c>
      <c r="D142" s="42">
        <f t="shared" si="7"/>
        <v>260</v>
      </c>
      <c r="E142" s="42" t="s">
        <v>3</v>
      </c>
      <c r="F142" s="101">
        <f t="shared" si="8"/>
        <v>2000</v>
      </c>
      <c r="G142" s="42" t="s">
        <v>3</v>
      </c>
      <c r="H142" s="39">
        <v>2</v>
      </c>
      <c r="I142" s="40" t="s">
        <v>40</v>
      </c>
      <c r="J142" s="149">
        <v>55</v>
      </c>
      <c r="K142" s="104">
        <v>260</v>
      </c>
      <c r="L142" s="104">
        <v>2000</v>
      </c>
      <c r="M142" s="150">
        <v>13.726660708548572</v>
      </c>
      <c r="N142" s="66">
        <v>273.57335279999995</v>
      </c>
      <c r="O142" s="109">
        <v>23519.511975006506</v>
      </c>
      <c r="P142" s="109">
        <v>28514.266043982396</v>
      </c>
      <c r="Q142" s="110">
        <v>18911.793820950577</v>
      </c>
      <c r="R142" s="258">
        <v>42431.305795957087</v>
      </c>
      <c r="S142" s="259">
        <v>47426.059864932977</v>
      </c>
      <c r="U142" s="7" t="s">
        <v>689</v>
      </c>
    </row>
    <row r="143" spans="1:21" s="65" customFormat="1" ht="16.5" thickBot="1">
      <c r="A143" s="41" t="s">
        <v>31</v>
      </c>
      <c r="B143" s="42">
        <f t="shared" si="6"/>
        <v>55</v>
      </c>
      <c r="C143" s="42" t="s">
        <v>3</v>
      </c>
      <c r="D143" s="42">
        <f t="shared" si="7"/>
        <v>260</v>
      </c>
      <c r="E143" s="42" t="s">
        <v>3</v>
      </c>
      <c r="F143" s="101">
        <f t="shared" si="8"/>
        <v>2050</v>
      </c>
      <c r="G143" s="42" t="s">
        <v>3</v>
      </c>
      <c r="H143" s="39">
        <v>2</v>
      </c>
      <c r="I143" s="40" t="s">
        <v>40</v>
      </c>
      <c r="J143" s="149">
        <v>55</v>
      </c>
      <c r="K143" s="104">
        <v>260</v>
      </c>
      <c r="L143" s="104">
        <v>2050</v>
      </c>
      <c r="M143" s="150">
        <v>14.040065972791428</v>
      </c>
      <c r="N143" s="66">
        <v>281.86345439999997</v>
      </c>
      <c r="O143" s="109">
        <v>23954.542454561386</v>
      </c>
      <c r="P143" s="109">
        <v>29061.181974870768</v>
      </c>
      <c r="Q143" s="110">
        <v>19382.785295166006</v>
      </c>
      <c r="R143" s="258">
        <v>43337.327749727396</v>
      </c>
      <c r="S143" s="259">
        <v>48443.967270036774</v>
      </c>
      <c r="U143" s="7" t="s">
        <v>690</v>
      </c>
    </row>
    <row r="144" spans="1:21" s="65" customFormat="1" ht="16.5" thickBot="1">
      <c r="A144" s="38" t="s">
        <v>31</v>
      </c>
      <c r="B144" s="39">
        <f t="shared" si="6"/>
        <v>55</v>
      </c>
      <c r="C144" s="39" t="s">
        <v>3</v>
      </c>
      <c r="D144" s="39">
        <f t="shared" si="7"/>
        <v>260</v>
      </c>
      <c r="E144" s="39" t="s">
        <v>3</v>
      </c>
      <c r="F144" s="101">
        <f t="shared" si="8"/>
        <v>2100</v>
      </c>
      <c r="G144" s="39" t="s">
        <v>3</v>
      </c>
      <c r="H144" s="39">
        <v>2</v>
      </c>
      <c r="I144" s="40" t="s">
        <v>40</v>
      </c>
      <c r="J144" s="149">
        <v>55</v>
      </c>
      <c r="K144" s="104">
        <v>260</v>
      </c>
      <c r="L144" s="104">
        <v>2100</v>
      </c>
      <c r="M144" s="150">
        <v>14.353471237034285</v>
      </c>
      <c r="N144" s="66">
        <v>290.15355599999998</v>
      </c>
      <c r="O144" s="109">
        <v>24389.572934116266</v>
      </c>
      <c r="P144" s="109">
        <v>29608.097905759139</v>
      </c>
      <c r="Q144" s="110">
        <v>19853.776922410201</v>
      </c>
      <c r="R144" s="258">
        <v>44243.349856526467</v>
      </c>
      <c r="S144" s="259">
        <v>49461.874828169341</v>
      </c>
      <c r="U144" s="7" t="s">
        <v>691</v>
      </c>
    </row>
    <row r="145" spans="1:21" s="65" customFormat="1" ht="16.5" thickBot="1">
      <c r="A145" s="41" t="s">
        <v>31</v>
      </c>
      <c r="B145" s="42">
        <f t="shared" si="6"/>
        <v>55</v>
      </c>
      <c r="C145" s="42" t="s">
        <v>3</v>
      </c>
      <c r="D145" s="42">
        <f t="shared" si="7"/>
        <v>260</v>
      </c>
      <c r="E145" s="42" t="s">
        <v>3</v>
      </c>
      <c r="F145" s="101">
        <f t="shared" si="8"/>
        <v>2150</v>
      </c>
      <c r="G145" s="42" t="s">
        <v>3</v>
      </c>
      <c r="H145" s="39">
        <v>2</v>
      </c>
      <c r="I145" s="40" t="s">
        <v>40</v>
      </c>
      <c r="J145" s="149">
        <v>55</v>
      </c>
      <c r="K145" s="104">
        <v>260</v>
      </c>
      <c r="L145" s="104">
        <v>2150</v>
      </c>
      <c r="M145" s="150">
        <v>14.666876501277143</v>
      </c>
      <c r="N145" s="66">
        <v>298.44365759999999</v>
      </c>
      <c r="O145" s="109">
        <v>24824.603413671146</v>
      </c>
      <c r="P145" s="109">
        <v>30155.013836647515</v>
      </c>
      <c r="Q145" s="110">
        <v>20324.768396625634</v>
      </c>
      <c r="R145" s="258">
        <v>45149.371810296783</v>
      </c>
      <c r="S145" s="259">
        <v>50479.782233273145</v>
      </c>
      <c r="U145" s="7" t="s">
        <v>692</v>
      </c>
    </row>
    <row r="146" spans="1:21" s="65" customFormat="1" ht="16.5" thickBot="1">
      <c r="A146" s="41" t="s">
        <v>31</v>
      </c>
      <c r="B146" s="42">
        <f t="shared" si="6"/>
        <v>55</v>
      </c>
      <c r="C146" s="42" t="s">
        <v>3</v>
      </c>
      <c r="D146" s="42">
        <f t="shared" si="7"/>
        <v>260</v>
      </c>
      <c r="E146" s="42" t="s">
        <v>3</v>
      </c>
      <c r="F146" s="101">
        <f t="shared" si="8"/>
        <v>2200</v>
      </c>
      <c r="G146" s="42" t="s">
        <v>3</v>
      </c>
      <c r="H146" s="39">
        <v>2</v>
      </c>
      <c r="I146" s="40" t="s">
        <v>40</v>
      </c>
      <c r="J146" s="149">
        <v>55</v>
      </c>
      <c r="K146" s="104">
        <v>260</v>
      </c>
      <c r="L146" s="104">
        <v>2200</v>
      </c>
      <c r="M146" s="150">
        <v>14.980281765520003</v>
      </c>
      <c r="N146" s="66">
        <v>306.73375920000001</v>
      </c>
      <c r="O146" s="109">
        <v>25259.633893226026</v>
      </c>
      <c r="P146" s="109">
        <v>30701.929767535887</v>
      </c>
      <c r="Q146" s="110">
        <v>20795.760023869829</v>
      </c>
      <c r="R146" s="258">
        <v>46055.393917095855</v>
      </c>
      <c r="S146" s="259">
        <v>51497.689791405719</v>
      </c>
      <c r="U146" s="7" t="s">
        <v>693</v>
      </c>
    </row>
    <row r="147" spans="1:21" s="65" customFormat="1" ht="16.5" thickBot="1">
      <c r="A147" s="41" t="s">
        <v>31</v>
      </c>
      <c r="B147" s="42">
        <f t="shared" si="6"/>
        <v>55</v>
      </c>
      <c r="C147" s="42" t="s">
        <v>3</v>
      </c>
      <c r="D147" s="42">
        <f t="shared" si="7"/>
        <v>260</v>
      </c>
      <c r="E147" s="42" t="s">
        <v>3</v>
      </c>
      <c r="F147" s="101">
        <f t="shared" si="8"/>
        <v>2250</v>
      </c>
      <c r="G147" s="42" t="s">
        <v>3</v>
      </c>
      <c r="H147" s="39">
        <v>2</v>
      </c>
      <c r="I147" s="40" t="s">
        <v>40</v>
      </c>
      <c r="J147" s="149">
        <v>55</v>
      </c>
      <c r="K147" s="104">
        <v>260</v>
      </c>
      <c r="L147" s="104">
        <v>2250</v>
      </c>
      <c r="M147" s="150">
        <v>15.293687029762859</v>
      </c>
      <c r="N147" s="66">
        <v>315.02386079999997</v>
      </c>
      <c r="O147" s="109">
        <v>25694.664525809676</v>
      </c>
      <c r="P147" s="109">
        <v>31248.845698424258</v>
      </c>
      <c r="Q147" s="110">
        <v>21266.75165111402</v>
      </c>
      <c r="R147" s="258">
        <v>46961.416176923696</v>
      </c>
      <c r="S147" s="259">
        <v>52515.597349538279</v>
      </c>
      <c r="U147" s="7" t="s">
        <v>694</v>
      </c>
    </row>
    <row r="148" spans="1:21" s="65" customFormat="1" ht="16.5" thickBot="1">
      <c r="A148" s="41" t="s">
        <v>31</v>
      </c>
      <c r="B148" s="42">
        <f t="shared" si="6"/>
        <v>55</v>
      </c>
      <c r="C148" s="42" t="s">
        <v>3</v>
      </c>
      <c r="D148" s="42">
        <f t="shared" si="7"/>
        <v>260</v>
      </c>
      <c r="E148" s="42" t="s">
        <v>3</v>
      </c>
      <c r="F148" s="101">
        <f t="shared" si="8"/>
        <v>2300</v>
      </c>
      <c r="G148" s="42" t="s">
        <v>3</v>
      </c>
      <c r="H148" s="39">
        <v>2</v>
      </c>
      <c r="I148" s="40" t="s">
        <v>40</v>
      </c>
      <c r="J148" s="149">
        <v>55</v>
      </c>
      <c r="K148" s="104">
        <v>260</v>
      </c>
      <c r="L148" s="104">
        <v>2300</v>
      </c>
      <c r="M148" s="150">
        <v>15.607092294005717</v>
      </c>
      <c r="N148" s="66">
        <v>323.31396239999998</v>
      </c>
      <c r="O148" s="109">
        <v>26129.695005364552</v>
      </c>
      <c r="P148" s="109">
        <v>31795.761629312634</v>
      </c>
      <c r="Q148" s="110">
        <v>21737.743125329449</v>
      </c>
      <c r="R148" s="258">
        <v>47867.438130694005</v>
      </c>
      <c r="S148" s="259">
        <v>53533.504754642083</v>
      </c>
      <c r="U148" s="7" t="s">
        <v>695</v>
      </c>
    </row>
    <row r="149" spans="1:21" s="65" customFormat="1" ht="16.5" thickBot="1">
      <c r="A149" s="41" t="s">
        <v>31</v>
      </c>
      <c r="B149" s="42">
        <f t="shared" si="6"/>
        <v>55</v>
      </c>
      <c r="C149" s="42" t="s">
        <v>3</v>
      </c>
      <c r="D149" s="42">
        <f t="shared" si="7"/>
        <v>260</v>
      </c>
      <c r="E149" s="42" t="s">
        <v>3</v>
      </c>
      <c r="F149" s="101">
        <f t="shared" si="8"/>
        <v>2350</v>
      </c>
      <c r="G149" s="42" t="s">
        <v>3</v>
      </c>
      <c r="H149" s="39">
        <v>2</v>
      </c>
      <c r="I149" s="40" t="s">
        <v>40</v>
      </c>
      <c r="J149" s="149">
        <v>55</v>
      </c>
      <c r="K149" s="104">
        <v>260</v>
      </c>
      <c r="L149" s="104">
        <v>2350</v>
      </c>
      <c r="M149" s="150">
        <v>15.920497558248574</v>
      </c>
      <c r="N149" s="66">
        <v>331.60406399999999</v>
      </c>
      <c r="O149" s="109">
        <v>26564.725484919432</v>
      </c>
      <c r="P149" s="109">
        <v>32342.677560201006</v>
      </c>
      <c r="Q149" s="110">
        <v>22208.734752573648</v>
      </c>
      <c r="R149" s="258">
        <v>48773.460237493084</v>
      </c>
      <c r="S149" s="259">
        <v>54551.412312774657</v>
      </c>
      <c r="U149" s="7" t="s">
        <v>696</v>
      </c>
    </row>
    <row r="150" spans="1:21" s="65" customFormat="1" ht="16.5" thickBot="1">
      <c r="A150" s="41" t="s">
        <v>31</v>
      </c>
      <c r="B150" s="42">
        <f t="shared" si="6"/>
        <v>55</v>
      </c>
      <c r="C150" s="42" t="s">
        <v>3</v>
      </c>
      <c r="D150" s="42">
        <f t="shared" si="7"/>
        <v>260</v>
      </c>
      <c r="E150" s="42" t="s">
        <v>3</v>
      </c>
      <c r="F150" s="101">
        <f t="shared" si="8"/>
        <v>2400</v>
      </c>
      <c r="G150" s="42" t="s">
        <v>3</v>
      </c>
      <c r="H150" s="39">
        <v>2</v>
      </c>
      <c r="I150" s="40" t="s">
        <v>40</v>
      </c>
      <c r="J150" s="149">
        <v>55</v>
      </c>
      <c r="K150" s="104">
        <v>260</v>
      </c>
      <c r="L150" s="104">
        <v>2400</v>
      </c>
      <c r="M150" s="150">
        <v>16.23390282249143</v>
      </c>
      <c r="N150" s="66">
        <v>339.89416559999995</v>
      </c>
      <c r="O150" s="109">
        <v>26999.755964474316</v>
      </c>
      <c r="P150" s="109">
        <v>32889.593491089377</v>
      </c>
      <c r="Q150" s="110">
        <v>22679.726226789073</v>
      </c>
      <c r="R150" s="258">
        <v>49679.482191263392</v>
      </c>
      <c r="S150" s="259">
        <v>55569.319717878447</v>
      </c>
      <c r="U150" s="7" t="s">
        <v>697</v>
      </c>
    </row>
    <row r="151" spans="1:21" s="65" customFormat="1" ht="16.5" thickBot="1">
      <c r="A151" s="41" t="s">
        <v>31</v>
      </c>
      <c r="B151" s="42">
        <f t="shared" si="6"/>
        <v>55</v>
      </c>
      <c r="C151" s="42" t="s">
        <v>3</v>
      </c>
      <c r="D151" s="42">
        <f t="shared" si="7"/>
        <v>260</v>
      </c>
      <c r="E151" s="42" t="s">
        <v>3</v>
      </c>
      <c r="F151" s="101">
        <f t="shared" si="8"/>
        <v>2450</v>
      </c>
      <c r="G151" s="42" t="s">
        <v>3</v>
      </c>
      <c r="H151" s="39">
        <v>2</v>
      </c>
      <c r="I151" s="40" t="s">
        <v>40</v>
      </c>
      <c r="J151" s="149">
        <v>55</v>
      </c>
      <c r="K151" s="104">
        <v>260</v>
      </c>
      <c r="L151" s="104">
        <v>2450</v>
      </c>
      <c r="M151" s="150">
        <v>16.666285238734289</v>
      </c>
      <c r="N151" s="66">
        <v>348.18426720000002</v>
      </c>
      <c r="O151" s="109">
        <v>28045.117801242901</v>
      </c>
      <c r="P151" s="109">
        <v>33970.964067493231</v>
      </c>
      <c r="Q151" s="110">
        <v>23150.717854033268</v>
      </c>
      <c r="R151" s="258">
        <v>51195.835655276169</v>
      </c>
      <c r="S151" s="259">
        <v>57121.681921526499</v>
      </c>
      <c r="U151" s="7" t="s">
        <v>698</v>
      </c>
    </row>
    <row r="152" spans="1:21" s="65" customFormat="1" ht="16.5" thickBot="1">
      <c r="A152" s="41" t="s">
        <v>31</v>
      </c>
      <c r="B152" s="42">
        <f t="shared" si="6"/>
        <v>55</v>
      </c>
      <c r="C152" s="42" t="s">
        <v>3</v>
      </c>
      <c r="D152" s="42">
        <f t="shared" si="7"/>
        <v>260</v>
      </c>
      <c r="E152" s="42" t="s">
        <v>3</v>
      </c>
      <c r="F152" s="101">
        <f t="shared" si="8"/>
        <v>2500</v>
      </c>
      <c r="G152" s="42" t="s">
        <v>3</v>
      </c>
      <c r="H152" s="39">
        <v>2</v>
      </c>
      <c r="I152" s="40" t="s">
        <v>40</v>
      </c>
      <c r="J152" s="149">
        <v>55</v>
      </c>
      <c r="K152" s="104">
        <v>260</v>
      </c>
      <c r="L152" s="104">
        <v>2500</v>
      </c>
      <c r="M152" s="150">
        <v>16.979690502977146</v>
      </c>
      <c r="N152" s="66">
        <v>356.47436879999998</v>
      </c>
      <c r="O152" s="109">
        <v>28480.148280797777</v>
      </c>
      <c r="P152" s="109">
        <v>34517.879998381606</v>
      </c>
      <c r="Q152" s="110">
        <v>23621.709481277463</v>
      </c>
      <c r="R152" s="258">
        <v>52101.85776207524</v>
      </c>
      <c r="S152" s="259">
        <v>58139.589479659073</v>
      </c>
      <c r="U152" s="7" t="s">
        <v>699</v>
      </c>
    </row>
    <row r="153" spans="1:21" s="65" customFormat="1" ht="16.5" thickBot="1">
      <c r="A153" s="41" t="s">
        <v>31</v>
      </c>
      <c r="B153" s="42">
        <f t="shared" si="6"/>
        <v>55</v>
      </c>
      <c r="C153" s="42" t="s">
        <v>3</v>
      </c>
      <c r="D153" s="42">
        <f t="shared" si="7"/>
        <v>260</v>
      </c>
      <c r="E153" s="42" t="s">
        <v>3</v>
      </c>
      <c r="F153" s="101">
        <f t="shared" si="8"/>
        <v>2550</v>
      </c>
      <c r="G153" s="42" t="s">
        <v>3</v>
      </c>
      <c r="H153" s="39">
        <v>2</v>
      </c>
      <c r="I153" s="40" t="s">
        <v>40</v>
      </c>
      <c r="J153" s="149">
        <v>55</v>
      </c>
      <c r="K153" s="104">
        <v>260</v>
      </c>
      <c r="L153" s="104">
        <v>2550</v>
      </c>
      <c r="M153" s="150">
        <v>17.293095767220002</v>
      </c>
      <c r="N153" s="66">
        <v>364.76447040000005</v>
      </c>
      <c r="O153" s="109">
        <v>28915.178760352657</v>
      </c>
      <c r="P153" s="109">
        <v>35064.795929269974</v>
      </c>
      <c r="Q153" s="110">
        <v>24092.700955492892</v>
      </c>
      <c r="R153" s="258">
        <v>53007.879715845549</v>
      </c>
      <c r="S153" s="259">
        <v>59157.496884762862</v>
      </c>
      <c r="U153" s="7" t="s">
        <v>700</v>
      </c>
    </row>
    <row r="154" spans="1:21" s="65" customFormat="1" ht="16.5" thickBot="1">
      <c r="A154" s="38" t="s">
        <v>31</v>
      </c>
      <c r="B154" s="39">
        <f t="shared" si="6"/>
        <v>55</v>
      </c>
      <c r="C154" s="39" t="s">
        <v>3</v>
      </c>
      <c r="D154" s="39">
        <f t="shared" si="7"/>
        <v>260</v>
      </c>
      <c r="E154" s="39" t="s">
        <v>3</v>
      </c>
      <c r="F154" s="101">
        <f t="shared" si="8"/>
        <v>2600</v>
      </c>
      <c r="G154" s="39" t="s">
        <v>3</v>
      </c>
      <c r="H154" s="39">
        <v>2</v>
      </c>
      <c r="I154" s="40" t="s">
        <v>40</v>
      </c>
      <c r="J154" s="149">
        <v>55</v>
      </c>
      <c r="K154" s="104">
        <v>260</v>
      </c>
      <c r="L154" s="104">
        <v>2600</v>
      </c>
      <c r="M154" s="150">
        <v>17.606501031462859</v>
      </c>
      <c r="N154" s="66">
        <v>373.05457200000001</v>
      </c>
      <c r="O154" s="109">
        <v>29350.209239907541</v>
      </c>
      <c r="P154" s="109">
        <v>35611.71186015835</v>
      </c>
      <c r="Q154" s="110">
        <v>24563.692582737087</v>
      </c>
      <c r="R154" s="258">
        <v>53913.901822644628</v>
      </c>
      <c r="S154" s="259">
        <v>60175.404442895437</v>
      </c>
      <c r="U154" s="7" t="s">
        <v>701</v>
      </c>
    </row>
    <row r="155" spans="1:21" s="65" customFormat="1" ht="16.5" thickBot="1">
      <c r="A155" s="41" t="s">
        <v>31</v>
      </c>
      <c r="B155" s="42">
        <f t="shared" si="6"/>
        <v>55</v>
      </c>
      <c r="C155" s="42" t="s">
        <v>3</v>
      </c>
      <c r="D155" s="42">
        <f t="shared" si="7"/>
        <v>260</v>
      </c>
      <c r="E155" s="42" t="s">
        <v>3</v>
      </c>
      <c r="F155" s="101">
        <f t="shared" si="8"/>
        <v>2650</v>
      </c>
      <c r="G155" s="42" t="s">
        <v>3</v>
      </c>
      <c r="H155" s="39">
        <v>2</v>
      </c>
      <c r="I155" s="40" t="s">
        <v>40</v>
      </c>
      <c r="J155" s="149">
        <v>55</v>
      </c>
      <c r="K155" s="104">
        <v>260</v>
      </c>
      <c r="L155" s="104">
        <v>2650</v>
      </c>
      <c r="M155" s="150">
        <v>17.919906295705715</v>
      </c>
      <c r="N155" s="66">
        <v>381.34467359999996</v>
      </c>
      <c r="O155" s="109">
        <v>29785.239719462417</v>
      </c>
      <c r="P155" s="109">
        <v>36158.627791046725</v>
      </c>
      <c r="Q155" s="110">
        <v>25034.684056952519</v>
      </c>
      <c r="R155" s="258">
        <v>54819.923776414937</v>
      </c>
      <c r="S155" s="259">
        <v>61193.311847999241</v>
      </c>
      <c r="U155" s="7" t="s">
        <v>702</v>
      </c>
    </row>
    <row r="156" spans="1:21" s="65" customFormat="1" ht="16.5" thickBot="1">
      <c r="A156" s="41" t="s">
        <v>31</v>
      </c>
      <c r="B156" s="42">
        <f t="shared" si="6"/>
        <v>55</v>
      </c>
      <c r="C156" s="42" t="s">
        <v>3</v>
      </c>
      <c r="D156" s="42">
        <f t="shared" si="7"/>
        <v>260</v>
      </c>
      <c r="E156" s="42" t="s">
        <v>3</v>
      </c>
      <c r="F156" s="101">
        <f t="shared" si="8"/>
        <v>2700</v>
      </c>
      <c r="G156" s="42" t="s">
        <v>3</v>
      </c>
      <c r="H156" s="39">
        <v>2</v>
      </c>
      <c r="I156" s="40" t="s">
        <v>40</v>
      </c>
      <c r="J156" s="149">
        <v>55</v>
      </c>
      <c r="K156" s="104">
        <v>260</v>
      </c>
      <c r="L156" s="104">
        <v>2700</v>
      </c>
      <c r="M156" s="150">
        <v>18.301111559948573</v>
      </c>
      <c r="N156" s="66">
        <v>389.63477520000004</v>
      </c>
      <c r="O156" s="109">
        <v>30267.770480740866</v>
      </c>
      <c r="P156" s="109">
        <v>36751.596045483049</v>
      </c>
      <c r="Q156" s="110">
        <v>25505.675684196711</v>
      </c>
      <c r="R156" s="258">
        <v>55773.446164937573</v>
      </c>
      <c r="S156" s="259">
        <v>62257.271729679764</v>
      </c>
      <c r="U156" s="7" t="s">
        <v>703</v>
      </c>
    </row>
    <row r="157" spans="1:21" s="65" customFormat="1" ht="16.5" thickBot="1">
      <c r="A157" s="41" t="s">
        <v>31</v>
      </c>
      <c r="B157" s="42">
        <f t="shared" si="6"/>
        <v>55</v>
      </c>
      <c r="C157" s="42" t="s">
        <v>3</v>
      </c>
      <c r="D157" s="42">
        <f t="shared" si="7"/>
        <v>260</v>
      </c>
      <c r="E157" s="42" t="s">
        <v>3</v>
      </c>
      <c r="F157" s="101">
        <f t="shared" si="8"/>
        <v>2750</v>
      </c>
      <c r="G157" s="42" t="s">
        <v>3</v>
      </c>
      <c r="H157" s="39">
        <v>2</v>
      </c>
      <c r="I157" s="40" t="s">
        <v>40</v>
      </c>
      <c r="J157" s="149">
        <v>55</v>
      </c>
      <c r="K157" s="104">
        <v>260</v>
      </c>
      <c r="L157" s="104">
        <v>2750</v>
      </c>
      <c r="M157" s="150">
        <v>18.61451682419143</v>
      </c>
      <c r="N157" s="66">
        <v>397.92487679999999</v>
      </c>
      <c r="O157" s="109">
        <v>30702.800960295743</v>
      </c>
      <c r="P157" s="109">
        <v>37298.511976371417</v>
      </c>
      <c r="Q157" s="110">
        <v>25976.667311440906</v>
      </c>
      <c r="R157" s="258">
        <v>56679.468271736652</v>
      </c>
      <c r="S157" s="259">
        <v>63275.179287812323</v>
      </c>
      <c r="U157" s="7" t="s">
        <v>704</v>
      </c>
    </row>
    <row r="158" spans="1:21" s="65" customFormat="1" ht="16.5" thickBot="1">
      <c r="A158" s="41" t="s">
        <v>31</v>
      </c>
      <c r="B158" s="42">
        <f t="shared" si="6"/>
        <v>55</v>
      </c>
      <c r="C158" s="42" t="s">
        <v>3</v>
      </c>
      <c r="D158" s="42">
        <f t="shared" si="7"/>
        <v>260</v>
      </c>
      <c r="E158" s="42" t="s">
        <v>3</v>
      </c>
      <c r="F158" s="101">
        <f t="shared" si="8"/>
        <v>2800</v>
      </c>
      <c r="G158" s="42" t="s">
        <v>3</v>
      </c>
      <c r="H158" s="39">
        <v>2</v>
      </c>
      <c r="I158" s="40" t="s">
        <v>40</v>
      </c>
      <c r="J158" s="149">
        <v>55</v>
      </c>
      <c r="K158" s="104">
        <v>260</v>
      </c>
      <c r="L158" s="104">
        <v>2800</v>
      </c>
      <c r="M158" s="150">
        <v>18.927922088434286</v>
      </c>
      <c r="N158" s="66">
        <v>406.21497840000001</v>
      </c>
      <c r="O158" s="109">
        <v>31137.831592879393</v>
      </c>
      <c r="P158" s="109">
        <v>37845.427907259793</v>
      </c>
      <c r="Q158" s="110">
        <v>26447.658785656335</v>
      </c>
      <c r="R158" s="258">
        <v>57585.490378535731</v>
      </c>
      <c r="S158" s="259">
        <v>64293.086692916128</v>
      </c>
      <c r="U158" s="7" t="s">
        <v>705</v>
      </c>
    </row>
    <row r="159" spans="1:21" s="65" customFormat="1" ht="16.5" thickBot="1">
      <c r="A159" s="41" t="s">
        <v>31</v>
      </c>
      <c r="B159" s="42">
        <f t="shared" si="6"/>
        <v>55</v>
      </c>
      <c r="C159" s="42" t="s">
        <v>3</v>
      </c>
      <c r="D159" s="42">
        <f t="shared" si="7"/>
        <v>260</v>
      </c>
      <c r="E159" s="42" t="s">
        <v>3</v>
      </c>
      <c r="F159" s="101">
        <f t="shared" si="8"/>
        <v>2850</v>
      </c>
      <c r="G159" s="42" t="s">
        <v>3</v>
      </c>
      <c r="H159" s="39">
        <v>2</v>
      </c>
      <c r="I159" s="40" t="s">
        <v>40</v>
      </c>
      <c r="J159" s="149">
        <v>55</v>
      </c>
      <c r="K159" s="104">
        <v>260</v>
      </c>
      <c r="L159" s="104">
        <v>2850</v>
      </c>
      <c r="M159" s="150">
        <v>19.241327352677146</v>
      </c>
      <c r="N159" s="66">
        <v>414.50508000000002</v>
      </c>
      <c r="O159" s="109">
        <v>31572.862072434269</v>
      </c>
      <c r="P159" s="109">
        <v>38392.343838148168</v>
      </c>
      <c r="Q159" s="110">
        <v>26918.65041290053</v>
      </c>
      <c r="R159" s="258">
        <v>58491.512485334795</v>
      </c>
      <c r="S159" s="259">
        <v>65310.994251048702</v>
      </c>
      <c r="U159" s="7" t="s">
        <v>706</v>
      </c>
    </row>
    <row r="160" spans="1:21" s="65" customFormat="1" ht="16.5" thickBot="1">
      <c r="A160" s="41" t="s">
        <v>31</v>
      </c>
      <c r="B160" s="42">
        <f t="shared" si="6"/>
        <v>55</v>
      </c>
      <c r="C160" s="42" t="s">
        <v>3</v>
      </c>
      <c r="D160" s="42">
        <f t="shared" si="7"/>
        <v>260</v>
      </c>
      <c r="E160" s="42" t="s">
        <v>3</v>
      </c>
      <c r="F160" s="101">
        <f t="shared" si="8"/>
        <v>2900</v>
      </c>
      <c r="G160" s="42" t="s">
        <v>3</v>
      </c>
      <c r="H160" s="39">
        <v>2</v>
      </c>
      <c r="I160" s="40" t="s">
        <v>40</v>
      </c>
      <c r="J160" s="149">
        <v>55</v>
      </c>
      <c r="K160" s="104">
        <v>260</v>
      </c>
      <c r="L160" s="104">
        <v>2900</v>
      </c>
      <c r="M160" s="150">
        <v>19.554732616919999</v>
      </c>
      <c r="N160" s="66">
        <v>422.79518159999998</v>
      </c>
      <c r="O160" s="109">
        <v>32007.892551989149</v>
      </c>
      <c r="P160" s="109">
        <v>38939.259922065306</v>
      </c>
      <c r="Q160" s="110">
        <v>27389.641887115966</v>
      </c>
      <c r="R160" s="258">
        <v>59397.534439105119</v>
      </c>
      <c r="S160" s="259">
        <v>66328.901809181276</v>
      </c>
      <c r="U160" s="7" t="s">
        <v>707</v>
      </c>
    </row>
    <row r="161" spans="1:21" s="65" customFormat="1" ht="16.5" thickBot="1">
      <c r="A161" s="41" t="s">
        <v>31</v>
      </c>
      <c r="B161" s="42">
        <f t="shared" si="6"/>
        <v>55</v>
      </c>
      <c r="C161" s="42" t="s">
        <v>3</v>
      </c>
      <c r="D161" s="42">
        <f t="shared" si="7"/>
        <v>260</v>
      </c>
      <c r="E161" s="42" t="s">
        <v>3</v>
      </c>
      <c r="F161" s="101">
        <f t="shared" si="8"/>
        <v>2950</v>
      </c>
      <c r="G161" s="42" t="s">
        <v>3</v>
      </c>
      <c r="H161" s="39">
        <v>2</v>
      </c>
      <c r="I161" s="40" t="s">
        <v>40</v>
      </c>
      <c r="J161" s="149">
        <v>55</v>
      </c>
      <c r="K161" s="104">
        <v>260</v>
      </c>
      <c r="L161" s="104">
        <v>2950</v>
      </c>
      <c r="M161" s="150">
        <v>19.868137881162859</v>
      </c>
      <c r="N161" s="66">
        <v>431.08528319999999</v>
      </c>
      <c r="O161" s="109">
        <v>32442.923031544033</v>
      </c>
      <c r="P161" s="109">
        <v>39486.175852953675</v>
      </c>
      <c r="Q161" s="110">
        <v>27860.633514360161</v>
      </c>
      <c r="R161" s="258">
        <v>60303.556545904197</v>
      </c>
      <c r="S161" s="259">
        <v>67346.809367313836</v>
      </c>
      <c r="U161" s="7" t="s">
        <v>708</v>
      </c>
    </row>
    <row r="162" spans="1:21" s="65" customFormat="1" ht="16.5" thickBot="1">
      <c r="A162" s="43" t="s">
        <v>31</v>
      </c>
      <c r="B162" s="44">
        <f t="shared" si="6"/>
        <v>55</v>
      </c>
      <c r="C162" s="44" t="s">
        <v>3</v>
      </c>
      <c r="D162" s="44">
        <f t="shared" si="7"/>
        <v>260</v>
      </c>
      <c r="E162" s="44" t="s">
        <v>3</v>
      </c>
      <c r="F162" s="102">
        <f t="shared" si="8"/>
        <v>3000</v>
      </c>
      <c r="G162" s="44" t="s">
        <v>3</v>
      </c>
      <c r="H162" s="46">
        <v>2</v>
      </c>
      <c r="I162" s="45" t="s">
        <v>40</v>
      </c>
      <c r="J162" s="149">
        <v>55</v>
      </c>
      <c r="K162" s="134">
        <v>260</v>
      </c>
      <c r="L162" s="134">
        <v>3000</v>
      </c>
      <c r="M162" s="152">
        <v>20.181543145405715</v>
      </c>
      <c r="N162" s="126">
        <v>439.37538479999995</v>
      </c>
      <c r="O162" s="154">
        <v>32877.953511098916</v>
      </c>
      <c r="P162" s="154">
        <v>40033.09178384205</v>
      </c>
      <c r="Q162" s="136">
        <v>28331.625141604356</v>
      </c>
      <c r="R162" s="260">
        <v>61209.578652703276</v>
      </c>
      <c r="S162" s="261">
        <v>68364.71692544641</v>
      </c>
      <c r="U162" s="7" t="s">
        <v>709</v>
      </c>
    </row>
    <row r="163" spans="1:21" s="65" customFormat="1" ht="22.5" customHeight="1" thickBot="1">
      <c r="A163" s="2968" t="s">
        <v>43</v>
      </c>
      <c r="B163" s="2969"/>
      <c r="C163" s="2969"/>
      <c r="D163" s="2969"/>
      <c r="E163" s="2969"/>
      <c r="F163" s="2969"/>
      <c r="G163" s="2969"/>
      <c r="H163" s="2969"/>
      <c r="I163" s="2969"/>
      <c r="J163" s="2969"/>
      <c r="K163" s="2969"/>
      <c r="L163" s="2969"/>
      <c r="M163" s="2969"/>
      <c r="N163" s="2969"/>
      <c r="O163" s="2969"/>
      <c r="P163" s="2969"/>
      <c r="Q163" s="2969"/>
      <c r="R163" s="2969"/>
      <c r="S163" s="2970"/>
      <c r="U163" s="7"/>
    </row>
    <row r="164" spans="1:21" s="65" customFormat="1" ht="22.5" customHeight="1" thickBot="1">
      <c r="A164" s="2971" t="s">
        <v>62</v>
      </c>
      <c r="B164" s="2972"/>
      <c r="C164" s="2972"/>
      <c r="D164" s="2972"/>
      <c r="E164" s="2972"/>
      <c r="F164" s="2972"/>
      <c r="G164" s="2972"/>
      <c r="H164" s="2972"/>
      <c r="I164" s="2972"/>
      <c r="J164" s="2972"/>
      <c r="K164" s="2972"/>
      <c r="L164" s="2972"/>
      <c r="M164" s="2972"/>
      <c r="N164" s="2972"/>
      <c r="O164" s="2972"/>
      <c r="P164" s="2972"/>
      <c r="Q164" s="2972"/>
      <c r="R164" s="2972"/>
      <c r="S164" s="2973"/>
      <c r="U164" s="7"/>
    </row>
    <row r="165" spans="1:21" s="65" customFormat="1" ht="16.5" customHeight="1" thickBot="1">
      <c r="A165" s="2974" t="s">
        <v>115</v>
      </c>
      <c r="B165" s="2975"/>
      <c r="C165" s="2975"/>
      <c r="D165" s="2975"/>
      <c r="E165" s="2975"/>
      <c r="F165" s="2975"/>
      <c r="G165" s="2975"/>
      <c r="H165" s="2975"/>
      <c r="I165" s="2975"/>
      <c r="J165" s="2975"/>
      <c r="K165" s="2975"/>
      <c r="L165" s="2975"/>
      <c r="M165" s="2975"/>
      <c r="N165" s="2975"/>
      <c r="O165" s="2975"/>
      <c r="P165" s="2975"/>
      <c r="Q165" s="2975"/>
      <c r="R165" s="2975"/>
      <c r="S165" s="2976"/>
      <c r="U165" s="7"/>
    </row>
    <row r="166" spans="1:21" s="65" customFormat="1" ht="16.5" thickBot="1">
      <c r="A166" s="38" t="s">
        <v>31</v>
      </c>
      <c r="B166" s="39">
        <f>J166</f>
        <v>55</v>
      </c>
      <c r="C166" s="39" t="s">
        <v>3</v>
      </c>
      <c r="D166" s="39">
        <f>K166</f>
        <v>300</v>
      </c>
      <c r="E166" s="39" t="s">
        <v>3</v>
      </c>
      <c r="F166" s="101">
        <f>L166</f>
        <v>600</v>
      </c>
      <c r="G166" s="39" t="s">
        <v>3</v>
      </c>
      <c r="H166" s="39">
        <v>2</v>
      </c>
      <c r="I166" s="40" t="s">
        <v>40</v>
      </c>
      <c r="J166" s="146">
        <v>55</v>
      </c>
      <c r="K166" s="138">
        <v>300</v>
      </c>
      <c r="L166" s="138">
        <v>600</v>
      </c>
      <c r="M166" s="147">
        <v>5.0782331583571434</v>
      </c>
      <c r="N166" s="122">
        <v>44.533681452208086</v>
      </c>
      <c r="O166" s="148">
        <v>10892.173558787839</v>
      </c>
      <c r="P166" s="148">
        <v>12941.434853558212</v>
      </c>
      <c r="Q166" s="139">
        <v>6417.2545322512115</v>
      </c>
      <c r="R166" s="256">
        <v>17309.428091039052</v>
      </c>
      <c r="S166" s="257">
        <v>19358.689385809423</v>
      </c>
      <c r="U166" s="7" t="s">
        <v>710</v>
      </c>
    </row>
    <row r="167" spans="1:21" s="65" customFormat="1" ht="16.5" thickBot="1">
      <c r="A167" s="41" t="s">
        <v>31</v>
      </c>
      <c r="B167" s="42">
        <f t="shared" ref="B167:B214" si="9">J167</f>
        <v>55</v>
      </c>
      <c r="C167" s="42" t="s">
        <v>3</v>
      </c>
      <c r="D167" s="42">
        <f t="shared" ref="D167:D214" si="10">K167</f>
        <v>300</v>
      </c>
      <c r="E167" s="42" t="s">
        <v>3</v>
      </c>
      <c r="F167" s="101">
        <f t="shared" ref="F167:F214" si="11">L167</f>
        <v>650</v>
      </c>
      <c r="G167" s="42" t="s">
        <v>3</v>
      </c>
      <c r="H167" s="39">
        <v>2</v>
      </c>
      <c r="I167" s="40" t="s">
        <v>40</v>
      </c>
      <c r="J167" s="149">
        <v>55</v>
      </c>
      <c r="K167" s="104">
        <v>300</v>
      </c>
      <c r="L167" s="104">
        <v>650</v>
      </c>
      <c r="M167" s="150">
        <v>5.4229432797428583</v>
      </c>
      <c r="N167" s="66">
        <v>53.4404177426497</v>
      </c>
      <c r="O167" s="111">
        <v>11346.61558417006</v>
      </c>
      <c r="P167" s="111">
        <v>13521.112712772197</v>
      </c>
      <c r="Q167" s="110">
        <v>6945.130471153966</v>
      </c>
      <c r="R167" s="258">
        <v>18291.746055324027</v>
      </c>
      <c r="S167" s="259">
        <v>20466.243183926163</v>
      </c>
      <c r="U167" s="7" t="s">
        <v>711</v>
      </c>
    </row>
    <row r="168" spans="1:21" s="65" customFormat="1" ht="16.5" thickBot="1">
      <c r="A168" s="41" t="s">
        <v>31</v>
      </c>
      <c r="B168" s="42">
        <f t="shared" si="9"/>
        <v>55</v>
      </c>
      <c r="C168" s="42" t="s">
        <v>3</v>
      </c>
      <c r="D168" s="42">
        <f t="shared" si="10"/>
        <v>300</v>
      </c>
      <c r="E168" s="42" t="s">
        <v>3</v>
      </c>
      <c r="F168" s="101">
        <f t="shared" si="11"/>
        <v>700</v>
      </c>
      <c r="G168" s="42" t="s">
        <v>3</v>
      </c>
      <c r="H168" s="39">
        <v>2</v>
      </c>
      <c r="I168" s="40" t="s">
        <v>40</v>
      </c>
      <c r="J168" s="149">
        <v>55</v>
      </c>
      <c r="K168" s="104">
        <v>300</v>
      </c>
      <c r="L168" s="104">
        <v>700</v>
      </c>
      <c r="M168" s="150">
        <v>5.7676534011285714</v>
      </c>
      <c r="N168" s="66">
        <v>62.347154033091314</v>
      </c>
      <c r="O168" s="111">
        <v>11801.057609552283</v>
      </c>
      <c r="P168" s="111">
        <v>14100.790418957415</v>
      </c>
      <c r="Q168" s="110">
        <v>7473.0062570279561</v>
      </c>
      <c r="R168" s="258">
        <v>19274.06386658024</v>
      </c>
      <c r="S168" s="259">
        <v>21573.79667598537</v>
      </c>
      <c r="U168" s="7" t="s">
        <v>712</v>
      </c>
    </row>
    <row r="169" spans="1:21" s="65" customFormat="1" ht="16.5" thickBot="1">
      <c r="A169" s="41" t="s">
        <v>31</v>
      </c>
      <c r="B169" s="42">
        <f t="shared" si="9"/>
        <v>55</v>
      </c>
      <c r="C169" s="42" t="s">
        <v>3</v>
      </c>
      <c r="D169" s="42">
        <f t="shared" si="10"/>
        <v>300</v>
      </c>
      <c r="E169" s="42" t="s">
        <v>3</v>
      </c>
      <c r="F169" s="101">
        <f t="shared" si="11"/>
        <v>750</v>
      </c>
      <c r="G169" s="42" t="s">
        <v>3</v>
      </c>
      <c r="H169" s="39">
        <v>2</v>
      </c>
      <c r="I169" s="40" t="s">
        <v>40</v>
      </c>
      <c r="J169" s="149">
        <v>55</v>
      </c>
      <c r="K169" s="104">
        <v>300</v>
      </c>
      <c r="L169" s="104">
        <v>750</v>
      </c>
      <c r="M169" s="150">
        <v>6.1123635225142863</v>
      </c>
      <c r="N169" s="66">
        <v>71.253890323532943</v>
      </c>
      <c r="O169" s="111">
        <v>12255.499481905739</v>
      </c>
      <c r="P169" s="111">
        <v>14680.4682781714</v>
      </c>
      <c r="Q169" s="110">
        <v>8000.8821959307124</v>
      </c>
      <c r="R169" s="258">
        <v>20256.381677836453</v>
      </c>
      <c r="S169" s="259">
        <v>22681.350474102113</v>
      </c>
      <c r="U169" s="7" t="s">
        <v>713</v>
      </c>
    </row>
    <row r="170" spans="1:21" s="65" customFormat="1" ht="16.5" thickBot="1">
      <c r="A170" s="41" t="s">
        <v>31</v>
      </c>
      <c r="B170" s="42">
        <f t="shared" si="9"/>
        <v>55</v>
      </c>
      <c r="C170" s="42" t="s">
        <v>3</v>
      </c>
      <c r="D170" s="42">
        <f t="shared" si="10"/>
        <v>300</v>
      </c>
      <c r="E170" s="42" t="s">
        <v>3</v>
      </c>
      <c r="F170" s="101">
        <f t="shared" si="11"/>
        <v>800</v>
      </c>
      <c r="G170" s="42" t="s">
        <v>3</v>
      </c>
      <c r="H170" s="39">
        <v>2</v>
      </c>
      <c r="I170" s="40" t="s">
        <v>40</v>
      </c>
      <c r="J170" s="149">
        <v>55</v>
      </c>
      <c r="K170" s="104">
        <v>300</v>
      </c>
      <c r="L170" s="104">
        <v>800</v>
      </c>
      <c r="M170" s="150">
        <v>6.4570874413100006</v>
      </c>
      <c r="N170" s="66">
        <v>80.160626613974557</v>
      </c>
      <c r="O170" s="111">
        <v>12709.94150728796</v>
      </c>
      <c r="P170" s="111">
        <v>15260.146137385384</v>
      </c>
      <c r="Q170" s="110">
        <v>8528.7579818047016</v>
      </c>
      <c r="R170" s="258">
        <v>21238.699489092662</v>
      </c>
      <c r="S170" s="259">
        <v>23788.904119190083</v>
      </c>
      <c r="U170" s="7" t="s">
        <v>714</v>
      </c>
    </row>
    <row r="171" spans="1:21" s="65" customFormat="1" ht="16.5" thickBot="1">
      <c r="A171" s="41" t="s">
        <v>31</v>
      </c>
      <c r="B171" s="42">
        <f t="shared" si="9"/>
        <v>55</v>
      </c>
      <c r="C171" s="42" t="s">
        <v>3</v>
      </c>
      <c r="D171" s="42">
        <f t="shared" si="10"/>
        <v>300</v>
      </c>
      <c r="E171" s="42" t="s">
        <v>3</v>
      </c>
      <c r="F171" s="101">
        <f t="shared" si="11"/>
        <v>850</v>
      </c>
      <c r="G171" s="42" t="s">
        <v>3</v>
      </c>
      <c r="H171" s="39">
        <v>2</v>
      </c>
      <c r="I171" s="40" t="s">
        <v>40</v>
      </c>
      <c r="J171" s="149">
        <v>55</v>
      </c>
      <c r="K171" s="104">
        <v>300</v>
      </c>
      <c r="L171" s="104">
        <v>850</v>
      </c>
      <c r="M171" s="150">
        <v>6.8017975626957128</v>
      </c>
      <c r="N171" s="66">
        <v>89.067362904416171</v>
      </c>
      <c r="O171" s="111">
        <v>13164.383532670181</v>
      </c>
      <c r="P171" s="111">
        <v>15839.823843570603</v>
      </c>
      <c r="Q171" s="110">
        <v>9056.6339207074561</v>
      </c>
      <c r="R171" s="258">
        <v>22221.017453377637</v>
      </c>
      <c r="S171" s="259">
        <v>24896.457764278057</v>
      </c>
      <c r="U171" s="7" t="s">
        <v>715</v>
      </c>
    </row>
    <row r="172" spans="1:21" s="65" customFormat="1" ht="16.5" thickBot="1">
      <c r="A172" s="41" t="s">
        <v>31</v>
      </c>
      <c r="B172" s="42">
        <f t="shared" si="9"/>
        <v>55</v>
      </c>
      <c r="C172" s="42" t="s">
        <v>3</v>
      </c>
      <c r="D172" s="42">
        <f t="shared" si="10"/>
        <v>300</v>
      </c>
      <c r="E172" s="42" t="s">
        <v>3</v>
      </c>
      <c r="F172" s="101">
        <f t="shared" si="11"/>
        <v>900</v>
      </c>
      <c r="G172" s="42" t="s">
        <v>3</v>
      </c>
      <c r="H172" s="39">
        <v>2</v>
      </c>
      <c r="I172" s="40" t="s">
        <v>40</v>
      </c>
      <c r="J172" s="149">
        <v>55</v>
      </c>
      <c r="K172" s="104">
        <v>300</v>
      </c>
      <c r="L172" s="104">
        <v>900</v>
      </c>
      <c r="M172" s="150">
        <v>7.1465076840814286</v>
      </c>
      <c r="N172" s="66">
        <v>97.9740991948578</v>
      </c>
      <c r="O172" s="111">
        <v>13618.825405023637</v>
      </c>
      <c r="P172" s="111">
        <v>16419.501702784586</v>
      </c>
      <c r="Q172" s="110">
        <v>9584.509706581448</v>
      </c>
      <c r="R172" s="258">
        <v>23203.335111605084</v>
      </c>
      <c r="S172" s="259">
        <v>26004.011409366034</v>
      </c>
      <c r="U172" s="7" t="s">
        <v>716</v>
      </c>
    </row>
    <row r="173" spans="1:21" s="65" customFormat="1" ht="16.5" thickBot="1">
      <c r="A173" s="41" t="s">
        <v>31</v>
      </c>
      <c r="B173" s="42">
        <f t="shared" si="9"/>
        <v>55</v>
      </c>
      <c r="C173" s="42" t="s">
        <v>3</v>
      </c>
      <c r="D173" s="42">
        <f t="shared" si="10"/>
        <v>300</v>
      </c>
      <c r="E173" s="42" t="s">
        <v>3</v>
      </c>
      <c r="F173" s="101">
        <f t="shared" si="11"/>
        <v>950</v>
      </c>
      <c r="G173" s="42" t="s">
        <v>3</v>
      </c>
      <c r="H173" s="39">
        <v>2</v>
      </c>
      <c r="I173" s="40" t="s">
        <v>40</v>
      </c>
      <c r="J173" s="149">
        <v>55</v>
      </c>
      <c r="K173" s="104">
        <v>300</v>
      </c>
      <c r="L173" s="104">
        <v>950</v>
      </c>
      <c r="M173" s="150">
        <v>7.4912178054671426</v>
      </c>
      <c r="N173" s="66">
        <v>106.8808354852994</v>
      </c>
      <c r="O173" s="111">
        <v>14073.26743040586</v>
      </c>
      <c r="P173" s="111">
        <v>16999.179408969809</v>
      </c>
      <c r="Q173" s="110">
        <v>10112.385645484203</v>
      </c>
      <c r="R173" s="258">
        <v>24185.653075890063</v>
      </c>
      <c r="S173" s="259">
        <v>27111.565054454011</v>
      </c>
      <c r="U173" s="7" t="s">
        <v>717</v>
      </c>
    </row>
    <row r="174" spans="1:21" s="65" customFormat="1" ht="16.5" thickBot="1">
      <c r="A174" s="41" t="s">
        <v>31</v>
      </c>
      <c r="B174" s="42">
        <f t="shared" si="9"/>
        <v>55</v>
      </c>
      <c r="C174" s="42" t="s">
        <v>3</v>
      </c>
      <c r="D174" s="42">
        <f t="shared" si="10"/>
        <v>300</v>
      </c>
      <c r="E174" s="42" t="s">
        <v>3</v>
      </c>
      <c r="F174" s="101">
        <f t="shared" si="11"/>
        <v>1000</v>
      </c>
      <c r="G174" s="42" t="s">
        <v>3</v>
      </c>
      <c r="H174" s="39">
        <v>2</v>
      </c>
      <c r="I174" s="40" t="s">
        <v>40</v>
      </c>
      <c r="J174" s="149">
        <v>55</v>
      </c>
      <c r="K174" s="104">
        <v>300</v>
      </c>
      <c r="L174" s="104">
        <v>1000</v>
      </c>
      <c r="M174" s="150">
        <v>7.8359279268528566</v>
      </c>
      <c r="N174" s="66">
        <v>115.78757177574103</v>
      </c>
      <c r="O174" s="111">
        <v>14527.709455788081</v>
      </c>
      <c r="P174" s="111">
        <v>17578.85726818379</v>
      </c>
      <c r="Q174" s="110">
        <v>10640.261431358193</v>
      </c>
      <c r="R174" s="258">
        <v>25167.970887146272</v>
      </c>
      <c r="S174" s="259">
        <v>28219.118699541985</v>
      </c>
      <c r="U174" s="7" t="s">
        <v>718</v>
      </c>
    </row>
    <row r="175" spans="1:21" s="65" customFormat="1" ht="16.5" thickBot="1">
      <c r="A175" s="41" t="s">
        <v>31</v>
      </c>
      <c r="B175" s="42">
        <f t="shared" si="9"/>
        <v>55</v>
      </c>
      <c r="C175" s="42" t="s">
        <v>3</v>
      </c>
      <c r="D175" s="42">
        <f t="shared" si="10"/>
        <v>300</v>
      </c>
      <c r="E175" s="42" t="s">
        <v>3</v>
      </c>
      <c r="F175" s="101">
        <f t="shared" si="11"/>
        <v>1050</v>
      </c>
      <c r="G175" s="42" t="s">
        <v>3</v>
      </c>
      <c r="H175" s="39">
        <v>2</v>
      </c>
      <c r="I175" s="40" t="s">
        <v>40</v>
      </c>
      <c r="J175" s="149">
        <v>55</v>
      </c>
      <c r="K175" s="104">
        <v>300</v>
      </c>
      <c r="L175" s="104">
        <v>1050</v>
      </c>
      <c r="M175" s="150">
        <v>8.1806380482385723</v>
      </c>
      <c r="N175" s="66">
        <v>124.69430806618263</v>
      </c>
      <c r="O175" s="111">
        <v>14982.151328141537</v>
      </c>
      <c r="P175" s="111">
        <v>18158.534974369009</v>
      </c>
      <c r="Q175" s="110">
        <v>11168.137370260947</v>
      </c>
      <c r="R175" s="258">
        <v>26150.288698402484</v>
      </c>
      <c r="S175" s="259">
        <v>29326.672344629958</v>
      </c>
      <c r="U175" s="7" t="s">
        <v>719</v>
      </c>
    </row>
    <row r="176" spans="1:21" s="65" customFormat="1" ht="16.5" thickBot="1">
      <c r="A176" s="38" t="s">
        <v>31</v>
      </c>
      <c r="B176" s="39">
        <f t="shared" si="9"/>
        <v>55</v>
      </c>
      <c r="C176" s="39" t="s">
        <v>3</v>
      </c>
      <c r="D176" s="39">
        <f t="shared" si="10"/>
        <v>300</v>
      </c>
      <c r="E176" s="39" t="s">
        <v>3</v>
      </c>
      <c r="F176" s="101">
        <f t="shared" si="11"/>
        <v>1100</v>
      </c>
      <c r="G176" s="39" t="s">
        <v>3</v>
      </c>
      <c r="H176" s="39">
        <v>2</v>
      </c>
      <c r="I176" s="40" t="s">
        <v>40</v>
      </c>
      <c r="J176" s="149">
        <v>55</v>
      </c>
      <c r="K176" s="104">
        <v>300</v>
      </c>
      <c r="L176" s="104">
        <v>1100</v>
      </c>
      <c r="M176" s="150">
        <v>8.5253481696242854</v>
      </c>
      <c r="N176" s="66">
        <v>133.60104435662424</v>
      </c>
      <c r="O176" s="111">
        <v>15436.593353523758</v>
      </c>
      <c r="P176" s="111">
        <v>18738.212833582995</v>
      </c>
      <c r="Q176" s="110">
        <v>11696.013156134937</v>
      </c>
      <c r="R176" s="258">
        <v>27132.606509658697</v>
      </c>
      <c r="S176" s="259">
        <v>30434.225989717932</v>
      </c>
      <c r="U176" s="7" t="s">
        <v>720</v>
      </c>
    </row>
    <row r="177" spans="1:21" s="65" customFormat="1" ht="16.5" thickBot="1">
      <c r="A177" s="41" t="s">
        <v>31</v>
      </c>
      <c r="B177" s="42">
        <f t="shared" si="9"/>
        <v>55</v>
      </c>
      <c r="C177" s="42" t="s">
        <v>3</v>
      </c>
      <c r="D177" s="42">
        <f t="shared" si="10"/>
        <v>300</v>
      </c>
      <c r="E177" s="42" t="s">
        <v>3</v>
      </c>
      <c r="F177" s="101">
        <f t="shared" si="11"/>
        <v>1150</v>
      </c>
      <c r="G177" s="42" t="s">
        <v>3</v>
      </c>
      <c r="H177" s="39">
        <v>2</v>
      </c>
      <c r="I177" s="40" t="s">
        <v>40</v>
      </c>
      <c r="J177" s="149">
        <v>55</v>
      </c>
      <c r="K177" s="104">
        <v>300</v>
      </c>
      <c r="L177" s="104">
        <v>1150</v>
      </c>
      <c r="M177" s="150">
        <v>8.8700582910100003</v>
      </c>
      <c r="N177" s="66">
        <v>142.50778064706589</v>
      </c>
      <c r="O177" s="111">
        <v>15891.035378905981</v>
      </c>
      <c r="P177" s="111">
        <v>19317.89069279698</v>
      </c>
      <c r="Q177" s="110">
        <v>12223.889095037694</v>
      </c>
      <c r="R177" s="258">
        <v>28114.924473943676</v>
      </c>
      <c r="S177" s="259">
        <v>31541.779787834676</v>
      </c>
      <c r="U177" s="7" t="s">
        <v>721</v>
      </c>
    </row>
    <row r="178" spans="1:21" s="65" customFormat="1" ht="16.5" thickBot="1">
      <c r="A178" s="41" t="s">
        <v>31</v>
      </c>
      <c r="B178" s="42">
        <f t="shared" si="9"/>
        <v>55</v>
      </c>
      <c r="C178" s="42" t="s">
        <v>3</v>
      </c>
      <c r="D178" s="42">
        <f t="shared" si="10"/>
        <v>300</v>
      </c>
      <c r="E178" s="42" t="s">
        <v>3</v>
      </c>
      <c r="F178" s="101">
        <f t="shared" si="11"/>
        <v>1200</v>
      </c>
      <c r="G178" s="42" t="s">
        <v>3</v>
      </c>
      <c r="H178" s="39">
        <v>2</v>
      </c>
      <c r="I178" s="40" t="s">
        <v>40</v>
      </c>
      <c r="J178" s="149">
        <v>55</v>
      </c>
      <c r="K178" s="104">
        <v>300</v>
      </c>
      <c r="L178" s="104">
        <v>1200</v>
      </c>
      <c r="M178" s="150">
        <v>9.2825684123957117</v>
      </c>
      <c r="N178" s="66">
        <v>151.4145169375075</v>
      </c>
      <c r="O178" s="111">
        <v>16392.977532983001</v>
      </c>
      <c r="P178" s="111">
        <v>19943.620875558914</v>
      </c>
      <c r="Q178" s="110">
        <v>12751.764880911684</v>
      </c>
      <c r="R178" s="258">
        <v>29144.742413894684</v>
      </c>
      <c r="S178" s="259">
        <v>32695.385756470598</v>
      </c>
      <c r="U178" s="7" t="s">
        <v>722</v>
      </c>
    </row>
    <row r="179" spans="1:21" s="65" customFormat="1" ht="16.5" thickBot="1">
      <c r="A179" s="41" t="s">
        <v>31</v>
      </c>
      <c r="B179" s="42">
        <f t="shared" si="9"/>
        <v>55</v>
      </c>
      <c r="C179" s="42" t="s">
        <v>3</v>
      </c>
      <c r="D179" s="42">
        <f t="shared" si="10"/>
        <v>300</v>
      </c>
      <c r="E179" s="42" t="s">
        <v>3</v>
      </c>
      <c r="F179" s="101">
        <f t="shared" si="11"/>
        <v>1250</v>
      </c>
      <c r="G179" s="42" t="s">
        <v>3</v>
      </c>
      <c r="H179" s="39">
        <v>2</v>
      </c>
      <c r="I179" s="40" t="s">
        <v>40</v>
      </c>
      <c r="J179" s="149">
        <v>55</v>
      </c>
      <c r="K179" s="104">
        <v>300</v>
      </c>
      <c r="L179" s="104">
        <v>1250</v>
      </c>
      <c r="M179" s="150">
        <v>9.6272785337814284</v>
      </c>
      <c r="N179" s="66">
        <v>160.32125322794911</v>
      </c>
      <c r="O179" s="111">
        <v>16847.419558365225</v>
      </c>
      <c r="P179" s="111">
        <v>20523.298581744133</v>
      </c>
      <c r="Q179" s="110">
        <v>13279.64081981444</v>
      </c>
      <c r="R179" s="258">
        <v>30127.060378179667</v>
      </c>
      <c r="S179" s="259">
        <v>33802.939401558571</v>
      </c>
      <c r="U179" s="7" t="s">
        <v>723</v>
      </c>
    </row>
    <row r="180" spans="1:21" s="65" customFormat="1" ht="16.5" thickBot="1">
      <c r="A180" s="41" t="s">
        <v>31</v>
      </c>
      <c r="B180" s="42">
        <f t="shared" si="9"/>
        <v>55</v>
      </c>
      <c r="C180" s="42" t="s">
        <v>3</v>
      </c>
      <c r="D180" s="42">
        <f t="shared" si="10"/>
        <v>300</v>
      </c>
      <c r="E180" s="42" t="s">
        <v>3</v>
      </c>
      <c r="F180" s="101">
        <f t="shared" si="11"/>
        <v>1300</v>
      </c>
      <c r="G180" s="42" t="s">
        <v>3</v>
      </c>
      <c r="H180" s="39">
        <v>2</v>
      </c>
      <c r="I180" s="40" t="s">
        <v>40</v>
      </c>
      <c r="J180" s="149">
        <v>55</v>
      </c>
      <c r="K180" s="104">
        <v>300</v>
      </c>
      <c r="L180" s="104">
        <v>1300</v>
      </c>
      <c r="M180" s="150">
        <v>9.9719886551671415</v>
      </c>
      <c r="N180" s="66">
        <v>169.22798951839073</v>
      </c>
      <c r="O180" s="111">
        <v>17301.86143071868</v>
      </c>
      <c r="P180" s="111">
        <v>21102.976440958118</v>
      </c>
      <c r="Q180" s="110">
        <v>13807.516605688428</v>
      </c>
      <c r="R180" s="258">
        <v>31109.378036407106</v>
      </c>
      <c r="S180" s="259">
        <v>34910.493046646545</v>
      </c>
      <c r="U180" s="7" t="s">
        <v>724</v>
      </c>
    </row>
    <row r="181" spans="1:21" s="65" customFormat="1" ht="16.5" thickBot="1">
      <c r="A181" s="41" t="s">
        <v>31</v>
      </c>
      <c r="B181" s="42">
        <f t="shared" si="9"/>
        <v>55</v>
      </c>
      <c r="C181" s="42" t="s">
        <v>3</v>
      </c>
      <c r="D181" s="42">
        <f t="shared" si="10"/>
        <v>300</v>
      </c>
      <c r="E181" s="42" t="s">
        <v>3</v>
      </c>
      <c r="F181" s="101">
        <f t="shared" si="11"/>
        <v>1350</v>
      </c>
      <c r="G181" s="42" t="s">
        <v>3</v>
      </c>
      <c r="H181" s="39">
        <v>2</v>
      </c>
      <c r="I181" s="40" t="s">
        <v>40</v>
      </c>
      <c r="J181" s="149">
        <v>55</v>
      </c>
      <c r="K181" s="104">
        <v>300</v>
      </c>
      <c r="L181" s="104">
        <v>1350</v>
      </c>
      <c r="M181" s="150">
        <v>10.316698776552858</v>
      </c>
      <c r="N181" s="66">
        <v>178.13472580883234</v>
      </c>
      <c r="O181" s="111">
        <v>17756.303456100901</v>
      </c>
      <c r="P181" s="111">
        <v>21682.654147143334</v>
      </c>
      <c r="Q181" s="110">
        <v>14335.392544591185</v>
      </c>
      <c r="R181" s="258">
        <v>32091.696000692085</v>
      </c>
      <c r="S181" s="259">
        <v>36018.046691734518</v>
      </c>
      <c r="U181" s="7" t="s">
        <v>725</v>
      </c>
    </row>
    <row r="182" spans="1:21" s="65" customFormat="1" ht="16.5" thickBot="1">
      <c r="A182" s="41" t="s">
        <v>31</v>
      </c>
      <c r="B182" s="42">
        <f t="shared" si="9"/>
        <v>55</v>
      </c>
      <c r="C182" s="42" t="s">
        <v>3</v>
      </c>
      <c r="D182" s="42">
        <f t="shared" si="10"/>
        <v>300</v>
      </c>
      <c r="E182" s="42" t="s">
        <v>3</v>
      </c>
      <c r="F182" s="101">
        <f t="shared" si="11"/>
        <v>1400</v>
      </c>
      <c r="G182" s="42" t="s">
        <v>3</v>
      </c>
      <c r="H182" s="39">
        <v>2</v>
      </c>
      <c r="I182" s="40" t="s">
        <v>40</v>
      </c>
      <c r="J182" s="149">
        <v>55</v>
      </c>
      <c r="K182" s="104">
        <v>300</v>
      </c>
      <c r="L182" s="104">
        <v>1400</v>
      </c>
      <c r="M182" s="150">
        <v>10.661408897938571</v>
      </c>
      <c r="N182" s="66">
        <v>187.04146209927396</v>
      </c>
      <c r="O182" s="111">
        <v>18210.745481483122</v>
      </c>
      <c r="P182" s="111">
        <v>22262.332006357319</v>
      </c>
      <c r="Q182" s="110">
        <v>14863.268330465173</v>
      </c>
      <c r="R182" s="258">
        <v>33074.013811948294</v>
      </c>
      <c r="S182" s="259">
        <v>37125.600336822492</v>
      </c>
      <c r="U182" s="7" t="s">
        <v>726</v>
      </c>
    </row>
    <row r="183" spans="1:21" s="65" customFormat="1" ht="16.5" thickBot="1">
      <c r="A183" s="41" t="s">
        <v>31</v>
      </c>
      <c r="B183" s="42">
        <f t="shared" si="9"/>
        <v>55</v>
      </c>
      <c r="C183" s="42" t="s">
        <v>3</v>
      </c>
      <c r="D183" s="42">
        <f t="shared" si="10"/>
        <v>300</v>
      </c>
      <c r="E183" s="42" t="s">
        <v>3</v>
      </c>
      <c r="F183" s="101">
        <f t="shared" si="11"/>
        <v>1450</v>
      </c>
      <c r="G183" s="42" t="s">
        <v>3</v>
      </c>
      <c r="H183" s="39">
        <v>2</v>
      </c>
      <c r="I183" s="40" t="s">
        <v>40</v>
      </c>
      <c r="J183" s="149">
        <v>55</v>
      </c>
      <c r="K183" s="104">
        <v>300</v>
      </c>
      <c r="L183" s="104">
        <v>1450</v>
      </c>
      <c r="M183" s="150">
        <v>11.006119019324284</v>
      </c>
      <c r="N183" s="66">
        <v>195.9481983897156</v>
      </c>
      <c r="O183" s="111">
        <v>18665.18735383658</v>
      </c>
      <c r="P183" s="111">
        <v>22842.009712542542</v>
      </c>
      <c r="Q183" s="110">
        <v>15391.144269367929</v>
      </c>
      <c r="R183" s="258">
        <v>34056.331623204511</v>
      </c>
      <c r="S183" s="259">
        <v>38233.153981910473</v>
      </c>
      <c r="U183" s="7" t="s">
        <v>727</v>
      </c>
    </row>
    <row r="184" spans="1:21" s="65" customFormat="1" ht="16.5" thickBot="1">
      <c r="A184" s="41" t="s">
        <v>31</v>
      </c>
      <c r="B184" s="42">
        <f t="shared" si="9"/>
        <v>55</v>
      </c>
      <c r="C184" s="42" t="s">
        <v>3</v>
      </c>
      <c r="D184" s="42">
        <f t="shared" si="10"/>
        <v>300</v>
      </c>
      <c r="E184" s="42" t="s">
        <v>3</v>
      </c>
      <c r="F184" s="101">
        <f t="shared" si="11"/>
        <v>1500</v>
      </c>
      <c r="G184" s="42" t="s">
        <v>3</v>
      </c>
      <c r="H184" s="39">
        <v>2</v>
      </c>
      <c r="I184" s="40" t="s">
        <v>40</v>
      </c>
      <c r="J184" s="149">
        <v>55</v>
      </c>
      <c r="K184" s="104">
        <v>300</v>
      </c>
      <c r="L184" s="104">
        <v>1500</v>
      </c>
      <c r="M184" s="150">
        <v>11.489802452709998</v>
      </c>
      <c r="N184" s="66">
        <v>204.85493468015719</v>
      </c>
      <c r="O184" s="111">
        <v>19822.368533512119</v>
      </c>
      <c r="P184" s="111">
        <v>24037.215479776343</v>
      </c>
      <c r="Q184" s="110">
        <v>15919.020055241919</v>
      </c>
      <c r="R184" s="258">
        <v>35741.388588754038</v>
      </c>
      <c r="S184" s="259">
        <v>39956.235535018262</v>
      </c>
      <c r="U184" s="7" t="s">
        <v>728</v>
      </c>
    </row>
    <row r="185" spans="1:21" s="65" customFormat="1" ht="16.5" thickBot="1">
      <c r="A185" s="41" t="s">
        <v>31</v>
      </c>
      <c r="B185" s="42">
        <f t="shared" si="9"/>
        <v>55</v>
      </c>
      <c r="C185" s="42" t="s">
        <v>3</v>
      </c>
      <c r="D185" s="42">
        <f t="shared" si="10"/>
        <v>300</v>
      </c>
      <c r="E185" s="42" t="s">
        <v>3</v>
      </c>
      <c r="F185" s="101">
        <f t="shared" si="11"/>
        <v>1550</v>
      </c>
      <c r="G185" s="42" t="s">
        <v>3</v>
      </c>
      <c r="H185" s="39">
        <v>2</v>
      </c>
      <c r="I185" s="40" t="s">
        <v>40</v>
      </c>
      <c r="J185" s="149">
        <v>55</v>
      </c>
      <c r="K185" s="104">
        <v>300</v>
      </c>
      <c r="L185" s="104">
        <v>1550</v>
      </c>
      <c r="M185" s="150">
        <v>11.834512574095715</v>
      </c>
      <c r="N185" s="66">
        <v>213.7616709705988</v>
      </c>
      <c r="O185" s="111">
        <v>20276.81055889434</v>
      </c>
      <c r="P185" s="111">
        <v>24616.893185961562</v>
      </c>
      <c r="Q185" s="110">
        <v>16446.895994144674</v>
      </c>
      <c r="R185" s="258">
        <v>36723.70655303901</v>
      </c>
      <c r="S185" s="259">
        <v>41063.789180106236</v>
      </c>
      <c r="U185" s="7" t="s">
        <v>729</v>
      </c>
    </row>
    <row r="186" spans="1:21" s="65" customFormat="1" ht="16.5" thickBot="1">
      <c r="A186" s="38" t="s">
        <v>31</v>
      </c>
      <c r="B186" s="39">
        <f t="shared" si="9"/>
        <v>55</v>
      </c>
      <c r="C186" s="39" t="s">
        <v>3</v>
      </c>
      <c r="D186" s="39">
        <f t="shared" si="10"/>
        <v>300</v>
      </c>
      <c r="E186" s="39" t="s">
        <v>3</v>
      </c>
      <c r="F186" s="101">
        <f t="shared" si="11"/>
        <v>1600</v>
      </c>
      <c r="G186" s="39" t="s">
        <v>3</v>
      </c>
      <c r="H186" s="39">
        <v>2</v>
      </c>
      <c r="I186" s="40" t="s">
        <v>40</v>
      </c>
      <c r="J186" s="149">
        <v>55</v>
      </c>
      <c r="K186" s="104">
        <v>300</v>
      </c>
      <c r="L186" s="104">
        <v>1600</v>
      </c>
      <c r="M186" s="150">
        <v>12.179222695481428</v>
      </c>
      <c r="N186" s="66">
        <v>222.66840726104044</v>
      </c>
      <c r="O186" s="111">
        <v>20731.252584276564</v>
      </c>
      <c r="P186" s="111">
        <v>25196.571045175544</v>
      </c>
      <c r="Q186" s="110">
        <v>16974.771780018662</v>
      </c>
      <c r="R186" s="258">
        <v>37706.024364295226</v>
      </c>
      <c r="S186" s="259">
        <v>42171.34282519421</v>
      </c>
      <c r="U186" s="7" t="s">
        <v>730</v>
      </c>
    </row>
    <row r="187" spans="1:21" s="65" customFormat="1" ht="16.5" thickBot="1">
      <c r="A187" s="41" t="s">
        <v>31</v>
      </c>
      <c r="B187" s="42">
        <f t="shared" si="9"/>
        <v>55</v>
      </c>
      <c r="C187" s="42" t="s">
        <v>3</v>
      </c>
      <c r="D187" s="42">
        <f t="shared" si="10"/>
        <v>300</v>
      </c>
      <c r="E187" s="42" t="s">
        <v>3</v>
      </c>
      <c r="F187" s="101">
        <f t="shared" si="11"/>
        <v>1650</v>
      </c>
      <c r="G187" s="42" t="s">
        <v>3</v>
      </c>
      <c r="H187" s="39">
        <v>2</v>
      </c>
      <c r="I187" s="40" t="s">
        <v>40</v>
      </c>
      <c r="J187" s="149">
        <v>55</v>
      </c>
      <c r="K187" s="104">
        <v>300</v>
      </c>
      <c r="L187" s="104">
        <v>1650</v>
      </c>
      <c r="M187" s="150">
        <v>12.523932816867143</v>
      </c>
      <c r="N187" s="66">
        <v>231.57514355148206</v>
      </c>
      <c r="O187" s="111">
        <v>21185.694456630019</v>
      </c>
      <c r="P187" s="111">
        <v>25776.248751360763</v>
      </c>
      <c r="Q187" s="110">
        <v>17502.64771892142</v>
      </c>
      <c r="R187" s="258">
        <v>38688.342175551443</v>
      </c>
      <c r="S187" s="259">
        <v>43278.896470282183</v>
      </c>
      <c r="U187" s="7" t="s">
        <v>731</v>
      </c>
    </row>
    <row r="188" spans="1:21" s="65" customFormat="1" ht="16.5" thickBot="1">
      <c r="A188" s="41" t="s">
        <v>31</v>
      </c>
      <c r="B188" s="42">
        <f t="shared" si="9"/>
        <v>55</v>
      </c>
      <c r="C188" s="42" t="s">
        <v>3</v>
      </c>
      <c r="D188" s="42">
        <f t="shared" si="10"/>
        <v>300</v>
      </c>
      <c r="E188" s="42" t="s">
        <v>3</v>
      </c>
      <c r="F188" s="101">
        <f t="shared" si="11"/>
        <v>1700</v>
      </c>
      <c r="G188" s="42" t="s">
        <v>3</v>
      </c>
      <c r="H188" s="39">
        <v>2</v>
      </c>
      <c r="I188" s="40" t="s">
        <v>40</v>
      </c>
      <c r="J188" s="149">
        <v>55</v>
      </c>
      <c r="K188" s="104">
        <v>300</v>
      </c>
      <c r="L188" s="104">
        <v>1700</v>
      </c>
      <c r="M188" s="150">
        <v>12.868642938252858</v>
      </c>
      <c r="N188" s="66">
        <v>240.48187984192367</v>
      </c>
      <c r="O188" s="111">
        <v>21640.136482012244</v>
      </c>
      <c r="P188" s="111">
        <v>26355.926610574752</v>
      </c>
      <c r="Q188" s="110">
        <v>18030.523504795408</v>
      </c>
      <c r="R188" s="258">
        <v>39670.659986807652</v>
      </c>
      <c r="S188" s="259">
        <v>44386.450115370157</v>
      </c>
      <c r="U188" s="7" t="s">
        <v>732</v>
      </c>
    </row>
    <row r="189" spans="1:21" s="65" customFormat="1" ht="16.5" thickBot="1">
      <c r="A189" s="41" t="s">
        <v>31</v>
      </c>
      <c r="B189" s="42">
        <f t="shared" si="9"/>
        <v>55</v>
      </c>
      <c r="C189" s="42" t="s">
        <v>3</v>
      </c>
      <c r="D189" s="42">
        <f t="shared" si="10"/>
        <v>300</v>
      </c>
      <c r="E189" s="42" t="s">
        <v>3</v>
      </c>
      <c r="F189" s="101">
        <f t="shared" si="11"/>
        <v>1750</v>
      </c>
      <c r="G189" s="42" t="s">
        <v>3</v>
      </c>
      <c r="H189" s="39">
        <v>2</v>
      </c>
      <c r="I189" s="40" t="s">
        <v>40</v>
      </c>
      <c r="J189" s="149">
        <v>55</v>
      </c>
      <c r="K189" s="104">
        <v>300</v>
      </c>
      <c r="L189" s="104">
        <v>1750</v>
      </c>
      <c r="M189" s="150">
        <v>13.213353059638571</v>
      </c>
      <c r="N189" s="66">
        <v>249.38861613236526</v>
      </c>
      <c r="O189" s="111">
        <v>22094.578507394461</v>
      </c>
      <c r="P189" s="111">
        <v>26935.604316759964</v>
      </c>
      <c r="Q189" s="110">
        <v>18558.399443698163</v>
      </c>
      <c r="R189" s="258">
        <v>40652.977951092624</v>
      </c>
      <c r="S189" s="259">
        <v>45494.00376045813</v>
      </c>
      <c r="U189" s="7" t="s">
        <v>733</v>
      </c>
    </row>
    <row r="190" spans="1:21" s="65" customFormat="1" ht="16.5" thickBot="1">
      <c r="A190" s="41" t="s">
        <v>31</v>
      </c>
      <c r="B190" s="42">
        <f t="shared" si="9"/>
        <v>55</v>
      </c>
      <c r="C190" s="42" t="s">
        <v>3</v>
      </c>
      <c r="D190" s="42">
        <f t="shared" si="10"/>
        <v>300</v>
      </c>
      <c r="E190" s="42" t="s">
        <v>3</v>
      </c>
      <c r="F190" s="101">
        <f t="shared" si="11"/>
        <v>1800</v>
      </c>
      <c r="G190" s="42" t="s">
        <v>3</v>
      </c>
      <c r="H190" s="39">
        <v>2</v>
      </c>
      <c r="I190" s="40" t="s">
        <v>40</v>
      </c>
      <c r="J190" s="149">
        <v>55</v>
      </c>
      <c r="K190" s="104">
        <v>300</v>
      </c>
      <c r="L190" s="104">
        <v>1800</v>
      </c>
      <c r="M190" s="150">
        <v>13.558063181024286</v>
      </c>
      <c r="N190" s="66">
        <v>258.2953524228069</v>
      </c>
      <c r="O190" s="111">
        <v>22549.020379747919</v>
      </c>
      <c r="P190" s="111">
        <v>27515.282175973953</v>
      </c>
      <c r="Q190" s="110">
        <v>19086.275229572155</v>
      </c>
      <c r="R190" s="258">
        <v>41635.295609320077</v>
      </c>
      <c r="S190" s="259">
        <v>46601.557405546104</v>
      </c>
      <c r="U190" s="7" t="s">
        <v>734</v>
      </c>
    </row>
    <row r="191" spans="1:21" s="65" customFormat="1" ht="16.5" thickBot="1">
      <c r="A191" s="41" t="s">
        <v>31</v>
      </c>
      <c r="B191" s="42">
        <f t="shared" si="9"/>
        <v>55</v>
      </c>
      <c r="C191" s="42" t="s">
        <v>3</v>
      </c>
      <c r="D191" s="42">
        <f t="shared" si="10"/>
        <v>300</v>
      </c>
      <c r="E191" s="42" t="s">
        <v>3</v>
      </c>
      <c r="F191" s="101">
        <f t="shared" si="11"/>
        <v>1850</v>
      </c>
      <c r="G191" s="42" t="s">
        <v>3</v>
      </c>
      <c r="H191" s="39">
        <v>2</v>
      </c>
      <c r="I191" s="40" t="s">
        <v>40</v>
      </c>
      <c r="J191" s="149">
        <v>55</v>
      </c>
      <c r="K191" s="104">
        <v>300</v>
      </c>
      <c r="L191" s="104">
        <v>1850</v>
      </c>
      <c r="M191" s="150">
        <v>13.902773302410001</v>
      </c>
      <c r="N191" s="66">
        <v>267.20208871324849</v>
      </c>
      <c r="O191" s="111">
        <v>23003.46240513014</v>
      </c>
      <c r="P191" s="111">
        <v>28094.960035187934</v>
      </c>
      <c r="Q191" s="110">
        <v>19614.151168474909</v>
      </c>
      <c r="R191" s="258">
        <v>42617.613573605049</v>
      </c>
      <c r="S191" s="259">
        <v>47709.111203662847</v>
      </c>
      <c r="U191" s="7" t="s">
        <v>735</v>
      </c>
    </row>
    <row r="192" spans="1:21" s="65" customFormat="1" ht="16.5" thickBot="1">
      <c r="A192" s="41" t="s">
        <v>31</v>
      </c>
      <c r="B192" s="42">
        <f t="shared" si="9"/>
        <v>55</v>
      </c>
      <c r="C192" s="42" t="s">
        <v>3</v>
      </c>
      <c r="D192" s="42">
        <f t="shared" si="10"/>
        <v>300</v>
      </c>
      <c r="E192" s="42" t="s">
        <v>3</v>
      </c>
      <c r="F192" s="101">
        <f t="shared" si="11"/>
        <v>1900</v>
      </c>
      <c r="G192" s="42" t="s">
        <v>3</v>
      </c>
      <c r="H192" s="39">
        <v>2</v>
      </c>
      <c r="I192" s="40" t="s">
        <v>40</v>
      </c>
      <c r="J192" s="149">
        <v>55</v>
      </c>
      <c r="K192" s="104">
        <v>300</v>
      </c>
      <c r="L192" s="104">
        <v>1900</v>
      </c>
      <c r="M192" s="150">
        <v>14.247483423795714</v>
      </c>
      <c r="N192" s="66">
        <v>276.10882500369013</v>
      </c>
      <c r="O192" s="111">
        <v>23457.904430512364</v>
      </c>
      <c r="P192" s="111">
        <v>28674.637741373153</v>
      </c>
      <c r="Q192" s="110">
        <v>20142.026954348901</v>
      </c>
      <c r="R192" s="258">
        <v>43599.931384861266</v>
      </c>
      <c r="S192" s="259">
        <v>48816.664695722051</v>
      </c>
      <c r="U192" s="7" t="s">
        <v>736</v>
      </c>
    </row>
    <row r="193" spans="1:21" s="65" customFormat="1" ht="16.5" thickBot="1">
      <c r="A193" s="41" t="s">
        <v>31</v>
      </c>
      <c r="B193" s="42">
        <f t="shared" si="9"/>
        <v>55</v>
      </c>
      <c r="C193" s="42" t="s">
        <v>3</v>
      </c>
      <c r="D193" s="42">
        <f t="shared" si="10"/>
        <v>300</v>
      </c>
      <c r="E193" s="42" t="s">
        <v>3</v>
      </c>
      <c r="F193" s="101">
        <f t="shared" si="11"/>
        <v>1950</v>
      </c>
      <c r="G193" s="42" t="s">
        <v>3</v>
      </c>
      <c r="H193" s="39">
        <v>2</v>
      </c>
      <c r="I193" s="40" t="s">
        <v>40</v>
      </c>
      <c r="J193" s="149">
        <v>55</v>
      </c>
      <c r="K193" s="104">
        <v>300</v>
      </c>
      <c r="L193" s="104">
        <v>1950</v>
      </c>
      <c r="M193" s="150">
        <v>14.659993545181429</v>
      </c>
      <c r="N193" s="66">
        <v>285.01556129413177</v>
      </c>
      <c r="O193" s="111">
        <v>23959.846584589381</v>
      </c>
      <c r="P193" s="111">
        <v>29300.367924135087</v>
      </c>
      <c r="Q193" s="110">
        <v>20669.902893251656</v>
      </c>
      <c r="R193" s="258">
        <v>44629.749477841033</v>
      </c>
      <c r="S193" s="259">
        <v>49970.270817386743</v>
      </c>
      <c r="U193" s="7" t="s">
        <v>737</v>
      </c>
    </row>
    <row r="194" spans="1:21" s="65" customFormat="1" ht="16.5" thickBot="1">
      <c r="A194" s="41" t="s">
        <v>31</v>
      </c>
      <c r="B194" s="42">
        <f t="shared" si="9"/>
        <v>55</v>
      </c>
      <c r="C194" s="42" t="s">
        <v>3</v>
      </c>
      <c r="D194" s="42">
        <f t="shared" si="10"/>
        <v>300</v>
      </c>
      <c r="E194" s="42" t="s">
        <v>3</v>
      </c>
      <c r="F194" s="101">
        <f t="shared" si="11"/>
        <v>2000</v>
      </c>
      <c r="G194" s="42" t="s">
        <v>3</v>
      </c>
      <c r="H194" s="39">
        <v>2</v>
      </c>
      <c r="I194" s="40" t="s">
        <v>40</v>
      </c>
      <c r="J194" s="149">
        <v>55</v>
      </c>
      <c r="K194" s="104">
        <v>300</v>
      </c>
      <c r="L194" s="104">
        <v>2000</v>
      </c>
      <c r="M194" s="150">
        <v>15.096279863977145</v>
      </c>
      <c r="N194" s="66">
        <v>293.92229758457336</v>
      </c>
      <c r="O194" s="111">
        <v>24653.015778998084</v>
      </c>
      <c r="P194" s="111">
        <v>30192.052765929606</v>
      </c>
      <c r="Q194" s="110">
        <v>21197.778679125648</v>
      </c>
      <c r="R194" s="258">
        <v>45850.794458123732</v>
      </c>
      <c r="S194" s="259">
        <v>51389.831445055257</v>
      </c>
      <c r="U194" s="7" t="s">
        <v>738</v>
      </c>
    </row>
    <row r="195" spans="1:21" s="65" customFormat="1" ht="16.5" thickBot="1">
      <c r="A195" s="41" t="s">
        <v>31</v>
      </c>
      <c r="B195" s="42">
        <f t="shared" si="9"/>
        <v>55</v>
      </c>
      <c r="C195" s="42" t="s">
        <v>3</v>
      </c>
      <c r="D195" s="42">
        <f t="shared" si="10"/>
        <v>300</v>
      </c>
      <c r="E195" s="42" t="s">
        <v>3</v>
      </c>
      <c r="F195" s="101">
        <f t="shared" si="11"/>
        <v>2050</v>
      </c>
      <c r="G195" s="42" t="s">
        <v>3</v>
      </c>
      <c r="H195" s="39">
        <v>2</v>
      </c>
      <c r="I195" s="40" t="s">
        <v>40</v>
      </c>
      <c r="J195" s="149">
        <v>55</v>
      </c>
      <c r="K195" s="104">
        <v>300</v>
      </c>
      <c r="L195" s="104">
        <v>2050</v>
      </c>
      <c r="M195" s="150">
        <v>15.440989985362858</v>
      </c>
      <c r="N195" s="66">
        <v>302.829033875015</v>
      </c>
      <c r="O195" s="111">
        <v>25107.457804380301</v>
      </c>
      <c r="P195" s="111">
        <v>30771.730625143588</v>
      </c>
      <c r="Q195" s="110">
        <v>21725.654618028402</v>
      </c>
      <c r="R195" s="258">
        <v>46833.112422408703</v>
      </c>
      <c r="S195" s="259">
        <v>52497.385243171986</v>
      </c>
      <c r="U195" s="7" t="s">
        <v>739</v>
      </c>
    </row>
    <row r="196" spans="1:21" s="65" customFormat="1" ht="16.5" thickBot="1">
      <c r="A196" s="38" t="s">
        <v>31</v>
      </c>
      <c r="B196" s="39">
        <f t="shared" si="9"/>
        <v>55</v>
      </c>
      <c r="C196" s="39" t="s">
        <v>3</v>
      </c>
      <c r="D196" s="39">
        <f t="shared" si="10"/>
        <v>300</v>
      </c>
      <c r="E196" s="39" t="s">
        <v>3</v>
      </c>
      <c r="F196" s="101">
        <f t="shared" si="11"/>
        <v>2100</v>
      </c>
      <c r="G196" s="39" t="s">
        <v>3</v>
      </c>
      <c r="H196" s="39">
        <v>2</v>
      </c>
      <c r="I196" s="40" t="s">
        <v>40</v>
      </c>
      <c r="J196" s="149">
        <v>55</v>
      </c>
      <c r="K196" s="104">
        <v>300</v>
      </c>
      <c r="L196" s="104">
        <v>2100</v>
      </c>
      <c r="M196" s="150">
        <v>15.785700106748571</v>
      </c>
      <c r="N196" s="66">
        <v>311.73577016545659</v>
      </c>
      <c r="O196" s="111">
        <v>25561.899829762526</v>
      </c>
      <c r="P196" s="111">
        <v>31351.408484357569</v>
      </c>
      <c r="Q196" s="110">
        <v>22253.53040390239</v>
      </c>
      <c r="R196" s="258">
        <v>47815.430233664913</v>
      </c>
      <c r="S196" s="259">
        <v>53604.93888825996</v>
      </c>
      <c r="U196" s="7" t="s">
        <v>740</v>
      </c>
    </row>
    <row r="197" spans="1:21" s="65" customFormat="1" ht="16.5" thickBot="1">
      <c r="A197" s="41" t="s">
        <v>31</v>
      </c>
      <c r="B197" s="42">
        <f t="shared" si="9"/>
        <v>55</v>
      </c>
      <c r="C197" s="42" t="s">
        <v>3</v>
      </c>
      <c r="D197" s="42">
        <f t="shared" si="10"/>
        <v>300</v>
      </c>
      <c r="E197" s="42" t="s">
        <v>3</v>
      </c>
      <c r="F197" s="101">
        <f t="shared" si="11"/>
        <v>2150</v>
      </c>
      <c r="G197" s="42" t="s">
        <v>3</v>
      </c>
      <c r="H197" s="39">
        <v>2</v>
      </c>
      <c r="I197" s="40" t="s">
        <v>40</v>
      </c>
      <c r="J197" s="149">
        <v>55</v>
      </c>
      <c r="K197" s="104">
        <v>300</v>
      </c>
      <c r="L197" s="104">
        <v>2150</v>
      </c>
      <c r="M197" s="150">
        <v>16.130410228134288</v>
      </c>
      <c r="N197" s="66">
        <v>320.64250645589823</v>
      </c>
      <c r="O197" s="111">
        <v>26016.34170211598</v>
      </c>
      <c r="P197" s="111">
        <v>31931.086190542792</v>
      </c>
      <c r="Q197" s="110">
        <v>22781.406342805149</v>
      </c>
      <c r="R197" s="258">
        <v>48797.748044921129</v>
      </c>
      <c r="S197" s="259">
        <v>54712.49253334794</v>
      </c>
      <c r="U197" s="7" t="s">
        <v>741</v>
      </c>
    </row>
    <row r="198" spans="1:21" s="65" customFormat="1" ht="16.5" thickBot="1">
      <c r="A198" s="41" t="s">
        <v>31</v>
      </c>
      <c r="B198" s="42">
        <f t="shared" si="9"/>
        <v>55</v>
      </c>
      <c r="C198" s="42" t="s">
        <v>3</v>
      </c>
      <c r="D198" s="42">
        <f t="shared" si="10"/>
        <v>300</v>
      </c>
      <c r="E198" s="42" t="s">
        <v>3</v>
      </c>
      <c r="F198" s="101">
        <f t="shared" si="11"/>
        <v>2200</v>
      </c>
      <c r="G198" s="42" t="s">
        <v>3</v>
      </c>
      <c r="H198" s="39">
        <v>2</v>
      </c>
      <c r="I198" s="40" t="s">
        <v>40</v>
      </c>
      <c r="J198" s="149">
        <v>55</v>
      </c>
      <c r="K198" s="104">
        <v>300</v>
      </c>
      <c r="L198" s="104">
        <v>2200</v>
      </c>
      <c r="M198" s="150">
        <v>16.475120349520001</v>
      </c>
      <c r="N198" s="66">
        <v>329.54924274633987</v>
      </c>
      <c r="O198" s="111">
        <v>26470.783727498205</v>
      </c>
      <c r="P198" s="111">
        <v>32510.764049756777</v>
      </c>
      <c r="Q198" s="110">
        <v>23309.282128679137</v>
      </c>
      <c r="R198" s="258">
        <v>49780.065856177345</v>
      </c>
      <c r="S198" s="259">
        <v>55820.046178435914</v>
      </c>
      <c r="U198" s="7" t="s">
        <v>742</v>
      </c>
    </row>
    <row r="199" spans="1:21" s="65" customFormat="1" ht="16.5" thickBot="1">
      <c r="A199" s="41" t="s">
        <v>31</v>
      </c>
      <c r="B199" s="42">
        <f t="shared" si="9"/>
        <v>55</v>
      </c>
      <c r="C199" s="42" t="s">
        <v>3</v>
      </c>
      <c r="D199" s="42">
        <f t="shared" si="10"/>
        <v>300</v>
      </c>
      <c r="E199" s="42" t="s">
        <v>3</v>
      </c>
      <c r="F199" s="101">
        <f t="shared" si="11"/>
        <v>2250</v>
      </c>
      <c r="G199" s="42" t="s">
        <v>3</v>
      </c>
      <c r="H199" s="39">
        <v>2</v>
      </c>
      <c r="I199" s="40" t="s">
        <v>40</v>
      </c>
      <c r="J199" s="149">
        <v>55</v>
      </c>
      <c r="K199" s="104">
        <v>300</v>
      </c>
      <c r="L199" s="104">
        <v>2250</v>
      </c>
      <c r="M199" s="150">
        <v>16.819830470905718</v>
      </c>
      <c r="N199" s="66">
        <v>338.45597903678146</v>
      </c>
      <c r="O199" s="111">
        <v>26925.225752880422</v>
      </c>
      <c r="P199" s="111">
        <v>33090.441755941996</v>
      </c>
      <c r="Q199" s="110">
        <v>23837.158067581891</v>
      </c>
      <c r="R199" s="258">
        <v>50762.383820462317</v>
      </c>
      <c r="S199" s="259">
        <v>56927.599823523888</v>
      </c>
      <c r="U199" s="7" t="s">
        <v>743</v>
      </c>
    </row>
    <row r="200" spans="1:21" s="65" customFormat="1" ht="16.5" thickBot="1">
      <c r="A200" s="41" t="s">
        <v>31</v>
      </c>
      <c r="B200" s="42">
        <f t="shared" si="9"/>
        <v>55</v>
      </c>
      <c r="C200" s="42" t="s">
        <v>3</v>
      </c>
      <c r="D200" s="42">
        <f t="shared" si="10"/>
        <v>300</v>
      </c>
      <c r="E200" s="42" t="s">
        <v>3</v>
      </c>
      <c r="F200" s="101">
        <f t="shared" si="11"/>
        <v>2300</v>
      </c>
      <c r="G200" s="42" t="s">
        <v>3</v>
      </c>
      <c r="H200" s="39">
        <v>2</v>
      </c>
      <c r="I200" s="40" t="s">
        <v>40</v>
      </c>
      <c r="J200" s="149">
        <v>55</v>
      </c>
      <c r="K200" s="104">
        <v>300</v>
      </c>
      <c r="L200" s="104">
        <v>2300</v>
      </c>
      <c r="M200" s="150">
        <v>17.164540592291427</v>
      </c>
      <c r="N200" s="66">
        <v>347.36271532722304</v>
      </c>
      <c r="O200" s="111">
        <v>27379.66762523388</v>
      </c>
      <c r="P200" s="111">
        <v>33670.119615155978</v>
      </c>
      <c r="Q200" s="110">
        <v>24365.03385345588</v>
      </c>
      <c r="R200" s="258">
        <v>51744.701478689763</v>
      </c>
      <c r="S200" s="259">
        <v>58035.153468611854</v>
      </c>
      <c r="U200" s="7" t="s">
        <v>744</v>
      </c>
    </row>
    <row r="201" spans="1:21" s="65" customFormat="1" ht="16.5" thickBot="1">
      <c r="A201" s="41" t="s">
        <v>31</v>
      </c>
      <c r="B201" s="42">
        <f t="shared" si="9"/>
        <v>55</v>
      </c>
      <c r="C201" s="42" t="s">
        <v>3</v>
      </c>
      <c r="D201" s="42">
        <f t="shared" si="10"/>
        <v>300</v>
      </c>
      <c r="E201" s="42" t="s">
        <v>3</v>
      </c>
      <c r="F201" s="101">
        <f t="shared" si="11"/>
        <v>2350</v>
      </c>
      <c r="G201" s="42" t="s">
        <v>3</v>
      </c>
      <c r="H201" s="39">
        <v>2</v>
      </c>
      <c r="I201" s="40" t="s">
        <v>40</v>
      </c>
      <c r="J201" s="149">
        <v>55</v>
      </c>
      <c r="K201" s="104">
        <v>300</v>
      </c>
      <c r="L201" s="104">
        <v>2350</v>
      </c>
      <c r="M201" s="150">
        <v>17.509250713677144</v>
      </c>
      <c r="N201" s="66">
        <v>356.26945161766469</v>
      </c>
      <c r="O201" s="111">
        <v>27834.109650616101</v>
      </c>
      <c r="P201" s="111">
        <v>34249.797321341197</v>
      </c>
      <c r="Q201" s="110">
        <v>24892.909792358638</v>
      </c>
      <c r="R201" s="258">
        <v>52727.019442974735</v>
      </c>
      <c r="S201" s="259">
        <v>59142.707113699835</v>
      </c>
      <c r="U201" s="7" t="s">
        <v>745</v>
      </c>
    </row>
    <row r="202" spans="1:21" s="65" customFormat="1" ht="16.5" thickBot="1">
      <c r="A202" s="41" t="s">
        <v>31</v>
      </c>
      <c r="B202" s="42">
        <f t="shared" si="9"/>
        <v>55</v>
      </c>
      <c r="C202" s="42" t="s">
        <v>3</v>
      </c>
      <c r="D202" s="42">
        <f t="shared" si="10"/>
        <v>300</v>
      </c>
      <c r="E202" s="42" t="s">
        <v>3</v>
      </c>
      <c r="F202" s="101">
        <f t="shared" si="11"/>
        <v>2400</v>
      </c>
      <c r="G202" s="42" t="s">
        <v>3</v>
      </c>
      <c r="H202" s="39">
        <v>2</v>
      </c>
      <c r="I202" s="40" t="s">
        <v>40</v>
      </c>
      <c r="J202" s="149">
        <v>55</v>
      </c>
      <c r="K202" s="104">
        <v>300</v>
      </c>
      <c r="L202" s="104">
        <v>2400</v>
      </c>
      <c r="M202" s="150">
        <v>17.85396083506286</v>
      </c>
      <c r="N202" s="66">
        <v>365.17618790810627</v>
      </c>
      <c r="O202" s="111">
        <v>28288.551675998326</v>
      </c>
      <c r="P202" s="111">
        <v>34829.475180555186</v>
      </c>
      <c r="Q202" s="110">
        <v>25420.78557823263</v>
      </c>
      <c r="R202" s="258">
        <v>53709.337254230952</v>
      </c>
      <c r="S202" s="259">
        <v>60250.260758787816</v>
      </c>
      <c r="U202" s="7" t="s">
        <v>746</v>
      </c>
    </row>
    <row r="203" spans="1:21" s="65" customFormat="1" ht="16.5" thickBot="1">
      <c r="A203" s="41" t="s">
        <v>31</v>
      </c>
      <c r="B203" s="42">
        <f t="shared" si="9"/>
        <v>55</v>
      </c>
      <c r="C203" s="42" t="s">
        <v>3</v>
      </c>
      <c r="D203" s="42">
        <f t="shared" si="10"/>
        <v>300</v>
      </c>
      <c r="E203" s="42" t="s">
        <v>3</v>
      </c>
      <c r="F203" s="101">
        <f t="shared" si="11"/>
        <v>2450</v>
      </c>
      <c r="G203" s="42" t="s">
        <v>3</v>
      </c>
      <c r="H203" s="39">
        <v>2</v>
      </c>
      <c r="I203" s="40" t="s">
        <v>40</v>
      </c>
      <c r="J203" s="149">
        <v>55</v>
      </c>
      <c r="K203" s="104">
        <v>300</v>
      </c>
      <c r="L203" s="104">
        <v>2450</v>
      </c>
      <c r="M203" s="150">
        <v>18.337644268448575</v>
      </c>
      <c r="N203" s="66">
        <v>374.08292419854791</v>
      </c>
      <c r="O203" s="111">
        <v>29445.732855673865</v>
      </c>
      <c r="P203" s="111">
        <v>36024.680794760221</v>
      </c>
      <c r="Q203" s="110">
        <v>25948.661517135381</v>
      </c>
      <c r="R203" s="258">
        <v>55394.394372809242</v>
      </c>
      <c r="S203" s="259">
        <v>61973.342311895598</v>
      </c>
      <c r="U203" s="7" t="s">
        <v>747</v>
      </c>
    </row>
    <row r="204" spans="1:21" s="65" customFormat="1" ht="16.5" thickBot="1">
      <c r="A204" s="41" t="s">
        <v>31</v>
      </c>
      <c r="B204" s="42">
        <f t="shared" si="9"/>
        <v>55</v>
      </c>
      <c r="C204" s="42" t="s">
        <v>3</v>
      </c>
      <c r="D204" s="42">
        <f t="shared" si="10"/>
        <v>300</v>
      </c>
      <c r="E204" s="42" t="s">
        <v>3</v>
      </c>
      <c r="F204" s="101">
        <f t="shared" si="11"/>
        <v>2500</v>
      </c>
      <c r="G204" s="42" t="s">
        <v>3</v>
      </c>
      <c r="H204" s="39">
        <v>2</v>
      </c>
      <c r="I204" s="40" t="s">
        <v>40</v>
      </c>
      <c r="J204" s="149">
        <v>55</v>
      </c>
      <c r="K204" s="104">
        <v>300</v>
      </c>
      <c r="L204" s="104">
        <v>2500</v>
      </c>
      <c r="M204" s="150">
        <v>18.682354389834288</v>
      </c>
      <c r="N204" s="66">
        <v>382.9896604889895</v>
      </c>
      <c r="O204" s="111">
        <v>29900.174881056089</v>
      </c>
      <c r="P204" s="111">
        <v>36604.358653974203</v>
      </c>
      <c r="Q204" s="110">
        <v>26476.537303009372</v>
      </c>
      <c r="R204" s="258">
        <v>56376.712184065458</v>
      </c>
      <c r="S204" s="259">
        <v>63080.895956983572</v>
      </c>
      <c r="U204" s="7" t="s">
        <v>748</v>
      </c>
    </row>
    <row r="205" spans="1:21" s="65" customFormat="1" ht="16.5" thickBot="1">
      <c r="A205" s="41" t="s">
        <v>31</v>
      </c>
      <c r="B205" s="42">
        <f t="shared" si="9"/>
        <v>55</v>
      </c>
      <c r="C205" s="42" t="s">
        <v>3</v>
      </c>
      <c r="D205" s="42">
        <f t="shared" si="10"/>
        <v>300</v>
      </c>
      <c r="E205" s="42" t="s">
        <v>3</v>
      </c>
      <c r="F205" s="101">
        <f t="shared" si="11"/>
        <v>2550</v>
      </c>
      <c r="G205" s="42" t="s">
        <v>3</v>
      </c>
      <c r="H205" s="39">
        <v>2</v>
      </c>
      <c r="I205" s="40" t="s">
        <v>40</v>
      </c>
      <c r="J205" s="149">
        <v>55</v>
      </c>
      <c r="K205" s="104">
        <v>300</v>
      </c>
      <c r="L205" s="104">
        <v>2550</v>
      </c>
      <c r="M205" s="150">
        <v>19.027064511220004</v>
      </c>
      <c r="N205" s="66">
        <v>391.8963967794312</v>
      </c>
      <c r="O205" s="111">
        <v>30354.616753409544</v>
      </c>
      <c r="P205" s="111">
        <v>37184.036360159422</v>
      </c>
      <c r="Q205" s="110">
        <v>27004.413241912127</v>
      </c>
      <c r="R205" s="258">
        <v>57359.029995321675</v>
      </c>
      <c r="S205" s="259">
        <v>64188.449602071545</v>
      </c>
      <c r="U205" s="7" t="s">
        <v>749</v>
      </c>
    </row>
    <row r="206" spans="1:21" s="65" customFormat="1" ht="16.5" thickBot="1">
      <c r="A206" s="38" t="s">
        <v>31</v>
      </c>
      <c r="B206" s="39">
        <f t="shared" si="9"/>
        <v>55</v>
      </c>
      <c r="C206" s="39" t="s">
        <v>3</v>
      </c>
      <c r="D206" s="39">
        <f t="shared" si="10"/>
        <v>300</v>
      </c>
      <c r="E206" s="39" t="s">
        <v>3</v>
      </c>
      <c r="F206" s="101">
        <f t="shared" si="11"/>
        <v>2600</v>
      </c>
      <c r="G206" s="39" t="s">
        <v>3</v>
      </c>
      <c r="H206" s="39">
        <v>2</v>
      </c>
      <c r="I206" s="40" t="s">
        <v>40</v>
      </c>
      <c r="J206" s="149">
        <v>55</v>
      </c>
      <c r="K206" s="104">
        <v>300</v>
      </c>
      <c r="L206" s="104">
        <v>2600</v>
      </c>
      <c r="M206" s="150">
        <v>19.371774632605717</v>
      </c>
      <c r="N206" s="66">
        <v>400.80313306987279</v>
      </c>
      <c r="O206" s="111">
        <v>30809.058778791761</v>
      </c>
      <c r="P206" s="111">
        <v>37763.714219373411</v>
      </c>
      <c r="Q206" s="110">
        <v>27532.289027786119</v>
      </c>
      <c r="R206" s="258">
        <v>58341.347806577876</v>
      </c>
      <c r="S206" s="259">
        <v>65296.003247159533</v>
      </c>
      <c r="U206" s="7" t="s">
        <v>750</v>
      </c>
    </row>
    <row r="207" spans="1:21" s="65" customFormat="1" ht="16.5" thickBot="1">
      <c r="A207" s="41" t="s">
        <v>31</v>
      </c>
      <c r="B207" s="42">
        <f t="shared" si="9"/>
        <v>55</v>
      </c>
      <c r="C207" s="42" t="s">
        <v>3</v>
      </c>
      <c r="D207" s="42">
        <f t="shared" si="10"/>
        <v>300</v>
      </c>
      <c r="E207" s="42" t="s">
        <v>3</v>
      </c>
      <c r="F207" s="101">
        <f t="shared" si="11"/>
        <v>2650</v>
      </c>
      <c r="G207" s="42" t="s">
        <v>3</v>
      </c>
      <c r="H207" s="39">
        <v>2</v>
      </c>
      <c r="I207" s="40" t="s">
        <v>40</v>
      </c>
      <c r="J207" s="149">
        <v>55</v>
      </c>
      <c r="K207" s="104">
        <v>300</v>
      </c>
      <c r="L207" s="104">
        <v>2650</v>
      </c>
      <c r="M207" s="150">
        <v>19.716484753991431</v>
      </c>
      <c r="N207" s="66">
        <v>409.70986936031437</v>
      </c>
      <c r="O207" s="111">
        <v>31263.500804173986</v>
      </c>
      <c r="P207" s="111">
        <v>38343.391925558622</v>
      </c>
      <c r="Q207" s="110">
        <v>28060.164966688873</v>
      </c>
      <c r="R207" s="258">
        <v>59323.665770862863</v>
      </c>
      <c r="S207" s="259">
        <v>66403.556892247492</v>
      </c>
      <c r="U207" s="7" t="s">
        <v>751</v>
      </c>
    </row>
    <row r="208" spans="1:21" s="65" customFormat="1" ht="16.5" thickBot="1">
      <c r="A208" s="41" t="s">
        <v>31</v>
      </c>
      <c r="B208" s="42">
        <f t="shared" si="9"/>
        <v>55</v>
      </c>
      <c r="C208" s="42" t="s">
        <v>3</v>
      </c>
      <c r="D208" s="42">
        <f t="shared" si="10"/>
        <v>300</v>
      </c>
      <c r="E208" s="42" t="s">
        <v>3</v>
      </c>
      <c r="F208" s="101">
        <f t="shared" si="11"/>
        <v>2700</v>
      </c>
      <c r="G208" s="42" t="s">
        <v>3</v>
      </c>
      <c r="H208" s="39">
        <v>2</v>
      </c>
      <c r="I208" s="40" t="s">
        <v>40</v>
      </c>
      <c r="J208" s="149">
        <v>55</v>
      </c>
      <c r="K208" s="104">
        <v>300</v>
      </c>
      <c r="L208" s="104">
        <v>2700</v>
      </c>
      <c r="M208" s="150">
        <v>20.128994875377142</v>
      </c>
      <c r="N208" s="66">
        <v>418.61660565075601</v>
      </c>
      <c r="O208" s="111">
        <v>31765.442958251006</v>
      </c>
      <c r="P208" s="111">
        <v>38969.12210832056</v>
      </c>
      <c r="Q208" s="110">
        <v>28588.040752562865</v>
      </c>
      <c r="R208" s="258">
        <v>60353.483710813874</v>
      </c>
      <c r="S208" s="259">
        <v>67557.162860883429</v>
      </c>
      <c r="U208" s="7" t="s">
        <v>752</v>
      </c>
    </row>
    <row r="209" spans="1:21" s="65" customFormat="1" ht="16.5" thickBot="1">
      <c r="A209" s="41" t="s">
        <v>31</v>
      </c>
      <c r="B209" s="42">
        <f t="shared" si="9"/>
        <v>55</v>
      </c>
      <c r="C209" s="42" t="s">
        <v>3</v>
      </c>
      <c r="D209" s="42">
        <f t="shared" si="10"/>
        <v>300</v>
      </c>
      <c r="E209" s="42" t="s">
        <v>3</v>
      </c>
      <c r="F209" s="101">
        <f t="shared" si="11"/>
        <v>2750</v>
      </c>
      <c r="G209" s="42" t="s">
        <v>3</v>
      </c>
      <c r="H209" s="39">
        <v>2</v>
      </c>
      <c r="I209" s="40" t="s">
        <v>40</v>
      </c>
      <c r="J209" s="149">
        <v>55</v>
      </c>
      <c r="K209" s="104">
        <v>300</v>
      </c>
      <c r="L209" s="104">
        <v>2750</v>
      </c>
      <c r="M209" s="150">
        <v>20.473704996762855</v>
      </c>
      <c r="N209" s="66">
        <v>427.5233419411976</v>
      </c>
      <c r="O209" s="111">
        <v>32219.88498363323</v>
      </c>
      <c r="P209" s="111">
        <v>39548.799967534542</v>
      </c>
      <c r="Q209" s="110">
        <v>29115.916691465467</v>
      </c>
      <c r="R209" s="258">
        <v>61335.801675098701</v>
      </c>
      <c r="S209" s="259">
        <v>68664.716659000012</v>
      </c>
      <c r="U209" s="7" t="s">
        <v>753</v>
      </c>
    </row>
    <row r="210" spans="1:21" s="65" customFormat="1" ht="16.5" thickBot="1">
      <c r="A210" s="41" t="s">
        <v>31</v>
      </c>
      <c r="B210" s="42">
        <f t="shared" si="9"/>
        <v>55</v>
      </c>
      <c r="C210" s="42" t="s">
        <v>3</v>
      </c>
      <c r="D210" s="42">
        <f t="shared" si="10"/>
        <v>300</v>
      </c>
      <c r="E210" s="42" t="s">
        <v>3</v>
      </c>
      <c r="F210" s="101">
        <f t="shared" si="11"/>
        <v>2800</v>
      </c>
      <c r="G210" s="42" t="s">
        <v>3</v>
      </c>
      <c r="H210" s="39">
        <v>2</v>
      </c>
      <c r="I210" s="40" t="s">
        <v>40</v>
      </c>
      <c r="J210" s="149">
        <v>55</v>
      </c>
      <c r="K210" s="104">
        <v>300</v>
      </c>
      <c r="L210" s="104">
        <v>2800</v>
      </c>
      <c r="M210" s="150">
        <v>20.818415118148579</v>
      </c>
      <c r="N210" s="66">
        <v>436.4300782316393</v>
      </c>
      <c r="O210" s="111">
        <v>32674.326855986685</v>
      </c>
      <c r="P210" s="111">
        <v>40128.477826748531</v>
      </c>
      <c r="Q210" s="110">
        <v>29643.792630368374</v>
      </c>
      <c r="R210" s="258">
        <v>62318.119486355063</v>
      </c>
      <c r="S210" s="259">
        <v>69772.270457116902</v>
      </c>
      <c r="U210" s="7" t="s">
        <v>754</v>
      </c>
    </row>
    <row r="211" spans="1:21" s="65" customFormat="1" ht="16.5" thickBot="1">
      <c r="A211" s="41" t="s">
        <v>31</v>
      </c>
      <c r="B211" s="42">
        <f t="shared" si="9"/>
        <v>55</v>
      </c>
      <c r="C211" s="42" t="s">
        <v>3</v>
      </c>
      <c r="D211" s="42">
        <f t="shared" si="10"/>
        <v>300</v>
      </c>
      <c r="E211" s="42" t="s">
        <v>3</v>
      </c>
      <c r="F211" s="101">
        <f t="shared" si="11"/>
        <v>2850</v>
      </c>
      <c r="G211" s="42" t="s">
        <v>3</v>
      </c>
      <c r="H211" s="39">
        <v>2</v>
      </c>
      <c r="I211" s="40" t="s">
        <v>40</v>
      </c>
      <c r="J211" s="149">
        <v>55</v>
      </c>
      <c r="K211" s="104">
        <v>300</v>
      </c>
      <c r="L211" s="104">
        <v>2850</v>
      </c>
      <c r="M211" s="150">
        <v>21.163125239534285</v>
      </c>
      <c r="N211" s="66">
        <v>445.33681452208089</v>
      </c>
      <c r="O211" s="111">
        <v>33128.768881368909</v>
      </c>
      <c r="P211" s="111">
        <v>40708.15553293375</v>
      </c>
      <c r="Q211" s="110">
        <v>30171.668416242363</v>
      </c>
      <c r="R211" s="258">
        <v>63300.437297611272</v>
      </c>
      <c r="S211" s="259">
        <v>70879.82394917612</v>
      </c>
      <c r="U211" s="7" t="s">
        <v>755</v>
      </c>
    </row>
    <row r="212" spans="1:21" s="65" customFormat="1" ht="16.5" thickBot="1">
      <c r="A212" s="41" t="s">
        <v>31</v>
      </c>
      <c r="B212" s="42">
        <f t="shared" si="9"/>
        <v>55</v>
      </c>
      <c r="C212" s="42" t="s">
        <v>3</v>
      </c>
      <c r="D212" s="42">
        <f t="shared" si="10"/>
        <v>300</v>
      </c>
      <c r="E212" s="42" t="s">
        <v>3</v>
      </c>
      <c r="F212" s="101">
        <f t="shared" si="11"/>
        <v>2900</v>
      </c>
      <c r="G212" s="42" t="s">
        <v>3</v>
      </c>
      <c r="H212" s="39">
        <v>2</v>
      </c>
      <c r="I212" s="40" t="s">
        <v>40</v>
      </c>
      <c r="J212" s="149">
        <v>55</v>
      </c>
      <c r="K212" s="104">
        <v>300</v>
      </c>
      <c r="L212" s="104">
        <v>2900</v>
      </c>
      <c r="M212" s="150">
        <v>21.507835360920001</v>
      </c>
      <c r="N212" s="66">
        <v>454.24355081252241</v>
      </c>
      <c r="O212" s="111">
        <v>33583.210906751126</v>
      </c>
      <c r="P212" s="111">
        <v>41287.833392147732</v>
      </c>
      <c r="Q212" s="110">
        <v>30699.544355145121</v>
      </c>
      <c r="R212" s="258">
        <v>64282.755261896251</v>
      </c>
      <c r="S212" s="259">
        <v>71987.377747292849</v>
      </c>
      <c r="U212" s="7" t="s">
        <v>756</v>
      </c>
    </row>
    <row r="213" spans="1:21" s="65" customFormat="1" ht="16.5" thickBot="1">
      <c r="A213" s="41" t="s">
        <v>31</v>
      </c>
      <c r="B213" s="42">
        <f t="shared" si="9"/>
        <v>55</v>
      </c>
      <c r="C213" s="42" t="s">
        <v>3</v>
      </c>
      <c r="D213" s="42">
        <f t="shared" si="10"/>
        <v>300</v>
      </c>
      <c r="E213" s="42" t="s">
        <v>3</v>
      </c>
      <c r="F213" s="101">
        <f t="shared" si="11"/>
        <v>2950</v>
      </c>
      <c r="G213" s="42" t="s">
        <v>3</v>
      </c>
      <c r="H213" s="39">
        <v>2</v>
      </c>
      <c r="I213" s="40" t="s">
        <v>40</v>
      </c>
      <c r="J213" s="149">
        <v>55</v>
      </c>
      <c r="K213" s="104">
        <v>300</v>
      </c>
      <c r="L213" s="104">
        <v>2950</v>
      </c>
      <c r="M213" s="150">
        <v>21.852545482305715</v>
      </c>
      <c r="N213" s="66">
        <v>463.15028710296411</v>
      </c>
      <c r="O213" s="111">
        <v>34037.652779104581</v>
      </c>
      <c r="P213" s="111">
        <v>41867.511098332958</v>
      </c>
      <c r="Q213" s="110">
        <v>31227.420141019105</v>
      </c>
      <c r="R213" s="258">
        <v>65265.072920123683</v>
      </c>
      <c r="S213" s="259">
        <v>73094.931239352067</v>
      </c>
      <c r="U213" s="7" t="s">
        <v>757</v>
      </c>
    </row>
    <row r="214" spans="1:21" s="65" customFormat="1" ht="16.5" thickBot="1">
      <c r="A214" s="43" t="s">
        <v>31</v>
      </c>
      <c r="B214" s="44">
        <f t="shared" si="9"/>
        <v>55</v>
      </c>
      <c r="C214" s="44" t="s">
        <v>3</v>
      </c>
      <c r="D214" s="44">
        <f t="shared" si="10"/>
        <v>300</v>
      </c>
      <c r="E214" s="44" t="s">
        <v>3</v>
      </c>
      <c r="F214" s="102">
        <f t="shared" si="11"/>
        <v>3000</v>
      </c>
      <c r="G214" s="44" t="s">
        <v>3</v>
      </c>
      <c r="H214" s="46">
        <v>2</v>
      </c>
      <c r="I214" s="45" t="s">
        <v>40</v>
      </c>
      <c r="J214" s="149">
        <v>55</v>
      </c>
      <c r="K214" s="134">
        <v>300</v>
      </c>
      <c r="L214" s="134">
        <v>3000</v>
      </c>
      <c r="M214" s="152">
        <v>22.197255603691431</v>
      </c>
      <c r="N214" s="126">
        <v>472.0570233934057</v>
      </c>
      <c r="O214" s="135">
        <v>34492.094804486806</v>
      </c>
      <c r="P214" s="135">
        <v>42447.188957546939</v>
      </c>
      <c r="Q214" s="136">
        <v>31755.296079921864</v>
      </c>
      <c r="R214" s="260">
        <v>66247.390884408669</v>
      </c>
      <c r="S214" s="261">
        <v>74202.48503746881</v>
      </c>
      <c r="U214" s="7" t="s">
        <v>758</v>
      </c>
    </row>
    <row r="215" spans="1:21" s="65" customFormat="1" ht="16.5" customHeight="1" thickBot="1">
      <c r="A215" s="2974" t="s">
        <v>116</v>
      </c>
      <c r="B215" s="2975"/>
      <c r="C215" s="2975"/>
      <c r="D215" s="2975"/>
      <c r="E215" s="2975"/>
      <c r="F215" s="2975"/>
      <c r="G215" s="2975"/>
      <c r="H215" s="2975"/>
      <c r="I215" s="2975"/>
      <c r="J215" s="2975"/>
      <c r="K215" s="2975"/>
      <c r="L215" s="2975"/>
      <c r="M215" s="2975"/>
      <c r="N215" s="2975"/>
      <c r="O215" s="2975"/>
      <c r="P215" s="2975"/>
      <c r="Q215" s="2975"/>
      <c r="R215" s="2975"/>
      <c r="S215" s="2976"/>
      <c r="U215" s="7"/>
    </row>
    <row r="216" spans="1:21" s="65" customFormat="1" ht="16.5" thickBot="1">
      <c r="A216" s="38" t="s">
        <v>31</v>
      </c>
      <c r="B216" s="39">
        <f>J216</f>
        <v>55</v>
      </c>
      <c r="C216" s="39" t="s">
        <v>3</v>
      </c>
      <c r="D216" s="39">
        <f>K216</f>
        <v>300</v>
      </c>
      <c r="E216" s="39" t="s">
        <v>3</v>
      </c>
      <c r="F216" s="101">
        <f>L216</f>
        <v>600</v>
      </c>
      <c r="G216" s="39" t="s">
        <v>3</v>
      </c>
      <c r="H216" s="39">
        <v>4</v>
      </c>
      <c r="I216" s="40" t="s">
        <v>40</v>
      </c>
      <c r="J216" s="146">
        <v>55</v>
      </c>
      <c r="K216" s="138">
        <v>300</v>
      </c>
      <c r="L216" s="138">
        <v>600</v>
      </c>
      <c r="M216" s="147">
        <v>5.6452510258571431</v>
      </c>
      <c r="N216" s="122">
        <v>59.640239999999999</v>
      </c>
      <c r="O216" s="148">
        <v>13325.561385595618</v>
      </c>
      <c r="P216" s="148">
        <v>15323.440364928736</v>
      </c>
      <c r="Q216" s="139">
        <v>6417.2545322512115</v>
      </c>
      <c r="R216" s="256">
        <v>19742.81591784683</v>
      </c>
      <c r="S216" s="257">
        <v>21740.694897179947</v>
      </c>
      <c r="U216" s="7" t="s">
        <v>759</v>
      </c>
    </row>
    <row r="217" spans="1:21" s="65" customFormat="1" ht="16.5" thickBot="1">
      <c r="A217" s="41" t="s">
        <v>31</v>
      </c>
      <c r="B217" s="42">
        <f t="shared" ref="B217:B264" si="12">J217</f>
        <v>55</v>
      </c>
      <c r="C217" s="42" t="s">
        <v>3</v>
      </c>
      <c r="D217" s="42">
        <f t="shared" ref="D217:D264" si="13">K217</f>
        <v>300</v>
      </c>
      <c r="E217" s="42" t="s">
        <v>3</v>
      </c>
      <c r="F217" s="101">
        <f t="shared" ref="F217:F264" si="14">L217</f>
        <v>650</v>
      </c>
      <c r="G217" s="42" t="s">
        <v>3</v>
      </c>
      <c r="H217" s="39">
        <v>4</v>
      </c>
      <c r="I217" s="40" t="s">
        <v>40</v>
      </c>
      <c r="J217" s="149">
        <v>55</v>
      </c>
      <c r="K217" s="104">
        <v>300</v>
      </c>
      <c r="L217" s="104">
        <v>650</v>
      </c>
      <c r="M217" s="150">
        <v>6.0324004543428575</v>
      </c>
      <c r="N217" s="66">
        <v>71.568287999999995</v>
      </c>
      <c r="O217" s="111">
        <v>13995.272953627069</v>
      </c>
      <c r="P217" s="111">
        <v>16113.725439404887</v>
      </c>
      <c r="Q217" s="110">
        <v>6945.130471153966</v>
      </c>
      <c r="R217" s="258">
        <v>20940.403424781034</v>
      </c>
      <c r="S217" s="259">
        <v>23058.855910558854</v>
      </c>
      <c r="U217" s="7" t="s">
        <v>760</v>
      </c>
    </row>
    <row r="218" spans="1:21" s="65" customFormat="1" ht="16.5" thickBot="1">
      <c r="A218" s="41" t="s">
        <v>31</v>
      </c>
      <c r="B218" s="42">
        <f t="shared" si="12"/>
        <v>55</v>
      </c>
      <c r="C218" s="42" t="s">
        <v>3</v>
      </c>
      <c r="D218" s="42">
        <f t="shared" si="13"/>
        <v>300</v>
      </c>
      <c r="E218" s="42" t="s">
        <v>3</v>
      </c>
      <c r="F218" s="101">
        <f t="shared" si="14"/>
        <v>700</v>
      </c>
      <c r="G218" s="42" t="s">
        <v>3</v>
      </c>
      <c r="H218" s="39">
        <v>4</v>
      </c>
      <c r="I218" s="40" t="s">
        <v>40</v>
      </c>
      <c r="J218" s="149">
        <v>55</v>
      </c>
      <c r="K218" s="104">
        <v>300</v>
      </c>
      <c r="L218" s="104">
        <v>700</v>
      </c>
      <c r="M218" s="150">
        <v>6.419549882828572</v>
      </c>
      <c r="N218" s="66">
        <v>83.496335999999999</v>
      </c>
      <c r="O218" s="111">
        <v>14664.984521658524</v>
      </c>
      <c r="P218" s="111">
        <v>16904.010360852273</v>
      </c>
      <c r="Q218" s="110">
        <v>7473.0062570279561</v>
      </c>
      <c r="R218" s="258">
        <v>22137.990778686479</v>
      </c>
      <c r="S218" s="259">
        <v>24377.016617880228</v>
      </c>
      <c r="U218" s="7" t="s">
        <v>761</v>
      </c>
    </row>
    <row r="219" spans="1:21" s="65" customFormat="1" ht="16.5" thickBot="1">
      <c r="A219" s="41" t="s">
        <v>31</v>
      </c>
      <c r="B219" s="42">
        <f t="shared" si="12"/>
        <v>55</v>
      </c>
      <c r="C219" s="42" t="s">
        <v>3</v>
      </c>
      <c r="D219" s="42">
        <f t="shared" si="13"/>
        <v>300</v>
      </c>
      <c r="E219" s="42" t="s">
        <v>3</v>
      </c>
      <c r="F219" s="101">
        <f t="shared" si="14"/>
        <v>750</v>
      </c>
      <c r="G219" s="42" t="s">
        <v>3</v>
      </c>
      <c r="H219" s="39">
        <v>4</v>
      </c>
      <c r="I219" s="40" t="s">
        <v>40</v>
      </c>
      <c r="J219" s="149">
        <v>55</v>
      </c>
      <c r="K219" s="104">
        <v>300</v>
      </c>
      <c r="L219" s="104">
        <v>750</v>
      </c>
      <c r="M219" s="150">
        <v>6.8066993113142855</v>
      </c>
      <c r="N219" s="66">
        <v>95.424384000000003</v>
      </c>
      <c r="O219" s="111">
        <v>15334.696089689975</v>
      </c>
      <c r="P219" s="111">
        <v>17694.295282299659</v>
      </c>
      <c r="Q219" s="110">
        <v>8000.8821959307124</v>
      </c>
      <c r="R219" s="258">
        <v>23335.578285620686</v>
      </c>
      <c r="S219" s="259">
        <v>25695.177478230373</v>
      </c>
      <c r="U219" s="7" t="s">
        <v>762</v>
      </c>
    </row>
    <row r="220" spans="1:21" s="65" customFormat="1" ht="16.5" thickBot="1">
      <c r="A220" s="41" t="s">
        <v>31</v>
      </c>
      <c r="B220" s="42">
        <f t="shared" si="12"/>
        <v>55</v>
      </c>
      <c r="C220" s="42" t="s">
        <v>3</v>
      </c>
      <c r="D220" s="42">
        <f t="shared" si="13"/>
        <v>300</v>
      </c>
      <c r="E220" s="42" t="s">
        <v>3</v>
      </c>
      <c r="F220" s="101">
        <f t="shared" si="14"/>
        <v>800</v>
      </c>
      <c r="G220" s="42" t="s">
        <v>3</v>
      </c>
      <c r="H220" s="39">
        <v>4</v>
      </c>
      <c r="I220" s="40" t="s">
        <v>40</v>
      </c>
      <c r="J220" s="149">
        <v>55</v>
      </c>
      <c r="K220" s="104">
        <v>300</v>
      </c>
      <c r="L220" s="104">
        <v>800</v>
      </c>
      <c r="M220" s="150">
        <v>7.1938625372100002</v>
      </c>
      <c r="N220" s="66">
        <v>107.35243199999999</v>
      </c>
      <c r="O220" s="111">
        <v>16004.407810750194</v>
      </c>
      <c r="P220" s="111">
        <v>18484.580203747046</v>
      </c>
      <c r="Q220" s="110">
        <v>8528.7579818047016</v>
      </c>
      <c r="R220" s="258">
        <v>24533.165792554893</v>
      </c>
      <c r="S220" s="259">
        <v>27013.338185551747</v>
      </c>
      <c r="U220" s="7" t="s">
        <v>763</v>
      </c>
    </row>
    <row r="221" spans="1:21" s="65" customFormat="1" ht="16.5" thickBot="1">
      <c r="A221" s="41" t="s">
        <v>31</v>
      </c>
      <c r="B221" s="42">
        <f t="shared" si="12"/>
        <v>55</v>
      </c>
      <c r="C221" s="42" t="s">
        <v>3</v>
      </c>
      <c r="D221" s="42">
        <f t="shared" si="13"/>
        <v>300</v>
      </c>
      <c r="E221" s="42" t="s">
        <v>3</v>
      </c>
      <c r="F221" s="101">
        <f t="shared" si="14"/>
        <v>850</v>
      </c>
      <c r="G221" s="42" t="s">
        <v>3</v>
      </c>
      <c r="H221" s="39">
        <v>4</v>
      </c>
      <c r="I221" s="40" t="s">
        <v>40</v>
      </c>
      <c r="J221" s="149">
        <v>55</v>
      </c>
      <c r="K221" s="104">
        <v>300</v>
      </c>
      <c r="L221" s="104">
        <v>850</v>
      </c>
      <c r="M221" s="150">
        <v>7.5810119656957138</v>
      </c>
      <c r="N221" s="66">
        <v>119.28048</v>
      </c>
      <c r="O221" s="111">
        <v>16674.119378781645</v>
      </c>
      <c r="P221" s="111">
        <v>19274.865125194432</v>
      </c>
      <c r="Q221" s="110">
        <v>9056.6339207074561</v>
      </c>
      <c r="R221" s="258">
        <v>25730.753299489101</v>
      </c>
      <c r="S221" s="259">
        <v>28331.499045901888</v>
      </c>
      <c r="U221" s="7" t="s">
        <v>764</v>
      </c>
    </row>
    <row r="222" spans="1:21" s="65" customFormat="1" ht="16.5" thickBot="1">
      <c r="A222" s="41" t="s">
        <v>31</v>
      </c>
      <c r="B222" s="42">
        <f t="shared" si="12"/>
        <v>55</v>
      </c>
      <c r="C222" s="42" t="s">
        <v>3</v>
      </c>
      <c r="D222" s="42">
        <f t="shared" si="13"/>
        <v>300</v>
      </c>
      <c r="E222" s="42" t="s">
        <v>3</v>
      </c>
      <c r="F222" s="101">
        <f t="shared" si="14"/>
        <v>900</v>
      </c>
      <c r="G222" s="42" t="s">
        <v>3</v>
      </c>
      <c r="H222" s="39">
        <v>4</v>
      </c>
      <c r="I222" s="40" t="s">
        <v>40</v>
      </c>
      <c r="J222" s="149">
        <v>55</v>
      </c>
      <c r="K222" s="104">
        <v>300</v>
      </c>
      <c r="L222" s="104">
        <v>900</v>
      </c>
      <c r="M222" s="150">
        <v>7.9681613941814282</v>
      </c>
      <c r="N222" s="66">
        <v>131.208528</v>
      </c>
      <c r="O222" s="111">
        <v>17343.830946813094</v>
      </c>
      <c r="P222" s="111">
        <v>20065.150046641822</v>
      </c>
      <c r="Q222" s="110">
        <v>9584.509706581448</v>
      </c>
      <c r="R222" s="258">
        <v>26928.340653394542</v>
      </c>
      <c r="S222" s="259">
        <v>29649.65975322327</v>
      </c>
      <c r="U222" s="7" t="s">
        <v>765</v>
      </c>
    </row>
    <row r="223" spans="1:21" s="65" customFormat="1" ht="16.5" thickBot="1">
      <c r="A223" s="41" t="s">
        <v>31</v>
      </c>
      <c r="B223" s="42">
        <f t="shared" si="12"/>
        <v>55</v>
      </c>
      <c r="C223" s="42" t="s">
        <v>3</v>
      </c>
      <c r="D223" s="42">
        <f t="shared" si="13"/>
        <v>300</v>
      </c>
      <c r="E223" s="42" t="s">
        <v>3</v>
      </c>
      <c r="F223" s="101">
        <f t="shared" si="14"/>
        <v>950</v>
      </c>
      <c r="G223" s="42" t="s">
        <v>3</v>
      </c>
      <c r="H223" s="39">
        <v>4</v>
      </c>
      <c r="I223" s="40" t="s">
        <v>40</v>
      </c>
      <c r="J223" s="149">
        <v>55</v>
      </c>
      <c r="K223" s="104">
        <v>300</v>
      </c>
      <c r="L223" s="104">
        <v>950</v>
      </c>
      <c r="M223" s="150">
        <v>8.3553108226671426</v>
      </c>
      <c r="N223" s="66">
        <v>143.13657599999999</v>
      </c>
      <c r="O223" s="111">
        <v>18013.54251484455</v>
      </c>
      <c r="P223" s="111">
        <v>20855.434968089208</v>
      </c>
      <c r="Q223" s="110">
        <v>10112.385645484203</v>
      </c>
      <c r="R223" s="258">
        <v>28125.928160328753</v>
      </c>
      <c r="S223" s="259">
        <v>30967.820613573411</v>
      </c>
      <c r="U223" s="7" t="s">
        <v>766</v>
      </c>
    </row>
    <row r="224" spans="1:21" s="65" customFormat="1" ht="16.5" thickBot="1">
      <c r="A224" s="41" t="s">
        <v>31</v>
      </c>
      <c r="B224" s="42">
        <f t="shared" si="12"/>
        <v>55</v>
      </c>
      <c r="C224" s="42" t="s">
        <v>3</v>
      </c>
      <c r="D224" s="42">
        <f t="shared" si="13"/>
        <v>300</v>
      </c>
      <c r="E224" s="42" t="s">
        <v>3</v>
      </c>
      <c r="F224" s="101">
        <f t="shared" si="14"/>
        <v>1000</v>
      </c>
      <c r="G224" s="42" t="s">
        <v>3</v>
      </c>
      <c r="H224" s="39">
        <v>4</v>
      </c>
      <c r="I224" s="40" t="s">
        <v>40</v>
      </c>
      <c r="J224" s="149">
        <v>55</v>
      </c>
      <c r="K224" s="104">
        <v>300</v>
      </c>
      <c r="L224" s="104">
        <v>1000</v>
      </c>
      <c r="M224" s="150">
        <v>8.7424602511528562</v>
      </c>
      <c r="N224" s="66">
        <v>155.06462400000001</v>
      </c>
      <c r="O224" s="111">
        <v>18683.254082875999</v>
      </c>
      <c r="P224" s="111">
        <v>21645.719889536595</v>
      </c>
      <c r="Q224" s="110">
        <v>10640.261431358193</v>
      </c>
      <c r="R224" s="258">
        <v>29323.51551423419</v>
      </c>
      <c r="S224" s="259">
        <v>32285.981320894789</v>
      </c>
      <c r="U224" s="7" t="s">
        <v>767</v>
      </c>
    </row>
    <row r="225" spans="1:21" s="65" customFormat="1" ht="16.5" thickBot="1">
      <c r="A225" s="41" t="s">
        <v>31</v>
      </c>
      <c r="B225" s="42">
        <f t="shared" si="12"/>
        <v>55</v>
      </c>
      <c r="C225" s="42" t="s">
        <v>3</v>
      </c>
      <c r="D225" s="42">
        <f t="shared" si="13"/>
        <v>300</v>
      </c>
      <c r="E225" s="42" t="s">
        <v>3</v>
      </c>
      <c r="F225" s="101">
        <f t="shared" si="14"/>
        <v>1050</v>
      </c>
      <c r="G225" s="42" t="s">
        <v>3</v>
      </c>
      <c r="H225" s="39">
        <v>4</v>
      </c>
      <c r="I225" s="40" t="s">
        <v>40</v>
      </c>
      <c r="J225" s="149">
        <v>55</v>
      </c>
      <c r="K225" s="104">
        <v>300</v>
      </c>
      <c r="L225" s="104">
        <v>1050</v>
      </c>
      <c r="M225" s="150">
        <v>9.1296096796385715</v>
      </c>
      <c r="N225" s="66">
        <v>166.992672</v>
      </c>
      <c r="O225" s="111">
        <v>19352.965650907456</v>
      </c>
      <c r="P225" s="111">
        <v>22436.004810983981</v>
      </c>
      <c r="Q225" s="110">
        <v>11168.137370260947</v>
      </c>
      <c r="R225" s="258">
        <v>30521.103021168405</v>
      </c>
      <c r="S225" s="259">
        <v>33604.142181244926</v>
      </c>
      <c r="U225" s="7" t="s">
        <v>768</v>
      </c>
    </row>
    <row r="226" spans="1:21" s="65" customFormat="1" ht="16.5" thickBot="1">
      <c r="A226" s="38" t="s">
        <v>31</v>
      </c>
      <c r="B226" s="39">
        <f t="shared" si="12"/>
        <v>55</v>
      </c>
      <c r="C226" s="39" t="s">
        <v>3</v>
      </c>
      <c r="D226" s="39">
        <f t="shared" si="13"/>
        <v>300</v>
      </c>
      <c r="E226" s="39" t="s">
        <v>3</v>
      </c>
      <c r="F226" s="101">
        <f t="shared" si="14"/>
        <v>1100</v>
      </c>
      <c r="G226" s="39" t="s">
        <v>3</v>
      </c>
      <c r="H226" s="39">
        <v>4</v>
      </c>
      <c r="I226" s="40" t="s">
        <v>40</v>
      </c>
      <c r="J226" s="149">
        <v>55</v>
      </c>
      <c r="K226" s="104">
        <v>300</v>
      </c>
      <c r="L226" s="104">
        <v>1100</v>
      </c>
      <c r="M226" s="150">
        <v>9.5167591081242868</v>
      </c>
      <c r="N226" s="66">
        <v>178.92071999999999</v>
      </c>
      <c r="O226" s="111">
        <v>20022.677218938905</v>
      </c>
      <c r="P226" s="111">
        <v>23226.289732431364</v>
      </c>
      <c r="Q226" s="110">
        <v>11696.013156134937</v>
      </c>
      <c r="R226" s="258">
        <v>31718.690375073842</v>
      </c>
      <c r="S226" s="259">
        <v>34922.302888566301</v>
      </c>
      <c r="U226" s="7" t="s">
        <v>769</v>
      </c>
    </row>
    <row r="227" spans="1:21" s="65" customFormat="1" ht="16.5" thickBot="1">
      <c r="A227" s="41" t="s">
        <v>31</v>
      </c>
      <c r="B227" s="42">
        <f t="shared" si="12"/>
        <v>55</v>
      </c>
      <c r="C227" s="42" t="s">
        <v>3</v>
      </c>
      <c r="D227" s="42">
        <f t="shared" si="13"/>
        <v>300</v>
      </c>
      <c r="E227" s="42" t="s">
        <v>3</v>
      </c>
      <c r="F227" s="101">
        <f t="shared" si="14"/>
        <v>1150</v>
      </c>
      <c r="G227" s="42" t="s">
        <v>3</v>
      </c>
      <c r="H227" s="39">
        <v>4</v>
      </c>
      <c r="I227" s="40" t="s">
        <v>40</v>
      </c>
      <c r="J227" s="149">
        <v>55</v>
      </c>
      <c r="K227" s="104">
        <v>300</v>
      </c>
      <c r="L227" s="104">
        <v>1150</v>
      </c>
      <c r="M227" s="150">
        <v>9.9039085366100004</v>
      </c>
      <c r="N227" s="66">
        <v>190.84876800000001</v>
      </c>
      <c r="O227" s="111">
        <v>20692.388939999124</v>
      </c>
      <c r="P227" s="111">
        <v>24016.574806907516</v>
      </c>
      <c r="Q227" s="110">
        <v>12223.889095037694</v>
      </c>
      <c r="R227" s="258">
        <v>32916.278035036819</v>
      </c>
      <c r="S227" s="259">
        <v>36240.463901945208</v>
      </c>
      <c r="U227" s="7" t="s">
        <v>770</v>
      </c>
    </row>
    <row r="228" spans="1:21" s="65" customFormat="1" ht="16.5" thickBot="1">
      <c r="A228" s="41" t="s">
        <v>31</v>
      </c>
      <c r="B228" s="42">
        <f t="shared" si="12"/>
        <v>55</v>
      </c>
      <c r="C228" s="42" t="s">
        <v>3</v>
      </c>
      <c r="D228" s="42">
        <f t="shared" si="13"/>
        <v>300</v>
      </c>
      <c r="E228" s="42" t="s">
        <v>3</v>
      </c>
      <c r="F228" s="101">
        <f t="shared" si="14"/>
        <v>1200</v>
      </c>
      <c r="G228" s="42" t="s">
        <v>3</v>
      </c>
      <c r="H228" s="39">
        <v>4</v>
      </c>
      <c r="I228" s="40" t="s">
        <v>40</v>
      </c>
      <c r="J228" s="149">
        <v>55</v>
      </c>
      <c r="K228" s="104">
        <v>300</v>
      </c>
      <c r="L228" s="104">
        <v>1200</v>
      </c>
      <c r="M228" s="150">
        <v>10.426657965095714</v>
      </c>
      <c r="N228" s="66">
        <v>202.776816</v>
      </c>
      <c r="O228" s="111">
        <v>21441.993765727035</v>
      </c>
      <c r="P228" s="111">
        <v>24884.317839311927</v>
      </c>
      <c r="Q228" s="110">
        <v>12751.764880911684</v>
      </c>
      <c r="R228" s="258">
        <v>34193.758646638715</v>
      </c>
      <c r="S228" s="259">
        <v>37636.082720223611</v>
      </c>
      <c r="U228" s="7" t="s">
        <v>771</v>
      </c>
    </row>
    <row r="229" spans="1:21" s="65" customFormat="1" ht="16.5" thickBot="1">
      <c r="A229" s="41" t="s">
        <v>31</v>
      </c>
      <c r="B229" s="42">
        <f t="shared" si="12"/>
        <v>55</v>
      </c>
      <c r="C229" s="42" t="s">
        <v>3</v>
      </c>
      <c r="D229" s="42">
        <f t="shared" si="13"/>
        <v>300</v>
      </c>
      <c r="E229" s="42" t="s">
        <v>3</v>
      </c>
      <c r="F229" s="101">
        <f t="shared" si="14"/>
        <v>1250</v>
      </c>
      <c r="G229" s="42" t="s">
        <v>3</v>
      </c>
      <c r="H229" s="39">
        <v>4</v>
      </c>
      <c r="I229" s="40" t="s">
        <v>40</v>
      </c>
      <c r="J229" s="149">
        <v>55</v>
      </c>
      <c r="K229" s="104">
        <v>300</v>
      </c>
      <c r="L229" s="104">
        <v>1250</v>
      </c>
      <c r="M229" s="150">
        <v>10.813807393581428</v>
      </c>
      <c r="N229" s="66">
        <v>214.70486399999999</v>
      </c>
      <c r="O229" s="111">
        <v>22111.705486787254</v>
      </c>
      <c r="P229" s="111">
        <v>25674.602760759313</v>
      </c>
      <c r="Q229" s="110">
        <v>13279.64081981444</v>
      </c>
      <c r="R229" s="258">
        <v>35391.346306601692</v>
      </c>
      <c r="S229" s="259">
        <v>38954.243580573755</v>
      </c>
      <c r="U229" s="7" t="s">
        <v>772</v>
      </c>
    </row>
    <row r="230" spans="1:21" s="65" customFormat="1" ht="16.5" thickBot="1">
      <c r="A230" s="41" t="s">
        <v>31</v>
      </c>
      <c r="B230" s="42">
        <f t="shared" si="12"/>
        <v>55</v>
      </c>
      <c r="C230" s="42" t="s">
        <v>3</v>
      </c>
      <c r="D230" s="42">
        <f t="shared" si="13"/>
        <v>300</v>
      </c>
      <c r="E230" s="42" t="s">
        <v>3</v>
      </c>
      <c r="F230" s="101">
        <f t="shared" si="14"/>
        <v>1300</v>
      </c>
      <c r="G230" s="42" t="s">
        <v>3</v>
      </c>
      <c r="H230" s="39">
        <v>4</v>
      </c>
      <c r="I230" s="40" t="s">
        <v>40</v>
      </c>
      <c r="J230" s="149">
        <v>55</v>
      </c>
      <c r="K230" s="104">
        <v>300</v>
      </c>
      <c r="L230" s="104">
        <v>1300</v>
      </c>
      <c r="M230" s="150">
        <v>11.200956822067141</v>
      </c>
      <c r="N230" s="66">
        <v>226.63291199999998</v>
      </c>
      <c r="O230" s="111">
        <v>22781.417054818707</v>
      </c>
      <c r="P230" s="111">
        <v>26464.8876822067</v>
      </c>
      <c r="Q230" s="110">
        <v>13807.516605688428</v>
      </c>
      <c r="R230" s="258">
        <v>36588.933660507137</v>
      </c>
      <c r="S230" s="259">
        <v>40272.40428789513</v>
      </c>
      <c r="U230" s="7" t="s">
        <v>773</v>
      </c>
    </row>
    <row r="231" spans="1:21" s="65" customFormat="1" ht="16.5" thickBot="1">
      <c r="A231" s="41" t="s">
        <v>31</v>
      </c>
      <c r="B231" s="42">
        <f t="shared" si="12"/>
        <v>55</v>
      </c>
      <c r="C231" s="42" t="s">
        <v>3</v>
      </c>
      <c r="D231" s="42">
        <f t="shared" si="13"/>
        <v>300</v>
      </c>
      <c r="E231" s="42" t="s">
        <v>3</v>
      </c>
      <c r="F231" s="101">
        <f t="shared" si="14"/>
        <v>1350</v>
      </c>
      <c r="G231" s="42" t="s">
        <v>3</v>
      </c>
      <c r="H231" s="39">
        <v>4</v>
      </c>
      <c r="I231" s="40" t="s">
        <v>40</v>
      </c>
      <c r="J231" s="149">
        <v>55</v>
      </c>
      <c r="K231" s="104">
        <v>300</v>
      </c>
      <c r="L231" s="104">
        <v>1350</v>
      </c>
      <c r="M231" s="150">
        <v>11.588106250552858</v>
      </c>
      <c r="N231" s="66">
        <v>238.56095999999999</v>
      </c>
      <c r="O231" s="111">
        <v>23451.128622850156</v>
      </c>
      <c r="P231" s="111">
        <v>27255.172603654086</v>
      </c>
      <c r="Q231" s="110">
        <v>14335.392544591185</v>
      </c>
      <c r="R231" s="258">
        <v>37786.521167441344</v>
      </c>
      <c r="S231" s="259">
        <v>41590.565148245267</v>
      </c>
      <c r="U231" s="7" t="s">
        <v>774</v>
      </c>
    </row>
    <row r="232" spans="1:21" s="65" customFormat="1" ht="16.5" thickBot="1">
      <c r="A232" s="41" t="s">
        <v>31</v>
      </c>
      <c r="B232" s="42">
        <f t="shared" si="12"/>
        <v>55</v>
      </c>
      <c r="C232" s="42" t="s">
        <v>3</v>
      </c>
      <c r="D232" s="42">
        <f t="shared" si="13"/>
        <v>300</v>
      </c>
      <c r="E232" s="42" t="s">
        <v>3</v>
      </c>
      <c r="F232" s="101">
        <f t="shared" si="14"/>
        <v>1400</v>
      </c>
      <c r="G232" s="42" t="s">
        <v>3</v>
      </c>
      <c r="H232" s="39">
        <v>4</v>
      </c>
      <c r="I232" s="40" t="s">
        <v>40</v>
      </c>
      <c r="J232" s="149">
        <v>55</v>
      </c>
      <c r="K232" s="104">
        <v>300</v>
      </c>
      <c r="L232" s="104">
        <v>1400</v>
      </c>
      <c r="M232" s="150">
        <v>11.975255679038572</v>
      </c>
      <c r="N232" s="66">
        <v>250.48900800000001</v>
      </c>
      <c r="O232" s="111">
        <v>24120.840190881609</v>
      </c>
      <c r="P232" s="111">
        <v>28045.457525101472</v>
      </c>
      <c r="Q232" s="110">
        <v>14863.268330465173</v>
      </c>
      <c r="R232" s="258">
        <v>38984.108521346781</v>
      </c>
      <c r="S232" s="259">
        <v>42908.725855566649</v>
      </c>
      <c r="U232" s="7" t="s">
        <v>775</v>
      </c>
    </row>
    <row r="233" spans="1:21" s="65" customFormat="1" ht="16.5" thickBot="1">
      <c r="A233" s="41" t="s">
        <v>31</v>
      </c>
      <c r="B233" s="42">
        <f t="shared" si="12"/>
        <v>55</v>
      </c>
      <c r="C233" s="42" t="s">
        <v>3</v>
      </c>
      <c r="D233" s="42">
        <f t="shared" si="13"/>
        <v>300</v>
      </c>
      <c r="E233" s="42" t="s">
        <v>3</v>
      </c>
      <c r="F233" s="101">
        <f t="shared" si="14"/>
        <v>1450</v>
      </c>
      <c r="G233" s="42" t="s">
        <v>3</v>
      </c>
      <c r="H233" s="39">
        <v>4</v>
      </c>
      <c r="I233" s="40" t="s">
        <v>40</v>
      </c>
      <c r="J233" s="149">
        <v>55</v>
      </c>
      <c r="K233" s="104">
        <v>300</v>
      </c>
      <c r="L233" s="104">
        <v>1450</v>
      </c>
      <c r="M233" s="150">
        <v>12.362405107524285</v>
      </c>
      <c r="N233" s="66">
        <v>262.417056</v>
      </c>
      <c r="O233" s="111">
        <v>24790.551758913061</v>
      </c>
      <c r="P233" s="111">
        <v>28835.742599577628</v>
      </c>
      <c r="Q233" s="110">
        <v>15391.144269367929</v>
      </c>
      <c r="R233" s="258">
        <v>40181.696028280989</v>
      </c>
      <c r="S233" s="259">
        <v>44226.886868945556</v>
      </c>
      <c r="U233" s="7" t="s">
        <v>776</v>
      </c>
    </row>
    <row r="234" spans="1:21" s="65" customFormat="1" ht="16.5" thickBot="1">
      <c r="A234" s="41" t="s">
        <v>31</v>
      </c>
      <c r="B234" s="42">
        <f t="shared" si="12"/>
        <v>55</v>
      </c>
      <c r="C234" s="42" t="s">
        <v>3</v>
      </c>
      <c r="D234" s="42">
        <f t="shared" si="13"/>
        <v>300</v>
      </c>
      <c r="E234" s="42" t="s">
        <v>3</v>
      </c>
      <c r="F234" s="101">
        <f t="shared" si="14"/>
        <v>1500</v>
      </c>
      <c r="G234" s="42" t="s">
        <v>3</v>
      </c>
      <c r="H234" s="39">
        <v>4</v>
      </c>
      <c r="I234" s="40" t="s">
        <v>40</v>
      </c>
      <c r="J234" s="149">
        <v>55</v>
      </c>
      <c r="K234" s="104">
        <v>300</v>
      </c>
      <c r="L234" s="104">
        <v>1500</v>
      </c>
      <c r="M234" s="150">
        <v>12.88852784801</v>
      </c>
      <c r="N234" s="66">
        <v>274.34510399999999</v>
      </c>
      <c r="O234" s="111">
        <v>26163.002634266602</v>
      </c>
      <c r="P234" s="111">
        <v>30241.555276016068</v>
      </c>
      <c r="Q234" s="110">
        <v>15919.020055241919</v>
      </c>
      <c r="R234" s="258">
        <v>42082.022689508522</v>
      </c>
      <c r="S234" s="259">
        <v>46160.575331257991</v>
      </c>
      <c r="U234" s="7" t="s">
        <v>777</v>
      </c>
    </row>
    <row r="235" spans="1:21" s="65" customFormat="1" ht="16.5" thickBot="1">
      <c r="A235" s="41" t="s">
        <v>31</v>
      </c>
      <c r="B235" s="42">
        <f t="shared" si="12"/>
        <v>55</v>
      </c>
      <c r="C235" s="42" t="s">
        <v>3</v>
      </c>
      <c r="D235" s="42">
        <f t="shared" si="13"/>
        <v>300</v>
      </c>
      <c r="E235" s="42" t="s">
        <v>3</v>
      </c>
      <c r="F235" s="101">
        <f t="shared" si="14"/>
        <v>1550</v>
      </c>
      <c r="G235" s="42" t="s">
        <v>3</v>
      </c>
      <c r="H235" s="39">
        <v>4</v>
      </c>
      <c r="I235" s="40" t="s">
        <v>40</v>
      </c>
      <c r="J235" s="149">
        <v>55</v>
      </c>
      <c r="K235" s="104">
        <v>300</v>
      </c>
      <c r="L235" s="104">
        <v>1550</v>
      </c>
      <c r="M235" s="150">
        <v>13.275677276495717</v>
      </c>
      <c r="N235" s="66">
        <v>286.27315199999998</v>
      </c>
      <c r="O235" s="111">
        <v>26832.714202298052</v>
      </c>
      <c r="P235" s="111">
        <v>31031.840197463454</v>
      </c>
      <c r="Q235" s="110">
        <v>16446.895994144674</v>
      </c>
      <c r="R235" s="258">
        <v>43279.610196442722</v>
      </c>
      <c r="S235" s="259">
        <v>47478.736191608128</v>
      </c>
      <c r="U235" s="7" t="s">
        <v>778</v>
      </c>
    </row>
    <row r="236" spans="1:21" s="65" customFormat="1" ht="16.5" thickBot="1">
      <c r="A236" s="38" t="s">
        <v>31</v>
      </c>
      <c r="B236" s="39">
        <f t="shared" si="12"/>
        <v>55</v>
      </c>
      <c r="C236" s="39" t="s">
        <v>3</v>
      </c>
      <c r="D236" s="39">
        <f t="shared" si="13"/>
        <v>300</v>
      </c>
      <c r="E236" s="39" t="s">
        <v>3</v>
      </c>
      <c r="F236" s="101">
        <f t="shared" si="14"/>
        <v>1600</v>
      </c>
      <c r="G236" s="39" t="s">
        <v>3</v>
      </c>
      <c r="H236" s="39">
        <v>4</v>
      </c>
      <c r="I236" s="40" t="s">
        <v>40</v>
      </c>
      <c r="J236" s="149">
        <v>55</v>
      </c>
      <c r="K236" s="104">
        <v>300</v>
      </c>
      <c r="L236" s="104">
        <v>1600</v>
      </c>
      <c r="M236" s="150">
        <v>13.66282670498143</v>
      </c>
      <c r="N236" s="66">
        <v>298.20119999999997</v>
      </c>
      <c r="O236" s="111">
        <v>27502.425770329504</v>
      </c>
      <c r="P236" s="111">
        <v>31822.125118910841</v>
      </c>
      <c r="Q236" s="110">
        <v>16974.771780018662</v>
      </c>
      <c r="R236" s="258">
        <v>44477.197550348166</v>
      </c>
      <c r="S236" s="259">
        <v>48796.896898929503</v>
      </c>
      <c r="U236" s="7" t="s">
        <v>779</v>
      </c>
    </row>
    <row r="237" spans="1:21" s="65" customFormat="1" ht="16.5" thickBot="1">
      <c r="A237" s="41" t="s">
        <v>31</v>
      </c>
      <c r="B237" s="42">
        <f t="shared" si="12"/>
        <v>55</v>
      </c>
      <c r="C237" s="42" t="s">
        <v>3</v>
      </c>
      <c r="D237" s="42">
        <f t="shared" si="13"/>
        <v>300</v>
      </c>
      <c r="E237" s="42" t="s">
        <v>3</v>
      </c>
      <c r="F237" s="101">
        <f t="shared" si="14"/>
        <v>1650</v>
      </c>
      <c r="G237" s="42" t="s">
        <v>3</v>
      </c>
      <c r="H237" s="39">
        <v>4</v>
      </c>
      <c r="I237" s="40" t="s">
        <v>40</v>
      </c>
      <c r="J237" s="149">
        <v>55</v>
      </c>
      <c r="K237" s="104">
        <v>300</v>
      </c>
      <c r="L237" s="104">
        <v>1650</v>
      </c>
      <c r="M237" s="150">
        <v>14.049976133467144</v>
      </c>
      <c r="N237" s="66">
        <v>310.12924800000002</v>
      </c>
      <c r="O237" s="111">
        <v>28172.137338360953</v>
      </c>
      <c r="P237" s="111">
        <v>32612.41019338699</v>
      </c>
      <c r="Q237" s="110">
        <v>17502.64771892142</v>
      </c>
      <c r="R237" s="258">
        <v>45674.785057282374</v>
      </c>
      <c r="S237" s="259">
        <v>50115.05791230841</v>
      </c>
      <c r="U237" s="7" t="s">
        <v>780</v>
      </c>
    </row>
    <row r="238" spans="1:21" s="65" customFormat="1" ht="16.5" thickBot="1">
      <c r="A238" s="41" t="s">
        <v>31</v>
      </c>
      <c r="B238" s="42">
        <f t="shared" si="12"/>
        <v>55</v>
      </c>
      <c r="C238" s="42" t="s">
        <v>3</v>
      </c>
      <c r="D238" s="42">
        <f t="shared" si="13"/>
        <v>300</v>
      </c>
      <c r="E238" s="42" t="s">
        <v>3</v>
      </c>
      <c r="F238" s="101">
        <f t="shared" si="14"/>
        <v>1700</v>
      </c>
      <c r="G238" s="42" t="s">
        <v>3</v>
      </c>
      <c r="H238" s="39">
        <v>4</v>
      </c>
      <c r="I238" s="40" t="s">
        <v>40</v>
      </c>
      <c r="J238" s="149">
        <v>55</v>
      </c>
      <c r="K238" s="104">
        <v>300</v>
      </c>
      <c r="L238" s="104">
        <v>1700</v>
      </c>
      <c r="M238" s="150">
        <v>14.437125561952858</v>
      </c>
      <c r="N238" s="66">
        <v>322.05729600000001</v>
      </c>
      <c r="O238" s="111">
        <v>28841.849059421173</v>
      </c>
      <c r="P238" s="111">
        <v>33402.695114834372</v>
      </c>
      <c r="Q238" s="110">
        <v>18030.523504795408</v>
      </c>
      <c r="R238" s="258">
        <v>46872.372564216581</v>
      </c>
      <c r="S238" s="259">
        <v>51433.218619629784</v>
      </c>
      <c r="U238" s="7" t="s">
        <v>781</v>
      </c>
    </row>
    <row r="239" spans="1:21" s="65" customFormat="1" ht="16.5" thickBot="1">
      <c r="A239" s="41" t="s">
        <v>31</v>
      </c>
      <c r="B239" s="42">
        <f t="shared" si="12"/>
        <v>55</v>
      </c>
      <c r="C239" s="42" t="s">
        <v>3</v>
      </c>
      <c r="D239" s="42">
        <f t="shared" si="13"/>
        <v>300</v>
      </c>
      <c r="E239" s="42" t="s">
        <v>3</v>
      </c>
      <c r="F239" s="101">
        <f t="shared" si="14"/>
        <v>1750</v>
      </c>
      <c r="G239" s="42" t="s">
        <v>3</v>
      </c>
      <c r="H239" s="39">
        <v>4</v>
      </c>
      <c r="I239" s="40" t="s">
        <v>40</v>
      </c>
      <c r="J239" s="149">
        <v>55</v>
      </c>
      <c r="K239" s="104">
        <v>300</v>
      </c>
      <c r="L239" s="104">
        <v>1750</v>
      </c>
      <c r="M239" s="150">
        <v>14.824274990438573</v>
      </c>
      <c r="N239" s="66">
        <v>333.985344</v>
      </c>
      <c r="O239" s="111">
        <v>29511.560627452625</v>
      </c>
      <c r="P239" s="111">
        <v>34192.980036281762</v>
      </c>
      <c r="Q239" s="110">
        <v>18558.399443698163</v>
      </c>
      <c r="R239" s="258">
        <v>48069.960071150788</v>
      </c>
      <c r="S239" s="259">
        <v>52751.379479979922</v>
      </c>
      <c r="U239" s="7" t="s">
        <v>782</v>
      </c>
    </row>
    <row r="240" spans="1:21" s="65" customFormat="1" ht="16.5" thickBot="1">
      <c r="A240" s="41" t="s">
        <v>31</v>
      </c>
      <c r="B240" s="42">
        <f t="shared" si="12"/>
        <v>55</v>
      </c>
      <c r="C240" s="42" t="s">
        <v>3</v>
      </c>
      <c r="D240" s="42">
        <f t="shared" si="13"/>
        <v>300</v>
      </c>
      <c r="E240" s="42" t="s">
        <v>3</v>
      </c>
      <c r="F240" s="101">
        <f t="shared" si="14"/>
        <v>1800</v>
      </c>
      <c r="G240" s="42" t="s">
        <v>3</v>
      </c>
      <c r="H240" s="39">
        <v>4</v>
      </c>
      <c r="I240" s="40" t="s">
        <v>40</v>
      </c>
      <c r="J240" s="149">
        <v>55</v>
      </c>
      <c r="K240" s="104">
        <v>300</v>
      </c>
      <c r="L240" s="104">
        <v>1800</v>
      </c>
      <c r="M240" s="150">
        <v>15.211424418924285</v>
      </c>
      <c r="N240" s="66">
        <v>345.91339199999999</v>
      </c>
      <c r="O240" s="111">
        <v>30181.272195484082</v>
      </c>
      <c r="P240" s="111">
        <v>34983.264957729145</v>
      </c>
      <c r="Q240" s="110">
        <v>19086.275229572155</v>
      </c>
      <c r="R240" s="258">
        <v>49267.54742505624</v>
      </c>
      <c r="S240" s="259">
        <v>54069.540187301303</v>
      </c>
      <c r="U240" s="7" t="s">
        <v>783</v>
      </c>
    </row>
    <row r="241" spans="1:21" s="65" customFormat="1" ht="16.5" thickBot="1">
      <c r="A241" s="41" t="s">
        <v>31</v>
      </c>
      <c r="B241" s="42">
        <f t="shared" si="12"/>
        <v>55</v>
      </c>
      <c r="C241" s="42" t="s">
        <v>3</v>
      </c>
      <c r="D241" s="42">
        <f t="shared" si="13"/>
        <v>300</v>
      </c>
      <c r="E241" s="42" t="s">
        <v>3</v>
      </c>
      <c r="F241" s="101">
        <f t="shared" si="14"/>
        <v>1850</v>
      </c>
      <c r="G241" s="42" t="s">
        <v>3</v>
      </c>
      <c r="H241" s="39">
        <v>4</v>
      </c>
      <c r="I241" s="40" t="s">
        <v>40</v>
      </c>
      <c r="J241" s="149">
        <v>55</v>
      </c>
      <c r="K241" s="104">
        <v>300</v>
      </c>
      <c r="L241" s="104">
        <v>1850</v>
      </c>
      <c r="M241" s="150">
        <v>15.598573847410002</v>
      </c>
      <c r="N241" s="66">
        <v>357.84143999999998</v>
      </c>
      <c r="O241" s="111">
        <v>30850.983763515531</v>
      </c>
      <c r="P241" s="111">
        <v>35773.549879176535</v>
      </c>
      <c r="Q241" s="110">
        <v>19614.151168474909</v>
      </c>
      <c r="R241" s="258">
        <v>50465.13493199044</v>
      </c>
      <c r="S241" s="259">
        <v>55387.701047651441</v>
      </c>
      <c r="U241" s="7" t="s">
        <v>784</v>
      </c>
    </row>
    <row r="242" spans="1:21" s="65" customFormat="1" ht="16.5" thickBot="1">
      <c r="A242" s="41" t="s">
        <v>31</v>
      </c>
      <c r="B242" s="42">
        <f t="shared" si="12"/>
        <v>55</v>
      </c>
      <c r="C242" s="42" t="s">
        <v>3</v>
      </c>
      <c r="D242" s="42">
        <f t="shared" si="13"/>
        <v>300</v>
      </c>
      <c r="E242" s="42" t="s">
        <v>3</v>
      </c>
      <c r="F242" s="101">
        <f t="shared" si="14"/>
        <v>1900</v>
      </c>
      <c r="G242" s="42" t="s">
        <v>3</v>
      </c>
      <c r="H242" s="39">
        <v>4</v>
      </c>
      <c r="I242" s="40" t="s">
        <v>40</v>
      </c>
      <c r="J242" s="149">
        <v>55</v>
      </c>
      <c r="K242" s="104">
        <v>300</v>
      </c>
      <c r="L242" s="104">
        <v>1900</v>
      </c>
      <c r="M242" s="150">
        <v>15.985723275895715</v>
      </c>
      <c r="N242" s="66">
        <v>369.76948800000002</v>
      </c>
      <c r="O242" s="111">
        <v>31520.695331546984</v>
      </c>
      <c r="P242" s="111">
        <v>36563.834800623918</v>
      </c>
      <c r="Q242" s="110">
        <v>20142.026954348901</v>
      </c>
      <c r="R242" s="258">
        <v>51662.722285895885</v>
      </c>
      <c r="S242" s="259">
        <v>56705.861754972822</v>
      </c>
      <c r="U242" s="7" t="s">
        <v>785</v>
      </c>
    </row>
    <row r="243" spans="1:21" s="65" customFormat="1" ht="16.5" thickBot="1">
      <c r="A243" s="41" t="s">
        <v>31</v>
      </c>
      <c r="B243" s="42">
        <f t="shared" si="12"/>
        <v>55</v>
      </c>
      <c r="C243" s="42" t="s">
        <v>3</v>
      </c>
      <c r="D243" s="42">
        <f t="shared" si="13"/>
        <v>300</v>
      </c>
      <c r="E243" s="42" t="s">
        <v>3</v>
      </c>
      <c r="F243" s="101">
        <f t="shared" si="14"/>
        <v>1950</v>
      </c>
      <c r="G243" s="42" t="s">
        <v>3</v>
      </c>
      <c r="H243" s="39">
        <v>4</v>
      </c>
      <c r="I243" s="40" t="s">
        <v>40</v>
      </c>
      <c r="J243" s="149">
        <v>55</v>
      </c>
      <c r="K243" s="104">
        <v>300</v>
      </c>
      <c r="L243" s="104">
        <v>1950</v>
      </c>
      <c r="M243" s="150">
        <v>16.508472704381429</v>
      </c>
      <c r="N243" s="66">
        <v>381.69753600000001</v>
      </c>
      <c r="O243" s="111">
        <v>32270.300310303661</v>
      </c>
      <c r="P243" s="111">
        <v>37431.577986057098</v>
      </c>
      <c r="Q243" s="110">
        <v>20669.902893251656</v>
      </c>
      <c r="R243" s="258">
        <v>52940.203203555313</v>
      </c>
      <c r="S243" s="259">
        <v>58101.480879308758</v>
      </c>
      <c r="U243" s="7" t="s">
        <v>786</v>
      </c>
    </row>
    <row r="244" spans="1:21" s="65" customFormat="1" ht="16.5" thickBot="1">
      <c r="A244" s="41" t="s">
        <v>31</v>
      </c>
      <c r="B244" s="42">
        <f t="shared" si="12"/>
        <v>55</v>
      </c>
      <c r="C244" s="42" t="s">
        <v>3</v>
      </c>
      <c r="D244" s="42">
        <f t="shared" si="13"/>
        <v>300</v>
      </c>
      <c r="E244" s="42" t="s">
        <v>3</v>
      </c>
      <c r="F244" s="101">
        <f t="shared" si="14"/>
        <v>2000</v>
      </c>
      <c r="G244" s="42" t="s">
        <v>3</v>
      </c>
      <c r="H244" s="39">
        <v>4</v>
      </c>
      <c r="I244" s="40" t="s">
        <v>40</v>
      </c>
      <c r="J244" s="149">
        <v>55</v>
      </c>
      <c r="K244" s="104">
        <v>300</v>
      </c>
      <c r="L244" s="104">
        <v>2000</v>
      </c>
      <c r="M244" s="150">
        <v>16.987198330277145</v>
      </c>
      <c r="N244" s="66">
        <v>393.62558399999995</v>
      </c>
      <c r="O244" s="111">
        <v>33178.739200390351</v>
      </c>
      <c r="P244" s="111">
        <v>38533.869890085014</v>
      </c>
      <c r="Q244" s="110">
        <v>21197.778679125648</v>
      </c>
      <c r="R244" s="258">
        <v>54376.517879516003</v>
      </c>
      <c r="S244" s="259">
        <v>59731.648569210665</v>
      </c>
      <c r="U244" s="7" t="s">
        <v>787</v>
      </c>
    </row>
    <row r="245" spans="1:21" s="65" customFormat="1" ht="16.5" thickBot="1">
      <c r="A245" s="41" t="s">
        <v>31</v>
      </c>
      <c r="B245" s="42">
        <f t="shared" si="12"/>
        <v>55</v>
      </c>
      <c r="C245" s="42" t="s">
        <v>3</v>
      </c>
      <c r="D245" s="42">
        <f t="shared" si="13"/>
        <v>300</v>
      </c>
      <c r="E245" s="42" t="s">
        <v>3</v>
      </c>
      <c r="F245" s="101">
        <f t="shared" si="14"/>
        <v>2050</v>
      </c>
      <c r="G245" s="42" t="s">
        <v>3</v>
      </c>
      <c r="H245" s="39">
        <v>4</v>
      </c>
      <c r="I245" s="40" t="s">
        <v>40</v>
      </c>
      <c r="J245" s="149">
        <v>55</v>
      </c>
      <c r="K245" s="104">
        <v>300</v>
      </c>
      <c r="L245" s="104">
        <v>2050</v>
      </c>
      <c r="M245" s="150">
        <v>17.374347758762855</v>
      </c>
      <c r="N245" s="66">
        <v>405.55363199999999</v>
      </c>
      <c r="O245" s="111">
        <v>33848.450768421812</v>
      </c>
      <c r="P245" s="111">
        <v>39324.154811532404</v>
      </c>
      <c r="Q245" s="110">
        <v>21725.654618028402</v>
      </c>
      <c r="R245" s="258">
        <v>55574.105386450217</v>
      </c>
      <c r="S245" s="259">
        <v>61049.809429560803</v>
      </c>
      <c r="U245" s="7" t="s">
        <v>788</v>
      </c>
    </row>
    <row r="246" spans="1:21" s="65" customFormat="1" ht="16.5" thickBot="1">
      <c r="A246" s="38" t="s">
        <v>31</v>
      </c>
      <c r="B246" s="39">
        <f t="shared" si="12"/>
        <v>55</v>
      </c>
      <c r="C246" s="39" t="s">
        <v>3</v>
      </c>
      <c r="D246" s="39">
        <f t="shared" si="13"/>
        <v>300</v>
      </c>
      <c r="E246" s="39" t="s">
        <v>3</v>
      </c>
      <c r="F246" s="101">
        <f t="shared" si="14"/>
        <v>2100</v>
      </c>
      <c r="G246" s="39" t="s">
        <v>3</v>
      </c>
      <c r="H246" s="39">
        <v>4</v>
      </c>
      <c r="I246" s="40" t="s">
        <v>40</v>
      </c>
      <c r="J246" s="149">
        <v>55</v>
      </c>
      <c r="K246" s="104">
        <v>300</v>
      </c>
      <c r="L246" s="104">
        <v>2100</v>
      </c>
      <c r="M246" s="150">
        <v>17.761497187248573</v>
      </c>
      <c r="N246" s="66">
        <v>417.48167999999998</v>
      </c>
      <c r="O246" s="111">
        <v>34518.162336453257</v>
      </c>
      <c r="P246" s="111">
        <v>40114.439732979787</v>
      </c>
      <c r="Q246" s="110">
        <v>22253.53040390239</v>
      </c>
      <c r="R246" s="258">
        <v>56771.692740355647</v>
      </c>
      <c r="S246" s="259">
        <v>62367.970136882177</v>
      </c>
      <c r="U246" s="7" t="s">
        <v>789</v>
      </c>
    </row>
    <row r="247" spans="1:21" s="65" customFormat="1" ht="16.5" thickBot="1">
      <c r="A247" s="41" t="s">
        <v>31</v>
      </c>
      <c r="B247" s="42">
        <f t="shared" si="12"/>
        <v>55</v>
      </c>
      <c r="C247" s="42" t="s">
        <v>3</v>
      </c>
      <c r="D247" s="42">
        <f t="shared" si="13"/>
        <v>300</v>
      </c>
      <c r="E247" s="42" t="s">
        <v>3</v>
      </c>
      <c r="F247" s="101">
        <f t="shared" si="14"/>
        <v>2150</v>
      </c>
      <c r="G247" s="42" t="s">
        <v>3</v>
      </c>
      <c r="H247" s="39">
        <v>4</v>
      </c>
      <c r="I247" s="40" t="s">
        <v>40</v>
      </c>
      <c r="J247" s="149">
        <v>55</v>
      </c>
      <c r="K247" s="104">
        <v>300</v>
      </c>
      <c r="L247" s="104">
        <v>2150</v>
      </c>
      <c r="M247" s="150">
        <v>18.148646615734286</v>
      </c>
      <c r="N247" s="66">
        <v>429.40972799999997</v>
      </c>
      <c r="O247" s="111">
        <v>35187.87390448471</v>
      </c>
      <c r="P247" s="111">
        <v>40904.724807455939</v>
      </c>
      <c r="Q247" s="110">
        <v>22781.406342805149</v>
      </c>
      <c r="R247" s="258">
        <v>57969.280247289862</v>
      </c>
      <c r="S247" s="259">
        <v>63686.131150261092</v>
      </c>
      <c r="U247" s="7" t="s">
        <v>790</v>
      </c>
    </row>
    <row r="248" spans="1:21" s="65" customFormat="1" ht="16.5" thickBot="1">
      <c r="A248" s="41" t="s">
        <v>31</v>
      </c>
      <c r="B248" s="42">
        <f t="shared" si="12"/>
        <v>55</v>
      </c>
      <c r="C248" s="42" t="s">
        <v>3</v>
      </c>
      <c r="D248" s="42">
        <f t="shared" si="13"/>
        <v>300</v>
      </c>
      <c r="E248" s="42" t="s">
        <v>3</v>
      </c>
      <c r="F248" s="101">
        <f t="shared" si="14"/>
        <v>2200</v>
      </c>
      <c r="G248" s="42" t="s">
        <v>3</v>
      </c>
      <c r="H248" s="39">
        <v>4</v>
      </c>
      <c r="I248" s="40" t="s">
        <v>40</v>
      </c>
      <c r="J248" s="149">
        <v>55</v>
      </c>
      <c r="K248" s="104">
        <v>300</v>
      </c>
      <c r="L248" s="104">
        <v>2200</v>
      </c>
      <c r="M248" s="150">
        <v>18.53579604422</v>
      </c>
      <c r="N248" s="66">
        <v>441.33777600000002</v>
      </c>
      <c r="O248" s="111">
        <v>35857.585625544933</v>
      </c>
      <c r="P248" s="111">
        <v>41695.009728903329</v>
      </c>
      <c r="Q248" s="110">
        <v>23309.282128679137</v>
      </c>
      <c r="R248" s="258">
        <v>59166.867754224069</v>
      </c>
      <c r="S248" s="259">
        <v>65004.291857582466</v>
      </c>
      <c r="U248" s="7" t="s">
        <v>791</v>
      </c>
    </row>
    <row r="249" spans="1:21" s="65" customFormat="1" ht="16.5" thickBot="1">
      <c r="A249" s="41" t="s">
        <v>31</v>
      </c>
      <c r="B249" s="42">
        <f t="shared" si="12"/>
        <v>55</v>
      </c>
      <c r="C249" s="42" t="s">
        <v>3</v>
      </c>
      <c r="D249" s="42">
        <f t="shared" si="13"/>
        <v>300</v>
      </c>
      <c r="E249" s="42" t="s">
        <v>3</v>
      </c>
      <c r="F249" s="101">
        <f t="shared" si="14"/>
        <v>2250</v>
      </c>
      <c r="G249" s="42" t="s">
        <v>3</v>
      </c>
      <c r="H249" s="39">
        <v>4</v>
      </c>
      <c r="I249" s="40" t="s">
        <v>40</v>
      </c>
      <c r="J249" s="149">
        <v>55</v>
      </c>
      <c r="K249" s="104">
        <v>300</v>
      </c>
      <c r="L249" s="104">
        <v>2250</v>
      </c>
      <c r="M249" s="150">
        <v>18.922945472705717</v>
      </c>
      <c r="N249" s="66">
        <v>453.26582399999995</v>
      </c>
      <c r="O249" s="111">
        <v>36527.297193576378</v>
      </c>
      <c r="P249" s="111">
        <v>42485.294650350712</v>
      </c>
      <c r="Q249" s="110">
        <v>23837.158067581891</v>
      </c>
      <c r="R249" s="258">
        <v>60364.455261158269</v>
      </c>
      <c r="S249" s="259">
        <v>66322.452717932611</v>
      </c>
      <c r="U249" s="7" t="s">
        <v>792</v>
      </c>
    </row>
    <row r="250" spans="1:21" s="65" customFormat="1" ht="16.5" thickBot="1">
      <c r="A250" s="41" t="s">
        <v>31</v>
      </c>
      <c r="B250" s="42">
        <f t="shared" si="12"/>
        <v>55</v>
      </c>
      <c r="C250" s="42" t="s">
        <v>3</v>
      </c>
      <c r="D250" s="42">
        <f t="shared" si="13"/>
        <v>300</v>
      </c>
      <c r="E250" s="42" t="s">
        <v>3</v>
      </c>
      <c r="F250" s="101">
        <f t="shared" si="14"/>
        <v>2300</v>
      </c>
      <c r="G250" s="42" t="s">
        <v>3</v>
      </c>
      <c r="H250" s="39">
        <v>4</v>
      </c>
      <c r="I250" s="40" t="s">
        <v>40</v>
      </c>
      <c r="J250" s="149">
        <v>55</v>
      </c>
      <c r="K250" s="104">
        <v>300</v>
      </c>
      <c r="L250" s="104">
        <v>2300</v>
      </c>
      <c r="M250" s="150">
        <v>19.310094901191427</v>
      </c>
      <c r="N250" s="66">
        <v>465.193872</v>
      </c>
      <c r="O250" s="111">
        <v>37197.008761607831</v>
      </c>
      <c r="P250" s="111">
        <v>43275.579571798102</v>
      </c>
      <c r="Q250" s="110">
        <v>24365.03385345588</v>
      </c>
      <c r="R250" s="258">
        <v>61562.042615063707</v>
      </c>
      <c r="S250" s="259">
        <v>67640.613425253978</v>
      </c>
      <c r="U250" s="7" t="s">
        <v>793</v>
      </c>
    </row>
    <row r="251" spans="1:21" s="65" customFormat="1" ht="16.5" thickBot="1">
      <c r="A251" s="41" t="s">
        <v>31</v>
      </c>
      <c r="B251" s="42">
        <f t="shared" si="12"/>
        <v>55</v>
      </c>
      <c r="C251" s="42" t="s">
        <v>3</v>
      </c>
      <c r="D251" s="42">
        <f t="shared" si="13"/>
        <v>300</v>
      </c>
      <c r="E251" s="42" t="s">
        <v>3</v>
      </c>
      <c r="F251" s="101">
        <f t="shared" si="14"/>
        <v>2350</v>
      </c>
      <c r="G251" s="42" t="s">
        <v>3</v>
      </c>
      <c r="H251" s="39">
        <v>4</v>
      </c>
      <c r="I251" s="40" t="s">
        <v>40</v>
      </c>
      <c r="J251" s="149">
        <v>55</v>
      </c>
      <c r="K251" s="104">
        <v>300</v>
      </c>
      <c r="L251" s="104">
        <v>2350</v>
      </c>
      <c r="M251" s="150">
        <v>19.697244329677144</v>
      </c>
      <c r="N251" s="66">
        <v>477.12191999999999</v>
      </c>
      <c r="O251" s="111">
        <v>37866.720329639284</v>
      </c>
      <c r="P251" s="111">
        <v>44065.864493245484</v>
      </c>
      <c r="Q251" s="110">
        <v>24892.909792358638</v>
      </c>
      <c r="R251" s="258">
        <v>62759.630121997921</v>
      </c>
      <c r="S251" s="259">
        <v>68958.77428560413</v>
      </c>
      <c r="U251" s="7" t="s">
        <v>794</v>
      </c>
    </row>
    <row r="252" spans="1:21" s="65" customFormat="1" ht="16.5" thickBot="1">
      <c r="A252" s="41" t="s">
        <v>31</v>
      </c>
      <c r="B252" s="42">
        <f t="shared" si="12"/>
        <v>55</v>
      </c>
      <c r="C252" s="42" t="s">
        <v>3</v>
      </c>
      <c r="D252" s="42">
        <f t="shared" si="13"/>
        <v>300</v>
      </c>
      <c r="E252" s="42" t="s">
        <v>3</v>
      </c>
      <c r="F252" s="101">
        <f t="shared" si="14"/>
        <v>2400</v>
      </c>
      <c r="G252" s="42" t="s">
        <v>3</v>
      </c>
      <c r="H252" s="39">
        <v>4</v>
      </c>
      <c r="I252" s="40" t="s">
        <v>40</v>
      </c>
      <c r="J252" s="149">
        <v>55</v>
      </c>
      <c r="K252" s="104">
        <v>300</v>
      </c>
      <c r="L252" s="104">
        <v>2400</v>
      </c>
      <c r="M252" s="150">
        <v>20.084393758162857</v>
      </c>
      <c r="N252" s="66">
        <v>489.04996799999992</v>
      </c>
      <c r="O252" s="111">
        <v>38536.431897670744</v>
      </c>
      <c r="P252" s="111">
        <v>44856.149414692874</v>
      </c>
      <c r="Q252" s="110">
        <v>25420.78557823263</v>
      </c>
      <c r="R252" s="258">
        <v>63957.217475903373</v>
      </c>
      <c r="S252" s="259">
        <v>70276.934992925497</v>
      </c>
      <c r="U252" s="7" t="s">
        <v>795</v>
      </c>
    </row>
    <row r="253" spans="1:21" s="65" customFormat="1" ht="16.5" thickBot="1">
      <c r="A253" s="41" t="s">
        <v>31</v>
      </c>
      <c r="B253" s="42">
        <f t="shared" si="12"/>
        <v>55</v>
      </c>
      <c r="C253" s="42" t="s">
        <v>3</v>
      </c>
      <c r="D253" s="42">
        <f t="shared" si="13"/>
        <v>300</v>
      </c>
      <c r="E253" s="42" t="s">
        <v>3</v>
      </c>
      <c r="F253" s="101">
        <f t="shared" si="14"/>
        <v>2450</v>
      </c>
      <c r="G253" s="42" t="s">
        <v>3</v>
      </c>
      <c r="H253" s="39">
        <v>4</v>
      </c>
      <c r="I253" s="40" t="s">
        <v>40</v>
      </c>
      <c r="J253" s="149">
        <v>55</v>
      </c>
      <c r="K253" s="104">
        <v>300</v>
      </c>
      <c r="L253" s="104">
        <v>2450</v>
      </c>
      <c r="M253" s="150">
        <v>20.610516498648572</v>
      </c>
      <c r="N253" s="66">
        <v>500.97801600000003</v>
      </c>
      <c r="O253" s="111">
        <v>39908.882773024277</v>
      </c>
      <c r="P253" s="111">
        <v>46261.962244160073</v>
      </c>
      <c r="Q253" s="110">
        <v>25948.661517135381</v>
      </c>
      <c r="R253" s="258">
        <v>65857.544290159654</v>
      </c>
      <c r="S253" s="259">
        <v>72210.623761295457</v>
      </c>
      <c r="U253" s="7" t="s">
        <v>796</v>
      </c>
    </row>
    <row r="254" spans="1:21" s="65" customFormat="1" ht="16.5" thickBot="1">
      <c r="A254" s="41" t="s">
        <v>31</v>
      </c>
      <c r="B254" s="42">
        <f t="shared" si="12"/>
        <v>55</v>
      </c>
      <c r="C254" s="42" t="s">
        <v>3</v>
      </c>
      <c r="D254" s="42">
        <f t="shared" si="13"/>
        <v>300</v>
      </c>
      <c r="E254" s="42" t="s">
        <v>3</v>
      </c>
      <c r="F254" s="101">
        <f t="shared" si="14"/>
        <v>2500</v>
      </c>
      <c r="G254" s="42" t="s">
        <v>3</v>
      </c>
      <c r="H254" s="39">
        <v>4</v>
      </c>
      <c r="I254" s="40" t="s">
        <v>40</v>
      </c>
      <c r="J254" s="149">
        <v>55</v>
      </c>
      <c r="K254" s="104">
        <v>300</v>
      </c>
      <c r="L254" s="104">
        <v>2500</v>
      </c>
      <c r="M254" s="150">
        <v>20.997665927134285</v>
      </c>
      <c r="N254" s="66">
        <v>512.90606400000001</v>
      </c>
      <c r="O254" s="111">
        <v>40578.594341055723</v>
      </c>
      <c r="P254" s="111">
        <v>47052.247165607463</v>
      </c>
      <c r="Q254" s="110">
        <v>26476.537303009372</v>
      </c>
      <c r="R254" s="258">
        <v>67055.131644065099</v>
      </c>
      <c r="S254" s="259">
        <v>73528.784468616839</v>
      </c>
      <c r="U254" s="7" t="s">
        <v>797</v>
      </c>
    </row>
    <row r="255" spans="1:21" s="65" customFormat="1" ht="16.5" thickBot="1">
      <c r="A255" s="41" t="s">
        <v>31</v>
      </c>
      <c r="B255" s="42">
        <f t="shared" si="12"/>
        <v>55</v>
      </c>
      <c r="C255" s="42" t="s">
        <v>3</v>
      </c>
      <c r="D255" s="42">
        <f t="shared" si="13"/>
        <v>300</v>
      </c>
      <c r="E255" s="42" t="s">
        <v>3</v>
      </c>
      <c r="F255" s="101">
        <f t="shared" si="14"/>
        <v>2550</v>
      </c>
      <c r="G255" s="42" t="s">
        <v>3</v>
      </c>
      <c r="H255" s="39">
        <v>4</v>
      </c>
      <c r="I255" s="40" t="s">
        <v>40</v>
      </c>
      <c r="J255" s="149">
        <v>55</v>
      </c>
      <c r="K255" s="104">
        <v>300</v>
      </c>
      <c r="L255" s="104">
        <v>2550</v>
      </c>
      <c r="M255" s="150">
        <v>21.384815355620002</v>
      </c>
      <c r="N255" s="66">
        <v>524.834112</v>
      </c>
      <c r="O255" s="111">
        <v>41248.305909087183</v>
      </c>
      <c r="P255" s="111">
        <v>47842.532087054846</v>
      </c>
      <c r="Q255" s="110">
        <v>27004.413241912127</v>
      </c>
      <c r="R255" s="258">
        <v>68252.719150999314</v>
      </c>
      <c r="S255" s="259">
        <v>74846.945328966976</v>
      </c>
      <c r="U255" s="7" t="s">
        <v>798</v>
      </c>
    </row>
    <row r="256" spans="1:21" s="65" customFormat="1" ht="16.5" thickBot="1">
      <c r="A256" s="38" t="s">
        <v>31</v>
      </c>
      <c r="B256" s="39">
        <f t="shared" si="12"/>
        <v>55</v>
      </c>
      <c r="C256" s="39" t="s">
        <v>3</v>
      </c>
      <c r="D256" s="39">
        <f t="shared" si="13"/>
        <v>300</v>
      </c>
      <c r="E256" s="39" t="s">
        <v>3</v>
      </c>
      <c r="F256" s="101">
        <f t="shared" si="14"/>
        <v>2600</v>
      </c>
      <c r="G256" s="39" t="s">
        <v>3</v>
      </c>
      <c r="H256" s="39">
        <v>4</v>
      </c>
      <c r="I256" s="40" t="s">
        <v>40</v>
      </c>
      <c r="J256" s="149">
        <v>55</v>
      </c>
      <c r="K256" s="104">
        <v>300</v>
      </c>
      <c r="L256" s="104">
        <v>2600</v>
      </c>
      <c r="M256" s="150">
        <v>21.77196478410572</v>
      </c>
      <c r="N256" s="66">
        <v>536.76215999999999</v>
      </c>
      <c r="O256" s="111">
        <v>41918.017477118636</v>
      </c>
      <c r="P256" s="111">
        <v>48632.817008502236</v>
      </c>
      <c r="Q256" s="110">
        <v>27532.289027786119</v>
      </c>
      <c r="R256" s="258">
        <v>69450.306504904758</v>
      </c>
      <c r="S256" s="259">
        <v>76165.106036288358</v>
      </c>
      <c r="U256" s="7" t="s">
        <v>799</v>
      </c>
    </row>
    <row r="257" spans="1:21" s="65" customFormat="1" ht="16.5" thickBot="1">
      <c r="A257" s="41" t="s">
        <v>31</v>
      </c>
      <c r="B257" s="42">
        <f t="shared" si="12"/>
        <v>55</v>
      </c>
      <c r="C257" s="42" t="s">
        <v>3</v>
      </c>
      <c r="D257" s="42">
        <f t="shared" si="13"/>
        <v>300</v>
      </c>
      <c r="E257" s="42" t="s">
        <v>3</v>
      </c>
      <c r="F257" s="101">
        <f t="shared" si="14"/>
        <v>2650</v>
      </c>
      <c r="G257" s="42" t="s">
        <v>3</v>
      </c>
      <c r="H257" s="39">
        <v>4</v>
      </c>
      <c r="I257" s="40" t="s">
        <v>40</v>
      </c>
      <c r="J257" s="149">
        <v>55</v>
      </c>
      <c r="K257" s="104">
        <v>300</v>
      </c>
      <c r="L257" s="104">
        <v>2650</v>
      </c>
      <c r="M257" s="150">
        <v>22.159114212591426</v>
      </c>
      <c r="N257" s="66">
        <v>548.69020799999998</v>
      </c>
      <c r="O257" s="111">
        <v>42587.729045150081</v>
      </c>
      <c r="P257" s="111">
        <v>49423.101929949626</v>
      </c>
      <c r="Q257" s="110">
        <v>28060.164966688873</v>
      </c>
      <c r="R257" s="258">
        <v>70647.894011838958</v>
      </c>
      <c r="S257" s="259">
        <v>77483.266896638495</v>
      </c>
      <c r="U257" s="7" t="s">
        <v>800</v>
      </c>
    </row>
    <row r="258" spans="1:21" s="65" customFormat="1" ht="16.5" thickBot="1">
      <c r="A258" s="41" t="s">
        <v>31</v>
      </c>
      <c r="B258" s="42">
        <f t="shared" si="12"/>
        <v>55</v>
      </c>
      <c r="C258" s="42" t="s">
        <v>3</v>
      </c>
      <c r="D258" s="42">
        <f t="shared" si="13"/>
        <v>300</v>
      </c>
      <c r="E258" s="42" t="s">
        <v>3</v>
      </c>
      <c r="F258" s="101">
        <f t="shared" si="14"/>
        <v>2700</v>
      </c>
      <c r="G258" s="42" t="s">
        <v>3</v>
      </c>
      <c r="H258" s="39">
        <v>4</v>
      </c>
      <c r="I258" s="40" t="s">
        <v>40</v>
      </c>
      <c r="J258" s="149">
        <v>55</v>
      </c>
      <c r="K258" s="104">
        <v>300</v>
      </c>
      <c r="L258" s="104">
        <v>2700</v>
      </c>
      <c r="M258" s="150">
        <v>22.681863641077143</v>
      </c>
      <c r="N258" s="66">
        <v>560.61825599999997</v>
      </c>
      <c r="O258" s="111">
        <v>43337.334023906762</v>
      </c>
      <c r="P258" s="111">
        <v>50290.845115382792</v>
      </c>
      <c r="Q258" s="110">
        <v>28588.040752562865</v>
      </c>
      <c r="R258" s="258">
        <v>71925.374776469631</v>
      </c>
      <c r="S258" s="259">
        <v>78878.885867945661</v>
      </c>
      <c r="U258" s="7" t="s">
        <v>801</v>
      </c>
    </row>
    <row r="259" spans="1:21" s="65" customFormat="1" ht="16.5" thickBot="1">
      <c r="A259" s="41" t="s">
        <v>31</v>
      </c>
      <c r="B259" s="42">
        <f t="shared" si="12"/>
        <v>55</v>
      </c>
      <c r="C259" s="42" t="s">
        <v>3</v>
      </c>
      <c r="D259" s="42">
        <f t="shared" si="13"/>
        <v>300</v>
      </c>
      <c r="E259" s="42" t="s">
        <v>3</v>
      </c>
      <c r="F259" s="101">
        <f t="shared" si="14"/>
        <v>2750</v>
      </c>
      <c r="G259" s="42" t="s">
        <v>3</v>
      </c>
      <c r="H259" s="39">
        <v>4</v>
      </c>
      <c r="I259" s="40" t="s">
        <v>40</v>
      </c>
      <c r="J259" s="149">
        <v>55</v>
      </c>
      <c r="K259" s="104">
        <v>300</v>
      </c>
      <c r="L259" s="104">
        <v>2750</v>
      </c>
      <c r="M259" s="150">
        <v>23.06901306956286</v>
      </c>
      <c r="N259" s="66">
        <v>572.54630399999996</v>
      </c>
      <c r="O259" s="111">
        <v>44007.045591938215</v>
      </c>
      <c r="P259" s="111">
        <v>51081.130036830189</v>
      </c>
      <c r="Q259" s="110">
        <v>29115.916691465467</v>
      </c>
      <c r="R259" s="258">
        <v>73122.962283403685</v>
      </c>
      <c r="S259" s="259">
        <v>80197.046728295652</v>
      </c>
      <c r="U259" s="7" t="s">
        <v>802</v>
      </c>
    </row>
    <row r="260" spans="1:21" s="65" customFormat="1" ht="16.5" thickBot="1">
      <c r="A260" s="41" t="s">
        <v>31</v>
      </c>
      <c r="B260" s="42">
        <f t="shared" si="12"/>
        <v>55</v>
      </c>
      <c r="C260" s="42" t="s">
        <v>3</v>
      </c>
      <c r="D260" s="42">
        <f t="shared" si="13"/>
        <v>300</v>
      </c>
      <c r="E260" s="42" t="s">
        <v>3</v>
      </c>
      <c r="F260" s="101">
        <f t="shared" si="14"/>
        <v>2800</v>
      </c>
      <c r="G260" s="42" t="s">
        <v>3</v>
      </c>
      <c r="H260" s="39">
        <v>4</v>
      </c>
      <c r="I260" s="40" t="s">
        <v>40</v>
      </c>
      <c r="J260" s="149">
        <v>55</v>
      </c>
      <c r="K260" s="104">
        <v>300</v>
      </c>
      <c r="L260" s="104">
        <v>2800</v>
      </c>
      <c r="M260" s="150">
        <v>23.456162498048574</v>
      </c>
      <c r="N260" s="66">
        <v>584.47435200000007</v>
      </c>
      <c r="O260" s="111">
        <v>44676.75731299843</v>
      </c>
      <c r="P260" s="111">
        <v>51871.414958277564</v>
      </c>
      <c r="Q260" s="110">
        <v>29643.792630368374</v>
      </c>
      <c r="R260" s="258">
        <v>74320.549943366801</v>
      </c>
      <c r="S260" s="259">
        <v>81515.207588645935</v>
      </c>
      <c r="U260" s="7" t="s">
        <v>803</v>
      </c>
    </row>
    <row r="261" spans="1:21" s="65" customFormat="1" ht="16.5" thickBot="1">
      <c r="A261" s="41" t="s">
        <v>31</v>
      </c>
      <c r="B261" s="42">
        <f t="shared" si="12"/>
        <v>55</v>
      </c>
      <c r="C261" s="42" t="s">
        <v>3</v>
      </c>
      <c r="D261" s="42">
        <f t="shared" si="13"/>
        <v>300</v>
      </c>
      <c r="E261" s="42" t="s">
        <v>3</v>
      </c>
      <c r="F261" s="101">
        <f t="shared" si="14"/>
        <v>2850</v>
      </c>
      <c r="G261" s="42" t="s">
        <v>3</v>
      </c>
      <c r="H261" s="39">
        <v>4</v>
      </c>
      <c r="I261" s="40" t="s">
        <v>40</v>
      </c>
      <c r="J261" s="149">
        <v>55</v>
      </c>
      <c r="K261" s="104">
        <v>300</v>
      </c>
      <c r="L261" s="104">
        <v>2850</v>
      </c>
      <c r="M261" s="150">
        <v>23.843311926534287</v>
      </c>
      <c r="N261" s="66">
        <v>596.40239999999994</v>
      </c>
      <c r="O261" s="111">
        <v>45346.46888102989</v>
      </c>
      <c r="P261" s="111">
        <v>52661.699879724962</v>
      </c>
      <c r="Q261" s="110">
        <v>30171.668416242363</v>
      </c>
      <c r="R261" s="258">
        <v>75518.137297272246</v>
      </c>
      <c r="S261" s="259">
        <v>82833.368295967317</v>
      </c>
      <c r="U261" s="7" t="s">
        <v>804</v>
      </c>
    </row>
    <row r="262" spans="1:21" s="65" customFormat="1" ht="16.5" thickBot="1">
      <c r="A262" s="41" t="s">
        <v>31</v>
      </c>
      <c r="B262" s="42">
        <f t="shared" si="12"/>
        <v>55</v>
      </c>
      <c r="C262" s="42" t="s">
        <v>3</v>
      </c>
      <c r="D262" s="42">
        <f t="shared" si="13"/>
        <v>300</v>
      </c>
      <c r="E262" s="42" t="s">
        <v>3</v>
      </c>
      <c r="F262" s="101">
        <f t="shared" si="14"/>
        <v>2900</v>
      </c>
      <c r="G262" s="42" t="s">
        <v>3</v>
      </c>
      <c r="H262" s="39">
        <v>4</v>
      </c>
      <c r="I262" s="40" t="s">
        <v>40</v>
      </c>
      <c r="J262" s="149">
        <v>55</v>
      </c>
      <c r="K262" s="104">
        <v>300</v>
      </c>
      <c r="L262" s="104">
        <v>2900</v>
      </c>
      <c r="M262" s="150">
        <v>24.230461355020001</v>
      </c>
      <c r="N262" s="66">
        <v>608.33044799999993</v>
      </c>
      <c r="O262" s="111">
        <v>46016.180449061336</v>
      </c>
      <c r="P262" s="111">
        <v>53451.984801172337</v>
      </c>
      <c r="Q262" s="110">
        <v>30699.544355145121</v>
      </c>
      <c r="R262" s="258">
        <v>76715.72480420646</v>
      </c>
      <c r="S262" s="259">
        <v>84151.529156317454</v>
      </c>
      <c r="U262" s="7" t="s">
        <v>805</v>
      </c>
    </row>
    <row r="263" spans="1:21" s="65" customFormat="1" ht="16.5" thickBot="1">
      <c r="A263" s="41" t="s">
        <v>31</v>
      </c>
      <c r="B263" s="42">
        <f t="shared" si="12"/>
        <v>55</v>
      </c>
      <c r="C263" s="42" t="s">
        <v>3</v>
      </c>
      <c r="D263" s="42">
        <f t="shared" si="13"/>
        <v>300</v>
      </c>
      <c r="E263" s="42" t="s">
        <v>3</v>
      </c>
      <c r="F263" s="101">
        <f t="shared" si="14"/>
        <v>2950</v>
      </c>
      <c r="G263" s="42" t="s">
        <v>3</v>
      </c>
      <c r="H263" s="39">
        <v>4</v>
      </c>
      <c r="I263" s="40" t="s">
        <v>40</v>
      </c>
      <c r="J263" s="149">
        <v>55</v>
      </c>
      <c r="K263" s="104">
        <v>300</v>
      </c>
      <c r="L263" s="104">
        <v>2950</v>
      </c>
      <c r="M263" s="150">
        <v>24.617610783505718</v>
      </c>
      <c r="N263" s="66">
        <v>620.25849600000004</v>
      </c>
      <c r="O263" s="111">
        <v>46685.892017092789</v>
      </c>
      <c r="P263" s="111">
        <v>54242.269722619734</v>
      </c>
      <c r="Q263" s="110">
        <v>31227.420141019105</v>
      </c>
      <c r="R263" s="258">
        <v>77913.31215811189</v>
      </c>
      <c r="S263" s="259">
        <v>85469.689863638836</v>
      </c>
      <c r="U263" s="7" t="s">
        <v>806</v>
      </c>
    </row>
    <row r="264" spans="1:21" s="65" customFormat="1" ht="16.5" thickBot="1">
      <c r="A264" s="41" t="s">
        <v>31</v>
      </c>
      <c r="B264" s="42">
        <f t="shared" si="12"/>
        <v>55</v>
      </c>
      <c r="C264" s="42" t="s">
        <v>3</v>
      </c>
      <c r="D264" s="42">
        <f t="shared" si="13"/>
        <v>300</v>
      </c>
      <c r="E264" s="42" t="s">
        <v>3</v>
      </c>
      <c r="F264" s="101">
        <f t="shared" si="14"/>
        <v>3000</v>
      </c>
      <c r="G264" s="42" t="s">
        <v>3</v>
      </c>
      <c r="H264" s="39">
        <v>4</v>
      </c>
      <c r="I264" s="40" t="s">
        <v>40</v>
      </c>
      <c r="J264" s="151">
        <v>55</v>
      </c>
      <c r="K264" s="134">
        <v>300</v>
      </c>
      <c r="L264" s="134">
        <v>3000</v>
      </c>
      <c r="M264" s="152">
        <v>25.004760211991432</v>
      </c>
      <c r="N264" s="126">
        <v>632.18654399999991</v>
      </c>
      <c r="O264" s="135">
        <v>47355.603585124241</v>
      </c>
      <c r="P264" s="135">
        <v>55032.554644067117</v>
      </c>
      <c r="Q264" s="136">
        <v>31755.296079921864</v>
      </c>
      <c r="R264" s="260">
        <v>79110.899665046105</v>
      </c>
      <c r="S264" s="261">
        <v>86787.850723988988</v>
      </c>
      <c r="U264" s="7" t="s">
        <v>807</v>
      </c>
    </row>
  </sheetData>
  <mergeCells count="22">
    <mergeCell ref="R4:R5"/>
    <mergeCell ref="S4:S5"/>
    <mergeCell ref="A7:S7"/>
    <mergeCell ref="A8:S8"/>
    <mergeCell ref="A9:S9"/>
    <mergeCell ref="O6:S6"/>
    <mergeCell ref="J4:M5"/>
    <mergeCell ref="A4:I6"/>
    <mergeCell ref="N4:N6"/>
    <mergeCell ref="O4:O5"/>
    <mergeCell ref="P4:P5"/>
    <mergeCell ref="Q4:Q5"/>
    <mergeCell ref="A215:S215"/>
    <mergeCell ref="A165:S165"/>
    <mergeCell ref="A61:S61"/>
    <mergeCell ref="A163:S163"/>
    <mergeCell ref="A59:S59"/>
    <mergeCell ref="A60:S60"/>
    <mergeCell ref="A112:S112"/>
    <mergeCell ref="A164:S164"/>
    <mergeCell ref="A111:S111"/>
    <mergeCell ref="A113:S113"/>
  </mergeCells>
  <hyperlinks>
    <hyperlink ref="A1:I1" location="Главная!A1" display="Вернуться на главную страницу" xr:uid="{00000000-0004-0000-0F00-000000000000}"/>
    <hyperlink ref="A2" location="'Калькулятор теплоотдач ВК'!R1C1" display="Вернуться Калькулятор теплоотдач ВК" xr:uid="{00000000-0004-0000-0F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8">
    <tabColor rgb="FFFFC000"/>
  </sheetPr>
  <dimension ref="A1:U264"/>
  <sheetViews>
    <sheetView zoomScale="70" zoomScaleNormal="70" workbookViewId="0">
      <pane ySplit="6" topLeftCell="A7" activePane="bottomLeft" state="frozen"/>
      <selection pane="bottomLeft"/>
    </sheetView>
  </sheetViews>
  <sheetFormatPr defaultRowHeight="15"/>
  <cols>
    <col min="1" max="1" width="3.7109375" style="65" customWidth="1"/>
    <col min="2" max="2" width="6" style="65" customWidth="1"/>
    <col min="3" max="3" width="3" style="65" customWidth="1"/>
    <col min="4" max="4" width="6" style="65" customWidth="1"/>
    <col min="5" max="5" width="3" style="65" customWidth="1"/>
    <col min="6" max="6" width="7.7109375" style="65" customWidth="1"/>
    <col min="7" max="7" width="3" style="65" customWidth="1"/>
    <col min="8" max="8" width="6" style="65" customWidth="1"/>
    <col min="9" max="9" width="4.5703125" style="65" customWidth="1"/>
    <col min="10" max="12" width="11.28515625" style="65" customWidth="1"/>
    <col min="13" max="13" width="15.5703125" style="65" customWidth="1"/>
    <col min="14" max="14" width="19.140625" style="65" customWidth="1"/>
    <col min="15" max="16" width="27.7109375" style="65" customWidth="1"/>
    <col min="17" max="17" width="26.28515625" style="65" customWidth="1"/>
    <col min="18" max="19" width="27.7109375" style="65" customWidth="1"/>
    <col min="21" max="21" width="22.42578125" customWidth="1"/>
  </cols>
  <sheetData>
    <row r="1" spans="1:21" s="65" customFormat="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s="65" customFormat="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137</v>
      </c>
      <c r="P4" s="3008" t="s">
        <v>138</v>
      </c>
      <c r="Q4" s="3045" t="s">
        <v>123</v>
      </c>
      <c r="R4" s="3020" t="s">
        <v>139</v>
      </c>
      <c r="S4" s="2981" t="s">
        <v>140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s="65" customFormat="1" ht="22.5" customHeight="1" thickBot="1">
      <c r="A7" s="2968" t="s">
        <v>472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s="65" customFormat="1" ht="22.5" customHeight="1" thickBot="1">
      <c r="A8" s="2971" t="s">
        <v>62</v>
      </c>
      <c r="B8" s="2972"/>
      <c r="C8" s="2972"/>
      <c r="D8" s="2972"/>
      <c r="E8" s="2972"/>
      <c r="F8" s="2972"/>
      <c r="G8" s="2972"/>
      <c r="H8" s="2972"/>
      <c r="I8" s="2972"/>
      <c r="J8" s="2972"/>
      <c r="K8" s="2972"/>
      <c r="L8" s="2972"/>
      <c r="M8" s="2972"/>
      <c r="N8" s="2972"/>
      <c r="O8" s="2972"/>
      <c r="P8" s="2972"/>
      <c r="Q8" s="2972"/>
      <c r="R8" s="2972"/>
      <c r="S8" s="2973"/>
    </row>
    <row r="9" spans="1:21" s="65" customFormat="1" ht="16.5" customHeight="1" thickBot="1">
      <c r="A9" s="2974" t="s">
        <v>112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5"/>
      <c r="R9" s="3022"/>
      <c r="S9" s="3023"/>
    </row>
    <row r="10" spans="1:21" s="65" customFormat="1" ht="16.5" customHeight="1" thickBot="1">
      <c r="A10" s="38" t="s">
        <v>31</v>
      </c>
      <c r="B10" s="39">
        <f>J10</f>
        <v>65</v>
      </c>
      <c r="C10" s="39" t="s">
        <v>3</v>
      </c>
      <c r="D10" s="39">
        <f>K10</f>
        <v>160</v>
      </c>
      <c r="E10" s="39" t="s">
        <v>3</v>
      </c>
      <c r="F10" s="101">
        <f>L10</f>
        <v>600</v>
      </c>
      <c r="G10" s="39" t="s">
        <v>3</v>
      </c>
      <c r="H10" s="39">
        <v>2</v>
      </c>
      <c r="I10" s="40" t="s">
        <v>40</v>
      </c>
      <c r="J10" s="146">
        <v>65</v>
      </c>
      <c r="K10" s="138">
        <v>160</v>
      </c>
      <c r="L10" s="138">
        <v>600</v>
      </c>
      <c r="M10" s="147">
        <v>3.6502647342121435</v>
      </c>
      <c r="N10" s="123">
        <v>45.595844999999997</v>
      </c>
      <c r="O10" s="153">
        <v>10311.084621330638</v>
      </c>
      <c r="P10" s="148">
        <v>11916.463487627476</v>
      </c>
      <c r="Q10" s="253">
        <v>3990.9684643753531</v>
      </c>
      <c r="R10" s="256">
        <v>14302.053085705991</v>
      </c>
      <c r="S10" s="257">
        <v>15907.431952002829</v>
      </c>
      <c r="U10" s="7" t="s">
        <v>808</v>
      </c>
    </row>
    <row r="11" spans="1:21" s="65" customFormat="1" ht="16.5" customHeight="1" thickBot="1">
      <c r="A11" s="41" t="s">
        <v>31</v>
      </c>
      <c r="B11" s="42">
        <f t="shared" ref="B11:B58" si="0">J11</f>
        <v>65</v>
      </c>
      <c r="C11" s="42" t="s">
        <v>3</v>
      </c>
      <c r="D11" s="42">
        <f t="shared" ref="D11:D58" si="1">K11</f>
        <v>160</v>
      </c>
      <c r="E11" s="42" t="s">
        <v>3</v>
      </c>
      <c r="F11" s="101">
        <f t="shared" ref="F11:F58" si="2">L11</f>
        <v>650</v>
      </c>
      <c r="G11" s="42" t="s">
        <v>3</v>
      </c>
      <c r="H11" s="39">
        <v>2</v>
      </c>
      <c r="I11" s="40" t="s">
        <v>40</v>
      </c>
      <c r="J11" s="149">
        <v>65</v>
      </c>
      <c r="K11" s="104">
        <v>160</v>
      </c>
      <c r="L11" s="104">
        <v>650</v>
      </c>
      <c r="M11" s="150">
        <v>3.9212046658778572</v>
      </c>
      <c r="N11" s="78">
        <v>54.715013999999996</v>
      </c>
      <c r="O11" s="109">
        <v>10738.36189850046</v>
      </c>
      <c r="P11" s="111">
        <v>12440.099764592442</v>
      </c>
      <c r="Q11" s="254">
        <v>4319.749235958765</v>
      </c>
      <c r="R11" s="258">
        <v>15058.111134459225</v>
      </c>
      <c r="S11" s="259">
        <v>16759.849000551207</v>
      </c>
      <c r="U11" s="7" t="s">
        <v>809</v>
      </c>
    </row>
    <row r="12" spans="1:21" s="65" customFormat="1" ht="16.5" customHeight="1" thickBot="1">
      <c r="A12" s="41" t="s">
        <v>31</v>
      </c>
      <c r="B12" s="42">
        <f t="shared" si="0"/>
        <v>65</v>
      </c>
      <c r="C12" s="42" t="s">
        <v>3</v>
      </c>
      <c r="D12" s="42">
        <f t="shared" si="1"/>
        <v>160</v>
      </c>
      <c r="E12" s="42" t="s">
        <v>3</v>
      </c>
      <c r="F12" s="101">
        <f t="shared" si="2"/>
        <v>700</v>
      </c>
      <c r="G12" s="42" t="s">
        <v>3</v>
      </c>
      <c r="H12" s="39">
        <v>2</v>
      </c>
      <c r="I12" s="40" t="s">
        <v>40</v>
      </c>
      <c r="J12" s="149">
        <v>65</v>
      </c>
      <c r="K12" s="104">
        <v>160</v>
      </c>
      <c r="L12" s="104">
        <v>700</v>
      </c>
      <c r="M12" s="150">
        <v>4.1921445975435709</v>
      </c>
      <c r="N12" s="78">
        <v>63.834182999999989</v>
      </c>
      <c r="O12" s="109">
        <v>11165.639022641517</v>
      </c>
      <c r="P12" s="111">
        <v>12963.736194586174</v>
      </c>
      <c r="Q12" s="254">
        <v>4648.5300075421756</v>
      </c>
      <c r="R12" s="258">
        <v>15814.169030183693</v>
      </c>
      <c r="S12" s="259">
        <v>17612.26620212835</v>
      </c>
      <c r="U12" s="7" t="s">
        <v>810</v>
      </c>
    </row>
    <row r="13" spans="1:21" s="65" customFormat="1" ht="16.5" customHeight="1" thickBot="1">
      <c r="A13" s="41" t="s">
        <v>31</v>
      </c>
      <c r="B13" s="42">
        <f t="shared" si="0"/>
        <v>65</v>
      </c>
      <c r="C13" s="42" t="s">
        <v>3</v>
      </c>
      <c r="D13" s="42">
        <f t="shared" si="1"/>
        <v>160</v>
      </c>
      <c r="E13" s="42" t="s">
        <v>3</v>
      </c>
      <c r="F13" s="101">
        <f t="shared" si="2"/>
        <v>750</v>
      </c>
      <c r="G13" s="42" t="s">
        <v>3</v>
      </c>
      <c r="H13" s="39">
        <v>2</v>
      </c>
      <c r="I13" s="40" t="s">
        <v>40</v>
      </c>
      <c r="J13" s="149">
        <v>65</v>
      </c>
      <c r="K13" s="104">
        <v>160</v>
      </c>
      <c r="L13" s="104">
        <v>750</v>
      </c>
      <c r="M13" s="150">
        <v>4.4630845292092856</v>
      </c>
      <c r="N13" s="78">
        <v>72.953351999999995</v>
      </c>
      <c r="O13" s="109">
        <v>11592.916146782574</v>
      </c>
      <c r="P13" s="111">
        <v>13487.372624579906</v>
      </c>
      <c r="Q13" s="254">
        <v>4977.3109321543525</v>
      </c>
      <c r="R13" s="258">
        <v>16570.227078936929</v>
      </c>
      <c r="S13" s="259">
        <v>18464.683556734257</v>
      </c>
      <c r="U13" s="7" t="s">
        <v>811</v>
      </c>
    </row>
    <row r="14" spans="1:21" s="65" customFormat="1" ht="16.5" customHeight="1" thickBot="1">
      <c r="A14" s="41" t="s">
        <v>31</v>
      </c>
      <c r="B14" s="42">
        <f t="shared" si="0"/>
        <v>65</v>
      </c>
      <c r="C14" s="42" t="s">
        <v>3</v>
      </c>
      <c r="D14" s="42">
        <f t="shared" si="1"/>
        <v>160</v>
      </c>
      <c r="E14" s="42" t="s">
        <v>3</v>
      </c>
      <c r="F14" s="101">
        <f t="shared" si="2"/>
        <v>800</v>
      </c>
      <c r="G14" s="42" t="s">
        <v>3</v>
      </c>
      <c r="H14" s="39">
        <v>2</v>
      </c>
      <c r="I14" s="40" t="s">
        <v>40</v>
      </c>
      <c r="J14" s="149">
        <v>65</v>
      </c>
      <c r="K14" s="104">
        <v>160</v>
      </c>
      <c r="L14" s="104">
        <v>800</v>
      </c>
      <c r="M14" s="150">
        <v>4.7340244608750002</v>
      </c>
      <c r="N14" s="78">
        <v>82.072520999999995</v>
      </c>
      <c r="O14" s="109">
        <v>12020.193423952396</v>
      </c>
      <c r="P14" s="111">
        <v>14011.00905457364</v>
      </c>
      <c r="Q14" s="254">
        <v>5306.0917037377631</v>
      </c>
      <c r="R14" s="258">
        <v>17326.28512769016</v>
      </c>
      <c r="S14" s="259">
        <v>19317.100758311404</v>
      </c>
      <c r="U14" s="7" t="s">
        <v>812</v>
      </c>
    </row>
    <row r="15" spans="1:21" s="65" customFormat="1" ht="16.5" customHeight="1" thickBot="1">
      <c r="A15" s="41" t="s">
        <v>31</v>
      </c>
      <c r="B15" s="42">
        <f t="shared" si="0"/>
        <v>65</v>
      </c>
      <c r="C15" s="42" t="s">
        <v>3</v>
      </c>
      <c r="D15" s="42">
        <f t="shared" si="1"/>
        <v>160</v>
      </c>
      <c r="E15" s="42" t="s">
        <v>3</v>
      </c>
      <c r="F15" s="101">
        <f t="shared" si="2"/>
        <v>850</v>
      </c>
      <c r="G15" s="42" t="s">
        <v>3</v>
      </c>
      <c r="H15" s="39">
        <v>2</v>
      </c>
      <c r="I15" s="40" t="s">
        <v>40</v>
      </c>
      <c r="J15" s="149">
        <v>65</v>
      </c>
      <c r="K15" s="104">
        <v>160</v>
      </c>
      <c r="L15" s="104">
        <v>850</v>
      </c>
      <c r="M15" s="150">
        <v>5.0049643925407139</v>
      </c>
      <c r="N15" s="78">
        <v>91.191689999999994</v>
      </c>
      <c r="O15" s="109">
        <v>12447.470548093454</v>
      </c>
      <c r="P15" s="111">
        <v>14534.645484567371</v>
      </c>
      <c r="Q15" s="254">
        <v>5634.8724753211745</v>
      </c>
      <c r="R15" s="258">
        <v>18082.343023414629</v>
      </c>
      <c r="S15" s="259">
        <v>20169.517959888544</v>
      </c>
      <c r="U15" s="7" t="s">
        <v>813</v>
      </c>
    </row>
    <row r="16" spans="1:21" s="65" customFormat="1" ht="16.5" customHeight="1" thickBot="1">
      <c r="A16" s="41" t="s">
        <v>31</v>
      </c>
      <c r="B16" s="42">
        <f t="shared" si="0"/>
        <v>65</v>
      </c>
      <c r="C16" s="42" t="s">
        <v>3</v>
      </c>
      <c r="D16" s="42">
        <f t="shared" si="1"/>
        <v>160</v>
      </c>
      <c r="E16" s="42" t="s">
        <v>3</v>
      </c>
      <c r="F16" s="101">
        <f t="shared" si="2"/>
        <v>900</v>
      </c>
      <c r="G16" s="42" t="s">
        <v>3</v>
      </c>
      <c r="H16" s="39">
        <v>2</v>
      </c>
      <c r="I16" s="40" t="s">
        <v>40</v>
      </c>
      <c r="J16" s="149">
        <v>65</v>
      </c>
      <c r="K16" s="104">
        <v>160</v>
      </c>
      <c r="L16" s="104">
        <v>900</v>
      </c>
      <c r="M16" s="150">
        <v>5.2759043242064294</v>
      </c>
      <c r="N16" s="78">
        <v>100.31085900000001</v>
      </c>
      <c r="O16" s="109">
        <v>12874.747672234511</v>
      </c>
      <c r="P16" s="111">
        <v>15058.281914561105</v>
      </c>
      <c r="Q16" s="254">
        <v>5963.6533999333515</v>
      </c>
      <c r="R16" s="258">
        <v>18838.401072167864</v>
      </c>
      <c r="S16" s="259">
        <v>21021.935314494454</v>
      </c>
      <c r="U16" s="7" t="s">
        <v>814</v>
      </c>
    </row>
    <row r="17" spans="1:21" s="65" customFormat="1" ht="16.5" customHeight="1" thickBot="1">
      <c r="A17" s="41" t="s">
        <v>31</v>
      </c>
      <c r="B17" s="42">
        <f t="shared" si="0"/>
        <v>65</v>
      </c>
      <c r="C17" s="42" t="s">
        <v>3</v>
      </c>
      <c r="D17" s="42">
        <f t="shared" si="1"/>
        <v>160</v>
      </c>
      <c r="E17" s="42" t="s">
        <v>3</v>
      </c>
      <c r="F17" s="101">
        <f t="shared" si="2"/>
        <v>950</v>
      </c>
      <c r="G17" s="42" t="s">
        <v>3</v>
      </c>
      <c r="H17" s="39">
        <v>2</v>
      </c>
      <c r="I17" s="40" t="s">
        <v>40</v>
      </c>
      <c r="J17" s="149">
        <v>65</v>
      </c>
      <c r="K17" s="104">
        <v>160</v>
      </c>
      <c r="L17" s="104">
        <v>950</v>
      </c>
      <c r="M17" s="150">
        <v>5.5468442558721422</v>
      </c>
      <c r="N17" s="78">
        <v>109.43002799999999</v>
      </c>
      <c r="O17" s="109">
        <v>13302.024796375566</v>
      </c>
      <c r="P17" s="111">
        <v>15581.918344554835</v>
      </c>
      <c r="Q17" s="254">
        <v>6292.4341715167629</v>
      </c>
      <c r="R17" s="258">
        <v>19594.458967892329</v>
      </c>
      <c r="S17" s="259">
        <v>21874.352516071598</v>
      </c>
      <c r="U17" s="7" t="s">
        <v>815</v>
      </c>
    </row>
    <row r="18" spans="1:21" s="65" customFormat="1" ht="16.5" customHeight="1" thickBot="1">
      <c r="A18" s="41" t="s">
        <v>31</v>
      </c>
      <c r="B18" s="42">
        <f t="shared" si="0"/>
        <v>65</v>
      </c>
      <c r="C18" s="42" t="s">
        <v>3</v>
      </c>
      <c r="D18" s="42">
        <f t="shared" si="1"/>
        <v>160</v>
      </c>
      <c r="E18" s="42" t="s">
        <v>3</v>
      </c>
      <c r="F18" s="101">
        <f t="shared" si="2"/>
        <v>1000</v>
      </c>
      <c r="G18" s="42" t="s">
        <v>3</v>
      </c>
      <c r="H18" s="39">
        <v>2</v>
      </c>
      <c r="I18" s="40" t="s">
        <v>40</v>
      </c>
      <c r="J18" s="149">
        <v>65</v>
      </c>
      <c r="K18" s="104">
        <v>160</v>
      </c>
      <c r="L18" s="104">
        <v>1000</v>
      </c>
      <c r="M18" s="150">
        <v>5.8177841875378586</v>
      </c>
      <c r="N18" s="78">
        <v>118.54919699999999</v>
      </c>
      <c r="O18" s="109">
        <v>13729.302073545388</v>
      </c>
      <c r="P18" s="111">
        <v>16105.554621519803</v>
      </c>
      <c r="Q18" s="254">
        <v>6621.2149431001744</v>
      </c>
      <c r="R18" s="258">
        <v>20350.517016645565</v>
      </c>
      <c r="S18" s="259">
        <v>22726.769564619979</v>
      </c>
      <c r="U18" s="7" t="s">
        <v>816</v>
      </c>
    </row>
    <row r="19" spans="1:21" s="65" customFormat="1" ht="16.5" customHeight="1" thickBot="1">
      <c r="A19" s="41" t="s">
        <v>31</v>
      </c>
      <c r="B19" s="42">
        <f t="shared" si="0"/>
        <v>65</v>
      </c>
      <c r="C19" s="42" t="s">
        <v>3</v>
      </c>
      <c r="D19" s="42">
        <f t="shared" si="1"/>
        <v>160</v>
      </c>
      <c r="E19" s="42" t="s">
        <v>3</v>
      </c>
      <c r="F19" s="101">
        <f t="shared" si="2"/>
        <v>1050</v>
      </c>
      <c r="G19" s="42" t="s">
        <v>3</v>
      </c>
      <c r="H19" s="39">
        <v>2</v>
      </c>
      <c r="I19" s="40" t="s">
        <v>40</v>
      </c>
      <c r="J19" s="149">
        <v>65</v>
      </c>
      <c r="K19" s="104">
        <v>160</v>
      </c>
      <c r="L19" s="104">
        <v>1050</v>
      </c>
      <c r="M19" s="150">
        <v>6.0887241192035715</v>
      </c>
      <c r="N19" s="78">
        <v>127.66836599999998</v>
      </c>
      <c r="O19" s="109">
        <v>14156.579197686448</v>
      </c>
      <c r="P19" s="111">
        <v>16629.191051513535</v>
      </c>
      <c r="Q19" s="254">
        <v>6949.9958677123495</v>
      </c>
      <c r="R19" s="258">
        <v>21106.575065398796</v>
      </c>
      <c r="S19" s="259">
        <v>23579.186919225886</v>
      </c>
      <c r="U19" s="7" t="s">
        <v>817</v>
      </c>
    </row>
    <row r="20" spans="1:21" s="65" customFormat="1" ht="16.5" customHeight="1" thickBot="1">
      <c r="A20" s="38" t="s">
        <v>31</v>
      </c>
      <c r="B20" s="39">
        <f t="shared" si="0"/>
        <v>65</v>
      </c>
      <c r="C20" s="39" t="s">
        <v>3</v>
      </c>
      <c r="D20" s="39">
        <f t="shared" si="1"/>
        <v>160</v>
      </c>
      <c r="E20" s="39" t="s">
        <v>3</v>
      </c>
      <c r="F20" s="101">
        <f t="shared" si="2"/>
        <v>1100</v>
      </c>
      <c r="G20" s="39" t="s">
        <v>3</v>
      </c>
      <c r="H20" s="39">
        <v>2</v>
      </c>
      <c r="I20" s="40" t="s">
        <v>40</v>
      </c>
      <c r="J20" s="149">
        <v>65</v>
      </c>
      <c r="K20" s="104">
        <v>160</v>
      </c>
      <c r="L20" s="104">
        <v>1100</v>
      </c>
      <c r="M20" s="150">
        <v>6.3596640508692861</v>
      </c>
      <c r="N20" s="78">
        <v>136.78753499999999</v>
      </c>
      <c r="O20" s="109">
        <v>14583.856321827503</v>
      </c>
      <c r="P20" s="111">
        <v>17152.827481507265</v>
      </c>
      <c r="Q20" s="254">
        <v>7278.776639295761</v>
      </c>
      <c r="R20" s="258">
        <v>21862.632961123265</v>
      </c>
      <c r="S20" s="259">
        <v>24431.604120803026</v>
      </c>
      <c r="U20" s="7" t="s">
        <v>818</v>
      </c>
    </row>
    <row r="21" spans="1:21" s="65" customFormat="1" ht="16.5" customHeight="1" thickBot="1">
      <c r="A21" s="41" t="s">
        <v>31</v>
      </c>
      <c r="B21" s="42">
        <f t="shared" si="0"/>
        <v>65</v>
      </c>
      <c r="C21" s="42" t="s">
        <v>3</v>
      </c>
      <c r="D21" s="42">
        <f t="shared" si="1"/>
        <v>160</v>
      </c>
      <c r="E21" s="42" t="s">
        <v>3</v>
      </c>
      <c r="F21" s="101">
        <f t="shared" si="2"/>
        <v>1150</v>
      </c>
      <c r="G21" s="42" t="s">
        <v>3</v>
      </c>
      <c r="H21" s="39">
        <v>2</v>
      </c>
      <c r="I21" s="40" t="s">
        <v>40</v>
      </c>
      <c r="J21" s="149">
        <v>65</v>
      </c>
      <c r="K21" s="104">
        <v>160</v>
      </c>
      <c r="L21" s="104">
        <v>1150</v>
      </c>
      <c r="M21" s="150">
        <v>6.6306039825350007</v>
      </c>
      <c r="N21" s="78">
        <v>145.90670399999999</v>
      </c>
      <c r="O21" s="109">
        <v>15011.133445968562</v>
      </c>
      <c r="P21" s="111">
        <v>17676.463911501</v>
      </c>
      <c r="Q21" s="254">
        <v>7607.5574108791734</v>
      </c>
      <c r="R21" s="258">
        <v>22618.690856847737</v>
      </c>
      <c r="S21" s="259">
        <v>25284.021322380173</v>
      </c>
      <c r="U21" s="7" t="s">
        <v>819</v>
      </c>
    </row>
    <row r="22" spans="1:21" s="65" customFormat="1" ht="16.5" customHeight="1" thickBot="1">
      <c r="A22" s="41" t="s">
        <v>31</v>
      </c>
      <c r="B22" s="42">
        <f t="shared" si="0"/>
        <v>65</v>
      </c>
      <c r="C22" s="42" t="s">
        <v>3</v>
      </c>
      <c r="D22" s="42">
        <f t="shared" si="1"/>
        <v>160</v>
      </c>
      <c r="E22" s="42" t="s">
        <v>3</v>
      </c>
      <c r="F22" s="101">
        <f t="shared" si="2"/>
        <v>1200</v>
      </c>
      <c r="G22" s="42" t="s">
        <v>3</v>
      </c>
      <c r="H22" s="39">
        <v>2</v>
      </c>
      <c r="I22" s="40" t="s">
        <v>40</v>
      </c>
      <c r="J22" s="149">
        <v>65</v>
      </c>
      <c r="K22" s="104">
        <v>160</v>
      </c>
      <c r="L22" s="104">
        <v>1200</v>
      </c>
      <c r="M22" s="150">
        <v>6.9407939142007145</v>
      </c>
      <c r="N22" s="78">
        <v>155.02587299999999</v>
      </c>
      <c r="O22" s="109">
        <v>15488.410882769031</v>
      </c>
      <c r="P22" s="111">
        <v>18248.576487653499</v>
      </c>
      <c r="Q22" s="254">
        <v>7936.3383354913503</v>
      </c>
      <c r="R22" s="258">
        <v>23424.749218260382</v>
      </c>
      <c r="S22" s="259">
        <v>26184.914823144849</v>
      </c>
      <c r="U22" s="7" t="s">
        <v>820</v>
      </c>
    </row>
    <row r="23" spans="1:21" s="65" customFormat="1" ht="16.5" customHeight="1" thickBot="1">
      <c r="A23" s="41" t="s">
        <v>31</v>
      </c>
      <c r="B23" s="42">
        <f t="shared" si="0"/>
        <v>65</v>
      </c>
      <c r="C23" s="42" t="s">
        <v>3</v>
      </c>
      <c r="D23" s="42">
        <f t="shared" si="1"/>
        <v>160</v>
      </c>
      <c r="E23" s="42" t="s">
        <v>3</v>
      </c>
      <c r="F23" s="101">
        <f t="shared" si="2"/>
        <v>1250</v>
      </c>
      <c r="G23" s="42" t="s">
        <v>3</v>
      </c>
      <c r="H23" s="39">
        <v>2</v>
      </c>
      <c r="I23" s="40" t="s">
        <v>40</v>
      </c>
      <c r="J23" s="149">
        <v>65</v>
      </c>
      <c r="K23" s="104">
        <v>160</v>
      </c>
      <c r="L23" s="104">
        <v>1250</v>
      </c>
      <c r="M23" s="150">
        <v>7.21173384586643</v>
      </c>
      <c r="N23" s="78">
        <v>164.14504199999999</v>
      </c>
      <c r="O23" s="109">
        <v>15915.688006910086</v>
      </c>
      <c r="P23" s="111">
        <v>18772.212917647234</v>
      </c>
      <c r="Q23" s="254">
        <v>8265.1191070747609</v>
      </c>
      <c r="R23" s="258">
        <v>24180.807113984847</v>
      </c>
      <c r="S23" s="259">
        <v>27037.332024721996</v>
      </c>
      <c r="U23" s="7" t="s">
        <v>821</v>
      </c>
    </row>
    <row r="24" spans="1:21" s="65" customFormat="1" ht="16.5" customHeight="1" thickBot="1">
      <c r="A24" s="41" t="s">
        <v>31</v>
      </c>
      <c r="B24" s="42">
        <f t="shared" si="0"/>
        <v>65</v>
      </c>
      <c r="C24" s="42" t="s">
        <v>3</v>
      </c>
      <c r="D24" s="42">
        <f t="shared" si="1"/>
        <v>160</v>
      </c>
      <c r="E24" s="42" t="s">
        <v>3</v>
      </c>
      <c r="F24" s="101">
        <f t="shared" si="2"/>
        <v>1300</v>
      </c>
      <c r="G24" s="42" t="s">
        <v>3</v>
      </c>
      <c r="H24" s="39">
        <v>2</v>
      </c>
      <c r="I24" s="40" t="s">
        <v>40</v>
      </c>
      <c r="J24" s="149">
        <v>65</v>
      </c>
      <c r="K24" s="104">
        <v>160</v>
      </c>
      <c r="L24" s="104">
        <v>1300</v>
      </c>
      <c r="M24" s="150">
        <v>7.4826737775321428</v>
      </c>
      <c r="N24" s="78">
        <v>173.26421099999999</v>
      </c>
      <c r="O24" s="109">
        <v>16342.965284079908</v>
      </c>
      <c r="P24" s="111">
        <v>19295.849347640964</v>
      </c>
      <c r="Q24" s="254">
        <v>8593.8998786581724</v>
      </c>
      <c r="R24" s="258">
        <v>24936.865162738082</v>
      </c>
      <c r="S24" s="259">
        <v>27889.749226299136</v>
      </c>
      <c r="U24" s="7" t="s">
        <v>822</v>
      </c>
    </row>
    <row r="25" spans="1:21" s="65" customFormat="1" ht="16.5" customHeight="1" thickBot="1">
      <c r="A25" s="41" t="s">
        <v>31</v>
      </c>
      <c r="B25" s="42">
        <f t="shared" si="0"/>
        <v>65</v>
      </c>
      <c r="C25" s="42" t="s">
        <v>3</v>
      </c>
      <c r="D25" s="42">
        <f t="shared" si="1"/>
        <v>160</v>
      </c>
      <c r="E25" s="42" t="s">
        <v>3</v>
      </c>
      <c r="F25" s="101">
        <f t="shared" si="2"/>
        <v>1350</v>
      </c>
      <c r="G25" s="42" t="s">
        <v>3</v>
      </c>
      <c r="H25" s="39">
        <v>2</v>
      </c>
      <c r="I25" s="40" t="s">
        <v>40</v>
      </c>
      <c r="J25" s="149">
        <v>65</v>
      </c>
      <c r="K25" s="104">
        <v>160</v>
      </c>
      <c r="L25" s="104">
        <v>1350</v>
      </c>
      <c r="M25" s="150">
        <v>7.7536137091978574</v>
      </c>
      <c r="N25" s="78">
        <v>182.38337999999999</v>
      </c>
      <c r="O25" s="109">
        <v>16770.242408220965</v>
      </c>
      <c r="P25" s="111">
        <v>19819.485777634698</v>
      </c>
      <c r="Q25" s="254">
        <v>8922.6808032703484</v>
      </c>
      <c r="R25" s="258">
        <v>25692.923211491314</v>
      </c>
      <c r="S25" s="259">
        <v>28742.166580905046</v>
      </c>
      <c r="U25" s="7" t="s">
        <v>823</v>
      </c>
    </row>
    <row r="26" spans="1:21" s="65" customFormat="1" ht="16.5" customHeight="1" thickBot="1">
      <c r="A26" s="41" t="s">
        <v>31</v>
      </c>
      <c r="B26" s="42">
        <f t="shared" si="0"/>
        <v>65</v>
      </c>
      <c r="C26" s="42" t="s">
        <v>3</v>
      </c>
      <c r="D26" s="42">
        <f t="shared" si="1"/>
        <v>160</v>
      </c>
      <c r="E26" s="42" t="s">
        <v>3</v>
      </c>
      <c r="F26" s="101">
        <f t="shared" si="2"/>
        <v>1400</v>
      </c>
      <c r="G26" s="42" t="s">
        <v>3</v>
      </c>
      <c r="H26" s="39">
        <v>2</v>
      </c>
      <c r="I26" s="40" t="s">
        <v>40</v>
      </c>
      <c r="J26" s="149">
        <v>65</v>
      </c>
      <c r="K26" s="104">
        <v>160</v>
      </c>
      <c r="L26" s="104">
        <v>1400</v>
      </c>
      <c r="M26" s="150">
        <v>8.0245536408635711</v>
      </c>
      <c r="N26" s="78">
        <v>191.50254899999999</v>
      </c>
      <c r="O26" s="109">
        <v>17197.519532362025</v>
      </c>
      <c r="P26" s="111">
        <v>20343.122207628428</v>
      </c>
      <c r="Q26" s="254">
        <v>9251.4615748537599</v>
      </c>
      <c r="R26" s="258">
        <v>26448.981107215783</v>
      </c>
      <c r="S26" s="259">
        <v>29594.583782482187</v>
      </c>
      <c r="U26" s="7" t="s">
        <v>824</v>
      </c>
    </row>
    <row r="27" spans="1:21" s="65" customFormat="1" ht="16.5" customHeight="1" thickBot="1">
      <c r="A27" s="41" t="s">
        <v>31</v>
      </c>
      <c r="B27" s="42">
        <f t="shared" si="0"/>
        <v>65</v>
      </c>
      <c r="C27" s="42" t="s">
        <v>3</v>
      </c>
      <c r="D27" s="42">
        <f t="shared" si="1"/>
        <v>160</v>
      </c>
      <c r="E27" s="42" t="s">
        <v>3</v>
      </c>
      <c r="F27" s="101">
        <f t="shared" si="2"/>
        <v>1450</v>
      </c>
      <c r="G27" s="42" t="s">
        <v>3</v>
      </c>
      <c r="H27" s="39">
        <v>2</v>
      </c>
      <c r="I27" s="40" t="s">
        <v>40</v>
      </c>
      <c r="J27" s="149">
        <v>65</v>
      </c>
      <c r="K27" s="104">
        <v>160</v>
      </c>
      <c r="L27" s="104">
        <v>1450</v>
      </c>
      <c r="M27" s="150">
        <v>8.2954935725292867</v>
      </c>
      <c r="N27" s="78">
        <v>200.62171800000002</v>
      </c>
      <c r="O27" s="109">
        <v>17624.79665650308</v>
      </c>
      <c r="P27" s="111">
        <v>20866.758484593396</v>
      </c>
      <c r="Q27" s="254">
        <v>9580.2423464371714</v>
      </c>
      <c r="R27" s="258">
        <v>27205.039002940252</v>
      </c>
      <c r="S27" s="259">
        <v>30447.000831030567</v>
      </c>
      <c r="U27" s="7" t="s">
        <v>825</v>
      </c>
    </row>
    <row r="28" spans="1:21" s="65" customFormat="1" ht="16.5" customHeight="1" thickBot="1">
      <c r="A28" s="41" t="s">
        <v>31</v>
      </c>
      <c r="B28" s="42">
        <f t="shared" si="0"/>
        <v>65</v>
      </c>
      <c r="C28" s="42" t="s">
        <v>3</v>
      </c>
      <c r="D28" s="42">
        <f t="shared" si="1"/>
        <v>160</v>
      </c>
      <c r="E28" s="42" t="s">
        <v>3</v>
      </c>
      <c r="F28" s="101">
        <f t="shared" si="2"/>
        <v>1500</v>
      </c>
      <c r="G28" s="42" t="s">
        <v>3</v>
      </c>
      <c r="H28" s="39">
        <v>2</v>
      </c>
      <c r="I28" s="40" t="s">
        <v>40</v>
      </c>
      <c r="J28" s="149">
        <v>65</v>
      </c>
      <c r="K28" s="104">
        <v>160</v>
      </c>
      <c r="L28" s="104">
        <v>1500</v>
      </c>
      <c r="M28" s="150">
        <v>8.638195932995</v>
      </c>
      <c r="N28" s="78">
        <v>209.74088699999996</v>
      </c>
      <c r="O28" s="109">
        <v>18640.058194257872</v>
      </c>
      <c r="P28" s="111">
        <v>21878.158647517786</v>
      </c>
      <c r="Q28" s="254">
        <v>9909.0231180205828</v>
      </c>
      <c r="R28" s="258">
        <v>28549.081312278453</v>
      </c>
      <c r="S28" s="259">
        <v>31787.181765538371</v>
      </c>
      <c r="U28" s="7" t="s">
        <v>826</v>
      </c>
    </row>
    <row r="29" spans="1:21" s="65" customFormat="1" ht="16.5" customHeight="1" thickBot="1">
      <c r="A29" s="41" t="s">
        <v>31</v>
      </c>
      <c r="B29" s="42">
        <f t="shared" si="0"/>
        <v>65</v>
      </c>
      <c r="C29" s="42" t="s">
        <v>3</v>
      </c>
      <c r="D29" s="42">
        <f t="shared" si="1"/>
        <v>160</v>
      </c>
      <c r="E29" s="42" t="s">
        <v>3</v>
      </c>
      <c r="F29" s="101">
        <f t="shared" si="2"/>
        <v>1550</v>
      </c>
      <c r="G29" s="42" t="s">
        <v>3</v>
      </c>
      <c r="H29" s="39">
        <v>2</v>
      </c>
      <c r="I29" s="40" t="s">
        <v>40</v>
      </c>
      <c r="J29" s="149">
        <v>65</v>
      </c>
      <c r="K29" s="104">
        <v>160</v>
      </c>
      <c r="L29" s="104">
        <v>1550</v>
      </c>
      <c r="M29" s="150">
        <v>8.9091358646607155</v>
      </c>
      <c r="N29" s="78">
        <v>218.86005599999999</v>
      </c>
      <c r="O29" s="109">
        <v>19067.335318398927</v>
      </c>
      <c r="P29" s="111">
        <v>22401.795077511521</v>
      </c>
      <c r="Q29" s="254">
        <v>10237.804042632759</v>
      </c>
      <c r="R29" s="258">
        <v>29305.139361031688</v>
      </c>
      <c r="S29" s="259">
        <v>32639.599120144281</v>
      </c>
      <c r="U29" s="7" t="s">
        <v>827</v>
      </c>
    </row>
    <row r="30" spans="1:21" s="65" customFormat="1" ht="16.5" customHeight="1" thickBot="1">
      <c r="A30" s="38" t="s">
        <v>31</v>
      </c>
      <c r="B30" s="39">
        <f t="shared" si="0"/>
        <v>65</v>
      </c>
      <c r="C30" s="39" t="s">
        <v>3</v>
      </c>
      <c r="D30" s="39">
        <f t="shared" si="1"/>
        <v>160</v>
      </c>
      <c r="E30" s="39" t="s">
        <v>3</v>
      </c>
      <c r="F30" s="101">
        <f t="shared" si="2"/>
        <v>1600</v>
      </c>
      <c r="G30" s="39" t="s">
        <v>3</v>
      </c>
      <c r="H30" s="39">
        <v>2</v>
      </c>
      <c r="I30" s="40" t="s">
        <v>40</v>
      </c>
      <c r="J30" s="149">
        <v>65</v>
      </c>
      <c r="K30" s="104">
        <v>160</v>
      </c>
      <c r="L30" s="104">
        <v>1600</v>
      </c>
      <c r="M30" s="150">
        <v>9.1800757963264292</v>
      </c>
      <c r="N30" s="78">
        <v>227.97922499999999</v>
      </c>
      <c r="O30" s="109">
        <v>19494.612442539987</v>
      </c>
      <c r="P30" s="111">
        <v>22925.431507505251</v>
      </c>
      <c r="Q30" s="254">
        <v>10566.58481421617</v>
      </c>
      <c r="R30" s="258">
        <v>30061.197256756157</v>
      </c>
      <c r="S30" s="259">
        <v>33492.016321721421</v>
      </c>
      <c r="U30" s="7" t="s">
        <v>828</v>
      </c>
    </row>
    <row r="31" spans="1:21" s="65" customFormat="1" ht="16.5" customHeight="1" thickBot="1">
      <c r="A31" s="41" t="s">
        <v>31</v>
      </c>
      <c r="B31" s="42">
        <f t="shared" si="0"/>
        <v>65</v>
      </c>
      <c r="C31" s="42" t="s">
        <v>3</v>
      </c>
      <c r="D31" s="42">
        <f t="shared" si="1"/>
        <v>160</v>
      </c>
      <c r="E31" s="42" t="s">
        <v>3</v>
      </c>
      <c r="F31" s="101">
        <f t="shared" si="2"/>
        <v>1650</v>
      </c>
      <c r="G31" s="42" t="s">
        <v>3</v>
      </c>
      <c r="H31" s="39">
        <v>2</v>
      </c>
      <c r="I31" s="40" t="s">
        <v>40</v>
      </c>
      <c r="J31" s="149">
        <v>65</v>
      </c>
      <c r="K31" s="104">
        <v>160</v>
      </c>
      <c r="L31" s="104">
        <v>1650</v>
      </c>
      <c r="M31" s="150">
        <v>9.451015727992143</v>
      </c>
      <c r="N31" s="78">
        <v>237.09839399999998</v>
      </c>
      <c r="O31" s="109">
        <v>19921.889566681042</v>
      </c>
      <c r="P31" s="111">
        <v>23449.067937498985</v>
      </c>
      <c r="Q31" s="254">
        <v>10895.365585799582</v>
      </c>
      <c r="R31" s="258">
        <v>30817.255152480626</v>
      </c>
      <c r="S31" s="259">
        <v>34344.433523298569</v>
      </c>
      <c r="U31" s="7" t="s">
        <v>829</v>
      </c>
    </row>
    <row r="32" spans="1:21" s="65" customFormat="1" ht="16.5" customHeight="1" thickBot="1">
      <c r="A32" s="41" t="s">
        <v>31</v>
      </c>
      <c r="B32" s="42">
        <f t="shared" si="0"/>
        <v>65</v>
      </c>
      <c r="C32" s="42" t="s">
        <v>3</v>
      </c>
      <c r="D32" s="42">
        <f t="shared" si="1"/>
        <v>160</v>
      </c>
      <c r="E32" s="42" t="s">
        <v>3</v>
      </c>
      <c r="F32" s="101">
        <f t="shared" si="2"/>
        <v>1700</v>
      </c>
      <c r="G32" s="42" t="s">
        <v>3</v>
      </c>
      <c r="H32" s="39">
        <v>2</v>
      </c>
      <c r="I32" s="40" t="s">
        <v>40</v>
      </c>
      <c r="J32" s="149">
        <v>65</v>
      </c>
      <c r="K32" s="104">
        <v>160</v>
      </c>
      <c r="L32" s="104">
        <v>1700</v>
      </c>
      <c r="M32" s="150">
        <v>9.7219556596578585</v>
      </c>
      <c r="N32" s="78">
        <v>246.21756300000001</v>
      </c>
      <c r="O32" s="109">
        <v>20349.166843850868</v>
      </c>
      <c r="P32" s="111">
        <v>23972.704214463953</v>
      </c>
      <c r="Q32" s="254">
        <v>11224.146510411758</v>
      </c>
      <c r="R32" s="258">
        <v>31573.313354262624</v>
      </c>
      <c r="S32" s="259">
        <v>35196.850724875709</v>
      </c>
      <c r="U32" s="7" t="s">
        <v>830</v>
      </c>
    </row>
    <row r="33" spans="1:21" s="65" customFormat="1" ht="16.5" customHeight="1" thickBot="1">
      <c r="A33" s="41" t="s">
        <v>31</v>
      </c>
      <c r="B33" s="42">
        <f t="shared" si="0"/>
        <v>65</v>
      </c>
      <c r="C33" s="42" t="s">
        <v>3</v>
      </c>
      <c r="D33" s="42">
        <f t="shared" si="1"/>
        <v>160</v>
      </c>
      <c r="E33" s="42" t="s">
        <v>3</v>
      </c>
      <c r="F33" s="101">
        <f t="shared" si="2"/>
        <v>1750</v>
      </c>
      <c r="G33" s="42" t="s">
        <v>3</v>
      </c>
      <c r="H33" s="39">
        <v>2</v>
      </c>
      <c r="I33" s="40" t="s">
        <v>40</v>
      </c>
      <c r="J33" s="149">
        <v>65</v>
      </c>
      <c r="K33" s="104">
        <v>160</v>
      </c>
      <c r="L33" s="104">
        <v>1750</v>
      </c>
      <c r="M33" s="150">
        <v>9.9928955913235722</v>
      </c>
      <c r="N33" s="78">
        <v>255.33673199999996</v>
      </c>
      <c r="O33" s="109">
        <v>20776.443967991923</v>
      </c>
      <c r="P33" s="111">
        <v>24496.340644457683</v>
      </c>
      <c r="Q33" s="254">
        <v>11552.927281995169</v>
      </c>
      <c r="R33" s="258">
        <v>32329.371249987093</v>
      </c>
      <c r="S33" s="259">
        <v>36049.267926452856</v>
      </c>
      <c r="U33" s="7" t="s">
        <v>831</v>
      </c>
    </row>
    <row r="34" spans="1:21" s="65" customFormat="1" ht="16.5" customHeight="1" thickBot="1">
      <c r="A34" s="41" t="s">
        <v>31</v>
      </c>
      <c r="B34" s="42">
        <f t="shared" si="0"/>
        <v>65</v>
      </c>
      <c r="C34" s="42" t="s">
        <v>3</v>
      </c>
      <c r="D34" s="42">
        <f t="shared" si="1"/>
        <v>160</v>
      </c>
      <c r="E34" s="42" t="s">
        <v>3</v>
      </c>
      <c r="F34" s="101">
        <f t="shared" si="2"/>
        <v>1800</v>
      </c>
      <c r="G34" s="42" t="s">
        <v>3</v>
      </c>
      <c r="H34" s="39">
        <v>2</v>
      </c>
      <c r="I34" s="40" t="s">
        <v>40</v>
      </c>
      <c r="J34" s="149">
        <v>65</v>
      </c>
      <c r="K34" s="104">
        <v>160</v>
      </c>
      <c r="L34" s="104">
        <v>1800</v>
      </c>
      <c r="M34" s="150">
        <v>10.263835522989286</v>
      </c>
      <c r="N34" s="78">
        <v>264.45590099999998</v>
      </c>
      <c r="O34" s="109">
        <v>21203.721092132979</v>
      </c>
      <c r="P34" s="111">
        <v>25019.977074451417</v>
      </c>
      <c r="Q34" s="254">
        <v>11881.708053578581</v>
      </c>
      <c r="R34" s="258">
        <v>33085.429145711561</v>
      </c>
      <c r="S34" s="259">
        <v>36901.685128029996</v>
      </c>
      <c r="U34" s="7" t="s">
        <v>832</v>
      </c>
    </row>
    <row r="35" spans="1:21" s="65" customFormat="1" ht="16.5" customHeight="1" thickBot="1">
      <c r="A35" s="41" t="s">
        <v>31</v>
      </c>
      <c r="B35" s="42">
        <f t="shared" si="0"/>
        <v>65</v>
      </c>
      <c r="C35" s="42" t="s">
        <v>3</v>
      </c>
      <c r="D35" s="42">
        <f t="shared" si="1"/>
        <v>160</v>
      </c>
      <c r="E35" s="42" t="s">
        <v>3</v>
      </c>
      <c r="F35" s="101">
        <f t="shared" si="2"/>
        <v>1850</v>
      </c>
      <c r="G35" s="42" t="s">
        <v>3</v>
      </c>
      <c r="H35" s="39">
        <v>2</v>
      </c>
      <c r="I35" s="40" t="s">
        <v>40</v>
      </c>
      <c r="J35" s="149">
        <v>65</v>
      </c>
      <c r="K35" s="104">
        <v>160</v>
      </c>
      <c r="L35" s="104">
        <v>1850</v>
      </c>
      <c r="M35" s="150">
        <v>10.534775454655001</v>
      </c>
      <c r="N35" s="78">
        <v>273.57506999999998</v>
      </c>
      <c r="O35" s="109">
        <v>21630.998369302804</v>
      </c>
      <c r="P35" s="111">
        <v>25543.613504445148</v>
      </c>
      <c r="Q35" s="254">
        <v>12210.488978190757</v>
      </c>
      <c r="R35" s="258">
        <v>33841.487347493559</v>
      </c>
      <c r="S35" s="259">
        <v>37754.102482635906</v>
      </c>
      <c r="U35" s="7" t="s">
        <v>833</v>
      </c>
    </row>
    <row r="36" spans="1:21" s="65" customFormat="1" ht="16.5" customHeight="1" thickBot="1">
      <c r="A36" s="41" t="s">
        <v>31</v>
      </c>
      <c r="B36" s="42">
        <f t="shared" si="0"/>
        <v>65</v>
      </c>
      <c r="C36" s="42" t="s">
        <v>3</v>
      </c>
      <c r="D36" s="42">
        <f t="shared" si="1"/>
        <v>160</v>
      </c>
      <c r="E36" s="42" t="s">
        <v>3</v>
      </c>
      <c r="F36" s="101">
        <f t="shared" si="2"/>
        <v>1900</v>
      </c>
      <c r="G36" s="42" t="s">
        <v>3</v>
      </c>
      <c r="H36" s="39">
        <v>2</v>
      </c>
      <c r="I36" s="40" t="s">
        <v>40</v>
      </c>
      <c r="J36" s="149">
        <v>65</v>
      </c>
      <c r="K36" s="104">
        <v>160</v>
      </c>
      <c r="L36" s="104">
        <v>1900</v>
      </c>
      <c r="M36" s="150">
        <v>10.805715386320713</v>
      </c>
      <c r="N36" s="78">
        <v>282.69423899999998</v>
      </c>
      <c r="O36" s="109">
        <v>22058.27549344386</v>
      </c>
      <c r="P36" s="111">
        <v>26067.249934438882</v>
      </c>
      <c r="Q36" s="254">
        <v>12539.26974977417</v>
      </c>
      <c r="R36" s="258">
        <v>34597.545243218032</v>
      </c>
      <c r="S36" s="259">
        <v>38606.519684213054</v>
      </c>
      <c r="U36" s="7" t="s">
        <v>834</v>
      </c>
    </row>
    <row r="37" spans="1:21" s="65" customFormat="1" ht="16.5" customHeight="1" thickBot="1">
      <c r="A37" s="41" t="s">
        <v>31</v>
      </c>
      <c r="B37" s="42">
        <f t="shared" si="0"/>
        <v>65</v>
      </c>
      <c r="C37" s="42" t="s">
        <v>3</v>
      </c>
      <c r="D37" s="42">
        <f t="shared" si="1"/>
        <v>160</v>
      </c>
      <c r="E37" s="42" t="s">
        <v>3</v>
      </c>
      <c r="F37" s="101">
        <f t="shared" si="2"/>
        <v>1950</v>
      </c>
      <c r="G37" s="42" t="s">
        <v>3</v>
      </c>
      <c r="H37" s="39">
        <v>2</v>
      </c>
      <c r="I37" s="40" t="s">
        <v>40</v>
      </c>
      <c r="J37" s="149">
        <v>65</v>
      </c>
      <c r="K37" s="104">
        <v>160</v>
      </c>
      <c r="L37" s="104">
        <v>1950</v>
      </c>
      <c r="M37" s="150">
        <v>11.11590531798643</v>
      </c>
      <c r="N37" s="78">
        <v>291.81340799999998</v>
      </c>
      <c r="O37" s="109">
        <v>22535.552930244328</v>
      </c>
      <c r="P37" s="111">
        <v>26639.362510591378</v>
      </c>
      <c r="Q37" s="254">
        <v>12868.050521357582</v>
      </c>
      <c r="R37" s="258">
        <v>35403.603451601914</v>
      </c>
      <c r="S37" s="259">
        <v>39507.413031948963</v>
      </c>
      <c r="U37" s="7" t="s">
        <v>835</v>
      </c>
    </row>
    <row r="38" spans="1:21" s="65" customFormat="1" ht="16.5" customHeight="1" thickBot="1">
      <c r="A38" s="41" t="s">
        <v>31</v>
      </c>
      <c r="B38" s="42">
        <f t="shared" si="0"/>
        <v>65</v>
      </c>
      <c r="C38" s="42" t="s">
        <v>3</v>
      </c>
      <c r="D38" s="42">
        <f t="shared" si="1"/>
        <v>160</v>
      </c>
      <c r="E38" s="42" t="s">
        <v>3</v>
      </c>
      <c r="F38" s="101">
        <f t="shared" si="2"/>
        <v>2000</v>
      </c>
      <c r="G38" s="42" t="s">
        <v>3</v>
      </c>
      <c r="H38" s="39">
        <v>2</v>
      </c>
      <c r="I38" s="40" t="s">
        <v>40</v>
      </c>
      <c r="J38" s="149">
        <v>65</v>
      </c>
      <c r="K38" s="104">
        <v>160</v>
      </c>
      <c r="L38" s="104">
        <v>2000</v>
      </c>
      <c r="M38" s="150">
        <v>11.478407649652144</v>
      </c>
      <c r="N38" s="78">
        <v>300.93257699999998</v>
      </c>
      <c r="O38" s="109">
        <v>23214.121956229981</v>
      </c>
      <c r="P38" s="111">
        <v>27491.427439951207</v>
      </c>
      <c r="Q38" s="254">
        <v>13196.831445969756</v>
      </c>
      <c r="R38" s="258">
        <v>36410.953402199739</v>
      </c>
      <c r="S38" s="259">
        <v>40688.258885920965</v>
      </c>
      <c r="U38" s="7" t="s">
        <v>836</v>
      </c>
    </row>
    <row r="39" spans="1:21" s="65" customFormat="1" ht="16.5" customHeight="1" thickBot="1">
      <c r="A39" s="41" t="s">
        <v>31</v>
      </c>
      <c r="B39" s="42">
        <f t="shared" si="0"/>
        <v>65</v>
      </c>
      <c r="C39" s="42" t="s">
        <v>3</v>
      </c>
      <c r="D39" s="42">
        <f t="shared" si="1"/>
        <v>160</v>
      </c>
      <c r="E39" s="42" t="s">
        <v>3</v>
      </c>
      <c r="F39" s="101">
        <f t="shared" si="2"/>
        <v>2050</v>
      </c>
      <c r="G39" s="42" t="s">
        <v>3</v>
      </c>
      <c r="H39" s="39">
        <v>2</v>
      </c>
      <c r="I39" s="40" t="s">
        <v>40</v>
      </c>
      <c r="J39" s="149">
        <v>65</v>
      </c>
      <c r="K39" s="104">
        <v>160</v>
      </c>
      <c r="L39" s="104">
        <v>2050</v>
      </c>
      <c r="M39" s="150">
        <v>11.749347581317856</v>
      </c>
      <c r="N39" s="78">
        <v>310.05174599999998</v>
      </c>
      <c r="O39" s="109">
        <v>23641.399080371037</v>
      </c>
      <c r="P39" s="111">
        <v>28015.063869944941</v>
      </c>
      <c r="Q39" s="254">
        <v>13525.612217553169</v>
      </c>
      <c r="R39" s="258">
        <v>37167.011297924204</v>
      </c>
      <c r="S39" s="259">
        <v>41540.676087498112</v>
      </c>
      <c r="U39" s="7" t="s">
        <v>837</v>
      </c>
    </row>
    <row r="40" spans="1:21" s="65" customFormat="1" ht="16.5" customHeight="1" thickBot="1">
      <c r="A40" s="38" t="s">
        <v>31</v>
      </c>
      <c r="B40" s="39">
        <f t="shared" si="0"/>
        <v>65</v>
      </c>
      <c r="C40" s="39" t="s">
        <v>3</v>
      </c>
      <c r="D40" s="39">
        <f t="shared" si="1"/>
        <v>160</v>
      </c>
      <c r="E40" s="39" t="s">
        <v>3</v>
      </c>
      <c r="F40" s="101">
        <f t="shared" si="2"/>
        <v>2100</v>
      </c>
      <c r="G40" s="39" t="s">
        <v>3</v>
      </c>
      <c r="H40" s="39">
        <v>2</v>
      </c>
      <c r="I40" s="40" t="s">
        <v>40</v>
      </c>
      <c r="J40" s="149">
        <v>65</v>
      </c>
      <c r="K40" s="104">
        <v>160</v>
      </c>
      <c r="L40" s="104">
        <v>2100</v>
      </c>
      <c r="M40" s="150">
        <v>12.020287512983568</v>
      </c>
      <c r="N40" s="78">
        <v>319.17091499999998</v>
      </c>
      <c r="O40" s="109">
        <v>24068.676204512096</v>
      </c>
      <c r="P40" s="111">
        <v>28538.700299938668</v>
      </c>
      <c r="Q40" s="254">
        <v>13854.392989136581</v>
      </c>
      <c r="R40" s="258">
        <v>37923.069193648676</v>
      </c>
      <c r="S40" s="259">
        <v>42393.093289075245</v>
      </c>
      <c r="U40" s="7" t="s">
        <v>838</v>
      </c>
    </row>
    <row r="41" spans="1:21" s="65" customFormat="1" ht="16.5" customHeight="1" thickBot="1">
      <c r="A41" s="41" t="s">
        <v>31</v>
      </c>
      <c r="B41" s="42">
        <f t="shared" si="0"/>
        <v>65</v>
      </c>
      <c r="C41" s="42" t="s">
        <v>3</v>
      </c>
      <c r="D41" s="42">
        <f t="shared" si="1"/>
        <v>160</v>
      </c>
      <c r="E41" s="42" t="s">
        <v>3</v>
      </c>
      <c r="F41" s="101">
        <f t="shared" si="2"/>
        <v>2150</v>
      </c>
      <c r="G41" s="42" t="s">
        <v>3</v>
      </c>
      <c r="H41" s="39">
        <v>2</v>
      </c>
      <c r="I41" s="40" t="s">
        <v>40</v>
      </c>
      <c r="J41" s="149">
        <v>65</v>
      </c>
      <c r="K41" s="104">
        <v>160</v>
      </c>
      <c r="L41" s="104">
        <v>2150</v>
      </c>
      <c r="M41" s="150">
        <v>12.291227444649284</v>
      </c>
      <c r="N41" s="78">
        <v>328.29008399999998</v>
      </c>
      <c r="O41" s="109">
        <v>24495.953328653151</v>
      </c>
      <c r="P41" s="111">
        <v>29062.336576903635</v>
      </c>
      <c r="Q41" s="254">
        <v>14183.173760719992</v>
      </c>
      <c r="R41" s="258">
        <v>38679.127089373142</v>
      </c>
      <c r="S41" s="259">
        <v>43245.510337623629</v>
      </c>
      <c r="U41" s="7" t="s">
        <v>839</v>
      </c>
    </row>
    <row r="42" spans="1:21" s="65" customFormat="1" ht="16.5" customHeight="1" thickBot="1">
      <c r="A42" s="41" t="s">
        <v>31</v>
      </c>
      <c r="B42" s="42">
        <f t="shared" si="0"/>
        <v>65</v>
      </c>
      <c r="C42" s="42" t="s">
        <v>3</v>
      </c>
      <c r="D42" s="42">
        <f t="shared" si="1"/>
        <v>160</v>
      </c>
      <c r="E42" s="42" t="s">
        <v>3</v>
      </c>
      <c r="F42" s="101">
        <f t="shared" si="2"/>
        <v>2200</v>
      </c>
      <c r="G42" s="42" t="s">
        <v>3</v>
      </c>
      <c r="H42" s="39">
        <v>2</v>
      </c>
      <c r="I42" s="40" t="s">
        <v>40</v>
      </c>
      <c r="J42" s="149">
        <v>65</v>
      </c>
      <c r="K42" s="104">
        <v>160</v>
      </c>
      <c r="L42" s="104">
        <v>2200</v>
      </c>
      <c r="M42" s="150">
        <v>12.562167376314997</v>
      </c>
      <c r="N42" s="78">
        <v>337.40925299999998</v>
      </c>
      <c r="O42" s="109">
        <v>24923.230605822973</v>
      </c>
      <c r="P42" s="111">
        <v>29585.973006897369</v>
      </c>
      <c r="Q42" s="254">
        <v>14511.954685332166</v>
      </c>
      <c r="R42" s="258">
        <v>39435.18529115514</v>
      </c>
      <c r="S42" s="259">
        <v>44097.927692229539</v>
      </c>
      <c r="U42" s="7" t="s">
        <v>840</v>
      </c>
    </row>
    <row r="43" spans="1:21" s="65" customFormat="1" ht="16.5" customHeight="1" thickBot="1">
      <c r="A43" s="41" t="s">
        <v>31</v>
      </c>
      <c r="B43" s="42">
        <f t="shared" si="0"/>
        <v>65</v>
      </c>
      <c r="C43" s="42" t="s">
        <v>3</v>
      </c>
      <c r="D43" s="42">
        <f t="shared" si="1"/>
        <v>160</v>
      </c>
      <c r="E43" s="42" t="s">
        <v>3</v>
      </c>
      <c r="F43" s="101">
        <f t="shared" si="2"/>
        <v>2250</v>
      </c>
      <c r="G43" s="42" t="s">
        <v>3</v>
      </c>
      <c r="H43" s="39">
        <v>2</v>
      </c>
      <c r="I43" s="40" t="s">
        <v>40</v>
      </c>
      <c r="J43" s="149">
        <v>65</v>
      </c>
      <c r="K43" s="104">
        <v>160</v>
      </c>
      <c r="L43" s="104">
        <v>2250</v>
      </c>
      <c r="M43" s="150">
        <v>12.833107307980715</v>
      </c>
      <c r="N43" s="78">
        <v>346.52842199999998</v>
      </c>
      <c r="O43" s="109">
        <v>25350.507729964029</v>
      </c>
      <c r="P43" s="111">
        <v>30109.609436891104</v>
      </c>
      <c r="Q43" s="254">
        <v>14840.735456915578</v>
      </c>
      <c r="R43" s="258">
        <v>40191.243186879605</v>
      </c>
      <c r="S43" s="259">
        <v>44950.344893806679</v>
      </c>
      <c r="U43" s="7" t="s">
        <v>841</v>
      </c>
    </row>
    <row r="44" spans="1:21" s="65" customFormat="1" ht="16.5" customHeight="1" thickBot="1">
      <c r="A44" s="41" t="s">
        <v>31</v>
      </c>
      <c r="B44" s="42">
        <f t="shared" si="0"/>
        <v>65</v>
      </c>
      <c r="C44" s="42" t="s">
        <v>3</v>
      </c>
      <c r="D44" s="42">
        <f t="shared" si="1"/>
        <v>160</v>
      </c>
      <c r="E44" s="42" t="s">
        <v>3</v>
      </c>
      <c r="F44" s="101">
        <f t="shared" si="2"/>
        <v>2300</v>
      </c>
      <c r="G44" s="42" t="s">
        <v>3</v>
      </c>
      <c r="H44" s="39">
        <v>2</v>
      </c>
      <c r="I44" s="40" t="s">
        <v>40</v>
      </c>
      <c r="J44" s="149">
        <v>65</v>
      </c>
      <c r="K44" s="104">
        <v>160</v>
      </c>
      <c r="L44" s="104">
        <v>2300</v>
      </c>
      <c r="M44" s="150">
        <v>13.104047239646427</v>
      </c>
      <c r="N44" s="78">
        <v>355.64759099999998</v>
      </c>
      <c r="O44" s="109">
        <v>25777.784854105092</v>
      </c>
      <c r="P44" s="111">
        <v>30633.245866884838</v>
      </c>
      <c r="Q44" s="254">
        <v>15169.516228498989</v>
      </c>
      <c r="R44" s="258">
        <v>40947.301082604085</v>
      </c>
      <c r="S44" s="259">
        <v>45802.762095383827</v>
      </c>
      <c r="U44" s="7" t="s">
        <v>842</v>
      </c>
    </row>
    <row r="45" spans="1:21" s="65" customFormat="1" ht="16.5" customHeight="1" thickBot="1">
      <c r="A45" s="41" t="s">
        <v>31</v>
      </c>
      <c r="B45" s="42">
        <f t="shared" si="0"/>
        <v>65</v>
      </c>
      <c r="C45" s="42" t="s">
        <v>3</v>
      </c>
      <c r="D45" s="42">
        <f t="shared" si="1"/>
        <v>160</v>
      </c>
      <c r="E45" s="42" t="s">
        <v>3</v>
      </c>
      <c r="F45" s="101">
        <f t="shared" si="2"/>
        <v>2350</v>
      </c>
      <c r="G45" s="42" t="s">
        <v>3</v>
      </c>
      <c r="H45" s="39">
        <v>2</v>
      </c>
      <c r="I45" s="40" t="s">
        <v>40</v>
      </c>
      <c r="J45" s="149">
        <v>65</v>
      </c>
      <c r="K45" s="104">
        <v>160</v>
      </c>
      <c r="L45" s="104">
        <v>2350</v>
      </c>
      <c r="M45" s="150">
        <v>13.374987171312142</v>
      </c>
      <c r="N45" s="78">
        <v>364.76675999999998</v>
      </c>
      <c r="O45" s="109">
        <v>26205.061978246147</v>
      </c>
      <c r="P45" s="111">
        <v>31156.882296878564</v>
      </c>
      <c r="Q45" s="254">
        <v>15498.297153111165</v>
      </c>
      <c r="R45" s="258">
        <v>41703.359131357312</v>
      </c>
      <c r="S45" s="259">
        <v>46655.17944998973</v>
      </c>
      <c r="U45" s="7" t="s">
        <v>843</v>
      </c>
    </row>
    <row r="46" spans="1:21" s="65" customFormat="1" ht="16.5" customHeight="1" thickBot="1">
      <c r="A46" s="41" t="s">
        <v>31</v>
      </c>
      <c r="B46" s="42">
        <f t="shared" si="0"/>
        <v>65</v>
      </c>
      <c r="C46" s="42" t="s">
        <v>3</v>
      </c>
      <c r="D46" s="42">
        <f t="shared" si="1"/>
        <v>160</v>
      </c>
      <c r="E46" s="42" t="s">
        <v>3</v>
      </c>
      <c r="F46" s="101">
        <f t="shared" si="2"/>
        <v>2400</v>
      </c>
      <c r="G46" s="42" t="s">
        <v>3</v>
      </c>
      <c r="H46" s="39">
        <v>2</v>
      </c>
      <c r="I46" s="40" t="s">
        <v>40</v>
      </c>
      <c r="J46" s="149">
        <v>65</v>
      </c>
      <c r="K46" s="104">
        <v>160</v>
      </c>
      <c r="L46" s="104">
        <v>2400</v>
      </c>
      <c r="M46" s="150">
        <v>13.645927102977854</v>
      </c>
      <c r="N46" s="78">
        <v>373.88592899999992</v>
      </c>
      <c r="O46" s="109">
        <v>26632.339255415969</v>
      </c>
      <c r="P46" s="111">
        <v>31680.518726872298</v>
      </c>
      <c r="Q46" s="254">
        <v>15827.077924694577</v>
      </c>
      <c r="R46" s="258">
        <v>42459.417180110548</v>
      </c>
      <c r="S46" s="259">
        <v>47507.596651566877</v>
      </c>
      <c r="U46" s="7" t="s">
        <v>844</v>
      </c>
    </row>
    <row r="47" spans="1:21" s="65" customFormat="1" ht="16.5" customHeight="1" thickBot="1">
      <c r="A47" s="41" t="s">
        <v>31</v>
      </c>
      <c r="B47" s="42">
        <f t="shared" si="0"/>
        <v>65</v>
      </c>
      <c r="C47" s="42" t="s">
        <v>3</v>
      </c>
      <c r="D47" s="42">
        <f t="shared" si="1"/>
        <v>160</v>
      </c>
      <c r="E47" s="42" t="s">
        <v>3</v>
      </c>
      <c r="F47" s="101">
        <f t="shared" si="2"/>
        <v>2450</v>
      </c>
      <c r="G47" s="42" t="s">
        <v>3</v>
      </c>
      <c r="H47" s="39">
        <v>2</v>
      </c>
      <c r="I47" s="40" t="s">
        <v>40</v>
      </c>
      <c r="J47" s="149">
        <v>65</v>
      </c>
      <c r="K47" s="104">
        <v>160</v>
      </c>
      <c r="L47" s="104">
        <v>2450</v>
      </c>
      <c r="M47" s="150">
        <v>13.988629463443569</v>
      </c>
      <c r="N47" s="78">
        <v>383.00509799999998</v>
      </c>
      <c r="O47" s="109">
        <v>27647.600640141991</v>
      </c>
      <c r="P47" s="111">
        <v>32691.918736767926</v>
      </c>
      <c r="Q47" s="254">
        <v>16155.858696277988</v>
      </c>
      <c r="R47" s="258">
        <v>43803.459336419983</v>
      </c>
      <c r="S47" s="259">
        <v>48847.777433045914</v>
      </c>
      <c r="U47" s="7" t="s">
        <v>845</v>
      </c>
    </row>
    <row r="48" spans="1:21" s="65" customFormat="1" ht="16.5" customHeight="1" thickBot="1">
      <c r="A48" s="41" t="s">
        <v>31</v>
      </c>
      <c r="B48" s="42">
        <f t="shared" si="0"/>
        <v>65</v>
      </c>
      <c r="C48" s="42" t="s">
        <v>3</v>
      </c>
      <c r="D48" s="42">
        <f t="shared" si="1"/>
        <v>160</v>
      </c>
      <c r="E48" s="42" t="s">
        <v>3</v>
      </c>
      <c r="F48" s="101">
        <f t="shared" si="2"/>
        <v>2500</v>
      </c>
      <c r="G48" s="42" t="s">
        <v>3</v>
      </c>
      <c r="H48" s="39">
        <v>2</v>
      </c>
      <c r="I48" s="40" t="s">
        <v>40</v>
      </c>
      <c r="J48" s="149">
        <v>65</v>
      </c>
      <c r="K48" s="104">
        <v>160</v>
      </c>
      <c r="L48" s="104">
        <v>2500</v>
      </c>
      <c r="M48" s="150">
        <v>14.259569395109283</v>
      </c>
      <c r="N48" s="78">
        <v>392.12426699999997</v>
      </c>
      <c r="O48" s="109">
        <v>28074.877764283054</v>
      </c>
      <c r="P48" s="111">
        <v>33215.55516676166</v>
      </c>
      <c r="Q48" s="254">
        <v>16484.639620890164</v>
      </c>
      <c r="R48" s="258">
        <v>44559.517385173218</v>
      </c>
      <c r="S48" s="259">
        <v>49700.194787651824</v>
      </c>
      <c r="U48" s="7" t="s">
        <v>846</v>
      </c>
    </row>
    <row r="49" spans="1:21" s="65" customFormat="1" ht="16.5" customHeight="1" thickBot="1">
      <c r="A49" s="41" t="s">
        <v>31</v>
      </c>
      <c r="B49" s="42">
        <f t="shared" si="0"/>
        <v>65</v>
      </c>
      <c r="C49" s="42" t="s">
        <v>3</v>
      </c>
      <c r="D49" s="42">
        <f t="shared" si="1"/>
        <v>160</v>
      </c>
      <c r="E49" s="42" t="s">
        <v>3</v>
      </c>
      <c r="F49" s="101">
        <f t="shared" si="2"/>
        <v>2550</v>
      </c>
      <c r="G49" s="42" t="s">
        <v>3</v>
      </c>
      <c r="H49" s="39">
        <v>2</v>
      </c>
      <c r="I49" s="40" t="s">
        <v>40</v>
      </c>
      <c r="J49" s="149">
        <v>65</v>
      </c>
      <c r="K49" s="104">
        <v>160</v>
      </c>
      <c r="L49" s="104">
        <v>2550</v>
      </c>
      <c r="M49" s="150">
        <v>14.530509326775</v>
      </c>
      <c r="N49" s="78">
        <v>401.24343600000003</v>
      </c>
      <c r="O49" s="109">
        <v>28502.154888424109</v>
      </c>
      <c r="P49" s="111">
        <v>33739.191596755387</v>
      </c>
      <c r="Q49" s="254">
        <v>16813.420392473578</v>
      </c>
      <c r="R49" s="258">
        <v>45315.575280897683</v>
      </c>
      <c r="S49" s="259">
        <v>50552.611989228964</v>
      </c>
      <c r="U49" s="7" t="s">
        <v>847</v>
      </c>
    </row>
    <row r="50" spans="1:21" s="65" customFormat="1" ht="16.5" customHeight="1" thickBot="1">
      <c r="A50" s="38" t="s">
        <v>31</v>
      </c>
      <c r="B50" s="39">
        <f t="shared" si="0"/>
        <v>65</v>
      </c>
      <c r="C50" s="39" t="s">
        <v>3</v>
      </c>
      <c r="D50" s="39">
        <f t="shared" si="1"/>
        <v>160</v>
      </c>
      <c r="E50" s="39" t="s">
        <v>3</v>
      </c>
      <c r="F50" s="101">
        <f t="shared" si="2"/>
        <v>2600</v>
      </c>
      <c r="G50" s="39" t="s">
        <v>3</v>
      </c>
      <c r="H50" s="39">
        <v>2</v>
      </c>
      <c r="I50" s="40" t="s">
        <v>40</v>
      </c>
      <c r="J50" s="149">
        <v>65</v>
      </c>
      <c r="K50" s="104">
        <v>160</v>
      </c>
      <c r="L50" s="104">
        <v>2600</v>
      </c>
      <c r="M50" s="150">
        <v>14.801449258440716</v>
      </c>
      <c r="N50" s="78">
        <v>410.36260499999997</v>
      </c>
      <c r="O50" s="109">
        <v>28929.432165593931</v>
      </c>
      <c r="P50" s="111">
        <v>34262.828026749121</v>
      </c>
      <c r="Q50" s="254">
        <v>17142.201164056987</v>
      </c>
      <c r="R50" s="258">
        <v>46071.633329650918</v>
      </c>
      <c r="S50" s="259">
        <v>51405.029190806104</v>
      </c>
      <c r="U50" s="7" t="s">
        <v>848</v>
      </c>
    </row>
    <row r="51" spans="1:21" s="65" customFormat="1" ht="16.5" customHeight="1" thickBot="1">
      <c r="A51" s="41" t="s">
        <v>31</v>
      </c>
      <c r="B51" s="42">
        <f t="shared" si="0"/>
        <v>65</v>
      </c>
      <c r="C51" s="42" t="s">
        <v>3</v>
      </c>
      <c r="D51" s="42">
        <f t="shared" si="1"/>
        <v>160</v>
      </c>
      <c r="E51" s="42" t="s">
        <v>3</v>
      </c>
      <c r="F51" s="101">
        <f t="shared" si="2"/>
        <v>2650</v>
      </c>
      <c r="G51" s="42" t="s">
        <v>3</v>
      </c>
      <c r="H51" s="39">
        <v>2</v>
      </c>
      <c r="I51" s="40" t="s">
        <v>40</v>
      </c>
      <c r="J51" s="149">
        <v>65</v>
      </c>
      <c r="K51" s="104">
        <v>160</v>
      </c>
      <c r="L51" s="104">
        <v>2650</v>
      </c>
      <c r="M51" s="150">
        <v>15.07238919010643</v>
      </c>
      <c r="N51" s="78">
        <v>419.48177399999992</v>
      </c>
      <c r="O51" s="109">
        <v>29356.709289734987</v>
      </c>
      <c r="P51" s="111">
        <v>34786.464456742855</v>
      </c>
      <c r="Q51" s="254">
        <v>17470.982088669163</v>
      </c>
      <c r="R51" s="258">
        <v>46827.691378404154</v>
      </c>
      <c r="S51" s="259">
        <v>52257.446545412022</v>
      </c>
      <c r="U51" s="7" t="s">
        <v>849</v>
      </c>
    </row>
    <row r="52" spans="1:21" s="65" customFormat="1" ht="16.5" customHeight="1" thickBot="1">
      <c r="A52" s="41" t="s">
        <v>31</v>
      </c>
      <c r="B52" s="42">
        <f t="shared" si="0"/>
        <v>65</v>
      </c>
      <c r="C52" s="42" t="s">
        <v>3</v>
      </c>
      <c r="D52" s="42">
        <f t="shared" si="1"/>
        <v>160</v>
      </c>
      <c r="E52" s="42" t="s">
        <v>3</v>
      </c>
      <c r="F52" s="101">
        <f t="shared" si="2"/>
        <v>2700</v>
      </c>
      <c r="G52" s="42" t="s">
        <v>3</v>
      </c>
      <c r="H52" s="39">
        <v>2</v>
      </c>
      <c r="I52" s="40" t="s">
        <v>40</v>
      </c>
      <c r="J52" s="149">
        <v>65</v>
      </c>
      <c r="K52" s="104">
        <v>160</v>
      </c>
      <c r="L52" s="104">
        <v>2700</v>
      </c>
      <c r="M52" s="150">
        <v>15.382579121772144</v>
      </c>
      <c r="N52" s="78">
        <v>428.60094299999997</v>
      </c>
      <c r="O52" s="109">
        <v>29833.986726535455</v>
      </c>
      <c r="P52" s="111">
        <v>35358.577032895351</v>
      </c>
      <c r="Q52" s="254">
        <v>17799.762860252577</v>
      </c>
      <c r="R52" s="258">
        <v>47633.749586788035</v>
      </c>
      <c r="S52" s="259">
        <v>53158.339893147931</v>
      </c>
      <c r="U52" s="7" t="s">
        <v>850</v>
      </c>
    </row>
    <row r="53" spans="1:21" s="65" customFormat="1" ht="16.5" customHeight="1" thickBot="1">
      <c r="A53" s="41" t="s">
        <v>31</v>
      </c>
      <c r="B53" s="42">
        <f t="shared" si="0"/>
        <v>65</v>
      </c>
      <c r="C53" s="42" t="s">
        <v>3</v>
      </c>
      <c r="D53" s="42">
        <f t="shared" si="1"/>
        <v>160</v>
      </c>
      <c r="E53" s="42" t="s">
        <v>3</v>
      </c>
      <c r="F53" s="101">
        <f t="shared" si="2"/>
        <v>2750</v>
      </c>
      <c r="G53" s="42" t="s">
        <v>3</v>
      </c>
      <c r="H53" s="39">
        <v>2</v>
      </c>
      <c r="I53" s="40" t="s">
        <v>40</v>
      </c>
      <c r="J53" s="149">
        <v>65</v>
      </c>
      <c r="K53" s="104">
        <v>160</v>
      </c>
      <c r="L53" s="104">
        <v>2750</v>
      </c>
      <c r="M53" s="150">
        <v>15.653519053437858</v>
      </c>
      <c r="N53" s="78">
        <v>437.72011199999997</v>
      </c>
      <c r="O53" s="109">
        <v>30261.263850676511</v>
      </c>
      <c r="P53" s="111">
        <v>35882.213462889085</v>
      </c>
      <c r="Q53" s="254">
        <v>18128.543631835986</v>
      </c>
      <c r="R53" s="258">
        <v>48389.807482512493</v>
      </c>
      <c r="S53" s="259">
        <v>54010.757094725072</v>
      </c>
      <c r="U53" s="7" t="s">
        <v>851</v>
      </c>
    </row>
    <row r="54" spans="1:21" s="65" customFormat="1" ht="16.5" customHeight="1" thickBot="1">
      <c r="A54" s="41" t="s">
        <v>31</v>
      </c>
      <c r="B54" s="42">
        <f t="shared" si="0"/>
        <v>65</v>
      </c>
      <c r="C54" s="42" t="s">
        <v>3</v>
      </c>
      <c r="D54" s="42">
        <f t="shared" si="1"/>
        <v>160</v>
      </c>
      <c r="E54" s="42" t="s">
        <v>3</v>
      </c>
      <c r="F54" s="101">
        <f t="shared" si="2"/>
        <v>2800</v>
      </c>
      <c r="G54" s="42" t="s">
        <v>3</v>
      </c>
      <c r="H54" s="39">
        <v>2</v>
      </c>
      <c r="I54" s="40" t="s">
        <v>40</v>
      </c>
      <c r="J54" s="149">
        <v>65</v>
      </c>
      <c r="K54" s="104">
        <v>160</v>
      </c>
      <c r="L54" s="104">
        <v>2800</v>
      </c>
      <c r="M54" s="150">
        <v>15.924458985103572</v>
      </c>
      <c r="N54" s="78">
        <v>446.83928100000003</v>
      </c>
      <c r="O54" s="109">
        <v>30688.540974817573</v>
      </c>
      <c r="P54" s="111">
        <v>36405.849892882819</v>
      </c>
      <c r="Q54" s="254">
        <v>18457.324403419399</v>
      </c>
      <c r="R54" s="258">
        <v>49145.865378236973</v>
      </c>
      <c r="S54" s="259">
        <v>54863.174296302219</v>
      </c>
      <c r="U54" s="7" t="s">
        <v>852</v>
      </c>
    </row>
    <row r="55" spans="1:21" s="65" customFormat="1" ht="16.5" customHeight="1" thickBot="1">
      <c r="A55" s="41" t="s">
        <v>31</v>
      </c>
      <c r="B55" s="42">
        <f t="shared" si="0"/>
        <v>65</v>
      </c>
      <c r="C55" s="42" t="s">
        <v>3</v>
      </c>
      <c r="D55" s="42">
        <f t="shared" si="1"/>
        <v>160</v>
      </c>
      <c r="E55" s="42" t="s">
        <v>3</v>
      </c>
      <c r="F55" s="101">
        <f t="shared" si="2"/>
        <v>2850</v>
      </c>
      <c r="G55" s="42" t="s">
        <v>3</v>
      </c>
      <c r="H55" s="39">
        <v>2</v>
      </c>
      <c r="I55" s="40" t="s">
        <v>40</v>
      </c>
      <c r="J55" s="149">
        <v>65</v>
      </c>
      <c r="K55" s="104">
        <v>160</v>
      </c>
      <c r="L55" s="104">
        <v>2850</v>
      </c>
      <c r="M55" s="150">
        <v>16.195398916769285</v>
      </c>
      <c r="N55" s="78">
        <v>455.95844999999997</v>
      </c>
      <c r="O55" s="109">
        <v>31115.818251987395</v>
      </c>
      <c r="P55" s="111">
        <v>36929.486169847791</v>
      </c>
      <c r="Q55" s="254">
        <v>18786.105328031572</v>
      </c>
      <c r="R55" s="258">
        <v>49901.923580018964</v>
      </c>
      <c r="S55" s="259">
        <v>55715.591497879359</v>
      </c>
      <c r="U55" s="7" t="s">
        <v>853</v>
      </c>
    </row>
    <row r="56" spans="1:21" s="65" customFormat="1" ht="16.5" customHeight="1" thickBot="1">
      <c r="A56" s="41" t="s">
        <v>31</v>
      </c>
      <c r="B56" s="42">
        <f t="shared" si="0"/>
        <v>65</v>
      </c>
      <c r="C56" s="42" t="s">
        <v>3</v>
      </c>
      <c r="D56" s="42">
        <f t="shared" si="1"/>
        <v>160</v>
      </c>
      <c r="E56" s="42" t="s">
        <v>3</v>
      </c>
      <c r="F56" s="101">
        <f t="shared" si="2"/>
        <v>2900</v>
      </c>
      <c r="G56" s="42" t="s">
        <v>3</v>
      </c>
      <c r="H56" s="39">
        <v>2</v>
      </c>
      <c r="I56" s="40" t="s">
        <v>40</v>
      </c>
      <c r="J56" s="149">
        <v>65</v>
      </c>
      <c r="K56" s="104">
        <v>160</v>
      </c>
      <c r="L56" s="104">
        <v>2900</v>
      </c>
      <c r="M56" s="150">
        <v>16.466338848435001</v>
      </c>
      <c r="N56" s="78">
        <v>465.07761899999991</v>
      </c>
      <c r="O56" s="109">
        <v>31543.095376128451</v>
      </c>
      <c r="P56" s="111">
        <v>37453.122599841518</v>
      </c>
      <c r="Q56" s="254">
        <v>19114.886099614985</v>
      </c>
      <c r="R56" s="258">
        <v>50657.981475743436</v>
      </c>
      <c r="S56" s="259">
        <v>56568.008699456506</v>
      </c>
      <c r="U56" s="7" t="s">
        <v>854</v>
      </c>
    </row>
    <row r="57" spans="1:21" s="65" customFormat="1" ht="16.5" customHeight="1" thickBot="1">
      <c r="A57" s="41" t="s">
        <v>31</v>
      </c>
      <c r="B57" s="42">
        <f t="shared" si="0"/>
        <v>65</v>
      </c>
      <c r="C57" s="42" t="s">
        <v>3</v>
      </c>
      <c r="D57" s="42">
        <f t="shared" si="1"/>
        <v>160</v>
      </c>
      <c r="E57" s="42" t="s">
        <v>3</v>
      </c>
      <c r="F57" s="101">
        <f t="shared" si="2"/>
        <v>2950</v>
      </c>
      <c r="G57" s="42" t="s">
        <v>3</v>
      </c>
      <c r="H57" s="39">
        <v>2</v>
      </c>
      <c r="I57" s="40" t="s">
        <v>40</v>
      </c>
      <c r="J57" s="149">
        <v>65</v>
      </c>
      <c r="K57" s="104">
        <v>160</v>
      </c>
      <c r="L57" s="104">
        <v>2950</v>
      </c>
      <c r="M57" s="150">
        <v>16.737278780100716</v>
      </c>
      <c r="N57" s="78">
        <v>474.19678799999997</v>
      </c>
      <c r="O57" s="109">
        <v>31970.372500269506</v>
      </c>
      <c r="P57" s="111">
        <v>37976.759029835252</v>
      </c>
      <c r="Q57" s="254">
        <v>19443.666871198395</v>
      </c>
      <c r="R57" s="258">
        <v>51414.039371467901</v>
      </c>
      <c r="S57" s="259">
        <v>57420.425901033646</v>
      </c>
      <c r="U57" s="7" t="s">
        <v>855</v>
      </c>
    </row>
    <row r="58" spans="1:21" s="65" customFormat="1" ht="16.5" customHeight="1" thickBot="1">
      <c r="A58" s="43" t="s">
        <v>31</v>
      </c>
      <c r="B58" s="44">
        <f t="shared" si="0"/>
        <v>65</v>
      </c>
      <c r="C58" s="44" t="s">
        <v>3</v>
      </c>
      <c r="D58" s="44">
        <f t="shared" si="1"/>
        <v>160</v>
      </c>
      <c r="E58" s="44" t="s">
        <v>3</v>
      </c>
      <c r="F58" s="102">
        <f t="shared" si="2"/>
        <v>3000</v>
      </c>
      <c r="G58" s="44" t="s">
        <v>3</v>
      </c>
      <c r="H58" s="46">
        <v>2</v>
      </c>
      <c r="I58" s="45" t="s">
        <v>40</v>
      </c>
      <c r="J58" s="149">
        <v>65</v>
      </c>
      <c r="K58" s="134">
        <v>160</v>
      </c>
      <c r="L58" s="134">
        <v>3000</v>
      </c>
      <c r="M58" s="152">
        <v>17.008218711766428</v>
      </c>
      <c r="N58" s="127">
        <v>483.31595699999997</v>
      </c>
      <c r="O58" s="154">
        <v>32397.649624410562</v>
      </c>
      <c r="P58" s="135">
        <v>38500.395459828986</v>
      </c>
      <c r="Q58" s="255">
        <v>19772.447795810571</v>
      </c>
      <c r="R58" s="260">
        <v>52170.097420221136</v>
      </c>
      <c r="S58" s="261">
        <v>58272.843255639556</v>
      </c>
      <c r="U58" s="7" t="s">
        <v>856</v>
      </c>
    </row>
    <row r="59" spans="1:21" s="65" customFormat="1" ht="22.5" customHeight="1" thickBot="1">
      <c r="A59" s="2968" t="s">
        <v>46</v>
      </c>
      <c r="B59" s="2969"/>
      <c r="C59" s="2969"/>
      <c r="D59" s="2969"/>
      <c r="E59" s="2969"/>
      <c r="F59" s="2969"/>
      <c r="G59" s="2969"/>
      <c r="H59" s="2969"/>
      <c r="I59" s="2969"/>
      <c r="J59" s="2969"/>
      <c r="K59" s="2969"/>
      <c r="L59" s="2969"/>
      <c r="M59" s="2969"/>
      <c r="N59" s="2969"/>
      <c r="O59" s="2969"/>
      <c r="P59" s="2969"/>
      <c r="Q59" s="2969"/>
      <c r="R59" s="3018"/>
      <c r="S59" s="3019"/>
      <c r="U59" s="7"/>
    </row>
    <row r="60" spans="1:21" s="65" customFormat="1" ht="22.5" customHeight="1" thickBot="1">
      <c r="A60" s="2971" t="s">
        <v>62</v>
      </c>
      <c r="B60" s="2972"/>
      <c r="C60" s="2972"/>
      <c r="D60" s="2972"/>
      <c r="E60" s="2972"/>
      <c r="F60" s="2972"/>
      <c r="G60" s="2972"/>
      <c r="H60" s="2972"/>
      <c r="I60" s="2972"/>
      <c r="J60" s="2972"/>
      <c r="K60" s="2972"/>
      <c r="L60" s="2972"/>
      <c r="M60" s="2972"/>
      <c r="N60" s="2972"/>
      <c r="O60" s="2972"/>
      <c r="P60" s="2972"/>
      <c r="Q60" s="2972"/>
      <c r="R60" s="2972"/>
      <c r="S60" s="2973"/>
      <c r="U60" s="7"/>
    </row>
    <row r="61" spans="1:21" s="65" customFormat="1" ht="16.5" customHeight="1" thickBot="1">
      <c r="A61" s="2974" t="s">
        <v>112</v>
      </c>
      <c r="B61" s="2975"/>
      <c r="C61" s="2975"/>
      <c r="D61" s="2975"/>
      <c r="E61" s="2975"/>
      <c r="F61" s="2975"/>
      <c r="G61" s="2975"/>
      <c r="H61" s="2975"/>
      <c r="I61" s="2975"/>
      <c r="J61" s="2975"/>
      <c r="K61" s="2975"/>
      <c r="L61" s="2975"/>
      <c r="M61" s="2975"/>
      <c r="N61" s="2975"/>
      <c r="O61" s="2975"/>
      <c r="P61" s="2975"/>
      <c r="Q61" s="2975"/>
      <c r="R61" s="2975"/>
      <c r="S61" s="2976"/>
      <c r="U61" s="7"/>
    </row>
    <row r="62" spans="1:21" s="65" customFormat="1" ht="16.5" customHeight="1" thickBot="1">
      <c r="A62" s="38" t="s">
        <v>31</v>
      </c>
      <c r="B62" s="39">
        <f>J62</f>
        <v>65</v>
      </c>
      <c r="C62" s="39" t="s">
        <v>3</v>
      </c>
      <c r="D62" s="39">
        <f>K62</f>
        <v>200</v>
      </c>
      <c r="E62" s="39" t="s">
        <v>3</v>
      </c>
      <c r="F62" s="101">
        <f>L62</f>
        <v>600</v>
      </c>
      <c r="G62" s="39" t="s">
        <v>3</v>
      </c>
      <c r="H62" s="39">
        <v>2</v>
      </c>
      <c r="I62" s="40" t="s">
        <v>40</v>
      </c>
      <c r="J62" s="146">
        <v>65</v>
      </c>
      <c r="K62" s="138">
        <v>200</v>
      </c>
      <c r="L62" s="138">
        <v>600</v>
      </c>
      <c r="M62" s="147">
        <v>4.140734651640714</v>
      </c>
      <c r="N62" s="123">
        <v>50.662049999999994</v>
      </c>
      <c r="O62" s="148">
        <v>10580.423358475189</v>
      </c>
      <c r="P62" s="153">
        <v>11924.909145174724</v>
      </c>
      <c r="Q62" s="139">
        <v>4684.1930551970272</v>
      </c>
      <c r="R62" s="256">
        <v>15264.616413672216</v>
      </c>
      <c r="S62" s="257">
        <v>16609.102200371752</v>
      </c>
      <c r="U62" s="7" t="s">
        <v>857</v>
      </c>
    </row>
    <row r="63" spans="1:21" s="65" customFormat="1" ht="16.5" customHeight="1" thickBot="1">
      <c r="A63" s="41" t="s">
        <v>31</v>
      </c>
      <c r="B63" s="42">
        <f t="shared" ref="B63:B110" si="3">J63</f>
        <v>65</v>
      </c>
      <c r="C63" s="42" t="s">
        <v>3</v>
      </c>
      <c r="D63" s="42">
        <f t="shared" ref="D63:D110" si="4">K63</f>
        <v>200</v>
      </c>
      <c r="E63" s="42" t="s">
        <v>3</v>
      </c>
      <c r="F63" s="101">
        <f t="shared" ref="F63:F110" si="5">L63</f>
        <v>650</v>
      </c>
      <c r="G63" s="42" t="s">
        <v>3</v>
      </c>
      <c r="H63" s="39">
        <v>2</v>
      </c>
      <c r="I63" s="40" t="s">
        <v>40</v>
      </c>
      <c r="J63" s="149">
        <v>65</v>
      </c>
      <c r="K63" s="104">
        <v>200</v>
      </c>
      <c r="L63" s="104">
        <v>650</v>
      </c>
      <c r="M63" s="150">
        <v>4.4436079904492853</v>
      </c>
      <c r="N63" s="78">
        <v>60.794459999999987</v>
      </c>
      <c r="O63" s="111">
        <v>11007.354637607063</v>
      </c>
      <c r="P63" s="109">
        <v>12448.880861192845</v>
      </c>
      <c r="Q63" s="110">
        <v>5069.8581384389981</v>
      </c>
      <c r="R63" s="258">
        <v>16077.212776046061</v>
      </c>
      <c r="S63" s="259">
        <v>17518.738999631845</v>
      </c>
      <c r="U63" s="7" t="s">
        <v>858</v>
      </c>
    </row>
    <row r="64" spans="1:21" s="65" customFormat="1" ht="16.5" customHeight="1" thickBot="1">
      <c r="A64" s="41" t="s">
        <v>31</v>
      </c>
      <c r="B64" s="42">
        <f t="shared" si="3"/>
        <v>65</v>
      </c>
      <c r="C64" s="42" t="s">
        <v>3</v>
      </c>
      <c r="D64" s="42">
        <f t="shared" si="4"/>
        <v>200</v>
      </c>
      <c r="E64" s="42" t="s">
        <v>3</v>
      </c>
      <c r="F64" s="101">
        <f t="shared" si="5"/>
        <v>700</v>
      </c>
      <c r="G64" s="42" t="s">
        <v>3</v>
      </c>
      <c r="H64" s="39">
        <v>2</v>
      </c>
      <c r="I64" s="40" t="s">
        <v>40</v>
      </c>
      <c r="J64" s="149">
        <v>65</v>
      </c>
      <c r="K64" s="104">
        <v>200</v>
      </c>
      <c r="L64" s="104">
        <v>700</v>
      </c>
      <c r="M64" s="150">
        <v>4.7464813292578558</v>
      </c>
      <c r="N64" s="78">
        <v>70.92686999999998</v>
      </c>
      <c r="O64" s="111">
        <v>11434.285916738938</v>
      </c>
      <c r="P64" s="109">
        <v>12972.852577210966</v>
      </c>
      <c r="Q64" s="110">
        <v>5455.52322168097</v>
      </c>
      <c r="R64" s="258">
        <v>16889.809138419907</v>
      </c>
      <c r="S64" s="259">
        <v>18428.375798891935</v>
      </c>
      <c r="U64" s="7" t="s">
        <v>859</v>
      </c>
    </row>
    <row r="65" spans="1:21" s="65" customFormat="1" ht="16.5" customHeight="1" thickBot="1">
      <c r="A65" s="41" t="s">
        <v>31</v>
      </c>
      <c r="B65" s="42">
        <f t="shared" si="3"/>
        <v>65</v>
      </c>
      <c r="C65" s="42" t="s">
        <v>3</v>
      </c>
      <c r="D65" s="42">
        <f t="shared" si="4"/>
        <v>200</v>
      </c>
      <c r="E65" s="42" t="s">
        <v>3</v>
      </c>
      <c r="F65" s="101">
        <f t="shared" si="5"/>
        <v>750</v>
      </c>
      <c r="G65" s="42" t="s">
        <v>3</v>
      </c>
      <c r="H65" s="39">
        <v>2</v>
      </c>
      <c r="I65" s="40" t="s">
        <v>40</v>
      </c>
      <c r="J65" s="149">
        <v>65</v>
      </c>
      <c r="K65" s="104">
        <v>200</v>
      </c>
      <c r="L65" s="104">
        <v>750</v>
      </c>
      <c r="M65" s="150">
        <v>5.0493546680664281</v>
      </c>
      <c r="N65" s="78">
        <v>81.059280000000001</v>
      </c>
      <c r="O65" s="111">
        <v>11861.217195870813</v>
      </c>
      <c r="P65" s="109">
        <v>13496.824293229087</v>
      </c>
      <c r="Q65" s="110">
        <v>5841.1884579517073</v>
      </c>
      <c r="R65" s="258">
        <v>17702.40565382252</v>
      </c>
      <c r="S65" s="259">
        <v>19338.012751180795</v>
      </c>
      <c r="U65" s="7" t="s">
        <v>860</v>
      </c>
    </row>
    <row r="66" spans="1:21" s="65" customFormat="1" ht="16.5" customHeight="1" thickBot="1">
      <c r="A66" s="41" t="s">
        <v>31</v>
      </c>
      <c r="B66" s="42">
        <f t="shared" si="3"/>
        <v>65</v>
      </c>
      <c r="C66" s="42" t="s">
        <v>3</v>
      </c>
      <c r="D66" s="42">
        <f t="shared" si="4"/>
        <v>200</v>
      </c>
      <c r="E66" s="42" t="s">
        <v>3</v>
      </c>
      <c r="F66" s="101">
        <f t="shared" si="5"/>
        <v>800</v>
      </c>
      <c r="G66" s="42" t="s">
        <v>3</v>
      </c>
      <c r="H66" s="39">
        <v>2</v>
      </c>
      <c r="I66" s="40" t="s">
        <v>40</v>
      </c>
      <c r="J66" s="149">
        <v>65</v>
      </c>
      <c r="K66" s="104">
        <v>200</v>
      </c>
      <c r="L66" s="104">
        <v>800</v>
      </c>
      <c r="M66" s="150">
        <v>5.3522280068750003</v>
      </c>
      <c r="N66" s="78">
        <v>91.191689999999994</v>
      </c>
      <c r="O66" s="111">
        <v>12288.148475002687</v>
      </c>
      <c r="P66" s="109">
        <v>14020.796009247209</v>
      </c>
      <c r="Q66" s="110">
        <v>6226.8535411936782</v>
      </c>
      <c r="R66" s="258">
        <v>18515.002016196366</v>
      </c>
      <c r="S66" s="259">
        <v>20247.649550440889</v>
      </c>
      <c r="U66" s="7" t="s">
        <v>861</v>
      </c>
    </row>
    <row r="67" spans="1:21" s="65" customFormat="1" ht="16.5" customHeight="1" thickBot="1">
      <c r="A67" s="41" t="s">
        <v>31</v>
      </c>
      <c r="B67" s="42">
        <f t="shared" si="3"/>
        <v>65</v>
      </c>
      <c r="C67" s="42" t="s">
        <v>3</v>
      </c>
      <c r="D67" s="42">
        <f t="shared" si="4"/>
        <v>200</v>
      </c>
      <c r="E67" s="42" t="s">
        <v>3</v>
      </c>
      <c r="F67" s="101">
        <f t="shared" si="5"/>
        <v>850</v>
      </c>
      <c r="G67" s="42" t="s">
        <v>3</v>
      </c>
      <c r="H67" s="39">
        <v>2</v>
      </c>
      <c r="I67" s="40" t="s">
        <v>40</v>
      </c>
      <c r="J67" s="149">
        <v>65</v>
      </c>
      <c r="K67" s="104">
        <v>200</v>
      </c>
      <c r="L67" s="104">
        <v>850</v>
      </c>
      <c r="M67" s="150">
        <v>5.6551013456835717</v>
      </c>
      <c r="N67" s="78">
        <v>101.32409999999999</v>
      </c>
      <c r="O67" s="111">
        <v>12715.079754134562</v>
      </c>
      <c r="P67" s="109">
        <v>14544.767878294095</v>
      </c>
      <c r="Q67" s="110">
        <v>6612.5186244356501</v>
      </c>
      <c r="R67" s="258">
        <v>19327.598378570212</v>
      </c>
      <c r="S67" s="259">
        <v>21157.286502729745</v>
      </c>
      <c r="U67" s="7" t="s">
        <v>862</v>
      </c>
    </row>
    <row r="68" spans="1:21" s="65" customFormat="1" ht="16.5" customHeight="1" thickBot="1">
      <c r="A68" s="41" t="s">
        <v>31</v>
      </c>
      <c r="B68" s="42">
        <f t="shared" si="3"/>
        <v>65</v>
      </c>
      <c r="C68" s="42" t="s">
        <v>3</v>
      </c>
      <c r="D68" s="42">
        <f t="shared" si="4"/>
        <v>200</v>
      </c>
      <c r="E68" s="42" t="s">
        <v>3</v>
      </c>
      <c r="F68" s="101">
        <f t="shared" si="5"/>
        <v>900</v>
      </c>
      <c r="G68" s="42" t="s">
        <v>3</v>
      </c>
      <c r="H68" s="39">
        <v>2</v>
      </c>
      <c r="I68" s="40" t="s">
        <v>40</v>
      </c>
      <c r="J68" s="149">
        <v>65</v>
      </c>
      <c r="K68" s="104">
        <v>200</v>
      </c>
      <c r="L68" s="104">
        <v>900</v>
      </c>
      <c r="M68" s="150">
        <v>5.9579746844921448</v>
      </c>
      <c r="N68" s="78">
        <v>111.45650999999999</v>
      </c>
      <c r="O68" s="111">
        <v>13142.011033266437</v>
      </c>
      <c r="P68" s="109">
        <v>15068.739594312217</v>
      </c>
      <c r="Q68" s="110">
        <v>6998.1837076776219</v>
      </c>
      <c r="R68" s="258">
        <v>20140.194740944058</v>
      </c>
      <c r="S68" s="259">
        <v>22066.923301989838</v>
      </c>
      <c r="U68" s="7" t="s">
        <v>863</v>
      </c>
    </row>
    <row r="69" spans="1:21" s="65" customFormat="1" ht="16.5" customHeight="1" thickBot="1">
      <c r="A69" s="41" t="s">
        <v>31</v>
      </c>
      <c r="B69" s="42">
        <f t="shared" si="3"/>
        <v>65</v>
      </c>
      <c r="C69" s="42" t="s">
        <v>3</v>
      </c>
      <c r="D69" s="42">
        <f t="shared" si="4"/>
        <v>200</v>
      </c>
      <c r="E69" s="42" t="s">
        <v>3</v>
      </c>
      <c r="F69" s="101">
        <f t="shared" si="5"/>
        <v>950</v>
      </c>
      <c r="G69" s="42" t="s">
        <v>3</v>
      </c>
      <c r="H69" s="39">
        <v>2</v>
      </c>
      <c r="I69" s="40" t="s">
        <v>40</v>
      </c>
      <c r="J69" s="149">
        <v>65</v>
      </c>
      <c r="K69" s="104">
        <v>200</v>
      </c>
      <c r="L69" s="104">
        <v>950</v>
      </c>
      <c r="M69" s="150">
        <v>6.2608480233007144</v>
      </c>
      <c r="N69" s="78">
        <v>121.58891999999997</v>
      </c>
      <c r="O69" s="111">
        <v>13568.942312398311</v>
      </c>
      <c r="P69" s="109">
        <v>15592.711310330336</v>
      </c>
      <c r="Q69" s="110">
        <v>7383.8489439483583</v>
      </c>
      <c r="R69" s="258">
        <v>20952.791256346667</v>
      </c>
      <c r="S69" s="259">
        <v>22976.560254278695</v>
      </c>
      <c r="U69" s="7" t="s">
        <v>864</v>
      </c>
    </row>
    <row r="70" spans="1:21" s="65" customFormat="1" ht="16.5" customHeight="1" thickBot="1">
      <c r="A70" s="41" t="s">
        <v>31</v>
      </c>
      <c r="B70" s="42">
        <f t="shared" si="3"/>
        <v>65</v>
      </c>
      <c r="C70" s="42" t="s">
        <v>3</v>
      </c>
      <c r="D70" s="42">
        <f t="shared" si="4"/>
        <v>200</v>
      </c>
      <c r="E70" s="42" t="s">
        <v>3</v>
      </c>
      <c r="F70" s="101">
        <f t="shared" si="5"/>
        <v>1000</v>
      </c>
      <c r="G70" s="42" t="s">
        <v>3</v>
      </c>
      <c r="H70" s="39">
        <v>2</v>
      </c>
      <c r="I70" s="40" t="s">
        <v>40</v>
      </c>
      <c r="J70" s="149">
        <v>65</v>
      </c>
      <c r="K70" s="104">
        <v>200</v>
      </c>
      <c r="L70" s="104">
        <v>1000</v>
      </c>
      <c r="M70" s="150">
        <v>6.5637213621092858</v>
      </c>
      <c r="N70" s="78">
        <v>131.72132999999999</v>
      </c>
      <c r="O70" s="111">
        <v>13995.873591530186</v>
      </c>
      <c r="P70" s="109">
        <v>16116.683026348457</v>
      </c>
      <c r="Q70" s="110">
        <v>7769.514027190331</v>
      </c>
      <c r="R70" s="258">
        <v>21765.387618720517</v>
      </c>
      <c r="S70" s="259">
        <v>23886.197053538788</v>
      </c>
      <c r="U70" s="7" t="s">
        <v>865</v>
      </c>
    </row>
    <row r="71" spans="1:21" s="65" customFormat="1" ht="16.5" customHeight="1" thickBot="1">
      <c r="A71" s="41" t="s">
        <v>31</v>
      </c>
      <c r="B71" s="42">
        <f t="shared" si="3"/>
        <v>65</v>
      </c>
      <c r="C71" s="42" t="s">
        <v>3</v>
      </c>
      <c r="D71" s="42">
        <f t="shared" si="4"/>
        <v>200</v>
      </c>
      <c r="E71" s="42" t="s">
        <v>3</v>
      </c>
      <c r="F71" s="101">
        <f t="shared" si="5"/>
        <v>1050</v>
      </c>
      <c r="G71" s="42" t="s">
        <v>3</v>
      </c>
      <c r="H71" s="39">
        <v>2</v>
      </c>
      <c r="I71" s="40" t="s">
        <v>40</v>
      </c>
      <c r="J71" s="149">
        <v>65</v>
      </c>
      <c r="K71" s="104">
        <v>200</v>
      </c>
      <c r="L71" s="104">
        <v>1050</v>
      </c>
      <c r="M71" s="150">
        <v>6.8665947009178563</v>
      </c>
      <c r="N71" s="78">
        <v>141.85373999999996</v>
      </c>
      <c r="O71" s="111">
        <v>14422.804870662061</v>
      </c>
      <c r="P71" s="109">
        <v>16640.65474236658</v>
      </c>
      <c r="Q71" s="110">
        <v>8155.1791104323029</v>
      </c>
      <c r="R71" s="258">
        <v>22577.983981094363</v>
      </c>
      <c r="S71" s="259">
        <v>24795.833852798882</v>
      </c>
      <c r="U71" s="7" t="s">
        <v>866</v>
      </c>
    </row>
    <row r="72" spans="1:21" s="65" customFormat="1" ht="16.5" customHeight="1" thickBot="1">
      <c r="A72" s="38" t="s">
        <v>31</v>
      </c>
      <c r="B72" s="39">
        <f t="shared" si="3"/>
        <v>65</v>
      </c>
      <c r="C72" s="39" t="s">
        <v>3</v>
      </c>
      <c r="D72" s="39">
        <f t="shared" si="4"/>
        <v>200</v>
      </c>
      <c r="E72" s="39" t="s">
        <v>3</v>
      </c>
      <c r="F72" s="101">
        <f t="shared" si="5"/>
        <v>1100</v>
      </c>
      <c r="G72" s="39" t="s">
        <v>3</v>
      </c>
      <c r="H72" s="39">
        <v>2</v>
      </c>
      <c r="I72" s="40" t="s">
        <v>40</v>
      </c>
      <c r="J72" s="149">
        <v>65</v>
      </c>
      <c r="K72" s="104">
        <v>200</v>
      </c>
      <c r="L72" s="104">
        <v>1100</v>
      </c>
      <c r="M72" s="150">
        <v>7.1694680397264285</v>
      </c>
      <c r="N72" s="78">
        <v>151.98614999999998</v>
      </c>
      <c r="O72" s="111">
        <v>14849.736149793936</v>
      </c>
      <c r="P72" s="109">
        <v>17164.626458384701</v>
      </c>
      <c r="Q72" s="110">
        <v>8540.8441936742729</v>
      </c>
      <c r="R72" s="258">
        <v>23390.580343468209</v>
      </c>
      <c r="S72" s="259">
        <v>25705.470652058975</v>
      </c>
      <c r="U72" s="7" t="s">
        <v>867</v>
      </c>
    </row>
    <row r="73" spans="1:21" s="65" customFormat="1" ht="16.5" customHeight="1" thickBot="1">
      <c r="A73" s="41" t="s">
        <v>31</v>
      </c>
      <c r="B73" s="42">
        <f t="shared" si="3"/>
        <v>65</v>
      </c>
      <c r="C73" s="42" t="s">
        <v>3</v>
      </c>
      <c r="D73" s="42">
        <f t="shared" si="4"/>
        <v>200</v>
      </c>
      <c r="E73" s="42" t="s">
        <v>3</v>
      </c>
      <c r="F73" s="101">
        <f t="shared" si="5"/>
        <v>1150</v>
      </c>
      <c r="G73" s="42" t="s">
        <v>3</v>
      </c>
      <c r="H73" s="39">
        <v>2</v>
      </c>
      <c r="I73" s="40" t="s">
        <v>40</v>
      </c>
      <c r="J73" s="149">
        <v>65</v>
      </c>
      <c r="K73" s="104">
        <v>200</v>
      </c>
      <c r="L73" s="104">
        <v>1150</v>
      </c>
      <c r="M73" s="150">
        <v>7.4723413785349999</v>
      </c>
      <c r="N73" s="78">
        <v>162.11856</v>
      </c>
      <c r="O73" s="111">
        <v>15276.667581954574</v>
      </c>
      <c r="P73" s="109">
        <v>17688.598174402821</v>
      </c>
      <c r="Q73" s="110">
        <v>8926.5092769162457</v>
      </c>
      <c r="R73" s="258">
        <v>24203.176858870822</v>
      </c>
      <c r="S73" s="259">
        <v>26615.107451319069</v>
      </c>
      <c r="U73" s="7" t="s">
        <v>868</v>
      </c>
    </row>
    <row r="74" spans="1:21" s="65" customFormat="1" ht="16.5" customHeight="1" thickBot="1">
      <c r="A74" s="41" t="s">
        <v>31</v>
      </c>
      <c r="B74" s="42">
        <f t="shared" si="3"/>
        <v>65</v>
      </c>
      <c r="C74" s="42" t="s">
        <v>3</v>
      </c>
      <c r="D74" s="42">
        <f t="shared" si="4"/>
        <v>200</v>
      </c>
      <c r="E74" s="42" t="s">
        <v>3</v>
      </c>
      <c r="F74" s="101">
        <f t="shared" si="5"/>
        <v>1200</v>
      </c>
      <c r="G74" s="42" t="s">
        <v>3</v>
      </c>
      <c r="H74" s="39">
        <v>2</v>
      </c>
      <c r="I74" s="40" t="s">
        <v>40</v>
      </c>
      <c r="J74" s="149">
        <v>65</v>
      </c>
      <c r="K74" s="104">
        <v>200</v>
      </c>
      <c r="L74" s="104">
        <v>1200</v>
      </c>
      <c r="M74" s="150">
        <v>7.8144647173435713</v>
      </c>
      <c r="N74" s="78">
        <v>172.25096999999997</v>
      </c>
      <c r="O74" s="111">
        <v>15753.599020717096</v>
      </c>
      <c r="P74" s="109">
        <v>18261.046189608474</v>
      </c>
      <c r="Q74" s="110">
        <v>9312.1745131869829</v>
      </c>
      <c r="R74" s="258">
        <v>25065.773533904081</v>
      </c>
      <c r="S74" s="259">
        <v>27573.220702795457</v>
      </c>
      <c r="U74" s="7" t="s">
        <v>869</v>
      </c>
    </row>
    <row r="75" spans="1:21" s="65" customFormat="1" ht="16.5" customHeight="1" thickBot="1">
      <c r="A75" s="41" t="s">
        <v>31</v>
      </c>
      <c r="B75" s="42">
        <f t="shared" si="3"/>
        <v>65</v>
      </c>
      <c r="C75" s="42" t="s">
        <v>3</v>
      </c>
      <c r="D75" s="42">
        <f t="shared" si="4"/>
        <v>200</v>
      </c>
      <c r="E75" s="42" t="s">
        <v>3</v>
      </c>
      <c r="F75" s="101">
        <f t="shared" si="5"/>
        <v>1250</v>
      </c>
      <c r="G75" s="42" t="s">
        <v>3</v>
      </c>
      <c r="H75" s="39">
        <v>2</v>
      </c>
      <c r="I75" s="40" t="s">
        <v>40</v>
      </c>
      <c r="J75" s="149">
        <v>65</v>
      </c>
      <c r="K75" s="104">
        <v>200</v>
      </c>
      <c r="L75" s="104">
        <v>1250</v>
      </c>
      <c r="M75" s="150">
        <v>8.1173380561521427</v>
      </c>
      <c r="N75" s="78">
        <v>182.38337999999999</v>
      </c>
      <c r="O75" s="111">
        <v>16180.530299848971</v>
      </c>
      <c r="P75" s="109">
        <v>18785.017905626595</v>
      </c>
      <c r="Q75" s="110">
        <v>9697.8395964289539</v>
      </c>
      <c r="R75" s="258">
        <v>25878.369896277924</v>
      </c>
      <c r="S75" s="259">
        <v>28482.857502055551</v>
      </c>
      <c r="U75" s="7" t="s">
        <v>870</v>
      </c>
    </row>
    <row r="76" spans="1:21" s="65" customFormat="1" ht="16.5" customHeight="1" thickBot="1">
      <c r="A76" s="41" t="s">
        <v>31</v>
      </c>
      <c r="B76" s="42">
        <f t="shared" si="3"/>
        <v>65</v>
      </c>
      <c r="C76" s="42" t="s">
        <v>3</v>
      </c>
      <c r="D76" s="42">
        <f t="shared" si="4"/>
        <v>200</v>
      </c>
      <c r="E76" s="42" t="s">
        <v>3</v>
      </c>
      <c r="F76" s="101">
        <f t="shared" si="5"/>
        <v>1300</v>
      </c>
      <c r="G76" s="42" t="s">
        <v>3</v>
      </c>
      <c r="H76" s="39">
        <v>2</v>
      </c>
      <c r="I76" s="40" t="s">
        <v>40</v>
      </c>
      <c r="J76" s="149">
        <v>65</v>
      </c>
      <c r="K76" s="104">
        <v>200</v>
      </c>
      <c r="L76" s="104">
        <v>1300</v>
      </c>
      <c r="M76" s="150">
        <v>8.4202113949607131</v>
      </c>
      <c r="N76" s="78">
        <v>192.51578999999995</v>
      </c>
      <c r="O76" s="111">
        <v>16607.461578980845</v>
      </c>
      <c r="P76" s="109">
        <v>19308.989621644716</v>
      </c>
      <c r="Q76" s="110">
        <v>10083.504679670925</v>
      </c>
      <c r="R76" s="258">
        <v>26690.96625865177</v>
      </c>
      <c r="S76" s="259">
        <v>29392.494301315641</v>
      </c>
      <c r="U76" s="7" t="s">
        <v>871</v>
      </c>
    </row>
    <row r="77" spans="1:21" s="65" customFormat="1" ht="16.5" customHeight="1" thickBot="1">
      <c r="A77" s="41" t="s">
        <v>31</v>
      </c>
      <c r="B77" s="42">
        <f t="shared" si="3"/>
        <v>65</v>
      </c>
      <c r="C77" s="42" t="s">
        <v>3</v>
      </c>
      <c r="D77" s="42">
        <f t="shared" si="4"/>
        <v>200</v>
      </c>
      <c r="E77" s="42" t="s">
        <v>3</v>
      </c>
      <c r="F77" s="101">
        <f t="shared" si="5"/>
        <v>1350</v>
      </c>
      <c r="G77" s="42" t="s">
        <v>3</v>
      </c>
      <c r="H77" s="39">
        <v>2</v>
      </c>
      <c r="I77" s="40" t="s">
        <v>40</v>
      </c>
      <c r="J77" s="149">
        <v>65</v>
      </c>
      <c r="K77" s="104">
        <v>200</v>
      </c>
      <c r="L77" s="104">
        <v>1350</v>
      </c>
      <c r="M77" s="150">
        <v>8.7230847337692854</v>
      </c>
      <c r="N77" s="78">
        <v>202.64819999999997</v>
      </c>
      <c r="O77" s="111">
        <v>17034.392858112722</v>
      </c>
      <c r="P77" s="109">
        <v>19832.961337662837</v>
      </c>
      <c r="Q77" s="110">
        <v>10469.169762912898</v>
      </c>
      <c r="R77" s="258">
        <v>27503.56262102562</v>
      </c>
      <c r="S77" s="259">
        <v>30302.131100575734</v>
      </c>
      <c r="U77" s="7" t="s">
        <v>872</v>
      </c>
    </row>
    <row r="78" spans="1:21" s="65" customFormat="1" ht="16.5" customHeight="1" thickBot="1">
      <c r="A78" s="41" t="s">
        <v>31</v>
      </c>
      <c r="B78" s="42">
        <f t="shared" si="3"/>
        <v>65</v>
      </c>
      <c r="C78" s="42" t="s">
        <v>3</v>
      </c>
      <c r="D78" s="42">
        <f t="shared" si="4"/>
        <v>200</v>
      </c>
      <c r="E78" s="42" t="s">
        <v>3</v>
      </c>
      <c r="F78" s="101">
        <f t="shared" si="5"/>
        <v>1400</v>
      </c>
      <c r="G78" s="42" t="s">
        <v>3</v>
      </c>
      <c r="H78" s="39">
        <v>2</v>
      </c>
      <c r="I78" s="40" t="s">
        <v>40</v>
      </c>
      <c r="J78" s="149">
        <v>65</v>
      </c>
      <c r="K78" s="104">
        <v>200</v>
      </c>
      <c r="L78" s="104">
        <v>1400</v>
      </c>
      <c r="M78" s="150">
        <v>9.0259580725778576</v>
      </c>
      <c r="N78" s="78">
        <v>212.78061</v>
      </c>
      <c r="O78" s="111">
        <v>17461.324137244595</v>
      </c>
      <c r="P78" s="109">
        <v>20356.933053680958</v>
      </c>
      <c r="Q78" s="110">
        <v>10854.834999183635</v>
      </c>
      <c r="R78" s="258">
        <v>28316.159136428229</v>
      </c>
      <c r="S78" s="259">
        <v>31211.768052864594</v>
      </c>
      <c r="U78" s="7" t="s">
        <v>873</v>
      </c>
    </row>
    <row r="79" spans="1:21" s="65" customFormat="1" ht="16.5" customHeight="1" thickBot="1">
      <c r="A79" s="41" t="s">
        <v>31</v>
      </c>
      <c r="B79" s="42">
        <f t="shared" si="3"/>
        <v>65</v>
      </c>
      <c r="C79" s="42" t="s">
        <v>3</v>
      </c>
      <c r="D79" s="42">
        <f t="shared" si="4"/>
        <v>200</v>
      </c>
      <c r="E79" s="42" t="s">
        <v>3</v>
      </c>
      <c r="F79" s="101">
        <f t="shared" si="5"/>
        <v>1450</v>
      </c>
      <c r="G79" s="42" t="s">
        <v>3</v>
      </c>
      <c r="H79" s="39">
        <v>2</v>
      </c>
      <c r="I79" s="40" t="s">
        <v>40</v>
      </c>
      <c r="J79" s="149">
        <v>65</v>
      </c>
      <c r="K79" s="104">
        <v>200</v>
      </c>
      <c r="L79" s="104">
        <v>1450</v>
      </c>
      <c r="M79" s="150">
        <v>9.3288314113864299</v>
      </c>
      <c r="N79" s="78">
        <v>222.91301999999999</v>
      </c>
      <c r="O79" s="111">
        <v>17888.255569405232</v>
      </c>
      <c r="P79" s="109">
        <v>20880.904922727845</v>
      </c>
      <c r="Q79" s="110">
        <v>11240.500082425606</v>
      </c>
      <c r="R79" s="258">
        <v>29128.755651830837</v>
      </c>
      <c r="S79" s="259">
        <v>32121.40500515345</v>
      </c>
      <c r="U79" s="7" t="s">
        <v>874</v>
      </c>
    </row>
    <row r="80" spans="1:21" s="65" customFormat="1" ht="16.5" customHeight="1" thickBot="1">
      <c r="A80" s="41" t="s">
        <v>31</v>
      </c>
      <c r="B80" s="42">
        <f t="shared" si="3"/>
        <v>65</v>
      </c>
      <c r="C80" s="42" t="s">
        <v>3</v>
      </c>
      <c r="D80" s="42">
        <f t="shared" si="4"/>
        <v>200</v>
      </c>
      <c r="E80" s="42" t="s">
        <v>3</v>
      </c>
      <c r="F80" s="101">
        <f t="shared" si="5"/>
        <v>1500</v>
      </c>
      <c r="G80" s="42" t="s">
        <v>3</v>
      </c>
      <c r="H80" s="39">
        <v>2</v>
      </c>
      <c r="I80" s="40" t="s">
        <v>40</v>
      </c>
      <c r="J80" s="149">
        <v>65</v>
      </c>
      <c r="K80" s="104">
        <v>200</v>
      </c>
      <c r="L80" s="104">
        <v>1500</v>
      </c>
      <c r="M80" s="150">
        <v>9.7242678829950009</v>
      </c>
      <c r="N80" s="78">
        <v>233.04542999999995</v>
      </c>
      <c r="O80" s="111">
        <v>18903.171109122079</v>
      </c>
      <c r="P80" s="109">
        <v>21892.640218647863</v>
      </c>
      <c r="Q80" s="110">
        <v>11626.165165667579</v>
      </c>
      <c r="R80" s="258">
        <v>30529.336274789657</v>
      </c>
      <c r="S80" s="259">
        <v>33518.805384315441</v>
      </c>
      <c r="U80" s="7" t="s">
        <v>875</v>
      </c>
    </row>
    <row r="81" spans="1:21" s="65" customFormat="1" ht="16.5" customHeight="1" thickBot="1">
      <c r="A81" s="41" t="s">
        <v>31</v>
      </c>
      <c r="B81" s="42">
        <f t="shared" si="3"/>
        <v>65</v>
      </c>
      <c r="C81" s="42" t="s">
        <v>3</v>
      </c>
      <c r="D81" s="42">
        <f t="shared" si="4"/>
        <v>200</v>
      </c>
      <c r="E81" s="42" t="s">
        <v>3</v>
      </c>
      <c r="F81" s="101">
        <f t="shared" si="5"/>
        <v>1550</v>
      </c>
      <c r="G81" s="42" t="s">
        <v>3</v>
      </c>
      <c r="H81" s="39">
        <v>2</v>
      </c>
      <c r="I81" s="40" t="s">
        <v>40</v>
      </c>
      <c r="J81" s="149">
        <v>65</v>
      </c>
      <c r="K81" s="104">
        <v>200</v>
      </c>
      <c r="L81" s="104">
        <v>1550</v>
      </c>
      <c r="M81" s="150">
        <v>10.027141221803571</v>
      </c>
      <c r="N81" s="78">
        <v>243.17783999999995</v>
      </c>
      <c r="O81" s="111">
        <v>19330.102388253952</v>
      </c>
      <c r="P81" s="109">
        <v>22416.612087694746</v>
      </c>
      <c r="Q81" s="110">
        <v>12011.830248909549</v>
      </c>
      <c r="R81" s="258">
        <v>31341.932637163503</v>
      </c>
      <c r="S81" s="259">
        <v>34428.442336604297</v>
      </c>
      <c r="U81" s="7" t="s">
        <v>876</v>
      </c>
    </row>
    <row r="82" spans="1:21" s="65" customFormat="1" ht="16.5" customHeight="1" thickBot="1">
      <c r="A82" s="38" t="s">
        <v>31</v>
      </c>
      <c r="B82" s="39">
        <f t="shared" si="3"/>
        <v>65</v>
      </c>
      <c r="C82" s="39" t="s">
        <v>3</v>
      </c>
      <c r="D82" s="39">
        <f t="shared" si="4"/>
        <v>200</v>
      </c>
      <c r="E82" s="39" t="s">
        <v>3</v>
      </c>
      <c r="F82" s="101">
        <f t="shared" si="5"/>
        <v>1600</v>
      </c>
      <c r="G82" s="39" t="s">
        <v>3</v>
      </c>
      <c r="H82" s="39">
        <v>2</v>
      </c>
      <c r="I82" s="40" t="s">
        <v>40</v>
      </c>
      <c r="J82" s="149">
        <v>65</v>
      </c>
      <c r="K82" s="104">
        <v>200</v>
      </c>
      <c r="L82" s="104">
        <v>1600</v>
      </c>
      <c r="M82" s="150">
        <v>10.330014560612142</v>
      </c>
      <c r="N82" s="78">
        <v>253.31024999999997</v>
      </c>
      <c r="O82" s="111">
        <v>19757.033667385829</v>
      </c>
      <c r="P82" s="109">
        <v>22940.583803712871</v>
      </c>
      <c r="Q82" s="110">
        <v>12397.495332151522</v>
      </c>
      <c r="R82" s="258">
        <v>32154.528999537353</v>
      </c>
      <c r="S82" s="259">
        <v>35338.079135864391</v>
      </c>
      <c r="U82" s="7" t="s">
        <v>877</v>
      </c>
    </row>
    <row r="83" spans="1:21" s="65" customFormat="1" ht="16.5" customHeight="1" thickBot="1">
      <c r="A83" s="41" t="s">
        <v>31</v>
      </c>
      <c r="B83" s="42">
        <f t="shared" si="3"/>
        <v>65</v>
      </c>
      <c r="C83" s="42" t="s">
        <v>3</v>
      </c>
      <c r="D83" s="42">
        <f t="shared" si="4"/>
        <v>200</v>
      </c>
      <c r="E83" s="42" t="s">
        <v>3</v>
      </c>
      <c r="F83" s="101">
        <f t="shared" si="5"/>
        <v>1650</v>
      </c>
      <c r="G83" s="42" t="s">
        <v>3</v>
      </c>
      <c r="H83" s="39">
        <v>2</v>
      </c>
      <c r="I83" s="40" t="s">
        <v>40</v>
      </c>
      <c r="J83" s="149">
        <v>65</v>
      </c>
      <c r="K83" s="104">
        <v>200</v>
      </c>
      <c r="L83" s="104">
        <v>1650</v>
      </c>
      <c r="M83" s="150">
        <v>10.632887899420714</v>
      </c>
      <c r="N83" s="78">
        <v>263.44265999999999</v>
      </c>
      <c r="O83" s="111">
        <v>20183.964946517703</v>
      </c>
      <c r="P83" s="109">
        <v>23464.555519730991</v>
      </c>
      <c r="Q83" s="110">
        <v>12783.16056842226</v>
      </c>
      <c r="R83" s="258">
        <v>32967.125514939966</v>
      </c>
      <c r="S83" s="259">
        <v>36247.716088153247</v>
      </c>
      <c r="U83" s="7" t="s">
        <v>878</v>
      </c>
    </row>
    <row r="84" spans="1:21" s="65" customFormat="1" ht="16.5" customHeight="1" thickBot="1">
      <c r="A84" s="41" t="s">
        <v>31</v>
      </c>
      <c r="B84" s="42">
        <f t="shared" si="3"/>
        <v>65</v>
      </c>
      <c r="C84" s="42" t="s">
        <v>3</v>
      </c>
      <c r="D84" s="42">
        <f t="shared" si="4"/>
        <v>200</v>
      </c>
      <c r="E84" s="42" t="s">
        <v>3</v>
      </c>
      <c r="F84" s="101">
        <f t="shared" si="5"/>
        <v>1700</v>
      </c>
      <c r="G84" s="42" t="s">
        <v>3</v>
      </c>
      <c r="H84" s="39">
        <v>2</v>
      </c>
      <c r="I84" s="40" t="s">
        <v>40</v>
      </c>
      <c r="J84" s="149">
        <v>65</v>
      </c>
      <c r="K84" s="104">
        <v>200</v>
      </c>
      <c r="L84" s="104">
        <v>1700</v>
      </c>
      <c r="M84" s="150">
        <v>10.935761238229285</v>
      </c>
      <c r="N84" s="78">
        <v>273.57506999999998</v>
      </c>
      <c r="O84" s="111">
        <v>20610.896225649576</v>
      </c>
      <c r="P84" s="109">
        <v>23988.527235749109</v>
      </c>
      <c r="Q84" s="110">
        <v>13168.82565166423</v>
      </c>
      <c r="R84" s="258">
        <v>33779.721877313808</v>
      </c>
      <c r="S84" s="259">
        <v>37157.352887413341</v>
      </c>
      <c r="U84" s="7" t="s">
        <v>879</v>
      </c>
    </row>
    <row r="85" spans="1:21" s="65" customFormat="1" ht="16.5" customHeight="1" thickBot="1">
      <c r="A85" s="41" t="s">
        <v>31</v>
      </c>
      <c r="B85" s="42">
        <f t="shared" si="3"/>
        <v>65</v>
      </c>
      <c r="C85" s="42" t="s">
        <v>3</v>
      </c>
      <c r="D85" s="42">
        <f t="shared" si="4"/>
        <v>200</v>
      </c>
      <c r="E85" s="42" t="s">
        <v>3</v>
      </c>
      <c r="F85" s="101">
        <f t="shared" si="5"/>
        <v>1750</v>
      </c>
      <c r="G85" s="42" t="s">
        <v>3</v>
      </c>
      <c r="H85" s="39">
        <v>2</v>
      </c>
      <c r="I85" s="40" t="s">
        <v>40</v>
      </c>
      <c r="J85" s="149">
        <v>65</v>
      </c>
      <c r="K85" s="104">
        <v>200</v>
      </c>
      <c r="L85" s="104">
        <v>1750</v>
      </c>
      <c r="M85" s="150">
        <v>11.238634577037857</v>
      </c>
      <c r="N85" s="78">
        <v>283.70747999999992</v>
      </c>
      <c r="O85" s="111">
        <v>21037.82750478145</v>
      </c>
      <c r="P85" s="109">
        <v>24512.498951767233</v>
      </c>
      <c r="Q85" s="110">
        <v>13554.490734906201</v>
      </c>
      <c r="R85" s="258">
        <v>34592.318239687651</v>
      </c>
      <c r="S85" s="259">
        <v>38066.989686673434</v>
      </c>
      <c r="U85" s="7" t="s">
        <v>880</v>
      </c>
    </row>
    <row r="86" spans="1:21" s="65" customFormat="1" ht="16.5" customHeight="1" thickBot="1">
      <c r="A86" s="41" t="s">
        <v>31</v>
      </c>
      <c r="B86" s="42">
        <f t="shared" si="3"/>
        <v>65</v>
      </c>
      <c r="C86" s="42" t="s">
        <v>3</v>
      </c>
      <c r="D86" s="42">
        <f t="shared" si="4"/>
        <v>200</v>
      </c>
      <c r="E86" s="42" t="s">
        <v>3</v>
      </c>
      <c r="F86" s="101">
        <f t="shared" si="5"/>
        <v>1800</v>
      </c>
      <c r="G86" s="42" t="s">
        <v>3</v>
      </c>
      <c r="H86" s="39">
        <v>2</v>
      </c>
      <c r="I86" s="40" t="s">
        <v>40</v>
      </c>
      <c r="J86" s="149">
        <v>65</v>
      </c>
      <c r="K86" s="104">
        <v>200</v>
      </c>
      <c r="L86" s="104">
        <v>1800</v>
      </c>
      <c r="M86" s="150">
        <v>11.541507915846429</v>
      </c>
      <c r="N86" s="78">
        <v>293.83988999999997</v>
      </c>
      <c r="O86" s="111">
        <v>21464.758783913327</v>
      </c>
      <c r="P86" s="109">
        <v>25036.470667785354</v>
      </c>
      <c r="Q86" s="110">
        <v>13940.155818148172</v>
      </c>
      <c r="R86" s="258">
        <v>35404.914602061501</v>
      </c>
      <c r="S86" s="259">
        <v>38976.626485933528</v>
      </c>
      <c r="U86" s="7" t="s">
        <v>881</v>
      </c>
    </row>
    <row r="87" spans="1:21" s="65" customFormat="1" ht="16.5" customHeight="1" thickBot="1">
      <c r="A87" s="41" t="s">
        <v>31</v>
      </c>
      <c r="B87" s="42">
        <f t="shared" si="3"/>
        <v>65</v>
      </c>
      <c r="C87" s="42" t="s">
        <v>3</v>
      </c>
      <c r="D87" s="42">
        <f t="shared" si="4"/>
        <v>200</v>
      </c>
      <c r="E87" s="42" t="s">
        <v>3</v>
      </c>
      <c r="F87" s="101">
        <f t="shared" si="5"/>
        <v>1850</v>
      </c>
      <c r="G87" s="42" t="s">
        <v>3</v>
      </c>
      <c r="H87" s="39">
        <v>2</v>
      </c>
      <c r="I87" s="40" t="s">
        <v>40</v>
      </c>
      <c r="J87" s="149">
        <v>65</v>
      </c>
      <c r="K87" s="104">
        <v>200</v>
      </c>
      <c r="L87" s="104">
        <v>1850</v>
      </c>
      <c r="M87" s="150">
        <v>11.844381254655</v>
      </c>
      <c r="N87" s="78">
        <v>303.97229999999996</v>
      </c>
      <c r="O87" s="111">
        <v>21891.6900630452</v>
      </c>
      <c r="P87" s="109">
        <v>25560.442383803478</v>
      </c>
      <c r="Q87" s="110">
        <v>14325.82105441891</v>
      </c>
      <c r="R87" s="258">
        <v>36217.511117464106</v>
      </c>
      <c r="S87" s="259">
        <v>39886.263438222391</v>
      </c>
      <c r="U87" s="7" t="s">
        <v>882</v>
      </c>
    </row>
    <row r="88" spans="1:21" s="65" customFormat="1" ht="16.5" customHeight="1" thickBot="1">
      <c r="A88" s="41" t="s">
        <v>31</v>
      </c>
      <c r="B88" s="42">
        <f t="shared" si="3"/>
        <v>65</v>
      </c>
      <c r="C88" s="42" t="s">
        <v>3</v>
      </c>
      <c r="D88" s="42">
        <f t="shared" si="4"/>
        <v>200</v>
      </c>
      <c r="E88" s="42" t="s">
        <v>3</v>
      </c>
      <c r="F88" s="101">
        <f t="shared" si="5"/>
        <v>1900</v>
      </c>
      <c r="G88" s="42" t="s">
        <v>3</v>
      </c>
      <c r="H88" s="39">
        <v>2</v>
      </c>
      <c r="I88" s="40" t="s">
        <v>40</v>
      </c>
      <c r="J88" s="149">
        <v>65</v>
      </c>
      <c r="K88" s="104">
        <v>200</v>
      </c>
      <c r="L88" s="104">
        <v>1900</v>
      </c>
      <c r="M88" s="150">
        <v>12.14725459346357</v>
      </c>
      <c r="N88" s="78">
        <v>314.10470999999995</v>
      </c>
      <c r="O88" s="111">
        <v>22318.621342177074</v>
      </c>
      <c r="P88" s="109">
        <v>26084.414252850362</v>
      </c>
      <c r="Q88" s="110">
        <v>14711.486137660881</v>
      </c>
      <c r="R88" s="258">
        <v>37030.107479837956</v>
      </c>
      <c r="S88" s="259">
        <v>40795.90039051124</v>
      </c>
      <c r="U88" s="7" t="s">
        <v>883</v>
      </c>
    </row>
    <row r="89" spans="1:21" s="65" customFormat="1" ht="16.5" customHeight="1" thickBot="1">
      <c r="A89" s="41" t="s">
        <v>31</v>
      </c>
      <c r="B89" s="42">
        <f t="shared" si="3"/>
        <v>65</v>
      </c>
      <c r="C89" s="42" t="s">
        <v>3</v>
      </c>
      <c r="D89" s="42">
        <f t="shared" si="4"/>
        <v>200</v>
      </c>
      <c r="E89" s="42" t="s">
        <v>3</v>
      </c>
      <c r="F89" s="101">
        <f t="shared" si="5"/>
        <v>1950</v>
      </c>
      <c r="G89" s="42" t="s">
        <v>3</v>
      </c>
      <c r="H89" s="39">
        <v>2</v>
      </c>
      <c r="I89" s="40" t="s">
        <v>40</v>
      </c>
      <c r="J89" s="149">
        <v>65</v>
      </c>
      <c r="K89" s="104">
        <v>200</v>
      </c>
      <c r="L89" s="104">
        <v>1950</v>
      </c>
      <c r="M89" s="150">
        <v>12.489377932272145</v>
      </c>
      <c r="N89" s="78">
        <v>324.23712</v>
      </c>
      <c r="O89" s="111">
        <v>22795.552933968364</v>
      </c>
      <c r="P89" s="109">
        <v>26656.862115027248</v>
      </c>
      <c r="Q89" s="110">
        <v>15097.151220902853</v>
      </c>
      <c r="R89" s="258">
        <v>37892.704154871215</v>
      </c>
      <c r="S89" s="259">
        <v>41754.013335930103</v>
      </c>
      <c r="U89" s="7" t="s">
        <v>884</v>
      </c>
    </row>
    <row r="90" spans="1:21" s="65" customFormat="1" ht="16.5" customHeight="1" thickBot="1">
      <c r="A90" s="41" t="s">
        <v>31</v>
      </c>
      <c r="B90" s="42">
        <f t="shared" si="3"/>
        <v>65</v>
      </c>
      <c r="C90" s="42" t="s">
        <v>3</v>
      </c>
      <c r="D90" s="42">
        <f t="shared" si="4"/>
        <v>200</v>
      </c>
      <c r="E90" s="42" t="s">
        <v>3</v>
      </c>
      <c r="F90" s="101">
        <f t="shared" si="5"/>
        <v>2000</v>
      </c>
      <c r="G90" s="42" t="s">
        <v>3</v>
      </c>
      <c r="H90" s="39">
        <v>2</v>
      </c>
      <c r="I90" s="40" t="s">
        <v>40</v>
      </c>
      <c r="J90" s="149">
        <v>65</v>
      </c>
      <c r="K90" s="104">
        <v>200</v>
      </c>
      <c r="L90" s="104">
        <v>2000</v>
      </c>
      <c r="M90" s="150">
        <v>12.883813671080713</v>
      </c>
      <c r="N90" s="78">
        <v>334.36952999999994</v>
      </c>
      <c r="O90" s="111">
        <v>23473.776114944831</v>
      </c>
      <c r="P90" s="109">
        <v>27509.26233041146</v>
      </c>
      <c r="Q90" s="110">
        <v>15482.816304144826</v>
      </c>
      <c r="R90" s="258">
        <v>38956.592419089655</v>
      </c>
      <c r="S90" s="259">
        <v>42992.078634556288</v>
      </c>
      <c r="U90" s="7" t="s">
        <v>885</v>
      </c>
    </row>
    <row r="91" spans="1:21" s="65" customFormat="1" ht="16.5" customHeight="1" thickBot="1">
      <c r="A91" s="41" t="s">
        <v>31</v>
      </c>
      <c r="B91" s="42">
        <f t="shared" si="3"/>
        <v>65</v>
      </c>
      <c r="C91" s="42" t="s">
        <v>3</v>
      </c>
      <c r="D91" s="42">
        <f t="shared" si="4"/>
        <v>200</v>
      </c>
      <c r="E91" s="42" t="s">
        <v>3</v>
      </c>
      <c r="F91" s="101">
        <f t="shared" si="5"/>
        <v>2050</v>
      </c>
      <c r="G91" s="42" t="s">
        <v>3</v>
      </c>
      <c r="H91" s="39">
        <v>2</v>
      </c>
      <c r="I91" s="40" t="s">
        <v>40</v>
      </c>
      <c r="J91" s="149">
        <v>65</v>
      </c>
      <c r="K91" s="104">
        <v>200</v>
      </c>
      <c r="L91" s="104">
        <v>2050</v>
      </c>
      <c r="M91" s="150">
        <v>13.186687009889285</v>
      </c>
      <c r="N91" s="78">
        <v>344.50193999999993</v>
      </c>
      <c r="O91" s="111">
        <v>23900.707394076708</v>
      </c>
      <c r="P91" s="109">
        <v>28033.234046429588</v>
      </c>
      <c r="Q91" s="110">
        <v>15868.481387386799</v>
      </c>
      <c r="R91" s="258">
        <v>39769.188781463505</v>
      </c>
      <c r="S91" s="259">
        <v>43901.715433816389</v>
      </c>
      <c r="U91" s="7" t="s">
        <v>886</v>
      </c>
    </row>
    <row r="92" spans="1:21" s="65" customFormat="1" ht="16.5" customHeight="1" thickBot="1">
      <c r="A92" s="38" t="s">
        <v>31</v>
      </c>
      <c r="B92" s="39">
        <f t="shared" si="3"/>
        <v>65</v>
      </c>
      <c r="C92" s="39" t="s">
        <v>3</v>
      </c>
      <c r="D92" s="39">
        <f t="shared" si="4"/>
        <v>200</v>
      </c>
      <c r="E92" s="39" t="s">
        <v>3</v>
      </c>
      <c r="F92" s="101">
        <f t="shared" si="5"/>
        <v>2100</v>
      </c>
      <c r="G92" s="39" t="s">
        <v>3</v>
      </c>
      <c r="H92" s="39">
        <v>2</v>
      </c>
      <c r="I92" s="40" t="s">
        <v>40</v>
      </c>
      <c r="J92" s="149">
        <v>65</v>
      </c>
      <c r="K92" s="104">
        <v>200</v>
      </c>
      <c r="L92" s="104">
        <v>2100</v>
      </c>
      <c r="M92" s="150">
        <v>13.489560348697857</v>
      </c>
      <c r="N92" s="78">
        <v>354.63434999999993</v>
      </c>
      <c r="O92" s="111">
        <v>24327.638673208581</v>
      </c>
      <c r="P92" s="109">
        <v>28557.205762447709</v>
      </c>
      <c r="Q92" s="110">
        <v>16254.146623657534</v>
      </c>
      <c r="R92" s="258">
        <v>40581.785296866117</v>
      </c>
      <c r="S92" s="259">
        <v>44811.352386105245</v>
      </c>
      <c r="U92" s="7" t="s">
        <v>887</v>
      </c>
    </row>
    <row r="93" spans="1:21" s="65" customFormat="1" ht="16.5" customHeight="1" thickBot="1">
      <c r="A93" s="41" t="s">
        <v>31</v>
      </c>
      <c r="B93" s="42">
        <f t="shared" si="3"/>
        <v>65</v>
      </c>
      <c r="C93" s="42" t="s">
        <v>3</v>
      </c>
      <c r="D93" s="42">
        <f t="shared" si="4"/>
        <v>200</v>
      </c>
      <c r="E93" s="42" t="s">
        <v>3</v>
      </c>
      <c r="F93" s="101">
        <f t="shared" si="5"/>
        <v>2150</v>
      </c>
      <c r="G93" s="42" t="s">
        <v>3</v>
      </c>
      <c r="H93" s="39">
        <v>2</v>
      </c>
      <c r="I93" s="40" t="s">
        <v>40</v>
      </c>
      <c r="J93" s="149">
        <v>65</v>
      </c>
      <c r="K93" s="104">
        <v>200</v>
      </c>
      <c r="L93" s="104">
        <v>2150</v>
      </c>
      <c r="M93" s="150">
        <v>13.792433687506428</v>
      </c>
      <c r="N93" s="78">
        <v>364.76675999999998</v>
      </c>
      <c r="O93" s="111">
        <v>24754.569952340455</v>
      </c>
      <c r="P93" s="109">
        <v>29081.177631494593</v>
      </c>
      <c r="Q93" s="110">
        <v>16639.811706899505</v>
      </c>
      <c r="R93" s="258">
        <v>41394.38165923996</v>
      </c>
      <c r="S93" s="259">
        <v>45720.989338394094</v>
      </c>
      <c r="U93" s="7" t="s">
        <v>888</v>
      </c>
    </row>
    <row r="94" spans="1:21" s="65" customFormat="1" ht="16.5" customHeight="1" thickBot="1">
      <c r="A94" s="41" t="s">
        <v>31</v>
      </c>
      <c r="B94" s="42">
        <f t="shared" si="3"/>
        <v>65</v>
      </c>
      <c r="C94" s="42" t="s">
        <v>3</v>
      </c>
      <c r="D94" s="42">
        <f t="shared" si="4"/>
        <v>200</v>
      </c>
      <c r="E94" s="42" t="s">
        <v>3</v>
      </c>
      <c r="F94" s="101">
        <f t="shared" si="5"/>
        <v>2200</v>
      </c>
      <c r="G94" s="42" t="s">
        <v>3</v>
      </c>
      <c r="H94" s="39">
        <v>2</v>
      </c>
      <c r="I94" s="40" t="s">
        <v>40</v>
      </c>
      <c r="J94" s="149">
        <v>65</v>
      </c>
      <c r="K94" s="104">
        <v>200</v>
      </c>
      <c r="L94" s="104">
        <v>2200</v>
      </c>
      <c r="M94" s="150">
        <v>14.095307026315</v>
      </c>
      <c r="N94" s="78">
        <v>374.89916999999997</v>
      </c>
      <c r="O94" s="111">
        <v>25181.501231472332</v>
      </c>
      <c r="P94" s="109">
        <v>29605.149347512714</v>
      </c>
      <c r="Q94" s="110">
        <v>17025.476790141474</v>
      </c>
      <c r="R94" s="258">
        <v>42206.978021613802</v>
      </c>
      <c r="S94" s="259">
        <v>46630.626137654188</v>
      </c>
      <c r="U94" s="7" t="s">
        <v>889</v>
      </c>
    </row>
    <row r="95" spans="1:21" s="65" customFormat="1" ht="16.5" customHeight="1" thickBot="1">
      <c r="A95" s="41" t="s">
        <v>31</v>
      </c>
      <c r="B95" s="42">
        <f t="shared" si="3"/>
        <v>65</v>
      </c>
      <c r="C95" s="42" t="s">
        <v>3</v>
      </c>
      <c r="D95" s="42">
        <f t="shared" si="4"/>
        <v>200</v>
      </c>
      <c r="E95" s="42" t="s">
        <v>3</v>
      </c>
      <c r="F95" s="101">
        <f t="shared" si="5"/>
        <v>2250</v>
      </c>
      <c r="G95" s="42" t="s">
        <v>3</v>
      </c>
      <c r="H95" s="39">
        <v>2</v>
      </c>
      <c r="I95" s="40" t="s">
        <v>40</v>
      </c>
      <c r="J95" s="149">
        <v>65</v>
      </c>
      <c r="K95" s="104">
        <v>200</v>
      </c>
      <c r="L95" s="104">
        <v>2250</v>
      </c>
      <c r="M95" s="150">
        <v>14.39818036512357</v>
      </c>
      <c r="N95" s="78">
        <v>385.03157999999991</v>
      </c>
      <c r="O95" s="111">
        <v>25608.432510604205</v>
      </c>
      <c r="P95" s="109">
        <v>30129.121063530834</v>
      </c>
      <c r="Q95" s="110">
        <v>17411.141873383447</v>
      </c>
      <c r="R95" s="258">
        <v>43019.574383987652</v>
      </c>
      <c r="S95" s="259">
        <v>47540.262936914281</v>
      </c>
      <c r="U95" s="7" t="s">
        <v>890</v>
      </c>
    </row>
    <row r="96" spans="1:21" s="65" customFormat="1" ht="16.5" customHeight="1" thickBot="1">
      <c r="A96" s="41" t="s">
        <v>31</v>
      </c>
      <c r="B96" s="42">
        <f t="shared" si="3"/>
        <v>65</v>
      </c>
      <c r="C96" s="42" t="s">
        <v>3</v>
      </c>
      <c r="D96" s="42">
        <f t="shared" si="4"/>
        <v>200</v>
      </c>
      <c r="E96" s="42" t="s">
        <v>3</v>
      </c>
      <c r="F96" s="101">
        <f t="shared" si="5"/>
        <v>2300</v>
      </c>
      <c r="G96" s="42" t="s">
        <v>3</v>
      </c>
      <c r="H96" s="39">
        <v>2</v>
      </c>
      <c r="I96" s="40" t="s">
        <v>40</v>
      </c>
      <c r="J96" s="149">
        <v>65</v>
      </c>
      <c r="K96" s="104">
        <v>200</v>
      </c>
      <c r="L96" s="104">
        <v>2300</v>
      </c>
      <c r="M96" s="150">
        <v>14.701053703932143</v>
      </c>
      <c r="N96" s="78">
        <v>395.16398999999996</v>
      </c>
      <c r="O96" s="111">
        <v>26035.363789736082</v>
      </c>
      <c r="P96" s="109">
        <v>30653.092779548955</v>
      </c>
      <c r="Q96" s="110">
        <v>17796.807109654186</v>
      </c>
      <c r="R96" s="258">
        <v>43832.170899390272</v>
      </c>
      <c r="S96" s="259">
        <v>48449.899889203138</v>
      </c>
      <c r="U96" s="7" t="s">
        <v>891</v>
      </c>
    </row>
    <row r="97" spans="1:21" s="65" customFormat="1" ht="16.5" customHeight="1" thickBot="1">
      <c r="A97" s="41" t="s">
        <v>31</v>
      </c>
      <c r="B97" s="42">
        <f t="shared" si="3"/>
        <v>65</v>
      </c>
      <c r="C97" s="42" t="s">
        <v>3</v>
      </c>
      <c r="D97" s="42">
        <f t="shared" si="4"/>
        <v>200</v>
      </c>
      <c r="E97" s="42" t="s">
        <v>3</v>
      </c>
      <c r="F97" s="101">
        <f t="shared" si="5"/>
        <v>2350</v>
      </c>
      <c r="G97" s="42" t="s">
        <v>3</v>
      </c>
      <c r="H97" s="39">
        <v>2</v>
      </c>
      <c r="I97" s="40" t="s">
        <v>40</v>
      </c>
      <c r="J97" s="149">
        <v>65</v>
      </c>
      <c r="K97" s="104">
        <v>200</v>
      </c>
      <c r="L97" s="104">
        <v>2350</v>
      </c>
      <c r="M97" s="150">
        <v>15.003927042740713</v>
      </c>
      <c r="N97" s="78">
        <v>405.29639999999995</v>
      </c>
      <c r="O97" s="111">
        <v>26462.295068867956</v>
      </c>
      <c r="P97" s="109">
        <v>31177.064495567076</v>
      </c>
      <c r="Q97" s="110">
        <v>18182.472192896155</v>
      </c>
      <c r="R97" s="258">
        <v>44644.767261764107</v>
      </c>
      <c r="S97" s="259">
        <v>49359.536688463231</v>
      </c>
      <c r="U97" s="7" t="s">
        <v>892</v>
      </c>
    </row>
    <row r="98" spans="1:21" s="65" customFormat="1" ht="16.5" customHeight="1" thickBot="1">
      <c r="A98" s="41" t="s">
        <v>31</v>
      </c>
      <c r="B98" s="42">
        <f t="shared" si="3"/>
        <v>65</v>
      </c>
      <c r="C98" s="42" t="s">
        <v>3</v>
      </c>
      <c r="D98" s="42">
        <f t="shared" si="4"/>
        <v>200</v>
      </c>
      <c r="E98" s="42" t="s">
        <v>3</v>
      </c>
      <c r="F98" s="101">
        <f t="shared" si="5"/>
        <v>2400</v>
      </c>
      <c r="G98" s="42" t="s">
        <v>3</v>
      </c>
      <c r="H98" s="39">
        <v>2</v>
      </c>
      <c r="I98" s="40" t="s">
        <v>40</v>
      </c>
      <c r="J98" s="149">
        <v>65</v>
      </c>
      <c r="K98" s="104">
        <v>200</v>
      </c>
      <c r="L98" s="104">
        <v>2400</v>
      </c>
      <c r="M98" s="150">
        <v>15.306800381549285</v>
      </c>
      <c r="N98" s="78">
        <v>415.42880999999988</v>
      </c>
      <c r="O98" s="111">
        <v>26889.226347999829</v>
      </c>
      <c r="P98" s="109">
        <v>31701.036211585197</v>
      </c>
      <c r="Q98" s="110">
        <v>18568.137276138128</v>
      </c>
      <c r="R98" s="258">
        <v>45457.363624137957</v>
      </c>
      <c r="S98" s="259">
        <v>50269.173487723325</v>
      </c>
      <c r="U98" s="7" t="s">
        <v>893</v>
      </c>
    </row>
    <row r="99" spans="1:21" s="65" customFormat="1" ht="16.5" customHeight="1" thickBot="1">
      <c r="A99" s="41" t="s">
        <v>31</v>
      </c>
      <c r="B99" s="42">
        <f t="shared" si="3"/>
        <v>65</v>
      </c>
      <c r="C99" s="42" t="s">
        <v>3</v>
      </c>
      <c r="D99" s="42">
        <f t="shared" si="4"/>
        <v>200</v>
      </c>
      <c r="E99" s="42" t="s">
        <v>3</v>
      </c>
      <c r="F99" s="101">
        <f t="shared" si="5"/>
        <v>2450</v>
      </c>
      <c r="G99" s="42" t="s">
        <v>3</v>
      </c>
      <c r="H99" s="39">
        <v>2</v>
      </c>
      <c r="I99" s="40" t="s">
        <v>40</v>
      </c>
      <c r="J99" s="149">
        <v>65</v>
      </c>
      <c r="K99" s="104">
        <v>200</v>
      </c>
      <c r="L99" s="104">
        <v>2450</v>
      </c>
      <c r="M99" s="150">
        <v>15.702236853157856</v>
      </c>
      <c r="N99" s="78">
        <v>425.56121999999999</v>
      </c>
      <c r="O99" s="111">
        <v>27904.141887716672</v>
      </c>
      <c r="P99" s="109">
        <v>32712.771660533977</v>
      </c>
      <c r="Q99" s="110">
        <v>18953.802359380101</v>
      </c>
      <c r="R99" s="258">
        <v>46857.944247096777</v>
      </c>
      <c r="S99" s="259">
        <v>51666.574019914078</v>
      </c>
      <c r="U99" s="7" t="s">
        <v>894</v>
      </c>
    </row>
    <row r="100" spans="1:21" s="65" customFormat="1" ht="16.5" customHeight="1" thickBot="1">
      <c r="A100" s="41" t="s">
        <v>31</v>
      </c>
      <c r="B100" s="42">
        <f t="shared" si="3"/>
        <v>65</v>
      </c>
      <c r="C100" s="42" t="s">
        <v>3</v>
      </c>
      <c r="D100" s="42">
        <f t="shared" si="4"/>
        <v>200</v>
      </c>
      <c r="E100" s="42" t="s">
        <v>3</v>
      </c>
      <c r="F100" s="101">
        <f t="shared" si="5"/>
        <v>2500</v>
      </c>
      <c r="G100" s="42" t="s">
        <v>3</v>
      </c>
      <c r="H100" s="39">
        <v>2</v>
      </c>
      <c r="I100" s="40" t="s">
        <v>40</v>
      </c>
      <c r="J100" s="149">
        <v>65</v>
      </c>
      <c r="K100" s="104">
        <v>200</v>
      </c>
      <c r="L100" s="104">
        <v>2500</v>
      </c>
      <c r="M100" s="150">
        <v>16.005110191966427</v>
      </c>
      <c r="N100" s="78">
        <v>435.69362999999993</v>
      </c>
      <c r="O100" s="111">
        <v>28331.073319877316</v>
      </c>
      <c r="P100" s="109">
        <v>33236.743376552105</v>
      </c>
      <c r="Q100" s="110">
        <v>19339.467442622074</v>
      </c>
      <c r="R100" s="258">
        <v>47670.54076249939</v>
      </c>
      <c r="S100" s="259">
        <v>52576.210819174179</v>
      </c>
      <c r="U100" s="7" t="s">
        <v>895</v>
      </c>
    </row>
    <row r="101" spans="1:21" s="65" customFormat="1" ht="16.5" customHeight="1" thickBot="1">
      <c r="A101" s="41" t="s">
        <v>31</v>
      </c>
      <c r="B101" s="42">
        <f t="shared" si="3"/>
        <v>65</v>
      </c>
      <c r="C101" s="42" t="s">
        <v>3</v>
      </c>
      <c r="D101" s="42">
        <f t="shared" si="4"/>
        <v>200</v>
      </c>
      <c r="E101" s="42" t="s">
        <v>3</v>
      </c>
      <c r="F101" s="101">
        <f t="shared" si="5"/>
        <v>2550</v>
      </c>
      <c r="G101" s="42" t="s">
        <v>3</v>
      </c>
      <c r="H101" s="39">
        <v>2</v>
      </c>
      <c r="I101" s="40" t="s">
        <v>40</v>
      </c>
      <c r="J101" s="149">
        <v>65</v>
      </c>
      <c r="K101" s="104">
        <v>200</v>
      </c>
      <c r="L101" s="104">
        <v>2550</v>
      </c>
      <c r="M101" s="150">
        <v>16.307983530774997</v>
      </c>
      <c r="N101" s="78">
        <v>445.82603999999998</v>
      </c>
      <c r="O101" s="111">
        <v>28758.004599009186</v>
      </c>
      <c r="P101" s="109">
        <v>33760.715092570223</v>
      </c>
      <c r="Q101" s="110">
        <v>19725.132678892809</v>
      </c>
      <c r="R101" s="258">
        <v>48483.137277901995</v>
      </c>
      <c r="S101" s="259">
        <v>53485.847771463028</v>
      </c>
      <c r="U101" s="7" t="s">
        <v>896</v>
      </c>
    </row>
    <row r="102" spans="1:21" s="65" customFormat="1" ht="16.5" customHeight="1" thickBot="1">
      <c r="A102" s="38" t="s">
        <v>31</v>
      </c>
      <c r="B102" s="39">
        <f t="shared" si="3"/>
        <v>65</v>
      </c>
      <c r="C102" s="39" t="s">
        <v>3</v>
      </c>
      <c r="D102" s="39">
        <f t="shared" si="4"/>
        <v>200</v>
      </c>
      <c r="E102" s="39" t="s">
        <v>3</v>
      </c>
      <c r="F102" s="101">
        <f t="shared" si="5"/>
        <v>2600</v>
      </c>
      <c r="G102" s="39" t="s">
        <v>3</v>
      </c>
      <c r="H102" s="39">
        <v>2</v>
      </c>
      <c r="I102" s="40" t="s">
        <v>40</v>
      </c>
      <c r="J102" s="149">
        <v>65</v>
      </c>
      <c r="K102" s="104">
        <v>200</v>
      </c>
      <c r="L102" s="104">
        <v>2600</v>
      </c>
      <c r="M102" s="150">
        <v>16.610856869583571</v>
      </c>
      <c r="N102" s="78">
        <v>455.95844999999997</v>
      </c>
      <c r="O102" s="111">
        <v>29184.935878141059</v>
      </c>
      <c r="P102" s="109">
        <v>34284.68696161711</v>
      </c>
      <c r="Q102" s="110">
        <v>20110.797762134782</v>
      </c>
      <c r="R102" s="258">
        <v>49295.733640275837</v>
      </c>
      <c r="S102" s="259">
        <v>54395.484723751892</v>
      </c>
      <c r="U102" s="7" t="s">
        <v>897</v>
      </c>
    </row>
    <row r="103" spans="1:21" s="65" customFormat="1" ht="16.5" customHeight="1" thickBot="1">
      <c r="A103" s="41" t="s">
        <v>31</v>
      </c>
      <c r="B103" s="42">
        <f t="shared" si="3"/>
        <v>65</v>
      </c>
      <c r="C103" s="42" t="s">
        <v>3</v>
      </c>
      <c r="D103" s="42">
        <f t="shared" si="4"/>
        <v>200</v>
      </c>
      <c r="E103" s="42" t="s">
        <v>3</v>
      </c>
      <c r="F103" s="101">
        <f t="shared" si="5"/>
        <v>2650</v>
      </c>
      <c r="G103" s="42" t="s">
        <v>3</v>
      </c>
      <c r="H103" s="39">
        <v>2</v>
      </c>
      <c r="I103" s="40" t="s">
        <v>40</v>
      </c>
      <c r="J103" s="149">
        <v>65</v>
      </c>
      <c r="K103" s="104">
        <v>200</v>
      </c>
      <c r="L103" s="104">
        <v>2650</v>
      </c>
      <c r="M103" s="150">
        <v>16.913730208392142</v>
      </c>
      <c r="N103" s="78">
        <v>466.09085999999991</v>
      </c>
      <c r="O103" s="111">
        <v>29611.867157272936</v>
      </c>
      <c r="P103" s="109">
        <v>34808.658677635227</v>
      </c>
      <c r="Q103" s="110">
        <v>20496.462845376755</v>
      </c>
      <c r="R103" s="258">
        <v>50108.330002649687</v>
      </c>
      <c r="S103" s="259">
        <v>55305.121523011985</v>
      </c>
      <c r="U103" s="7" t="s">
        <v>898</v>
      </c>
    </row>
    <row r="104" spans="1:21" s="65" customFormat="1" ht="16.5" customHeight="1" thickBot="1">
      <c r="A104" s="41" t="s">
        <v>31</v>
      </c>
      <c r="B104" s="42">
        <f t="shared" si="3"/>
        <v>65</v>
      </c>
      <c r="C104" s="42" t="s">
        <v>3</v>
      </c>
      <c r="D104" s="42">
        <f t="shared" si="4"/>
        <v>200</v>
      </c>
      <c r="E104" s="42" t="s">
        <v>3</v>
      </c>
      <c r="F104" s="101">
        <f t="shared" si="5"/>
        <v>2700</v>
      </c>
      <c r="G104" s="42" t="s">
        <v>3</v>
      </c>
      <c r="H104" s="39">
        <v>2</v>
      </c>
      <c r="I104" s="40" t="s">
        <v>40</v>
      </c>
      <c r="J104" s="149">
        <v>65</v>
      </c>
      <c r="K104" s="104">
        <v>200</v>
      </c>
      <c r="L104" s="104">
        <v>2700</v>
      </c>
      <c r="M104" s="150">
        <v>17.255853547200715</v>
      </c>
      <c r="N104" s="78">
        <v>476.22326999999996</v>
      </c>
      <c r="O104" s="111">
        <v>30088.798596035456</v>
      </c>
      <c r="P104" s="109">
        <v>35381.106539812114</v>
      </c>
      <c r="Q104" s="110">
        <v>20882.127928618724</v>
      </c>
      <c r="R104" s="258">
        <v>50970.926524654176</v>
      </c>
      <c r="S104" s="259">
        <v>56263.234468430834</v>
      </c>
      <c r="U104" s="7" t="s">
        <v>899</v>
      </c>
    </row>
    <row r="105" spans="1:21" s="65" customFormat="1" ht="16.5" customHeight="1" thickBot="1">
      <c r="A105" s="41" t="s">
        <v>31</v>
      </c>
      <c r="B105" s="42">
        <f t="shared" si="3"/>
        <v>65</v>
      </c>
      <c r="C105" s="42" t="s">
        <v>3</v>
      </c>
      <c r="D105" s="42">
        <f t="shared" si="4"/>
        <v>200</v>
      </c>
      <c r="E105" s="42" t="s">
        <v>3</v>
      </c>
      <c r="F105" s="101">
        <f t="shared" si="5"/>
        <v>2750</v>
      </c>
      <c r="G105" s="42" t="s">
        <v>3</v>
      </c>
      <c r="H105" s="39">
        <v>2</v>
      </c>
      <c r="I105" s="40" t="s">
        <v>40</v>
      </c>
      <c r="J105" s="149">
        <v>65</v>
      </c>
      <c r="K105" s="104">
        <v>200</v>
      </c>
      <c r="L105" s="104">
        <v>2750</v>
      </c>
      <c r="M105" s="150">
        <v>17.558726886009282</v>
      </c>
      <c r="N105" s="78">
        <v>486.35567999999989</v>
      </c>
      <c r="O105" s="111">
        <v>30515.72987516733</v>
      </c>
      <c r="P105" s="109">
        <v>35905.078255830238</v>
      </c>
      <c r="Q105" s="110">
        <v>21267.793164889463</v>
      </c>
      <c r="R105" s="258">
        <v>51783.523040056796</v>
      </c>
      <c r="S105" s="259">
        <v>57172.871420719704</v>
      </c>
      <c r="U105" s="7" t="s">
        <v>900</v>
      </c>
    </row>
    <row r="106" spans="1:21" s="65" customFormat="1" ht="16.5" customHeight="1" thickBot="1">
      <c r="A106" s="41" t="s">
        <v>31</v>
      </c>
      <c r="B106" s="42">
        <f t="shared" si="3"/>
        <v>65</v>
      </c>
      <c r="C106" s="42" t="s">
        <v>3</v>
      </c>
      <c r="D106" s="42">
        <f t="shared" si="4"/>
        <v>200</v>
      </c>
      <c r="E106" s="42" t="s">
        <v>3</v>
      </c>
      <c r="F106" s="101">
        <f t="shared" si="5"/>
        <v>2800</v>
      </c>
      <c r="G106" s="42" t="s">
        <v>3</v>
      </c>
      <c r="H106" s="39">
        <v>2</v>
      </c>
      <c r="I106" s="40" t="s">
        <v>40</v>
      </c>
      <c r="J106" s="149">
        <v>65</v>
      </c>
      <c r="K106" s="104">
        <v>200</v>
      </c>
      <c r="L106" s="104">
        <v>2800</v>
      </c>
      <c r="M106" s="150">
        <v>17.861600224817856</v>
      </c>
      <c r="N106" s="78">
        <v>496.48809</v>
      </c>
      <c r="O106" s="111">
        <v>30942.661307327973</v>
      </c>
      <c r="P106" s="109">
        <v>36429.050124877118</v>
      </c>
      <c r="Q106" s="110">
        <v>21653.458248131432</v>
      </c>
      <c r="R106" s="258">
        <v>52596.119555459401</v>
      </c>
      <c r="S106" s="259">
        <v>58082.508373008546</v>
      </c>
      <c r="U106" s="7" t="s">
        <v>901</v>
      </c>
    </row>
    <row r="107" spans="1:21" s="65" customFormat="1" ht="16.5" customHeight="1" thickBot="1">
      <c r="A107" s="41" t="s">
        <v>31</v>
      </c>
      <c r="B107" s="42">
        <f t="shared" si="3"/>
        <v>65</v>
      </c>
      <c r="C107" s="42" t="s">
        <v>3</v>
      </c>
      <c r="D107" s="42">
        <f t="shared" si="4"/>
        <v>200</v>
      </c>
      <c r="E107" s="42" t="s">
        <v>3</v>
      </c>
      <c r="F107" s="101">
        <f t="shared" si="5"/>
        <v>2850</v>
      </c>
      <c r="G107" s="42" t="s">
        <v>3</v>
      </c>
      <c r="H107" s="39">
        <v>2</v>
      </c>
      <c r="I107" s="40" t="s">
        <v>40</v>
      </c>
      <c r="J107" s="149">
        <v>65</v>
      </c>
      <c r="K107" s="104">
        <v>200</v>
      </c>
      <c r="L107" s="104">
        <v>2850</v>
      </c>
      <c r="M107" s="150">
        <v>18.164473563626427</v>
      </c>
      <c r="N107" s="78">
        <v>506.62049999999994</v>
      </c>
      <c r="O107" s="111">
        <v>31369.592586459847</v>
      </c>
      <c r="P107" s="109">
        <v>36953.02184089525</v>
      </c>
      <c r="Q107" s="110">
        <v>22039.123331373405</v>
      </c>
      <c r="R107" s="258">
        <v>53408.715917833251</v>
      </c>
      <c r="S107" s="259">
        <v>58992.145172268654</v>
      </c>
      <c r="U107" s="7" t="s">
        <v>902</v>
      </c>
    </row>
    <row r="108" spans="1:21" s="65" customFormat="1" ht="16.5" customHeight="1" thickBot="1">
      <c r="A108" s="41" t="s">
        <v>31</v>
      </c>
      <c r="B108" s="42">
        <f t="shared" si="3"/>
        <v>65</v>
      </c>
      <c r="C108" s="42" t="s">
        <v>3</v>
      </c>
      <c r="D108" s="42">
        <f t="shared" si="4"/>
        <v>200</v>
      </c>
      <c r="E108" s="42" t="s">
        <v>3</v>
      </c>
      <c r="F108" s="101">
        <f t="shared" si="5"/>
        <v>2900</v>
      </c>
      <c r="G108" s="42" t="s">
        <v>3</v>
      </c>
      <c r="H108" s="39">
        <v>2</v>
      </c>
      <c r="I108" s="40" t="s">
        <v>40</v>
      </c>
      <c r="J108" s="149">
        <v>65</v>
      </c>
      <c r="K108" s="104">
        <v>200</v>
      </c>
      <c r="L108" s="104">
        <v>2900</v>
      </c>
      <c r="M108" s="150">
        <v>18.467346902435001</v>
      </c>
      <c r="N108" s="78">
        <v>516.75290999999993</v>
      </c>
      <c r="O108" s="111">
        <v>31796.523865591724</v>
      </c>
      <c r="P108" s="109">
        <v>37476.993556913367</v>
      </c>
      <c r="Q108" s="110">
        <v>22424.788414615377</v>
      </c>
      <c r="R108" s="258">
        <v>54221.312280207101</v>
      </c>
      <c r="S108" s="259">
        <v>59901.781971528748</v>
      </c>
      <c r="U108" s="7" t="s">
        <v>903</v>
      </c>
    </row>
    <row r="109" spans="1:21" s="65" customFormat="1" ht="16.5" customHeight="1" thickBot="1">
      <c r="A109" s="41" t="s">
        <v>31</v>
      </c>
      <c r="B109" s="42">
        <f t="shared" si="3"/>
        <v>65</v>
      </c>
      <c r="C109" s="42" t="s">
        <v>3</v>
      </c>
      <c r="D109" s="42">
        <f t="shared" si="4"/>
        <v>200</v>
      </c>
      <c r="E109" s="42" t="s">
        <v>3</v>
      </c>
      <c r="F109" s="101">
        <f t="shared" si="5"/>
        <v>2950</v>
      </c>
      <c r="G109" s="42" t="s">
        <v>3</v>
      </c>
      <c r="H109" s="39">
        <v>2</v>
      </c>
      <c r="I109" s="40" t="s">
        <v>40</v>
      </c>
      <c r="J109" s="149">
        <v>65</v>
      </c>
      <c r="K109" s="104">
        <v>200</v>
      </c>
      <c r="L109" s="104">
        <v>2950</v>
      </c>
      <c r="M109" s="150">
        <v>18.770220241243571</v>
      </c>
      <c r="N109" s="78">
        <v>526.88531999999998</v>
      </c>
      <c r="O109" s="111">
        <v>32223.455144723594</v>
      </c>
      <c r="P109" s="109">
        <v>38000.965272931491</v>
      </c>
      <c r="Q109" s="110">
        <v>22810.45349785735</v>
      </c>
      <c r="R109" s="258">
        <v>55033.908642580944</v>
      </c>
      <c r="S109" s="259">
        <v>60811.418770788841</v>
      </c>
      <c r="U109" s="7" t="s">
        <v>904</v>
      </c>
    </row>
    <row r="110" spans="1:21" s="65" customFormat="1" ht="16.5" customHeight="1" thickBot="1">
      <c r="A110" s="43" t="s">
        <v>31</v>
      </c>
      <c r="B110" s="44">
        <f t="shared" si="3"/>
        <v>65</v>
      </c>
      <c r="C110" s="44" t="s">
        <v>3</v>
      </c>
      <c r="D110" s="44">
        <f t="shared" si="4"/>
        <v>200</v>
      </c>
      <c r="E110" s="44" t="s">
        <v>3</v>
      </c>
      <c r="F110" s="102">
        <f t="shared" si="5"/>
        <v>3000</v>
      </c>
      <c r="G110" s="44" t="s">
        <v>3</v>
      </c>
      <c r="H110" s="46">
        <v>2</v>
      </c>
      <c r="I110" s="45" t="s">
        <v>40</v>
      </c>
      <c r="J110" s="149">
        <v>65</v>
      </c>
      <c r="K110" s="134">
        <v>200</v>
      </c>
      <c r="L110" s="134">
        <v>3000</v>
      </c>
      <c r="M110" s="152">
        <v>19.073093580052142</v>
      </c>
      <c r="N110" s="127">
        <v>537.01772999999991</v>
      </c>
      <c r="O110" s="135">
        <v>33931.307887241208</v>
      </c>
      <c r="P110" s="154">
        <v>38524.936988949608</v>
      </c>
      <c r="Q110" s="136">
        <v>23196.118734128086</v>
      </c>
      <c r="R110" s="260">
        <v>57127.42662136929</v>
      </c>
      <c r="S110" s="261">
        <v>61721.05572307769</v>
      </c>
      <c r="U110" s="7" t="s">
        <v>905</v>
      </c>
    </row>
    <row r="111" spans="1:21" s="65" customFormat="1" ht="22.5" customHeight="1" thickBot="1">
      <c r="A111" s="3010" t="s">
        <v>45</v>
      </c>
      <c r="B111" s="3011"/>
      <c r="C111" s="3011"/>
      <c r="D111" s="3011"/>
      <c r="E111" s="3011"/>
      <c r="F111" s="3011"/>
      <c r="G111" s="3011"/>
      <c r="H111" s="3011"/>
      <c r="I111" s="3011"/>
      <c r="J111" s="3011"/>
      <c r="K111" s="3011"/>
      <c r="L111" s="3011"/>
      <c r="M111" s="3011"/>
      <c r="N111" s="3011"/>
      <c r="O111" s="3011"/>
      <c r="P111" s="3011"/>
      <c r="Q111" s="3011"/>
      <c r="R111" s="3011"/>
      <c r="S111" s="3012"/>
      <c r="U111" s="7"/>
    </row>
    <row r="112" spans="1:21" s="65" customFormat="1" ht="22.5" customHeight="1" thickBot="1">
      <c r="A112" s="2971" t="s">
        <v>62</v>
      </c>
      <c r="B112" s="2972"/>
      <c r="C112" s="2972"/>
      <c r="D112" s="2972"/>
      <c r="E112" s="2972"/>
      <c r="F112" s="2972"/>
      <c r="G112" s="2972"/>
      <c r="H112" s="2972"/>
      <c r="I112" s="2972"/>
      <c r="J112" s="2972"/>
      <c r="K112" s="2972"/>
      <c r="L112" s="2972"/>
      <c r="M112" s="2972"/>
      <c r="N112" s="2972"/>
      <c r="O112" s="2972"/>
      <c r="P112" s="2972"/>
      <c r="Q112" s="2972"/>
      <c r="R112" s="2972"/>
      <c r="S112" s="2973"/>
      <c r="U112" s="7"/>
    </row>
    <row r="113" spans="1:21" s="65" customFormat="1" ht="16.5" customHeight="1" thickBot="1">
      <c r="A113" s="2974" t="s">
        <v>112</v>
      </c>
      <c r="B113" s="2975"/>
      <c r="C113" s="2975"/>
      <c r="D113" s="2975"/>
      <c r="E113" s="2975"/>
      <c r="F113" s="2975"/>
      <c r="G113" s="2975"/>
      <c r="H113" s="2975"/>
      <c r="I113" s="2975"/>
      <c r="J113" s="2975"/>
      <c r="K113" s="2975"/>
      <c r="L113" s="2975"/>
      <c r="M113" s="2975"/>
      <c r="N113" s="2975"/>
      <c r="O113" s="2975"/>
      <c r="P113" s="2975"/>
      <c r="Q113" s="2975"/>
      <c r="R113" s="2975"/>
      <c r="S113" s="2976"/>
      <c r="U113" s="7"/>
    </row>
    <row r="114" spans="1:21" s="65" customFormat="1" ht="16.5" thickBot="1">
      <c r="A114" s="38" t="s">
        <v>31</v>
      </c>
      <c r="B114" s="39">
        <f>J114</f>
        <v>65</v>
      </c>
      <c r="C114" s="39" t="s">
        <v>3</v>
      </c>
      <c r="D114" s="39">
        <f>K114</f>
        <v>260</v>
      </c>
      <c r="E114" s="39" t="s">
        <v>3</v>
      </c>
      <c r="F114" s="101">
        <f>L114</f>
        <v>600</v>
      </c>
      <c r="G114" s="39" t="s">
        <v>3</v>
      </c>
      <c r="H114" s="39">
        <v>2</v>
      </c>
      <c r="I114" s="40" t="s">
        <v>40</v>
      </c>
      <c r="J114" s="146">
        <v>65</v>
      </c>
      <c r="K114" s="138">
        <v>260</v>
      </c>
      <c r="L114" s="138">
        <v>600</v>
      </c>
      <c r="M114" s="147">
        <v>4.876439527783571</v>
      </c>
      <c r="N114" s="122">
        <v>65.254679999999993</v>
      </c>
      <c r="O114" s="153">
        <v>10941.682802139965</v>
      </c>
      <c r="P114" s="153">
        <v>12907.424516566713</v>
      </c>
      <c r="Q114" s="139">
        <v>5724.0299414295368</v>
      </c>
      <c r="R114" s="256">
        <v>16665.7127435695</v>
      </c>
      <c r="S114" s="257">
        <v>18631.454457996249</v>
      </c>
      <c r="U114" s="7" t="s">
        <v>906</v>
      </c>
    </row>
    <row r="115" spans="1:21" s="65" customFormat="1" ht="16.5" thickBot="1">
      <c r="A115" s="41" t="s">
        <v>31</v>
      </c>
      <c r="B115" s="42">
        <f t="shared" ref="B115:B162" si="6">J115</f>
        <v>65</v>
      </c>
      <c r="C115" s="42" t="s">
        <v>3</v>
      </c>
      <c r="D115" s="42">
        <f t="shared" ref="D115:D162" si="7">K115</f>
        <v>260</v>
      </c>
      <c r="E115" s="42" t="s">
        <v>3</v>
      </c>
      <c r="F115" s="101">
        <f t="shared" ref="F115:F162" si="8">L115</f>
        <v>650</v>
      </c>
      <c r="G115" s="42" t="s">
        <v>3</v>
      </c>
      <c r="H115" s="39">
        <v>2</v>
      </c>
      <c r="I115" s="40" t="s">
        <v>40</v>
      </c>
      <c r="J115" s="149">
        <v>65</v>
      </c>
      <c r="K115" s="104">
        <v>260</v>
      </c>
      <c r="L115" s="104">
        <v>650</v>
      </c>
      <c r="M115" s="150">
        <v>5.2272129773064284</v>
      </c>
      <c r="N115" s="66">
        <v>78.305615999999986</v>
      </c>
      <c r="O115" s="109">
        <v>11399.609751590378</v>
      </c>
      <c r="P115" s="109">
        <v>13483.125617261392</v>
      </c>
      <c r="Q115" s="110">
        <v>6195.021568673732</v>
      </c>
      <c r="R115" s="258">
        <v>17594.63132026411</v>
      </c>
      <c r="S115" s="259">
        <v>19678.147185935122</v>
      </c>
      <c r="U115" s="7" t="s">
        <v>907</v>
      </c>
    </row>
    <row r="116" spans="1:21" s="65" customFormat="1" ht="16.5" thickBot="1">
      <c r="A116" s="41" t="s">
        <v>31</v>
      </c>
      <c r="B116" s="42">
        <f t="shared" si="6"/>
        <v>65</v>
      </c>
      <c r="C116" s="42" t="s">
        <v>3</v>
      </c>
      <c r="D116" s="42">
        <f t="shared" si="7"/>
        <v>260</v>
      </c>
      <c r="E116" s="42" t="s">
        <v>3</v>
      </c>
      <c r="F116" s="101">
        <f t="shared" si="8"/>
        <v>700</v>
      </c>
      <c r="G116" s="42" t="s">
        <v>3</v>
      </c>
      <c r="H116" s="39">
        <v>2</v>
      </c>
      <c r="I116" s="40" t="s">
        <v>40</v>
      </c>
      <c r="J116" s="149">
        <v>65</v>
      </c>
      <c r="K116" s="104">
        <v>260</v>
      </c>
      <c r="L116" s="104">
        <v>700</v>
      </c>
      <c r="M116" s="150">
        <v>5.5779864268292858</v>
      </c>
      <c r="N116" s="66">
        <v>91.356551999999979</v>
      </c>
      <c r="O116" s="109">
        <v>11857.536548012027</v>
      </c>
      <c r="P116" s="109">
        <v>14058.826564927309</v>
      </c>
      <c r="Q116" s="110">
        <v>6666.0130428891625</v>
      </c>
      <c r="R116" s="258">
        <v>18523.549590901188</v>
      </c>
      <c r="S116" s="259">
        <v>20724.839607816473</v>
      </c>
      <c r="U116" s="7" t="s">
        <v>908</v>
      </c>
    </row>
    <row r="117" spans="1:21" s="65" customFormat="1" ht="16.5" thickBot="1">
      <c r="A117" s="41" t="s">
        <v>31</v>
      </c>
      <c r="B117" s="42">
        <f t="shared" si="6"/>
        <v>65</v>
      </c>
      <c r="C117" s="42" t="s">
        <v>3</v>
      </c>
      <c r="D117" s="42">
        <f t="shared" si="7"/>
        <v>260</v>
      </c>
      <c r="E117" s="42" t="s">
        <v>3</v>
      </c>
      <c r="F117" s="101">
        <f t="shared" si="8"/>
        <v>750</v>
      </c>
      <c r="G117" s="42" t="s">
        <v>3</v>
      </c>
      <c r="H117" s="39">
        <v>2</v>
      </c>
      <c r="I117" s="40" t="s">
        <v>40</v>
      </c>
      <c r="J117" s="149">
        <v>65</v>
      </c>
      <c r="K117" s="104">
        <v>260</v>
      </c>
      <c r="L117" s="104">
        <v>750</v>
      </c>
      <c r="M117" s="150">
        <v>5.9287598763521423</v>
      </c>
      <c r="N117" s="66">
        <v>104.407488</v>
      </c>
      <c r="O117" s="109">
        <v>12315.463344433674</v>
      </c>
      <c r="P117" s="109">
        <v>14634.527512593222</v>
      </c>
      <c r="Q117" s="110">
        <v>7137.0046701333404</v>
      </c>
      <c r="R117" s="258">
        <v>19452.468014567014</v>
      </c>
      <c r="S117" s="259">
        <v>21771.532182726562</v>
      </c>
      <c r="U117" s="7" t="s">
        <v>909</v>
      </c>
    </row>
    <row r="118" spans="1:21" s="65" customFormat="1" ht="16.5" thickBot="1">
      <c r="A118" s="41" t="s">
        <v>31</v>
      </c>
      <c r="B118" s="42">
        <f t="shared" si="6"/>
        <v>65</v>
      </c>
      <c r="C118" s="42" t="s">
        <v>3</v>
      </c>
      <c r="D118" s="42">
        <f t="shared" si="7"/>
        <v>260</v>
      </c>
      <c r="E118" s="42" t="s">
        <v>3</v>
      </c>
      <c r="F118" s="101">
        <f t="shared" si="8"/>
        <v>800</v>
      </c>
      <c r="G118" s="42" t="s">
        <v>3</v>
      </c>
      <c r="H118" s="39">
        <v>2</v>
      </c>
      <c r="I118" s="40" t="s">
        <v>40</v>
      </c>
      <c r="J118" s="149">
        <v>65</v>
      </c>
      <c r="K118" s="104">
        <v>260</v>
      </c>
      <c r="L118" s="104">
        <v>800</v>
      </c>
      <c r="M118" s="150">
        <v>6.2795333258750006</v>
      </c>
      <c r="N118" s="66">
        <v>117.45842399999999</v>
      </c>
      <c r="O118" s="109">
        <v>12773.390293884086</v>
      </c>
      <c r="P118" s="109">
        <v>15210.228460259124</v>
      </c>
      <c r="Q118" s="110">
        <v>7607.9961443487855</v>
      </c>
      <c r="R118" s="258">
        <v>20381.386438232872</v>
      </c>
      <c r="S118" s="259">
        <v>22818.224604607909</v>
      </c>
      <c r="U118" s="7" t="s">
        <v>910</v>
      </c>
    </row>
    <row r="119" spans="1:21" s="65" customFormat="1" ht="16.5" thickBot="1">
      <c r="A119" s="41" t="s">
        <v>31</v>
      </c>
      <c r="B119" s="42">
        <f t="shared" si="6"/>
        <v>65</v>
      </c>
      <c r="C119" s="42" t="s">
        <v>3</v>
      </c>
      <c r="D119" s="42">
        <f t="shared" si="7"/>
        <v>260</v>
      </c>
      <c r="E119" s="42" t="s">
        <v>3</v>
      </c>
      <c r="F119" s="101">
        <f t="shared" si="8"/>
        <v>850</v>
      </c>
      <c r="G119" s="42" t="s">
        <v>3</v>
      </c>
      <c r="H119" s="39">
        <v>2</v>
      </c>
      <c r="I119" s="40" t="s">
        <v>40</v>
      </c>
      <c r="J119" s="149">
        <v>65</v>
      </c>
      <c r="K119" s="104">
        <v>260</v>
      </c>
      <c r="L119" s="104">
        <v>850</v>
      </c>
      <c r="M119" s="150">
        <v>6.6303067753978571</v>
      </c>
      <c r="N119" s="66">
        <v>130.50935999999999</v>
      </c>
      <c r="O119" s="109">
        <v>13231.317090305734</v>
      </c>
      <c r="P119" s="109">
        <v>15785.92956095382</v>
      </c>
      <c r="Q119" s="110">
        <v>8078.9877715929815</v>
      </c>
      <c r="R119" s="258">
        <v>21310.304861898716</v>
      </c>
      <c r="S119" s="259">
        <v>23864.9173325468</v>
      </c>
      <c r="U119" s="7" t="s">
        <v>911</v>
      </c>
    </row>
    <row r="120" spans="1:21" s="65" customFormat="1" ht="16.5" thickBot="1">
      <c r="A120" s="41" t="s">
        <v>31</v>
      </c>
      <c r="B120" s="42">
        <f t="shared" si="6"/>
        <v>65</v>
      </c>
      <c r="C120" s="42" t="s">
        <v>3</v>
      </c>
      <c r="D120" s="42">
        <f t="shared" si="7"/>
        <v>260</v>
      </c>
      <c r="E120" s="42" t="s">
        <v>3</v>
      </c>
      <c r="F120" s="101">
        <f t="shared" si="8"/>
        <v>900</v>
      </c>
      <c r="G120" s="42" t="s">
        <v>3</v>
      </c>
      <c r="H120" s="39">
        <v>2</v>
      </c>
      <c r="I120" s="40" t="s">
        <v>40</v>
      </c>
      <c r="J120" s="149">
        <v>65</v>
      </c>
      <c r="K120" s="104">
        <v>260</v>
      </c>
      <c r="L120" s="104">
        <v>900</v>
      </c>
      <c r="M120" s="150">
        <v>6.9810802249207153</v>
      </c>
      <c r="N120" s="66">
        <v>143.56029599999999</v>
      </c>
      <c r="O120" s="109">
        <v>13689.243886727385</v>
      </c>
      <c r="P120" s="109">
        <v>16361.630508619735</v>
      </c>
      <c r="Q120" s="110">
        <v>8549.9793988371766</v>
      </c>
      <c r="R120" s="258">
        <v>22239.223285564563</v>
      </c>
      <c r="S120" s="259">
        <v>24911.609907456914</v>
      </c>
      <c r="U120" s="7" t="s">
        <v>912</v>
      </c>
    </row>
    <row r="121" spans="1:21" s="65" customFormat="1" ht="16.5" thickBot="1">
      <c r="A121" s="41" t="s">
        <v>31</v>
      </c>
      <c r="B121" s="42">
        <f t="shared" si="6"/>
        <v>65</v>
      </c>
      <c r="C121" s="42" t="s">
        <v>3</v>
      </c>
      <c r="D121" s="42">
        <f t="shared" si="7"/>
        <v>260</v>
      </c>
      <c r="E121" s="42" t="s">
        <v>3</v>
      </c>
      <c r="F121" s="101">
        <f t="shared" si="8"/>
        <v>950</v>
      </c>
      <c r="G121" s="42" t="s">
        <v>3</v>
      </c>
      <c r="H121" s="39">
        <v>2</v>
      </c>
      <c r="I121" s="40" t="s">
        <v>40</v>
      </c>
      <c r="J121" s="149">
        <v>65</v>
      </c>
      <c r="K121" s="104">
        <v>260</v>
      </c>
      <c r="L121" s="104">
        <v>950</v>
      </c>
      <c r="M121" s="150">
        <v>7.3318536744435718</v>
      </c>
      <c r="N121" s="66">
        <v>156.61123199999997</v>
      </c>
      <c r="O121" s="109">
        <v>14147.170836177796</v>
      </c>
      <c r="P121" s="109">
        <v>16937.331456285654</v>
      </c>
      <c r="Q121" s="110">
        <v>9020.9708730526054</v>
      </c>
      <c r="R121" s="258">
        <v>23168.141709230404</v>
      </c>
      <c r="S121" s="259">
        <v>25958.302329338258</v>
      </c>
      <c r="U121" s="7" t="s">
        <v>913</v>
      </c>
    </row>
    <row r="122" spans="1:21" s="65" customFormat="1" ht="16.5" thickBot="1">
      <c r="A122" s="41" t="s">
        <v>31</v>
      </c>
      <c r="B122" s="42">
        <f t="shared" si="6"/>
        <v>65</v>
      </c>
      <c r="C122" s="42" t="s">
        <v>3</v>
      </c>
      <c r="D122" s="42">
        <f t="shared" si="7"/>
        <v>260</v>
      </c>
      <c r="E122" s="42" t="s">
        <v>3</v>
      </c>
      <c r="F122" s="101">
        <f t="shared" si="8"/>
        <v>1000</v>
      </c>
      <c r="G122" s="42" t="s">
        <v>3</v>
      </c>
      <c r="H122" s="39">
        <v>2</v>
      </c>
      <c r="I122" s="40" t="s">
        <v>40</v>
      </c>
      <c r="J122" s="149">
        <v>65</v>
      </c>
      <c r="K122" s="104">
        <v>260</v>
      </c>
      <c r="L122" s="104">
        <v>1000</v>
      </c>
      <c r="M122" s="150">
        <v>7.6826271239664283</v>
      </c>
      <c r="N122" s="66">
        <v>169.66216799999998</v>
      </c>
      <c r="O122" s="109">
        <v>14605.097632599445</v>
      </c>
      <c r="P122" s="109">
        <v>17513.032403951565</v>
      </c>
      <c r="Q122" s="110">
        <v>9491.9625002968005</v>
      </c>
      <c r="R122" s="258">
        <v>24097.060132896244</v>
      </c>
      <c r="S122" s="259">
        <v>27004.994904248364</v>
      </c>
      <c r="U122" s="7" t="s">
        <v>914</v>
      </c>
    </row>
    <row r="123" spans="1:21" s="65" customFormat="1" ht="16.5" thickBot="1">
      <c r="A123" s="41" t="s">
        <v>31</v>
      </c>
      <c r="B123" s="42">
        <f t="shared" si="6"/>
        <v>65</v>
      </c>
      <c r="C123" s="42" t="s">
        <v>3</v>
      </c>
      <c r="D123" s="42">
        <f t="shared" si="7"/>
        <v>260</v>
      </c>
      <c r="E123" s="42" t="s">
        <v>3</v>
      </c>
      <c r="F123" s="101">
        <f t="shared" si="8"/>
        <v>1050</v>
      </c>
      <c r="G123" s="42" t="s">
        <v>3</v>
      </c>
      <c r="H123" s="39">
        <v>2</v>
      </c>
      <c r="I123" s="40" t="s">
        <v>40</v>
      </c>
      <c r="J123" s="149">
        <v>65</v>
      </c>
      <c r="K123" s="104">
        <v>260</v>
      </c>
      <c r="L123" s="104">
        <v>1050</v>
      </c>
      <c r="M123" s="150">
        <v>8.0334005734892848</v>
      </c>
      <c r="N123" s="66">
        <v>182.71310399999996</v>
      </c>
      <c r="O123" s="109">
        <v>15063.024582049857</v>
      </c>
      <c r="P123" s="109">
        <v>18088.73350464625</v>
      </c>
      <c r="Q123" s="110">
        <v>9962.9539745122293</v>
      </c>
      <c r="R123" s="258">
        <v>25025.978556562084</v>
      </c>
      <c r="S123" s="259">
        <v>28051.687479158478</v>
      </c>
      <c r="U123" s="7" t="s">
        <v>915</v>
      </c>
    </row>
    <row r="124" spans="1:21" s="65" customFormat="1" ht="16.5" thickBot="1">
      <c r="A124" s="38" t="s">
        <v>31</v>
      </c>
      <c r="B124" s="39">
        <f t="shared" si="6"/>
        <v>65</v>
      </c>
      <c r="C124" s="39" t="s">
        <v>3</v>
      </c>
      <c r="D124" s="39">
        <f t="shared" si="7"/>
        <v>260</v>
      </c>
      <c r="E124" s="39" t="s">
        <v>3</v>
      </c>
      <c r="F124" s="101">
        <f t="shared" si="8"/>
        <v>1100</v>
      </c>
      <c r="G124" s="39" t="s">
        <v>3</v>
      </c>
      <c r="H124" s="39">
        <v>2</v>
      </c>
      <c r="I124" s="40" t="s">
        <v>40</v>
      </c>
      <c r="J124" s="149">
        <v>65</v>
      </c>
      <c r="K124" s="104">
        <v>260</v>
      </c>
      <c r="L124" s="104">
        <v>1100</v>
      </c>
      <c r="M124" s="150">
        <v>8.3841740230121431</v>
      </c>
      <c r="N124" s="66">
        <v>195.76403999999997</v>
      </c>
      <c r="O124" s="109">
        <v>15520.951378471507</v>
      </c>
      <c r="P124" s="109">
        <v>18664.434452312162</v>
      </c>
      <c r="Q124" s="110">
        <v>10433.945601756424</v>
      </c>
      <c r="R124" s="258">
        <v>25954.896980227932</v>
      </c>
      <c r="S124" s="259">
        <v>29098.380054068584</v>
      </c>
      <c r="U124" s="7" t="s">
        <v>916</v>
      </c>
    </row>
    <row r="125" spans="1:21" s="65" customFormat="1" ht="16.5" thickBot="1">
      <c r="A125" s="41" t="s">
        <v>31</v>
      </c>
      <c r="B125" s="42">
        <f t="shared" si="6"/>
        <v>65</v>
      </c>
      <c r="C125" s="42" t="s">
        <v>3</v>
      </c>
      <c r="D125" s="42">
        <f t="shared" si="7"/>
        <v>260</v>
      </c>
      <c r="E125" s="42" t="s">
        <v>3</v>
      </c>
      <c r="F125" s="101">
        <f t="shared" si="8"/>
        <v>1150</v>
      </c>
      <c r="G125" s="42" t="s">
        <v>3</v>
      </c>
      <c r="H125" s="39">
        <v>2</v>
      </c>
      <c r="I125" s="40" t="s">
        <v>40</v>
      </c>
      <c r="J125" s="149">
        <v>65</v>
      </c>
      <c r="K125" s="104">
        <v>260</v>
      </c>
      <c r="L125" s="104">
        <v>1150</v>
      </c>
      <c r="M125" s="150">
        <v>8.7349474725349996</v>
      </c>
      <c r="N125" s="66">
        <v>208.814976</v>
      </c>
      <c r="O125" s="109">
        <v>15978.878174893154</v>
      </c>
      <c r="P125" s="109">
        <v>19240.13539997808</v>
      </c>
      <c r="Q125" s="110">
        <v>10904.937229000619</v>
      </c>
      <c r="R125" s="258">
        <v>26883.815403893772</v>
      </c>
      <c r="S125" s="259">
        <v>30145.072628978698</v>
      </c>
      <c r="U125" s="7" t="s">
        <v>917</v>
      </c>
    </row>
    <row r="126" spans="1:21" s="65" customFormat="1" ht="16.5" thickBot="1">
      <c r="A126" s="41" t="s">
        <v>31</v>
      </c>
      <c r="B126" s="42">
        <f t="shared" si="6"/>
        <v>65</v>
      </c>
      <c r="C126" s="42" t="s">
        <v>3</v>
      </c>
      <c r="D126" s="42">
        <f t="shared" si="7"/>
        <v>260</v>
      </c>
      <c r="E126" s="42" t="s">
        <v>3</v>
      </c>
      <c r="F126" s="101">
        <f t="shared" si="8"/>
        <v>1200</v>
      </c>
      <c r="G126" s="42" t="s">
        <v>3</v>
      </c>
      <c r="H126" s="39">
        <v>2</v>
      </c>
      <c r="I126" s="40" t="s">
        <v>40</v>
      </c>
      <c r="J126" s="149">
        <v>65</v>
      </c>
      <c r="K126" s="104">
        <v>260</v>
      </c>
      <c r="L126" s="104">
        <v>1200</v>
      </c>
      <c r="M126" s="150">
        <v>9.124970922057857</v>
      </c>
      <c r="N126" s="66">
        <v>221.86591199999998</v>
      </c>
      <c r="O126" s="109">
        <v>16486.805283974059</v>
      </c>
      <c r="P126" s="109">
        <v>19864.312646831528</v>
      </c>
      <c r="Q126" s="110">
        <v>11375.92870321605</v>
      </c>
      <c r="R126" s="258">
        <v>27862.733987190109</v>
      </c>
      <c r="S126" s="259">
        <v>31240.241350047578</v>
      </c>
      <c r="U126" s="7" t="s">
        <v>918</v>
      </c>
    </row>
    <row r="127" spans="1:21" s="65" customFormat="1" ht="16.5" thickBot="1">
      <c r="A127" s="41" t="s">
        <v>31</v>
      </c>
      <c r="B127" s="42">
        <f t="shared" si="6"/>
        <v>65</v>
      </c>
      <c r="C127" s="42" t="s">
        <v>3</v>
      </c>
      <c r="D127" s="42">
        <f t="shared" si="7"/>
        <v>260</v>
      </c>
      <c r="E127" s="42" t="s">
        <v>3</v>
      </c>
      <c r="F127" s="101">
        <f t="shared" si="8"/>
        <v>1250</v>
      </c>
      <c r="G127" s="42" t="s">
        <v>3</v>
      </c>
      <c r="H127" s="39">
        <v>2</v>
      </c>
      <c r="I127" s="40" t="s">
        <v>40</v>
      </c>
      <c r="J127" s="149">
        <v>65</v>
      </c>
      <c r="K127" s="104">
        <v>260</v>
      </c>
      <c r="L127" s="104">
        <v>1250</v>
      </c>
      <c r="M127" s="150">
        <v>9.4757443715807135</v>
      </c>
      <c r="N127" s="66">
        <v>234.91684799999999</v>
      </c>
      <c r="O127" s="109">
        <v>16944.732080395861</v>
      </c>
      <c r="P127" s="109">
        <v>20440.013594497443</v>
      </c>
      <c r="Q127" s="110">
        <v>11846.920330460245</v>
      </c>
      <c r="R127" s="258">
        <v>28791.652410856106</v>
      </c>
      <c r="S127" s="259">
        <v>32286.933924957688</v>
      </c>
      <c r="U127" s="7" t="s">
        <v>919</v>
      </c>
    </row>
    <row r="128" spans="1:21" s="65" customFormat="1" ht="16.5" thickBot="1">
      <c r="A128" s="41" t="s">
        <v>31</v>
      </c>
      <c r="B128" s="42">
        <f t="shared" si="6"/>
        <v>65</v>
      </c>
      <c r="C128" s="42" t="s">
        <v>3</v>
      </c>
      <c r="D128" s="42">
        <f t="shared" si="7"/>
        <v>260</v>
      </c>
      <c r="E128" s="42" t="s">
        <v>3</v>
      </c>
      <c r="F128" s="101">
        <f t="shared" si="8"/>
        <v>1300</v>
      </c>
      <c r="G128" s="42" t="s">
        <v>3</v>
      </c>
      <c r="H128" s="39">
        <v>2</v>
      </c>
      <c r="I128" s="40" t="s">
        <v>40</v>
      </c>
      <c r="J128" s="149">
        <v>65</v>
      </c>
      <c r="K128" s="104">
        <v>260</v>
      </c>
      <c r="L128" s="104">
        <v>1300</v>
      </c>
      <c r="M128" s="150">
        <v>9.8265178211035717</v>
      </c>
      <c r="N128" s="66">
        <v>247.96778399999997</v>
      </c>
      <c r="O128" s="109">
        <v>17402.659029846276</v>
      </c>
      <c r="P128" s="109">
        <v>21015.714542163358</v>
      </c>
      <c r="Q128" s="110">
        <v>12317.911804675674</v>
      </c>
      <c r="R128" s="258">
        <v>29720.57083452195</v>
      </c>
      <c r="S128" s="259">
        <v>33333.626346839032</v>
      </c>
      <c r="U128" s="7" t="s">
        <v>920</v>
      </c>
    </row>
    <row r="129" spans="1:21" s="65" customFormat="1" ht="16.5" thickBot="1">
      <c r="A129" s="41" t="s">
        <v>31</v>
      </c>
      <c r="B129" s="42">
        <f t="shared" si="6"/>
        <v>65</v>
      </c>
      <c r="C129" s="42" t="s">
        <v>3</v>
      </c>
      <c r="D129" s="42">
        <f t="shared" si="7"/>
        <v>260</v>
      </c>
      <c r="E129" s="42" t="s">
        <v>3</v>
      </c>
      <c r="F129" s="101">
        <f t="shared" si="8"/>
        <v>1350</v>
      </c>
      <c r="G129" s="42" t="s">
        <v>3</v>
      </c>
      <c r="H129" s="39">
        <v>2</v>
      </c>
      <c r="I129" s="40" t="s">
        <v>40</v>
      </c>
      <c r="J129" s="149">
        <v>65</v>
      </c>
      <c r="K129" s="104">
        <v>260</v>
      </c>
      <c r="L129" s="104">
        <v>1350</v>
      </c>
      <c r="M129" s="150">
        <v>10.177291270626428</v>
      </c>
      <c r="N129" s="66">
        <v>261.01871999999997</v>
      </c>
      <c r="O129" s="109">
        <v>17860.585826267921</v>
      </c>
      <c r="P129" s="109">
        <v>21591.415489829273</v>
      </c>
      <c r="Q129" s="110">
        <v>12788.903431919871</v>
      </c>
      <c r="R129" s="258">
        <v>30649.489258187794</v>
      </c>
      <c r="S129" s="259">
        <v>34380.318921749145</v>
      </c>
      <c r="U129" s="7" t="s">
        <v>921</v>
      </c>
    </row>
    <row r="130" spans="1:21" s="65" customFormat="1" ht="16.5" thickBot="1">
      <c r="A130" s="41" t="s">
        <v>31</v>
      </c>
      <c r="B130" s="42">
        <f t="shared" si="6"/>
        <v>65</v>
      </c>
      <c r="C130" s="42" t="s">
        <v>3</v>
      </c>
      <c r="D130" s="42">
        <f t="shared" si="7"/>
        <v>260</v>
      </c>
      <c r="E130" s="42" t="s">
        <v>3</v>
      </c>
      <c r="F130" s="101">
        <f t="shared" si="8"/>
        <v>1400</v>
      </c>
      <c r="G130" s="42" t="s">
        <v>3</v>
      </c>
      <c r="H130" s="39">
        <v>2</v>
      </c>
      <c r="I130" s="40" t="s">
        <v>40</v>
      </c>
      <c r="J130" s="149">
        <v>65</v>
      </c>
      <c r="K130" s="104">
        <v>260</v>
      </c>
      <c r="L130" s="104">
        <v>1400</v>
      </c>
      <c r="M130" s="150">
        <v>10.528064720149287</v>
      </c>
      <c r="N130" s="66">
        <v>274.06965600000001</v>
      </c>
      <c r="O130" s="109">
        <v>18318.51262268957</v>
      </c>
      <c r="P130" s="109">
        <v>22167.116590523958</v>
      </c>
      <c r="Q130" s="110">
        <v>13259.895059164062</v>
      </c>
      <c r="R130" s="258">
        <v>31578.407681853634</v>
      </c>
      <c r="S130" s="259">
        <v>35427.011649688022</v>
      </c>
      <c r="U130" s="7" t="s">
        <v>922</v>
      </c>
    </row>
    <row r="131" spans="1:21" s="65" customFormat="1" ht="16.5" thickBot="1">
      <c r="A131" s="41" t="s">
        <v>31</v>
      </c>
      <c r="B131" s="42">
        <f t="shared" si="6"/>
        <v>65</v>
      </c>
      <c r="C131" s="42" t="s">
        <v>3</v>
      </c>
      <c r="D131" s="42">
        <f t="shared" si="7"/>
        <v>260</v>
      </c>
      <c r="E131" s="42" t="s">
        <v>3</v>
      </c>
      <c r="F131" s="101">
        <f t="shared" si="8"/>
        <v>1450</v>
      </c>
      <c r="G131" s="42" t="s">
        <v>3</v>
      </c>
      <c r="H131" s="39">
        <v>2</v>
      </c>
      <c r="I131" s="40" t="s">
        <v>40</v>
      </c>
      <c r="J131" s="149">
        <v>65</v>
      </c>
      <c r="K131" s="104">
        <v>260</v>
      </c>
      <c r="L131" s="104">
        <v>1450</v>
      </c>
      <c r="M131" s="150">
        <v>10.878838169672143</v>
      </c>
      <c r="N131" s="66">
        <v>287.12059199999999</v>
      </c>
      <c r="O131" s="109">
        <v>18776.439572139981</v>
      </c>
      <c r="P131" s="109">
        <v>22742.817538189869</v>
      </c>
      <c r="Q131" s="110">
        <v>13730.886533379495</v>
      </c>
      <c r="R131" s="258">
        <v>32507.326105519474</v>
      </c>
      <c r="S131" s="259">
        <v>36473.704071569366</v>
      </c>
      <c r="U131" s="7" t="s">
        <v>923</v>
      </c>
    </row>
    <row r="132" spans="1:21" s="65" customFormat="1" ht="16.5" thickBot="1">
      <c r="A132" s="41" t="s">
        <v>31</v>
      </c>
      <c r="B132" s="42">
        <f t="shared" si="6"/>
        <v>65</v>
      </c>
      <c r="C132" s="42" t="s">
        <v>3</v>
      </c>
      <c r="D132" s="42">
        <f t="shared" si="7"/>
        <v>260</v>
      </c>
      <c r="E132" s="42" t="s">
        <v>3</v>
      </c>
      <c r="F132" s="101">
        <f t="shared" si="8"/>
        <v>1500</v>
      </c>
      <c r="G132" s="42" t="s">
        <v>3</v>
      </c>
      <c r="H132" s="39">
        <v>2</v>
      </c>
      <c r="I132" s="40" t="s">
        <v>40</v>
      </c>
      <c r="J132" s="149">
        <v>65</v>
      </c>
      <c r="K132" s="104">
        <v>260</v>
      </c>
      <c r="L132" s="104">
        <v>1500</v>
      </c>
      <c r="M132" s="150">
        <v>11.353375807995</v>
      </c>
      <c r="N132" s="66">
        <v>300.17152799999997</v>
      </c>
      <c r="O132" s="109">
        <v>19876.820299920251</v>
      </c>
      <c r="P132" s="109">
        <v>23881.102266861482</v>
      </c>
      <c r="Q132" s="110">
        <v>14201.87816062369</v>
      </c>
      <c r="R132" s="258">
        <v>34078.698460543943</v>
      </c>
      <c r="S132" s="259">
        <v>38082.98042748517</v>
      </c>
      <c r="U132" s="7" t="s">
        <v>924</v>
      </c>
    </row>
    <row r="133" spans="1:21" s="65" customFormat="1" ht="16.5" thickBot="1">
      <c r="A133" s="41" t="s">
        <v>31</v>
      </c>
      <c r="B133" s="42">
        <f t="shared" si="6"/>
        <v>65</v>
      </c>
      <c r="C133" s="42" t="s">
        <v>3</v>
      </c>
      <c r="D133" s="42">
        <f t="shared" si="7"/>
        <v>260</v>
      </c>
      <c r="E133" s="42" t="s">
        <v>3</v>
      </c>
      <c r="F133" s="101">
        <f t="shared" si="8"/>
        <v>1550</v>
      </c>
      <c r="G133" s="42" t="s">
        <v>3</v>
      </c>
      <c r="H133" s="39">
        <v>2</v>
      </c>
      <c r="I133" s="40" t="s">
        <v>40</v>
      </c>
      <c r="J133" s="149">
        <v>65</v>
      </c>
      <c r="K133" s="104">
        <v>260</v>
      </c>
      <c r="L133" s="104">
        <v>1550</v>
      </c>
      <c r="M133" s="150">
        <v>11.704149257517855</v>
      </c>
      <c r="N133" s="66">
        <v>313.22246399999995</v>
      </c>
      <c r="O133" s="109">
        <v>20334.747249370666</v>
      </c>
      <c r="P133" s="109">
        <v>24456.803214527397</v>
      </c>
      <c r="Q133" s="110">
        <v>14672.869634839117</v>
      </c>
      <c r="R133" s="258">
        <v>35007.616884209783</v>
      </c>
      <c r="S133" s="259">
        <v>39129.672849366514</v>
      </c>
      <c r="U133" s="7" t="s">
        <v>925</v>
      </c>
    </row>
    <row r="134" spans="1:21" s="65" customFormat="1" ht="16.5" thickBot="1">
      <c r="A134" s="38" t="s">
        <v>31</v>
      </c>
      <c r="B134" s="39">
        <f t="shared" si="6"/>
        <v>65</v>
      </c>
      <c r="C134" s="39" t="s">
        <v>3</v>
      </c>
      <c r="D134" s="39">
        <f t="shared" si="7"/>
        <v>260</v>
      </c>
      <c r="E134" s="39" t="s">
        <v>3</v>
      </c>
      <c r="F134" s="101">
        <f t="shared" si="8"/>
        <v>1600</v>
      </c>
      <c r="G134" s="39" t="s">
        <v>3</v>
      </c>
      <c r="H134" s="39">
        <v>2</v>
      </c>
      <c r="I134" s="40" t="s">
        <v>40</v>
      </c>
      <c r="J134" s="149">
        <v>65</v>
      </c>
      <c r="K134" s="104">
        <v>260</v>
      </c>
      <c r="L134" s="104">
        <v>1600</v>
      </c>
      <c r="M134" s="150">
        <v>12.054922707040713</v>
      </c>
      <c r="N134" s="66">
        <v>326.27339999999998</v>
      </c>
      <c r="O134" s="109">
        <v>20792.674045792315</v>
      </c>
      <c r="P134" s="109">
        <v>25032.504315222079</v>
      </c>
      <c r="Q134" s="110">
        <v>15143.861262083314</v>
      </c>
      <c r="R134" s="258">
        <v>35936.535307875631</v>
      </c>
      <c r="S134" s="259">
        <v>40176.365577305391</v>
      </c>
      <c r="U134" s="7" t="s">
        <v>926</v>
      </c>
    </row>
    <row r="135" spans="1:21" s="65" customFormat="1" ht="16.5" thickBot="1">
      <c r="A135" s="41" t="s">
        <v>31</v>
      </c>
      <c r="B135" s="42">
        <f t="shared" si="6"/>
        <v>65</v>
      </c>
      <c r="C135" s="42" t="s">
        <v>3</v>
      </c>
      <c r="D135" s="42">
        <f t="shared" si="7"/>
        <v>260</v>
      </c>
      <c r="E135" s="42" t="s">
        <v>3</v>
      </c>
      <c r="F135" s="101">
        <f t="shared" si="8"/>
        <v>1650</v>
      </c>
      <c r="G135" s="42" t="s">
        <v>3</v>
      </c>
      <c r="H135" s="39">
        <v>2</v>
      </c>
      <c r="I135" s="40" t="s">
        <v>40</v>
      </c>
      <c r="J135" s="149">
        <v>65</v>
      </c>
      <c r="K135" s="104">
        <v>260</v>
      </c>
      <c r="L135" s="104">
        <v>1650</v>
      </c>
      <c r="M135" s="150">
        <v>12.405696156563572</v>
      </c>
      <c r="N135" s="66">
        <v>339.32433599999996</v>
      </c>
      <c r="O135" s="109">
        <v>21250.600842213964</v>
      </c>
      <c r="P135" s="109">
        <v>25608.205262887997</v>
      </c>
      <c r="Q135" s="110">
        <v>15614.852889327509</v>
      </c>
      <c r="R135" s="258">
        <v>36865.453731541471</v>
      </c>
      <c r="S135" s="259">
        <v>41223.058152215504</v>
      </c>
      <c r="U135" s="7" t="s">
        <v>927</v>
      </c>
    </row>
    <row r="136" spans="1:21" s="65" customFormat="1" ht="16.5" thickBot="1">
      <c r="A136" s="41" t="s">
        <v>31</v>
      </c>
      <c r="B136" s="42">
        <f t="shared" si="6"/>
        <v>65</v>
      </c>
      <c r="C136" s="42" t="s">
        <v>3</v>
      </c>
      <c r="D136" s="42">
        <f t="shared" si="7"/>
        <v>260</v>
      </c>
      <c r="E136" s="42" t="s">
        <v>3</v>
      </c>
      <c r="F136" s="101">
        <f t="shared" si="8"/>
        <v>1700</v>
      </c>
      <c r="G136" s="42" t="s">
        <v>3</v>
      </c>
      <c r="H136" s="39">
        <v>2</v>
      </c>
      <c r="I136" s="40" t="s">
        <v>40</v>
      </c>
      <c r="J136" s="149">
        <v>65</v>
      </c>
      <c r="K136" s="104">
        <v>260</v>
      </c>
      <c r="L136" s="104">
        <v>1700</v>
      </c>
      <c r="M136" s="150">
        <v>12.756469606086428</v>
      </c>
      <c r="N136" s="66">
        <v>352.375272</v>
      </c>
      <c r="O136" s="109">
        <v>21708.527791664379</v>
      </c>
      <c r="P136" s="109">
        <v>26183.906210553909</v>
      </c>
      <c r="Q136" s="110">
        <v>16085.844363542936</v>
      </c>
      <c r="R136" s="258">
        <v>37794.372155207311</v>
      </c>
      <c r="S136" s="259">
        <v>42269.750574096848</v>
      </c>
      <c r="U136" s="7" t="s">
        <v>928</v>
      </c>
    </row>
    <row r="137" spans="1:21" s="65" customFormat="1" ht="16.5" thickBot="1">
      <c r="A137" s="41" t="s">
        <v>31</v>
      </c>
      <c r="B137" s="42">
        <f t="shared" si="6"/>
        <v>65</v>
      </c>
      <c r="C137" s="42" t="s">
        <v>3</v>
      </c>
      <c r="D137" s="42">
        <f t="shared" si="7"/>
        <v>260</v>
      </c>
      <c r="E137" s="42" t="s">
        <v>3</v>
      </c>
      <c r="F137" s="101">
        <f t="shared" si="8"/>
        <v>1750</v>
      </c>
      <c r="G137" s="42" t="s">
        <v>3</v>
      </c>
      <c r="H137" s="39">
        <v>2</v>
      </c>
      <c r="I137" s="40" t="s">
        <v>40</v>
      </c>
      <c r="J137" s="149">
        <v>65</v>
      </c>
      <c r="K137" s="104">
        <v>260</v>
      </c>
      <c r="L137" s="104">
        <v>1750</v>
      </c>
      <c r="M137" s="150">
        <v>13.107243055609285</v>
      </c>
      <c r="N137" s="66">
        <v>365.42620799999992</v>
      </c>
      <c r="O137" s="109">
        <v>22166.454588086024</v>
      </c>
      <c r="P137" s="109">
        <v>26759.607158219824</v>
      </c>
      <c r="Q137" s="110">
        <v>16556.835990787131</v>
      </c>
      <c r="R137" s="258">
        <v>38723.290578873159</v>
      </c>
      <c r="S137" s="259">
        <v>43316.443149006955</v>
      </c>
      <c r="U137" s="7" t="s">
        <v>929</v>
      </c>
    </row>
    <row r="138" spans="1:21" s="65" customFormat="1" ht="16.5" thickBot="1">
      <c r="A138" s="41" t="s">
        <v>31</v>
      </c>
      <c r="B138" s="42">
        <f t="shared" si="6"/>
        <v>65</v>
      </c>
      <c r="C138" s="42" t="s">
        <v>3</v>
      </c>
      <c r="D138" s="42">
        <f t="shared" si="7"/>
        <v>260</v>
      </c>
      <c r="E138" s="42" t="s">
        <v>3</v>
      </c>
      <c r="F138" s="101">
        <f t="shared" si="8"/>
        <v>1800</v>
      </c>
      <c r="G138" s="42" t="s">
        <v>3</v>
      </c>
      <c r="H138" s="39">
        <v>2</v>
      </c>
      <c r="I138" s="40" t="s">
        <v>40</v>
      </c>
      <c r="J138" s="149">
        <v>65</v>
      </c>
      <c r="K138" s="104">
        <v>260</v>
      </c>
      <c r="L138" s="104">
        <v>1800</v>
      </c>
      <c r="M138" s="150">
        <v>13.458016505132143</v>
      </c>
      <c r="N138" s="66">
        <v>378.47714399999995</v>
      </c>
      <c r="O138" s="109">
        <v>22624.381384507673</v>
      </c>
      <c r="P138" s="109">
        <v>27335.308258914505</v>
      </c>
      <c r="Q138" s="110">
        <v>17027.827465002563</v>
      </c>
      <c r="R138" s="258">
        <v>39652.208849510236</v>
      </c>
      <c r="S138" s="259">
        <v>44363.135723917068</v>
      </c>
      <c r="U138" s="7" t="s">
        <v>930</v>
      </c>
    </row>
    <row r="139" spans="1:21" s="65" customFormat="1" ht="16.5" thickBot="1">
      <c r="A139" s="41" t="s">
        <v>31</v>
      </c>
      <c r="B139" s="42">
        <f t="shared" si="6"/>
        <v>65</v>
      </c>
      <c r="C139" s="42" t="s">
        <v>3</v>
      </c>
      <c r="D139" s="42">
        <f t="shared" si="7"/>
        <v>260</v>
      </c>
      <c r="E139" s="42" t="s">
        <v>3</v>
      </c>
      <c r="F139" s="101">
        <f t="shared" si="8"/>
        <v>1850</v>
      </c>
      <c r="G139" s="42" t="s">
        <v>3</v>
      </c>
      <c r="H139" s="39">
        <v>2</v>
      </c>
      <c r="I139" s="40" t="s">
        <v>40</v>
      </c>
      <c r="J139" s="149">
        <v>65</v>
      </c>
      <c r="K139" s="104">
        <v>260</v>
      </c>
      <c r="L139" s="104">
        <v>1850</v>
      </c>
      <c r="M139" s="150">
        <v>13.808789954654999</v>
      </c>
      <c r="N139" s="66">
        <v>391.52807999999993</v>
      </c>
      <c r="O139" s="109">
        <v>23082.308333958084</v>
      </c>
      <c r="P139" s="109">
        <v>27911.009206580424</v>
      </c>
      <c r="Q139" s="110">
        <v>17498.819092246758</v>
      </c>
      <c r="R139" s="258">
        <v>40581.127426204839</v>
      </c>
      <c r="S139" s="259">
        <v>45409.828298827182</v>
      </c>
      <c r="U139" s="7" t="s">
        <v>931</v>
      </c>
    </row>
    <row r="140" spans="1:21" s="65" customFormat="1" ht="16.5" thickBot="1">
      <c r="A140" s="41" t="s">
        <v>31</v>
      </c>
      <c r="B140" s="42">
        <f t="shared" si="6"/>
        <v>65</v>
      </c>
      <c r="C140" s="42" t="s">
        <v>3</v>
      </c>
      <c r="D140" s="42">
        <f t="shared" si="7"/>
        <v>260</v>
      </c>
      <c r="E140" s="42" t="s">
        <v>3</v>
      </c>
      <c r="F140" s="101">
        <f t="shared" si="8"/>
        <v>1900</v>
      </c>
      <c r="G140" s="42" t="s">
        <v>3</v>
      </c>
      <c r="H140" s="39">
        <v>2</v>
      </c>
      <c r="I140" s="40" t="s">
        <v>40</v>
      </c>
      <c r="J140" s="149">
        <v>65</v>
      </c>
      <c r="K140" s="104">
        <v>260</v>
      </c>
      <c r="L140" s="104">
        <v>1900</v>
      </c>
      <c r="M140" s="150">
        <v>14.159563404177856</v>
      </c>
      <c r="N140" s="66">
        <v>404.57901599999997</v>
      </c>
      <c r="O140" s="109">
        <v>23540.235130379733</v>
      </c>
      <c r="P140" s="109">
        <v>28486.710154246335</v>
      </c>
      <c r="Q140" s="110">
        <v>17969.810719490953</v>
      </c>
      <c r="R140" s="258">
        <v>41510.045849870687</v>
      </c>
      <c r="S140" s="259">
        <v>46456.520873737289</v>
      </c>
      <c r="U140" s="7" t="s">
        <v>932</v>
      </c>
    </row>
    <row r="141" spans="1:21" s="65" customFormat="1" ht="16.5" thickBot="1">
      <c r="A141" s="41" t="s">
        <v>31</v>
      </c>
      <c r="B141" s="42">
        <f t="shared" si="6"/>
        <v>65</v>
      </c>
      <c r="C141" s="42" t="s">
        <v>3</v>
      </c>
      <c r="D141" s="42">
        <f t="shared" si="7"/>
        <v>260</v>
      </c>
      <c r="E141" s="42" t="s">
        <v>3</v>
      </c>
      <c r="F141" s="101">
        <f t="shared" si="8"/>
        <v>1950</v>
      </c>
      <c r="G141" s="42" t="s">
        <v>3</v>
      </c>
      <c r="H141" s="39">
        <v>2</v>
      </c>
      <c r="I141" s="40" t="s">
        <v>40</v>
      </c>
      <c r="J141" s="149">
        <v>65</v>
      </c>
      <c r="K141" s="104">
        <v>260</v>
      </c>
      <c r="L141" s="104">
        <v>1950</v>
      </c>
      <c r="M141" s="150">
        <v>14.549586853700715</v>
      </c>
      <c r="N141" s="66">
        <v>417.629952</v>
      </c>
      <c r="O141" s="109">
        <v>24048.162239460795</v>
      </c>
      <c r="P141" s="109">
        <v>29110.887401099786</v>
      </c>
      <c r="Q141" s="110">
        <v>18440.802193706382</v>
      </c>
      <c r="R141" s="258">
        <v>42488.964433167173</v>
      </c>
      <c r="S141" s="259">
        <v>47551.689594806172</v>
      </c>
      <c r="U141" s="7" t="s">
        <v>933</v>
      </c>
    </row>
    <row r="142" spans="1:21" s="65" customFormat="1" ht="16.5" thickBot="1">
      <c r="A142" s="41" t="s">
        <v>31</v>
      </c>
      <c r="B142" s="42">
        <f t="shared" si="6"/>
        <v>65</v>
      </c>
      <c r="C142" s="42" t="s">
        <v>3</v>
      </c>
      <c r="D142" s="42">
        <f t="shared" si="7"/>
        <v>260</v>
      </c>
      <c r="E142" s="42" t="s">
        <v>3</v>
      </c>
      <c r="F142" s="101">
        <f t="shared" si="8"/>
        <v>2000</v>
      </c>
      <c r="G142" s="42" t="s">
        <v>3</v>
      </c>
      <c r="H142" s="39">
        <v>2</v>
      </c>
      <c r="I142" s="40" t="s">
        <v>40</v>
      </c>
      <c r="J142" s="149">
        <v>65</v>
      </c>
      <c r="K142" s="104">
        <v>260</v>
      </c>
      <c r="L142" s="104">
        <v>2000</v>
      </c>
      <c r="M142" s="150">
        <v>14.991922703223572</v>
      </c>
      <c r="N142" s="66">
        <v>430.68088799999992</v>
      </c>
      <c r="O142" s="109">
        <v>24757.380937727037</v>
      </c>
      <c r="P142" s="109">
        <v>30015.016848131792</v>
      </c>
      <c r="Q142" s="110">
        <v>18911.793820950577</v>
      </c>
      <c r="R142" s="258">
        <v>43669.174758677618</v>
      </c>
      <c r="S142" s="259">
        <v>48926.81066908237</v>
      </c>
      <c r="U142" s="7" t="s">
        <v>934</v>
      </c>
    </row>
    <row r="143" spans="1:21" s="65" customFormat="1" ht="16.5" thickBot="1">
      <c r="A143" s="41" t="s">
        <v>31</v>
      </c>
      <c r="B143" s="42">
        <f t="shared" si="6"/>
        <v>65</v>
      </c>
      <c r="C143" s="42" t="s">
        <v>3</v>
      </c>
      <c r="D143" s="42">
        <f t="shared" si="7"/>
        <v>260</v>
      </c>
      <c r="E143" s="42" t="s">
        <v>3</v>
      </c>
      <c r="F143" s="101">
        <f t="shared" si="8"/>
        <v>2050</v>
      </c>
      <c r="G143" s="42" t="s">
        <v>3</v>
      </c>
      <c r="H143" s="39">
        <v>2</v>
      </c>
      <c r="I143" s="40" t="s">
        <v>40</v>
      </c>
      <c r="J143" s="149">
        <v>65</v>
      </c>
      <c r="K143" s="104">
        <v>260</v>
      </c>
      <c r="L143" s="104">
        <v>2050</v>
      </c>
      <c r="M143" s="150">
        <v>15.342696152746427</v>
      </c>
      <c r="N143" s="66">
        <v>443.73182399999996</v>
      </c>
      <c r="O143" s="109">
        <v>25215.307887177452</v>
      </c>
      <c r="P143" s="109">
        <v>30590.717795797715</v>
      </c>
      <c r="Q143" s="110">
        <v>19382.785295166006</v>
      </c>
      <c r="R143" s="258">
        <v>44598.093182343458</v>
      </c>
      <c r="S143" s="259">
        <v>49973.503090963721</v>
      </c>
      <c r="U143" s="7" t="s">
        <v>935</v>
      </c>
    </row>
    <row r="144" spans="1:21" s="65" customFormat="1" ht="16.5" thickBot="1">
      <c r="A144" s="38" t="s">
        <v>31</v>
      </c>
      <c r="B144" s="39">
        <f t="shared" si="6"/>
        <v>65</v>
      </c>
      <c r="C144" s="39" t="s">
        <v>3</v>
      </c>
      <c r="D144" s="39">
        <f t="shared" si="7"/>
        <v>260</v>
      </c>
      <c r="E144" s="39" t="s">
        <v>3</v>
      </c>
      <c r="F144" s="101">
        <f t="shared" si="8"/>
        <v>2100</v>
      </c>
      <c r="G144" s="39" t="s">
        <v>3</v>
      </c>
      <c r="H144" s="39">
        <v>2</v>
      </c>
      <c r="I144" s="40" t="s">
        <v>40</v>
      </c>
      <c r="J144" s="149">
        <v>65</v>
      </c>
      <c r="K144" s="104">
        <v>260</v>
      </c>
      <c r="L144" s="104">
        <v>2100</v>
      </c>
      <c r="M144" s="150">
        <v>15.693469602269284</v>
      </c>
      <c r="N144" s="66">
        <v>456.78275999999994</v>
      </c>
      <c r="O144" s="109">
        <v>25673.234683599097</v>
      </c>
      <c r="P144" s="109">
        <v>31166.418743463626</v>
      </c>
      <c r="Q144" s="110">
        <v>19853.776922410201</v>
      </c>
      <c r="R144" s="258">
        <v>45527.011606009299</v>
      </c>
      <c r="S144" s="259">
        <v>51020.195665873827</v>
      </c>
      <c r="U144" s="7" t="s">
        <v>936</v>
      </c>
    </row>
    <row r="145" spans="1:21" s="65" customFormat="1" ht="16.5" thickBot="1">
      <c r="A145" s="41" t="s">
        <v>31</v>
      </c>
      <c r="B145" s="42">
        <f t="shared" si="6"/>
        <v>65</v>
      </c>
      <c r="C145" s="42" t="s">
        <v>3</v>
      </c>
      <c r="D145" s="42">
        <f t="shared" si="7"/>
        <v>260</v>
      </c>
      <c r="E145" s="42" t="s">
        <v>3</v>
      </c>
      <c r="F145" s="101">
        <f t="shared" si="8"/>
        <v>2150</v>
      </c>
      <c r="G145" s="42" t="s">
        <v>3</v>
      </c>
      <c r="H145" s="39">
        <v>2</v>
      </c>
      <c r="I145" s="40" t="s">
        <v>40</v>
      </c>
      <c r="J145" s="149">
        <v>65</v>
      </c>
      <c r="K145" s="104">
        <v>260</v>
      </c>
      <c r="L145" s="104">
        <v>2150</v>
      </c>
      <c r="M145" s="150">
        <v>16.044243051792144</v>
      </c>
      <c r="N145" s="66">
        <v>469.83369599999997</v>
      </c>
      <c r="O145" s="109">
        <v>26131.161480020746</v>
      </c>
      <c r="P145" s="109">
        <v>31742.119844158307</v>
      </c>
      <c r="Q145" s="110">
        <v>20324.768396625634</v>
      </c>
      <c r="R145" s="258">
        <v>46455.929876646376</v>
      </c>
      <c r="S145" s="259">
        <v>52066.888240783941</v>
      </c>
      <c r="U145" s="7" t="s">
        <v>937</v>
      </c>
    </row>
    <row r="146" spans="1:21" s="65" customFormat="1" ht="16.5" thickBot="1">
      <c r="A146" s="41" t="s">
        <v>31</v>
      </c>
      <c r="B146" s="42">
        <f t="shared" si="6"/>
        <v>65</v>
      </c>
      <c r="C146" s="42" t="s">
        <v>3</v>
      </c>
      <c r="D146" s="42">
        <f t="shared" si="7"/>
        <v>260</v>
      </c>
      <c r="E146" s="42" t="s">
        <v>3</v>
      </c>
      <c r="F146" s="101">
        <f t="shared" si="8"/>
        <v>2200</v>
      </c>
      <c r="G146" s="42" t="s">
        <v>3</v>
      </c>
      <c r="H146" s="39">
        <v>2</v>
      </c>
      <c r="I146" s="40" t="s">
        <v>40</v>
      </c>
      <c r="J146" s="149">
        <v>65</v>
      </c>
      <c r="K146" s="104">
        <v>260</v>
      </c>
      <c r="L146" s="104">
        <v>2200</v>
      </c>
      <c r="M146" s="150">
        <v>16.395016501314998</v>
      </c>
      <c r="N146" s="66">
        <v>482.88463199999995</v>
      </c>
      <c r="O146" s="109">
        <v>26589.088429471158</v>
      </c>
      <c r="P146" s="109">
        <v>32317.820791824222</v>
      </c>
      <c r="Q146" s="110">
        <v>20795.760023869829</v>
      </c>
      <c r="R146" s="258">
        <v>47384.848453340986</v>
      </c>
      <c r="S146" s="259">
        <v>53113.580815694047</v>
      </c>
      <c r="U146" s="7" t="s">
        <v>938</v>
      </c>
    </row>
    <row r="147" spans="1:21" s="65" customFormat="1" ht="16.5" thickBot="1">
      <c r="A147" s="41" t="s">
        <v>31</v>
      </c>
      <c r="B147" s="42">
        <f t="shared" si="6"/>
        <v>65</v>
      </c>
      <c r="C147" s="42" t="s">
        <v>3</v>
      </c>
      <c r="D147" s="42">
        <f t="shared" si="7"/>
        <v>260</v>
      </c>
      <c r="E147" s="42" t="s">
        <v>3</v>
      </c>
      <c r="F147" s="101">
        <f t="shared" si="8"/>
        <v>2250</v>
      </c>
      <c r="G147" s="42" t="s">
        <v>3</v>
      </c>
      <c r="H147" s="39">
        <v>2</v>
      </c>
      <c r="I147" s="40" t="s">
        <v>40</v>
      </c>
      <c r="J147" s="149">
        <v>65</v>
      </c>
      <c r="K147" s="104">
        <v>260</v>
      </c>
      <c r="L147" s="104">
        <v>2250</v>
      </c>
      <c r="M147" s="150">
        <v>16.745789950837857</v>
      </c>
      <c r="N147" s="66">
        <v>495.93556799999993</v>
      </c>
      <c r="O147" s="109">
        <v>27047.01522589281</v>
      </c>
      <c r="P147" s="109">
        <v>32893.521739490141</v>
      </c>
      <c r="Q147" s="110">
        <v>21266.75165111402</v>
      </c>
      <c r="R147" s="258">
        <v>48313.766877006827</v>
      </c>
      <c r="S147" s="259">
        <v>54160.273390604161</v>
      </c>
      <c r="U147" s="7" t="s">
        <v>939</v>
      </c>
    </row>
    <row r="148" spans="1:21" s="65" customFormat="1" ht="16.5" thickBot="1">
      <c r="A148" s="41" t="s">
        <v>31</v>
      </c>
      <c r="B148" s="42">
        <f t="shared" si="6"/>
        <v>65</v>
      </c>
      <c r="C148" s="42" t="s">
        <v>3</v>
      </c>
      <c r="D148" s="42">
        <f t="shared" si="7"/>
        <v>260</v>
      </c>
      <c r="E148" s="42" t="s">
        <v>3</v>
      </c>
      <c r="F148" s="101">
        <f t="shared" si="8"/>
        <v>2300</v>
      </c>
      <c r="G148" s="42" t="s">
        <v>3</v>
      </c>
      <c r="H148" s="39">
        <v>2</v>
      </c>
      <c r="I148" s="40" t="s">
        <v>40</v>
      </c>
      <c r="J148" s="149">
        <v>65</v>
      </c>
      <c r="K148" s="104">
        <v>260</v>
      </c>
      <c r="L148" s="104">
        <v>2300</v>
      </c>
      <c r="M148" s="150">
        <v>17.096563400360715</v>
      </c>
      <c r="N148" s="66">
        <v>508.98650399999991</v>
      </c>
      <c r="O148" s="109">
        <v>27504.942022314302</v>
      </c>
      <c r="P148" s="109">
        <v>33469.222840184819</v>
      </c>
      <c r="Q148" s="110">
        <v>21737.743125329449</v>
      </c>
      <c r="R148" s="258">
        <v>49242.685147643751</v>
      </c>
      <c r="S148" s="259">
        <v>55206.965965514268</v>
      </c>
      <c r="U148" s="7" t="s">
        <v>940</v>
      </c>
    </row>
    <row r="149" spans="1:21" s="65" customFormat="1" ht="16.5" thickBot="1">
      <c r="A149" s="41" t="s">
        <v>31</v>
      </c>
      <c r="B149" s="42">
        <f t="shared" si="6"/>
        <v>65</v>
      </c>
      <c r="C149" s="42" t="s">
        <v>3</v>
      </c>
      <c r="D149" s="42">
        <f t="shared" si="7"/>
        <v>260</v>
      </c>
      <c r="E149" s="42" t="s">
        <v>3</v>
      </c>
      <c r="F149" s="101">
        <f t="shared" si="8"/>
        <v>2350</v>
      </c>
      <c r="G149" s="42" t="s">
        <v>3</v>
      </c>
      <c r="H149" s="39">
        <v>2</v>
      </c>
      <c r="I149" s="40" t="s">
        <v>40</v>
      </c>
      <c r="J149" s="149">
        <v>65</v>
      </c>
      <c r="K149" s="104">
        <v>260</v>
      </c>
      <c r="L149" s="104">
        <v>2350</v>
      </c>
      <c r="M149" s="150">
        <v>17.44733684988357</v>
      </c>
      <c r="N149" s="66">
        <v>522.03743999999995</v>
      </c>
      <c r="O149" s="109">
        <v>27962.868971764867</v>
      </c>
      <c r="P149" s="109">
        <v>34044.923787850734</v>
      </c>
      <c r="Q149" s="110">
        <v>22208.734752573648</v>
      </c>
      <c r="R149" s="258">
        <v>50171.603724338514</v>
      </c>
      <c r="S149" s="259">
        <v>56253.658540424381</v>
      </c>
      <c r="U149" s="7" t="s">
        <v>941</v>
      </c>
    </row>
    <row r="150" spans="1:21" s="65" customFormat="1" ht="16.5" thickBot="1">
      <c r="A150" s="41" t="s">
        <v>31</v>
      </c>
      <c r="B150" s="42">
        <f t="shared" si="6"/>
        <v>65</v>
      </c>
      <c r="C150" s="42" t="s">
        <v>3</v>
      </c>
      <c r="D150" s="42">
        <f t="shared" si="7"/>
        <v>260</v>
      </c>
      <c r="E150" s="42" t="s">
        <v>3</v>
      </c>
      <c r="F150" s="101">
        <f t="shared" si="8"/>
        <v>2400</v>
      </c>
      <c r="G150" s="42" t="s">
        <v>3</v>
      </c>
      <c r="H150" s="39">
        <v>2</v>
      </c>
      <c r="I150" s="40" t="s">
        <v>40</v>
      </c>
      <c r="J150" s="149">
        <v>65</v>
      </c>
      <c r="K150" s="104">
        <v>260</v>
      </c>
      <c r="L150" s="104">
        <v>2400</v>
      </c>
      <c r="M150" s="150">
        <v>17.798110299406424</v>
      </c>
      <c r="N150" s="66">
        <v>535.08837599999993</v>
      </c>
      <c r="O150" s="109">
        <v>28420.795768186515</v>
      </c>
      <c r="P150" s="109">
        <v>34620.624735516649</v>
      </c>
      <c r="Q150" s="110">
        <v>22679.726226789073</v>
      </c>
      <c r="R150" s="258">
        <v>51100.521994975585</v>
      </c>
      <c r="S150" s="259">
        <v>57300.350962305718</v>
      </c>
      <c r="U150" s="7" t="s">
        <v>942</v>
      </c>
    </row>
    <row r="151" spans="1:21" s="65" customFormat="1" ht="16.5" thickBot="1">
      <c r="A151" s="41" t="s">
        <v>31</v>
      </c>
      <c r="B151" s="42">
        <f t="shared" si="6"/>
        <v>65</v>
      </c>
      <c r="C151" s="42" t="s">
        <v>3</v>
      </c>
      <c r="D151" s="42">
        <f t="shared" si="7"/>
        <v>260</v>
      </c>
      <c r="E151" s="42" t="s">
        <v>3</v>
      </c>
      <c r="F151" s="101">
        <f t="shared" si="8"/>
        <v>2450</v>
      </c>
      <c r="G151" s="42" t="s">
        <v>3</v>
      </c>
      <c r="H151" s="39">
        <v>2</v>
      </c>
      <c r="I151" s="40" t="s">
        <v>40</v>
      </c>
      <c r="J151" s="149">
        <v>65</v>
      </c>
      <c r="K151" s="104">
        <v>260</v>
      </c>
      <c r="L151" s="104">
        <v>2450</v>
      </c>
      <c r="M151" s="150">
        <v>18.272647937729285</v>
      </c>
      <c r="N151" s="66">
        <v>548.13931200000002</v>
      </c>
      <c r="O151" s="109">
        <v>29521.176648995552</v>
      </c>
      <c r="P151" s="109">
        <v>35758.909464188262</v>
      </c>
      <c r="Q151" s="110">
        <v>23150.717854033268</v>
      </c>
      <c r="R151" s="258">
        <v>52671.894503028816</v>
      </c>
      <c r="S151" s="259">
        <v>58909.62731822153</v>
      </c>
      <c r="U151" s="7" t="s">
        <v>943</v>
      </c>
    </row>
    <row r="152" spans="1:21" s="65" customFormat="1" ht="16.5" thickBot="1">
      <c r="A152" s="41" t="s">
        <v>31</v>
      </c>
      <c r="B152" s="42">
        <f t="shared" si="6"/>
        <v>65</v>
      </c>
      <c r="C152" s="42" t="s">
        <v>3</v>
      </c>
      <c r="D152" s="42">
        <f t="shared" si="7"/>
        <v>260</v>
      </c>
      <c r="E152" s="42" t="s">
        <v>3</v>
      </c>
      <c r="F152" s="101">
        <f t="shared" si="8"/>
        <v>2500</v>
      </c>
      <c r="G152" s="42" t="s">
        <v>3</v>
      </c>
      <c r="H152" s="39">
        <v>2</v>
      </c>
      <c r="I152" s="40" t="s">
        <v>40</v>
      </c>
      <c r="J152" s="149">
        <v>65</v>
      </c>
      <c r="K152" s="104">
        <v>260</v>
      </c>
      <c r="L152" s="104">
        <v>2500</v>
      </c>
      <c r="M152" s="150">
        <v>18.623421387252144</v>
      </c>
      <c r="N152" s="66">
        <v>561.19024799999988</v>
      </c>
      <c r="O152" s="109">
        <v>29979.1034454172</v>
      </c>
      <c r="P152" s="109">
        <v>36334.610411854177</v>
      </c>
      <c r="Q152" s="110">
        <v>23621.709481277463</v>
      </c>
      <c r="R152" s="258">
        <v>53600.812926694663</v>
      </c>
      <c r="S152" s="259">
        <v>59956.319893131644</v>
      </c>
      <c r="U152" s="7" t="s">
        <v>944</v>
      </c>
    </row>
    <row r="153" spans="1:21" s="65" customFormat="1" ht="16.5" thickBot="1">
      <c r="A153" s="41" t="s">
        <v>31</v>
      </c>
      <c r="B153" s="42">
        <f t="shared" si="6"/>
        <v>65</v>
      </c>
      <c r="C153" s="42" t="s">
        <v>3</v>
      </c>
      <c r="D153" s="42">
        <f t="shared" si="7"/>
        <v>260</v>
      </c>
      <c r="E153" s="42" t="s">
        <v>3</v>
      </c>
      <c r="F153" s="101">
        <f t="shared" si="8"/>
        <v>2550</v>
      </c>
      <c r="G153" s="42" t="s">
        <v>3</v>
      </c>
      <c r="H153" s="39">
        <v>2</v>
      </c>
      <c r="I153" s="40" t="s">
        <v>40</v>
      </c>
      <c r="J153" s="149">
        <v>65</v>
      </c>
      <c r="K153" s="104">
        <v>260</v>
      </c>
      <c r="L153" s="104">
        <v>2550</v>
      </c>
      <c r="M153" s="150">
        <v>18.974194836774998</v>
      </c>
      <c r="N153" s="66">
        <v>574.24118399999998</v>
      </c>
      <c r="O153" s="109">
        <v>30437.030241838846</v>
      </c>
      <c r="P153" s="109">
        <v>36910.311512548862</v>
      </c>
      <c r="Q153" s="110">
        <v>24092.700955492892</v>
      </c>
      <c r="R153" s="258">
        <v>54529.731197331741</v>
      </c>
      <c r="S153" s="259">
        <v>61003.01246804175</v>
      </c>
      <c r="U153" s="7" t="s">
        <v>945</v>
      </c>
    </row>
    <row r="154" spans="1:21" s="65" customFormat="1" ht="16.5" thickBot="1">
      <c r="A154" s="38" t="s">
        <v>31</v>
      </c>
      <c r="B154" s="39">
        <f t="shared" si="6"/>
        <v>65</v>
      </c>
      <c r="C154" s="39" t="s">
        <v>3</v>
      </c>
      <c r="D154" s="39">
        <f t="shared" si="7"/>
        <v>260</v>
      </c>
      <c r="E154" s="39" t="s">
        <v>3</v>
      </c>
      <c r="F154" s="101">
        <f t="shared" si="8"/>
        <v>2600</v>
      </c>
      <c r="G154" s="39" t="s">
        <v>3</v>
      </c>
      <c r="H154" s="39">
        <v>2</v>
      </c>
      <c r="I154" s="40" t="s">
        <v>40</v>
      </c>
      <c r="J154" s="149">
        <v>65</v>
      </c>
      <c r="K154" s="104">
        <v>260</v>
      </c>
      <c r="L154" s="104">
        <v>2600</v>
      </c>
      <c r="M154" s="150">
        <v>19.32496828629786</v>
      </c>
      <c r="N154" s="66">
        <v>587.29211999999995</v>
      </c>
      <c r="O154" s="109">
        <v>30894.957191289257</v>
      </c>
      <c r="P154" s="109">
        <v>37486.012460214777</v>
      </c>
      <c r="Q154" s="110">
        <v>24563.692582737087</v>
      </c>
      <c r="R154" s="258">
        <v>55458.649774026344</v>
      </c>
      <c r="S154" s="259">
        <v>62049.705042951864</v>
      </c>
      <c r="U154" s="7" t="s">
        <v>946</v>
      </c>
    </row>
    <row r="155" spans="1:21" s="65" customFormat="1" ht="16.5" thickBot="1">
      <c r="A155" s="41" t="s">
        <v>31</v>
      </c>
      <c r="B155" s="42">
        <f t="shared" si="6"/>
        <v>65</v>
      </c>
      <c r="C155" s="42" t="s">
        <v>3</v>
      </c>
      <c r="D155" s="42">
        <f t="shared" si="7"/>
        <v>260</v>
      </c>
      <c r="E155" s="42" t="s">
        <v>3</v>
      </c>
      <c r="F155" s="101">
        <f t="shared" si="8"/>
        <v>2650</v>
      </c>
      <c r="G155" s="42" t="s">
        <v>3</v>
      </c>
      <c r="H155" s="39">
        <v>2</v>
      </c>
      <c r="I155" s="40" t="s">
        <v>40</v>
      </c>
      <c r="J155" s="149">
        <v>65</v>
      </c>
      <c r="K155" s="104">
        <v>260</v>
      </c>
      <c r="L155" s="104">
        <v>2650</v>
      </c>
      <c r="M155" s="150">
        <v>19.675741735820715</v>
      </c>
      <c r="N155" s="66">
        <v>600.34305599999993</v>
      </c>
      <c r="O155" s="109">
        <v>31352.883987710909</v>
      </c>
      <c r="P155" s="109">
        <v>38061.713407880685</v>
      </c>
      <c r="Q155" s="110">
        <v>25034.684056952519</v>
      </c>
      <c r="R155" s="258">
        <v>56387.568044663429</v>
      </c>
      <c r="S155" s="259">
        <v>63096.397464833208</v>
      </c>
      <c r="U155" s="7" t="s">
        <v>947</v>
      </c>
    </row>
    <row r="156" spans="1:21" s="65" customFormat="1" ht="16.5" thickBot="1">
      <c r="A156" s="41" t="s">
        <v>31</v>
      </c>
      <c r="B156" s="42">
        <f t="shared" si="6"/>
        <v>65</v>
      </c>
      <c r="C156" s="42" t="s">
        <v>3</v>
      </c>
      <c r="D156" s="42">
        <f t="shared" si="7"/>
        <v>260</v>
      </c>
      <c r="E156" s="42" t="s">
        <v>3</v>
      </c>
      <c r="F156" s="101">
        <f t="shared" si="8"/>
        <v>2700</v>
      </c>
      <c r="G156" s="42" t="s">
        <v>3</v>
      </c>
      <c r="H156" s="39">
        <v>2</v>
      </c>
      <c r="I156" s="40" t="s">
        <v>40</v>
      </c>
      <c r="J156" s="149">
        <v>65</v>
      </c>
      <c r="K156" s="104">
        <v>260</v>
      </c>
      <c r="L156" s="104">
        <v>2700</v>
      </c>
      <c r="M156" s="150">
        <v>20.065765185343572</v>
      </c>
      <c r="N156" s="66">
        <v>613.39399199999991</v>
      </c>
      <c r="O156" s="109">
        <v>31860.811096791967</v>
      </c>
      <c r="P156" s="109">
        <v>38685.890654734139</v>
      </c>
      <c r="Q156" s="110">
        <v>25505.675684196711</v>
      </c>
      <c r="R156" s="258">
        <v>57366.486780988678</v>
      </c>
      <c r="S156" s="259">
        <v>64191.566338930847</v>
      </c>
      <c r="U156" s="7" t="s">
        <v>948</v>
      </c>
    </row>
    <row r="157" spans="1:21" s="65" customFormat="1" ht="16.5" thickBot="1">
      <c r="A157" s="41" t="s">
        <v>31</v>
      </c>
      <c r="B157" s="42">
        <f t="shared" si="6"/>
        <v>65</v>
      </c>
      <c r="C157" s="42" t="s">
        <v>3</v>
      </c>
      <c r="D157" s="42">
        <f t="shared" si="7"/>
        <v>260</v>
      </c>
      <c r="E157" s="42" t="s">
        <v>3</v>
      </c>
      <c r="F157" s="101">
        <f t="shared" si="8"/>
        <v>2750</v>
      </c>
      <c r="G157" s="42" t="s">
        <v>3</v>
      </c>
      <c r="H157" s="39">
        <v>2</v>
      </c>
      <c r="I157" s="40" t="s">
        <v>40</v>
      </c>
      <c r="J157" s="149">
        <v>65</v>
      </c>
      <c r="K157" s="104">
        <v>260</v>
      </c>
      <c r="L157" s="104">
        <v>2750</v>
      </c>
      <c r="M157" s="150">
        <v>20.416538634866431</v>
      </c>
      <c r="N157" s="66">
        <v>626.44492799999989</v>
      </c>
      <c r="O157" s="109">
        <v>32318.737893213616</v>
      </c>
      <c r="P157" s="109">
        <v>39261.591602400047</v>
      </c>
      <c r="Q157" s="110">
        <v>25976.667311440906</v>
      </c>
      <c r="R157" s="258">
        <v>58295.405204654526</v>
      </c>
      <c r="S157" s="259">
        <v>65238.258913840953</v>
      </c>
      <c r="U157" s="7" t="s">
        <v>949</v>
      </c>
    </row>
    <row r="158" spans="1:21" s="65" customFormat="1" ht="16.5" thickBot="1">
      <c r="A158" s="41" t="s">
        <v>31</v>
      </c>
      <c r="B158" s="42">
        <f t="shared" si="6"/>
        <v>65</v>
      </c>
      <c r="C158" s="42" t="s">
        <v>3</v>
      </c>
      <c r="D158" s="42">
        <f t="shared" si="7"/>
        <v>260</v>
      </c>
      <c r="E158" s="42" t="s">
        <v>3</v>
      </c>
      <c r="F158" s="101">
        <f t="shared" si="8"/>
        <v>2800</v>
      </c>
      <c r="G158" s="42" t="s">
        <v>3</v>
      </c>
      <c r="H158" s="39">
        <v>2</v>
      </c>
      <c r="I158" s="40" t="s">
        <v>40</v>
      </c>
      <c r="J158" s="149">
        <v>65</v>
      </c>
      <c r="K158" s="104">
        <v>260</v>
      </c>
      <c r="L158" s="104">
        <v>2800</v>
      </c>
      <c r="M158" s="150">
        <v>20.767312084389289</v>
      </c>
      <c r="N158" s="66">
        <v>639.49586399999998</v>
      </c>
      <c r="O158" s="109">
        <v>32776.664689635261</v>
      </c>
      <c r="P158" s="109">
        <v>39837.292550065969</v>
      </c>
      <c r="Q158" s="110">
        <v>26447.658785656335</v>
      </c>
      <c r="R158" s="258">
        <v>59224.323475291596</v>
      </c>
      <c r="S158" s="259">
        <v>66284.951335722304</v>
      </c>
      <c r="U158" s="7" t="s">
        <v>950</v>
      </c>
    </row>
    <row r="159" spans="1:21" s="65" customFormat="1" ht="16.5" thickBot="1">
      <c r="A159" s="41" t="s">
        <v>31</v>
      </c>
      <c r="B159" s="42">
        <f t="shared" si="6"/>
        <v>65</v>
      </c>
      <c r="C159" s="42" t="s">
        <v>3</v>
      </c>
      <c r="D159" s="42">
        <f t="shared" si="7"/>
        <v>260</v>
      </c>
      <c r="E159" s="42" t="s">
        <v>3</v>
      </c>
      <c r="F159" s="101">
        <f t="shared" si="8"/>
        <v>2850</v>
      </c>
      <c r="G159" s="42" t="s">
        <v>3</v>
      </c>
      <c r="H159" s="39">
        <v>2</v>
      </c>
      <c r="I159" s="40" t="s">
        <v>40</v>
      </c>
      <c r="J159" s="149">
        <v>65</v>
      </c>
      <c r="K159" s="104">
        <v>260</v>
      </c>
      <c r="L159" s="104">
        <v>2850</v>
      </c>
      <c r="M159" s="150">
        <v>21.118085533912144</v>
      </c>
      <c r="N159" s="66">
        <v>652.54679999999996</v>
      </c>
      <c r="O159" s="109">
        <v>33234.59163908568</v>
      </c>
      <c r="P159" s="109">
        <v>40412.993650760647</v>
      </c>
      <c r="Q159" s="110">
        <v>26918.65041290053</v>
      </c>
      <c r="R159" s="258">
        <v>60153.242051986206</v>
      </c>
      <c r="S159" s="259">
        <v>67331.644063661181</v>
      </c>
      <c r="U159" s="7" t="s">
        <v>951</v>
      </c>
    </row>
    <row r="160" spans="1:21" s="65" customFormat="1" ht="16.5" thickBot="1">
      <c r="A160" s="41" t="s">
        <v>31</v>
      </c>
      <c r="B160" s="42">
        <f t="shared" si="6"/>
        <v>65</v>
      </c>
      <c r="C160" s="42" t="s">
        <v>3</v>
      </c>
      <c r="D160" s="42">
        <f t="shared" si="7"/>
        <v>260</v>
      </c>
      <c r="E160" s="42" t="s">
        <v>3</v>
      </c>
      <c r="F160" s="101">
        <f t="shared" si="8"/>
        <v>2900</v>
      </c>
      <c r="G160" s="42" t="s">
        <v>3</v>
      </c>
      <c r="H160" s="39">
        <v>2</v>
      </c>
      <c r="I160" s="40" t="s">
        <v>40</v>
      </c>
      <c r="J160" s="149">
        <v>65</v>
      </c>
      <c r="K160" s="104">
        <v>260</v>
      </c>
      <c r="L160" s="104">
        <v>2900</v>
      </c>
      <c r="M160" s="150">
        <v>21.468858983434998</v>
      </c>
      <c r="N160" s="66">
        <v>665.59773599999994</v>
      </c>
      <c r="O160" s="109">
        <v>33692.518435507322</v>
      </c>
      <c r="P160" s="109">
        <v>40988.694598426562</v>
      </c>
      <c r="Q160" s="110">
        <v>27389.641887115966</v>
      </c>
      <c r="R160" s="258">
        <v>61082.160322623284</v>
      </c>
      <c r="S160" s="259">
        <v>68378.336485542532</v>
      </c>
      <c r="U160" s="7" t="s">
        <v>952</v>
      </c>
    </row>
    <row r="161" spans="1:21" s="65" customFormat="1" ht="16.5" thickBot="1">
      <c r="A161" s="41" t="s">
        <v>31</v>
      </c>
      <c r="B161" s="42">
        <f t="shared" si="6"/>
        <v>65</v>
      </c>
      <c r="C161" s="42" t="s">
        <v>3</v>
      </c>
      <c r="D161" s="42">
        <f t="shared" si="7"/>
        <v>260</v>
      </c>
      <c r="E161" s="42" t="s">
        <v>3</v>
      </c>
      <c r="F161" s="101">
        <f t="shared" si="8"/>
        <v>2950</v>
      </c>
      <c r="G161" s="42" t="s">
        <v>3</v>
      </c>
      <c r="H161" s="39">
        <v>2</v>
      </c>
      <c r="I161" s="40" t="s">
        <v>40</v>
      </c>
      <c r="J161" s="149">
        <v>65</v>
      </c>
      <c r="K161" s="104">
        <v>260</v>
      </c>
      <c r="L161" s="104">
        <v>2950</v>
      </c>
      <c r="M161" s="150">
        <v>21.81963243295786</v>
      </c>
      <c r="N161" s="66">
        <v>678.64867199999992</v>
      </c>
      <c r="O161" s="109">
        <v>34150.445231928978</v>
      </c>
      <c r="P161" s="109">
        <v>41564.395546092477</v>
      </c>
      <c r="Q161" s="110">
        <v>27860.633514360161</v>
      </c>
      <c r="R161" s="258">
        <v>62011.078746289139</v>
      </c>
      <c r="S161" s="259">
        <v>69425.029060452638</v>
      </c>
      <c r="U161" s="7" t="s">
        <v>953</v>
      </c>
    </row>
    <row r="162" spans="1:21" s="65" customFormat="1" ht="16.5" thickBot="1">
      <c r="A162" s="43" t="s">
        <v>31</v>
      </c>
      <c r="B162" s="44">
        <f t="shared" si="6"/>
        <v>65</v>
      </c>
      <c r="C162" s="44" t="s">
        <v>3</v>
      </c>
      <c r="D162" s="44">
        <f t="shared" si="7"/>
        <v>260</v>
      </c>
      <c r="E162" s="44" t="s">
        <v>3</v>
      </c>
      <c r="F162" s="102">
        <f t="shared" si="8"/>
        <v>3000</v>
      </c>
      <c r="G162" s="44" t="s">
        <v>3</v>
      </c>
      <c r="H162" s="46">
        <v>2</v>
      </c>
      <c r="I162" s="45" t="s">
        <v>40</v>
      </c>
      <c r="J162" s="149">
        <v>65</v>
      </c>
      <c r="K162" s="134">
        <v>260</v>
      </c>
      <c r="L162" s="134">
        <v>3000</v>
      </c>
      <c r="M162" s="152">
        <v>22.170405882480715</v>
      </c>
      <c r="N162" s="126">
        <v>691.6996079999999</v>
      </c>
      <c r="O162" s="154">
        <v>34608.372181379389</v>
      </c>
      <c r="P162" s="154">
        <v>42140.096493758399</v>
      </c>
      <c r="Q162" s="136">
        <v>28331.625141604356</v>
      </c>
      <c r="R162" s="260">
        <v>62939.997322983749</v>
      </c>
      <c r="S162" s="261">
        <v>70471.721635362759</v>
      </c>
      <c r="U162" s="7" t="s">
        <v>954</v>
      </c>
    </row>
    <row r="163" spans="1:21" s="65" customFormat="1" ht="22.5" customHeight="1" thickBot="1">
      <c r="A163" s="3010" t="s">
        <v>43</v>
      </c>
      <c r="B163" s="3011"/>
      <c r="C163" s="3011"/>
      <c r="D163" s="3011"/>
      <c r="E163" s="3011"/>
      <c r="F163" s="3011"/>
      <c r="G163" s="3011"/>
      <c r="H163" s="3011"/>
      <c r="I163" s="3011"/>
      <c r="J163" s="3011"/>
      <c r="K163" s="3011"/>
      <c r="L163" s="3011"/>
      <c r="M163" s="3011"/>
      <c r="N163" s="3011"/>
      <c r="O163" s="3011"/>
      <c r="P163" s="3011"/>
      <c r="Q163" s="3011"/>
      <c r="R163" s="3011"/>
      <c r="S163" s="3012"/>
      <c r="U163" s="7"/>
    </row>
    <row r="164" spans="1:21" s="65" customFormat="1" ht="22.5" customHeight="1" thickBot="1">
      <c r="A164" s="2971" t="s">
        <v>62</v>
      </c>
      <c r="B164" s="2972"/>
      <c r="C164" s="2972"/>
      <c r="D164" s="2972"/>
      <c r="E164" s="2972"/>
      <c r="F164" s="2972"/>
      <c r="G164" s="2972"/>
      <c r="H164" s="2972"/>
      <c r="I164" s="2972"/>
      <c r="J164" s="2972"/>
      <c r="K164" s="2972"/>
      <c r="L164" s="2972"/>
      <c r="M164" s="2972"/>
      <c r="N164" s="2972"/>
      <c r="O164" s="2972"/>
      <c r="P164" s="2972"/>
      <c r="Q164" s="2972"/>
      <c r="R164" s="2972"/>
      <c r="S164" s="2973"/>
      <c r="U164" s="7"/>
    </row>
    <row r="165" spans="1:21" s="65" customFormat="1" ht="16.5" thickBot="1">
      <c r="A165" s="2974" t="s">
        <v>112</v>
      </c>
      <c r="B165" s="2975"/>
      <c r="C165" s="2975"/>
      <c r="D165" s="2975"/>
      <c r="E165" s="2975"/>
      <c r="F165" s="2975"/>
      <c r="G165" s="2975"/>
      <c r="H165" s="2975"/>
      <c r="I165" s="2975"/>
      <c r="J165" s="2975"/>
      <c r="K165" s="2975"/>
      <c r="L165" s="2975"/>
      <c r="M165" s="2975"/>
      <c r="N165" s="2975"/>
      <c r="O165" s="2975"/>
      <c r="P165" s="2975"/>
      <c r="Q165" s="2975"/>
      <c r="R165" s="2975"/>
      <c r="S165" s="2976"/>
      <c r="U165" s="7"/>
    </row>
    <row r="166" spans="1:21" s="65" customFormat="1" ht="16.5" thickBot="1">
      <c r="A166" s="38" t="s">
        <v>31</v>
      </c>
      <c r="B166" s="39">
        <f>J166</f>
        <v>65</v>
      </c>
      <c r="C166" s="39" t="s">
        <v>3</v>
      </c>
      <c r="D166" s="39">
        <f>K166</f>
        <v>300</v>
      </c>
      <c r="E166" s="39" t="s">
        <v>3</v>
      </c>
      <c r="F166" s="101">
        <f>L166</f>
        <v>600</v>
      </c>
      <c r="G166" s="39" t="s">
        <v>3</v>
      </c>
      <c r="H166" s="39">
        <v>2</v>
      </c>
      <c r="I166" s="40" t="s">
        <v>40</v>
      </c>
      <c r="J166" s="146">
        <v>65</v>
      </c>
      <c r="K166" s="138">
        <v>300</v>
      </c>
      <c r="L166" s="138">
        <v>600</v>
      </c>
      <c r="M166" s="147">
        <v>5.3669094452121424</v>
      </c>
      <c r="N166" s="122">
        <v>70.108456388176805</v>
      </c>
      <c r="O166" s="148">
        <v>11465.445889646046</v>
      </c>
      <c r="P166" s="148">
        <v>13622.56297958305</v>
      </c>
      <c r="Q166" s="139">
        <v>6417.2545322512115</v>
      </c>
      <c r="R166" s="256">
        <v>17882.700421897258</v>
      </c>
      <c r="S166" s="257">
        <v>20039.817511834262</v>
      </c>
      <c r="U166" s="7" t="s">
        <v>955</v>
      </c>
    </row>
    <row r="167" spans="1:21" s="65" customFormat="1" ht="16.5" thickBot="1">
      <c r="A167" s="41" t="s">
        <v>31</v>
      </c>
      <c r="B167" s="42">
        <f t="shared" ref="B167:B214" si="9">J167</f>
        <v>65</v>
      </c>
      <c r="C167" s="42" t="s">
        <v>3</v>
      </c>
      <c r="D167" s="42">
        <f t="shared" ref="D167:D214" si="10">K167</f>
        <v>300</v>
      </c>
      <c r="E167" s="42" t="s">
        <v>3</v>
      </c>
      <c r="F167" s="101">
        <f t="shared" ref="F167:F214" si="11">L167</f>
        <v>650</v>
      </c>
      <c r="G167" s="42" t="s">
        <v>3</v>
      </c>
      <c r="H167" s="39">
        <v>2</v>
      </c>
      <c r="I167" s="40" t="s">
        <v>40</v>
      </c>
      <c r="J167" s="149">
        <v>65</v>
      </c>
      <c r="K167" s="104">
        <v>300</v>
      </c>
      <c r="L167" s="104">
        <v>650</v>
      </c>
      <c r="M167" s="150">
        <v>5.7496163018778574</v>
      </c>
      <c r="N167" s="66">
        <v>84.13014766581216</v>
      </c>
      <c r="O167" s="111">
        <v>11943.805902236185</v>
      </c>
      <c r="P167" s="111">
        <v>14232.750183700005</v>
      </c>
      <c r="Q167" s="110">
        <v>6945.130471153966</v>
      </c>
      <c r="R167" s="258">
        <v>18888.936373390152</v>
      </c>
      <c r="S167" s="259">
        <v>21177.880654853972</v>
      </c>
      <c r="U167" s="7" t="s">
        <v>956</v>
      </c>
    </row>
    <row r="168" spans="1:21" s="65" customFormat="1" ht="16.5" thickBot="1">
      <c r="A168" s="41" t="s">
        <v>31</v>
      </c>
      <c r="B168" s="42">
        <f t="shared" si="9"/>
        <v>65</v>
      </c>
      <c r="C168" s="42" t="s">
        <v>3</v>
      </c>
      <c r="D168" s="42">
        <f t="shared" si="10"/>
        <v>300</v>
      </c>
      <c r="E168" s="42" t="s">
        <v>3</v>
      </c>
      <c r="F168" s="101">
        <f t="shared" si="11"/>
        <v>700</v>
      </c>
      <c r="G168" s="42" t="s">
        <v>3</v>
      </c>
      <c r="H168" s="39">
        <v>2</v>
      </c>
      <c r="I168" s="40" t="s">
        <v>40</v>
      </c>
      <c r="J168" s="149">
        <v>65</v>
      </c>
      <c r="K168" s="104">
        <v>300</v>
      </c>
      <c r="L168" s="104">
        <v>700</v>
      </c>
      <c r="M168" s="150">
        <v>6.1323231585435716</v>
      </c>
      <c r="N168" s="66">
        <v>98.151838943447515</v>
      </c>
      <c r="O168" s="111">
        <v>12422.165864521148</v>
      </c>
      <c r="P168" s="111">
        <v>14842.937387816961</v>
      </c>
      <c r="Q168" s="110">
        <v>7473.0062570279561</v>
      </c>
      <c r="R168" s="258">
        <v>19895.172121549105</v>
      </c>
      <c r="S168" s="259">
        <v>22315.943644844916</v>
      </c>
      <c r="U168" s="7" t="s">
        <v>957</v>
      </c>
    </row>
    <row r="169" spans="1:21" s="65" customFormat="1" ht="16.5" thickBot="1">
      <c r="A169" s="41" t="s">
        <v>31</v>
      </c>
      <c r="B169" s="42">
        <f t="shared" si="9"/>
        <v>65</v>
      </c>
      <c r="C169" s="42" t="s">
        <v>3</v>
      </c>
      <c r="D169" s="42">
        <f t="shared" si="10"/>
        <v>300</v>
      </c>
      <c r="E169" s="42" t="s">
        <v>3</v>
      </c>
      <c r="F169" s="101">
        <f t="shared" si="11"/>
        <v>750</v>
      </c>
      <c r="G169" s="42" t="s">
        <v>3</v>
      </c>
      <c r="H169" s="39">
        <v>2</v>
      </c>
      <c r="I169" s="40" t="s">
        <v>40</v>
      </c>
      <c r="J169" s="149">
        <v>65</v>
      </c>
      <c r="K169" s="104">
        <v>300</v>
      </c>
      <c r="L169" s="104">
        <v>750</v>
      </c>
      <c r="M169" s="150">
        <v>6.5150300152092857</v>
      </c>
      <c r="N169" s="66">
        <v>112.1735302210829</v>
      </c>
      <c r="O169" s="111">
        <v>12900.52582680611</v>
      </c>
      <c r="P169" s="111">
        <v>15453.124438905152</v>
      </c>
      <c r="Q169" s="110">
        <v>8000.8821959307124</v>
      </c>
      <c r="R169" s="258">
        <v>20901.408022736821</v>
      </c>
      <c r="S169" s="259">
        <v>23454.006634835863</v>
      </c>
      <c r="U169" s="7" t="s">
        <v>958</v>
      </c>
    </row>
    <row r="170" spans="1:21" s="65" customFormat="1" ht="16.5" thickBot="1">
      <c r="A170" s="41" t="s">
        <v>31</v>
      </c>
      <c r="B170" s="42">
        <f t="shared" si="9"/>
        <v>65</v>
      </c>
      <c r="C170" s="42" t="s">
        <v>3</v>
      </c>
      <c r="D170" s="42">
        <f t="shared" si="10"/>
        <v>300</v>
      </c>
      <c r="E170" s="42" t="s">
        <v>3</v>
      </c>
      <c r="F170" s="101">
        <f t="shared" si="11"/>
        <v>800</v>
      </c>
      <c r="G170" s="42" t="s">
        <v>3</v>
      </c>
      <c r="H170" s="39">
        <v>2</v>
      </c>
      <c r="I170" s="40" t="s">
        <v>40</v>
      </c>
      <c r="J170" s="149">
        <v>65</v>
      </c>
      <c r="K170" s="104">
        <v>300</v>
      </c>
      <c r="L170" s="104">
        <v>800</v>
      </c>
      <c r="M170" s="150">
        <v>6.8977368718749998</v>
      </c>
      <c r="N170" s="66">
        <v>126.19522149871825</v>
      </c>
      <c r="O170" s="111">
        <v>13378.885789091075</v>
      </c>
      <c r="P170" s="111">
        <v>16063.311643022109</v>
      </c>
      <c r="Q170" s="110">
        <v>8528.7579818047016</v>
      </c>
      <c r="R170" s="258">
        <v>21907.643770895775</v>
      </c>
      <c r="S170" s="259">
        <v>24592.06962482681</v>
      </c>
      <c r="U170" s="7" t="s">
        <v>959</v>
      </c>
    </row>
    <row r="171" spans="1:21" s="65" customFormat="1" ht="16.5" thickBot="1">
      <c r="A171" s="41" t="s">
        <v>31</v>
      </c>
      <c r="B171" s="42">
        <f t="shared" si="9"/>
        <v>65</v>
      </c>
      <c r="C171" s="42" t="s">
        <v>3</v>
      </c>
      <c r="D171" s="42">
        <f t="shared" si="10"/>
        <v>300</v>
      </c>
      <c r="E171" s="42" t="s">
        <v>3</v>
      </c>
      <c r="F171" s="101">
        <f t="shared" si="11"/>
        <v>850</v>
      </c>
      <c r="G171" s="42" t="s">
        <v>3</v>
      </c>
      <c r="H171" s="39">
        <v>2</v>
      </c>
      <c r="I171" s="40" t="s">
        <v>40</v>
      </c>
      <c r="J171" s="149">
        <v>65</v>
      </c>
      <c r="K171" s="104">
        <v>300</v>
      </c>
      <c r="L171" s="104">
        <v>850</v>
      </c>
      <c r="M171" s="150">
        <v>7.280443728540714</v>
      </c>
      <c r="N171" s="66">
        <v>140.21691277635361</v>
      </c>
      <c r="O171" s="111">
        <v>13857.24575137604</v>
      </c>
      <c r="P171" s="111">
        <v>16673.498847139064</v>
      </c>
      <c r="Q171" s="110">
        <v>9056.6339207074561</v>
      </c>
      <c r="R171" s="258">
        <v>22913.879672083494</v>
      </c>
      <c r="S171" s="259">
        <v>25730.13276784652</v>
      </c>
      <c r="U171" s="7" t="s">
        <v>960</v>
      </c>
    </row>
    <row r="172" spans="1:21" s="65" customFormat="1" ht="16.5" thickBot="1">
      <c r="A172" s="41" t="s">
        <v>31</v>
      </c>
      <c r="B172" s="42">
        <f t="shared" si="9"/>
        <v>65</v>
      </c>
      <c r="C172" s="42" t="s">
        <v>3</v>
      </c>
      <c r="D172" s="42">
        <f t="shared" si="10"/>
        <v>300</v>
      </c>
      <c r="E172" s="42" t="s">
        <v>3</v>
      </c>
      <c r="F172" s="101">
        <f t="shared" si="11"/>
        <v>900</v>
      </c>
      <c r="G172" s="42" t="s">
        <v>3</v>
      </c>
      <c r="H172" s="39">
        <v>2</v>
      </c>
      <c r="I172" s="40" t="s">
        <v>40</v>
      </c>
      <c r="J172" s="149">
        <v>65</v>
      </c>
      <c r="K172" s="104">
        <v>300</v>
      </c>
      <c r="L172" s="104">
        <v>900</v>
      </c>
      <c r="M172" s="150">
        <v>7.663150585206429</v>
      </c>
      <c r="N172" s="66">
        <v>154.23860405398898</v>
      </c>
      <c r="O172" s="111">
        <v>14335.605713661002</v>
      </c>
      <c r="P172" s="111">
        <v>17283.685898227253</v>
      </c>
      <c r="Q172" s="110">
        <v>9584.509706581448</v>
      </c>
      <c r="R172" s="258">
        <v>23920.115420242451</v>
      </c>
      <c r="S172" s="259">
        <v>26868.195604808701</v>
      </c>
      <c r="U172" s="7" t="s">
        <v>961</v>
      </c>
    </row>
    <row r="173" spans="1:21" s="65" customFormat="1" ht="16.5" thickBot="1">
      <c r="A173" s="41" t="s">
        <v>31</v>
      </c>
      <c r="B173" s="42">
        <f t="shared" si="9"/>
        <v>65</v>
      </c>
      <c r="C173" s="42" t="s">
        <v>3</v>
      </c>
      <c r="D173" s="42">
        <f t="shared" si="10"/>
        <v>300</v>
      </c>
      <c r="E173" s="42" t="s">
        <v>3</v>
      </c>
      <c r="F173" s="101">
        <f t="shared" si="11"/>
        <v>950</v>
      </c>
      <c r="G173" s="42" t="s">
        <v>3</v>
      </c>
      <c r="H173" s="39">
        <v>2</v>
      </c>
      <c r="I173" s="40" t="s">
        <v>40</v>
      </c>
      <c r="J173" s="149">
        <v>65</v>
      </c>
      <c r="K173" s="104">
        <v>300</v>
      </c>
      <c r="L173" s="104">
        <v>950</v>
      </c>
      <c r="M173" s="150">
        <v>8.0458574418721422</v>
      </c>
      <c r="N173" s="66">
        <v>168.26029533162432</v>
      </c>
      <c r="O173" s="111">
        <v>14813.965675945967</v>
      </c>
      <c r="P173" s="111">
        <v>17893.873102344209</v>
      </c>
      <c r="Q173" s="110">
        <v>10112.385645484203</v>
      </c>
      <c r="R173" s="258">
        <v>24926.351321430171</v>
      </c>
      <c r="S173" s="259">
        <v>28006.258747828411</v>
      </c>
      <c r="U173" s="7" t="s">
        <v>962</v>
      </c>
    </row>
    <row r="174" spans="1:21" s="65" customFormat="1" ht="16.5" thickBot="1">
      <c r="A174" s="41" t="s">
        <v>31</v>
      </c>
      <c r="B174" s="42">
        <f t="shared" si="9"/>
        <v>65</v>
      </c>
      <c r="C174" s="42" t="s">
        <v>3</v>
      </c>
      <c r="D174" s="42">
        <f t="shared" si="10"/>
        <v>300</v>
      </c>
      <c r="E174" s="42" t="s">
        <v>3</v>
      </c>
      <c r="F174" s="101">
        <f t="shared" si="11"/>
        <v>1000</v>
      </c>
      <c r="G174" s="42" t="s">
        <v>3</v>
      </c>
      <c r="H174" s="39">
        <v>2</v>
      </c>
      <c r="I174" s="40" t="s">
        <v>40</v>
      </c>
      <c r="J174" s="149">
        <v>65</v>
      </c>
      <c r="K174" s="104">
        <v>300</v>
      </c>
      <c r="L174" s="104">
        <v>1000</v>
      </c>
      <c r="M174" s="150">
        <v>8.4285642985378573</v>
      </c>
      <c r="N174" s="66">
        <v>182.28198660925969</v>
      </c>
      <c r="O174" s="111">
        <v>15292.325638230928</v>
      </c>
      <c r="P174" s="111">
        <v>18504.060306461164</v>
      </c>
      <c r="Q174" s="110">
        <v>10640.261431358193</v>
      </c>
      <c r="R174" s="258">
        <v>25932.587069589121</v>
      </c>
      <c r="S174" s="259">
        <v>29144.321737819359</v>
      </c>
      <c r="U174" s="7" t="s">
        <v>963</v>
      </c>
    </row>
    <row r="175" spans="1:21" s="65" customFormat="1" ht="16.5" thickBot="1">
      <c r="A175" s="41" t="s">
        <v>31</v>
      </c>
      <c r="B175" s="42">
        <f t="shared" si="9"/>
        <v>65</v>
      </c>
      <c r="C175" s="42" t="s">
        <v>3</v>
      </c>
      <c r="D175" s="42">
        <f t="shared" si="10"/>
        <v>300</v>
      </c>
      <c r="E175" s="42" t="s">
        <v>3</v>
      </c>
      <c r="F175" s="101">
        <f t="shared" si="11"/>
        <v>1050</v>
      </c>
      <c r="G175" s="42" t="s">
        <v>3</v>
      </c>
      <c r="H175" s="39">
        <v>2</v>
      </c>
      <c r="I175" s="40" t="s">
        <v>40</v>
      </c>
      <c r="J175" s="149">
        <v>65</v>
      </c>
      <c r="K175" s="104">
        <v>300</v>
      </c>
      <c r="L175" s="104">
        <v>1050</v>
      </c>
      <c r="M175" s="150">
        <v>8.8112711552035705</v>
      </c>
      <c r="N175" s="66">
        <v>196.30367788689503</v>
      </c>
      <c r="O175" s="111">
        <v>15770.685600515893</v>
      </c>
      <c r="P175" s="111">
        <v>19114.247357549353</v>
      </c>
      <c r="Q175" s="110">
        <v>11168.137370260947</v>
      </c>
      <c r="R175" s="258">
        <v>26938.822970776841</v>
      </c>
      <c r="S175" s="259">
        <v>30282.384727810299</v>
      </c>
      <c r="U175" s="7" t="s">
        <v>964</v>
      </c>
    </row>
    <row r="176" spans="1:21" s="65" customFormat="1" ht="16.5" thickBot="1">
      <c r="A176" s="38" t="s">
        <v>31</v>
      </c>
      <c r="B176" s="39">
        <f t="shared" si="9"/>
        <v>65</v>
      </c>
      <c r="C176" s="39" t="s">
        <v>3</v>
      </c>
      <c r="D176" s="39">
        <f t="shared" si="10"/>
        <v>300</v>
      </c>
      <c r="E176" s="39" t="s">
        <v>3</v>
      </c>
      <c r="F176" s="101">
        <f t="shared" si="11"/>
        <v>1100</v>
      </c>
      <c r="G176" s="39" t="s">
        <v>3</v>
      </c>
      <c r="H176" s="39">
        <v>2</v>
      </c>
      <c r="I176" s="40" t="s">
        <v>40</v>
      </c>
      <c r="J176" s="149">
        <v>65</v>
      </c>
      <c r="K176" s="104">
        <v>300</v>
      </c>
      <c r="L176" s="104">
        <v>1100</v>
      </c>
      <c r="M176" s="150">
        <v>9.1939780118692855</v>
      </c>
      <c r="N176" s="66">
        <v>210.3253691645304</v>
      </c>
      <c r="O176" s="111">
        <v>16249.045562800859</v>
      </c>
      <c r="P176" s="111">
        <v>19724.434561666309</v>
      </c>
      <c r="Q176" s="110">
        <v>11696.013156134937</v>
      </c>
      <c r="R176" s="258">
        <v>27945.058718935798</v>
      </c>
      <c r="S176" s="259">
        <v>31420.447717801246</v>
      </c>
      <c r="U176" s="7" t="s">
        <v>965</v>
      </c>
    </row>
    <row r="177" spans="1:21" s="65" customFormat="1" ht="16.5" thickBot="1">
      <c r="A177" s="41" t="s">
        <v>31</v>
      </c>
      <c r="B177" s="42">
        <f t="shared" si="9"/>
        <v>65</v>
      </c>
      <c r="C177" s="42" t="s">
        <v>3</v>
      </c>
      <c r="D177" s="42">
        <f t="shared" si="10"/>
        <v>300</v>
      </c>
      <c r="E177" s="42" t="s">
        <v>3</v>
      </c>
      <c r="F177" s="101">
        <f t="shared" si="11"/>
        <v>1150</v>
      </c>
      <c r="G177" s="42" t="s">
        <v>3</v>
      </c>
      <c r="H177" s="39">
        <v>2</v>
      </c>
      <c r="I177" s="40" t="s">
        <v>40</v>
      </c>
      <c r="J177" s="149">
        <v>65</v>
      </c>
      <c r="K177" s="104">
        <v>300</v>
      </c>
      <c r="L177" s="104">
        <v>1150</v>
      </c>
      <c r="M177" s="150">
        <v>9.5766848685350006</v>
      </c>
      <c r="N177" s="66">
        <v>224.3470604421658</v>
      </c>
      <c r="O177" s="111">
        <v>16727.405525085822</v>
      </c>
      <c r="P177" s="111">
        <v>20334.621765783264</v>
      </c>
      <c r="Q177" s="110">
        <v>12223.889095037694</v>
      </c>
      <c r="R177" s="258">
        <v>28951.294620123517</v>
      </c>
      <c r="S177" s="259">
        <v>32558.510860820956</v>
      </c>
      <c r="U177" s="7" t="s">
        <v>966</v>
      </c>
    </row>
    <row r="178" spans="1:21" s="65" customFormat="1" ht="16.5" thickBot="1">
      <c r="A178" s="41" t="s">
        <v>31</v>
      </c>
      <c r="B178" s="42">
        <f t="shared" si="9"/>
        <v>65</v>
      </c>
      <c r="C178" s="42" t="s">
        <v>3</v>
      </c>
      <c r="D178" s="42">
        <f t="shared" si="10"/>
        <v>300</v>
      </c>
      <c r="E178" s="42" t="s">
        <v>3</v>
      </c>
      <c r="F178" s="101">
        <f t="shared" si="11"/>
        <v>1200</v>
      </c>
      <c r="G178" s="42" t="s">
        <v>3</v>
      </c>
      <c r="H178" s="39">
        <v>2</v>
      </c>
      <c r="I178" s="40" t="s">
        <v>40</v>
      </c>
      <c r="J178" s="149">
        <v>65</v>
      </c>
      <c r="K178" s="104">
        <v>300</v>
      </c>
      <c r="L178" s="104">
        <v>1200</v>
      </c>
      <c r="M178" s="150">
        <v>9.9986417252007129</v>
      </c>
      <c r="N178" s="66">
        <v>238.36875171980114</v>
      </c>
      <c r="O178" s="111">
        <v>17255.765800030196</v>
      </c>
      <c r="P178" s="111">
        <v>20993.285116058985</v>
      </c>
      <c r="Q178" s="110">
        <v>12751.764880911684</v>
      </c>
      <c r="R178" s="258">
        <v>30007.53068094188</v>
      </c>
      <c r="S178" s="259">
        <v>33745.049996970673</v>
      </c>
      <c r="U178" s="7" t="s">
        <v>967</v>
      </c>
    </row>
    <row r="179" spans="1:21" s="65" customFormat="1" ht="16.5" thickBot="1">
      <c r="A179" s="41" t="s">
        <v>31</v>
      </c>
      <c r="B179" s="42">
        <f t="shared" si="9"/>
        <v>65</v>
      </c>
      <c r="C179" s="42" t="s">
        <v>3</v>
      </c>
      <c r="D179" s="42">
        <f t="shared" si="10"/>
        <v>300</v>
      </c>
      <c r="E179" s="42" t="s">
        <v>3</v>
      </c>
      <c r="F179" s="101">
        <f t="shared" si="11"/>
        <v>1250</v>
      </c>
      <c r="G179" s="42" t="s">
        <v>3</v>
      </c>
      <c r="H179" s="39">
        <v>2</v>
      </c>
      <c r="I179" s="40" t="s">
        <v>40</v>
      </c>
      <c r="J179" s="149">
        <v>65</v>
      </c>
      <c r="K179" s="104">
        <v>300</v>
      </c>
      <c r="L179" s="104">
        <v>1250</v>
      </c>
      <c r="M179" s="150">
        <v>10.38134858186643</v>
      </c>
      <c r="N179" s="66">
        <v>252.39044299743651</v>
      </c>
      <c r="O179" s="111">
        <v>17734.125762315161</v>
      </c>
      <c r="P179" s="111">
        <v>21603.472167147178</v>
      </c>
      <c r="Q179" s="110">
        <v>13279.64081981444</v>
      </c>
      <c r="R179" s="258">
        <v>31013.766582129603</v>
      </c>
      <c r="S179" s="259">
        <v>34883.11298696162</v>
      </c>
      <c r="U179" s="7" t="s">
        <v>968</v>
      </c>
    </row>
    <row r="180" spans="1:21" s="65" customFormat="1" ht="16.5" thickBot="1">
      <c r="A180" s="41" t="s">
        <v>31</v>
      </c>
      <c r="B180" s="42">
        <f t="shared" si="9"/>
        <v>65</v>
      </c>
      <c r="C180" s="42" t="s">
        <v>3</v>
      </c>
      <c r="D180" s="42">
        <f t="shared" si="10"/>
        <v>300</v>
      </c>
      <c r="E180" s="42" t="s">
        <v>3</v>
      </c>
      <c r="F180" s="101">
        <f t="shared" si="11"/>
        <v>1300</v>
      </c>
      <c r="G180" s="42" t="s">
        <v>3</v>
      </c>
      <c r="H180" s="39">
        <v>2</v>
      </c>
      <c r="I180" s="40" t="s">
        <v>40</v>
      </c>
      <c r="J180" s="149">
        <v>65</v>
      </c>
      <c r="K180" s="104">
        <v>300</v>
      </c>
      <c r="L180" s="104">
        <v>1300</v>
      </c>
      <c r="M180" s="150">
        <v>10.764055438532143</v>
      </c>
      <c r="N180" s="66">
        <v>266.41213427507182</v>
      </c>
      <c r="O180" s="111">
        <v>18212.485724600127</v>
      </c>
      <c r="P180" s="111">
        <v>22213.659371264133</v>
      </c>
      <c r="Q180" s="110">
        <v>13807.516605688428</v>
      </c>
      <c r="R180" s="258">
        <v>32020.002330288553</v>
      </c>
      <c r="S180" s="259">
        <v>36021.17597695256</v>
      </c>
      <c r="U180" s="7" t="s">
        <v>969</v>
      </c>
    </row>
    <row r="181" spans="1:21" s="65" customFormat="1" ht="16.5" thickBot="1">
      <c r="A181" s="41" t="s">
        <v>31</v>
      </c>
      <c r="B181" s="42">
        <f t="shared" si="9"/>
        <v>65</v>
      </c>
      <c r="C181" s="42" t="s">
        <v>3</v>
      </c>
      <c r="D181" s="42">
        <f t="shared" si="10"/>
        <v>300</v>
      </c>
      <c r="E181" s="42" t="s">
        <v>3</v>
      </c>
      <c r="F181" s="101">
        <f t="shared" si="11"/>
        <v>1350</v>
      </c>
      <c r="G181" s="42" t="s">
        <v>3</v>
      </c>
      <c r="H181" s="39">
        <v>2</v>
      </c>
      <c r="I181" s="40" t="s">
        <v>40</v>
      </c>
      <c r="J181" s="149">
        <v>65</v>
      </c>
      <c r="K181" s="104">
        <v>300</v>
      </c>
      <c r="L181" s="104">
        <v>1350</v>
      </c>
      <c r="M181" s="150">
        <v>11.146762295197858</v>
      </c>
      <c r="N181" s="66">
        <v>280.43382555270722</v>
      </c>
      <c r="O181" s="111">
        <v>18690.845686885088</v>
      </c>
      <c r="P181" s="111">
        <v>22823.846575381089</v>
      </c>
      <c r="Q181" s="110">
        <v>14335.392544591185</v>
      </c>
      <c r="R181" s="258">
        <v>33026.238231476273</v>
      </c>
      <c r="S181" s="259">
        <v>37159.239119972277</v>
      </c>
      <c r="U181" s="7" t="s">
        <v>970</v>
      </c>
    </row>
    <row r="182" spans="1:21" s="65" customFormat="1" ht="16.5" thickBot="1">
      <c r="A182" s="41" t="s">
        <v>31</v>
      </c>
      <c r="B182" s="42">
        <f t="shared" si="9"/>
        <v>65</v>
      </c>
      <c r="C182" s="42" t="s">
        <v>3</v>
      </c>
      <c r="D182" s="42">
        <f t="shared" si="10"/>
        <v>300</v>
      </c>
      <c r="E182" s="42" t="s">
        <v>3</v>
      </c>
      <c r="F182" s="101">
        <f t="shared" si="11"/>
        <v>1400</v>
      </c>
      <c r="G182" s="42" t="s">
        <v>3</v>
      </c>
      <c r="H182" s="39">
        <v>2</v>
      </c>
      <c r="I182" s="40" t="s">
        <v>40</v>
      </c>
      <c r="J182" s="149">
        <v>65</v>
      </c>
      <c r="K182" s="104">
        <v>300</v>
      </c>
      <c r="L182" s="104">
        <v>1400</v>
      </c>
      <c r="M182" s="150">
        <v>11.529469151863571</v>
      </c>
      <c r="N182" s="66">
        <v>294.45551683034262</v>
      </c>
      <c r="O182" s="111">
        <v>19169.205649170053</v>
      </c>
      <c r="P182" s="111">
        <v>23434.033626469278</v>
      </c>
      <c r="Q182" s="110">
        <v>14863.268330465173</v>
      </c>
      <c r="R182" s="258">
        <v>34032.473979635222</v>
      </c>
      <c r="S182" s="259">
        <v>38297.301956934447</v>
      </c>
      <c r="U182" s="7" t="s">
        <v>971</v>
      </c>
    </row>
    <row r="183" spans="1:21" s="65" customFormat="1" ht="16.5" thickBot="1">
      <c r="A183" s="41" t="s">
        <v>31</v>
      </c>
      <c r="B183" s="42">
        <f t="shared" si="9"/>
        <v>65</v>
      </c>
      <c r="C183" s="42" t="s">
        <v>3</v>
      </c>
      <c r="D183" s="42">
        <f t="shared" si="10"/>
        <v>300</v>
      </c>
      <c r="E183" s="42" t="s">
        <v>3</v>
      </c>
      <c r="F183" s="101">
        <f t="shared" si="11"/>
        <v>1450</v>
      </c>
      <c r="G183" s="42" t="s">
        <v>3</v>
      </c>
      <c r="H183" s="39">
        <v>2</v>
      </c>
      <c r="I183" s="40" t="s">
        <v>40</v>
      </c>
      <c r="J183" s="149">
        <v>65</v>
      </c>
      <c r="K183" s="104">
        <v>300</v>
      </c>
      <c r="L183" s="104">
        <v>1450</v>
      </c>
      <c r="M183" s="150">
        <v>11.912176008529286</v>
      </c>
      <c r="N183" s="66">
        <v>308.47720810797796</v>
      </c>
      <c r="O183" s="111">
        <v>19647.565611455015</v>
      </c>
      <c r="P183" s="111">
        <v>24044.220830586233</v>
      </c>
      <c r="Q183" s="110">
        <v>15391.144269367929</v>
      </c>
      <c r="R183" s="258">
        <v>35038.709880822942</v>
      </c>
      <c r="S183" s="259">
        <v>39435.365099954164</v>
      </c>
      <c r="U183" s="7" t="s">
        <v>972</v>
      </c>
    </row>
    <row r="184" spans="1:21" s="65" customFormat="1" ht="16.5" thickBot="1">
      <c r="A184" s="41" t="s">
        <v>31</v>
      </c>
      <c r="B184" s="42">
        <f t="shared" si="9"/>
        <v>65</v>
      </c>
      <c r="C184" s="42" t="s">
        <v>3</v>
      </c>
      <c r="D184" s="42">
        <f t="shared" si="10"/>
        <v>300</v>
      </c>
      <c r="E184" s="42" t="s">
        <v>3</v>
      </c>
      <c r="F184" s="101">
        <f t="shared" si="11"/>
        <v>1500</v>
      </c>
      <c r="G184" s="42" t="s">
        <v>3</v>
      </c>
      <c r="H184" s="39">
        <v>2</v>
      </c>
      <c r="I184" s="40" t="s">
        <v>40</v>
      </c>
      <c r="J184" s="149">
        <v>65</v>
      </c>
      <c r="K184" s="104">
        <v>300</v>
      </c>
      <c r="L184" s="104">
        <v>1500</v>
      </c>
      <c r="M184" s="150">
        <v>12.439447757994998</v>
      </c>
      <c r="N184" s="66">
        <v>322.4988993856133</v>
      </c>
      <c r="O184" s="111">
        <v>20865.651168448952</v>
      </c>
      <c r="P184" s="111">
        <v>25302.331979271206</v>
      </c>
      <c r="Q184" s="110">
        <v>15919.020055241919</v>
      </c>
      <c r="R184" s="258">
        <v>36784.671223690872</v>
      </c>
      <c r="S184" s="259">
        <v>41221.352034513126</v>
      </c>
      <c r="U184" s="7" t="s">
        <v>973</v>
      </c>
    </row>
    <row r="185" spans="1:21" s="65" customFormat="1" ht="16.5" thickBot="1">
      <c r="A185" s="41" t="s">
        <v>31</v>
      </c>
      <c r="B185" s="42">
        <f t="shared" si="9"/>
        <v>65</v>
      </c>
      <c r="C185" s="42" t="s">
        <v>3</v>
      </c>
      <c r="D185" s="42">
        <f t="shared" si="10"/>
        <v>300</v>
      </c>
      <c r="E185" s="42" t="s">
        <v>3</v>
      </c>
      <c r="F185" s="101">
        <f t="shared" si="11"/>
        <v>1550</v>
      </c>
      <c r="G185" s="42" t="s">
        <v>3</v>
      </c>
      <c r="H185" s="39">
        <v>2</v>
      </c>
      <c r="I185" s="40" t="s">
        <v>40</v>
      </c>
      <c r="J185" s="149">
        <v>65</v>
      </c>
      <c r="K185" s="104">
        <v>300</v>
      </c>
      <c r="L185" s="104">
        <v>1550</v>
      </c>
      <c r="M185" s="150">
        <v>12.822154614660715</v>
      </c>
      <c r="N185" s="66">
        <v>336.52059066324864</v>
      </c>
      <c r="O185" s="111">
        <v>21344.011130733914</v>
      </c>
      <c r="P185" s="111">
        <v>25912.519183388162</v>
      </c>
      <c r="Q185" s="110">
        <v>16446.895994144674</v>
      </c>
      <c r="R185" s="258">
        <v>37790.907124878591</v>
      </c>
      <c r="S185" s="259">
        <v>42359.415177532836</v>
      </c>
      <c r="U185" s="7" t="s">
        <v>974</v>
      </c>
    </row>
    <row r="186" spans="1:21" s="65" customFormat="1" ht="16.5" thickBot="1">
      <c r="A186" s="38" t="s">
        <v>31</v>
      </c>
      <c r="B186" s="39">
        <f t="shared" si="9"/>
        <v>65</v>
      </c>
      <c r="C186" s="39" t="s">
        <v>3</v>
      </c>
      <c r="D186" s="39">
        <f t="shared" si="10"/>
        <v>300</v>
      </c>
      <c r="E186" s="39" t="s">
        <v>3</v>
      </c>
      <c r="F186" s="101">
        <f t="shared" si="11"/>
        <v>1600</v>
      </c>
      <c r="G186" s="39" t="s">
        <v>3</v>
      </c>
      <c r="H186" s="39">
        <v>2</v>
      </c>
      <c r="I186" s="40" t="s">
        <v>40</v>
      </c>
      <c r="J186" s="149">
        <v>65</v>
      </c>
      <c r="K186" s="104">
        <v>300</v>
      </c>
      <c r="L186" s="104">
        <v>1600</v>
      </c>
      <c r="M186" s="150">
        <v>13.204861471326428</v>
      </c>
      <c r="N186" s="66">
        <v>350.54228194088404</v>
      </c>
      <c r="O186" s="111">
        <v>21822.371093018879</v>
      </c>
      <c r="P186" s="111">
        <v>26522.706387505117</v>
      </c>
      <c r="Q186" s="110">
        <v>16974.771780018662</v>
      </c>
      <c r="R186" s="258">
        <v>38797.142873037541</v>
      </c>
      <c r="S186" s="259">
        <v>43497.478167523775</v>
      </c>
      <c r="U186" s="7" t="s">
        <v>975</v>
      </c>
    </row>
    <row r="187" spans="1:21" s="65" customFormat="1" ht="16.5" thickBot="1">
      <c r="A187" s="41" t="s">
        <v>31</v>
      </c>
      <c r="B187" s="42">
        <f t="shared" si="9"/>
        <v>65</v>
      </c>
      <c r="C187" s="42" t="s">
        <v>3</v>
      </c>
      <c r="D187" s="42">
        <f t="shared" si="10"/>
        <v>300</v>
      </c>
      <c r="E187" s="42" t="s">
        <v>3</v>
      </c>
      <c r="F187" s="101">
        <f t="shared" si="11"/>
        <v>1650</v>
      </c>
      <c r="G187" s="42" t="s">
        <v>3</v>
      </c>
      <c r="H187" s="39">
        <v>2</v>
      </c>
      <c r="I187" s="40" t="s">
        <v>40</v>
      </c>
      <c r="J187" s="149">
        <v>65</v>
      </c>
      <c r="K187" s="104">
        <v>300</v>
      </c>
      <c r="L187" s="104">
        <v>1650</v>
      </c>
      <c r="M187" s="150">
        <v>13.587568327992143</v>
      </c>
      <c r="N187" s="66">
        <v>364.56397321851938</v>
      </c>
      <c r="O187" s="111">
        <v>22300.731055303844</v>
      </c>
      <c r="P187" s="111">
        <v>27132.893438593306</v>
      </c>
      <c r="Q187" s="110">
        <v>17502.64771892142</v>
      </c>
      <c r="R187" s="258">
        <v>39803.378774225261</v>
      </c>
      <c r="S187" s="259">
        <v>44635.54115751473</v>
      </c>
      <c r="U187" s="7" t="s">
        <v>976</v>
      </c>
    </row>
    <row r="188" spans="1:21" s="65" customFormat="1" ht="16.5" thickBot="1">
      <c r="A188" s="41" t="s">
        <v>31</v>
      </c>
      <c r="B188" s="42">
        <f t="shared" si="9"/>
        <v>65</v>
      </c>
      <c r="C188" s="42" t="s">
        <v>3</v>
      </c>
      <c r="D188" s="42">
        <f t="shared" si="10"/>
        <v>300</v>
      </c>
      <c r="E188" s="42" t="s">
        <v>3</v>
      </c>
      <c r="F188" s="101">
        <f t="shared" si="11"/>
        <v>1700</v>
      </c>
      <c r="G188" s="42" t="s">
        <v>3</v>
      </c>
      <c r="H188" s="39">
        <v>2</v>
      </c>
      <c r="I188" s="40" t="s">
        <v>40</v>
      </c>
      <c r="J188" s="149">
        <v>65</v>
      </c>
      <c r="K188" s="104">
        <v>300</v>
      </c>
      <c r="L188" s="104">
        <v>1700</v>
      </c>
      <c r="M188" s="150">
        <v>13.970275184657858</v>
      </c>
      <c r="N188" s="66">
        <v>378.58566449615478</v>
      </c>
      <c r="O188" s="111">
        <v>22779.091017588806</v>
      </c>
      <c r="P188" s="111">
        <v>27743.080642710262</v>
      </c>
      <c r="Q188" s="110">
        <v>18030.523504795408</v>
      </c>
      <c r="R188" s="258">
        <v>40809.614522384218</v>
      </c>
      <c r="S188" s="259">
        <v>45773.60414750567</v>
      </c>
      <c r="U188" s="7" t="s">
        <v>977</v>
      </c>
    </row>
    <row r="189" spans="1:21" s="65" customFormat="1" ht="16.5" thickBot="1">
      <c r="A189" s="41" t="s">
        <v>31</v>
      </c>
      <c r="B189" s="42">
        <f t="shared" si="9"/>
        <v>65</v>
      </c>
      <c r="C189" s="42" t="s">
        <v>3</v>
      </c>
      <c r="D189" s="42">
        <f t="shared" si="10"/>
        <v>300</v>
      </c>
      <c r="E189" s="42" t="s">
        <v>3</v>
      </c>
      <c r="F189" s="101">
        <f t="shared" si="11"/>
        <v>1750</v>
      </c>
      <c r="G189" s="42" t="s">
        <v>3</v>
      </c>
      <c r="H189" s="39">
        <v>2</v>
      </c>
      <c r="I189" s="40" t="s">
        <v>40</v>
      </c>
      <c r="J189" s="149">
        <v>65</v>
      </c>
      <c r="K189" s="104">
        <v>300</v>
      </c>
      <c r="L189" s="104">
        <v>1750</v>
      </c>
      <c r="M189" s="150">
        <v>14.352982041323571</v>
      </c>
      <c r="N189" s="66">
        <v>392.60735577379006</v>
      </c>
      <c r="O189" s="111">
        <v>23257.450979873771</v>
      </c>
      <c r="P189" s="111">
        <v>28353.267846827217</v>
      </c>
      <c r="Q189" s="110">
        <v>18558.399443698163</v>
      </c>
      <c r="R189" s="258">
        <v>41815.85042357193</v>
      </c>
      <c r="S189" s="259">
        <v>46911.66729052538</v>
      </c>
      <c r="U189" s="7" t="s">
        <v>978</v>
      </c>
    </row>
    <row r="190" spans="1:21" s="65" customFormat="1" ht="16.5" thickBot="1">
      <c r="A190" s="41" t="s">
        <v>31</v>
      </c>
      <c r="B190" s="42">
        <f t="shared" si="9"/>
        <v>65</v>
      </c>
      <c r="C190" s="42" t="s">
        <v>3</v>
      </c>
      <c r="D190" s="42">
        <f t="shared" si="10"/>
        <v>300</v>
      </c>
      <c r="E190" s="42" t="s">
        <v>3</v>
      </c>
      <c r="F190" s="101">
        <f t="shared" si="11"/>
        <v>1800</v>
      </c>
      <c r="G190" s="42" t="s">
        <v>3</v>
      </c>
      <c r="H190" s="39">
        <v>2</v>
      </c>
      <c r="I190" s="40" t="s">
        <v>40</v>
      </c>
      <c r="J190" s="149">
        <v>65</v>
      </c>
      <c r="K190" s="104">
        <v>300</v>
      </c>
      <c r="L190" s="104">
        <v>1800</v>
      </c>
      <c r="M190" s="150">
        <v>14.735688897989284</v>
      </c>
      <c r="N190" s="66">
        <v>406.62904705142546</v>
      </c>
      <c r="O190" s="111">
        <v>23735.810942158732</v>
      </c>
      <c r="P190" s="111">
        <v>28963.454897915406</v>
      </c>
      <c r="Q190" s="110">
        <v>19086.275229572155</v>
      </c>
      <c r="R190" s="258">
        <v>42822.086171730887</v>
      </c>
      <c r="S190" s="259">
        <v>48049.730127487564</v>
      </c>
      <c r="U190" s="7" t="s">
        <v>979</v>
      </c>
    </row>
    <row r="191" spans="1:21" s="65" customFormat="1" ht="16.5" thickBot="1">
      <c r="A191" s="41" t="s">
        <v>31</v>
      </c>
      <c r="B191" s="42">
        <f t="shared" si="9"/>
        <v>65</v>
      </c>
      <c r="C191" s="42" t="s">
        <v>3</v>
      </c>
      <c r="D191" s="42">
        <f t="shared" si="10"/>
        <v>300</v>
      </c>
      <c r="E191" s="42" t="s">
        <v>3</v>
      </c>
      <c r="F191" s="101">
        <f t="shared" si="11"/>
        <v>1850</v>
      </c>
      <c r="G191" s="42" t="s">
        <v>3</v>
      </c>
      <c r="H191" s="39">
        <v>2</v>
      </c>
      <c r="I191" s="40" t="s">
        <v>40</v>
      </c>
      <c r="J191" s="149">
        <v>65</v>
      </c>
      <c r="K191" s="104">
        <v>300</v>
      </c>
      <c r="L191" s="104">
        <v>1850</v>
      </c>
      <c r="M191" s="150">
        <v>15.118395754655001</v>
      </c>
      <c r="N191" s="66">
        <v>420.6507383290608</v>
      </c>
      <c r="O191" s="111">
        <v>24214.170904443698</v>
      </c>
      <c r="P191" s="111">
        <v>29573.642102032361</v>
      </c>
      <c r="Q191" s="110">
        <v>19614.151168474909</v>
      </c>
      <c r="R191" s="258">
        <v>43828.322072918607</v>
      </c>
      <c r="S191" s="259">
        <v>49187.793270507274</v>
      </c>
      <c r="U191" s="7" t="s">
        <v>980</v>
      </c>
    </row>
    <row r="192" spans="1:21" s="65" customFormat="1" ht="16.5" thickBot="1">
      <c r="A192" s="41" t="s">
        <v>31</v>
      </c>
      <c r="B192" s="42">
        <f t="shared" si="9"/>
        <v>65</v>
      </c>
      <c r="C192" s="42" t="s">
        <v>3</v>
      </c>
      <c r="D192" s="42">
        <f t="shared" si="10"/>
        <v>300</v>
      </c>
      <c r="E192" s="42" t="s">
        <v>3</v>
      </c>
      <c r="F192" s="101">
        <f t="shared" si="11"/>
        <v>1900</v>
      </c>
      <c r="G192" s="42" t="s">
        <v>3</v>
      </c>
      <c r="H192" s="39">
        <v>2</v>
      </c>
      <c r="I192" s="40" t="s">
        <v>40</v>
      </c>
      <c r="J192" s="149">
        <v>65</v>
      </c>
      <c r="K192" s="104">
        <v>300</v>
      </c>
      <c r="L192" s="104">
        <v>1900</v>
      </c>
      <c r="M192" s="150">
        <v>15.501102611320714</v>
      </c>
      <c r="N192" s="66">
        <v>434.6724296066962</v>
      </c>
      <c r="O192" s="111">
        <v>24692.530866728659</v>
      </c>
      <c r="P192" s="111">
        <v>30183.829306149317</v>
      </c>
      <c r="Q192" s="110">
        <v>20142.026954348901</v>
      </c>
      <c r="R192" s="258">
        <v>44834.557821077557</v>
      </c>
      <c r="S192" s="259">
        <v>50325.856260498214</v>
      </c>
      <c r="U192" s="7" t="s">
        <v>981</v>
      </c>
    </row>
    <row r="193" spans="1:21" s="65" customFormat="1" ht="16.5" thickBot="1">
      <c r="A193" s="41" t="s">
        <v>31</v>
      </c>
      <c r="B193" s="42">
        <f t="shared" si="9"/>
        <v>65</v>
      </c>
      <c r="C193" s="42" t="s">
        <v>3</v>
      </c>
      <c r="D193" s="42">
        <f t="shared" si="10"/>
        <v>300</v>
      </c>
      <c r="E193" s="42" t="s">
        <v>3</v>
      </c>
      <c r="F193" s="101">
        <f t="shared" si="11"/>
        <v>1950</v>
      </c>
      <c r="G193" s="42" t="s">
        <v>3</v>
      </c>
      <c r="H193" s="39">
        <v>2</v>
      </c>
      <c r="I193" s="40" t="s">
        <v>40</v>
      </c>
      <c r="J193" s="149">
        <v>65</v>
      </c>
      <c r="K193" s="104">
        <v>300</v>
      </c>
      <c r="L193" s="104">
        <v>1950</v>
      </c>
      <c r="M193" s="150">
        <v>15.923059467986429</v>
      </c>
      <c r="N193" s="66">
        <v>448.6941208843316</v>
      </c>
      <c r="O193" s="111">
        <v>25220.891141673037</v>
      </c>
      <c r="P193" s="111">
        <v>30842.492656425042</v>
      </c>
      <c r="Q193" s="110">
        <v>20669.902893251656</v>
      </c>
      <c r="R193" s="258">
        <v>45890.794034924693</v>
      </c>
      <c r="S193" s="259">
        <v>51512.395549676701</v>
      </c>
      <c r="U193" s="7" t="s">
        <v>982</v>
      </c>
    </row>
    <row r="194" spans="1:21" s="65" customFormat="1" ht="16.5" thickBot="1">
      <c r="A194" s="41" t="s">
        <v>31</v>
      </c>
      <c r="B194" s="42">
        <f t="shared" si="9"/>
        <v>65</v>
      </c>
      <c r="C194" s="42" t="s">
        <v>3</v>
      </c>
      <c r="D194" s="42">
        <f t="shared" si="10"/>
        <v>300</v>
      </c>
      <c r="E194" s="42" t="s">
        <v>3</v>
      </c>
      <c r="F194" s="101">
        <f t="shared" si="11"/>
        <v>2000</v>
      </c>
      <c r="G194" s="42" t="s">
        <v>3</v>
      </c>
      <c r="H194" s="39">
        <v>2</v>
      </c>
      <c r="I194" s="40" t="s">
        <v>40</v>
      </c>
      <c r="J194" s="149">
        <v>65</v>
      </c>
      <c r="K194" s="104">
        <v>300</v>
      </c>
      <c r="L194" s="104">
        <v>2000</v>
      </c>
      <c r="M194" s="150">
        <v>16.397328724652141</v>
      </c>
      <c r="N194" s="66">
        <v>462.71581216196688</v>
      </c>
      <c r="O194" s="111">
        <v>25950.543005802596</v>
      </c>
      <c r="P194" s="111">
        <v>31781.108206879326</v>
      </c>
      <c r="Q194" s="110">
        <v>21197.778679125648</v>
      </c>
      <c r="R194" s="258">
        <v>47148.321684928247</v>
      </c>
      <c r="S194" s="259">
        <v>52978.88688600497</v>
      </c>
      <c r="U194" s="7" t="s">
        <v>983</v>
      </c>
    </row>
    <row r="195" spans="1:21" s="65" customFormat="1" ht="16.5" thickBot="1">
      <c r="A195" s="41" t="s">
        <v>31</v>
      </c>
      <c r="B195" s="42">
        <f t="shared" si="9"/>
        <v>65</v>
      </c>
      <c r="C195" s="42" t="s">
        <v>3</v>
      </c>
      <c r="D195" s="42">
        <f t="shared" si="10"/>
        <v>300</v>
      </c>
      <c r="E195" s="42" t="s">
        <v>3</v>
      </c>
      <c r="F195" s="101">
        <f t="shared" si="11"/>
        <v>2050</v>
      </c>
      <c r="G195" s="42" t="s">
        <v>3</v>
      </c>
      <c r="H195" s="39">
        <v>2</v>
      </c>
      <c r="I195" s="40" t="s">
        <v>40</v>
      </c>
      <c r="J195" s="149">
        <v>65</v>
      </c>
      <c r="K195" s="104">
        <v>300</v>
      </c>
      <c r="L195" s="104">
        <v>2050</v>
      </c>
      <c r="M195" s="150">
        <v>16.780035581317858</v>
      </c>
      <c r="N195" s="66">
        <v>476.73750343960228</v>
      </c>
      <c r="O195" s="111">
        <v>26428.902968087557</v>
      </c>
      <c r="P195" s="111">
        <v>32391.295410996281</v>
      </c>
      <c r="Q195" s="110">
        <v>21725.654618028402</v>
      </c>
      <c r="R195" s="258">
        <v>48154.55758611596</v>
      </c>
      <c r="S195" s="259">
        <v>54116.95002902468</v>
      </c>
      <c r="U195" s="7" t="s">
        <v>984</v>
      </c>
    </row>
    <row r="196" spans="1:21" s="65" customFormat="1" ht="16.5" thickBot="1">
      <c r="A196" s="38" t="s">
        <v>31</v>
      </c>
      <c r="B196" s="39">
        <f t="shared" si="9"/>
        <v>65</v>
      </c>
      <c r="C196" s="39" t="s">
        <v>3</v>
      </c>
      <c r="D196" s="39">
        <f t="shared" si="10"/>
        <v>300</v>
      </c>
      <c r="E196" s="39" t="s">
        <v>3</v>
      </c>
      <c r="F196" s="101">
        <f t="shared" si="11"/>
        <v>2100</v>
      </c>
      <c r="G196" s="39" t="s">
        <v>3</v>
      </c>
      <c r="H196" s="39">
        <v>2</v>
      </c>
      <c r="I196" s="40" t="s">
        <v>40</v>
      </c>
      <c r="J196" s="149">
        <v>65</v>
      </c>
      <c r="K196" s="104">
        <v>300</v>
      </c>
      <c r="L196" s="104">
        <v>2100</v>
      </c>
      <c r="M196" s="150">
        <v>17.162742437983574</v>
      </c>
      <c r="N196" s="66">
        <v>490.75919471723762</v>
      </c>
      <c r="O196" s="111">
        <v>26907.262930372519</v>
      </c>
      <c r="P196" s="111">
        <v>33001.482615113237</v>
      </c>
      <c r="Q196" s="110">
        <v>22253.53040390239</v>
      </c>
      <c r="R196" s="258">
        <v>49160.793334274909</v>
      </c>
      <c r="S196" s="259">
        <v>55255.013019015627</v>
      </c>
      <c r="U196" s="7" t="s">
        <v>985</v>
      </c>
    </row>
    <row r="197" spans="1:21" s="65" customFormat="1" ht="16.5" thickBot="1">
      <c r="A197" s="41" t="s">
        <v>31</v>
      </c>
      <c r="B197" s="42">
        <f t="shared" si="9"/>
        <v>65</v>
      </c>
      <c r="C197" s="42" t="s">
        <v>3</v>
      </c>
      <c r="D197" s="42">
        <f t="shared" si="10"/>
        <v>300</v>
      </c>
      <c r="E197" s="42" t="s">
        <v>3</v>
      </c>
      <c r="F197" s="101">
        <f t="shared" si="11"/>
        <v>2150</v>
      </c>
      <c r="G197" s="42" t="s">
        <v>3</v>
      </c>
      <c r="H197" s="39">
        <v>2</v>
      </c>
      <c r="I197" s="40" t="s">
        <v>40</v>
      </c>
      <c r="J197" s="149">
        <v>65</v>
      </c>
      <c r="K197" s="104">
        <v>300</v>
      </c>
      <c r="L197" s="104">
        <v>2150</v>
      </c>
      <c r="M197" s="150">
        <v>17.545449294649288</v>
      </c>
      <c r="N197" s="66">
        <v>504.78088599487302</v>
      </c>
      <c r="O197" s="111">
        <v>27385.622892657488</v>
      </c>
      <c r="P197" s="111">
        <v>33611.669666201422</v>
      </c>
      <c r="Q197" s="110">
        <v>22781.406342805149</v>
      </c>
      <c r="R197" s="258">
        <v>50167.029235462636</v>
      </c>
      <c r="S197" s="259">
        <v>56393.076009006574</v>
      </c>
      <c r="U197" s="7" t="s">
        <v>986</v>
      </c>
    </row>
    <row r="198" spans="1:21" s="65" customFormat="1" ht="16.5" thickBot="1">
      <c r="A198" s="41" t="s">
        <v>31</v>
      </c>
      <c r="B198" s="42">
        <f t="shared" si="9"/>
        <v>65</v>
      </c>
      <c r="C198" s="42" t="s">
        <v>3</v>
      </c>
      <c r="D198" s="42">
        <f t="shared" si="10"/>
        <v>300</v>
      </c>
      <c r="E198" s="42" t="s">
        <v>3</v>
      </c>
      <c r="F198" s="101">
        <f t="shared" si="11"/>
        <v>2200</v>
      </c>
      <c r="G198" s="42" t="s">
        <v>3</v>
      </c>
      <c r="H198" s="39">
        <v>2</v>
      </c>
      <c r="I198" s="40" t="s">
        <v>40</v>
      </c>
      <c r="J198" s="149">
        <v>65</v>
      </c>
      <c r="K198" s="104">
        <v>300</v>
      </c>
      <c r="L198" s="104">
        <v>2200</v>
      </c>
      <c r="M198" s="150">
        <v>17.928156151315001</v>
      </c>
      <c r="N198" s="66">
        <v>518.80257727250842</v>
      </c>
      <c r="O198" s="111">
        <v>27863.982854942449</v>
      </c>
      <c r="P198" s="111">
        <v>34221.856870318377</v>
      </c>
      <c r="Q198" s="110">
        <v>23309.282128679137</v>
      </c>
      <c r="R198" s="258">
        <v>51173.264983621586</v>
      </c>
      <c r="S198" s="259">
        <v>57531.138998997514</v>
      </c>
      <c r="U198" s="7" t="s">
        <v>987</v>
      </c>
    </row>
    <row r="199" spans="1:21" s="65" customFormat="1" ht="16.5" thickBot="1">
      <c r="A199" s="41" t="s">
        <v>31</v>
      </c>
      <c r="B199" s="42">
        <f t="shared" si="9"/>
        <v>65</v>
      </c>
      <c r="C199" s="42" t="s">
        <v>3</v>
      </c>
      <c r="D199" s="42">
        <f t="shared" si="10"/>
        <v>300</v>
      </c>
      <c r="E199" s="42" t="s">
        <v>3</v>
      </c>
      <c r="F199" s="101">
        <f t="shared" si="11"/>
        <v>2250</v>
      </c>
      <c r="G199" s="42" t="s">
        <v>3</v>
      </c>
      <c r="H199" s="39">
        <v>2</v>
      </c>
      <c r="I199" s="40" t="s">
        <v>40</v>
      </c>
      <c r="J199" s="149">
        <v>65</v>
      </c>
      <c r="K199" s="104">
        <v>300</v>
      </c>
      <c r="L199" s="104">
        <v>2250</v>
      </c>
      <c r="M199" s="150">
        <v>18.310863007980718</v>
      </c>
      <c r="N199" s="66">
        <v>532.82426855014364</v>
      </c>
      <c r="O199" s="111">
        <v>28342.342817227411</v>
      </c>
      <c r="P199" s="111">
        <v>34832.04392140657</v>
      </c>
      <c r="Q199" s="110">
        <v>23837.158067581891</v>
      </c>
      <c r="R199" s="258">
        <v>52179.500884809298</v>
      </c>
      <c r="S199" s="259">
        <v>58669.201988988461</v>
      </c>
      <c r="U199" s="7" t="s">
        <v>988</v>
      </c>
    </row>
    <row r="200" spans="1:21" s="65" customFormat="1" ht="16.5" thickBot="1">
      <c r="A200" s="41" t="s">
        <v>31</v>
      </c>
      <c r="B200" s="42">
        <f t="shared" si="9"/>
        <v>65</v>
      </c>
      <c r="C200" s="42" t="s">
        <v>3</v>
      </c>
      <c r="D200" s="42">
        <f t="shared" si="10"/>
        <v>300</v>
      </c>
      <c r="E200" s="42" t="s">
        <v>3</v>
      </c>
      <c r="F200" s="101">
        <f t="shared" si="11"/>
        <v>2300</v>
      </c>
      <c r="G200" s="42" t="s">
        <v>3</v>
      </c>
      <c r="H200" s="39">
        <v>2</v>
      </c>
      <c r="I200" s="40" t="s">
        <v>40</v>
      </c>
      <c r="J200" s="149">
        <v>65</v>
      </c>
      <c r="K200" s="104">
        <v>300</v>
      </c>
      <c r="L200" s="104">
        <v>2300</v>
      </c>
      <c r="M200" s="150">
        <v>18.693569864646427</v>
      </c>
      <c r="N200" s="66">
        <v>546.8459598277791</v>
      </c>
      <c r="O200" s="111">
        <v>28820.702779512372</v>
      </c>
      <c r="P200" s="111">
        <v>35442.231125523525</v>
      </c>
      <c r="Q200" s="110">
        <v>24365.03385345588</v>
      </c>
      <c r="R200" s="258">
        <v>53185.736632968255</v>
      </c>
      <c r="S200" s="259">
        <v>59807.264978979409</v>
      </c>
      <c r="U200" s="7" t="s">
        <v>989</v>
      </c>
    </row>
    <row r="201" spans="1:21" s="65" customFormat="1" ht="16.5" thickBot="1">
      <c r="A201" s="41" t="s">
        <v>31</v>
      </c>
      <c r="B201" s="42">
        <f t="shared" si="9"/>
        <v>65</v>
      </c>
      <c r="C201" s="42" t="s">
        <v>3</v>
      </c>
      <c r="D201" s="42">
        <f t="shared" si="10"/>
        <v>300</v>
      </c>
      <c r="E201" s="42" t="s">
        <v>3</v>
      </c>
      <c r="F201" s="101">
        <f t="shared" si="11"/>
        <v>2350</v>
      </c>
      <c r="G201" s="42" t="s">
        <v>3</v>
      </c>
      <c r="H201" s="39">
        <v>2</v>
      </c>
      <c r="I201" s="40" t="s">
        <v>40</v>
      </c>
      <c r="J201" s="149">
        <v>65</v>
      </c>
      <c r="K201" s="104">
        <v>300</v>
      </c>
      <c r="L201" s="104">
        <v>2350</v>
      </c>
      <c r="M201" s="150">
        <v>19.076276721312144</v>
      </c>
      <c r="N201" s="66">
        <v>560.86765110541444</v>
      </c>
      <c r="O201" s="111">
        <v>29299.062741797341</v>
      </c>
      <c r="P201" s="111">
        <v>36052.418329640481</v>
      </c>
      <c r="Q201" s="110">
        <v>24892.909792358638</v>
      </c>
      <c r="R201" s="258">
        <v>54191.972534155982</v>
      </c>
      <c r="S201" s="259">
        <v>60945.328121999119</v>
      </c>
      <c r="U201" s="7" t="s">
        <v>990</v>
      </c>
    </row>
    <row r="202" spans="1:21" s="65" customFormat="1" ht="16.5" thickBot="1">
      <c r="A202" s="41" t="s">
        <v>31</v>
      </c>
      <c r="B202" s="42">
        <f t="shared" si="9"/>
        <v>65</v>
      </c>
      <c r="C202" s="42" t="s">
        <v>3</v>
      </c>
      <c r="D202" s="42">
        <f t="shared" si="10"/>
        <v>300</v>
      </c>
      <c r="E202" s="42" t="s">
        <v>3</v>
      </c>
      <c r="F202" s="101">
        <f t="shared" si="11"/>
        <v>2400</v>
      </c>
      <c r="G202" s="42" t="s">
        <v>3</v>
      </c>
      <c r="H202" s="39">
        <v>2</v>
      </c>
      <c r="I202" s="40" t="s">
        <v>40</v>
      </c>
      <c r="J202" s="149">
        <v>65</v>
      </c>
      <c r="K202" s="104">
        <v>300</v>
      </c>
      <c r="L202" s="104">
        <v>2400</v>
      </c>
      <c r="M202" s="150">
        <v>19.458983577977854</v>
      </c>
      <c r="N202" s="66">
        <v>574.88934238304978</v>
      </c>
      <c r="O202" s="111">
        <v>29777.422704082303</v>
      </c>
      <c r="P202" s="111">
        <v>36662.605380728673</v>
      </c>
      <c r="Q202" s="110">
        <v>25420.78557823263</v>
      </c>
      <c r="R202" s="258">
        <v>55198.208282314932</v>
      </c>
      <c r="S202" s="259">
        <v>62083.390958961303</v>
      </c>
      <c r="U202" s="7" t="s">
        <v>991</v>
      </c>
    </row>
    <row r="203" spans="1:21" s="65" customFormat="1" ht="16.5" thickBot="1">
      <c r="A203" s="41" t="s">
        <v>31</v>
      </c>
      <c r="B203" s="42">
        <f t="shared" si="9"/>
        <v>65</v>
      </c>
      <c r="C203" s="42" t="s">
        <v>3</v>
      </c>
      <c r="D203" s="42">
        <f t="shared" si="10"/>
        <v>300</v>
      </c>
      <c r="E203" s="42" t="s">
        <v>3</v>
      </c>
      <c r="F203" s="101">
        <f t="shared" si="11"/>
        <v>2450</v>
      </c>
      <c r="G203" s="42" t="s">
        <v>3</v>
      </c>
      <c r="H203" s="39">
        <v>2</v>
      </c>
      <c r="I203" s="40" t="s">
        <v>40</v>
      </c>
      <c r="J203" s="149">
        <v>65</v>
      </c>
      <c r="K203" s="104">
        <v>300</v>
      </c>
      <c r="L203" s="104">
        <v>2450</v>
      </c>
      <c r="M203" s="150">
        <v>19.986255327443573</v>
      </c>
      <c r="N203" s="66">
        <v>588.91103366068523</v>
      </c>
      <c r="O203" s="111">
        <v>30995.50826107624</v>
      </c>
      <c r="P203" s="111">
        <v>37920.716682442406</v>
      </c>
      <c r="Q203" s="110">
        <v>25948.661517135381</v>
      </c>
      <c r="R203" s="258">
        <v>56944.169778211624</v>
      </c>
      <c r="S203" s="259">
        <v>63869.378199577783</v>
      </c>
      <c r="U203" s="7" t="s">
        <v>992</v>
      </c>
    </row>
    <row r="204" spans="1:21" s="65" customFormat="1" ht="16.5" thickBot="1">
      <c r="A204" s="41" t="s">
        <v>31</v>
      </c>
      <c r="B204" s="42">
        <f t="shared" si="9"/>
        <v>65</v>
      </c>
      <c r="C204" s="42" t="s">
        <v>3</v>
      </c>
      <c r="D204" s="42">
        <f t="shared" si="10"/>
        <v>300</v>
      </c>
      <c r="E204" s="42" t="s">
        <v>3</v>
      </c>
      <c r="F204" s="101">
        <f t="shared" si="11"/>
        <v>2500</v>
      </c>
      <c r="G204" s="42" t="s">
        <v>3</v>
      </c>
      <c r="H204" s="39">
        <v>2</v>
      </c>
      <c r="I204" s="40" t="s">
        <v>40</v>
      </c>
      <c r="J204" s="149">
        <v>65</v>
      </c>
      <c r="K204" s="104">
        <v>300</v>
      </c>
      <c r="L204" s="104">
        <v>2500</v>
      </c>
      <c r="M204" s="150">
        <v>20.368962184109286</v>
      </c>
      <c r="N204" s="66">
        <v>602.93272493832046</v>
      </c>
      <c r="O204" s="111">
        <v>31473.868223361202</v>
      </c>
      <c r="P204" s="111">
        <v>38530.903733530598</v>
      </c>
      <c r="Q204" s="110">
        <v>26476.537303009372</v>
      </c>
      <c r="R204" s="258">
        <v>57950.405526370574</v>
      </c>
      <c r="S204" s="259">
        <v>65007.441036539967</v>
      </c>
      <c r="U204" s="7" t="s">
        <v>993</v>
      </c>
    </row>
    <row r="205" spans="1:21" s="65" customFormat="1" ht="16.5" thickBot="1">
      <c r="A205" s="41" t="s">
        <v>31</v>
      </c>
      <c r="B205" s="42">
        <f t="shared" si="9"/>
        <v>65</v>
      </c>
      <c r="C205" s="42" t="s">
        <v>3</v>
      </c>
      <c r="D205" s="42">
        <f t="shared" si="10"/>
        <v>300</v>
      </c>
      <c r="E205" s="42" t="s">
        <v>3</v>
      </c>
      <c r="F205" s="101">
        <f t="shared" si="11"/>
        <v>2550</v>
      </c>
      <c r="G205" s="42" t="s">
        <v>3</v>
      </c>
      <c r="H205" s="39">
        <v>2</v>
      </c>
      <c r="I205" s="40" t="s">
        <v>40</v>
      </c>
      <c r="J205" s="149">
        <v>65</v>
      </c>
      <c r="K205" s="104">
        <v>300</v>
      </c>
      <c r="L205" s="104">
        <v>2550</v>
      </c>
      <c r="M205" s="150">
        <v>20.751669040774999</v>
      </c>
      <c r="N205" s="66">
        <v>616.95441621595592</v>
      </c>
      <c r="O205" s="111">
        <v>31952.228185646163</v>
      </c>
      <c r="P205" s="111">
        <v>39141.090937647554</v>
      </c>
      <c r="Q205" s="110">
        <v>27004.413241912127</v>
      </c>
      <c r="R205" s="258">
        <v>58956.641427558294</v>
      </c>
      <c r="S205" s="259">
        <v>66145.504179559677</v>
      </c>
      <c r="U205" s="7" t="s">
        <v>994</v>
      </c>
    </row>
    <row r="206" spans="1:21" s="65" customFormat="1" ht="16.5" thickBot="1">
      <c r="A206" s="38" t="s">
        <v>31</v>
      </c>
      <c r="B206" s="39">
        <f t="shared" si="9"/>
        <v>65</v>
      </c>
      <c r="C206" s="39" t="s">
        <v>3</v>
      </c>
      <c r="D206" s="39">
        <f t="shared" si="10"/>
        <v>300</v>
      </c>
      <c r="E206" s="39" t="s">
        <v>3</v>
      </c>
      <c r="F206" s="101">
        <f t="shared" si="11"/>
        <v>2600</v>
      </c>
      <c r="G206" s="39" t="s">
        <v>3</v>
      </c>
      <c r="H206" s="39">
        <v>2</v>
      </c>
      <c r="I206" s="40" t="s">
        <v>40</v>
      </c>
      <c r="J206" s="149">
        <v>65</v>
      </c>
      <c r="K206" s="104">
        <v>300</v>
      </c>
      <c r="L206" s="104">
        <v>2600</v>
      </c>
      <c r="M206" s="150">
        <v>21.134375897440712</v>
      </c>
      <c r="N206" s="66">
        <v>630.97610749359126</v>
      </c>
      <c r="O206" s="111">
        <v>32430.588147931132</v>
      </c>
      <c r="P206" s="111">
        <v>39751.278141764509</v>
      </c>
      <c r="Q206" s="110">
        <v>27532.289027786119</v>
      </c>
      <c r="R206" s="258">
        <v>59962.877175717251</v>
      </c>
      <c r="S206" s="259">
        <v>67283.567169550632</v>
      </c>
      <c r="U206" s="7" t="s">
        <v>995</v>
      </c>
    </row>
    <row r="207" spans="1:21" s="65" customFormat="1" ht="16.5" thickBot="1">
      <c r="A207" s="41" t="s">
        <v>31</v>
      </c>
      <c r="B207" s="42">
        <f t="shared" si="9"/>
        <v>65</v>
      </c>
      <c r="C207" s="42" t="s">
        <v>3</v>
      </c>
      <c r="D207" s="42">
        <f t="shared" si="10"/>
        <v>300</v>
      </c>
      <c r="E207" s="42" t="s">
        <v>3</v>
      </c>
      <c r="F207" s="101">
        <f t="shared" si="11"/>
        <v>2650</v>
      </c>
      <c r="G207" s="42" t="s">
        <v>3</v>
      </c>
      <c r="H207" s="39">
        <v>2</v>
      </c>
      <c r="I207" s="40" t="s">
        <v>40</v>
      </c>
      <c r="J207" s="149">
        <v>65</v>
      </c>
      <c r="K207" s="104">
        <v>300</v>
      </c>
      <c r="L207" s="104">
        <v>2650</v>
      </c>
      <c r="M207" s="150">
        <v>21.517082754106433</v>
      </c>
      <c r="N207" s="66">
        <v>644.9977987712266</v>
      </c>
      <c r="O207" s="111">
        <v>32908.948110216093</v>
      </c>
      <c r="P207" s="111">
        <v>40361.465192852702</v>
      </c>
      <c r="Q207" s="110">
        <v>28060.164966688873</v>
      </c>
      <c r="R207" s="258">
        <v>60969.113076904963</v>
      </c>
      <c r="S207" s="259">
        <v>68421.630159541572</v>
      </c>
      <c r="U207" s="7" t="s">
        <v>996</v>
      </c>
    </row>
    <row r="208" spans="1:21" s="65" customFormat="1" ht="16.5" thickBot="1">
      <c r="A208" s="41" t="s">
        <v>31</v>
      </c>
      <c r="B208" s="42">
        <f t="shared" si="9"/>
        <v>65</v>
      </c>
      <c r="C208" s="42" t="s">
        <v>3</v>
      </c>
      <c r="D208" s="42">
        <f t="shared" si="10"/>
        <v>300</v>
      </c>
      <c r="E208" s="42" t="s">
        <v>3</v>
      </c>
      <c r="F208" s="101">
        <f t="shared" si="11"/>
        <v>2700</v>
      </c>
      <c r="G208" s="42" t="s">
        <v>3</v>
      </c>
      <c r="H208" s="39">
        <v>2</v>
      </c>
      <c r="I208" s="40" t="s">
        <v>40</v>
      </c>
      <c r="J208" s="149">
        <v>65</v>
      </c>
      <c r="K208" s="104">
        <v>300</v>
      </c>
      <c r="L208" s="104">
        <v>2700</v>
      </c>
      <c r="M208" s="150">
        <v>21.939039610772145</v>
      </c>
      <c r="N208" s="66">
        <v>659.01949004886194</v>
      </c>
      <c r="O208" s="111">
        <v>33437.308385160468</v>
      </c>
      <c r="P208" s="111">
        <v>41020.12854312842</v>
      </c>
      <c r="Q208" s="110">
        <v>28588.040752562865</v>
      </c>
      <c r="R208" s="258">
        <v>62025.349137723329</v>
      </c>
      <c r="S208" s="259">
        <v>69608.169295691288</v>
      </c>
      <c r="U208" s="7" t="s">
        <v>997</v>
      </c>
    </row>
    <row r="209" spans="1:21" s="65" customFormat="1" ht="16.5" thickBot="1">
      <c r="A209" s="41" t="s">
        <v>31</v>
      </c>
      <c r="B209" s="42">
        <f t="shared" si="9"/>
        <v>65</v>
      </c>
      <c r="C209" s="42" t="s">
        <v>3</v>
      </c>
      <c r="D209" s="42">
        <f t="shared" si="10"/>
        <v>300</v>
      </c>
      <c r="E209" s="42" t="s">
        <v>3</v>
      </c>
      <c r="F209" s="101">
        <f t="shared" si="11"/>
        <v>2750</v>
      </c>
      <c r="G209" s="42" t="s">
        <v>3</v>
      </c>
      <c r="H209" s="39">
        <v>2</v>
      </c>
      <c r="I209" s="40" t="s">
        <v>40</v>
      </c>
      <c r="J209" s="149">
        <v>65</v>
      </c>
      <c r="K209" s="104">
        <v>300</v>
      </c>
      <c r="L209" s="104">
        <v>2750</v>
      </c>
      <c r="M209" s="150">
        <v>22.321746467437855</v>
      </c>
      <c r="N209" s="66">
        <v>673.04118132649728</v>
      </c>
      <c r="O209" s="111">
        <v>33915.668347445433</v>
      </c>
      <c r="P209" s="111">
        <v>41630.315747245375</v>
      </c>
      <c r="Q209" s="110">
        <v>29115.916691465467</v>
      </c>
      <c r="R209" s="258">
        <v>63031.585038910896</v>
      </c>
      <c r="S209" s="259">
        <v>70746.232438710838</v>
      </c>
      <c r="U209" s="7" t="s">
        <v>998</v>
      </c>
    </row>
    <row r="210" spans="1:21" s="65" customFormat="1" ht="16.5" thickBot="1">
      <c r="A210" s="41" t="s">
        <v>31</v>
      </c>
      <c r="B210" s="42">
        <f t="shared" si="9"/>
        <v>65</v>
      </c>
      <c r="C210" s="42" t="s">
        <v>3</v>
      </c>
      <c r="D210" s="42">
        <f t="shared" si="10"/>
        <v>300</v>
      </c>
      <c r="E210" s="42" t="s">
        <v>3</v>
      </c>
      <c r="F210" s="101">
        <f t="shared" si="11"/>
        <v>2800</v>
      </c>
      <c r="G210" s="42" t="s">
        <v>3</v>
      </c>
      <c r="H210" s="39">
        <v>2</v>
      </c>
      <c r="I210" s="40" t="s">
        <v>40</v>
      </c>
      <c r="J210" s="149">
        <v>65</v>
      </c>
      <c r="K210" s="104">
        <v>300</v>
      </c>
      <c r="L210" s="104">
        <v>2800</v>
      </c>
      <c r="M210" s="150">
        <v>22.704453324103575</v>
      </c>
      <c r="N210" s="66">
        <v>687.06287260413274</v>
      </c>
      <c r="O210" s="111">
        <v>34394.028309730398</v>
      </c>
      <c r="P210" s="111">
        <v>42240.50295136233</v>
      </c>
      <c r="Q210" s="110">
        <v>29643.792630368374</v>
      </c>
      <c r="R210" s="258">
        <v>64037.820940098769</v>
      </c>
      <c r="S210" s="259">
        <v>71884.295581730708</v>
      </c>
      <c r="U210" s="7" t="s">
        <v>999</v>
      </c>
    </row>
    <row r="211" spans="1:21" s="65" customFormat="1" ht="16.5" thickBot="1">
      <c r="A211" s="41" t="s">
        <v>31</v>
      </c>
      <c r="B211" s="42">
        <f t="shared" si="9"/>
        <v>65</v>
      </c>
      <c r="C211" s="42" t="s">
        <v>3</v>
      </c>
      <c r="D211" s="42">
        <f t="shared" si="10"/>
        <v>300</v>
      </c>
      <c r="E211" s="42" t="s">
        <v>3</v>
      </c>
      <c r="F211" s="101">
        <f t="shared" si="11"/>
        <v>2850</v>
      </c>
      <c r="G211" s="42" t="s">
        <v>3</v>
      </c>
      <c r="H211" s="39">
        <v>2</v>
      </c>
      <c r="I211" s="40" t="s">
        <v>40</v>
      </c>
      <c r="J211" s="149">
        <v>65</v>
      </c>
      <c r="K211" s="104">
        <v>300</v>
      </c>
      <c r="L211" s="104">
        <v>2850</v>
      </c>
      <c r="M211" s="150">
        <v>23.087160180769285</v>
      </c>
      <c r="N211" s="66">
        <v>701.08456388176808</v>
      </c>
      <c r="O211" s="111">
        <v>34872.388272015363</v>
      </c>
      <c r="P211" s="111">
        <v>42850.690002450523</v>
      </c>
      <c r="Q211" s="110">
        <v>30171.668416242363</v>
      </c>
      <c r="R211" s="258">
        <v>65044.056688257726</v>
      </c>
      <c r="S211" s="259">
        <v>73022.358418692893</v>
      </c>
      <c r="U211" s="7" t="s">
        <v>1000</v>
      </c>
    </row>
    <row r="212" spans="1:21" s="65" customFormat="1" ht="16.5" thickBot="1">
      <c r="A212" s="41" t="s">
        <v>31</v>
      </c>
      <c r="B212" s="42">
        <f t="shared" si="9"/>
        <v>65</v>
      </c>
      <c r="C212" s="42" t="s">
        <v>3</v>
      </c>
      <c r="D212" s="42">
        <f t="shared" si="10"/>
        <v>300</v>
      </c>
      <c r="E212" s="42" t="s">
        <v>3</v>
      </c>
      <c r="F212" s="101">
        <f t="shared" si="11"/>
        <v>2900</v>
      </c>
      <c r="G212" s="42" t="s">
        <v>3</v>
      </c>
      <c r="H212" s="39">
        <v>2</v>
      </c>
      <c r="I212" s="40" t="s">
        <v>40</v>
      </c>
      <c r="J212" s="149">
        <v>65</v>
      </c>
      <c r="K212" s="104">
        <v>300</v>
      </c>
      <c r="L212" s="104">
        <v>2900</v>
      </c>
      <c r="M212" s="150">
        <v>23.469867037434998</v>
      </c>
      <c r="N212" s="66">
        <v>715.1062551594033</v>
      </c>
      <c r="O212" s="111">
        <v>35350.748234300321</v>
      </c>
      <c r="P212" s="111">
        <v>43460.877206567478</v>
      </c>
      <c r="Q212" s="110">
        <v>30699.544355145121</v>
      </c>
      <c r="R212" s="258">
        <v>66050.292589445438</v>
      </c>
      <c r="S212" s="259">
        <v>74160.421561712603</v>
      </c>
      <c r="U212" s="7" t="s">
        <v>1001</v>
      </c>
    </row>
    <row r="213" spans="1:21" s="65" customFormat="1" ht="16.5" thickBot="1">
      <c r="A213" s="41" t="s">
        <v>31</v>
      </c>
      <c r="B213" s="42">
        <f t="shared" si="9"/>
        <v>65</v>
      </c>
      <c r="C213" s="42" t="s">
        <v>3</v>
      </c>
      <c r="D213" s="42">
        <f t="shared" si="10"/>
        <v>300</v>
      </c>
      <c r="E213" s="42" t="s">
        <v>3</v>
      </c>
      <c r="F213" s="101">
        <f t="shared" si="11"/>
        <v>2950</v>
      </c>
      <c r="G213" s="42" t="s">
        <v>3</v>
      </c>
      <c r="H213" s="39">
        <v>2</v>
      </c>
      <c r="I213" s="40" t="s">
        <v>40</v>
      </c>
      <c r="J213" s="149">
        <v>65</v>
      </c>
      <c r="K213" s="104">
        <v>300</v>
      </c>
      <c r="L213" s="104">
        <v>2950</v>
      </c>
      <c r="M213" s="150">
        <v>23.852573894100711</v>
      </c>
      <c r="N213" s="66">
        <v>729.12794643703876</v>
      </c>
      <c r="O213" s="111">
        <v>35829.108196585286</v>
      </c>
      <c r="P213" s="111">
        <v>44071.064410684434</v>
      </c>
      <c r="Q213" s="110">
        <v>31227.420141019105</v>
      </c>
      <c r="R213" s="258">
        <v>67056.528337604395</v>
      </c>
      <c r="S213" s="259">
        <v>75298.484551703543</v>
      </c>
      <c r="U213" s="7" t="s">
        <v>1002</v>
      </c>
    </row>
    <row r="214" spans="1:21" s="65" customFormat="1" ht="16.5" thickBot="1">
      <c r="A214" s="43" t="s">
        <v>31</v>
      </c>
      <c r="B214" s="44">
        <f t="shared" si="9"/>
        <v>65</v>
      </c>
      <c r="C214" s="44" t="s">
        <v>3</v>
      </c>
      <c r="D214" s="44">
        <f t="shared" si="10"/>
        <v>300</v>
      </c>
      <c r="E214" s="44" t="s">
        <v>3</v>
      </c>
      <c r="F214" s="102">
        <f t="shared" si="11"/>
        <v>3000</v>
      </c>
      <c r="G214" s="44" t="s">
        <v>3</v>
      </c>
      <c r="H214" s="46">
        <v>2</v>
      </c>
      <c r="I214" s="45" t="s">
        <v>40</v>
      </c>
      <c r="J214" s="149">
        <v>65</v>
      </c>
      <c r="K214" s="134">
        <v>300</v>
      </c>
      <c r="L214" s="134">
        <v>3000</v>
      </c>
      <c r="M214" s="152">
        <v>24.235280750766428</v>
      </c>
      <c r="N214" s="126">
        <v>743.1496377146741</v>
      </c>
      <c r="O214" s="135">
        <v>36307.468158870252</v>
      </c>
      <c r="P214" s="135">
        <v>44681.251461772619</v>
      </c>
      <c r="Q214" s="136">
        <v>31755.296079921864</v>
      </c>
      <c r="R214" s="260">
        <v>68062.764238792122</v>
      </c>
      <c r="S214" s="261">
        <v>76436.547541694483</v>
      </c>
      <c r="U214" s="7" t="s">
        <v>1003</v>
      </c>
    </row>
    <row r="215" spans="1:21" s="65" customFormat="1" ht="16.5" thickBot="1">
      <c r="A215" s="2974" t="s">
        <v>113</v>
      </c>
      <c r="B215" s="2975"/>
      <c r="C215" s="2975"/>
      <c r="D215" s="2975"/>
      <c r="E215" s="2975"/>
      <c r="F215" s="2975"/>
      <c r="G215" s="2975"/>
      <c r="H215" s="2975"/>
      <c r="I215" s="2975"/>
      <c r="J215" s="2975"/>
      <c r="K215" s="2975"/>
      <c r="L215" s="2975"/>
      <c r="M215" s="2975"/>
      <c r="N215" s="2975"/>
      <c r="O215" s="2975"/>
      <c r="P215" s="2975"/>
      <c r="Q215" s="2975"/>
      <c r="R215" s="2975"/>
      <c r="S215" s="2976"/>
      <c r="U215" s="7"/>
    </row>
    <row r="216" spans="1:21" s="65" customFormat="1" ht="16.5" thickBot="1">
      <c r="A216" s="38" t="s">
        <v>31</v>
      </c>
      <c r="B216" s="39">
        <f>J216</f>
        <v>65</v>
      </c>
      <c r="C216" s="39" t="s">
        <v>3</v>
      </c>
      <c r="D216" s="39">
        <f>K216</f>
        <v>300</v>
      </c>
      <c r="E216" s="39" t="s">
        <v>3</v>
      </c>
      <c r="F216" s="101">
        <f>L216</f>
        <v>600</v>
      </c>
      <c r="G216" s="39" t="s">
        <v>3</v>
      </c>
      <c r="H216" s="39">
        <v>4</v>
      </c>
      <c r="I216" s="40" t="s">
        <v>40</v>
      </c>
      <c r="J216" s="146">
        <v>65</v>
      </c>
      <c r="K216" s="138">
        <v>300</v>
      </c>
      <c r="L216" s="138">
        <v>600</v>
      </c>
      <c r="M216" s="147">
        <v>5.8744232328671435</v>
      </c>
      <c r="N216" s="122">
        <v>93.8904</v>
      </c>
      <c r="O216" s="148">
        <v>14026.906753896179</v>
      </c>
      <c r="P216" s="148">
        <v>16129.937306782229</v>
      </c>
      <c r="Q216" s="139">
        <v>6417.2545322512115</v>
      </c>
      <c r="R216" s="256">
        <v>20444.161286147391</v>
      </c>
      <c r="S216" s="257">
        <v>22547.191839033439</v>
      </c>
      <c r="U216" s="7" t="s">
        <v>1004</v>
      </c>
    </row>
    <row r="217" spans="1:21" s="65" customFormat="1" ht="16.5" thickBot="1">
      <c r="A217" s="41" t="s">
        <v>31</v>
      </c>
      <c r="B217" s="42">
        <f t="shared" ref="B217:B264" si="12">J217</f>
        <v>65</v>
      </c>
      <c r="C217" s="42" t="s">
        <v>3</v>
      </c>
      <c r="D217" s="42">
        <f t="shared" ref="D217:D264" si="13">K217</f>
        <v>300</v>
      </c>
      <c r="E217" s="42" t="s">
        <v>3</v>
      </c>
      <c r="F217" s="101">
        <f t="shared" ref="F217:F264" si="14">L217</f>
        <v>650</v>
      </c>
      <c r="G217" s="42" t="s">
        <v>3</v>
      </c>
      <c r="H217" s="39">
        <v>4</v>
      </c>
      <c r="I217" s="40" t="s">
        <v>40</v>
      </c>
      <c r="J217" s="149">
        <v>65</v>
      </c>
      <c r="K217" s="104">
        <v>300</v>
      </c>
      <c r="L217" s="104">
        <v>650</v>
      </c>
      <c r="M217" s="150">
        <v>6.3237524794128577</v>
      </c>
      <c r="N217" s="66">
        <v>112.66848</v>
      </c>
      <c r="O217" s="111">
        <v>14731.866355571463</v>
      </c>
      <c r="P217" s="111">
        <v>16961.816211734418</v>
      </c>
      <c r="Q217" s="110">
        <v>6945.130471153966</v>
      </c>
      <c r="R217" s="258">
        <v>21676.99682672543</v>
      </c>
      <c r="S217" s="259">
        <v>23906.946682888385</v>
      </c>
      <c r="U217" s="7" t="s">
        <v>1005</v>
      </c>
    </row>
    <row r="218" spans="1:21" s="65" customFormat="1" ht="16.5" thickBot="1">
      <c r="A218" s="41" t="s">
        <v>31</v>
      </c>
      <c r="B218" s="42">
        <f t="shared" si="12"/>
        <v>65</v>
      </c>
      <c r="C218" s="42" t="s">
        <v>3</v>
      </c>
      <c r="D218" s="42">
        <f t="shared" si="13"/>
        <v>300</v>
      </c>
      <c r="E218" s="42" t="s">
        <v>3</v>
      </c>
      <c r="F218" s="101">
        <f t="shared" si="14"/>
        <v>700</v>
      </c>
      <c r="G218" s="42" t="s">
        <v>3</v>
      </c>
      <c r="H218" s="39">
        <v>4</v>
      </c>
      <c r="I218" s="40" t="s">
        <v>40</v>
      </c>
      <c r="J218" s="149">
        <v>65</v>
      </c>
      <c r="K218" s="104">
        <v>300</v>
      </c>
      <c r="L218" s="104">
        <v>700</v>
      </c>
      <c r="M218" s="150">
        <v>6.7730817259585718</v>
      </c>
      <c r="N218" s="66">
        <v>131.44656000000001</v>
      </c>
      <c r="O218" s="111">
        <v>15436.825804217984</v>
      </c>
      <c r="P218" s="111">
        <v>17793.695116686606</v>
      </c>
      <c r="Q218" s="110">
        <v>7473.0062570279561</v>
      </c>
      <c r="R218" s="258">
        <v>22909.832061245939</v>
      </c>
      <c r="S218" s="259">
        <v>25266.701373714561</v>
      </c>
      <c r="U218" s="7" t="s">
        <v>1006</v>
      </c>
    </row>
    <row r="219" spans="1:21" s="65" customFormat="1" ht="16.5" thickBot="1">
      <c r="A219" s="41" t="s">
        <v>31</v>
      </c>
      <c r="B219" s="42">
        <f t="shared" si="12"/>
        <v>65</v>
      </c>
      <c r="C219" s="42" t="s">
        <v>3</v>
      </c>
      <c r="D219" s="42">
        <f t="shared" si="13"/>
        <v>300</v>
      </c>
      <c r="E219" s="42" t="s">
        <v>3</v>
      </c>
      <c r="F219" s="101">
        <f t="shared" si="14"/>
        <v>750</v>
      </c>
      <c r="G219" s="42" t="s">
        <v>3</v>
      </c>
      <c r="H219" s="39">
        <v>4</v>
      </c>
      <c r="I219" s="40" t="s">
        <v>40</v>
      </c>
      <c r="J219" s="149">
        <v>65</v>
      </c>
      <c r="K219" s="104">
        <v>300</v>
      </c>
      <c r="L219" s="104">
        <v>750</v>
      </c>
      <c r="M219" s="150">
        <v>7.2224109725042851</v>
      </c>
      <c r="N219" s="66">
        <v>150.22463999999999</v>
      </c>
      <c r="O219" s="111">
        <v>16141.785405893268</v>
      </c>
      <c r="P219" s="111">
        <v>18625.573868610027</v>
      </c>
      <c r="Q219" s="110">
        <v>8000.8821959307124</v>
      </c>
      <c r="R219" s="258">
        <v>24142.667601823981</v>
      </c>
      <c r="S219" s="259">
        <v>26626.45606454074</v>
      </c>
      <c r="U219" s="7" t="s">
        <v>1007</v>
      </c>
    </row>
    <row r="220" spans="1:21" s="65" customFormat="1" ht="16.5" thickBot="1">
      <c r="A220" s="41" t="s">
        <v>31</v>
      </c>
      <c r="B220" s="42">
        <f t="shared" si="12"/>
        <v>65</v>
      </c>
      <c r="C220" s="42" t="s">
        <v>3</v>
      </c>
      <c r="D220" s="42">
        <f t="shared" si="13"/>
        <v>300</v>
      </c>
      <c r="E220" s="42" t="s">
        <v>3</v>
      </c>
      <c r="F220" s="101">
        <f t="shared" si="14"/>
        <v>800</v>
      </c>
      <c r="G220" s="42" t="s">
        <v>3</v>
      </c>
      <c r="H220" s="39">
        <v>4</v>
      </c>
      <c r="I220" s="40" t="s">
        <v>40</v>
      </c>
      <c r="J220" s="149">
        <v>65</v>
      </c>
      <c r="K220" s="104">
        <v>300</v>
      </c>
      <c r="L220" s="104">
        <v>800</v>
      </c>
      <c r="M220" s="150">
        <v>7.6717402190499993</v>
      </c>
      <c r="N220" s="66">
        <v>169.00272000000001</v>
      </c>
      <c r="O220" s="111">
        <v>16846.745007568552</v>
      </c>
      <c r="P220" s="111">
        <v>19457.452773562214</v>
      </c>
      <c r="Q220" s="110">
        <v>8528.7579818047016</v>
      </c>
      <c r="R220" s="258">
        <v>25375.502989373254</v>
      </c>
      <c r="S220" s="259">
        <v>27986.210755366916</v>
      </c>
      <c r="U220" s="7" t="s">
        <v>1008</v>
      </c>
    </row>
    <row r="221" spans="1:21" s="65" customFormat="1" ht="16.5" thickBot="1">
      <c r="A221" s="41" t="s">
        <v>31</v>
      </c>
      <c r="B221" s="42">
        <f t="shared" si="12"/>
        <v>65</v>
      </c>
      <c r="C221" s="42" t="s">
        <v>3</v>
      </c>
      <c r="D221" s="42">
        <f t="shared" si="13"/>
        <v>300</v>
      </c>
      <c r="E221" s="42" t="s">
        <v>3</v>
      </c>
      <c r="F221" s="101">
        <f t="shared" si="14"/>
        <v>850</v>
      </c>
      <c r="G221" s="42" t="s">
        <v>3</v>
      </c>
      <c r="H221" s="39">
        <v>4</v>
      </c>
      <c r="I221" s="40" t="s">
        <v>40</v>
      </c>
      <c r="J221" s="149">
        <v>65</v>
      </c>
      <c r="K221" s="104">
        <v>300</v>
      </c>
      <c r="L221" s="104">
        <v>850</v>
      </c>
      <c r="M221" s="150">
        <v>8.1210694655957134</v>
      </c>
      <c r="N221" s="66">
        <v>187.7808</v>
      </c>
      <c r="O221" s="111">
        <v>17551.704609243836</v>
      </c>
      <c r="P221" s="111">
        <v>20289.331678514402</v>
      </c>
      <c r="Q221" s="110">
        <v>9056.6339207074561</v>
      </c>
      <c r="R221" s="258">
        <v>26608.338529951292</v>
      </c>
      <c r="S221" s="259">
        <v>29345.965599221858</v>
      </c>
      <c r="U221" s="7" t="s">
        <v>1009</v>
      </c>
    </row>
    <row r="222" spans="1:21" s="65" customFormat="1" ht="16.5" thickBot="1">
      <c r="A222" s="41" t="s">
        <v>31</v>
      </c>
      <c r="B222" s="42">
        <f t="shared" si="12"/>
        <v>65</v>
      </c>
      <c r="C222" s="42" t="s">
        <v>3</v>
      </c>
      <c r="D222" s="42">
        <f t="shared" si="13"/>
        <v>300</v>
      </c>
      <c r="E222" s="42" t="s">
        <v>3</v>
      </c>
      <c r="F222" s="101">
        <f t="shared" si="14"/>
        <v>900</v>
      </c>
      <c r="G222" s="42" t="s">
        <v>3</v>
      </c>
      <c r="H222" s="39">
        <v>4</v>
      </c>
      <c r="I222" s="40" t="s">
        <v>40</v>
      </c>
      <c r="J222" s="149">
        <v>65</v>
      </c>
      <c r="K222" s="104">
        <v>300</v>
      </c>
      <c r="L222" s="104">
        <v>900</v>
      </c>
      <c r="M222" s="150">
        <v>8.5703987121414293</v>
      </c>
      <c r="N222" s="66">
        <v>206.55888000000002</v>
      </c>
      <c r="O222" s="111">
        <v>18256.664057890353</v>
      </c>
      <c r="P222" s="111">
        <v>21121.210583466585</v>
      </c>
      <c r="Q222" s="110">
        <v>9584.509706581448</v>
      </c>
      <c r="R222" s="258">
        <v>27841.173764471801</v>
      </c>
      <c r="S222" s="259">
        <v>30705.720290048033</v>
      </c>
      <c r="U222" s="7" t="s">
        <v>1010</v>
      </c>
    </row>
    <row r="223" spans="1:21" s="65" customFormat="1" ht="16.5" thickBot="1">
      <c r="A223" s="41" t="s">
        <v>31</v>
      </c>
      <c r="B223" s="42">
        <f t="shared" si="12"/>
        <v>65</v>
      </c>
      <c r="C223" s="42" t="s">
        <v>3</v>
      </c>
      <c r="D223" s="42">
        <f t="shared" si="13"/>
        <v>300</v>
      </c>
      <c r="E223" s="42" t="s">
        <v>3</v>
      </c>
      <c r="F223" s="101">
        <f t="shared" si="14"/>
        <v>950</v>
      </c>
      <c r="G223" s="42" t="s">
        <v>3</v>
      </c>
      <c r="H223" s="39">
        <v>4</v>
      </c>
      <c r="I223" s="40" t="s">
        <v>40</v>
      </c>
      <c r="J223" s="149">
        <v>65</v>
      </c>
      <c r="K223" s="104">
        <v>300</v>
      </c>
      <c r="L223" s="104">
        <v>950</v>
      </c>
      <c r="M223" s="150">
        <v>9.0197279586871417</v>
      </c>
      <c r="N223" s="66">
        <v>225.33696</v>
      </c>
      <c r="O223" s="111">
        <v>18961.623659565637</v>
      </c>
      <c r="P223" s="111">
        <v>21953.089488418773</v>
      </c>
      <c r="Q223" s="110">
        <v>10112.385645484203</v>
      </c>
      <c r="R223" s="258">
        <v>29074.00930504984</v>
      </c>
      <c r="S223" s="259">
        <v>32065.475133902975</v>
      </c>
      <c r="U223" s="7" t="s">
        <v>1011</v>
      </c>
    </row>
    <row r="224" spans="1:21" s="65" customFormat="1" ht="16.5" thickBot="1">
      <c r="A224" s="41" t="s">
        <v>31</v>
      </c>
      <c r="B224" s="42">
        <f t="shared" si="12"/>
        <v>65</v>
      </c>
      <c r="C224" s="42" t="s">
        <v>3</v>
      </c>
      <c r="D224" s="42">
        <f t="shared" si="13"/>
        <v>300</v>
      </c>
      <c r="E224" s="42" t="s">
        <v>3</v>
      </c>
      <c r="F224" s="101">
        <f t="shared" si="14"/>
        <v>1000</v>
      </c>
      <c r="G224" s="42" t="s">
        <v>3</v>
      </c>
      <c r="H224" s="39">
        <v>4</v>
      </c>
      <c r="I224" s="40" t="s">
        <v>40</v>
      </c>
      <c r="J224" s="149">
        <v>65</v>
      </c>
      <c r="K224" s="104">
        <v>300</v>
      </c>
      <c r="L224" s="104">
        <v>1000</v>
      </c>
      <c r="M224" s="150">
        <v>9.4690572052328559</v>
      </c>
      <c r="N224" s="66">
        <v>244.11503999999999</v>
      </c>
      <c r="O224" s="111">
        <v>19666.583261240925</v>
      </c>
      <c r="P224" s="111">
        <v>22784.96839337096</v>
      </c>
      <c r="Q224" s="110">
        <v>10640.261431358193</v>
      </c>
      <c r="R224" s="258">
        <v>30306.844692599116</v>
      </c>
      <c r="S224" s="259">
        <v>33425.229824729155</v>
      </c>
      <c r="U224" s="7" t="s">
        <v>1012</v>
      </c>
    </row>
    <row r="225" spans="1:21" s="65" customFormat="1" ht="16.5" thickBot="1">
      <c r="A225" s="41" t="s">
        <v>31</v>
      </c>
      <c r="B225" s="42">
        <f t="shared" si="12"/>
        <v>65</v>
      </c>
      <c r="C225" s="42" t="s">
        <v>3</v>
      </c>
      <c r="D225" s="42">
        <f t="shared" si="13"/>
        <v>300</v>
      </c>
      <c r="E225" s="42" t="s">
        <v>3</v>
      </c>
      <c r="F225" s="101">
        <f t="shared" si="14"/>
        <v>1050</v>
      </c>
      <c r="G225" s="42" t="s">
        <v>3</v>
      </c>
      <c r="H225" s="39">
        <v>4</v>
      </c>
      <c r="I225" s="40" t="s">
        <v>40</v>
      </c>
      <c r="J225" s="149">
        <v>65</v>
      </c>
      <c r="K225" s="104">
        <v>300</v>
      </c>
      <c r="L225" s="104">
        <v>1050</v>
      </c>
      <c r="M225" s="150">
        <v>9.91838645177857</v>
      </c>
      <c r="N225" s="66">
        <v>262.89312000000001</v>
      </c>
      <c r="O225" s="111">
        <v>20371.542862916209</v>
      </c>
      <c r="P225" s="111">
        <v>23616.847298323148</v>
      </c>
      <c r="Q225" s="110">
        <v>11168.137370260947</v>
      </c>
      <c r="R225" s="258">
        <v>31539.680233177154</v>
      </c>
      <c r="S225" s="259">
        <v>34784.984668584097</v>
      </c>
      <c r="U225" s="7" t="s">
        <v>1013</v>
      </c>
    </row>
    <row r="226" spans="1:21" s="65" customFormat="1" ht="16.5" thickBot="1">
      <c r="A226" s="38" t="s">
        <v>31</v>
      </c>
      <c r="B226" s="39">
        <f t="shared" si="12"/>
        <v>65</v>
      </c>
      <c r="C226" s="39" t="s">
        <v>3</v>
      </c>
      <c r="D226" s="39">
        <f t="shared" si="13"/>
        <v>300</v>
      </c>
      <c r="E226" s="39" t="s">
        <v>3</v>
      </c>
      <c r="F226" s="101">
        <f t="shared" si="14"/>
        <v>1100</v>
      </c>
      <c r="G226" s="39" t="s">
        <v>3</v>
      </c>
      <c r="H226" s="39">
        <v>4</v>
      </c>
      <c r="I226" s="40" t="s">
        <v>40</v>
      </c>
      <c r="J226" s="149">
        <v>65</v>
      </c>
      <c r="K226" s="104">
        <v>300</v>
      </c>
      <c r="L226" s="104">
        <v>1100</v>
      </c>
      <c r="M226" s="150">
        <v>10.367715698324284</v>
      </c>
      <c r="N226" s="66">
        <v>281.6712</v>
      </c>
      <c r="O226" s="111">
        <v>21076.502464591493</v>
      </c>
      <c r="P226" s="111">
        <v>24448.726050246569</v>
      </c>
      <c r="Q226" s="110">
        <v>11696.013156134937</v>
      </c>
      <c r="R226" s="258">
        <v>32772.51562072643</v>
      </c>
      <c r="S226" s="259">
        <v>36144.739206381506</v>
      </c>
      <c r="U226" s="7" t="s">
        <v>1014</v>
      </c>
    </row>
    <row r="227" spans="1:21" s="65" customFormat="1" ht="16.5" thickBot="1">
      <c r="A227" s="41" t="s">
        <v>31</v>
      </c>
      <c r="B227" s="42">
        <f t="shared" si="12"/>
        <v>65</v>
      </c>
      <c r="C227" s="42" t="s">
        <v>3</v>
      </c>
      <c r="D227" s="42">
        <f t="shared" si="13"/>
        <v>300</v>
      </c>
      <c r="E227" s="42" t="s">
        <v>3</v>
      </c>
      <c r="F227" s="101">
        <f t="shared" si="14"/>
        <v>1150</v>
      </c>
      <c r="G227" s="42" t="s">
        <v>3</v>
      </c>
      <c r="H227" s="39">
        <v>4</v>
      </c>
      <c r="I227" s="40" t="s">
        <v>40</v>
      </c>
      <c r="J227" s="149">
        <v>65</v>
      </c>
      <c r="K227" s="104">
        <v>300</v>
      </c>
      <c r="L227" s="104">
        <v>1150</v>
      </c>
      <c r="M227" s="150">
        <v>10.817044944869998</v>
      </c>
      <c r="N227" s="66">
        <v>300.44927999999999</v>
      </c>
      <c r="O227" s="111">
        <v>21781.46191323801</v>
      </c>
      <c r="P227" s="111">
        <v>25280.604955198756</v>
      </c>
      <c r="Q227" s="110">
        <v>12223.889095037694</v>
      </c>
      <c r="R227" s="258">
        <v>34005.351008275706</v>
      </c>
      <c r="S227" s="259">
        <v>37504.494050236448</v>
      </c>
      <c r="U227" s="7" t="s">
        <v>1015</v>
      </c>
    </row>
    <row r="228" spans="1:21" s="65" customFormat="1" ht="16.5" thickBot="1">
      <c r="A228" s="41" t="s">
        <v>31</v>
      </c>
      <c r="B228" s="42">
        <f t="shared" si="12"/>
        <v>65</v>
      </c>
      <c r="C228" s="42" t="s">
        <v>3</v>
      </c>
      <c r="D228" s="42">
        <f t="shared" si="13"/>
        <v>300</v>
      </c>
      <c r="E228" s="42" t="s">
        <v>3</v>
      </c>
      <c r="F228" s="101">
        <f t="shared" si="14"/>
        <v>1200</v>
      </c>
      <c r="G228" s="42" t="s">
        <v>3</v>
      </c>
      <c r="H228" s="39">
        <v>4</v>
      </c>
      <c r="I228" s="40" t="s">
        <v>40</v>
      </c>
      <c r="J228" s="149">
        <v>65</v>
      </c>
      <c r="K228" s="104">
        <v>300</v>
      </c>
      <c r="L228" s="104">
        <v>1200</v>
      </c>
      <c r="M228" s="150">
        <v>11.344874191415713</v>
      </c>
      <c r="N228" s="66">
        <v>319.22735999999998</v>
      </c>
      <c r="O228" s="111">
        <v>22570.519850046625</v>
      </c>
      <c r="P228" s="111">
        <v>26194.018810439666</v>
      </c>
      <c r="Q228" s="110">
        <v>12751.764880911684</v>
      </c>
      <c r="R228" s="258">
        <v>35322.284730958309</v>
      </c>
      <c r="S228" s="259">
        <v>38945.783691351346</v>
      </c>
      <c r="U228" s="7" t="s">
        <v>1016</v>
      </c>
    </row>
    <row r="229" spans="1:21" s="65" customFormat="1" ht="16.5" thickBot="1">
      <c r="A229" s="41" t="s">
        <v>31</v>
      </c>
      <c r="B229" s="42">
        <f t="shared" si="12"/>
        <v>65</v>
      </c>
      <c r="C229" s="42" t="s">
        <v>3</v>
      </c>
      <c r="D229" s="42">
        <f t="shared" si="13"/>
        <v>300</v>
      </c>
      <c r="E229" s="42" t="s">
        <v>3</v>
      </c>
      <c r="F229" s="101">
        <f t="shared" si="14"/>
        <v>1250</v>
      </c>
      <c r="G229" s="42" t="s">
        <v>3</v>
      </c>
      <c r="H229" s="39">
        <v>4</v>
      </c>
      <c r="I229" s="40" t="s">
        <v>40</v>
      </c>
      <c r="J229" s="149">
        <v>65</v>
      </c>
      <c r="K229" s="104">
        <v>300</v>
      </c>
      <c r="L229" s="104">
        <v>1250</v>
      </c>
      <c r="M229" s="150">
        <v>11.794203437961428</v>
      </c>
      <c r="N229" s="66">
        <v>338.00544000000002</v>
      </c>
      <c r="O229" s="111">
        <v>23275.479451721912</v>
      </c>
      <c r="P229" s="111">
        <v>27025.897715391849</v>
      </c>
      <c r="Q229" s="110">
        <v>13279.64081981444</v>
      </c>
      <c r="R229" s="258">
        <v>36555.120271536354</v>
      </c>
      <c r="S229" s="259">
        <v>40305.538535206288</v>
      </c>
      <c r="U229" s="7" t="s">
        <v>1017</v>
      </c>
    </row>
    <row r="230" spans="1:21" s="65" customFormat="1" ht="16.5" thickBot="1">
      <c r="A230" s="41" t="s">
        <v>31</v>
      </c>
      <c r="B230" s="42">
        <f t="shared" si="12"/>
        <v>65</v>
      </c>
      <c r="C230" s="42" t="s">
        <v>3</v>
      </c>
      <c r="D230" s="42">
        <f t="shared" si="13"/>
        <v>300</v>
      </c>
      <c r="E230" s="42" t="s">
        <v>3</v>
      </c>
      <c r="F230" s="101">
        <f t="shared" si="14"/>
        <v>1300</v>
      </c>
      <c r="G230" s="42" t="s">
        <v>3</v>
      </c>
      <c r="H230" s="39">
        <v>4</v>
      </c>
      <c r="I230" s="40" t="s">
        <v>40</v>
      </c>
      <c r="J230" s="149">
        <v>65</v>
      </c>
      <c r="K230" s="104">
        <v>300</v>
      </c>
      <c r="L230" s="104">
        <v>1300</v>
      </c>
      <c r="M230" s="150">
        <v>12.243532684507143</v>
      </c>
      <c r="N230" s="66">
        <v>356.78352000000001</v>
      </c>
      <c r="O230" s="111">
        <v>23980.43890036843</v>
      </c>
      <c r="P230" s="111">
        <v>27857.776467315274</v>
      </c>
      <c r="Q230" s="110">
        <v>13807.516605688428</v>
      </c>
      <c r="R230" s="258">
        <v>37787.95550605686</v>
      </c>
      <c r="S230" s="259">
        <v>41665.293073003704</v>
      </c>
      <c r="U230" s="7" t="s">
        <v>1018</v>
      </c>
    </row>
    <row r="231" spans="1:21" s="65" customFormat="1" ht="16.5" thickBot="1">
      <c r="A231" s="41" t="s">
        <v>31</v>
      </c>
      <c r="B231" s="42">
        <f t="shared" si="12"/>
        <v>65</v>
      </c>
      <c r="C231" s="42" t="s">
        <v>3</v>
      </c>
      <c r="D231" s="42">
        <f t="shared" si="13"/>
        <v>300</v>
      </c>
      <c r="E231" s="42" t="s">
        <v>3</v>
      </c>
      <c r="F231" s="101">
        <f t="shared" si="14"/>
        <v>1350</v>
      </c>
      <c r="G231" s="42" t="s">
        <v>3</v>
      </c>
      <c r="H231" s="39">
        <v>4</v>
      </c>
      <c r="I231" s="40" t="s">
        <v>40</v>
      </c>
      <c r="J231" s="149">
        <v>65</v>
      </c>
      <c r="K231" s="104">
        <v>300</v>
      </c>
      <c r="L231" s="104">
        <v>1350</v>
      </c>
      <c r="M231" s="150">
        <v>12.692861931052857</v>
      </c>
      <c r="N231" s="66">
        <v>375.5616</v>
      </c>
      <c r="O231" s="111">
        <v>24685.398502043714</v>
      </c>
      <c r="P231" s="111">
        <v>28689.655372267458</v>
      </c>
      <c r="Q231" s="110">
        <v>14335.392544591185</v>
      </c>
      <c r="R231" s="258">
        <v>39020.791046634899</v>
      </c>
      <c r="S231" s="259">
        <v>43025.047916858646</v>
      </c>
      <c r="U231" s="7" t="s">
        <v>1019</v>
      </c>
    </row>
    <row r="232" spans="1:21" s="65" customFormat="1" ht="16.5" thickBot="1">
      <c r="A232" s="41" t="s">
        <v>31</v>
      </c>
      <c r="B232" s="42">
        <f t="shared" si="12"/>
        <v>65</v>
      </c>
      <c r="C232" s="42" t="s">
        <v>3</v>
      </c>
      <c r="D232" s="42">
        <f t="shared" si="13"/>
        <v>300</v>
      </c>
      <c r="E232" s="42" t="s">
        <v>3</v>
      </c>
      <c r="F232" s="101">
        <f t="shared" si="14"/>
        <v>1400</v>
      </c>
      <c r="G232" s="42" t="s">
        <v>3</v>
      </c>
      <c r="H232" s="39">
        <v>4</v>
      </c>
      <c r="I232" s="40" t="s">
        <v>40</v>
      </c>
      <c r="J232" s="149">
        <v>65</v>
      </c>
      <c r="K232" s="104">
        <v>300</v>
      </c>
      <c r="L232" s="104">
        <v>1400</v>
      </c>
      <c r="M232" s="150">
        <v>13.142191177598573</v>
      </c>
      <c r="N232" s="66">
        <v>394.33967999999999</v>
      </c>
      <c r="O232" s="111">
        <v>25390.358103718998</v>
      </c>
      <c r="P232" s="111">
        <v>29521.534277219649</v>
      </c>
      <c r="Q232" s="110">
        <v>14863.268330465173</v>
      </c>
      <c r="R232" s="258">
        <v>40253.626434184174</v>
      </c>
      <c r="S232" s="259">
        <v>44384.802607684818</v>
      </c>
      <c r="U232" s="7" t="s">
        <v>1020</v>
      </c>
    </row>
    <row r="233" spans="1:21" s="65" customFormat="1" ht="16.5" thickBot="1">
      <c r="A233" s="41" t="s">
        <v>31</v>
      </c>
      <c r="B233" s="42">
        <f t="shared" si="12"/>
        <v>65</v>
      </c>
      <c r="C233" s="42" t="s">
        <v>3</v>
      </c>
      <c r="D233" s="42">
        <f t="shared" si="13"/>
        <v>300</v>
      </c>
      <c r="E233" s="42" t="s">
        <v>3</v>
      </c>
      <c r="F233" s="101">
        <f t="shared" si="14"/>
        <v>1450</v>
      </c>
      <c r="G233" s="42" t="s">
        <v>3</v>
      </c>
      <c r="H233" s="39">
        <v>4</v>
      </c>
      <c r="I233" s="40" t="s">
        <v>40</v>
      </c>
      <c r="J233" s="149">
        <v>65</v>
      </c>
      <c r="K233" s="104">
        <v>300</v>
      </c>
      <c r="L233" s="104">
        <v>1450</v>
      </c>
      <c r="M233" s="150">
        <v>13.591520424144285</v>
      </c>
      <c r="N233" s="66">
        <v>413.11776000000003</v>
      </c>
      <c r="O233" s="111">
        <v>26095.317705394282</v>
      </c>
      <c r="P233" s="111">
        <v>30353.413182171833</v>
      </c>
      <c r="Q233" s="110">
        <v>15391.144269367929</v>
      </c>
      <c r="R233" s="258">
        <v>41486.461974762213</v>
      </c>
      <c r="S233" s="259">
        <v>45744.55745153976</v>
      </c>
      <c r="U233" s="7" t="s">
        <v>1021</v>
      </c>
    </row>
    <row r="234" spans="1:21" s="65" customFormat="1" ht="16.5" thickBot="1">
      <c r="A234" s="41" t="s">
        <v>31</v>
      </c>
      <c r="B234" s="42">
        <f t="shared" si="12"/>
        <v>65</v>
      </c>
      <c r="C234" s="42" t="s">
        <v>3</v>
      </c>
      <c r="D234" s="42">
        <f t="shared" si="13"/>
        <v>300</v>
      </c>
      <c r="E234" s="42" t="s">
        <v>3</v>
      </c>
      <c r="F234" s="101">
        <f t="shared" si="14"/>
        <v>1500</v>
      </c>
      <c r="G234" s="42" t="s">
        <v>3</v>
      </c>
      <c r="H234" s="39">
        <v>4</v>
      </c>
      <c r="I234" s="40" t="s">
        <v>40</v>
      </c>
      <c r="J234" s="149">
        <v>65</v>
      </c>
      <c r="K234" s="104">
        <v>300</v>
      </c>
      <c r="L234" s="104">
        <v>1500</v>
      </c>
      <c r="M234" s="150">
        <v>14.185414563489999</v>
      </c>
      <c r="N234" s="66">
        <v>431.89583999999996</v>
      </c>
      <c r="O234" s="111">
        <v>27540.002748749772</v>
      </c>
      <c r="P234" s="111">
        <v>31833.216184720804</v>
      </c>
      <c r="Q234" s="110">
        <v>15919.020055241919</v>
      </c>
      <c r="R234" s="258">
        <v>43459.022803991691</v>
      </c>
      <c r="S234" s="259">
        <v>47752.236239962724</v>
      </c>
      <c r="U234" s="7" t="s">
        <v>1022</v>
      </c>
    </row>
    <row r="235" spans="1:21" s="65" customFormat="1" ht="16.5" thickBot="1">
      <c r="A235" s="41" t="s">
        <v>31</v>
      </c>
      <c r="B235" s="42">
        <f t="shared" si="12"/>
        <v>65</v>
      </c>
      <c r="C235" s="42" t="s">
        <v>3</v>
      </c>
      <c r="D235" s="42">
        <f t="shared" si="13"/>
        <v>300</v>
      </c>
      <c r="E235" s="42" t="s">
        <v>3</v>
      </c>
      <c r="F235" s="101">
        <f t="shared" si="14"/>
        <v>1550</v>
      </c>
      <c r="G235" s="42" t="s">
        <v>3</v>
      </c>
      <c r="H235" s="39">
        <v>4</v>
      </c>
      <c r="I235" s="40" t="s">
        <v>40</v>
      </c>
      <c r="J235" s="149">
        <v>65</v>
      </c>
      <c r="K235" s="104">
        <v>300</v>
      </c>
      <c r="L235" s="104">
        <v>1550</v>
      </c>
      <c r="M235" s="150">
        <v>14.634743810035715</v>
      </c>
      <c r="N235" s="66">
        <v>450.67392000000001</v>
      </c>
      <c r="O235" s="111">
        <v>28244.962350425059</v>
      </c>
      <c r="P235" s="111">
        <v>32665.094936644222</v>
      </c>
      <c r="Q235" s="110">
        <v>16446.895994144674</v>
      </c>
      <c r="R235" s="258">
        <v>44691.85834456973</v>
      </c>
      <c r="S235" s="259">
        <v>49111.990930788896</v>
      </c>
      <c r="U235" s="7" t="s">
        <v>1023</v>
      </c>
    </row>
    <row r="236" spans="1:21" s="65" customFormat="1" ht="16.5" thickBot="1">
      <c r="A236" s="38" t="s">
        <v>31</v>
      </c>
      <c r="B236" s="39">
        <f t="shared" si="12"/>
        <v>65</v>
      </c>
      <c r="C236" s="39" t="s">
        <v>3</v>
      </c>
      <c r="D236" s="39">
        <f t="shared" si="13"/>
        <v>300</v>
      </c>
      <c r="E236" s="39" t="s">
        <v>3</v>
      </c>
      <c r="F236" s="101">
        <f t="shared" si="14"/>
        <v>1600</v>
      </c>
      <c r="G236" s="39" t="s">
        <v>3</v>
      </c>
      <c r="H236" s="39">
        <v>4</v>
      </c>
      <c r="I236" s="40" t="s">
        <v>40</v>
      </c>
      <c r="J236" s="149">
        <v>65</v>
      </c>
      <c r="K236" s="104">
        <v>300</v>
      </c>
      <c r="L236" s="104">
        <v>1600</v>
      </c>
      <c r="M236" s="150">
        <v>15.084073056581428</v>
      </c>
      <c r="N236" s="66">
        <v>469.452</v>
      </c>
      <c r="O236" s="111">
        <v>28949.92195210034</v>
      </c>
      <c r="P236" s="111">
        <v>33496.973841596417</v>
      </c>
      <c r="Q236" s="110">
        <v>16974.771780018662</v>
      </c>
      <c r="R236" s="258">
        <v>45924.693732119005</v>
      </c>
      <c r="S236" s="259">
        <v>50471.745621615075</v>
      </c>
      <c r="U236" s="7" t="s">
        <v>1024</v>
      </c>
    </row>
    <row r="237" spans="1:21" s="65" customFormat="1" ht="16.5" thickBot="1">
      <c r="A237" s="41" t="s">
        <v>31</v>
      </c>
      <c r="B237" s="42">
        <f t="shared" si="12"/>
        <v>65</v>
      </c>
      <c r="C237" s="42" t="s">
        <v>3</v>
      </c>
      <c r="D237" s="42">
        <f t="shared" si="13"/>
        <v>300</v>
      </c>
      <c r="E237" s="42" t="s">
        <v>3</v>
      </c>
      <c r="F237" s="101">
        <f t="shared" si="14"/>
        <v>1650</v>
      </c>
      <c r="G237" s="42" t="s">
        <v>3</v>
      </c>
      <c r="H237" s="39">
        <v>4</v>
      </c>
      <c r="I237" s="40" t="s">
        <v>40</v>
      </c>
      <c r="J237" s="149">
        <v>65</v>
      </c>
      <c r="K237" s="104">
        <v>300</v>
      </c>
      <c r="L237" s="104">
        <v>1650</v>
      </c>
      <c r="M237" s="150">
        <v>15.533402303127142</v>
      </c>
      <c r="N237" s="66">
        <v>488.23007999999999</v>
      </c>
      <c r="O237" s="111">
        <v>29654.881400746861</v>
      </c>
      <c r="P237" s="111">
        <v>34328.852746548597</v>
      </c>
      <c r="Q237" s="110">
        <v>17502.64771892142</v>
      </c>
      <c r="R237" s="258">
        <v>47157.529119668281</v>
      </c>
      <c r="S237" s="259">
        <v>51831.500465470017</v>
      </c>
      <c r="U237" s="7" t="s">
        <v>1025</v>
      </c>
    </row>
    <row r="238" spans="1:21" s="65" customFormat="1" ht="16.5" thickBot="1">
      <c r="A238" s="41" t="s">
        <v>31</v>
      </c>
      <c r="B238" s="42">
        <f t="shared" si="12"/>
        <v>65</v>
      </c>
      <c r="C238" s="42" t="s">
        <v>3</v>
      </c>
      <c r="D238" s="42">
        <f t="shared" si="13"/>
        <v>300</v>
      </c>
      <c r="E238" s="42" t="s">
        <v>3</v>
      </c>
      <c r="F238" s="101">
        <f t="shared" si="14"/>
        <v>1700</v>
      </c>
      <c r="G238" s="42" t="s">
        <v>3</v>
      </c>
      <c r="H238" s="39">
        <v>4</v>
      </c>
      <c r="I238" s="40" t="s">
        <v>40</v>
      </c>
      <c r="J238" s="149">
        <v>65</v>
      </c>
      <c r="K238" s="104">
        <v>300</v>
      </c>
      <c r="L238" s="104">
        <v>1700</v>
      </c>
      <c r="M238" s="150">
        <v>15.982731549672859</v>
      </c>
      <c r="N238" s="66">
        <v>507.00816000000003</v>
      </c>
      <c r="O238" s="111">
        <v>30359.841002422148</v>
      </c>
      <c r="P238" s="111">
        <v>35160.731651500784</v>
      </c>
      <c r="Q238" s="110">
        <v>18030.523504795408</v>
      </c>
      <c r="R238" s="258">
        <v>48390.364507217557</v>
      </c>
      <c r="S238" s="259">
        <v>53191.255156296189</v>
      </c>
      <c r="U238" s="7" t="s">
        <v>1026</v>
      </c>
    </row>
    <row r="239" spans="1:21" s="65" customFormat="1" ht="16.5" thickBot="1">
      <c r="A239" s="41" t="s">
        <v>31</v>
      </c>
      <c r="B239" s="42">
        <f t="shared" si="12"/>
        <v>65</v>
      </c>
      <c r="C239" s="42" t="s">
        <v>3</v>
      </c>
      <c r="D239" s="42">
        <f t="shared" si="13"/>
        <v>300</v>
      </c>
      <c r="E239" s="42" t="s">
        <v>3</v>
      </c>
      <c r="F239" s="101">
        <f t="shared" si="14"/>
        <v>1750</v>
      </c>
      <c r="G239" s="42" t="s">
        <v>3</v>
      </c>
      <c r="H239" s="39">
        <v>4</v>
      </c>
      <c r="I239" s="40" t="s">
        <v>40</v>
      </c>
      <c r="J239" s="149">
        <v>65</v>
      </c>
      <c r="K239" s="104">
        <v>300</v>
      </c>
      <c r="L239" s="104">
        <v>1750</v>
      </c>
      <c r="M239" s="150">
        <v>16.432060796218572</v>
      </c>
      <c r="N239" s="66">
        <v>525.78624000000002</v>
      </c>
      <c r="O239" s="111">
        <v>31064.800604097429</v>
      </c>
      <c r="P239" s="111">
        <v>35992.610556452972</v>
      </c>
      <c r="Q239" s="110">
        <v>18558.399443698163</v>
      </c>
      <c r="R239" s="258">
        <v>49623.200047795588</v>
      </c>
      <c r="S239" s="259">
        <v>54551.010000151131</v>
      </c>
      <c r="U239" s="7" t="s">
        <v>1027</v>
      </c>
    </row>
    <row r="240" spans="1:21" s="65" customFormat="1" ht="16.5" thickBot="1">
      <c r="A240" s="41" t="s">
        <v>31</v>
      </c>
      <c r="B240" s="42">
        <f t="shared" si="12"/>
        <v>65</v>
      </c>
      <c r="C240" s="42" t="s">
        <v>3</v>
      </c>
      <c r="D240" s="42">
        <f t="shared" si="13"/>
        <v>300</v>
      </c>
      <c r="E240" s="42" t="s">
        <v>3</v>
      </c>
      <c r="F240" s="101">
        <f t="shared" si="14"/>
        <v>1800</v>
      </c>
      <c r="G240" s="42" t="s">
        <v>3</v>
      </c>
      <c r="H240" s="39">
        <v>4</v>
      </c>
      <c r="I240" s="40" t="s">
        <v>40</v>
      </c>
      <c r="J240" s="149">
        <v>65</v>
      </c>
      <c r="K240" s="104">
        <v>300</v>
      </c>
      <c r="L240" s="104">
        <v>1800</v>
      </c>
      <c r="M240" s="150">
        <v>16.881390042764284</v>
      </c>
      <c r="N240" s="66">
        <v>544.56431999999995</v>
      </c>
      <c r="O240" s="111">
        <v>31769.760205772716</v>
      </c>
      <c r="P240" s="111">
        <v>36824.489461405006</v>
      </c>
      <c r="Q240" s="110">
        <v>19086.275229572155</v>
      </c>
      <c r="R240" s="258">
        <v>50856.035435344871</v>
      </c>
      <c r="S240" s="259">
        <v>55910.764690977157</v>
      </c>
      <c r="U240" s="7" t="s">
        <v>1028</v>
      </c>
    </row>
    <row r="241" spans="1:21" s="65" customFormat="1" ht="16.5" thickBot="1">
      <c r="A241" s="41" t="s">
        <v>31</v>
      </c>
      <c r="B241" s="42">
        <f t="shared" si="12"/>
        <v>65</v>
      </c>
      <c r="C241" s="42" t="s">
        <v>3</v>
      </c>
      <c r="D241" s="42">
        <f t="shared" si="13"/>
        <v>300</v>
      </c>
      <c r="E241" s="42" t="s">
        <v>3</v>
      </c>
      <c r="F241" s="101">
        <f t="shared" si="14"/>
        <v>1850</v>
      </c>
      <c r="G241" s="42" t="s">
        <v>3</v>
      </c>
      <c r="H241" s="39">
        <v>4</v>
      </c>
      <c r="I241" s="40" t="s">
        <v>40</v>
      </c>
      <c r="J241" s="149">
        <v>65</v>
      </c>
      <c r="K241" s="104">
        <v>300</v>
      </c>
      <c r="L241" s="104">
        <v>1850</v>
      </c>
      <c r="M241" s="150">
        <v>17.33071928931</v>
      </c>
      <c r="N241" s="66">
        <v>563.3424</v>
      </c>
      <c r="O241" s="111">
        <v>32474.719807447997</v>
      </c>
      <c r="P241" s="111">
        <v>37656.368213328584</v>
      </c>
      <c r="Q241" s="110">
        <v>19614.151168474909</v>
      </c>
      <c r="R241" s="258">
        <v>52088.87097592291</v>
      </c>
      <c r="S241" s="259">
        <v>57270.51938180349</v>
      </c>
      <c r="U241" s="7" t="s">
        <v>1029</v>
      </c>
    </row>
    <row r="242" spans="1:21" s="65" customFormat="1" ht="16.5" thickBot="1">
      <c r="A242" s="41" t="s">
        <v>31</v>
      </c>
      <c r="B242" s="42">
        <f t="shared" si="12"/>
        <v>65</v>
      </c>
      <c r="C242" s="42" t="s">
        <v>3</v>
      </c>
      <c r="D242" s="42">
        <f t="shared" si="13"/>
        <v>300</v>
      </c>
      <c r="E242" s="42" t="s">
        <v>3</v>
      </c>
      <c r="F242" s="101">
        <f t="shared" si="14"/>
        <v>1900</v>
      </c>
      <c r="G242" s="42" t="s">
        <v>3</v>
      </c>
      <c r="H242" s="39">
        <v>4</v>
      </c>
      <c r="I242" s="40" t="s">
        <v>40</v>
      </c>
      <c r="J242" s="149">
        <v>65</v>
      </c>
      <c r="K242" s="104">
        <v>300</v>
      </c>
      <c r="L242" s="104">
        <v>1900</v>
      </c>
      <c r="M242" s="150">
        <v>17.780048535855716</v>
      </c>
      <c r="N242" s="66">
        <v>582.12048000000004</v>
      </c>
      <c r="O242" s="111">
        <v>33179.679256094518</v>
      </c>
      <c r="P242" s="111">
        <v>38488.247118280771</v>
      </c>
      <c r="Q242" s="110">
        <v>20142.026954348901</v>
      </c>
      <c r="R242" s="258">
        <v>53321.706210443415</v>
      </c>
      <c r="S242" s="259">
        <v>58630.274072629676</v>
      </c>
      <c r="U242" s="7" t="s">
        <v>1030</v>
      </c>
    </row>
    <row r="243" spans="1:21" s="65" customFormat="1" ht="16.5" thickBot="1">
      <c r="A243" s="41" t="s">
        <v>31</v>
      </c>
      <c r="B243" s="42">
        <f t="shared" si="12"/>
        <v>65</v>
      </c>
      <c r="C243" s="42" t="s">
        <v>3</v>
      </c>
      <c r="D243" s="42">
        <f t="shared" si="13"/>
        <v>300</v>
      </c>
      <c r="E243" s="42" t="s">
        <v>3</v>
      </c>
      <c r="F243" s="101">
        <f t="shared" si="14"/>
        <v>1950</v>
      </c>
      <c r="G243" s="42" t="s">
        <v>3</v>
      </c>
      <c r="H243" s="39">
        <v>4</v>
      </c>
      <c r="I243" s="40" t="s">
        <v>40</v>
      </c>
      <c r="J243" s="149">
        <v>65</v>
      </c>
      <c r="K243" s="104">
        <v>300</v>
      </c>
      <c r="L243" s="104">
        <v>1950</v>
      </c>
      <c r="M243" s="150">
        <v>18.30787778240143</v>
      </c>
      <c r="N243" s="66">
        <v>600.89855999999997</v>
      </c>
      <c r="O243" s="111">
        <v>33968.737192903129</v>
      </c>
      <c r="P243" s="111">
        <v>39401.660973521677</v>
      </c>
      <c r="Q243" s="110">
        <v>20669.902893251656</v>
      </c>
      <c r="R243" s="258">
        <v>54638.640086154788</v>
      </c>
      <c r="S243" s="259">
        <v>60071.563866773329</v>
      </c>
      <c r="U243" s="7" t="s">
        <v>1031</v>
      </c>
    </row>
    <row r="244" spans="1:21" s="65" customFormat="1" ht="16.5" thickBot="1">
      <c r="A244" s="41" t="s">
        <v>31</v>
      </c>
      <c r="B244" s="42">
        <f t="shared" si="12"/>
        <v>65</v>
      </c>
      <c r="C244" s="42" t="s">
        <v>3</v>
      </c>
      <c r="D244" s="42">
        <f t="shared" si="13"/>
        <v>300</v>
      </c>
      <c r="E244" s="42" t="s">
        <v>3</v>
      </c>
      <c r="F244" s="101">
        <f t="shared" si="14"/>
        <v>2000</v>
      </c>
      <c r="G244" s="42" t="s">
        <v>3</v>
      </c>
      <c r="H244" s="39">
        <v>4</v>
      </c>
      <c r="I244" s="40" t="s">
        <v>40</v>
      </c>
      <c r="J244" s="149">
        <v>65</v>
      </c>
      <c r="K244" s="104">
        <v>300</v>
      </c>
      <c r="L244" s="104">
        <v>2000</v>
      </c>
      <c r="M244" s="150">
        <v>18.848769428947143</v>
      </c>
      <c r="N244" s="66">
        <v>619.67664000000002</v>
      </c>
      <c r="O244" s="111">
        <v>34924.988543394247</v>
      </c>
      <c r="P244" s="111">
        <v>40561.968377839956</v>
      </c>
      <c r="Q244" s="110">
        <v>21197.778679125648</v>
      </c>
      <c r="R244" s="258">
        <v>56122.767222519891</v>
      </c>
      <c r="S244" s="259">
        <v>61759.7470569656</v>
      </c>
      <c r="U244" s="7" t="s">
        <v>1032</v>
      </c>
    </row>
    <row r="245" spans="1:21" s="65" customFormat="1" ht="16.5" thickBot="1">
      <c r="A245" s="41" t="s">
        <v>31</v>
      </c>
      <c r="B245" s="42">
        <f t="shared" si="12"/>
        <v>65</v>
      </c>
      <c r="C245" s="42" t="s">
        <v>3</v>
      </c>
      <c r="D245" s="42">
        <f t="shared" si="13"/>
        <v>300</v>
      </c>
      <c r="E245" s="42" t="s">
        <v>3</v>
      </c>
      <c r="F245" s="101">
        <f t="shared" si="14"/>
        <v>2050</v>
      </c>
      <c r="G245" s="42" t="s">
        <v>3</v>
      </c>
      <c r="H245" s="39">
        <v>4</v>
      </c>
      <c r="I245" s="40" t="s">
        <v>40</v>
      </c>
      <c r="J245" s="149">
        <v>65</v>
      </c>
      <c r="K245" s="104">
        <v>300</v>
      </c>
      <c r="L245" s="104">
        <v>2050</v>
      </c>
      <c r="M245" s="150">
        <v>19.298098675492856</v>
      </c>
      <c r="N245" s="66">
        <v>638.45471999999995</v>
      </c>
      <c r="O245" s="111">
        <v>35629.948145069531</v>
      </c>
      <c r="P245" s="111">
        <v>41393.847282792143</v>
      </c>
      <c r="Q245" s="110">
        <v>21725.654618028402</v>
      </c>
      <c r="R245" s="258">
        <v>57355.602763097937</v>
      </c>
      <c r="S245" s="259">
        <v>63119.501900820542</v>
      </c>
      <c r="U245" s="7" t="s">
        <v>1033</v>
      </c>
    </row>
    <row r="246" spans="1:21" s="65" customFormat="1" ht="16.5" thickBot="1">
      <c r="A246" s="38" t="s">
        <v>31</v>
      </c>
      <c r="B246" s="39">
        <f t="shared" si="12"/>
        <v>65</v>
      </c>
      <c r="C246" s="39" t="s">
        <v>3</v>
      </c>
      <c r="D246" s="39">
        <f t="shared" si="13"/>
        <v>300</v>
      </c>
      <c r="E246" s="39" t="s">
        <v>3</v>
      </c>
      <c r="F246" s="101">
        <f t="shared" si="14"/>
        <v>2100</v>
      </c>
      <c r="G246" s="39" t="s">
        <v>3</v>
      </c>
      <c r="H246" s="39">
        <v>4</v>
      </c>
      <c r="I246" s="40" t="s">
        <v>40</v>
      </c>
      <c r="J246" s="149">
        <v>65</v>
      </c>
      <c r="K246" s="104">
        <v>300</v>
      </c>
      <c r="L246" s="104">
        <v>2100</v>
      </c>
      <c r="M246" s="150">
        <v>19.747427922038568</v>
      </c>
      <c r="N246" s="66">
        <v>657.2328</v>
      </c>
      <c r="O246" s="111">
        <v>36334.907746744815</v>
      </c>
      <c r="P246" s="111">
        <v>42225.726034715568</v>
      </c>
      <c r="Q246" s="110">
        <v>22253.53040390239</v>
      </c>
      <c r="R246" s="258">
        <v>58588.438150647205</v>
      </c>
      <c r="S246" s="259">
        <v>64479.256438617958</v>
      </c>
      <c r="U246" s="7" t="s">
        <v>1034</v>
      </c>
    </row>
    <row r="247" spans="1:21" s="65" customFormat="1" ht="16.5" thickBot="1">
      <c r="A247" s="41" t="s">
        <v>31</v>
      </c>
      <c r="B247" s="42">
        <f t="shared" si="12"/>
        <v>65</v>
      </c>
      <c r="C247" s="42" t="s">
        <v>3</v>
      </c>
      <c r="D247" s="42">
        <f t="shared" si="13"/>
        <v>300</v>
      </c>
      <c r="E247" s="42" t="s">
        <v>3</v>
      </c>
      <c r="F247" s="101">
        <f t="shared" si="14"/>
        <v>2150</v>
      </c>
      <c r="G247" s="42" t="s">
        <v>3</v>
      </c>
      <c r="H247" s="39">
        <v>4</v>
      </c>
      <c r="I247" s="40" t="s">
        <v>40</v>
      </c>
      <c r="J247" s="149">
        <v>65</v>
      </c>
      <c r="K247" s="104">
        <v>300</v>
      </c>
      <c r="L247" s="104">
        <v>2150</v>
      </c>
      <c r="M247" s="150">
        <v>20.196757168584288</v>
      </c>
      <c r="N247" s="66">
        <v>676.01088000000004</v>
      </c>
      <c r="O247" s="111">
        <v>37039.867348420099</v>
      </c>
      <c r="P247" s="111">
        <v>43057.604939667755</v>
      </c>
      <c r="Q247" s="110">
        <v>22781.406342805149</v>
      </c>
      <c r="R247" s="258">
        <v>59821.273691225244</v>
      </c>
      <c r="S247" s="259">
        <v>65839.0112824729</v>
      </c>
      <c r="U247" s="7" t="s">
        <v>1035</v>
      </c>
    </row>
    <row r="248" spans="1:21" s="65" customFormat="1" ht="16.5" thickBot="1">
      <c r="A248" s="41" t="s">
        <v>31</v>
      </c>
      <c r="B248" s="42">
        <f t="shared" si="12"/>
        <v>65</v>
      </c>
      <c r="C248" s="42" t="s">
        <v>3</v>
      </c>
      <c r="D248" s="42">
        <f t="shared" si="13"/>
        <v>300</v>
      </c>
      <c r="E248" s="42" t="s">
        <v>3</v>
      </c>
      <c r="F248" s="101">
        <f t="shared" si="14"/>
        <v>2200</v>
      </c>
      <c r="G248" s="42" t="s">
        <v>3</v>
      </c>
      <c r="H248" s="39">
        <v>4</v>
      </c>
      <c r="I248" s="40" t="s">
        <v>40</v>
      </c>
      <c r="J248" s="149">
        <v>65</v>
      </c>
      <c r="K248" s="104">
        <v>300</v>
      </c>
      <c r="L248" s="104">
        <v>2200</v>
      </c>
      <c r="M248" s="150">
        <v>20.64608641513</v>
      </c>
      <c r="N248" s="66">
        <v>694.78895999999997</v>
      </c>
      <c r="O248" s="111">
        <v>37744.826950095383</v>
      </c>
      <c r="P248" s="111">
        <v>43889.483844619936</v>
      </c>
      <c r="Q248" s="110">
        <v>23309.282128679137</v>
      </c>
      <c r="R248" s="258">
        <v>61054.10907877452</v>
      </c>
      <c r="S248" s="259">
        <v>67198.765973299072</v>
      </c>
      <c r="U248" s="7" t="s">
        <v>1036</v>
      </c>
    </row>
    <row r="249" spans="1:21" s="65" customFormat="1" ht="16.5" thickBot="1">
      <c r="A249" s="41" t="s">
        <v>31</v>
      </c>
      <c r="B249" s="42">
        <f t="shared" si="12"/>
        <v>65</v>
      </c>
      <c r="C249" s="42" t="s">
        <v>3</v>
      </c>
      <c r="D249" s="42">
        <f t="shared" si="13"/>
        <v>300</v>
      </c>
      <c r="E249" s="42" t="s">
        <v>3</v>
      </c>
      <c r="F249" s="101">
        <f t="shared" si="14"/>
        <v>2250</v>
      </c>
      <c r="G249" s="42" t="s">
        <v>3</v>
      </c>
      <c r="H249" s="39">
        <v>4</v>
      </c>
      <c r="I249" s="40" t="s">
        <v>40</v>
      </c>
      <c r="J249" s="149">
        <v>65</v>
      </c>
      <c r="K249" s="104">
        <v>300</v>
      </c>
      <c r="L249" s="104">
        <v>2250</v>
      </c>
      <c r="M249" s="150">
        <v>21.095415661675716</v>
      </c>
      <c r="N249" s="66">
        <v>713.56704000000002</v>
      </c>
      <c r="O249" s="111">
        <v>38449.786398741904</v>
      </c>
      <c r="P249" s="111">
        <v>44721.36274957213</v>
      </c>
      <c r="Q249" s="110">
        <v>23837.158067581891</v>
      </c>
      <c r="R249" s="258">
        <v>62286.944466323795</v>
      </c>
      <c r="S249" s="259">
        <v>68558.520817154029</v>
      </c>
      <c r="U249" s="7" t="s">
        <v>1037</v>
      </c>
    </row>
    <row r="250" spans="1:21" s="65" customFormat="1" ht="16.5" thickBot="1">
      <c r="A250" s="41" t="s">
        <v>31</v>
      </c>
      <c r="B250" s="42">
        <f t="shared" si="12"/>
        <v>65</v>
      </c>
      <c r="C250" s="42" t="s">
        <v>3</v>
      </c>
      <c r="D250" s="42">
        <f t="shared" si="13"/>
        <v>300</v>
      </c>
      <c r="E250" s="42" t="s">
        <v>3</v>
      </c>
      <c r="F250" s="101">
        <f t="shared" si="14"/>
        <v>2300</v>
      </c>
      <c r="G250" s="42" t="s">
        <v>3</v>
      </c>
      <c r="H250" s="39">
        <v>4</v>
      </c>
      <c r="I250" s="40" t="s">
        <v>40</v>
      </c>
      <c r="J250" s="149">
        <v>65</v>
      </c>
      <c r="K250" s="104">
        <v>300</v>
      </c>
      <c r="L250" s="104">
        <v>2300</v>
      </c>
      <c r="M250" s="150">
        <v>21.544744908221432</v>
      </c>
      <c r="N250" s="66">
        <v>732.34511999999995</v>
      </c>
      <c r="O250" s="111">
        <v>39154.746000417188</v>
      </c>
      <c r="P250" s="111">
        <v>45553.24165452431</v>
      </c>
      <c r="Q250" s="110">
        <v>24365.03385345588</v>
      </c>
      <c r="R250" s="258">
        <v>63519.779853873071</v>
      </c>
      <c r="S250" s="259">
        <v>69918.275507980186</v>
      </c>
      <c r="U250" s="7" t="s">
        <v>1038</v>
      </c>
    </row>
    <row r="251" spans="1:21" s="65" customFormat="1" ht="16.5" thickBot="1">
      <c r="A251" s="41" t="s">
        <v>31</v>
      </c>
      <c r="B251" s="42">
        <f t="shared" si="12"/>
        <v>65</v>
      </c>
      <c r="C251" s="42" t="s">
        <v>3</v>
      </c>
      <c r="D251" s="42">
        <f t="shared" si="13"/>
        <v>300</v>
      </c>
      <c r="E251" s="42" t="s">
        <v>3</v>
      </c>
      <c r="F251" s="101">
        <f t="shared" si="14"/>
        <v>2350</v>
      </c>
      <c r="G251" s="42" t="s">
        <v>3</v>
      </c>
      <c r="H251" s="39">
        <v>4</v>
      </c>
      <c r="I251" s="40" t="s">
        <v>40</v>
      </c>
      <c r="J251" s="149">
        <v>65</v>
      </c>
      <c r="K251" s="104">
        <v>300</v>
      </c>
      <c r="L251" s="104">
        <v>2350</v>
      </c>
      <c r="M251" s="150">
        <v>21.994074154767144</v>
      </c>
      <c r="N251" s="66">
        <v>751.1232</v>
      </c>
      <c r="O251" s="111">
        <v>39859.705602092472</v>
      </c>
      <c r="P251" s="111">
        <v>46385.120559476505</v>
      </c>
      <c r="Q251" s="110">
        <v>24892.909792358638</v>
      </c>
      <c r="R251" s="258">
        <v>64752.61539445111</v>
      </c>
      <c r="S251" s="259">
        <v>71278.030351835143</v>
      </c>
      <c r="U251" s="7" t="s">
        <v>1039</v>
      </c>
    </row>
    <row r="252" spans="1:21" s="65" customFormat="1" ht="16.5" thickBot="1">
      <c r="A252" s="41" t="s">
        <v>31</v>
      </c>
      <c r="B252" s="42">
        <f t="shared" si="12"/>
        <v>65</v>
      </c>
      <c r="C252" s="42" t="s">
        <v>3</v>
      </c>
      <c r="D252" s="42">
        <f t="shared" si="13"/>
        <v>300</v>
      </c>
      <c r="E252" s="42" t="s">
        <v>3</v>
      </c>
      <c r="F252" s="101">
        <f t="shared" si="14"/>
        <v>2400</v>
      </c>
      <c r="G252" s="42" t="s">
        <v>3</v>
      </c>
      <c r="H252" s="39">
        <v>4</v>
      </c>
      <c r="I252" s="40" t="s">
        <v>40</v>
      </c>
      <c r="J252" s="149">
        <v>65</v>
      </c>
      <c r="K252" s="104">
        <v>300</v>
      </c>
      <c r="L252" s="104">
        <v>2400</v>
      </c>
      <c r="M252" s="150">
        <v>22.443403401312853</v>
      </c>
      <c r="N252" s="66">
        <v>769.90127999999993</v>
      </c>
      <c r="O252" s="111">
        <v>40564.665203767756</v>
      </c>
      <c r="P252" s="111">
        <v>47216.999311399923</v>
      </c>
      <c r="Q252" s="110">
        <v>25420.78557823263</v>
      </c>
      <c r="R252" s="258">
        <v>65985.450782000378</v>
      </c>
      <c r="S252" s="259">
        <v>72637.784889632545</v>
      </c>
      <c r="U252" s="7" t="s">
        <v>1040</v>
      </c>
    </row>
    <row r="253" spans="1:21" s="65" customFormat="1" ht="16.5" thickBot="1">
      <c r="A253" s="41" t="s">
        <v>31</v>
      </c>
      <c r="B253" s="42">
        <f t="shared" si="12"/>
        <v>65</v>
      </c>
      <c r="C253" s="42" t="s">
        <v>3</v>
      </c>
      <c r="D253" s="42">
        <f t="shared" si="13"/>
        <v>300</v>
      </c>
      <c r="E253" s="42" t="s">
        <v>3</v>
      </c>
      <c r="F253" s="101">
        <f t="shared" si="14"/>
        <v>2450</v>
      </c>
      <c r="G253" s="42" t="s">
        <v>3</v>
      </c>
      <c r="H253" s="39">
        <v>4</v>
      </c>
      <c r="I253" s="40" t="s">
        <v>40</v>
      </c>
      <c r="J253" s="149">
        <v>65</v>
      </c>
      <c r="K253" s="104">
        <v>300</v>
      </c>
      <c r="L253" s="104">
        <v>2450</v>
      </c>
      <c r="M253" s="150">
        <v>23.037297540658567</v>
      </c>
      <c r="N253" s="66">
        <v>788.67935999999997</v>
      </c>
      <c r="O253" s="111">
        <v>42009.350247123242</v>
      </c>
      <c r="P253" s="111">
        <v>48696.802313948894</v>
      </c>
      <c r="Q253" s="110">
        <v>25948.661517135381</v>
      </c>
      <c r="R253" s="258">
        <v>67958.011764258626</v>
      </c>
      <c r="S253" s="259">
        <v>74645.463831084271</v>
      </c>
      <c r="U253" s="7" t="s">
        <v>1041</v>
      </c>
    </row>
    <row r="254" spans="1:21" s="65" customFormat="1" ht="16.5" thickBot="1">
      <c r="A254" s="41" t="s">
        <v>31</v>
      </c>
      <c r="B254" s="42">
        <f t="shared" si="12"/>
        <v>65</v>
      </c>
      <c r="C254" s="42" t="s">
        <v>3</v>
      </c>
      <c r="D254" s="42">
        <f t="shared" si="13"/>
        <v>300</v>
      </c>
      <c r="E254" s="42" t="s">
        <v>3</v>
      </c>
      <c r="F254" s="101">
        <f t="shared" si="14"/>
        <v>2500</v>
      </c>
      <c r="G254" s="42" t="s">
        <v>3</v>
      </c>
      <c r="H254" s="39">
        <v>4</v>
      </c>
      <c r="I254" s="40" t="s">
        <v>40</v>
      </c>
      <c r="J254" s="149">
        <v>65</v>
      </c>
      <c r="K254" s="104">
        <v>300</v>
      </c>
      <c r="L254" s="104">
        <v>2500</v>
      </c>
      <c r="M254" s="150">
        <v>23.486626787204287</v>
      </c>
      <c r="N254" s="66">
        <v>807.45744000000002</v>
      </c>
      <c r="O254" s="111">
        <v>42714.309848798533</v>
      </c>
      <c r="P254" s="111">
        <v>49528.681218901082</v>
      </c>
      <c r="Q254" s="110">
        <v>26476.537303009372</v>
      </c>
      <c r="R254" s="258">
        <v>69190.847151807902</v>
      </c>
      <c r="S254" s="259">
        <v>76005.218521910458</v>
      </c>
      <c r="U254" s="7" t="s">
        <v>1042</v>
      </c>
    </row>
    <row r="255" spans="1:21" s="65" customFormat="1" ht="16.5" thickBot="1">
      <c r="A255" s="41" t="s">
        <v>31</v>
      </c>
      <c r="B255" s="42">
        <f t="shared" si="12"/>
        <v>65</v>
      </c>
      <c r="C255" s="42" t="s">
        <v>3</v>
      </c>
      <c r="D255" s="42">
        <f t="shared" si="13"/>
        <v>300</v>
      </c>
      <c r="E255" s="42" t="s">
        <v>3</v>
      </c>
      <c r="F255" s="101">
        <f t="shared" si="14"/>
        <v>2550</v>
      </c>
      <c r="G255" s="42" t="s">
        <v>3</v>
      </c>
      <c r="H255" s="39">
        <v>4</v>
      </c>
      <c r="I255" s="40" t="s">
        <v>40</v>
      </c>
      <c r="J255" s="149">
        <v>65</v>
      </c>
      <c r="K255" s="104">
        <v>300</v>
      </c>
      <c r="L255" s="104">
        <v>2550</v>
      </c>
      <c r="M255" s="150">
        <v>23.935956033749996</v>
      </c>
      <c r="N255" s="66">
        <v>826.23552000000007</v>
      </c>
      <c r="O255" s="111">
        <v>43419.26945047381</v>
      </c>
      <c r="P255" s="111">
        <v>50360.560123853269</v>
      </c>
      <c r="Q255" s="110">
        <v>27004.413241912127</v>
      </c>
      <c r="R255" s="258">
        <v>70423.682692385933</v>
      </c>
      <c r="S255" s="259">
        <v>77364.9733657654</v>
      </c>
      <c r="U255" s="7" t="s">
        <v>1043</v>
      </c>
    </row>
    <row r="256" spans="1:21" s="65" customFormat="1" ht="16.5" thickBot="1">
      <c r="A256" s="38" t="s">
        <v>31</v>
      </c>
      <c r="B256" s="39">
        <f t="shared" si="12"/>
        <v>65</v>
      </c>
      <c r="C256" s="39" t="s">
        <v>3</v>
      </c>
      <c r="D256" s="39">
        <f t="shared" si="13"/>
        <v>300</v>
      </c>
      <c r="E256" s="39" t="s">
        <v>3</v>
      </c>
      <c r="F256" s="101">
        <f t="shared" si="14"/>
        <v>2600</v>
      </c>
      <c r="G256" s="39" t="s">
        <v>3</v>
      </c>
      <c r="H256" s="39">
        <v>4</v>
      </c>
      <c r="I256" s="40" t="s">
        <v>40</v>
      </c>
      <c r="J256" s="149">
        <v>65</v>
      </c>
      <c r="K256" s="104">
        <v>300</v>
      </c>
      <c r="L256" s="104">
        <v>2600</v>
      </c>
      <c r="M256" s="150">
        <v>24.385285280295715</v>
      </c>
      <c r="N256" s="66">
        <v>845.0136</v>
      </c>
      <c r="O256" s="111">
        <v>44124.228899120331</v>
      </c>
      <c r="P256" s="111">
        <v>51192.439028805456</v>
      </c>
      <c r="Q256" s="110">
        <v>27532.289027786119</v>
      </c>
      <c r="R256" s="258">
        <v>71656.517926906454</v>
      </c>
      <c r="S256" s="259">
        <v>78724.728056591572</v>
      </c>
      <c r="U256" s="7" t="s">
        <v>1044</v>
      </c>
    </row>
    <row r="257" spans="1:21" s="65" customFormat="1" ht="16.5" thickBot="1">
      <c r="A257" s="41" t="s">
        <v>31</v>
      </c>
      <c r="B257" s="42">
        <f t="shared" si="12"/>
        <v>65</v>
      </c>
      <c r="C257" s="42" t="s">
        <v>3</v>
      </c>
      <c r="D257" s="42">
        <f t="shared" si="13"/>
        <v>300</v>
      </c>
      <c r="E257" s="42" t="s">
        <v>3</v>
      </c>
      <c r="F257" s="101">
        <f t="shared" si="14"/>
        <v>2650</v>
      </c>
      <c r="G257" s="42" t="s">
        <v>3</v>
      </c>
      <c r="H257" s="39">
        <v>4</v>
      </c>
      <c r="I257" s="40" t="s">
        <v>40</v>
      </c>
      <c r="J257" s="149">
        <v>65</v>
      </c>
      <c r="K257" s="104">
        <v>300</v>
      </c>
      <c r="L257" s="104">
        <v>2650</v>
      </c>
      <c r="M257" s="150">
        <v>24.834614526841431</v>
      </c>
      <c r="N257" s="66">
        <v>863.79167999999993</v>
      </c>
      <c r="O257" s="111">
        <v>44829.188500795623</v>
      </c>
      <c r="P257" s="111">
        <v>52024.317780728874</v>
      </c>
      <c r="Q257" s="110">
        <v>28060.164966688873</v>
      </c>
      <c r="R257" s="258">
        <v>72889.3534674845</v>
      </c>
      <c r="S257" s="259">
        <v>80084.482747417744</v>
      </c>
      <c r="U257" s="7" t="s">
        <v>1045</v>
      </c>
    </row>
    <row r="258" spans="1:21" s="65" customFormat="1" ht="16.5" thickBot="1">
      <c r="A258" s="41" t="s">
        <v>31</v>
      </c>
      <c r="B258" s="42">
        <f t="shared" si="12"/>
        <v>65</v>
      </c>
      <c r="C258" s="42" t="s">
        <v>3</v>
      </c>
      <c r="D258" s="42">
        <f t="shared" si="13"/>
        <v>300</v>
      </c>
      <c r="E258" s="42" t="s">
        <v>3</v>
      </c>
      <c r="F258" s="101">
        <f t="shared" si="14"/>
        <v>2700</v>
      </c>
      <c r="G258" s="42" t="s">
        <v>3</v>
      </c>
      <c r="H258" s="39">
        <v>4</v>
      </c>
      <c r="I258" s="40" t="s">
        <v>40</v>
      </c>
      <c r="J258" s="149">
        <v>65</v>
      </c>
      <c r="K258" s="104">
        <v>300</v>
      </c>
      <c r="L258" s="104">
        <v>2700</v>
      </c>
      <c r="M258" s="150">
        <v>25.362443773387142</v>
      </c>
      <c r="N258" s="66">
        <v>882.56975999999997</v>
      </c>
      <c r="O258" s="111">
        <v>45618.246437604234</v>
      </c>
      <c r="P258" s="111">
        <v>52937.731635969787</v>
      </c>
      <c r="Q258" s="110">
        <v>28588.040752562865</v>
      </c>
      <c r="R258" s="258">
        <v>74206.287190167102</v>
      </c>
      <c r="S258" s="259">
        <v>81525.772388532656</v>
      </c>
      <c r="U258" s="7" t="s">
        <v>1046</v>
      </c>
    </row>
    <row r="259" spans="1:21" s="65" customFormat="1" ht="16.5" thickBot="1">
      <c r="A259" s="41" t="s">
        <v>31</v>
      </c>
      <c r="B259" s="42">
        <f t="shared" si="12"/>
        <v>65</v>
      </c>
      <c r="C259" s="42" t="s">
        <v>3</v>
      </c>
      <c r="D259" s="42">
        <f t="shared" si="13"/>
        <v>300</v>
      </c>
      <c r="E259" s="42" t="s">
        <v>3</v>
      </c>
      <c r="F259" s="101">
        <f t="shared" si="14"/>
        <v>2750</v>
      </c>
      <c r="G259" s="42" t="s">
        <v>3</v>
      </c>
      <c r="H259" s="39">
        <v>4</v>
      </c>
      <c r="I259" s="40" t="s">
        <v>40</v>
      </c>
      <c r="J259" s="149">
        <v>65</v>
      </c>
      <c r="K259" s="104">
        <v>300</v>
      </c>
      <c r="L259" s="104">
        <v>2750</v>
      </c>
      <c r="M259" s="150">
        <v>25.811773019932858</v>
      </c>
      <c r="N259" s="66">
        <v>901.34784000000002</v>
      </c>
      <c r="O259" s="111">
        <v>46323.205886250755</v>
      </c>
      <c r="P259" s="111">
        <v>53769.610540921967</v>
      </c>
      <c r="Q259" s="110">
        <v>29115.916691465467</v>
      </c>
      <c r="R259" s="258">
        <v>75439.122577716218</v>
      </c>
      <c r="S259" s="259">
        <v>82885.527232387438</v>
      </c>
      <c r="U259" s="7" t="s">
        <v>1047</v>
      </c>
    </row>
    <row r="260" spans="1:21" s="65" customFormat="1" ht="16.5" thickBot="1">
      <c r="A260" s="41" t="s">
        <v>31</v>
      </c>
      <c r="B260" s="42">
        <f t="shared" si="12"/>
        <v>65</v>
      </c>
      <c r="C260" s="42" t="s">
        <v>3</v>
      </c>
      <c r="D260" s="42">
        <f t="shared" si="13"/>
        <v>300</v>
      </c>
      <c r="E260" s="42" t="s">
        <v>3</v>
      </c>
      <c r="F260" s="101">
        <f t="shared" si="14"/>
        <v>2800</v>
      </c>
      <c r="G260" s="42" t="s">
        <v>3</v>
      </c>
      <c r="H260" s="39">
        <v>4</v>
      </c>
      <c r="I260" s="40" t="s">
        <v>40</v>
      </c>
      <c r="J260" s="149">
        <v>65</v>
      </c>
      <c r="K260" s="104">
        <v>300</v>
      </c>
      <c r="L260" s="104">
        <v>2800</v>
      </c>
      <c r="M260" s="150">
        <v>26.261102266478574</v>
      </c>
      <c r="N260" s="66">
        <v>920.12592000000006</v>
      </c>
      <c r="O260" s="111">
        <v>47028.165487926031</v>
      </c>
      <c r="P260" s="111">
        <v>54601.489445874155</v>
      </c>
      <c r="Q260" s="110">
        <v>29643.792630368374</v>
      </c>
      <c r="R260" s="258">
        <v>76671.958118294409</v>
      </c>
      <c r="S260" s="259">
        <v>84245.282076242525</v>
      </c>
      <c r="U260" s="7" t="s">
        <v>1048</v>
      </c>
    </row>
    <row r="261" spans="1:21" s="65" customFormat="1" ht="16.5" thickBot="1">
      <c r="A261" s="41" t="s">
        <v>31</v>
      </c>
      <c r="B261" s="42">
        <f t="shared" si="12"/>
        <v>65</v>
      </c>
      <c r="C261" s="42" t="s">
        <v>3</v>
      </c>
      <c r="D261" s="42">
        <f t="shared" si="13"/>
        <v>300</v>
      </c>
      <c r="E261" s="42" t="s">
        <v>3</v>
      </c>
      <c r="F261" s="101">
        <f t="shared" si="14"/>
        <v>2850</v>
      </c>
      <c r="G261" s="42" t="s">
        <v>3</v>
      </c>
      <c r="H261" s="39">
        <v>4</v>
      </c>
      <c r="I261" s="40" t="s">
        <v>40</v>
      </c>
      <c r="J261" s="149">
        <v>65</v>
      </c>
      <c r="K261" s="104">
        <v>300</v>
      </c>
      <c r="L261" s="104">
        <v>2850</v>
      </c>
      <c r="M261" s="150">
        <v>26.710431513024286</v>
      </c>
      <c r="N261" s="66">
        <v>938.904</v>
      </c>
      <c r="O261" s="111">
        <v>47733.125089601323</v>
      </c>
      <c r="P261" s="111">
        <v>55433.368350826342</v>
      </c>
      <c r="Q261" s="110">
        <v>30171.668416242363</v>
      </c>
      <c r="R261" s="258">
        <v>77904.793505843685</v>
      </c>
      <c r="S261" s="259">
        <v>85605.036767068697</v>
      </c>
      <c r="U261" s="7" t="s">
        <v>1049</v>
      </c>
    </row>
    <row r="262" spans="1:21" s="65" customFormat="1" ht="16.5" thickBot="1">
      <c r="A262" s="41" t="s">
        <v>31</v>
      </c>
      <c r="B262" s="42">
        <f t="shared" si="12"/>
        <v>65</v>
      </c>
      <c r="C262" s="42" t="s">
        <v>3</v>
      </c>
      <c r="D262" s="42">
        <f t="shared" si="13"/>
        <v>300</v>
      </c>
      <c r="E262" s="42" t="s">
        <v>3</v>
      </c>
      <c r="F262" s="101">
        <f t="shared" si="14"/>
        <v>2900</v>
      </c>
      <c r="G262" s="42" t="s">
        <v>3</v>
      </c>
      <c r="H262" s="39">
        <v>4</v>
      </c>
      <c r="I262" s="40" t="s">
        <v>40</v>
      </c>
      <c r="J262" s="149">
        <v>65</v>
      </c>
      <c r="K262" s="104">
        <v>300</v>
      </c>
      <c r="L262" s="104">
        <v>2900</v>
      </c>
      <c r="M262" s="150">
        <v>27.159760759569995</v>
      </c>
      <c r="N262" s="66">
        <v>957.68207999999993</v>
      </c>
      <c r="O262" s="111">
        <v>48438.084691276606</v>
      </c>
      <c r="P262" s="111">
        <v>56265.24710274976</v>
      </c>
      <c r="Q262" s="110">
        <v>30699.544355145121</v>
      </c>
      <c r="R262" s="258">
        <v>79137.629046421731</v>
      </c>
      <c r="S262" s="259">
        <v>86964.791457894884</v>
      </c>
      <c r="U262" s="7" t="s">
        <v>1050</v>
      </c>
    </row>
    <row r="263" spans="1:21" s="65" customFormat="1" ht="16.5" thickBot="1">
      <c r="A263" s="41" t="s">
        <v>31</v>
      </c>
      <c r="B263" s="42">
        <f t="shared" si="12"/>
        <v>65</v>
      </c>
      <c r="C263" s="42" t="s">
        <v>3</v>
      </c>
      <c r="D263" s="42">
        <f t="shared" si="13"/>
        <v>300</v>
      </c>
      <c r="E263" s="42" t="s">
        <v>3</v>
      </c>
      <c r="F263" s="101">
        <f t="shared" si="14"/>
        <v>2950</v>
      </c>
      <c r="G263" s="42" t="s">
        <v>3</v>
      </c>
      <c r="H263" s="39">
        <v>4</v>
      </c>
      <c r="I263" s="40" t="s">
        <v>40</v>
      </c>
      <c r="J263" s="149">
        <v>65</v>
      </c>
      <c r="K263" s="104">
        <v>300</v>
      </c>
      <c r="L263" s="104">
        <v>2950</v>
      </c>
      <c r="M263" s="150">
        <v>27.609090006115714</v>
      </c>
      <c r="N263" s="66">
        <v>976.46015999999997</v>
      </c>
      <c r="O263" s="111">
        <v>49143.04429295189</v>
      </c>
      <c r="P263" s="111">
        <v>57097.126007701947</v>
      </c>
      <c r="Q263" s="110">
        <v>31227.420141019105</v>
      </c>
      <c r="R263" s="258">
        <v>80370.464433970992</v>
      </c>
      <c r="S263" s="259">
        <v>88324.546148721056</v>
      </c>
      <c r="U263" s="7" t="s">
        <v>1051</v>
      </c>
    </row>
    <row r="264" spans="1:21" s="65" customFormat="1" ht="16.5" thickBot="1">
      <c r="A264" s="41" t="s">
        <v>31</v>
      </c>
      <c r="B264" s="42">
        <f t="shared" si="12"/>
        <v>65</v>
      </c>
      <c r="C264" s="42" t="s">
        <v>3</v>
      </c>
      <c r="D264" s="42">
        <f t="shared" si="13"/>
        <v>300</v>
      </c>
      <c r="E264" s="42" t="s">
        <v>3</v>
      </c>
      <c r="F264" s="101">
        <f t="shared" si="14"/>
        <v>3000</v>
      </c>
      <c r="G264" s="42" t="s">
        <v>3</v>
      </c>
      <c r="H264" s="39">
        <v>4</v>
      </c>
      <c r="I264" s="40" t="s">
        <v>40</v>
      </c>
      <c r="J264" s="151">
        <v>65</v>
      </c>
      <c r="K264" s="134">
        <v>300</v>
      </c>
      <c r="L264" s="134">
        <v>3000</v>
      </c>
      <c r="M264" s="152">
        <v>28.05841925266143</v>
      </c>
      <c r="N264" s="126">
        <v>995.23824000000002</v>
      </c>
      <c r="O264" s="135">
        <v>49848.003741598412</v>
      </c>
      <c r="P264" s="135">
        <v>57929.004912654142</v>
      </c>
      <c r="Q264" s="136">
        <v>31755.296079921864</v>
      </c>
      <c r="R264" s="260">
        <v>81603.299821520282</v>
      </c>
      <c r="S264" s="261">
        <v>89684.300992575998</v>
      </c>
      <c r="U264" s="7" t="s">
        <v>1052</v>
      </c>
    </row>
  </sheetData>
  <mergeCells count="22">
    <mergeCell ref="Q4:Q5"/>
    <mergeCell ref="R4:R5"/>
    <mergeCell ref="S4:S5"/>
    <mergeCell ref="O6:S6"/>
    <mergeCell ref="A4:I6"/>
    <mergeCell ref="J4:M5"/>
    <mergeCell ref="N4:N6"/>
    <mergeCell ref="O4:O5"/>
    <mergeCell ref="P4:P5"/>
    <mergeCell ref="A165:S165"/>
    <mergeCell ref="A215:S215"/>
    <mergeCell ref="A61:S61"/>
    <mergeCell ref="A111:S111"/>
    <mergeCell ref="A113:S113"/>
    <mergeCell ref="A164:S164"/>
    <mergeCell ref="A59:S59"/>
    <mergeCell ref="A7:S7"/>
    <mergeCell ref="A8:S8"/>
    <mergeCell ref="A9:S9"/>
    <mergeCell ref="A163:S163"/>
    <mergeCell ref="A60:S60"/>
    <mergeCell ref="A112:S112"/>
  </mergeCells>
  <hyperlinks>
    <hyperlink ref="A1:I1" location="Главная!A1" display="Вернуться на главную страницу" xr:uid="{00000000-0004-0000-1000-000000000000}"/>
    <hyperlink ref="A2" location="'Калькулятор теплоотдач ВК'!R1C1" display="Вернуться Калькулятор теплоотдач ВК" xr:uid="{00000000-0004-0000-10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9">
    <tabColor rgb="FFFFC000"/>
  </sheetPr>
  <dimension ref="A1:U264"/>
  <sheetViews>
    <sheetView zoomScale="70" zoomScaleNormal="70" workbookViewId="0">
      <pane ySplit="6" topLeftCell="A7" activePane="bottomLeft" state="frozen"/>
      <selection pane="bottomLeft" activeCell="W14" sqref="W14"/>
    </sheetView>
  </sheetViews>
  <sheetFormatPr defaultRowHeight="15"/>
  <cols>
    <col min="1" max="1" width="3.7109375" style="65" customWidth="1"/>
    <col min="2" max="2" width="6" style="65" customWidth="1"/>
    <col min="3" max="3" width="3" style="65" customWidth="1"/>
    <col min="4" max="4" width="6" style="65" customWidth="1"/>
    <col min="5" max="5" width="3" style="65" customWidth="1"/>
    <col min="6" max="6" width="7.7109375" style="65" customWidth="1"/>
    <col min="7" max="7" width="3" style="65" customWidth="1"/>
    <col min="8" max="8" width="6" style="65" customWidth="1"/>
    <col min="9" max="9" width="4.5703125" style="65" customWidth="1"/>
    <col min="10" max="12" width="11.28515625" style="65" customWidth="1"/>
    <col min="13" max="13" width="15.5703125" style="65" customWidth="1"/>
    <col min="14" max="14" width="19.140625" style="65" customWidth="1"/>
    <col min="15" max="16" width="27.7109375" style="65" customWidth="1"/>
    <col min="17" max="17" width="26.28515625" style="65" customWidth="1"/>
    <col min="18" max="19" width="27.7109375" style="65" customWidth="1"/>
    <col min="21" max="21" width="22.42578125" customWidth="1"/>
  </cols>
  <sheetData>
    <row r="1" spans="1:21" s="65" customFormat="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s="65" customFormat="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137</v>
      </c>
      <c r="P4" s="3008" t="s">
        <v>138</v>
      </c>
      <c r="Q4" s="3045" t="s">
        <v>123</v>
      </c>
      <c r="R4" s="3020" t="s">
        <v>139</v>
      </c>
      <c r="S4" s="2981" t="s">
        <v>140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s="65" customFormat="1" ht="22.5" customHeight="1" thickBot="1">
      <c r="A7" s="2968" t="s">
        <v>472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s="65" customFormat="1" ht="22.5" customHeight="1" thickBot="1">
      <c r="A8" s="2971" t="s">
        <v>62</v>
      </c>
      <c r="B8" s="2972"/>
      <c r="C8" s="2972"/>
      <c r="D8" s="2972"/>
      <c r="E8" s="2972"/>
      <c r="F8" s="2972"/>
      <c r="G8" s="2972"/>
      <c r="H8" s="2972"/>
      <c r="I8" s="2972"/>
      <c r="J8" s="2972"/>
      <c r="K8" s="2972"/>
      <c r="L8" s="2972"/>
      <c r="M8" s="2972"/>
      <c r="N8" s="2972"/>
      <c r="O8" s="2972"/>
      <c r="P8" s="2972"/>
      <c r="Q8" s="2972"/>
      <c r="R8" s="2972"/>
      <c r="S8" s="2973"/>
    </row>
    <row r="9" spans="1:21" s="65" customFormat="1" ht="16.5" customHeight="1" thickBot="1">
      <c r="A9" s="2974" t="s">
        <v>112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5"/>
      <c r="R9" s="3022"/>
      <c r="S9" s="3023"/>
    </row>
    <row r="10" spans="1:21" s="65" customFormat="1" ht="16.5" customHeight="1" thickBot="1">
      <c r="A10" s="38" t="s">
        <v>31</v>
      </c>
      <c r="B10" s="39">
        <f>J10</f>
        <v>70</v>
      </c>
      <c r="C10" s="39" t="s">
        <v>3</v>
      </c>
      <c r="D10" s="39">
        <f>K10</f>
        <v>160</v>
      </c>
      <c r="E10" s="39" t="s">
        <v>3</v>
      </c>
      <c r="F10" s="101">
        <f>L10</f>
        <v>600</v>
      </c>
      <c r="G10" s="39" t="s">
        <v>3</v>
      </c>
      <c r="H10" s="39">
        <v>2</v>
      </c>
      <c r="I10" s="40" t="s">
        <v>40</v>
      </c>
      <c r="J10" s="146">
        <v>70</v>
      </c>
      <c r="K10" s="138">
        <v>160</v>
      </c>
      <c r="L10" s="138">
        <v>600</v>
      </c>
      <c r="M10" s="147">
        <v>3.7102292637121437</v>
      </c>
      <c r="N10" s="123">
        <v>55.910506901847832</v>
      </c>
      <c r="O10" s="153">
        <v>10311.084621330638</v>
      </c>
      <c r="P10" s="148">
        <v>11916.463487627476</v>
      </c>
      <c r="Q10" s="253">
        <v>3990.9684643753531</v>
      </c>
      <c r="R10" s="256">
        <v>14302.053085705991</v>
      </c>
      <c r="S10" s="257">
        <v>15907.431952002829</v>
      </c>
      <c r="U10" s="7" t="s">
        <v>1053</v>
      </c>
    </row>
    <row r="11" spans="1:21" s="65" customFormat="1" ht="16.5" customHeight="1" thickBot="1">
      <c r="A11" s="41" t="s">
        <v>31</v>
      </c>
      <c r="B11" s="42">
        <f t="shared" ref="B11:B58" si="0">J11</f>
        <v>70</v>
      </c>
      <c r="C11" s="42" t="s">
        <v>3</v>
      </c>
      <c r="D11" s="42">
        <f t="shared" ref="D11:D58" si="1">K11</f>
        <v>160</v>
      </c>
      <c r="E11" s="42" t="s">
        <v>3</v>
      </c>
      <c r="F11" s="101">
        <f t="shared" ref="F11:F58" si="2">L11</f>
        <v>650</v>
      </c>
      <c r="G11" s="42" t="s">
        <v>3</v>
      </c>
      <c r="H11" s="39">
        <v>2</v>
      </c>
      <c r="I11" s="40" t="s">
        <v>40</v>
      </c>
      <c r="J11" s="149">
        <v>70</v>
      </c>
      <c r="K11" s="104">
        <v>160</v>
      </c>
      <c r="L11" s="104">
        <v>650</v>
      </c>
      <c r="M11" s="150">
        <v>3.9852318328778571</v>
      </c>
      <c r="N11" s="78">
        <v>67.092608282217398</v>
      </c>
      <c r="O11" s="109">
        <v>10738.36189850046</v>
      </c>
      <c r="P11" s="111">
        <v>12440.099764592442</v>
      </c>
      <c r="Q11" s="254">
        <v>4319.749235958765</v>
      </c>
      <c r="R11" s="258">
        <v>15058.111134459225</v>
      </c>
      <c r="S11" s="259">
        <v>16759.849000551207</v>
      </c>
      <c r="U11" s="7" t="s">
        <v>1054</v>
      </c>
    </row>
    <row r="12" spans="1:21" s="65" customFormat="1" ht="16.5" customHeight="1" thickBot="1">
      <c r="A12" s="41" t="s">
        <v>31</v>
      </c>
      <c r="B12" s="42">
        <f t="shared" si="0"/>
        <v>70</v>
      </c>
      <c r="C12" s="42" t="s">
        <v>3</v>
      </c>
      <c r="D12" s="42">
        <f t="shared" si="1"/>
        <v>160</v>
      </c>
      <c r="E12" s="42" t="s">
        <v>3</v>
      </c>
      <c r="F12" s="101">
        <f t="shared" si="2"/>
        <v>700</v>
      </c>
      <c r="G12" s="42" t="s">
        <v>3</v>
      </c>
      <c r="H12" s="39">
        <v>2</v>
      </c>
      <c r="I12" s="40" t="s">
        <v>40</v>
      </c>
      <c r="J12" s="149">
        <v>70</v>
      </c>
      <c r="K12" s="104">
        <v>160</v>
      </c>
      <c r="L12" s="104">
        <v>700</v>
      </c>
      <c r="M12" s="150">
        <v>4.2602344020435705</v>
      </c>
      <c r="N12" s="78">
        <v>78.274709662586957</v>
      </c>
      <c r="O12" s="109">
        <v>11165.639022641517</v>
      </c>
      <c r="P12" s="111">
        <v>12963.736194586174</v>
      </c>
      <c r="Q12" s="254">
        <v>4648.5300075421756</v>
      </c>
      <c r="R12" s="258">
        <v>15814.169030183693</v>
      </c>
      <c r="S12" s="259">
        <v>17612.26620212835</v>
      </c>
      <c r="U12" s="7" t="s">
        <v>1055</v>
      </c>
    </row>
    <row r="13" spans="1:21" s="65" customFormat="1" ht="16.5" customHeight="1" thickBot="1">
      <c r="A13" s="41" t="s">
        <v>31</v>
      </c>
      <c r="B13" s="42">
        <f t="shared" si="0"/>
        <v>70</v>
      </c>
      <c r="C13" s="42" t="s">
        <v>3</v>
      </c>
      <c r="D13" s="42">
        <f t="shared" si="1"/>
        <v>160</v>
      </c>
      <c r="E13" s="42" t="s">
        <v>3</v>
      </c>
      <c r="F13" s="101">
        <f t="shared" si="2"/>
        <v>750</v>
      </c>
      <c r="G13" s="42" t="s">
        <v>3</v>
      </c>
      <c r="H13" s="39">
        <v>2</v>
      </c>
      <c r="I13" s="40" t="s">
        <v>40</v>
      </c>
      <c r="J13" s="149">
        <v>70</v>
      </c>
      <c r="K13" s="104">
        <v>160</v>
      </c>
      <c r="L13" s="104">
        <v>750</v>
      </c>
      <c r="M13" s="150">
        <v>4.5352369712092857</v>
      </c>
      <c r="N13" s="78">
        <v>89.456811042956531</v>
      </c>
      <c r="O13" s="109">
        <v>11592.916146782574</v>
      </c>
      <c r="P13" s="111">
        <v>13487.372624579906</v>
      </c>
      <c r="Q13" s="254">
        <v>4977.3109321543525</v>
      </c>
      <c r="R13" s="258">
        <v>16570.227078936929</v>
      </c>
      <c r="S13" s="259">
        <v>18464.683556734257</v>
      </c>
      <c r="U13" s="7" t="s">
        <v>1056</v>
      </c>
    </row>
    <row r="14" spans="1:21" s="65" customFormat="1" ht="16.5" customHeight="1" thickBot="1">
      <c r="A14" s="41" t="s">
        <v>31</v>
      </c>
      <c r="B14" s="42">
        <f t="shared" si="0"/>
        <v>70</v>
      </c>
      <c r="C14" s="42" t="s">
        <v>3</v>
      </c>
      <c r="D14" s="42">
        <f t="shared" si="1"/>
        <v>160</v>
      </c>
      <c r="E14" s="42" t="s">
        <v>3</v>
      </c>
      <c r="F14" s="101">
        <f t="shared" si="2"/>
        <v>800</v>
      </c>
      <c r="G14" s="42" t="s">
        <v>3</v>
      </c>
      <c r="H14" s="39">
        <v>2</v>
      </c>
      <c r="I14" s="40" t="s">
        <v>40</v>
      </c>
      <c r="J14" s="149">
        <v>70</v>
      </c>
      <c r="K14" s="104">
        <v>160</v>
      </c>
      <c r="L14" s="104">
        <v>800</v>
      </c>
      <c r="M14" s="150">
        <v>4.810239540375</v>
      </c>
      <c r="N14" s="78">
        <v>100.6389124233261</v>
      </c>
      <c r="O14" s="109">
        <v>12020.193423952396</v>
      </c>
      <c r="P14" s="111">
        <v>14011.00905457364</v>
      </c>
      <c r="Q14" s="254">
        <v>5306.0917037377631</v>
      </c>
      <c r="R14" s="258">
        <v>17326.28512769016</v>
      </c>
      <c r="S14" s="259">
        <v>19317.100758311404</v>
      </c>
      <c r="U14" s="7" t="s">
        <v>1057</v>
      </c>
    </row>
    <row r="15" spans="1:21" s="65" customFormat="1" ht="16.5" customHeight="1" thickBot="1">
      <c r="A15" s="41" t="s">
        <v>31</v>
      </c>
      <c r="B15" s="42">
        <f t="shared" si="0"/>
        <v>70</v>
      </c>
      <c r="C15" s="42" t="s">
        <v>3</v>
      </c>
      <c r="D15" s="42">
        <f t="shared" si="1"/>
        <v>160</v>
      </c>
      <c r="E15" s="42" t="s">
        <v>3</v>
      </c>
      <c r="F15" s="101">
        <f t="shared" si="2"/>
        <v>850</v>
      </c>
      <c r="G15" s="42" t="s">
        <v>3</v>
      </c>
      <c r="H15" s="39">
        <v>2</v>
      </c>
      <c r="I15" s="40" t="s">
        <v>40</v>
      </c>
      <c r="J15" s="149">
        <v>70</v>
      </c>
      <c r="K15" s="104">
        <v>160</v>
      </c>
      <c r="L15" s="104">
        <v>850</v>
      </c>
      <c r="M15" s="150">
        <v>5.0852421095407143</v>
      </c>
      <c r="N15" s="78">
        <v>111.82101380369566</v>
      </c>
      <c r="O15" s="109">
        <v>12447.470548093454</v>
      </c>
      <c r="P15" s="111">
        <v>14534.645484567371</v>
      </c>
      <c r="Q15" s="254">
        <v>5634.8724753211745</v>
      </c>
      <c r="R15" s="258">
        <v>18082.343023414629</v>
      </c>
      <c r="S15" s="259">
        <v>20169.517959888544</v>
      </c>
      <c r="U15" s="7" t="s">
        <v>1058</v>
      </c>
    </row>
    <row r="16" spans="1:21" s="65" customFormat="1" ht="16.5" customHeight="1" thickBot="1">
      <c r="A16" s="41" t="s">
        <v>31</v>
      </c>
      <c r="B16" s="42">
        <f t="shared" si="0"/>
        <v>70</v>
      </c>
      <c r="C16" s="42" t="s">
        <v>3</v>
      </c>
      <c r="D16" s="42">
        <f t="shared" si="1"/>
        <v>160</v>
      </c>
      <c r="E16" s="42" t="s">
        <v>3</v>
      </c>
      <c r="F16" s="101">
        <f t="shared" si="2"/>
        <v>900</v>
      </c>
      <c r="G16" s="42" t="s">
        <v>3</v>
      </c>
      <c r="H16" s="39">
        <v>2</v>
      </c>
      <c r="I16" s="40" t="s">
        <v>40</v>
      </c>
      <c r="J16" s="149">
        <v>70</v>
      </c>
      <c r="K16" s="104">
        <v>160</v>
      </c>
      <c r="L16" s="104">
        <v>900</v>
      </c>
      <c r="M16" s="150">
        <v>5.3602446787064295</v>
      </c>
      <c r="N16" s="78">
        <v>123.00311518406524</v>
      </c>
      <c r="O16" s="109">
        <v>12874.747672234511</v>
      </c>
      <c r="P16" s="111">
        <v>15058.281914561105</v>
      </c>
      <c r="Q16" s="254">
        <v>5963.6533999333515</v>
      </c>
      <c r="R16" s="258">
        <v>18838.401072167864</v>
      </c>
      <c r="S16" s="259">
        <v>21021.935314494454</v>
      </c>
      <c r="U16" s="7" t="s">
        <v>1059</v>
      </c>
    </row>
    <row r="17" spans="1:21" s="65" customFormat="1" ht="16.5" customHeight="1" thickBot="1">
      <c r="A17" s="41" t="s">
        <v>31</v>
      </c>
      <c r="B17" s="42">
        <f t="shared" si="0"/>
        <v>70</v>
      </c>
      <c r="C17" s="42" t="s">
        <v>3</v>
      </c>
      <c r="D17" s="42">
        <f t="shared" si="1"/>
        <v>160</v>
      </c>
      <c r="E17" s="42" t="s">
        <v>3</v>
      </c>
      <c r="F17" s="101">
        <f t="shared" si="2"/>
        <v>950</v>
      </c>
      <c r="G17" s="42" t="s">
        <v>3</v>
      </c>
      <c r="H17" s="39">
        <v>2</v>
      </c>
      <c r="I17" s="40" t="s">
        <v>40</v>
      </c>
      <c r="J17" s="149">
        <v>70</v>
      </c>
      <c r="K17" s="104">
        <v>160</v>
      </c>
      <c r="L17" s="104">
        <v>950</v>
      </c>
      <c r="M17" s="150">
        <v>5.635247247872142</v>
      </c>
      <c r="N17" s="78">
        <v>134.1852165644348</v>
      </c>
      <c r="O17" s="109">
        <v>13302.024796375566</v>
      </c>
      <c r="P17" s="111">
        <v>15581.918344554835</v>
      </c>
      <c r="Q17" s="254">
        <v>6292.4341715167629</v>
      </c>
      <c r="R17" s="258">
        <v>19594.458967892329</v>
      </c>
      <c r="S17" s="259">
        <v>21874.352516071598</v>
      </c>
      <c r="U17" s="7" t="s">
        <v>1060</v>
      </c>
    </row>
    <row r="18" spans="1:21" s="65" customFormat="1" ht="16.5" customHeight="1" thickBot="1">
      <c r="A18" s="41" t="s">
        <v>31</v>
      </c>
      <c r="B18" s="42">
        <f t="shared" si="0"/>
        <v>70</v>
      </c>
      <c r="C18" s="42" t="s">
        <v>3</v>
      </c>
      <c r="D18" s="42">
        <f t="shared" si="1"/>
        <v>160</v>
      </c>
      <c r="E18" s="42" t="s">
        <v>3</v>
      </c>
      <c r="F18" s="101">
        <f t="shared" si="2"/>
        <v>1000</v>
      </c>
      <c r="G18" s="42" t="s">
        <v>3</v>
      </c>
      <c r="H18" s="39">
        <v>2</v>
      </c>
      <c r="I18" s="40" t="s">
        <v>40</v>
      </c>
      <c r="J18" s="149">
        <v>70</v>
      </c>
      <c r="K18" s="104">
        <v>160</v>
      </c>
      <c r="L18" s="104">
        <v>1000</v>
      </c>
      <c r="M18" s="150">
        <v>5.9102498170378581</v>
      </c>
      <c r="N18" s="78">
        <v>145.36731794480437</v>
      </c>
      <c r="O18" s="109">
        <v>13729.302073545388</v>
      </c>
      <c r="P18" s="111">
        <v>16105.554621519803</v>
      </c>
      <c r="Q18" s="254">
        <v>6621.2149431001744</v>
      </c>
      <c r="R18" s="258">
        <v>20350.517016645565</v>
      </c>
      <c r="S18" s="259">
        <v>22726.769564619979</v>
      </c>
      <c r="U18" s="7" t="s">
        <v>1061</v>
      </c>
    </row>
    <row r="19" spans="1:21" s="65" customFormat="1" ht="16.5" customHeight="1" thickBot="1">
      <c r="A19" s="41" t="s">
        <v>31</v>
      </c>
      <c r="B19" s="42">
        <f t="shared" si="0"/>
        <v>70</v>
      </c>
      <c r="C19" s="42" t="s">
        <v>3</v>
      </c>
      <c r="D19" s="42">
        <f t="shared" si="1"/>
        <v>160</v>
      </c>
      <c r="E19" s="42" t="s">
        <v>3</v>
      </c>
      <c r="F19" s="101">
        <f t="shared" si="2"/>
        <v>1050</v>
      </c>
      <c r="G19" s="42" t="s">
        <v>3</v>
      </c>
      <c r="H19" s="39">
        <v>2</v>
      </c>
      <c r="I19" s="40" t="s">
        <v>40</v>
      </c>
      <c r="J19" s="149">
        <v>70</v>
      </c>
      <c r="K19" s="104">
        <v>160</v>
      </c>
      <c r="L19" s="104">
        <v>1050</v>
      </c>
      <c r="M19" s="150">
        <v>6.1852523862035707</v>
      </c>
      <c r="N19" s="78">
        <v>156.54941932517391</v>
      </c>
      <c r="O19" s="109">
        <v>14156.579197686448</v>
      </c>
      <c r="P19" s="111">
        <v>16629.191051513535</v>
      </c>
      <c r="Q19" s="254">
        <v>6949.9958677123495</v>
      </c>
      <c r="R19" s="258">
        <v>21106.575065398796</v>
      </c>
      <c r="S19" s="259">
        <v>23579.186919225886</v>
      </c>
      <c r="U19" s="7" t="s">
        <v>1062</v>
      </c>
    </row>
    <row r="20" spans="1:21" s="65" customFormat="1" ht="16.5" customHeight="1" thickBot="1">
      <c r="A20" s="38" t="s">
        <v>31</v>
      </c>
      <c r="B20" s="39">
        <f t="shared" si="0"/>
        <v>70</v>
      </c>
      <c r="C20" s="39" t="s">
        <v>3</v>
      </c>
      <c r="D20" s="39">
        <f t="shared" si="1"/>
        <v>160</v>
      </c>
      <c r="E20" s="39" t="s">
        <v>3</v>
      </c>
      <c r="F20" s="101">
        <f t="shared" si="2"/>
        <v>1100</v>
      </c>
      <c r="G20" s="39" t="s">
        <v>3</v>
      </c>
      <c r="H20" s="39">
        <v>2</v>
      </c>
      <c r="I20" s="40" t="s">
        <v>40</v>
      </c>
      <c r="J20" s="149">
        <v>70</v>
      </c>
      <c r="K20" s="104">
        <v>160</v>
      </c>
      <c r="L20" s="104">
        <v>1100</v>
      </c>
      <c r="M20" s="150">
        <v>6.4602549553692858</v>
      </c>
      <c r="N20" s="78">
        <v>167.73152070554349</v>
      </c>
      <c r="O20" s="109">
        <v>14583.856321827503</v>
      </c>
      <c r="P20" s="111">
        <v>17152.827481507265</v>
      </c>
      <c r="Q20" s="254">
        <v>7278.776639295761</v>
      </c>
      <c r="R20" s="258">
        <v>21862.632961123265</v>
      </c>
      <c r="S20" s="259">
        <v>24431.604120803026</v>
      </c>
      <c r="U20" s="7" t="s">
        <v>1063</v>
      </c>
    </row>
    <row r="21" spans="1:21" s="65" customFormat="1" ht="16.5" customHeight="1" thickBot="1">
      <c r="A21" s="41" t="s">
        <v>31</v>
      </c>
      <c r="B21" s="42">
        <f t="shared" si="0"/>
        <v>70</v>
      </c>
      <c r="C21" s="42" t="s">
        <v>3</v>
      </c>
      <c r="D21" s="42">
        <f t="shared" si="1"/>
        <v>160</v>
      </c>
      <c r="E21" s="42" t="s">
        <v>3</v>
      </c>
      <c r="F21" s="101">
        <f t="shared" si="2"/>
        <v>1150</v>
      </c>
      <c r="G21" s="42" t="s">
        <v>3</v>
      </c>
      <c r="H21" s="39">
        <v>2</v>
      </c>
      <c r="I21" s="40" t="s">
        <v>40</v>
      </c>
      <c r="J21" s="149">
        <v>70</v>
      </c>
      <c r="K21" s="104">
        <v>160</v>
      </c>
      <c r="L21" s="104">
        <v>1150</v>
      </c>
      <c r="M21" s="150">
        <v>6.735257524535001</v>
      </c>
      <c r="N21" s="78">
        <v>178.91362208591306</v>
      </c>
      <c r="O21" s="109">
        <v>15011.133445968562</v>
      </c>
      <c r="P21" s="111">
        <v>17676.463911501</v>
      </c>
      <c r="Q21" s="254">
        <v>7607.5574108791734</v>
      </c>
      <c r="R21" s="258">
        <v>22618.690856847737</v>
      </c>
      <c r="S21" s="259">
        <v>25284.021322380173</v>
      </c>
      <c r="U21" s="7" t="s">
        <v>1064</v>
      </c>
    </row>
    <row r="22" spans="1:21" s="65" customFormat="1" ht="16.5" customHeight="1" thickBot="1">
      <c r="A22" s="41" t="s">
        <v>31</v>
      </c>
      <c r="B22" s="42">
        <f t="shared" si="0"/>
        <v>70</v>
      </c>
      <c r="C22" s="42" t="s">
        <v>3</v>
      </c>
      <c r="D22" s="42">
        <f t="shared" si="1"/>
        <v>160</v>
      </c>
      <c r="E22" s="42" t="s">
        <v>3</v>
      </c>
      <c r="F22" s="101">
        <f t="shared" si="2"/>
        <v>1200</v>
      </c>
      <c r="G22" s="42" t="s">
        <v>3</v>
      </c>
      <c r="H22" s="39">
        <v>2</v>
      </c>
      <c r="I22" s="40" t="s">
        <v>40</v>
      </c>
      <c r="J22" s="149">
        <v>70</v>
      </c>
      <c r="K22" s="104">
        <v>160</v>
      </c>
      <c r="L22" s="104">
        <v>1200</v>
      </c>
      <c r="M22" s="150">
        <v>7.0495100937007145</v>
      </c>
      <c r="N22" s="78">
        <v>190.09572346628264</v>
      </c>
      <c r="O22" s="109">
        <v>15488.410882769031</v>
      </c>
      <c r="P22" s="111">
        <v>18248.576487653499</v>
      </c>
      <c r="Q22" s="254">
        <v>7936.3383354913503</v>
      </c>
      <c r="R22" s="258">
        <v>23424.749218260382</v>
      </c>
      <c r="S22" s="259">
        <v>26184.914823144849</v>
      </c>
      <c r="U22" s="7" t="s">
        <v>1065</v>
      </c>
    </row>
    <row r="23" spans="1:21" s="65" customFormat="1" ht="16.5" customHeight="1" thickBot="1">
      <c r="A23" s="41" t="s">
        <v>31</v>
      </c>
      <c r="B23" s="42">
        <f t="shared" si="0"/>
        <v>70</v>
      </c>
      <c r="C23" s="42" t="s">
        <v>3</v>
      </c>
      <c r="D23" s="42">
        <f t="shared" si="1"/>
        <v>160</v>
      </c>
      <c r="E23" s="42" t="s">
        <v>3</v>
      </c>
      <c r="F23" s="101">
        <f t="shared" si="2"/>
        <v>1250</v>
      </c>
      <c r="G23" s="42" t="s">
        <v>3</v>
      </c>
      <c r="H23" s="39">
        <v>2</v>
      </c>
      <c r="I23" s="40" t="s">
        <v>40</v>
      </c>
      <c r="J23" s="149">
        <v>70</v>
      </c>
      <c r="K23" s="104">
        <v>160</v>
      </c>
      <c r="L23" s="104">
        <v>1250</v>
      </c>
      <c r="M23" s="150">
        <v>7.3245126628664288</v>
      </c>
      <c r="N23" s="78">
        <v>201.27782484665221</v>
      </c>
      <c r="O23" s="109">
        <v>15915.688006910086</v>
      </c>
      <c r="P23" s="111">
        <v>18772.212917647234</v>
      </c>
      <c r="Q23" s="254">
        <v>8265.1191070747609</v>
      </c>
      <c r="R23" s="258">
        <v>24180.807113984847</v>
      </c>
      <c r="S23" s="259">
        <v>27037.332024721996</v>
      </c>
      <c r="U23" s="7" t="s">
        <v>1066</v>
      </c>
    </row>
    <row r="24" spans="1:21" s="65" customFormat="1" ht="16.5" customHeight="1" thickBot="1">
      <c r="A24" s="41" t="s">
        <v>31</v>
      </c>
      <c r="B24" s="42">
        <f t="shared" si="0"/>
        <v>70</v>
      </c>
      <c r="C24" s="42" t="s">
        <v>3</v>
      </c>
      <c r="D24" s="42">
        <f t="shared" si="1"/>
        <v>160</v>
      </c>
      <c r="E24" s="42" t="s">
        <v>3</v>
      </c>
      <c r="F24" s="101">
        <f t="shared" si="2"/>
        <v>1300</v>
      </c>
      <c r="G24" s="42" t="s">
        <v>3</v>
      </c>
      <c r="H24" s="39">
        <v>2</v>
      </c>
      <c r="I24" s="40" t="s">
        <v>40</v>
      </c>
      <c r="J24" s="149">
        <v>70</v>
      </c>
      <c r="K24" s="104">
        <v>160</v>
      </c>
      <c r="L24" s="104">
        <v>1300</v>
      </c>
      <c r="M24" s="150">
        <v>7.5995152320321431</v>
      </c>
      <c r="N24" s="78">
        <v>212.45992622702175</v>
      </c>
      <c r="O24" s="109">
        <v>16342.965284079908</v>
      </c>
      <c r="P24" s="111">
        <v>19295.849347640964</v>
      </c>
      <c r="Q24" s="254">
        <v>8593.8998786581724</v>
      </c>
      <c r="R24" s="258">
        <v>24936.865162738082</v>
      </c>
      <c r="S24" s="259">
        <v>27889.749226299136</v>
      </c>
      <c r="U24" s="7" t="s">
        <v>1067</v>
      </c>
    </row>
    <row r="25" spans="1:21" s="65" customFormat="1" ht="16.5" customHeight="1" thickBot="1">
      <c r="A25" s="41" t="s">
        <v>31</v>
      </c>
      <c r="B25" s="42">
        <f t="shared" si="0"/>
        <v>70</v>
      </c>
      <c r="C25" s="42" t="s">
        <v>3</v>
      </c>
      <c r="D25" s="42">
        <f t="shared" si="1"/>
        <v>160</v>
      </c>
      <c r="E25" s="42" t="s">
        <v>3</v>
      </c>
      <c r="F25" s="101">
        <f t="shared" si="2"/>
        <v>1350</v>
      </c>
      <c r="G25" s="42" t="s">
        <v>3</v>
      </c>
      <c r="H25" s="39">
        <v>2</v>
      </c>
      <c r="I25" s="40" t="s">
        <v>40</v>
      </c>
      <c r="J25" s="149">
        <v>70</v>
      </c>
      <c r="K25" s="104">
        <v>160</v>
      </c>
      <c r="L25" s="104">
        <v>1350</v>
      </c>
      <c r="M25" s="150">
        <v>7.8745178011978565</v>
      </c>
      <c r="N25" s="78">
        <v>223.64202760739133</v>
      </c>
      <c r="O25" s="109">
        <v>16770.242408220965</v>
      </c>
      <c r="P25" s="111">
        <v>19819.485777634698</v>
      </c>
      <c r="Q25" s="254">
        <v>8922.6808032703484</v>
      </c>
      <c r="R25" s="258">
        <v>25692.923211491314</v>
      </c>
      <c r="S25" s="259">
        <v>28742.166580905046</v>
      </c>
      <c r="U25" s="7" t="s">
        <v>1068</v>
      </c>
    </row>
    <row r="26" spans="1:21" s="65" customFormat="1" ht="16.5" customHeight="1" thickBot="1">
      <c r="A26" s="41" t="s">
        <v>31</v>
      </c>
      <c r="B26" s="42">
        <f t="shared" si="0"/>
        <v>70</v>
      </c>
      <c r="C26" s="42" t="s">
        <v>3</v>
      </c>
      <c r="D26" s="42">
        <f t="shared" si="1"/>
        <v>160</v>
      </c>
      <c r="E26" s="42" t="s">
        <v>3</v>
      </c>
      <c r="F26" s="101">
        <f t="shared" si="2"/>
        <v>1400</v>
      </c>
      <c r="G26" s="42" t="s">
        <v>3</v>
      </c>
      <c r="H26" s="39">
        <v>2</v>
      </c>
      <c r="I26" s="40" t="s">
        <v>40</v>
      </c>
      <c r="J26" s="149">
        <v>70</v>
      </c>
      <c r="K26" s="104">
        <v>160</v>
      </c>
      <c r="L26" s="104">
        <v>1400</v>
      </c>
      <c r="M26" s="150">
        <v>8.1495203703635717</v>
      </c>
      <c r="N26" s="78">
        <v>234.8241289877609</v>
      </c>
      <c r="O26" s="109">
        <v>17197.519532362025</v>
      </c>
      <c r="P26" s="111">
        <v>20343.122207628428</v>
      </c>
      <c r="Q26" s="254">
        <v>9251.4615748537599</v>
      </c>
      <c r="R26" s="258">
        <v>26448.981107215783</v>
      </c>
      <c r="S26" s="259">
        <v>29594.583782482187</v>
      </c>
      <c r="U26" s="7" t="s">
        <v>1069</v>
      </c>
    </row>
    <row r="27" spans="1:21" s="65" customFormat="1" ht="16.5" customHeight="1" thickBot="1">
      <c r="A27" s="41" t="s">
        <v>31</v>
      </c>
      <c r="B27" s="42">
        <f t="shared" si="0"/>
        <v>70</v>
      </c>
      <c r="C27" s="42" t="s">
        <v>3</v>
      </c>
      <c r="D27" s="42">
        <f t="shared" si="1"/>
        <v>160</v>
      </c>
      <c r="E27" s="42" t="s">
        <v>3</v>
      </c>
      <c r="F27" s="101">
        <f t="shared" si="2"/>
        <v>1450</v>
      </c>
      <c r="G27" s="42" t="s">
        <v>3</v>
      </c>
      <c r="H27" s="39">
        <v>2</v>
      </c>
      <c r="I27" s="40" t="s">
        <v>40</v>
      </c>
      <c r="J27" s="149">
        <v>70</v>
      </c>
      <c r="K27" s="104">
        <v>160</v>
      </c>
      <c r="L27" s="104">
        <v>1450</v>
      </c>
      <c r="M27" s="150">
        <v>8.424522939529286</v>
      </c>
      <c r="N27" s="78">
        <v>246.00623036813047</v>
      </c>
      <c r="O27" s="109">
        <v>17624.79665650308</v>
      </c>
      <c r="P27" s="111">
        <v>20866.758484593396</v>
      </c>
      <c r="Q27" s="254">
        <v>9580.2423464371714</v>
      </c>
      <c r="R27" s="258">
        <v>27205.039002940252</v>
      </c>
      <c r="S27" s="259">
        <v>30447.000831030567</v>
      </c>
      <c r="U27" s="7" t="s">
        <v>1070</v>
      </c>
    </row>
    <row r="28" spans="1:21" s="65" customFormat="1" ht="16.5" customHeight="1" thickBot="1">
      <c r="A28" s="41" t="s">
        <v>31</v>
      </c>
      <c r="B28" s="42">
        <f t="shared" si="0"/>
        <v>70</v>
      </c>
      <c r="C28" s="42" t="s">
        <v>3</v>
      </c>
      <c r="D28" s="42">
        <f t="shared" si="1"/>
        <v>160</v>
      </c>
      <c r="E28" s="42" t="s">
        <v>3</v>
      </c>
      <c r="F28" s="101">
        <f t="shared" si="2"/>
        <v>1500</v>
      </c>
      <c r="G28" s="42" t="s">
        <v>3</v>
      </c>
      <c r="H28" s="39">
        <v>2</v>
      </c>
      <c r="I28" s="40" t="s">
        <v>40</v>
      </c>
      <c r="J28" s="149">
        <v>70</v>
      </c>
      <c r="K28" s="104">
        <v>160</v>
      </c>
      <c r="L28" s="104">
        <v>1500</v>
      </c>
      <c r="M28" s="150">
        <v>8.7712879374949999</v>
      </c>
      <c r="N28" s="78">
        <v>257.18833174849999</v>
      </c>
      <c r="O28" s="109">
        <v>18640.058194257872</v>
      </c>
      <c r="P28" s="111">
        <v>21878.158647517786</v>
      </c>
      <c r="Q28" s="254">
        <v>9909.0231180205828</v>
      </c>
      <c r="R28" s="258">
        <v>28549.081312278453</v>
      </c>
      <c r="S28" s="259">
        <v>31787.181765538371</v>
      </c>
      <c r="U28" s="7" t="s">
        <v>1071</v>
      </c>
    </row>
    <row r="29" spans="1:21" s="65" customFormat="1" ht="16.5" customHeight="1" thickBot="1">
      <c r="A29" s="41" t="s">
        <v>31</v>
      </c>
      <c r="B29" s="42">
        <f t="shared" si="0"/>
        <v>70</v>
      </c>
      <c r="C29" s="42" t="s">
        <v>3</v>
      </c>
      <c r="D29" s="42">
        <f t="shared" si="1"/>
        <v>160</v>
      </c>
      <c r="E29" s="42" t="s">
        <v>3</v>
      </c>
      <c r="F29" s="101">
        <f t="shared" si="2"/>
        <v>1550</v>
      </c>
      <c r="G29" s="42" t="s">
        <v>3</v>
      </c>
      <c r="H29" s="39">
        <v>2</v>
      </c>
      <c r="I29" s="40" t="s">
        <v>40</v>
      </c>
      <c r="J29" s="149">
        <v>70</v>
      </c>
      <c r="K29" s="104">
        <v>160</v>
      </c>
      <c r="L29" s="104">
        <v>1550</v>
      </c>
      <c r="M29" s="150">
        <v>9.0462905066607142</v>
      </c>
      <c r="N29" s="78">
        <v>268.37043312886959</v>
      </c>
      <c r="O29" s="109">
        <v>19067.335318398927</v>
      </c>
      <c r="P29" s="111">
        <v>22401.795077511521</v>
      </c>
      <c r="Q29" s="254">
        <v>10237.804042632759</v>
      </c>
      <c r="R29" s="258">
        <v>29305.139361031688</v>
      </c>
      <c r="S29" s="259">
        <v>32639.599120144281</v>
      </c>
      <c r="U29" s="7" t="s">
        <v>1072</v>
      </c>
    </row>
    <row r="30" spans="1:21" s="65" customFormat="1" ht="16.5" customHeight="1" thickBot="1">
      <c r="A30" s="38" t="s">
        <v>31</v>
      </c>
      <c r="B30" s="39">
        <f t="shared" si="0"/>
        <v>70</v>
      </c>
      <c r="C30" s="39" t="s">
        <v>3</v>
      </c>
      <c r="D30" s="39">
        <f t="shared" si="1"/>
        <v>160</v>
      </c>
      <c r="E30" s="39" t="s">
        <v>3</v>
      </c>
      <c r="F30" s="101">
        <f t="shared" si="2"/>
        <v>1600</v>
      </c>
      <c r="G30" s="39" t="s">
        <v>3</v>
      </c>
      <c r="H30" s="39">
        <v>2</v>
      </c>
      <c r="I30" s="40" t="s">
        <v>40</v>
      </c>
      <c r="J30" s="149">
        <v>70</v>
      </c>
      <c r="K30" s="104">
        <v>160</v>
      </c>
      <c r="L30" s="104">
        <v>1600</v>
      </c>
      <c r="M30" s="150">
        <v>9.3212930758264285</v>
      </c>
      <c r="N30" s="78">
        <v>279.55253450923914</v>
      </c>
      <c r="O30" s="109">
        <v>19494.612442539987</v>
      </c>
      <c r="P30" s="111">
        <v>22925.431507505251</v>
      </c>
      <c r="Q30" s="254">
        <v>10566.58481421617</v>
      </c>
      <c r="R30" s="258">
        <v>30061.197256756157</v>
      </c>
      <c r="S30" s="259">
        <v>33492.016321721421</v>
      </c>
      <c r="U30" s="7" t="s">
        <v>1073</v>
      </c>
    </row>
    <row r="31" spans="1:21" s="65" customFormat="1" ht="16.5" customHeight="1" thickBot="1">
      <c r="A31" s="41" t="s">
        <v>31</v>
      </c>
      <c r="B31" s="42">
        <f t="shared" si="0"/>
        <v>70</v>
      </c>
      <c r="C31" s="42" t="s">
        <v>3</v>
      </c>
      <c r="D31" s="42">
        <f t="shared" si="1"/>
        <v>160</v>
      </c>
      <c r="E31" s="42" t="s">
        <v>3</v>
      </c>
      <c r="F31" s="101">
        <f t="shared" si="2"/>
        <v>1650</v>
      </c>
      <c r="G31" s="42" t="s">
        <v>3</v>
      </c>
      <c r="H31" s="39">
        <v>2</v>
      </c>
      <c r="I31" s="40" t="s">
        <v>40</v>
      </c>
      <c r="J31" s="149">
        <v>70</v>
      </c>
      <c r="K31" s="104">
        <v>160</v>
      </c>
      <c r="L31" s="104">
        <v>1650</v>
      </c>
      <c r="M31" s="150">
        <v>9.5962956449921428</v>
      </c>
      <c r="N31" s="78">
        <v>290.73463588960874</v>
      </c>
      <c r="O31" s="109">
        <v>19921.889566681042</v>
      </c>
      <c r="P31" s="111">
        <v>23449.067937498985</v>
      </c>
      <c r="Q31" s="254">
        <v>10895.365585799582</v>
      </c>
      <c r="R31" s="258">
        <v>30817.255152480626</v>
      </c>
      <c r="S31" s="259">
        <v>34344.433523298569</v>
      </c>
      <c r="U31" s="7" t="s">
        <v>1074</v>
      </c>
    </row>
    <row r="32" spans="1:21" s="65" customFormat="1" ht="16.5" customHeight="1" thickBot="1">
      <c r="A32" s="41" t="s">
        <v>31</v>
      </c>
      <c r="B32" s="42">
        <f t="shared" si="0"/>
        <v>70</v>
      </c>
      <c r="C32" s="42" t="s">
        <v>3</v>
      </c>
      <c r="D32" s="42">
        <f t="shared" si="1"/>
        <v>160</v>
      </c>
      <c r="E32" s="42" t="s">
        <v>3</v>
      </c>
      <c r="F32" s="101">
        <f t="shared" si="2"/>
        <v>1700</v>
      </c>
      <c r="G32" s="42" t="s">
        <v>3</v>
      </c>
      <c r="H32" s="39">
        <v>2</v>
      </c>
      <c r="I32" s="40" t="s">
        <v>40</v>
      </c>
      <c r="J32" s="149">
        <v>70</v>
      </c>
      <c r="K32" s="104">
        <v>160</v>
      </c>
      <c r="L32" s="104">
        <v>1700</v>
      </c>
      <c r="M32" s="150">
        <v>9.8712982141578571</v>
      </c>
      <c r="N32" s="78">
        <v>301.91673726997828</v>
      </c>
      <c r="O32" s="109">
        <v>20349.166843850868</v>
      </c>
      <c r="P32" s="111">
        <v>23972.704214463953</v>
      </c>
      <c r="Q32" s="254">
        <v>11224.146510411758</v>
      </c>
      <c r="R32" s="258">
        <v>31573.313354262624</v>
      </c>
      <c r="S32" s="259">
        <v>35196.850724875709</v>
      </c>
      <c r="U32" s="7" t="s">
        <v>1075</v>
      </c>
    </row>
    <row r="33" spans="1:21" s="65" customFormat="1" ht="16.5" customHeight="1" thickBot="1">
      <c r="A33" s="41" t="s">
        <v>31</v>
      </c>
      <c r="B33" s="42">
        <f t="shared" si="0"/>
        <v>70</v>
      </c>
      <c r="C33" s="42" t="s">
        <v>3</v>
      </c>
      <c r="D33" s="42">
        <f t="shared" si="1"/>
        <v>160</v>
      </c>
      <c r="E33" s="42" t="s">
        <v>3</v>
      </c>
      <c r="F33" s="101">
        <f t="shared" si="2"/>
        <v>1750</v>
      </c>
      <c r="G33" s="42" t="s">
        <v>3</v>
      </c>
      <c r="H33" s="39">
        <v>2</v>
      </c>
      <c r="I33" s="40" t="s">
        <v>40</v>
      </c>
      <c r="J33" s="149">
        <v>70</v>
      </c>
      <c r="K33" s="104">
        <v>160</v>
      </c>
      <c r="L33" s="104">
        <v>1750</v>
      </c>
      <c r="M33" s="150">
        <v>10.146300783323571</v>
      </c>
      <c r="N33" s="78">
        <v>313.09883865034783</v>
      </c>
      <c r="O33" s="109">
        <v>20776.443967991923</v>
      </c>
      <c r="P33" s="111">
        <v>24496.340644457683</v>
      </c>
      <c r="Q33" s="254">
        <v>11552.927281995169</v>
      </c>
      <c r="R33" s="258">
        <v>32329.371249987093</v>
      </c>
      <c r="S33" s="259">
        <v>36049.267926452856</v>
      </c>
      <c r="U33" s="7" t="s">
        <v>1076</v>
      </c>
    </row>
    <row r="34" spans="1:21" s="65" customFormat="1" ht="16.5" customHeight="1" thickBot="1">
      <c r="A34" s="41" t="s">
        <v>31</v>
      </c>
      <c r="B34" s="42">
        <f t="shared" si="0"/>
        <v>70</v>
      </c>
      <c r="C34" s="42" t="s">
        <v>3</v>
      </c>
      <c r="D34" s="42">
        <f t="shared" si="1"/>
        <v>160</v>
      </c>
      <c r="E34" s="42" t="s">
        <v>3</v>
      </c>
      <c r="F34" s="101">
        <f t="shared" si="2"/>
        <v>1800</v>
      </c>
      <c r="G34" s="42" t="s">
        <v>3</v>
      </c>
      <c r="H34" s="39">
        <v>2</v>
      </c>
      <c r="I34" s="40" t="s">
        <v>40</v>
      </c>
      <c r="J34" s="149">
        <v>70</v>
      </c>
      <c r="K34" s="104">
        <v>160</v>
      </c>
      <c r="L34" s="104">
        <v>1800</v>
      </c>
      <c r="M34" s="150">
        <v>10.421303352489284</v>
      </c>
      <c r="N34" s="78">
        <v>324.28094003071743</v>
      </c>
      <c r="O34" s="109">
        <v>21203.721092132979</v>
      </c>
      <c r="P34" s="111">
        <v>25019.977074451417</v>
      </c>
      <c r="Q34" s="254">
        <v>11881.708053578581</v>
      </c>
      <c r="R34" s="258">
        <v>33085.429145711561</v>
      </c>
      <c r="S34" s="259">
        <v>36901.685128029996</v>
      </c>
      <c r="U34" s="7" t="s">
        <v>1077</v>
      </c>
    </row>
    <row r="35" spans="1:21" s="65" customFormat="1" ht="16.5" customHeight="1" thickBot="1">
      <c r="A35" s="41" t="s">
        <v>31</v>
      </c>
      <c r="B35" s="42">
        <f t="shared" si="0"/>
        <v>70</v>
      </c>
      <c r="C35" s="42" t="s">
        <v>3</v>
      </c>
      <c r="D35" s="42">
        <f t="shared" si="1"/>
        <v>160</v>
      </c>
      <c r="E35" s="42" t="s">
        <v>3</v>
      </c>
      <c r="F35" s="101">
        <f t="shared" si="2"/>
        <v>1850</v>
      </c>
      <c r="G35" s="42" t="s">
        <v>3</v>
      </c>
      <c r="H35" s="39">
        <v>2</v>
      </c>
      <c r="I35" s="40" t="s">
        <v>40</v>
      </c>
      <c r="J35" s="149">
        <v>70</v>
      </c>
      <c r="K35" s="104">
        <v>160</v>
      </c>
      <c r="L35" s="104">
        <v>1850</v>
      </c>
      <c r="M35" s="150">
        <v>10.696305921655</v>
      </c>
      <c r="N35" s="78">
        <v>335.46304141108698</v>
      </c>
      <c r="O35" s="109">
        <v>21630.998369302804</v>
      </c>
      <c r="P35" s="111">
        <v>25543.613504445148</v>
      </c>
      <c r="Q35" s="254">
        <v>12210.488978190757</v>
      </c>
      <c r="R35" s="258">
        <v>33841.487347493559</v>
      </c>
      <c r="S35" s="259">
        <v>37754.102482635906</v>
      </c>
      <c r="U35" s="7" t="s">
        <v>1078</v>
      </c>
    </row>
    <row r="36" spans="1:21" s="65" customFormat="1" ht="16.5" customHeight="1" thickBot="1">
      <c r="A36" s="41" t="s">
        <v>31</v>
      </c>
      <c r="B36" s="42">
        <f t="shared" si="0"/>
        <v>70</v>
      </c>
      <c r="C36" s="42" t="s">
        <v>3</v>
      </c>
      <c r="D36" s="42">
        <f t="shared" si="1"/>
        <v>160</v>
      </c>
      <c r="E36" s="42" t="s">
        <v>3</v>
      </c>
      <c r="F36" s="101">
        <f t="shared" si="2"/>
        <v>1900</v>
      </c>
      <c r="G36" s="42" t="s">
        <v>3</v>
      </c>
      <c r="H36" s="39">
        <v>2</v>
      </c>
      <c r="I36" s="40" t="s">
        <v>40</v>
      </c>
      <c r="J36" s="149">
        <v>70</v>
      </c>
      <c r="K36" s="104">
        <v>160</v>
      </c>
      <c r="L36" s="104">
        <v>1900</v>
      </c>
      <c r="M36" s="150">
        <v>10.971308490820714</v>
      </c>
      <c r="N36" s="78">
        <v>346.64514279145658</v>
      </c>
      <c r="O36" s="109">
        <v>22058.27549344386</v>
      </c>
      <c r="P36" s="111">
        <v>26067.249934438882</v>
      </c>
      <c r="Q36" s="254">
        <v>12539.26974977417</v>
      </c>
      <c r="R36" s="258">
        <v>34597.545243218032</v>
      </c>
      <c r="S36" s="259">
        <v>38606.519684213054</v>
      </c>
      <c r="U36" s="7" t="s">
        <v>1079</v>
      </c>
    </row>
    <row r="37" spans="1:21" s="65" customFormat="1" ht="16.5" customHeight="1" thickBot="1">
      <c r="A37" s="41" t="s">
        <v>31</v>
      </c>
      <c r="B37" s="42">
        <f t="shared" si="0"/>
        <v>70</v>
      </c>
      <c r="C37" s="42" t="s">
        <v>3</v>
      </c>
      <c r="D37" s="42">
        <f t="shared" si="1"/>
        <v>160</v>
      </c>
      <c r="E37" s="42" t="s">
        <v>3</v>
      </c>
      <c r="F37" s="101">
        <f t="shared" si="2"/>
        <v>1950</v>
      </c>
      <c r="G37" s="42" t="s">
        <v>3</v>
      </c>
      <c r="H37" s="39">
        <v>2</v>
      </c>
      <c r="I37" s="40" t="s">
        <v>40</v>
      </c>
      <c r="J37" s="149">
        <v>70</v>
      </c>
      <c r="K37" s="104">
        <v>160</v>
      </c>
      <c r="L37" s="104">
        <v>1950</v>
      </c>
      <c r="M37" s="150">
        <v>11.285561059986428</v>
      </c>
      <c r="N37" s="78">
        <v>357.82724417182612</v>
      </c>
      <c r="O37" s="109">
        <v>22535.552930244328</v>
      </c>
      <c r="P37" s="111">
        <v>26639.362510591378</v>
      </c>
      <c r="Q37" s="254">
        <v>12868.050521357582</v>
      </c>
      <c r="R37" s="258">
        <v>35403.603451601914</v>
      </c>
      <c r="S37" s="259">
        <v>39507.413031948963</v>
      </c>
      <c r="U37" s="7" t="s">
        <v>1080</v>
      </c>
    </row>
    <row r="38" spans="1:21" s="65" customFormat="1" ht="16.5" customHeight="1" thickBot="1">
      <c r="A38" s="41" t="s">
        <v>31</v>
      </c>
      <c r="B38" s="42">
        <f t="shared" si="0"/>
        <v>70</v>
      </c>
      <c r="C38" s="42" t="s">
        <v>3</v>
      </c>
      <c r="D38" s="42">
        <f t="shared" si="1"/>
        <v>160</v>
      </c>
      <c r="E38" s="42" t="s">
        <v>3</v>
      </c>
      <c r="F38" s="101">
        <f t="shared" si="2"/>
        <v>2000</v>
      </c>
      <c r="G38" s="42" t="s">
        <v>3</v>
      </c>
      <c r="H38" s="39">
        <v>2</v>
      </c>
      <c r="I38" s="40" t="s">
        <v>40</v>
      </c>
      <c r="J38" s="149">
        <v>70</v>
      </c>
      <c r="K38" s="104">
        <v>160</v>
      </c>
      <c r="L38" s="104">
        <v>2000</v>
      </c>
      <c r="M38" s="150">
        <v>11.652126029152143</v>
      </c>
      <c r="N38" s="78">
        <v>369.00934555219567</v>
      </c>
      <c r="O38" s="109">
        <v>23214.121956229981</v>
      </c>
      <c r="P38" s="111">
        <v>27491.427439951207</v>
      </c>
      <c r="Q38" s="254">
        <v>13196.831445969756</v>
      </c>
      <c r="R38" s="258">
        <v>36410.953402199739</v>
      </c>
      <c r="S38" s="259">
        <v>40688.258885920965</v>
      </c>
      <c r="U38" s="7" t="s">
        <v>1081</v>
      </c>
    </row>
    <row r="39" spans="1:21" s="65" customFormat="1" ht="16.5" customHeight="1" thickBot="1">
      <c r="A39" s="41" t="s">
        <v>31</v>
      </c>
      <c r="B39" s="42">
        <f t="shared" si="0"/>
        <v>70</v>
      </c>
      <c r="C39" s="42" t="s">
        <v>3</v>
      </c>
      <c r="D39" s="42">
        <f t="shared" si="1"/>
        <v>160</v>
      </c>
      <c r="E39" s="42" t="s">
        <v>3</v>
      </c>
      <c r="F39" s="101">
        <f t="shared" si="2"/>
        <v>2050</v>
      </c>
      <c r="G39" s="42" t="s">
        <v>3</v>
      </c>
      <c r="H39" s="39">
        <v>2</v>
      </c>
      <c r="I39" s="40" t="s">
        <v>40</v>
      </c>
      <c r="J39" s="149">
        <v>70</v>
      </c>
      <c r="K39" s="104">
        <v>160</v>
      </c>
      <c r="L39" s="104">
        <v>2050</v>
      </c>
      <c r="M39" s="150">
        <v>11.927128598317857</v>
      </c>
      <c r="N39" s="78">
        <v>380.19144693256527</v>
      </c>
      <c r="O39" s="109">
        <v>23641.399080371037</v>
      </c>
      <c r="P39" s="111">
        <v>28015.063869944941</v>
      </c>
      <c r="Q39" s="254">
        <v>13525.612217553169</v>
      </c>
      <c r="R39" s="258">
        <v>37167.011297924204</v>
      </c>
      <c r="S39" s="259">
        <v>41540.676087498112</v>
      </c>
      <c r="U39" s="7" t="s">
        <v>1082</v>
      </c>
    </row>
    <row r="40" spans="1:21" s="65" customFormat="1" ht="16.5" customHeight="1" thickBot="1">
      <c r="A40" s="38" t="s">
        <v>31</v>
      </c>
      <c r="B40" s="39">
        <f t="shared" si="0"/>
        <v>70</v>
      </c>
      <c r="C40" s="39" t="s">
        <v>3</v>
      </c>
      <c r="D40" s="39">
        <f t="shared" si="1"/>
        <v>160</v>
      </c>
      <c r="E40" s="39" t="s">
        <v>3</v>
      </c>
      <c r="F40" s="101">
        <f t="shared" si="2"/>
        <v>2100</v>
      </c>
      <c r="G40" s="39" t="s">
        <v>3</v>
      </c>
      <c r="H40" s="39">
        <v>2</v>
      </c>
      <c r="I40" s="40" t="s">
        <v>40</v>
      </c>
      <c r="J40" s="149">
        <v>70</v>
      </c>
      <c r="K40" s="104">
        <v>160</v>
      </c>
      <c r="L40" s="104">
        <v>2100</v>
      </c>
      <c r="M40" s="150">
        <v>12.202131167483572</v>
      </c>
      <c r="N40" s="78">
        <v>391.37354831293482</v>
      </c>
      <c r="O40" s="109">
        <v>24068.676204512096</v>
      </c>
      <c r="P40" s="111">
        <v>28538.700299938668</v>
      </c>
      <c r="Q40" s="254">
        <v>13854.392989136581</v>
      </c>
      <c r="R40" s="258">
        <v>37923.069193648676</v>
      </c>
      <c r="S40" s="259">
        <v>42393.093289075245</v>
      </c>
      <c r="U40" s="7" t="s">
        <v>1083</v>
      </c>
    </row>
    <row r="41" spans="1:21" s="65" customFormat="1" ht="16.5" customHeight="1" thickBot="1">
      <c r="A41" s="41" t="s">
        <v>31</v>
      </c>
      <c r="B41" s="42">
        <f t="shared" si="0"/>
        <v>70</v>
      </c>
      <c r="C41" s="42" t="s">
        <v>3</v>
      </c>
      <c r="D41" s="42">
        <f t="shared" si="1"/>
        <v>160</v>
      </c>
      <c r="E41" s="42" t="s">
        <v>3</v>
      </c>
      <c r="F41" s="101">
        <f t="shared" si="2"/>
        <v>2150</v>
      </c>
      <c r="G41" s="42" t="s">
        <v>3</v>
      </c>
      <c r="H41" s="39">
        <v>2</v>
      </c>
      <c r="I41" s="40" t="s">
        <v>40</v>
      </c>
      <c r="J41" s="149">
        <v>70</v>
      </c>
      <c r="K41" s="104">
        <v>160</v>
      </c>
      <c r="L41" s="104">
        <v>2150</v>
      </c>
      <c r="M41" s="150">
        <v>12.477133736649286</v>
      </c>
      <c r="N41" s="78">
        <v>402.55564969330442</v>
      </c>
      <c r="O41" s="109">
        <v>24495.953328653151</v>
      </c>
      <c r="P41" s="111">
        <v>29062.336576903635</v>
      </c>
      <c r="Q41" s="254">
        <v>14183.173760719992</v>
      </c>
      <c r="R41" s="258">
        <v>38679.127089373142</v>
      </c>
      <c r="S41" s="259">
        <v>43245.510337623629</v>
      </c>
      <c r="U41" s="7" t="s">
        <v>1084</v>
      </c>
    </row>
    <row r="42" spans="1:21" s="65" customFormat="1" ht="16.5" customHeight="1" thickBot="1">
      <c r="A42" s="41" t="s">
        <v>31</v>
      </c>
      <c r="B42" s="42">
        <f t="shared" si="0"/>
        <v>70</v>
      </c>
      <c r="C42" s="42" t="s">
        <v>3</v>
      </c>
      <c r="D42" s="42">
        <f t="shared" si="1"/>
        <v>160</v>
      </c>
      <c r="E42" s="42" t="s">
        <v>3</v>
      </c>
      <c r="F42" s="101">
        <f t="shared" si="2"/>
        <v>2200</v>
      </c>
      <c r="G42" s="42" t="s">
        <v>3</v>
      </c>
      <c r="H42" s="39">
        <v>2</v>
      </c>
      <c r="I42" s="40" t="s">
        <v>40</v>
      </c>
      <c r="J42" s="149">
        <v>70</v>
      </c>
      <c r="K42" s="104">
        <v>160</v>
      </c>
      <c r="L42" s="104">
        <v>2200</v>
      </c>
      <c r="M42" s="150">
        <v>12.752136305815</v>
      </c>
      <c r="N42" s="78">
        <v>413.73775107367396</v>
      </c>
      <c r="O42" s="109">
        <v>24923.230605822973</v>
      </c>
      <c r="P42" s="111">
        <v>29585.973006897369</v>
      </c>
      <c r="Q42" s="254">
        <v>14511.954685332166</v>
      </c>
      <c r="R42" s="258">
        <v>39435.18529115514</v>
      </c>
      <c r="S42" s="259">
        <v>44097.927692229539</v>
      </c>
      <c r="U42" s="7" t="s">
        <v>1085</v>
      </c>
    </row>
    <row r="43" spans="1:21" s="65" customFormat="1" ht="16.5" customHeight="1" thickBot="1">
      <c r="A43" s="41" t="s">
        <v>31</v>
      </c>
      <c r="B43" s="42">
        <f t="shared" si="0"/>
        <v>70</v>
      </c>
      <c r="C43" s="42" t="s">
        <v>3</v>
      </c>
      <c r="D43" s="42">
        <f t="shared" si="1"/>
        <v>160</v>
      </c>
      <c r="E43" s="42" t="s">
        <v>3</v>
      </c>
      <c r="F43" s="101">
        <f t="shared" si="2"/>
        <v>2250</v>
      </c>
      <c r="G43" s="42" t="s">
        <v>3</v>
      </c>
      <c r="H43" s="39">
        <v>2</v>
      </c>
      <c r="I43" s="40" t="s">
        <v>40</v>
      </c>
      <c r="J43" s="149">
        <v>70</v>
      </c>
      <c r="K43" s="104">
        <v>160</v>
      </c>
      <c r="L43" s="104">
        <v>2250</v>
      </c>
      <c r="M43" s="150">
        <v>13.027138874980714</v>
      </c>
      <c r="N43" s="78">
        <v>424.91985245404351</v>
      </c>
      <c r="O43" s="109">
        <v>25350.507729964029</v>
      </c>
      <c r="P43" s="111">
        <v>30109.609436891104</v>
      </c>
      <c r="Q43" s="254">
        <v>14840.735456915578</v>
      </c>
      <c r="R43" s="258">
        <v>40191.243186879605</v>
      </c>
      <c r="S43" s="259">
        <v>44950.344893806679</v>
      </c>
      <c r="U43" s="7" t="s">
        <v>1086</v>
      </c>
    </row>
    <row r="44" spans="1:21" s="65" customFormat="1" ht="16.5" customHeight="1" thickBot="1">
      <c r="A44" s="41" t="s">
        <v>31</v>
      </c>
      <c r="B44" s="42">
        <f t="shared" si="0"/>
        <v>70</v>
      </c>
      <c r="C44" s="42" t="s">
        <v>3</v>
      </c>
      <c r="D44" s="42">
        <f t="shared" si="1"/>
        <v>160</v>
      </c>
      <c r="E44" s="42" t="s">
        <v>3</v>
      </c>
      <c r="F44" s="101">
        <f t="shared" si="2"/>
        <v>2300</v>
      </c>
      <c r="G44" s="42" t="s">
        <v>3</v>
      </c>
      <c r="H44" s="39">
        <v>2</v>
      </c>
      <c r="I44" s="40" t="s">
        <v>40</v>
      </c>
      <c r="J44" s="149">
        <v>70</v>
      </c>
      <c r="K44" s="104">
        <v>160</v>
      </c>
      <c r="L44" s="104">
        <v>2300</v>
      </c>
      <c r="M44" s="150">
        <v>13.302141444146429</v>
      </c>
      <c r="N44" s="78">
        <v>436.10195383441305</v>
      </c>
      <c r="O44" s="109">
        <v>25777.784854105092</v>
      </c>
      <c r="P44" s="111">
        <v>30633.245866884838</v>
      </c>
      <c r="Q44" s="254">
        <v>15169.516228498989</v>
      </c>
      <c r="R44" s="258">
        <v>40947.301082604085</v>
      </c>
      <c r="S44" s="259">
        <v>45802.762095383827</v>
      </c>
      <c r="U44" s="7" t="s">
        <v>1087</v>
      </c>
    </row>
    <row r="45" spans="1:21" s="65" customFormat="1" ht="16.5" customHeight="1" thickBot="1">
      <c r="A45" s="41" t="s">
        <v>31</v>
      </c>
      <c r="B45" s="42">
        <f t="shared" si="0"/>
        <v>70</v>
      </c>
      <c r="C45" s="42" t="s">
        <v>3</v>
      </c>
      <c r="D45" s="42">
        <f t="shared" si="1"/>
        <v>160</v>
      </c>
      <c r="E45" s="42" t="s">
        <v>3</v>
      </c>
      <c r="F45" s="101">
        <f t="shared" si="2"/>
        <v>2350</v>
      </c>
      <c r="G45" s="42" t="s">
        <v>3</v>
      </c>
      <c r="H45" s="39">
        <v>2</v>
      </c>
      <c r="I45" s="40" t="s">
        <v>40</v>
      </c>
      <c r="J45" s="149">
        <v>70</v>
      </c>
      <c r="K45" s="104">
        <v>160</v>
      </c>
      <c r="L45" s="104">
        <v>2350</v>
      </c>
      <c r="M45" s="150">
        <v>13.577144013312143</v>
      </c>
      <c r="N45" s="78">
        <v>447.28405521478265</v>
      </c>
      <c r="O45" s="109">
        <v>26205.061978246147</v>
      </c>
      <c r="P45" s="111">
        <v>31156.882296878564</v>
      </c>
      <c r="Q45" s="254">
        <v>15498.297153111165</v>
      </c>
      <c r="R45" s="258">
        <v>41703.359131357312</v>
      </c>
      <c r="S45" s="259">
        <v>46655.17944998973</v>
      </c>
      <c r="U45" s="7" t="s">
        <v>1088</v>
      </c>
    </row>
    <row r="46" spans="1:21" s="65" customFormat="1" ht="16.5" customHeight="1" thickBot="1">
      <c r="A46" s="41" t="s">
        <v>31</v>
      </c>
      <c r="B46" s="42">
        <f t="shared" si="0"/>
        <v>70</v>
      </c>
      <c r="C46" s="42" t="s">
        <v>3</v>
      </c>
      <c r="D46" s="42">
        <f t="shared" si="1"/>
        <v>160</v>
      </c>
      <c r="E46" s="42" t="s">
        <v>3</v>
      </c>
      <c r="F46" s="101">
        <f t="shared" si="2"/>
        <v>2400</v>
      </c>
      <c r="G46" s="42" t="s">
        <v>3</v>
      </c>
      <c r="H46" s="39">
        <v>2</v>
      </c>
      <c r="I46" s="40" t="s">
        <v>40</v>
      </c>
      <c r="J46" s="149">
        <v>70</v>
      </c>
      <c r="K46" s="104">
        <v>160</v>
      </c>
      <c r="L46" s="104">
        <v>2400</v>
      </c>
      <c r="M46" s="150">
        <v>13.852146582477857</v>
      </c>
      <c r="N46" s="78">
        <v>458.4661565951522</v>
      </c>
      <c r="O46" s="109">
        <v>26632.339255415969</v>
      </c>
      <c r="P46" s="111">
        <v>31680.518726872298</v>
      </c>
      <c r="Q46" s="254">
        <v>15827.077924694577</v>
      </c>
      <c r="R46" s="258">
        <v>42459.417180110548</v>
      </c>
      <c r="S46" s="259">
        <v>47507.596651566877</v>
      </c>
      <c r="U46" s="7" t="s">
        <v>1089</v>
      </c>
    </row>
    <row r="47" spans="1:21" s="65" customFormat="1" ht="16.5" customHeight="1" thickBot="1">
      <c r="A47" s="41" t="s">
        <v>31</v>
      </c>
      <c r="B47" s="42">
        <f t="shared" si="0"/>
        <v>70</v>
      </c>
      <c r="C47" s="42" t="s">
        <v>3</v>
      </c>
      <c r="D47" s="42">
        <f t="shared" si="1"/>
        <v>160</v>
      </c>
      <c r="E47" s="42" t="s">
        <v>3</v>
      </c>
      <c r="F47" s="101">
        <f t="shared" si="2"/>
        <v>2450</v>
      </c>
      <c r="G47" s="42" t="s">
        <v>3</v>
      </c>
      <c r="H47" s="39">
        <v>2</v>
      </c>
      <c r="I47" s="40" t="s">
        <v>40</v>
      </c>
      <c r="J47" s="149">
        <v>70</v>
      </c>
      <c r="K47" s="104">
        <v>160</v>
      </c>
      <c r="L47" s="104">
        <v>2450</v>
      </c>
      <c r="M47" s="150">
        <v>14.198911580443571</v>
      </c>
      <c r="N47" s="78">
        <v>469.6482579755218</v>
      </c>
      <c r="O47" s="109">
        <v>27647.600640141991</v>
      </c>
      <c r="P47" s="111">
        <v>32691.918736767926</v>
      </c>
      <c r="Q47" s="254">
        <v>16155.858696277988</v>
      </c>
      <c r="R47" s="258">
        <v>43803.459336419983</v>
      </c>
      <c r="S47" s="259">
        <v>48847.777433045914</v>
      </c>
      <c r="U47" s="7" t="s">
        <v>1090</v>
      </c>
    </row>
    <row r="48" spans="1:21" s="65" customFormat="1" ht="16.5" customHeight="1" thickBot="1">
      <c r="A48" s="41" t="s">
        <v>31</v>
      </c>
      <c r="B48" s="42">
        <f t="shared" si="0"/>
        <v>70</v>
      </c>
      <c r="C48" s="42" t="s">
        <v>3</v>
      </c>
      <c r="D48" s="42">
        <f t="shared" si="1"/>
        <v>160</v>
      </c>
      <c r="E48" s="42" t="s">
        <v>3</v>
      </c>
      <c r="F48" s="101">
        <f t="shared" si="2"/>
        <v>2500</v>
      </c>
      <c r="G48" s="42" t="s">
        <v>3</v>
      </c>
      <c r="H48" s="39">
        <v>2</v>
      </c>
      <c r="I48" s="40" t="s">
        <v>40</v>
      </c>
      <c r="J48" s="149">
        <v>70</v>
      </c>
      <c r="K48" s="104">
        <v>160</v>
      </c>
      <c r="L48" s="104">
        <v>2500</v>
      </c>
      <c r="M48" s="150">
        <v>14.473914149609286</v>
      </c>
      <c r="N48" s="78">
        <v>480.83035935589135</v>
      </c>
      <c r="O48" s="109">
        <v>28074.877764283054</v>
      </c>
      <c r="P48" s="111">
        <v>33215.55516676166</v>
      </c>
      <c r="Q48" s="254">
        <v>16484.639620890164</v>
      </c>
      <c r="R48" s="258">
        <v>44559.517385173218</v>
      </c>
      <c r="S48" s="259">
        <v>49700.194787651824</v>
      </c>
      <c r="U48" s="7" t="s">
        <v>1091</v>
      </c>
    </row>
    <row r="49" spans="1:21" s="65" customFormat="1" ht="16.5" customHeight="1" thickBot="1">
      <c r="A49" s="41" t="s">
        <v>31</v>
      </c>
      <c r="B49" s="42">
        <f t="shared" si="0"/>
        <v>70</v>
      </c>
      <c r="C49" s="42" t="s">
        <v>3</v>
      </c>
      <c r="D49" s="42">
        <f t="shared" si="1"/>
        <v>160</v>
      </c>
      <c r="E49" s="42" t="s">
        <v>3</v>
      </c>
      <c r="F49" s="101">
        <f t="shared" si="2"/>
        <v>2550</v>
      </c>
      <c r="G49" s="42" t="s">
        <v>3</v>
      </c>
      <c r="H49" s="39">
        <v>2</v>
      </c>
      <c r="I49" s="40" t="s">
        <v>40</v>
      </c>
      <c r="J49" s="149">
        <v>70</v>
      </c>
      <c r="K49" s="104">
        <v>160</v>
      </c>
      <c r="L49" s="104">
        <v>2550</v>
      </c>
      <c r="M49" s="150">
        <v>14.748916718775</v>
      </c>
      <c r="N49" s="78">
        <v>492.01246073626095</v>
      </c>
      <c r="O49" s="109">
        <v>28502.154888424109</v>
      </c>
      <c r="P49" s="111">
        <v>33739.191596755387</v>
      </c>
      <c r="Q49" s="254">
        <v>16813.420392473578</v>
      </c>
      <c r="R49" s="258">
        <v>45315.575280897683</v>
      </c>
      <c r="S49" s="259">
        <v>50552.611989228964</v>
      </c>
      <c r="U49" s="7" t="s">
        <v>1092</v>
      </c>
    </row>
    <row r="50" spans="1:21" s="65" customFormat="1" ht="16.5" customHeight="1" thickBot="1">
      <c r="A50" s="38" t="s">
        <v>31</v>
      </c>
      <c r="B50" s="39">
        <f t="shared" si="0"/>
        <v>70</v>
      </c>
      <c r="C50" s="39" t="s">
        <v>3</v>
      </c>
      <c r="D50" s="39">
        <f t="shared" si="1"/>
        <v>160</v>
      </c>
      <c r="E50" s="39" t="s">
        <v>3</v>
      </c>
      <c r="F50" s="101">
        <f t="shared" si="2"/>
        <v>2600</v>
      </c>
      <c r="G50" s="39" t="s">
        <v>3</v>
      </c>
      <c r="H50" s="39">
        <v>2</v>
      </c>
      <c r="I50" s="40" t="s">
        <v>40</v>
      </c>
      <c r="J50" s="149">
        <v>70</v>
      </c>
      <c r="K50" s="104">
        <v>160</v>
      </c>
      <c r="L50" s="104">
        <v>2600</v>
      </c>
      <c r="M50" s="150">
        <v>15.023919287940718</v>
      </c>
      <c r="N50" s="78">
        <v>503.19456211663049</v>
      </c>
      <c r="O50" s="109">
        <v>28929.432165593931</v>
      </c>
      <c r="P50" s="111">
        <v>34262.828026749121</v>
      </c>
      <c r="Q50" s="254">
        <v>17142.201164056987</v>
      </c>
      <c r="R50" s="258">
        <v>46071.633329650918</v>
      </c>
      <c r="S50" s="259">
        <v>51405.029190806104</v>
      </c>
      <c r="U50" s="7" t="s">
        <v>1093</v>
      </c>
    </row>
    <row r="51" spans="1:21" s="65" customFormat="1" ht="16.5" customHeight="1" thickBot="1">
      <c r="A51" s="41" t="s">
        <v>31</v>
      </c>
      <c r="B51" s="42">
        <f t="shared" si="0"/>
        <v>70</v>
      </c>
      <c r="C51" s="42" t="s">
        <v>3</v>
      </c>
      <c r="D51" s="42">
        <f t="shared" si="1"/>
        <v>160</v>
      </c>
      <c r="E51" s="42" t="s">
        <v>3</v>
      </c>
      <c r="F51" s="101">
        <f t="shared" si="2"/>
        <v>2650</v>
      </c>
      <c r="G51" s="42" t="s">
        <v>3</v>
      </c>
      <c r="H51" s="39">
        <v>2</v>
      </c>
      <c r="I51" s="40" t="s">
        <v>40</v>
      </c>
      <c r="J51" s="149">
        <v>70</v>
      </c>
      <c r="K51" s="104">
        <v>160</v>
      </c>
      <c r="L51" s="104">
        <v>2650</v>
      </c>
      <c r="M51" s="150">
        <v>15.29892185710643</v>
      </c>
      <c r="N51" s="78">
        <v>514.37666349699998</v>
      </c>
      <c r="O51" s="109">
        <v>29356.709289734987</v>
      </c>
      <c r="P51" s="111">
        <v>34786.464456742855</v>
      </c>
      <c r="Q51" s="254">
        <v>17470.982088669163</v>
      </c>
      <c r="R51" s="258">
        <v>46827.691378404154</v>
      </c>
      <c r="S51" s="259">
        <v>52257.446545412022</v>
      </c>
      <c r="U51" s="7" t="s">
        <v>1094</v>
      </c>
    </row>
    <row r="52" spans="1:21" s="65" customFormat="1" ht="16.5" customHeight="1" thickBot="1">
      <c r="A52" s="41" t="s">
        <v>31</v>
      </c>
      <c r="B52" s="42">
        <f t="shared" si="0"/>
        <v>70</v>
      </c>
      <c r="C52" s="42" t="s">
        <v>3</v>
      </c>
      <c r="D52" s="42">
        <f t="shared" si="1"/>
        <v>160</v>
      </c>
      <c r="E52" s="42" t="s">
        <v>3</v>
      </c>
      <c r="F52" s="101">
        <f t="shared" si="2"/>
        <v>2700</v>
      </c>
      <c r="G52" s="42" t="s">
        <v>3</v>
      </c>
      <c r="H52" s="39">
        <v>2</v>
      </c>
      <c r="I52" s="40" t="s">
        <v>40</v>
      </c>
      <c r="J52" s="149">
        <v>70</v>
      </c>
      <c r="K52" s="104">
        <v>160</v>
      </c>
      <c r="L52" s="104">
        <v>2700</v>
      </c>
      <c r="M52" s="150">
        <v>15.613174426272145</v>
      </c>
      <c r="N52" s="78">
        <v>525.55876487736964</v>
      </c>
      <c r="O52" s="109">
        <v>29833.986726535455</v>
      </c>
      <c r="P52" s="111">
        <v>35358.577032895351</v>
      </c>
      <c r="Q52" s="254">
        <v>17799.762860252577</v>
      </c>
      <c r="R52" s="258">
        <v>47633.749586788035</v>
      </c>
      <c r="S52" s="259">
        <v>53158.339893147931</v>
      </c>
      <c r="U52" s="7" t="s">
        <v>1095</v>
      </c>
    </row>
    <row r="53" spans="1:21" s="65" customFormat="1" ht="16.5" customHeight="1" thickBot="1">
      <c r="A53" s="41" t="s">
        <v>31</v>
      </c>
      <c r="B53" s="42">
        <f t="shared" si="0"/>
        <v>70</v>
      </c>
      <c r="C53" s="42" t="s">
        <v>3</v>
      </c>
      <c r="D53" s="42">
        <f t="shared" si="1"/>
        <v>160</v>
      </c>
      <c r="E53" s="42" t="s">
        <v>3</v>
      </c>
      <c r="F53" s="101">
        <f t="shared" si="2"/>
        <v>2750</v>
      </c>
      <c r="G53" s="42" t="s">
        <v>3</v>
      </c>
      <c r="H53" s="39">
        <v>2</v>
      </c>
      <c r="I53" s="40" t="s">
        <v>40</v>
      </c>
      <c r="J53" s="149">
        <v>70</v>
      </c>
      <c r="K53" s="104">
        <v>160</v>
      </c>
      <c r="L53" s="104">
        <v>2750</v>
      </c>
      <c r="M53" s="150">
        <v>15.888176995437858</v>
      </c>
      <c r="N53" s="78">
        <v>536.74086625773919</v>
      </c>
      <c r="O53" s="109">
        <v>30261.263850676511</v>
      </c>
      <c r="P53" s="111">
        <v>35882.213462889085</v>
      </c>
      <c r="Q53" s="254">
        <v>18128.543631835986</v>
      </c>
      <c r="R53" s="258">
        <v>48389.807482512493</v>
      </c>
      <c r="S53" s="259">
        <v>54010.757094725072</v>
      </c>
      <c r="U53" s="7" t="s">
        <v>1096</v>
      </c>
    </row>
    <row r="54" spans="1:21" s="65" customFormat="1" ht="16.5" customHeight="1" thickBot="1">
      <c r="A54" s="41" t="s">
        <v>31</v>
      </c>
      <c r="B54" s="42">
        <f t="shared" si="0"/>
        <v>70</v>
      </c>
      <c r="C54" s="42" t="s">
        <v>3</v>
      </c>
      <c r="D54" s="42">
        <f t="shared" si="1"/>
        <v>160</v>
      </c>
      <c r="E54" s="42" t="s">
        <v>3</v>
      </c>
      <c r="F54" s="101">
        <f t="shared" si="2"/>
        <v>2800</v>
      </c>
      <c r="G54" s="42" t="s">
        <v>3</v>
      </c>
      <c r="H54" s="39">
        <v>2</v>
      </c>
      <c r="I54" s="40" t="s">
        <v>40</v>
      </c>
      <c r="J54" s="149">
        <v>70</v>
      </c>
      <c r="K54" s="104">
        <v>160</v>
      </c>
      <c r="L54" s="104">
        <v>2800</v>
      </c>
      <c r="M54" s="150">
        <v>16.163179564603574</v>
      </c>
      <c r="N54" s="78">
        <v>547.92296763810884</v>
      </c>
      <c r="O54" s="109">
        <v>30688.540974817573</v>
      </c>
      <c r="P54" s="111">
        <v>36405.849892882819</v>
      </c>
      <c r="Q54" s="254">
        <v>18457.324403419399</v>
      </c>
      <c r="R54" s="258">
        <v>49145.865378236973</v>
      </c>
      <c r="S54" s="259">
        <v>54863.174296302219</v>
      </c>
      <c r="U54" s="7" t="s">
        <v>1097</v>
      </c>
    </row>
    <row r="55" spans="1:21" s="65" customFormat="1" ht="16.5" customHeight="1" thickBot="1">
      <c r="A55" s="41" t="s">
        <v>31</v>
      </c>
      <c r="B55" s="42">
        <f t="shared" si="0"/>
        <v>70</v>
      </c>
      <c r="C55" s="42" t="s">
        <v>3</v>
      </c>
      <c r="D55" s="42">
        <f t="shared" si="1"/>
        <v>160</v>
      </c>
      <c r="E55" s="42" t="s">
        <v>3</v>
      </c>
      <c r="F55" s="101">
        <f t="shared" si="2"/>
        <v>2850</v>
      </c>
      <c r="G55" s="42" t="s">
        <v>3</v>
      </c>
      <c r="H55" s="39">
        <v>2</v>
      </c>
      <c r="I55" s="40" t="s">
        <v>40</v>
      </c>
      <c r="J55" s="149">
        <v>70</v>
      </c>
      <c r="K55" s="104">
        <v>160</v>
      </c>
      <c r="L55" s="104">
        <v>2850</v>
      </c>
      <c r="M55" s="150">
        <v>16.438182133769288</v>
      </c>
      <c r="N55" s="78">
        <v>559.10506901847828</v>
      </c>
      <c r="O55" s="109">
        <v>31115.818251987395</v>
      </c>
      <c r="P55" s="111">
        <v>36929.486169847791</v>
      </c>
      <c r="Q55" s="254">
        <v>18786.105328031572</v>
      </c>
      <c r="R55" s="258">
        <v>49901.923580018964</v>
      </c>
      <c r="S55" s="259">
        <v>55715.591497879359</v>
      </c>
      <c r="U55" s="7" t="s">
        <v>1098</v>
      </c>
    </row>
    <row r="56" spans="1:21" s="65" customFormat="1" ht="16.5" customHeight="1" thickBot="1">
      <c r="A56" s="41" t="s">
        <v>31</v>
      </c>
      <c r="B56" s="42">
        <f t="shared" si="0"/>
        <v>70</v>
      </c>
      <c r="C56" s="42" t="s">
        <v>3</v>
      </c>
      <c r="D56" s="42">
        <f t="shared" si="1"/>
        <v>160</v>
      </c>
      <c r="E56" s="42" t="s">
        <v>3</v>
      </c>
      <c r="F56" s="101">
        <f t="shared" si="2"/>
        <v>2900</v>
      </c>
      <c r="G56" s="42" t="s">
        <v>3</v>
      </c>
      <c r="H56" s="39">
        <v>2</v>
      </c>
      <c r="I56" s="40" t="s">
        <v>40</v>
      </c>
      <c r="J56" s="149">
        <v>70</v>
      </c>
      <c r="K56" s="104">
        <v>160</v>
      </c>
      <c r="L56" s="104">
        <v>2900</v>
      </c>
      <c r="M56" s="150">
        <v>16.713184702935003</v>
      </c>
      <c r="N56" s="78">
        <v>570.28717039884782</v>
      </c>
      <c r="O56" s="109">
        <v>31543.095376128451</v>
      </c>
      <c r="P56" s="111">
        <v>37453.122599841518</v>
      </c>
      <c r="Q56" s="254">
        <v>19114.886099614985</v>
      </c>
      <c r="R56" s="258">
        <v>50657.981475743436</v>
      </c>
      <c r="S56" s="259">
        <v>56568.008699456506</v>
      </c>
      <c r="U56" s="7" t="s">
        <v>1099</v>
      </c>
    </row>
    <row r="57" spans="1:21" s="65" customFormat="1" ht="16.5" customHeight="1" thickBot="1">
      <c r="A57" s="41" t="s">
        <v>31</v>
      </c>
      <c r="B57" s="42">
        <f t="shared" si="0"/>
        <v>70</v>
      </c>
      <c r="C57" s="42" t="s">
        <v>3</v>
      </c>
      <c r="D57" s="42">
        <f t="shared" si="1"/>
        <v>160</v>
      </c>
      <c r="E57" s="42" t="s">
        <v>3</v>
      </c>
      <c r="F57" s="101">
        <f t="shared" si="2"/>
        <v>2950</v>
      </c>
      <c r="G57" s="42" t="s">
        <v>3</v>
      </c>
      <c r="H57" s="39">
        <v>2</v>
      </c>
      <c r="I57" s="40" t="s">
        <v>40</v>
      </c>
      <c r="J57" s="149">
        <v>70</v>
      </c>
      <c r="K57" s="104">
        <v>160</v>
      </c>
      <c r="L57" s="104">
        <v>2950</v>
      </c>
      <c r="M57" s="150">
        <v>16.988187272100717</v>
      </c>
      <c r="N57" s="78">
        <v>581.46927177921748</v>
      </c>
      <c r="O57" s="109">
        <v>31970.372500269506</v>
      </c>
      <c r="P57" s="111">
        <v>37976.759029835252</v>
      </c>
      <c r="Q57" s="254">
        <v>19443.666871198395</v>
      </c>
      <c r="R57" s="258">
        <v>51414.039371467901</v>
      </c>
      <c r="S57" s="259">
        <v>57420.425901033646</v>
      </c>
      <c r="U57" s="7" t="s">
        <v>1100</v>
      </c>
    </row>
    <row r="58" spans="1:21" s="65" customFormat="1" ht="16.5" customHeight="1" thickBot="1">
      <c r="A58" s="43" t="s">
        <v>31</v>
      </c>
      <c r="B58" s="44">
        <f t="shared" si="0"/>
        <v>70</v>
      </c>
      <c r="C58" s="44" t="s">
        <v>3</v>
      </c>
      <c r="D58" s="44">
        <f t="shared" si="1"/>
        <v>160</v>
      </c>
      <c r="E58" s="44" t="s">
        <v>3</v>
      </c>
      <c r="F58" s="102">
        <f t="shared" si="2"/>
        <v>3000</v>
      </c>
      <c r="G58" s="44" t="s">
        <v>3</v>
      </c>
      <c r="H58" s="46">
        <v>2</v>
      </c>
      <c r="I58" s="45" t="s">
        <v>40</v>
      </c>
      <c r="J58" s="149">
        <v>70</v>
      </c>
      <c r="K58" s="134">
        <v>160</v>
      </c>
      <c r="L58" s="134">
        <v>3000</v>
      </c>
      <c r="M58" s="152">
        <v>17.263189841266431</v>
      </c>
      <c r="N58" s="127">
        <v>592.65137315958702</v>
      </c>
      <c r="O58" s="154">
        <v>32397.649624410562</v>
      </c>
      <c r="P58" s="135">
        <v>38500.395459828986</v>
      </c>
      <c r="Q58" s="255">
        <v>19772.447795810571</v>
      </c>
      <c r="R58" s="260">
        <v>52170.097420221136</v>
      </c>
      <c r="S58" s="261">
        <v>58272.843255639556</v>
      </c>
      <c r="U58" s="7" t="s">
        <v>1101</v>
      </c>
    </row>
    <row r="59" spans="1:21" s="65" customFormat="1" ht="22.5" customHeight="1" thickBot="1">
      <c r="A59" s="3010" t="s">
        <v>46</v>
      </c>
      <c r="B59" s="3011"/>
      <c r="C59" s="3011"/>
      <c r="D59" s="3011"/>
      <c r="E59" s="3011"/>
      <c r="F59" s="3011"/>
      <c r="G59" s="3011"/>
      <c r="H59" s="3011"/>
      <c r="I59" s="3011"/>
      <c r="J59" s="3011"/>
      <c r="K59" s="3011"/>
      <c r="L59" s="3011"/>
      <c r="M59" s="3011"/>
      <c r="N59" s="3011"/>
      <c r="O59" s="3011"/>
      <c r="P59" s="3011"/>
      <c r="Q59" s="3011"/>
      <c r="R59" s="3047"/>
      <c r="S59" s="3048"/>
      <c r="U59" s="7"/>
    </row>
    <row r="60" spans="1:21" s="65" customFormat="1" ht="22.5" customHeight="1" thickBot="1">
      <c r="A60" s="2971" t="s">
        <v>62</v>
      </c>
      <c r="B60" s="2972"/>
      <c r="C60" s="2972"/>
      <c r="D60" s="2972"/>
      <c r="E60" s="2972"/>
      <c r="F60" s="2972"/>
      <c r="G60" s="2972"/>
      <c r="H60" s="2972"/>
      <c r="I60" s="2972"/>
      <c r="J60" s="2972"/>
      <c r="K60" s="2972"/>
      <c r="L60" s="2972"/>
      <c r="M60" s="2972"/>
      <c r="N60" s="2972"/>
      <c r="O60" s="2972"/>
      <c r="P60" s="2972"/>
      <c r="Q60" s="2972"/>
      <c r="R60" s="2972"/>
      <c r="S60" s="2973"/>
      <c r="U60" s="7"/>
    </row>
    <row r="61" spans="1:21" s="65" customFormat="1" ht="16.5" customHeight="1" thickBot="1">
      <c r="A61" s="2974" t="s">
        <v>112</v>
      </c>
      <c r="B61" s="2975"/>
      <c r="C61" s="2975"/>
      <c r="D61" s="2975"/>
      <c r="E61" s="2975"/>
      <c r="F61" s="2975"/>
      <c r="G61" s="2975"/>
      <c r="H61" s="2975"/>
      <c r="I61" s="2975"/>
      <c r="J61" s="2975"/>
      <c r="K61" s="2975"/>
      <c r="L61" s="2975"/>
      <c r="M61" s="2975"/>
      <c r="N61" s="2975"/>
      <c r="O61" s="2975"/>
      <c r="P61" s="2975"/>
      <c r="Q61" s="2975"/>
      <c r="R61" s="2975"/>
      <c r="S61" s="2976"/>
      <c r="U61" s="7"/>
    </row>
    <row r="62" spans="1:21" s="65" customFormat="1" ht="16.5" customHeight="1" thickBot="1">
      <c r="A62" s="38" t="s">
        <v>31</v>
      </c>
      <c r="B62" s="39">
        <f>J62</f>
        <v>70</v>
      </c>
      <c r="C62" s="39" t="s">
        <v>3</v>
      </c>
      <c r="D62" s="39">
        <f>K62</f>
        <v>200</v>
      </c>
      <c r="E62" s="39" t="s">
        <v>3</v>
      </c>
      <c r="F62" s="101">
        <f>L62</f>
        <v>600</v>
      </c>
      <c r="G62" s="39" t="s">
        <v>3</v>
      </c>
      <c r="H62" s="39">
        <v>2</v>
      </c>
      <c r="I62" s="40" t="s">
        <v>40</v>
      </c>
      <c r="J62" s="146">
        <v>70</v>
      </c>
      <c r="K62" s="138">
        <v>200</v>
      </c>
      <c r="L62" s="138">
        <v>600</v>
      </c>
      <c r="M62" s="147">
        <v>4.2039492911407139</v>
      </c>
      <c r="N62" s="123">
        <v>63.53466693391799</v>
      </c>
      <c r="O62" s="148">
        <v>10580.423358475189</v>
      </c>
      <c r="P62" s="153">
        <v>11924.909145174724</v>
      </c>
      <c r="Q62" s="139">
        <v>4684.1930551970272</v>
      </c>
      <c r="R62" s="256">
        <v>15264.616413672216</v>
      </c>
      <c r="S62" s="257">
        <v>16609.102200371752</v>
      </c>
      <c r="U62" s="7" t="s">
        <v>1102</v>
      </c>
    </row>
    <row r="63" spans="1:21" s="65" customFormat="1" ht="16.5" customHeight="1" thickBot="1">
      <c r="A63" s="41" t="s">
        <v>31</v>
      </c>
      <c r="B63" s="42">
        <f t="shared" ref="B63:B110" si="3">J63</f>
        <v>70</v>
      </c>
      <c r="C63" s="42" t="s">
        <v>3</v>
      </c>
      <c r="D63" s="42">
        <f t="shared" ref="D63:D110" si="4">K63</f>
        <v>200</v>
      </c>
      <c r="E63" s="42" t="s">
        <v>3</v>
      </c>
      <c r="F63" s="101">
        <f t="shared" ref="F63:F110" si="5">L63</f>
        <v>650</v>
      </c>
      <c r="G63" s="42" t="s">
        <v>3</v>
      </c>
      <c r="H63" s="39">
        <v>2</v>
      </c>
      <c r="I63" s="40" t="s">
        <v>40</v>
      </c>
      <c r="J63" s="149">
        <v>70</v>
      </c>
      <c r="K63" s="104">
        <v>200</v>
      </c>
      <c r="L63" s="104">
        <v>650</v>
      </c>
      <c r="M63" s="150">
        <v>4.5108852674492859</v>
      </c>
      <c r="N63" s="78">
        <v>76.241600320701579</v>
      </c>
      <c r="O63" s="111">
        <v>11007.354637607063</v>
      </c>
      <c r="P63" s="109">
        <v>12448.880861192845</v>
      </c>
      <c r="Q63" s="110">
        <v>5069.8581384389981</v>
      </c>
      <c r="R63" s="258">
        <v>16077.212776046061</v>
      </c>
      <c r="S63" s="259">
        <v>17518.738999631845</v>
      </c>
      <c r="U63" s="7" t="s">
        <v>1103</v>
      </c>
    </row>
    <row r="64" spans="1:21" s="65" customFormat="1" ht="16.5" customHeight="1" thickBot="1">
      <c r="A64" s="41" t="s">
        <v>31</v>
      </c>
      <c r="B64" s="42">
        <f t="shared" si="3"/>
        <v>70</v>
      </c>
      <c r="C64" s="42" t="s">
        <v>3</v>
      </c>
      <c r="D64" s="42">
        <f t="shared" si="4"/>
        <v>200</v>
      </c>
      <c r="E64" s="42" t="s">
        <v>3</v>
      </c>
      <c r="F64" s="101">
        <f t="shared" si="5"/>
        <v>700</v>
      </c>
      <c r="G64" s="42" t="s">
        <v>3</v>
      </c>
      <c r="H64" s="39">
        <v>2</v>
      </c>
      <c r="I64" s="40" t="s">
        <v>40</v>
      </c>
      <c r="J64" s="149">
        <v>70</v>
      </c>
      <c r="K64" s="104">
        <v>200</v>
      </c>
      <c r="L64" s="104">
        <v>700</v>
      </c>
      <c r="M64" s="150">
        <v>4.8178212437578569</v>
      </c>
      <c r="N64" s="78">
        <v>88.948533707485183</v>
      </c>
      <c r="O64" s="111">
        <v>11434.285916738938</v>
      </c>
      <c r="P64" s="109">
        <v>12972.852577210966</v>
      </c>
      <c r="Q64" s="110">
        <v>5455.52322168097</v>
      </c>
      <c r="R64" s="258">
        <v>16889.809138419907</v>
      </c>
      <c r="S64" s="259">
        <v>18428.375798891935</v>
      </c>
      <c r="U64" s="7" t="s">
        <v>1104</v>
      </c>
    </row>
    <row r="65" spans="1:21" s="65" customFormat="1" ht="16.5" customHeight="1" thickBot="1">
      <c r="A65" s="41" t="s">
        <v>31</v>
      </c>
      <c r="B65" s="42">
        <f t="shared" si="3"/>
        <v>70</v>
      </c>
      <c r="C65" s="42" t="s">
        <v>3</v>
      </c>
      <c r="D65" s="42">
        <f t="shared" si="4"/>
        <v>200</v>
      </c>
      <c r="E65" s="42" t="s">
        <v>3</v>
      </c>
      <c r="F65" s="101">
        <f t="shared" si="5"/>
        <v>750</v>
      </c>
      <c r="G65" s="42" t="s">
        <v>3</v>
      </c>
      <c r="H65" s="39">
        <v>2</v>
      </c>
      <c r="I65" s="40" t="s">
        <v>40</v>
      </c>
      <c r="J65" s="149">
        <v>70</v>
      </c>
      <c r="K65" s="104">
        <v>200</v>
      </c>
      <c r="L65" s="104">
        <v>750</v>
      </c>
      <c r="M65" s="150">
        <v>5.124757220066428</v>
      </c>
      <c r="N65" s="78">
        <v>101.65546709426879</v>
      </c>
      <c r="O65" s="111">
        <v>11861.217195870813</v>
      </c>
      <c r="P65" s="109">
        <v>13496.824293229087</v>
      </c>
      <c r="Q65" s="110">
        <v>5841.1884579517073</v>
      </c>
      <c r="R65" s="258">
        <v>17702.40565382252</v>
      </c>
      <c r="S65" s="259">
        <v>19338.012751180795</v>
      </c>
      <c r="U65" s="7" t="s">
        <v>1105</v>
      </c>
    </row>
    <row r="66" spans="1:21" s="65" customFormat="1" ht="16.5" customHeight="1" thickBot="1">
      <c r="A66" s="41" t="s">
        <v>31</v>
      </c>
      <c r="B66" s="42">
        <f t="shared" si="3"/>
        <v>70</v>
      </c>
      <c r="C66" s="42" t="s">
        <v>3</v>
      </c>
      <c r="D66" s="42">
        <f t="shared" si="4"/>
        <v>200</v>
      </c>
      <c r="E66" s="42" t="s">
        <v>3</v>
      </c>
      <c r="F66" s="101">
        <f t="shared" si="5"/>
        <v>800</v>
      </c>
      <c r="G66" s="42" t="s">
        <v>3</v>
      </c>
      <c r="H66" s="39">
        <v>2</v>
      </c>
      <c r="I66" s="40" t="s">
        <v>40</v>
      </c>
      <c r="J66" s="149">
        <v>70</v>
      </c>
      <c r="K66" s="104">
        <v>200</v>
      </c>
      <c r="L66" s="104">
        <v>800</v>
      </c>
      <c r="M66" s="150">
        <v>5.4316931963750008</v>
      </c>
      <c r="N66" s="78">
        <v>114.36240048105239</v>
      </c>
      <c r="O66" s="111">
        <v>12288.148475002687</v>
      </c>
      <c r="P66" s="109">
        <v>14020.796009247209</v>
      </c>
      <c r="Q66" s="110">
        <v>6226.8535411936782</v>
      </c>
      <c r="R66" s="258">
        <v>18515.002016196366</v>
      </c>
      <c r="S66" s="259">
        <v>20247.649550440889</v>
      </c>
      <c r="U66" s="7" t="s">
        <v>1106</v>
      </c>
    </row>
    <row r="67" spans="1:21" s="65" customFormat="1" ht="16.5" customHeight="1" thickBot="1">
      <c r="A67" s="41" t="s">
        <v>31</v>
      </c>
      <c r="B67" s="42">
        <f t="shared" si="3"/>
        <v>70</v>
      </c>
      <c r="C67" s="42" t="s">
        <v>3</v>
      </c>
      <c r="D67" s="42">
        <f t="shared" si="4"/>
        <v>200</v>
      </c>
      <c r="E67" s="42" t="s">
        <v>3</v>
      </c>
      <c r="F67" s="101">
        <f t="shared" si="5"/>
        <v>850</v>
      </c>
      <c r="G67" s="42" t="s">
        <v>3</v>
      </c>
      <c r="H67" s="39">
        <v>2</v>
      </c>
      <c r="I67" s="40" t="s">
        <v>40</v>
      </c>
      <c r="J67" s="149">
        <v>70</v>
      </c>
      <c r="K67" s="104">
        <v>200</v>
      </c>
      <c r="L67" s="104">
        <v>850</v>
      </c>
      <c r="M67" s="150">
        <v>5.7386291726835719</v>
      </c>
      <c r="N67" s="78">
        <v>127.06933386783598</v>
      </c>
      <c r="O67" s="111">
        <v>12715.079754134562</v>
      </c>
      <c r="P67" s="109">
        <v>14544.767878294095</v>
      </c>
      <c r="Q67" s="110">
        <v>6612.5186244356501</v>
      </c>
      <c r="R67" s="258">
        <v>19327.598378570212</v>
      </c>
      <c r="S67" s="259">
        <v>21157.286502729745</v>
      </c>
      <c r="U67" s="7" t="s">
        <v>1107</v>
      </c>
    </row>
    <row r="68" spans="1:21" s="65" customFormat="1" ht="16.5" customHeight="1" thickBot="1">
      <c r="A68" s="41" t="s">
        <v>31</v>
      </c>
      <c r="B68" s="42">
        <f t="shared" si="3"/>
        <v>70</v>
      </c>
      <c r="C68" s="42" t="s">
        <v>3</v>
      </c>
      <c r="D68" s="42">
        <f t="shared" si="4"/>
        <v>200</v>
      </c>
      <c r="E68" s="42" t="s">
        <v>3</v>
      </c>
      <c r="F68" s="101">
        <f t="shared" si="5"/>
        <v>900</v>
      </c>
      <c r="G68" s="42" t="s">
        <v>3</v>
      </c>
      <c r="H68" s="39">
        <v>2</v>
      </c>
      <c r="I68" s="40" t="s">
        <v>40</v>
      </c>
      <c r="J68" s="149">
        <v>70</v>
      </c>
      <c r="K68" s="104">
        <v>200</v>
      </c>
      <c r="L68" s="104">
        <v>900</v>
      </c>
      <c r="M68" s="150">
        <v>6.0455651489921429</v>
      </c>
      <c r="N68" s="78">
        <v>139.7762672546196</v>
      </c>
      <c r="O68" s="111">
        <v>13142.011033266437</v>
      </c>
      <c r="P68" s="109">
        <v>15068.739594312217</v>
      </c>
      <c r="Q68" s="110">
        <v>6998.1837076776219</v>
      </c>
      <c r="R68" s="258">
        <v>20140.194740944058</v>
      </c>
      <c r="S68" s="259">
        <v>22066.923301989838</v>
      </c>
      <c r="U68" s="7" t="s">
        <v>1108</v>
      </c>
    </row>
    <row r="69" spans="1:21" s="65" customFormat="1" ht="16.5" customHeight="1" thickBot="1">
      <c r="A69" s="41" t="s">
        <v>31</v>
      </c>
      <c r="B69" s="42">
        <f t="shared" si="3"/>
        <v>70</v>
      </c>
      <c r="C69" s="42" t="s">
        <v>3</v>
      </c>
      <c r="D69" s="42">
        <f t="shared" si="4"/>
        <v>200</v>
      </c>
      <c r="E69" s="42" t="s">
        <v>3</v>
      </c>
      <c r="F69" s="101">
        <f t="shared" si="5"/>
        <v>950</v>
      </c>
      <c r="G69" s="42" t="s">
        <v>3</v>
      </c>
      <c r="H69" s="39">
        <v>2</v>
      </c>
      <c r="I69" s="40" t="s">
        <v>40</v>
      </c>
      <c r="J69" s="149">
        <v>70</v>
      </c>
      <c r="K69" s="104">
        <v>200</v>
      </c>
      <c r="L69" s="104">
        <v>950</v>
      </c>
      <c r="M69" s="150">
        <v>6.352501125300714</v>
      </c>
      <c r="N69" s="78">
        <v>152.48320064140316</v>
      </c>
      <c r="O69" s="111">
        <v>13568.942312398311</v>
      </c>
      <c r="P69" s="109">
        <v>15592.711310330336</v>
      </c>
      <c r="Q69" s="110">
        <v>7383.8489439483583</v>
      </c>
      <c r="R69" s="258">
        <v>20952.791256346667</v>
      </c>
      <c r="S69" s="259">
        <v>22976.560254278695</v>
      </c>
      <c r="U69" s="7" t="s">
        <v>1109</v>
      </c>
    </row>
    <row r="70" spans="1:21" s="65" customFormat="1" ht="16.5" customHeight="1" thickBot="1">
      <c r="A70" s="41" t="s">
        <v>31</v>
      </c>
      <c r="B70" s="42">
        <f t="shared" si="3"/>
        <v>70</v>
      </c>
      <c r="C70" s="42" t="s">
        <v>3</v>
      </c>
      <c r="D70" s="42">
        <f t="shared" si="4"/>
        <v>200</v>
      </c>
      <c r="E70" s="42" t="s">
        <v>3</v>
      </c>
      <c r="F70" s="101">
        <f t="shared" si="5"/>
        <v>1000</v>
      </c>
      <c r="G70" s="42" t="s">
        <v>3</v>
      </c>
      <c r="H70" s="39">
        <v>2</v>
      </c>
      <c r="I70" s="40" t="s">
        <v>40</v>
      </c>
      <c r="J70" s="149">
        <v>70</v>
      </c>
      <c r="K70" s="104">
        <v>200</v>
      </c>
      <c r="L70" s="104">
        <v>1000</v>
      </c>
      <c r="M70" s="150">
        <v>6.659437101609285</v>
      </c>
      <c r="N70" s="78">
        <v>165.19013402818678</v>
      </c>
      <c r="O70" s="111">
        <v>13995.873591530186</v>
      </c>
      <c r="P70" s="109">
        <v>16116.683026348457</v>
      </c>
      <c r="Q70" s="110">
        <v>7769.514027190331</v>
      </c>
      <c r="R70" s="258">
        <v>21765.387618720517</v>
      </c>
      <c r="S70" s="259">
        <v>23886.197053538788</v>
      </c>
      <c r="U70" s="7" t="s">
        <v>1110</v>
      </c>
    </row>
    <row r="71" spans="1:21" s="65" customFormat="1" ht="16.5" customHeight="1" thickBot="1">
      <c r="A71" s="41" t="s">
        <v>31</v>
      </c>
      <c r="B71" s="42">
        <f t="shared" si="3"/>
        <v>70</v>
      </c>
      <c r="C71" s="42" t="s">
        <v>3</v>
      </c>
      <c r="D71" s="42">
        <f t="shared" si="4"/>
        <v>200</v>
      </c>
      <c r="E71" s="42" t="s">
        <v>3</v>
      </c>
      <c r="F71" s="101">
        <f t="shared" si="5"/>
        <v>1050</v>
      </c>
      <c r="G71" s="42" t="s">
        <v>3</v>
      </c>
      <c r="H71" s="39">
        <v>2</v>
      </c>
      <c r="I71" s="40" t="s">
        <v>40</v>
      </c>
      <c r="J71" s="149">
        <v>70</v>
      </c>
      <c r="K71" s="104">
        <v>200</v>
      </c>
      <c r="L71" s="104">
        <v>1050</v>
      </c>
      <c r="M71" s="150">
        <v>6.966373077917857</v>
      </c>
      <c r="N71" s="78">
        <v>177.89706741497037</v>
      </c>
      <c r="O71" s="111">
        <v>14422.804870662061</v>
      </c>
      <c r="P71" s="109">
        <v>16640.65474236658</v>
      </c>
      <c r="Q71" s="110">
        <v>8155.1791104323029</v>
      </c>
      <c r="R71" s="258">
        <v>22577.983981094363</v>
      </c>
      <c r="S71" s="259">
        <v>24795.833852798882</v>
      </c>
      <c r="U71" s="7" t="s">
        <v>1111</v>
      </c>
    </row>
    <row r="72" spans="1:21" s="65" customFormat="1" ht="16.5" customHeight="1" thickBot="1">
      <c r="A72" s="38" t="s">
        <v>31</v>
      </c>
      <c r="B72" s="39">
        <f t="shared" si="3"/>
        <v>70</v>
      </c>
      <c r="C72" s="39" t="s">
        <v>3</v>
      </c>
      <c r="D72" s="39">
        <f t="shared" si="4"/>
        <v>200</v>
      </c>
      <c r="E72" s="39" t="s">
        <v>3</v>
      </c>
      <c r="F72" s="101">
        <f t="shared" si="5"/>
        <v>1100</v>
      </c>
      <c r="G72" s="39" t="s">
        <v>3</v>
      </c>
      <c r="H72" s="39">
        <v>2</v>
      </c>
      <c r="I72" s="40" t="s">
        <v>40</v>
      </c>
      <c r="J72" s="149">
        <v>70</v>
      </c>
      <c r="K72" s="104">
        <v>200</v>
      </c>
      <c r="L72" s="104">
        <v>1100</v>
      </c>
      <c r="M72" s="150">
        <v>7.273309054226428</v>
      </c>
      <c r="N72" s="78">
        <v>190.60400080175395</v>
      </c>
      <c r="O72" s="111">
        <v>14849.736149793936</v>
      </c>
      <c r="P72" s="109">
        <v>17164.626458384701</v>
      </c>
      <c r="Q72" s="110">
        <v>8540.8441936742729</v>
      </c>
      <c r="R72" s="258">
        <v>23390.580343468209</v>
      </c>
      <c r="S72" s="259">
        <v>25705.470652058975</v>
      </c>
      <c r="U72" s="7" t="s">
        <v>1112</v>
      </c>
    </row>
    <row r="73" spans="1:21" s="65" customFormat="1" ht="16.5" customHeight="1" thickBot="1">
      <c r="A73" s="41" t="s">
        <v>31</v>
      </c>
      <c r="B73" s="42">
        <f t="shared" si="3"/>
        <v>70</v>
      </c>
      <c r="C73" s="42" t="s">
        <v>3</v>
      </c>
      <c r="D73" s="42">
        <f t="shared" si="4"/>
        <v>200</v>
      </c>
      <c r="E73" s="42" t="s">
        <v>3</v>
      </c>
      <c r="F73" s="101">
        <f t="shared" si="5"/>
        <v>1150</v>
      </c>
      <c r="G73" s="42" t="s">
        <v>3</v>
      </c>
      <c r="H73" s="39">
        <v>2</v>
      </c>
      <c r="I73" s="40" t="s">
        <v>40</v>
      </c>
      <c r="J73" s="149">
        <v>70</v>
      </c>
      <c r="K73" s="104">
        <v>200</v>
      </c>
      <c r="L73" s="104">
        <v>1150</v>
      </c>
      <c r="M73" s="150">
        <v>7.580245030535</v>
      </c>
      <c r="N73" s="78">
        <v>203.31093418853757</v>
      </c>
      <c r="O73" s="111">
        <v>15276.667581954574</v>
      </c>
      <c r="P73" s="109">
        <v>17688.598174402821</v>
      </c>
      <c r="Q73" s="110">
        <v>8926.5092769162457</v>
      </c>
      <c r="R73" s="258">
        <v>24203.176858870822</v>
      </c>
      <c r="S73" s="259">
        <v>26615.107451319069</v>
      </c>
      <c r="U73" s="7" t="s">
        <v>1113</v>
      </c>
    </row>
    <row r="74" spans="1:21" s="65" customFormat="1" ht="16.5" customHeight="1" thickBot="1">
      <c r="A74" s="41" t="s">
        <v>31</v>
      </c>
      <c r="B74" s="42">
        <f t="shared" si="3"/>
        <v>70</v>
      </c>
      <c r="C74" s="42" t="s">
        <v>3</v>
      </c>
      <c r="D74" s="42">
        <f t="shared" si="4"/>
        <v>200</v>
      </c>
      <c r="E74" s="42" t="s">
        <v>3</v>
      </c>
      <c r="F74" s="101">
        <f t="shared" si="5"/>
        <v>1200</v>
      </c>
      <c r="G74" s="42" t="s">
        <v>3</v>
      </c>
      <c r="H74" s="39">
        <v>2</v>
      </c>
      <c r="I74" s="40" t="s">
        <v>40</v>
      </c>
      <c r="J74" s="149">
        <v>70</v>
      </c>
      <c r="K74" s="104">
        <v>200</v>
      </c>
      <c r="L74" s="104">
        <v>1200</v>
      </c>
      <c r="M74" s="150">
        <v>7.9264310068435719</v>
      </c>
      <c r="N74" s="78">
        <v>216.01786757532116</v>
      </c>
      <c r="O74" s="111">
        <v>15753.599020717096</v>
      </c>
      <c r="P74" s="109">
        <v>18261.046189608474</v>
      </c>
      <c r="Q74" s="110">
        <v>9312.1745131869829</v>
      </c>
      <c r="R74" s="258">
        <v>25065.773533904081</v>
      </c>
      <c r="S74" s="259">
        <v>27573.220702795457</v>
      </c>
      <c r="U74" s="7" t="s">
        <v>1114</v>
      </c>
    </row>
    <row r="75" spans="1:21" s="65" customFormat="1" ht="16.5" customHeight="1" thickBot="1">
      <c r="A75" s="41" t="s">
        <v>31</v>
      </c>
      <c r="B75" s="42">
        <f t="shared" si="3"/>
        <v>70</v>
      </c>
      <c r="C75" s="42" t="s">
        <v>3</v>
      </c>
      <c r="D75" s="42">
        <f t="shared" si="4"/>
        <v>200</v>
      </c>
      <c r="E75" s="42" t="s">
        <v>3</v>
      </c>
      <c r="F75" s="101">
        <f t="shared" si="5"/>
        <v>1250</v>
      </c>
      <c r="G75" s="42" t="s">
        <v>3</v>
      </c>
      <c r="H75" s="39">
        <v>2</v>
      </c>
      <c r="I75" s="40" t="s">
        <v>40</v>
      </c>
      <c r="J75" s="149">
        <v>70</v>
      </c>
      <c r="K75" s="104">
        <v>200</v>
      </c>
      <c r="L75" s="104">
        <v>1250</v>
      </c>
      <c r="M75" s="150">
        <v>8.233366983152143</v>
      </c>
      <c r="N75" s="78">
        <v>228.72480096210478</v>
      </c>
      <c r="O75" s="111">
        <v>16180.530299848971</v>
      </c>
      <c r="P75" s="109">
        <v>18785.017905626595</v>
      </c>
      <c r="Q75" s="110">
        <v>9697.8395964289539</v>
      </c>
      <c r="R75" s="258">
        <v>25878.369896277924</v>
      </c>
      <c r="S75" s="259">
        <v>28482.857502055551</v>
      </c>
      <c r="U75" s="7" t="s">
        <v>1115</v>
      </c>
    </row>
    <row r="76" spans="1:21" s="65" customFormat="1" ht="16.5" customHeight="1" thickBot="1">
      <c r="A76" s="41" t="s">
        <v>31</v>
      </c>
      <c r="B76" s="42">
        <f t="shared" si="3"/>
        <v>70</v>
      </c>
      <c r="C76" s="42" t="s">
        <v>3</v>
      </c>
      <c r="D76" s="42">
        <f t="shared" si="4"/>
        <v>200</v>
      </c>
      <c r="E76" s="42" t="s">
        <v>3</v>
      </c>
      <c r="F76" s="101">
        <f t="shared" si="5"/>
        <v>1300</v>
      </c>
      <c r="G76" s="42" t="s">
        <v>3</v>
      </c>
      <c r="H76" s="39">
        <v>2</v>
      </c>
      <c r="I76" s="40" t="s">
        <v>40</v>
      </c>
      <c r="J76" s="149">
        <v>70</v>
      </c>
      <c r="K76" s="104">
        <v>200</v>
      </c>
      <c r="L76" s="104">
        <v>1300</v>
      </c>
      <c r="M76" s="150">
        <v>8.540302959460714</v>
      </c>
      <c r="N76" s="78">
        <v>241.43173434888834</v>
      </c>
      <c r="O76" s="111">
        <v>16607.461578980845</v>
      </c>
      <c r="P76" s="109">
        <v>19308.989621644716</v>
      </c>
      <c r="Q76" s="110">
        <v>10083.504679670925</v>
      </c>
      <c r="R76" s="258">
        <v>26690.96625865177</v>
      </c>
      <c r="S76" s="259">
        <v>29392.494301315641</v>
      </c>
      <c r="U76" s="7" t="s">
        <v>1116</v>
      </c>
    </row>
    <row r="77" spans="1:21" s="65" customFormat="1" ht="16.5" customHeight="1" thickBot="1">
      <c r="A77" s="41" t="s">
        <v>31</v>
      </c>
      <c r="B77" s="42">
        <f t="shared" si="3"/>
        <v>70</v>
      </c>
      <c r="C77" s="42" t="s">
        <v>3</v>
      </c>
      <c r="D77" s="42">
        <f t="shared" si="4"/>
        <v>200</v>
      </c>
      <c r="E77" s="42" t="s">
        <v>3</v>
      </c>
      <c r="F77" s="101">
        <f t="shared" si="5"/>
        <v>1350</v>
      </c>
      <c r="G77" s="42" t="s">
        <v>3</v>
      </c>
      <c r="H77" s="39">
        <v>2</v>
      </c>
      <c r="I77" s="40" t="s">
        <v>40</v>
      </c>
      <c r="J77" s="149">
        <v>70</v>
      </c>
      <c r="K77" s="104">
        <v>200</v>
      </c>
      <c r="L77" s="104">
        <v>1350</v>
      </c>
      <c r="M77" s="150">
        <v>8.8472389357692851</v>
      </c>
      <c r="N77" s="78">
        <v>254.13866773567196</v>
      </c>
      <c r="O77" s="111">
        <v>17034.392858112722</v>
      </c>
      <c r="P77" s="109">
        <v>19832.961337662837</v>
      </c>
      <c r="Q77" s="110">
        <v>10469.169762912898</v>
      </c>
      <c r="R77" s="258">
        <v>27503.56262102562</v>
      </c>
      <c r="S77" s="259">
        <v>30302.131100575734</v>
      </c>
      <c r="U77" s="7" t="s">
        <v>1117</v>
      </c>
    </row>
    <row r="78" spans="1:21" s="65" customFormat="1" ht="16.5" customHeight="1" thickBot="1">
      <c r="A78" s="41" t="s">
        <v>31</v>
      </c>
      <c r="B78" s="42">
        <f t="shared" si="3"/>
        <v>70</v>
      </c>
      <c r="C78" s="42" t="s">
        <v>3</v>
      </c>
      <c r="D78" s="42">
        <f t="shared" si="4"/>
        <v>200</v>
      </c>
      <c r="E78" s="42" t="s">
        <v>3</v>
      </c>
      <c r="F78" s="101">
        <f t="shared" si="5"/>
        <v>1400</v>
      </c>
      <c r="G78" s="42" t="s">
        <v>3</v>
      </c>
      <c r="H78" s="39">
        <v>2</v>
      </c>
      <c r="I78" s="40" t="s">
        <v>40</v>
      </c>
      <c r="J78" s="149">
        <v>70</v>
      </c>
      <c r="K78" s="104">
        <v>200</v>
      </c>
      <c r="L78" s="104">
        <v>1400</v>
      </c>
      <c r="M78" s="150">
        <v>9.1541749120778579</v>
      </c>
      <c r="N78" s="78">
        <v>266.84560112245555</v>
      </c>
      <c r="O78" s="111">
        <v>17461.324137244595</v>
      </c>
      <c r="P78" s="109">
        <v>20356.933053680958</v>
      </c>
      <c r="Q78" s="110">
        <v>10854.834999183635</v>
      </c>
      <c r="R78" s="258">
        <v>28316.159136428229</v>
      </c>
      <c r="S78" s="259">
        <v>31211.768052864594</v>
      </c>
      <c r="U78" s="7" t="s">
        <v>1118</v>
      </c>
    </row>
    <row r="79" spans="1:21" s="65" customFormat="1" ht="16.5" customHeight="1" thickBot="1">
      <c r="A79" s="41" t="s">
        <v>31</v>
      </c>
      <c r="B79" s="42">
        <f t="shared" si="3"/>
        <v>70</v>
      </c>
      <c r="C79" s="42" t="s">
        <v>3</v>
      </c>
      <c r="D79" s="42">
        <f t="shared" si="4"/>
        <v>200</v>
      </c>
      <c r="E79" s="42" t="s">
        <v>3</v>
      </c>
      <c r="F79" s="101">
        <f t="shared" si="5"/>
        <v>1450</v>
      </c>
      <c r="G79" s="42" t="s">
        <v>3</v>
      </c>
      <c r="H79" s="39">
        <v>2</v>
      </c>
      <c r="I79" s="40" t="s">
        <v>40</v>
      </c>
      <c r="J79" s="149">
        <v>70</v>
      </c>
      <c r="K79" s="104">
        <v>200</v>
      </c>
      <c r="L79" s="104">
        <v>1450</v>
      </c>
      <c r="M79" s="150">
        <v>9.461110888386429</v>
      </c>
      <c r="N79" s="78">
        <v>279.55253450923919</v>
      </c>
      <c r="O79" s="111">
        <v>17888.255569405232</v>
      </c>
      <c r="P79" s="109">
        <v>20880.904922727845</v>
      </c>
      <c r="Q79" s="110">
        <v>11240.500082425606</v>
      </c>
      <c r="R79" s="258">
        <v>29128.755651830837</v>
      </c>
      <c r="S79" s="259">
        <v>32121.40500515345</v>
      </c>
      <c r="U79" s="7" t="s">
        <v>1119</v>
      </c>
    </row>
    <row r="80" spans="1:21" s="65" customFormat="1" ht="16.5" customHeight="1" thickBot="1">
      <c r="A80" s="41" t="s">
        <v>31</v>
      </c>
      <c r="B80" s="42">
        <f t="shared" si="3"/>
        <v>70</v>
      </c>
      <c r="C80" s="42" t="s">
        <v>3</v>
      </c>
      <c r="D80" s="42">
        <f t="shared" si="4"/>
        <v>200</v>
      </c>
      <c r="E80" s="42" t="s">
        <v>3</v>
      </c>
      <c r="F80" s="101">
        <f t="shared" si="5"/>
        <v>1500</v>
      </c>
      <c r="G80" s="42" t="s">
        <v>3</v>
      </c>
      <c r="H80" s="39">
        <v>2</v>
      </c>
      <c r="I80" s="40" t="s">
        <v>40</v>
      </c>
      <c r="J80" s="149">
        <v>70</v>
      </c>
      <c r="K80" s="104">
        <v>200</v>
      </c>
      <c r="L80" s="104">
        <v>1500</v>
      </c>
      <c r="M80" s="150">
        <v>9.8606099974950006</v>
      </c>
      <c r="N80" s="78">
        <v>292.25946789602273</v>
      </c>
      <c r="O80" s="111">
        <v>18903.171109122079</v>
      </c>
      <c r="P80" s="109">
        <v>21892.640218647863</v>
      </c>
      <c r="Q80" s="110">
        <v>11626.165165667579</v>
      </c>
      <c r="R80" s="258">
        <v>30529.336274789657</v>
      </c>
      <c r="S80" s="259">
        <v>33518.805384315441</v>
      </c>
      <c r="U80" s="7" t="s">
        <v>1120</v>
      </c>
    </row>
    <row r="81" spans="1:21" s="65" customFormat="1" ht="16.5" customHeight="1" thickBot="1">
      <c r="A81" s="41" t="s">
        <v>31</v>
      </c>
      <c r="B81" s="42">
        <f t="shared" si="3"/>
        <v>70</v>
      </c>
      <c r="C81" s="42" t="s">
        <v>3</v>
      </c>
      <c r="D81" s="42">
        <f t="shared" si="4"/>
        <v>200</v>
      </c>
      <c r="E81" s="42" t="s">
        <v>3</v>
      </c>
      <c r="F81" s="101">
        <f t="shared" si="5"/>
        <v>1550</v>
      </c>
      <c r="G81" s="42" t="s">
        <v>3</v>
      </c>
      <c r="H81" s="39">
        <v>2</v>
      </c>
      <c r="I81" s="40" t="s">
        <v>40</v>
      </c>
      <c r="J81" s="149">
        <v>70</v>
      </c>
      <c r="K81" s="104">
        <v>200</v>
      </c>
      <c r="L81" s="104">
        <v>1550</v>
      </c>
      <c r="M81" s="150">
        <v>10.16754597380357</v>
      </c>
      <c r="N81" s="78">
        <v>304.96640128280632</v>
      </c>
      <c r="O81" s="111">
        <v>19330.102388253952</v>
      </c>
      <c r="P81" s="109">
        <v>22416.612087694746</v>
      </c>
      <c r="Q81" s="110">
        <v>12011.830248909549</v>
      </c>
      <c r="R81" s="258">
        <v>31341.932637163503</v>
      </c>
      <c r="S81" s="259">
        <v>34428.442336604297</v>
      </c>
      <c r="U81" s="7" t="s">
        <v>1121</v>
      </c>
    </row>
    <row r="82" spans="1:21" s="65" customFormat="1" ht="16.5" customHeight="1" thickBot="1">
      <c r="A82" s="38" t="s">
        <v>31</v>
      </c>
      <c r="B82" s="39">
        <f t="shared" si="3"/>
        <v>70</v>
      </c>
      <c r="C82" s="39" t="s">
        <v>3</v>
      </c>
      <c r="D82" s="39">
        <f t="shared" si="4"/>
        <v>200</v>
      </c>
      <c r="E82" s="39" t="s">
        <v>3</v>
      </c>
      <c r="F82" s="101">
        <f t="shared" si="5"/>
        <v>1600</v>
      </c>
      <c r="G82" s="39" t="s">
        <v>3</v>
      </c>
      <c r="H82" s="39">
        <v>2</v>
      </c>
      <c r="I82" s="40" t="s">
        <v>40</v>
      </c>
      <c r="J82" s="149">
        <v>70</v>
      </c>
      <c r="K82" s="104">
        <v>200</v>
      </c>
      <c r="L82" s="104">
        <v>1600</v>
      </c>
      <c r="M82" s="150">
        <v>10.474481950112143</v>
      </c>
      <c r="N82" s="78">
        <v>317.67333466958996</v>
      </c>
      <c r="O82" s="111">
        <v>19757.033667385829</v>
      </c>
      <c r="P82" s="109">
        <v>22940.583803712871</v>
      </c>
      <c r="Q82" s="110">
        <v>12397.495332151522</v>
      </c>
      <c r="R82" s="258">
        <v>32154.528999537353</v>
      </c>
      <c r="S82" s="259">
        <v>35338.079135864391</v>
      </c>
      <c r="U82" s="7" t="s">
        <v>1122</v>
      </c>
    </row>
    <row r="83" spans="1:21" s="65" customFormat="1" ht="16.5" customHeight="1" thickBot="1">
      <c r="A83" s="41" t="s">
        <v>31</v>
      </c>
      <c r="B83" s="42">
        <f t="shared" si="3"/>
        <v>70</v>
      </c>
      <c r="C83" s="42" t="s">
        <v>3</v>
      </c>
      <c r="D83" s="42">
        <f t="shared" si="4"/>
        <v>200</v>
      </c>
      <c r="E83" s="42" t="s">
        <v>3</v>
      </c>
      <c r="F83" s="101">
        <f t="shared" si="5"/>
        <v>1650</v>
      </c>
      <c r="G83" s="42" t="s">
        <v>3</v>
      </c>
      <c r="H83" s="39">
        <v>2</v>
      </c>
      <c r="I83" s="40" t="s">
        <v>40</v>
      </c>
      <c r="J83" s="149">
        <v>70</v>
      </c>
      <c r="K83" s="104">
        <v>200</v>
      </c>
      <c r="L83" s="104">
        <v>1650</v>
      </c>
      <c r="M83" s="150">
        <v>10.781417926420714</v>
      </c>
      <c r="N83" s="78">
        <v>330.38026805637355</v>
      </c>
      <c r="O83" s="111">
        <v>20183.964946517703</v>
      </c>
      <c r="P83" s="109">
        <v>23464.555519730991</v>
      </c>
      <c r="Q83" s="110">
        <v>12783.16056842226</v>
      </c>
      <c r="R83" s="258">
        <v>32967.125514939966</v>
      </c>
      <c r="S83" s="259">
        <v>36247.716088153247</v>
      </c>
      <c r="U83" s="7" t="s">
        <v>1123</v>
      </c>
    </row>
    <row r="84" spans="1:21" s="65" customFormat="1" ht="16.5" customHeight="1" thickBot="1">
      <c r="A84" s="41" t="s">
        <v>31</v>
      </c>
      <c r="B84" s="42">
        <f t="shared" si="3"/>
        <v>70</v>
      </c>
      <c r="C84" s="42" t="s">
        <v>3</v>
      </c>
      <c r="D84" s="42">
        <f t="shared" si="4"/>
        <v>200</v>
      </c>
      <c r="E84" s="42" t="s">
        <v>3</v>
      </c>
      <c r="F84" s="101">
        <f t="shared" si="5"/>
        <v>1700</v>
      </c>
      <c r="G84" s="42" t="s">
        <v>3</v>
      </c>
      <c r="H84" s="39">
        <v>2</v>
      </c>
      <c r="I84" s="40" t="s">
        <v>40</v>
      </c>
      <c r="J84" s="149">
        <v>70</v>
      </c>
      <c r="K84" s="104">
        <v>200</v>
      </c>
      <c r="L84" s="104">
        <v>1700</v>
      </c>
      <c r="M84" s="150">
        <v>11.088353902729285</v>
      </c>
      <c r="N84" s="78">
        <v>343.08720144315714</v>
      </c>
      <c r="O84" s="111">
        <v>20610.896225649576</v>
      </c>
      <c r="P84" s="109">
        <v>23988.527235749109</v>
      </c>
      <c r="Q84" s="110">
        <v>13168.82565166423</v>
      </c>
      <c r="R84" s="258">
        <v>33779.721877313808</v>
      </c>
      <c r="S84" s="259">
        <v>37157.352887413341</v>
      </c>
      <c r="U84" s="7" t="s">
        <v>1124</v>
      </c>
    </row>
    <row r="85" spans="1:21" s="65" customFormat="1" ht="16.5" customHeight="1" thickBot="1">
      <c r="A85" s="41" t="s">
        <v>31</v>
      </c>
      <c r="B85" s="42">
        <f t="shared" si="3"/>
        <v>70</v>
      </c>
      <c r="C85" s="42" t="s">
        <v>3</v>
      </c>
      <c r="D85" s="42">
        <f t="shared" si="4"/>
        <v>200</v>
      </c>
      <c r="E85" s="42" t="s">
        <v>3</v>
      </c>
      <c r="F85" s="101">
        <f t="shared" si="5"/>
        <v>1750</v>
      </c>
      <c r="G85" s="42" t="s">
        <v>3</v>
      </c>
      <c r="H85" s="39">
        <v>2</v>
      </c>
      <c r="I85" s="40" t="s">
        <v>40</v>
      </c>
      <c r="J85" s="149">
        <v>70</v>
      </c>
      <c r="K85" s="104">
        <v>200</v>
      </c>
      <c r="L85" s="104">
        <v>1750</v>
      </c>
      <c r="M85" s="150">
        <v>11.395289879037858</v>
      </c>
      <c r="N85" s="78">
        <v>355.79413482994073</v>
      </c>
      <c r="O85" s="111">
        <v>21037.82750478145</v>
      </c>
      <c r="P85" s="109">
        <v>24512.498951767233</v>
      </c>
      <c r="Q85" s="110">
        <v>13554.490734906201</v>
      </c>
      <c r="R85" s="258">
        <v>34592.318239687651</v>
      </c>
      <c r="S85" s="259">
        <v>38066.989686673434</v>
      </c>
      <c r="U85" s="7" t="s">
        <v>1125</v>
      </c>
    </row>
    <row r="86" spans="1:21" s="65" customFormat="1" ht="16.5" customHeight="1" thickBot="1">
      <c r="A86" s="41" t="s">
        <v>31</v>
      </c>
      <c r="B86" s="42">
        <f t="shared" si="3"/>
        <v>70</v>
      </c>
      <c r="C86" s="42" t="s">
        <v>3</v>
      </c>
      <c r="D86" s="42">
        <f t="shared" si="4"/>
        <v>200</v>
      </c>
      <c r="E86" s="42" t="s">
        <v>3</v>
      </c>
      <c r="F86" s="101">
        <f t="shared" si="5"/>
        <v>1800</v>
      </c>
      <c r="G86" s="42" t="s">
        <v>3</v>
      </c>
      <c r="H86" s="39">
        <v>2</v>
      </c>
      <c r="I86" s="40" t="s">
        <v>40</v>
      </c>
      <c r="J86" s="149">
        <v>70</v>
      </c>
      <c r="K86" s="104">
        <v>200</v>
      </c>
      <c r="L86" s="104">
        <v>1800</v>
      </c>
      <c r="M86" s="150">
        <v>11.702225855346427</v>
      </c>
      <c r="N86" s="78">
        <v>368.50106821672432</v>
      </c>
      <c r="O86" s="111">
        <v>21464.758783913327</v>
      </c>
      <c r="P86" s="109">
        <v>25036.470667785354</v>
      </c>
      <c r="Q86" s="110">
        <v>13940.155818148172</v>
      </c>
      <c r="R86" s="258">
        <v>35404.914602061501</v>
      </c>
      <c r="S86" s="259">
        <v>38976.626485933528</v>
      </c>
      <c r="U86" s="7" t="s">
        <v>1126</v>
      </c>
    </row>
    <row r="87" spans="1:21" s="65" customFormat="1" ht="16.5" customHeight="1" thickBot="1">
      <c r="A87" s="41" t="s">
        <v>31</v>
      </c>
      <c r="B87" s="42">
        <f t="shared" si="3"/>
        <v>70</v>
      </c>
      <c r="C87" s="42" t="s">
        <v>3</v>
      </c>
      <c r="D87" s="42">
        <f t="shared" si="4"/>
        <v>200</v>
      </c>
      <c r="E87" s="42" t="s">
        <v>3</v>
      </c>
      <c r="F87" s="101">
        <f t="shared" si="5"/>
        <v>1850</v>
      </c>
      <c r="G87" s="42" t="s">
        <v>3</v>
      </c>
      <c r="H87" s="39">
        <v>2</v>
      </c>
      <c r="I87" s="40" t="s">
        <v>40</v>
      </c>
      <c r="J87" s="149">
        <v>70</v>
      </c>
      <c r="K87" s="104">
        <v>200</v>
      </c>
      <c r="L87" s="104">
        <v>1850</v>
      </c>
      <c r="M87" s="150">
        <v>12.009161831655</v>
      </c>
      <c r="N87" s="78">
        <v>381.20800160350791</v>
      </c>
      <c r="O87" s="111">
        <v>21891.6900630452</v>
      </c>
      <c r="P87" s="109">
        <v>25560.442383803478</v>
      </c>
      <c r="Q87" s="110">
        <v>14325.82105441891</v>
      </c>
      <c r="R87" s="258">
        <v>36217.511117464106</v>
      </c>
      <c r="S87" s="259">
        <v>39886.263438222391</v>
      </c>
      <c r="U87" s="7" t="s">
        <v>1127</v>
      </c>
    </row>
    <row r="88" spans="1:21" s="65" customFormat="1" ht="16.5" customHeight="1" thickBot="1">
      <c r="A88" s="41" t="s">
        <v>31</v>
      </c>
      <c r="B88" s="42">
        <f t="shared" si="3"/>
        <v>70</v>
      </c>
      <c r="C88" s="42" t="s">
        <v>3</v>
      </c>
      <c r="D88" s="42">
        <f t="shared" si="4"/>
        <v>200</v>
      </c>
      <c r="E88" s="42" t="s">
        <v>3</v>
      </c>
      <c r="F88" s="101">
        <f t="shared" si="5"/>
        <v>1900</v>
      </c>
      <c r="G88" s="42" t="s">
        <v>3</v>
      </c>
      <c r="H88" s="39">
        <v>2</v>
      </c>
      <c r="I88" s="40" t="s">
        <v>40</v>
      </c>
      <c r="J88" s="149">
        <v>70</v>
      </c>
      <c r="K88" s="104">
        <v>200</v>
      </c>
      <c r="L88" s="104">
        <v>1900</v>
      </c>
      <c r="M88" s="150">
        <v>12.316097807963569</v>
      </c>
      <c r="N88" s="78">
        <v>393.91493499029156</v>
      </c>
      <c r="O88" s="111">
        <v>22318.621342177074</v>
      </c>
      <c r="P88" s="109">
        <v>26084.414252850362</v>
      </c>
      <c r="Q88" s="110">
        <v>14711.486137660881</v>
      </c>
      <c r="R88" s="258">
        <v>37030.107479837956</v>
      </c>
      <c r="S88" s="259">
        <v>40795.90039051124</v>
      </c>
      <c r="U88" s="7" t="s">
        <v>1128</v>
      </c>
    </row>
    <row r="89" spans="1:21" s="65" customFormat="1" ht="16.5" customHeight="1" thickBot="1">
      <c r="A89" s="41" t="s">
        <v>31</v>
      </c>
      <c r="B89" s="42">
        <f t="shared" si="3"/>
        <v>70</v>
      </c>
      <c r="C89" s="42" t="s">
        <v>3</v>
      </c>
      <c r="D89" s="42">
        <f t="shared" si="4"/>
        <v>200</v>
      </c>
      <c r="E89" s="42" t="s">
        <v>3</v>
      </c>
      <c r="F89" s="101">
        <f t="shared" si="5"/>
        <v>1950</v>
      </c>
      <c r="G89" s="42" t="s">
        <v>3</v>
      </c>
      <c r="H89" s="39">
        <v>2</v>
      </c>
      <c r="I89" s="40" t="s">
        <v>40</v>
      </c>
      <c r="J89" s="149">
        <v>70</v>
      </c>
      <c r="K89" s="104">
        <v>200</v>
      </c>
      <c r="L89" s="104">
        <v>1950</v>
      </c>
      <c r="M89" s="150">
        <v>12.662283784272141</v>
      </c>
      <c r="N89" s="78">
        <v>406.62186837707515</v>
      </c>
      <c r="O89" s="111">
        <v>22795.552933968364</v>
      </c>
      <c r="P89" s="109">
        <v>26656.862115027248</v>
      </c>
      <c r="Q89" s="110">
        <v>15097.151220902853</v>
      </c>
      <c r="R89" s="258">
        <v>37892.704154871215</v>
      </c>
      <c r="S89" s="259">
        <v>41754.013335930103</v>
      </c>
      <c r="U89" s="7" t="s">
        <v>1129</v>
      </c>
    </row>
    <row r="90" spans="1:21" s="65" customFormat="1" ht="16.5" customHeight="1" thickBot="1">
      <c r="A90" s="41" t="s">
        <v>31</v>
      </c>
      <c r="B90" s="42">
        <f t="shared" si="3"/>
        <v>70</v>
      </c>
      <c r="C90" s="42" t="s">
        <v>3</v>
      </c>
      <c r="D90" s="42">
        <f t="shared" si="4"/>
        <v>200</v>
      </c>
      <c r="E90" s="42" t="s">
        <v>3</v>
      </c>
      <c r="F90" s="101">
        <f t="shared" si="5"/>
        <v>2000</v>
      </c>
      <c r="G90" s="42" t="s">
        <v>3</v>
      </c>
      <c r="H90" s="39">
        <v>2</v>
      </c>
      <c r="I90" s="40" t="s">
        <v>40</v>
      </c>
      <c r="J90" s="149">
        <v>70</v>
      </c>
      <c r="K90" s="104">
        <v>200</v>
      </c>
      <c r="L90" s="104">
        <v>2000</v>
      </c>
      <c r="M90" s="150">
        <v>13.060782160580713</v>
      </c>
      <c r="N90" s="78">
        <v>419.32880176385873</v>
      </c>
      <c r="O90" s="111">
        <v>23473.776114944831</v>
      </c>
      <c r="P90" s="109">
        <v>27509.26233041146</v>
      </c>
      <c r="Q90" s="110">
        <v>15482.816304144826</v>
      </c>
      <c r="R90" s="258">
        <v>38956.592419089655</v>
      </c>
      <c r="S90" s="259">
        <v>42992.078634556288</v>
      </c>
      <c r="U90" s="7" t="s">
        <v>1130</v>
      </c>
    </row>
    <row r="91" spans="1:21" s="65" customFormat="1" ht="16.5" customHeight="1" thickBot="1">
      <c r="A91" s="41" t="s">
        <v>31</v>
      </c>
      <c r="B91" s="42">
        <f t="shared" si="3"/>
        <v>70</v>
      </c>
      <c r="C91" s="42" t="s">
        <v>3</v>
      </c>
      <c r="D91" s="42">
        <f t="shared" si="4"/>
        <v>200</v>
      </c>
      <c r="E91" s="42" t="s">
        <v>3</v>
      </c>
      <c r="F91" s="101">
        <f t="shared" si="5"/>
        <v>2050</v>
      </c>
      <c r="G91" s="42" t="s">
        <v>3</v>
      </c>
      <c r="H91" s="39">
        <v>2</v>
      </c>
      <c r="I91" s="40" t="s">
        <v>40</v>
      </c>
      <c r="J91" s="149">
        <v>70</v>
      </c>
      <c r="K91" s="104">
        <v>200</v>
      </c>
      <c r="L91" s="104">
        <v>2050</v>
      </c>
      <c r="M91" s="150">
        <v>13.367718136889284</v>
      </c>
      <c r="N91" s="78">
        <v>432.03573515064232</v>
      </c>
      <c r="O91" s="111">
        <v>23900.707394076708</v>
      </c>
      <c r="P91" s="109">
        <v>28033.234046429588</v>
      </c>
      <c r="Q91" s="110">
        <v>15868.481387386799</v>
      </c>
      <c r="R91" s="258">
        <v>39769.188781463505</v>
      </c>
      <c r="S91" s="259">
        <v>43901.715433816389</v>
      </c>
      <c r="U91" s="7" t="s">
        <v>1131</v>
      </c>
    </row>
    <row r="92" spans="1:21" s="65" customFormat="1" ht="16.5" customHeight="1" thickBot="1">
      <c r="A92" s="38" t="s">
        <v>31</v>
      </c>
      <c r="B92" s="39">
        <f t="shared" si="3"/>
        <v>70</v>
      </c>
      <c r="C92" s="39" t="s">
        <v>3</v>
      </c>
      <c r="D92" s="39">
        <f t="shared" si="4"/>
        <v>200</v>
      </c>
      <c r="E92" s="39" t="s">
        <v>3</v>
      </c>
      <c r="F92" s="101">
        <f t="shared" si="5"/>
        <v>2100</v>
      </c>
      <c r="G92" s="39" t="s">
        <v>3</v>
      </c>
      <c r="H92" s="39">
        <v>2</v>
      </c>
      <c r="I92" s="40" t="s">
        <v>40</v>
      </c>
      <c r="J92" s="149">
        <v>70</v>
      </c>
      <c r="K92" s="104">
        <v>200</v>
      </c>
      <c r="L92" s="104">
        <v>2100</v>
      </c>
      <c r="M92" s="150">
        <v>13.674654113197857</v>
      </c>
      <c r="N92" s="78">
        <v>444.74266853742591</v>
      </c>
      <c r="O92" s="111">
        <v>24327.638673208581</v>
      </c>
      <c r="P92" s="109">
        <v>28557.205762447709</v>
      </c>
      <c r="Q92" s="110">
        <v>16254.146623657534</v>
      </c>
      <c r="R92" s="258">
        <v>40581.785296866117</v>
      </c>
      <c r="S92" s="259">
        <v>44811.352386105245</v>
      </c>
      <c r="U92" s="7" t="s">
        <v>1132</v>
      </c>
    </row>
    <row r="93" spans="1:21" s="65" customFormat="1" ht="16.5" customHeight="1" thickBot="1">
      <c r="A93" s="41" t="s">
        <v>31</v>
      </c>
      <c r="B93" s="42">
        <f t="shared" si="3"/>
        <v>70</v>
      </c>
      <c r="C93" s="42" t="s">
        <v>3</v>
      </c>
      <c r="D93" s="42">
        <f t="shared" si="4"/>
        <v>200</v>
      </c>
      <c r="E93" s="42" t="s">
        <v>3</v>
      </c>
      <c r="F93" s="101">
        <f t="shared" si="5"/>
        <v>2150</v>
      </c>
      <c r="G93" s="42" t="s">
        <v>3</v>
      </c>
      <c r="H93" s="39">
        <v>2</v>
      </c>
      <c r="I93" s="40" t="s">
        <v>40</v>
      </c>
      <c r="J93" s="149">
        <v>70</v>
      </c>
      <c r="K93" s="104">
        <v>200</v>
      </c>
      <c r="L93" s="104">
        <v>2150</v>
      </c>
      <c r="M93" s="150">
        <v>13.981590089506428</v>
      </c>
      <c r="N93" s="78">
        <v>457.44960192420956</v>
      </c>
      <c r="O93" s="111">
        <v>24754.569952340455</v>
      </c>
      <c r="P93" s="109">
        <v>29081.177631494593</v>
      </c>
      <c r="Q93" s="110">
        <v>16639.811706899505</v>
      </c>
      <c r="R93" s="258">
        <v>41394.38165923996</v>
      </c>
      <c r="S93" s="259">
        <v>45720.989338394094</v>
      </c>
      <c r="U93" s="7" t="s">
        <v>1133</v>
      </c>
    </row>
    <row r="94" spans="1:21" s="65" customFormat="1" ht="16.5" customHeight="1" thickBot="1">
      <c r="A94" s="41" t="s">
        <v>31</v>
      </c>
      <c r="B94" s="42">
        <f t="shared" si="3"/>
        <v>70</v>
      </c>
      <c r="C94" s="42" t="s">
        <v>3</v>
      </c>
      <c r="D94" s="42">
        <f t="shared" si="4"/>
        <v>200</v>
      </c>
      <c r="E94" s="42" t="s">
        <v>3</v>
      </c>
      <c r="F94" s="101">
        <f t="shared" si="5"/>
        <v>2200</v>
      </c>
      <c r="G94" s="42" t="s">
        <v>3</v>
      </c>
      <c r="H94" s="39">
        <v>2</v>
      </c>
      <c r="I94" s="40" t="s">
        <v>40</v>
      </c>
      <c r="J94" s="149">
        <v>70</v>
      </c>
      <c r="K94" s="104">
        <v>200</v>
      </c>
      <c r="L94" s="104">
        <v>2200</v>
      </c>
      <c r="M94" s="150">
        <v>14.288526065814999</v>
      </c>
      <c r="N94" s="78">
        <v>470.15653531099315</v>
      </c>
      <c r="O94" s="111">
        <v>25181.501231472332</v>
      </c>
      <c r="P94" s="109">
        <v>29605.149347512714</v>
      </c>
      <c r="Q94" s="110">
        <v>17025.476790141474</v>
      </c>
      <c r="R94" s="258">
        <v>42206.978021613802</v>
      </c>
      <c r="S94" s="259">
        <v>46630.626137654188</v>
      </c>
      <c r="U94" s="7" t="s">
        <v>1134</v>
      </c>
    </row>
    <row r="95" spans="1:21" s="65" customFormat="1" ht="16.5" customHeight="1" thickBot="1">
      <c r="A95" s="41" t="s">
        <v>31</v>
      </c>
      <c r="B95" s="42">
        <f t="shared" si="3"/>
        <v>70</v>
      </c>
      <c r="C95" s="42" t="s">
        <v>3</v>
      </c>
      <c r="D95" s="42">
        <f t="shared" si="4"/>
        <v>200</v>
      </c>
      <c r="E95" s="42" t="s">
        <v>3</v>
      </c>
      <c r="F95" s="101">
        <f t="shared" si="5"/>
        <v>2250</v>
      </c>
      <c r="G95" s="42" t="s">
        <v>3</v>
      </c>
      <c r="H95" s="39">
        <v>2</v>
      </c>
      <c r="I95" s="40" t="s">
        <v>40</v>
      </c>
      <c r="J95" s="149">
        <v>70</v>
      </c>
      <c r="K95" s="104">
        <v>200</v>
      </c>
      <c r="L95" s="104">
        <v>2250</v>
      </c>
      <c r="M95" s="150">
        <v>14.59546204212357</v>
      </c>
      <c r="N95" s="78">
        <v>482.86346869777668</v>
      </c>
      <c r="O95" s="111">
        <v>25608.432510604205</v>
      </c>
      <c r="P95" s="109">
        <v>30129.121063530834</v>
      </c>
      <c r="Q95" s="110">
        <v>17411.141873383447</v>
      </c>
      <c r="R95" s="258">
        <v>43019.574383987652</v>
      </c>
      <c r="S95" s="259">
        <v>47540.262936914281</v>
      </c>
      <c r="U95" s="7" t="s">
        <v>1135</v>
      </c>
    </row>
    <row r="96" spans="1:21" s="65" customFormat="1" ht="16.5" customHeight="1" thickBot="1">
      <c r="A96" s="41" t="s">
        <v>31</v>
      </c>
      <c r="B96" s="42">
        <f t="shared" si="3"/>
        <v>70</v>
      </c>
      <c r="C96" s="42" t="s">
        <v>3</v>
      </c>
      <c r="D96" s="42">
        <f t="shared" si="4"/>
        <v>200</v>
      </c>
      <c r="E96" s="42" t="s">
        <v>3</v>
      </c>
      <c r="F96" s="101">
        <f t="shared" si="5"/>
        <v>2300</v>
      </c>
      <c r="G96" s="42" t="s">
        <v>3</v>
      </c>
      <c r="H96" s="39">
        <v>2</v>
      </c>
      <c r="I96" s="40" t="s">
        <v>40</v>
      </c>
      <c r="J96" s="149">
        <v>70</v>
      </c>
      <c r="K96" s="104">
        <v>200</v>
      </c>
      <c r="L96" s="104">
        <v>2300</v>
      </c>
      <c r="M96" s="150">
        <v>14.902398018432141</v>
      </c>
      <c r="N96" s="78">
        <v>495.57040208456033</v>
      </c>
      <c r="O96" s="111">
        <v>26035.363789736082</v>
      </c>
      <c r="P96" s="109">
        <v>30653.092779548955</v>
      </c>
      <c r="Q96" s="110">
        <v>17796.807109654186</v>
      </c>
      <c r="R96" s="258">
        <v>43832.170899390272</v>
      </c>
      <c r="S96" s="259">
        <v>48449.899889203138</v>
      </c>
      <c r="U96" s="7" t="s">
        <v>1136</v>
      </c>
    </row>
    <row r="97" spans="1:21" s="65" customFormat="1" ht="16.5" customHeight="1" thickBot="1">
      <c r="A97" s="41" t="s">
        <v>31</v>
      </c>
      <c r="B97" s="42">
        <f t="shared" si="3"/>
        <v>70</v>
      </c>
      <c r="C97" s="42" t="s">
        <v>3</v>
      </c>
      <c r="D97" s="42">
        <f t="shared" si="4"/>
        <v>200</v>
      </c>
      <c r="E97" s="42" t="s">
        <v>3</v>
      </c>
      <c r="F97" s="101">
        <f t="shared" si="5"/>
        <v>2350</v>
      </c>
      <c r="G97" s="42" t="s">
        <v>3</v>
      </c>
      <c r="H97" s="39">
        <v>2</v>
      </c>
      <c r="I97" s="40" t="s">
        <v>40</v>
      </c>
      <c r="J97" s="149">
        <v>70</v>
      </c>
      <c r="K97" s="104">
        <v>200</v>
      </c>
      <c r="L97" s="104">
        <v>2350</v>
      </c>
      <c r="M97" s="150">
        <v>15.209333994740714</v>
      </c>
      <c r="N97" s="78">
        <v>508.27733547134392</v>
      </c>
      <c r="O97" s="111">
        <v>26462.295068867956</v>
      </c>
      <c r="P97" s="109">
        <v>31177.064495567076</v>
      </c>
      <c r="Q97" s="110">
        <v>18182.472192896155</v>
      </c>
      <c r="R97" s="258">
        <v>44644.767261764107</v>
      </c>
      <c r="S97" s="259">
        <v>49359.536688463231</v>
      </c>
      <c r="U97" s="7" t="s">
        <v>1137</v>
      </c>
    </row>
    <row r="98" spans="1:21" s="65" customFormat="1" ht="16.5" customHeight="1" thickBot="1">
      <c r="A98" s="41" t="s">
        <v>31</v>
      </c>
      <c r="B98" s="42">
        <f t="shared" si="3"/>
        <v>70</v>
      </c>
      <c r="C98" s="42" t="s">
        <v>3</v>
      </c>
      <c r="D98" s="42">
        <f t="shared" si="4"/>
        <v>200</v>
      </c>
      <c r="E98" s="42" t="s">
        <v>3</v>
      </c>
      <c r="F98" s="101">
        <f t="shared" si="5"/>
        <v>2400</v>
      </c>
      <c r="G98" s="42" t="s">
        <v>3</v>
      </c>
      <c r="H98" s="39">
        <v>2</v>
      </c>
      <c r="I98" s="40" t="s">
        <v>40</v>
      </c>
      <c r="J98" s="149">
        <v>70</v>
      </c>
      <c r="K98" s="104">
        <v>200</v>
      </c>
      <c r="L98" s="104">
        <v>2400</v>
      </c>
      <c r="M98" s="150">
        <v>15.516269971049283</v>
      </c>
      <c r="N98" s="78">
        <v>520.98426885812751</v>
      </c>
      <c r="O98" s="111">
        <v>26889.226347999829</v>
      </c>
      <c r="P98" s="109">
        <v>31701.036211585197</v>
      </c>
      <c r="Q98" s="110">
        <v>18568.137276138128</v>
      </c>
      <c r="R98" s="258">
        <v>45457.363624137957</v>
      </c>
      <c r="S98" s="259">
        <v>50269.173487723325</v>
      </c>
      <c r="U98" s="7" t="s">
        <v>1138</v>
      </c>
    </row>
    <row r="99" spans="1:21" s="65" customFormat="1" ht="16.5" customHeight="1" thickBot="1">
      <c r="A99" s="41" t="s">
        <v>31</v>
      </c>
      <c r="B99" s="42">
        <f t="shared" si="3"/>
        <v>70</v>
      </c>
      <c r="C99" s="42" t="s">
        <v>3</v>
      </c>
      <c r="D99" s="42">
        <f t="shared" si="4"/>
        <v>200</v>
      </c>
      <c r="E99" s="42" t="s">
        <v>3</v>
      </c>
      <c r="F99" s="101">
        <f t="shared" si="5"/>
        <v>2450</v>
      </c>
      <c r="G99" s="42" t="s">
        <v>3</v>
      </c>
      <c r="H99" s="39">
        <v>2</v>
      </c>
      <c r="I99" s="40" t="s">
        <v>40</v>
      </c>
      <c r="J99" s="149">
        <v>70</v>
      </c>
      <c r="K99" s="104">
        <v>200</v>
      </c>
      <c r="L99" s="104">
        <v>2450</v>
      </c>
      <c r="M99" s="150">
        <v>15.915769080157858</v>
      </c>
      <c r="N99" s="78">
        <v>533.6912022449111</v>
      </c>
      <c r="O99" s="111">
        <v>27904.141887716672</v>
      </c>
      <c r="P99" s="109">
        <v>32712.771660533977</v>
      </c>
      <c r="Q99" s="110">
        <v>18953.802359380101</v>
      </c>
      <c r="R99" s="258">
        <v>46857.944247096777</v>
      </c>
      <c r="S99" s="259">
        <v>51666.574019914078</v>
      </c>
      <c r="U99" s="7" t="s">
        <v>1139</v>
      </c>
    </row>
    <row r="100" spans="1:21" s="65" customFormat="1" ht="16.5" customHeight="1" thickBot="1">
      <c r="A100" s="41" t="s">
        <v>31</v>
      </c>
      <c r="B100" s="42">
        <f t="shared" si="3"/>
        <v>70</v>
      </c>
      <c r="C100" s="42" t="s">
        <v>3</v>
      </c>
      <c r="D100" s="42">
        <f t="shared" si="4"/>
        <v>200</v>
      </c>
      <c r="E100" s="42" t="s">
        <v>3</v>
      </c>
      <c r="F100" s="101">
        <f t="shared" si="5"/>
        <v>2500</v>
      </c>
      <c r="G100" s="42" t="s">
        <v>3</v>
      </c>
      <c r="H100" s="39">
        <v>2</v>
      </c>
      <c r="I100" s="40" t="s">
        <v>40</v>
      </c>
      <c r="J100" s="149">
        <v>70</v>
      </c>
      <c r="K100" s="104">
        <v>200</v>
      </c>
      <c r="L100" s="104">
        <v>2500</v>
      </c>
      <c r="M100" s="150">
        <v>16.222705056466427</v>
      </c>
      <c r="N100" s="78">
        <v>546.39813563169469</v>
      </c>
      <c r="O100" s="111">
        <v>28331.073319877316</v>
      </c>
      <c r="P100" s="109">
        <v>33236.743376552105</v>
      </c>
      <c r="Q100" s="110">
        <v>19339.467442622074</v>
      </c>
      <c r="R100" s="258">
        <v>47670.54076249939</v>
      </c>
      <c r="S100" s="259">
        <v>52576.210819174179</v>
      </c>
      <c r="U100" s="7" t="s">
        <v>1140</v>
      </c>
    </row>
    <row r="101" spans="1:21" s="65" customFormat="1" ht="16.5" customHeight="1" thickBot="1">
      <c r="A101" s="41" t="s">
        <v>31</v>
      </c>
      <c r="B101" s="42">
        <f t="shared" si="3"/>
        <v>70</v>
      </c>
      <c r="C101" s="42" t="s">
        <v>3</v>
      </c>
      <c r="D101" s="42">
        <f t="shared" si="4"/>
        <v>200</v>
      </c>
      <c r="E101" s="42" t="s">
        <v>3</v>
      </c>
      <c r="F101" s="101">
        <f t="shared" si="5"/>
        <v>2550</v>
      </c>
      <c r="G101" s="42" t="s">
        <v>3</v>
      </c>
      <c r="H101" s="39">
        <v>2</v>
      </c>
      <c r="I101" s="40" t="s">
        <v>40</v>
      </c>
      <c r="J101" s="149">
        <v>70</v>
      </c>
      <c r="K101" s="104">
        <v>200</v>
      </c>
      <c r="L101" s="104">
        <v>2550</v>
      </c>
      <c r="M101" s="150">
        <v>16.529641032774997</v>
      </c>
      <c r="N101" s="78">
        <v>559.10506901847839</v>
      </c>
      <c r="O101" s="111">
        <v>28758.004599009186</v>
      </c>
      <c r="P101" s="109">
        <v>33760.715092570223</v>
      </c>
      <c r="Q101" s="110">
        <v>19725.132678892809</v>
      </c>
      <c r="R101" s="258">
        <v>48483.137277901995</v>
      </c>
      <c r="S101" s="259">
        <v>53485.847771463028</v>
      </c>
      <c r="U101" s="7" t="s">
        <v>1141</v>
      </c>
    </row>
    <row r="102" spans="1:21" s="65" customFormat="1" ht="16.5" customHeight="1" thickBot="1">
      <c r="A102" s="38" t="s">
        <v>31</v>
      </c>
      <c r="B102" s="39">
        <f t="shared" si="3"/>
        <v>70</v>
      </c>
      <c r="C102" s="39" t="s">
        <v>3</v>
      </c>
      <c r="D102" s="39">
        <f t="shared" si="4"/>
        <v>200</v>
      </c>
      <c r="E102" s="39" t="s">
        <v>3</v>
      </c>
      <c r="F102" s="101">
        <f t="shared" si="5"/>
        <v>2600</v>
      </c>
      <c r="G102" s="39" t="s">
        <v>3</v>
      </c>
      <c r="H102" s="39">
        <v>2</v>
      </c>
      <c r="I102" s="40" t="s">
        <v>40</v>
      </c>
      <c r="J102" s="149">
        <v>70</v>
      </c>
      <c r="K102" s="104">
        <v>200</v>
      </c>
      <c r="L102" s="104">
        <v>2600</v>
      </c>
      <c r="M102" s="150">
        <v>16.83657700908357</v>
      </c>
      <c r="N102" s="78">
        <v>571.81200240526186</v>
      </c>
      <c r="O102" s="111">
        <v>29184.935878141059</v>
      </c>
      <c r="P102" s="109">
        <v>34284.68696161711</v>
      </c>
      <c r="Q102" s="110">
        <v>20110.797762134782</v>
      </c>
      <c r="R102" s="258">
        <v>49295.733640275837</v>
      </c>
      <c r="S102" s="259">
        <v>54395.484723751892</v>
      </c>
      <c r="U102" s="7" t="s">
        <v>1142</v>
      </c>
    </row>
    <row r="103" spans="1:21" s="65" customFormat="1" ht="16.5" customHeight="1" thickBot="1">
      <c r="A103" s="41" t="s">
        <v>31</v>
      </c>
      <c r="B103" s="42">
        <f t="shared" si="3"/>
        <v>70</v>
      </c>
      <c r="C103" s="42" t="s">
        <v>3</v>
      </c>
      <c r="D103" s="42">
        <f t="shared" si="4"/>
        <v>200</v>
      </c>
      <c r="E103" s="42" t="s">
        <v>3</v>
      </c>
      <c r="F103" s="101">
        <f t="shared" si="5"/>
        <v>2650</v>
      </c>
      <c r="G103" s="42" t="s">
        <v>3</v>
      </c>
      <c r="H103" s="39">
        <v>2</v>
      </c>
      <c r="I103" s="40" t="s">
        <v>40</v>
      </c>
      <c r="J103" s="149">
        <v>70</v>
      </c>
      <c r="K103" s="104">
        <v>200</v>
      </c>
      <c r="L103" s="104">
        <v>2650</v>
      </c>
      <c r="M103" s="150">
        <v>17.143512985392142</v>
      </c>
      <c r="N103" s="78">
        <v>584.51893579204545</v>
      </c>
      <c r="O103" s="111">
        <v>29611.867157272936</v>
      </c>
      <c r="P103" s="109">
        <v>34808.658677635227</v>
      </c>
      <c r="Q103" s="110">
        <v>20496.462845376755</v>
      </c>
      <c r="R103" s="258">
        <v>50108.330002649687</v>
      </c>
      <c r="S103" s="259">
        <v>55305.121523011985</v>
      </c>
      <c r="U103" s="7" t="s">
        <v>1143</v>
      </c>
    </row>
    <row r="104" spans="1:21" s="65" customFormat="1" ht="16.5" customHeight="1" thickBot="1">
      <c r="A104" s="41" t="s">
        <v>31</v>
      </c>
      <c r="B104" s="42">
        <f t="shared" si="3"/>
        <v>70</v>
      </c>
      <c r="C104" s="42" t="s">
        <v>3</v>
      </c>
      <c r="D104" s="42">
        <f t="shared" si="4"/>
        <v>200</v>
      </c>
      <c r="E104" s="42" t="s">
        <v>3</v>
      </c>
      <c r="F104" s="101">
        <f t="shared" si="5"/>
        <v>2700</v>
      </c>
      <c r="G104" s="42" t="s">
        <v>3</v>
      </c>
      <c r="H104" s="39">
        <v>2</v>
      </c>
      <c r="I104" s="40" t="s">
        <v>40</v>
      </c>
      <c r="J104" s="149">
        <v>70</v>
      </c>
      <c r="K104" s="104">
        <v>200</v>
      </c>
      <c r="L104" s="104">
        <v>2700</v>
      </c>
      <c r="M104" s="150">
        <v>17.489698961700718</v>
      </c>
      <c r="N104" s="78">
        <v>597.22586917882916</v>
      </c>
      <c r="O104" s="111">
        <v>30088.798596035456</v>
      </c>
      <c r="P104" s="109">
        <v>35381.106539812114</v>
      </c>
      <c r="Q104" s="110">
        <v>20882.127928618724</v>
      </c>
      <c r="R104" s="258">
        <v>50970.926524654176</v>
      </c>
      <c r="S104" s="259">
        <v>56263.234468430834</v>
      </c>
      <c r="U104" s="7" t="s">
        <v>1144</v>
      </c>
    </row>
    <row r="105" spans="1:21" s="65" customFormat="1" ht="16.5" customHeight="1" thickBot="1">
      <c r="A105" s="41" t="s">
        <v>31</v>
      </c>
      <c r="B105" s="42">
        <f t="shared" si="3"/>
        <v>70</v>
      </c>
      <c r="C105" s="42" t="s">
        <v>3</v>
      </c>
      <c r="D105" s="42">
        <f t="shared" si="4"/>
        <v>200</v>
      </c>
      <c r="E105" s="42" t="s">
        <v>3</v>
      </c>
      <c r="F105" s="101">
        <f t="shared" si="5"/>
        <v>2750</v>
      </c>
      <c r="G105" s="42" t="s">
        <v>3</v>
      </c>
      <c r="H105" s="39">
        <v>2</v>
      </c>
      <c r="I105" s="40" t="s">
        <v>40</v>
      </c>
      <c r="J105" s="149">
        <v>70</v>
      </c>
      <c r="K105" s="104">
        <v>200</v>
      </c>
      <c r="L105" s="104">
        <v>2750</v>
      </c>
      <c r="M105" s="150">
        <v>17.796634938009284</v>
      </c>
      <c r="N105" s="78">
        <v>609.93280256561263</v>
      </c>
      <c r="O105" s="111">
        <v>30515.72987516733</v>
      </c>
      <c r="P105" s="109">
        <v>35905.078255830238</v>
      </c>
      <c r="Q105" s="110">
        <v>21267.793164889463</v>
      </c>
      <c r="R105" s="258">
        <v>51783.523040056796</v>
      </c>
      <c r="S105" s="259">
        <v>57172.871420719704</v>
      </c>
      <c r="U105" s="7" t="s">
        <v>1145</v>
      </c>
    </row>
    <row r="106" spans="1:21" s="65" customFormat="1" ht="16.5" customHeight="1" thickBot="1">
      <c r="A106" s="41" t="s">
        <v>31</v>
      </c>
      <c r="B106" s="42">
        <f t="shared" si="3"/>
        <v>70</v>
      </c>
      <c r="C106" s="42" t="s">
        <v>3</v>
      </c>
      <c r="D106" s="42">
        <f t="shared" si="4"/>
        <v>200</v>
      </c>
      <c r="E106" s="42" t="s">
        <v>3</v>
      </c>
      <c r="F106" s="101">
        <f t="shared" si="5"/>
        <v>2800</v>
      </c>
      <c r="G106" s="42" t="s">
        <v>3</v>
      </c>
      <c r="H106" s="39">
        <v>2</v>
      </c>
      <c r="I106" s="40" t="s">
        <v>40</v>
      </c>
      <c r="J106" s="149">
        <v>70</v>
      </c>
      <c r="K106" s="104">
        <v>200</v>
      </c>
      <c r="L106" s="104">
        <v>2800</v>
      </c>
      <c r="M106" s="150">
        <v>18.103570914317856</v>
      </c>
      <c r="N106" s="78">
        <v>622.63973595239634</v>
      </c>
      <c r="O106" s="111">
        <v>30942.661307327973</v>
      </c>
      <c r="P106" s="109">
        <v>36429.050124877118</v>
      </c>
      <c r="Q106" s="110">
        <v>21653.458248131432</v>
      </c>
      <c r="R106" s="258">
        <v>52596.119555459401</v>
      </c>
      <c r="S106" s="259">
        <v>58082.508373008546</v>
      </c>
      <c r="U106" s="7" t="s">
        <v>1146</v>
      </c>
    </row>
    <row r="107" spans="1:21" s="65" customFormat="1" ht="16.5" customHeight="1" thickBot="1">
      <c r="A107" s="41" t="s">
        <v>31</v>
      </c>
      <c r="B107" s="42">
        <f t="shared" si="3"/>
        <v>70</v>
      </c>
      <c r="C107" s="42" t="s">
        <v>3</v>
      </c>
      <c r="D107" s="42">
        <f t="shared" si="4"/>
        <v>200</v>
      </c>
      <c r="E107" s="42" t="s">
        <v>3</v>
      </c>
      <c r="F107" s="101">
        <f t="shared" si="5"/>
        <v>2850</v>
      </c>
      <c r="G107" s="42" t="s">
        <v>3</v>
      </c>
      <c r="H107" s="39">
        <v>2</v>
      </c>
      <c r="I107" s="40" t="s">
        <v>40</v>
      </c>
      <c r="J107" s="149">
        <v>70</v>
      </c>
      <c r="K107" s="104">
        <v>200</v>
      </c>
      <c r="L107" s="104">
        <v>2850</v>
      </c>
      <c r="M107" s="150">
        <v>18.410506890626429</v>
      </c>
      <c r="N107" s="78">
        <v>635.34666933917993</v>
      </c>
      <c r="O107" s="111">
        <v>31369.592586459847</v>
      </c>
      <c r="P107" s="109">
        <v>36953.02184089525</v>
      </c>
      <c r="Q107" s="110">
        <v>22039.123331373405</v>
      </c>
      <c r="R107" s="258">
        <v>53408.715917833251</v>
      </c>
      <c r="S107" s="259">
        <v>58992.145172268654</v>
      </c>
      <c r="U107" s="7" t="s">
        <v>1147</v>
      </c>
    </row>
    <row r="108" spans="1:21" s="65" customFormat="1" ht="16.5" customHeight="1" thickBot="1">
      <c r="A108" s="41" t="s">
        <v>31</v>
      </c>
      <c r="B108" s="42">
        <f t="shared" si="3"/>
        <v>70</v>
      </c>
      <c r="C108" s="42" t="s">
        <v>3</v>
      </c>
      <c r="D108" s="42">
        <f t="shared" si="4"/>
        <v>200</v>
      </c>
      <c r="E108" s="42" t="s">
        <v>3</v>
      </c>
      <c r="F108" s="101">
        <f t="shared" si="5"/>
        <v>2900</v>
      </c>
      <c r="G108" s="42" t="s">
        <v>3</v>
      </c>
      <c r="H108" s="39">
        <v>2</v>
      </c>
      <c r="I108" s="40" t="s">
        <v>40</v>
      </c>
      <c r="J108" s="149">
        <v>70</v>
      </c>
      <c r="K108" s="104">
        <v>200</v>
      </c>
      <c r="L108" s="104">
        <v>2900</v>
      </c>
      <c r="M108" s="150">
        <v>18.717442866934999</v>
      </c>
      <c r="N108" s="78">
        <v>648.0536027259634</v>
      </c>
      <c r="O108" s="111">
        <v>31796.523865591724</v>
      </c>
      <c r="P108" s="109">
        <v>37476.993556913367</v>
      </c>
      <c r="Q108" s="110">
        <v>22424.788414615377</v>
      </c>
      <c r="R108" s="258">
        <v>54221.312280207101</v>
      </c>
      <c r="S108" s="259">
        <v>59901.781971528748</v>
      </c>
      <c r="U108" s="7" t="s">
        <v>1148</v>
      </c>
    </row>
    <row r="109" spans="1:21" s="65" customFormat="1" ht="16.5" customHeight="1" thickBot="1">
      <c r="A109" s="41" t="s">
        <v>31</v>
      </c>
      <c r="B109" s="42">
        <f t="shared" si="3"/>
        <v>70</v>
      </c>
      <c r="C109" s="42" t="s">
        <v>3</v>
      </c>
      <c r="D109" s="42">
        <f t="shared" si="4"/>
        <v>200</v>
      </c>
      <c r="E109" s="42" t="s">
        <v>3</v>
      </c>
      <c r="F109" s="101">
        <f t="shared" si="5"/>
        <v>2950</v>
      </c>
      <c r="G109" s="42" t="s">
        <v>3</v>
      </c>
      <c r="H109" s="39">
        <v>2</v>
      </c>
      <c r="I109" s="40" t="s">
        <v>40</v>
      </c>
      <c r="J109" s="149">
        <v>70</v>
      </c>
      <c r="K109" s="104">
        <v>200</v>
      </c>
      <c r="L109" s="104">
        <v>2950</v>
      </c>
      <c r="M109" s="150">
        <v>19.024378843243571</v>
      </c>
      <c r="N109" s="78">
        <v>660.7605361127471</v>
      </c>
      <c r="O109" s="111">
        <v>32223.455144723594</v>
      </c>
      <c r="P109" s="109">
        <v>38000.965272931491</v>
      </c>
      <c r="Q109" s="110">
        <v>22810.45349785735</v>
      </c>
      <c r="R109" s="258">
        <v>55033.908642580944</v>
      </c>
      <c r="S109" s="259">
        <v>60811.418770788841</v>
      </c>
      <c r="U109" s="7" t="s">
        <v>1149</v>
      </c>
    </row>
    <row r="110" spans="1:21" s="65" customFormat="1" ht="16.5" customHeight="1" thickBot="1">
      <c r="A110" s="43" t="s">
        <v>31</v>
      </c>
      <c r="B110" s="44">
        <f t="shared" si="3"/>
        <v>70</v>
      </c>
      <c r="C110" s="44" t="s">
        <v>3</v>
      </c>
      <c r="D110" s="44">
        <f t="shared" si="4"/>
        <v>200</v>
      </c>
      <c r="E110" s="44" t="s">
        <v>3</v>
      </c>
      <c r="F110" s="102">
        <f t="shared" si="5"/>
        <v>3000</v>
      </c>
      <c r="G110" s="44" t="s">
        <v>3</v>
      </c>
      <c r="H110" s="46">
        <v>2</v>
      </c>
      <c r="I110" s="45" t="s">
        <v>40</v>
      </c>
      <c r="J110" s="149">
        <v>70</v>
      </c>
      <c r="K110" s="134">
        <v>200</v>
      </c>
      <c r="L110" s="134">
        <v>3000</v>
      </c>
      <c r="M110" s="152">
        <v>19.331314819552141</v>
      </c>
      <c r="N110" s="127">
        <v>673.46746949953069</v>
      </c>
      <c r="O110" s="135">
        <v>33931.307887241208</v>
      </c>
      <c r="P110" s="154">
        <v>38524.936988949608</v>
      </c>
      <c r="Q110" s="136">
        <v>23196.118734128086</v>
      </c>
      <c r="R110" s="260">
        <v>57127.42662136929</v>
      </c>
      <c r="S110" s="261">
        <v>61721.05572307769</v>
      </c>
      <c r="U110" s="7" t="s">
        <v>1150</v>
      </c>
    </row>
    <row r="111" spans="1:21" s="65" customFormat="1" ht="22.5" customHeight="1" thickBot="1">
      <c r="A111" s="3010" t="s">
        <v>45</v>
      </c>
      <c r="B111" s="3011"/>
      <c r="C111" s="3011"/>
      <c r="D111" s="3011"/>
      <c r="E111" s="3011"/>
      <c r="F111" s="3011"/>
      <c r="G111" s="3011"/>
      <c r="H111" s="3011"/>
      <c r="I111" s="3011"/>
      <c r="J111" s="3011"/>
      <c r="K111" s="3011"/>
      <c r="L111" s="3011"/>
      <c r="M111" s="3011"/>
      <c r="N111" s="3011"/>
      <c r="O111" s="3011"/>
      <c r="P111" s="3011"/>
      <c r="Q111" s="3011"/>
      <c r="R111" s="3011"/>
      <c r="S111" s="3012"/>
      <c r="U111" s="7"/>
    </row>
    <row r="112" spans="1:21" s="65" customFormat="1" ht="22.5" customHeight="1" thickBot="1">
      <c r="A112" s="2971" t="s">
        <v>62</v>
      </c>
      <c r="B112" s="2972"/>
      <c r="C112" s="2972"/>
      <c r="D112" s="2972"/>
      <c r="E112" s="2972"/>
      <c r="F112" s="2972"/>
      <c r="G112" s="2972"/>
      <c r="H112" s="2972"/>
      <c r="I112" s="2972"/>
      <c r="J112" s="2972"/>
      <c r="K112" s="2972"/>
      <c r="L112" s="2972"/>
      <c r="M112" s="2972"/>
      <c r="N112" s="2972"/>
      <c r="O112" s="2972"/>
      <c r="P112" s="2972"/>
      <c r="Q112" s="2972"/>
      <c r="R112" s="2972"/>
      <c r="S112" s="2973"/>
      <c r="U112" s="7"/>
    </row>
    <row r="113" spans="1:21" s="65" customFormat="1" ht="16.5" customHeight="1" thickBot="1">
      <c r="A113" s="2974" t="s">
        <v>112</v>
      </c>
      <c r="B113" s="2975"/>
      <c r="C113" s="2975"/>
      <c r="D113" s="2975"/>
      <c r="E113" s="2975"/>
      <c r="F113" s="2975"/>
      <c r="G113" s="2975"/>
      <c r="H113" s="2975"/>
      <c r="I113" s="2975"/>
      <c r="J113" s="2975"/>
      <c r="K113" s="2975"/>
      <c r="L113" s="2975"/>
      <c r="M113" s="2975"/>
      <c r="N113" s="2975"/>
      <c r="O113" s="2975"/>
      <c r="P113" s="2975"/>
      <c r="Q113" s="2975"/>
      <c r="R113" s="2975"/>
      <c r="S113" s="2976"/>
      <c r="U113" s="7"/>
    </row>
    <row r="114" spans="1:21" s="65" customFormat="1" ht="16.5" thickBot="1">
      <c r="A114" s="38" t="s">
        <v>31</v>
      </c>
      <c r="B114" s="39">
        <f>J114</f>
        <v>70</v>
      </c>
      <c r="C114" s="39" t="s">
        <v>3</v>
      </c>
      <c r="D114" s="39">
        <f>K114</f>
        <v>260</v>
      </c>
      <c r="E114" s="39" t="s">
        <v>3</v>
      </c>
      <c r="F114" s="101">
        <f>L114</f>
        <v>600</v>
      </c>
      <c r="G114" s="39" t="s">
        <v>3</v>
      </c>
      <c r="H114" s="39">
        <v>2</v>
      </c>
      <c r="I114" s="40" t="s">
        <v>40</v>
      </c>
      <c r="J114" s="146">
        <v>70</v>
      </c>
      <c r="K114" s="138">
        <v>260</v>
      </c>
      <c r="L114" s="138">
        <v>600</v>
      </c>
      <c r="M114" s="147">
        <v>4.9445293322835724</v>
      </c>
      <c r="N114" s="122">
        <v>80.277712467199024</v>
      </c>
      <c r="O114" s="153">
        <v>10941.682802139965</v>
      </c>
      <c r="P114" s="153">
        <v>12907.424516566713</v>
      </c>
      <c r="Q114" s="139">
        <v>5724.0299414295368</v>
      </c>
      <c r="R114" s="256">
        <v>16665.7127435695</v>
      </c>
      <c r="S114" s="257">
        <v>18631.454457996249</v>
      </c>
      <c r="U114" s="7" t="s">
        <v>1151</v>
      </c>
    </row>
    <row r="115" spans="1:21" s="65" customFormat="1" ht="16.5" thickBot="1">
      <c r="A115" s="41" t="s">
        <v>31</v>
      </c>
      <c r="B115" s="42">
        <f t="shared" ref="B115:B162" si="6">J115</f>
        <v>70</v>
      </c>
      <c r="C115" s="42" t="s">
        <v>3</v>
      </c>
      <c r="D115" s="42">
        <f t="shared" ref="D115:D162" si="7">K115</f>
        <v>260</v>
      </c>
      <c r="E115" s="42" t="s">
        <v>3</v>
      </c>
      <c r="F115" s="101">
        <f t="shared" ref="F115:F162" si="8">L115</f>
        <v>650</v>
      </c>
      <c r="G115" s="42" t="s">
        <v>3</v>
      </c>
      <c r="H115" s="39">
        <v>2</v>
      </c>
      <c r="I115" s="40" t="s">
        <v>40</v>
      </c>
      <c r="J115" s="149">
        <v>70</v>
      </c>
      <c r="K115" s="104">
        <v>260</v>
      </c>
      <c r="L115" s="104">
        <v>650</v>
      </c>
      <c r="M115" s="150">
        <v>5.2993654193064286</v>
      </c>
      <c r="N115" s="66">
        <v>96.333254960638826</v>
      </c>
      <c r="O115" s="109">
        <v>11399.609751590378</v>
      </c>
      <c r="P115" s="109">
        <v>13483.125617261392</v>
      </c>
      <c r="Q115" s="110">
        <v>6195.021568673732</v>
      </c>
      <c r="R115" s="258">
        <v>17594.63132026411</v>
      </c>
      <c r="S115" s="259">
        <v>19678.147185935122</v>
      </c>
      <c r="U115" s="7" t="s">
        <v>1152</v>
      </c>
    </row>
    <row r="116" spans="1:21" s="65" customFormat="1" ht="16.5" thickBot="1">
      <c r="A116" s="41" t="s">
        <v>31</v>
      </c>
      <c r="B116" s="42">
        <f t="shared" si="6"/>
        <v>70</v>
      </c>
      <c r="C116" s="42" t="s">
        <v>3</v>
      </c>
      <c r="D116" s="42">
        <f t="shared" si="7"/>
        <v>260</v>
      </c>
      <c r="E116" s="42" t="s">
        <v>3</v>
      </c>
      <c r="F116" s="101">
        <f t="shared" si="8"/>
        <v>700</v>
      </c>
      <c r="G116" s="42" t="s">
        <v>3</v>
      </c>
      <c r="H116" s="39">
        <v>2</v>
      </c>
      <c r="I116" s="40" t="s">
        <v>40</v>
      </c>
      <c r="J116" s="149">
        <v>70</v>
      </c>
      <c r="K116" s="104">
        <v>260</v>
      </c>
      <c r="L116" s="104">
        <v>700</v>
      </c>
      <c r="M116" s="150">
        <v>5.6542015063292856</v>
      </c>
      <c r="N116" s="66">
        <v>112.38879745407863</v>
      </c>
      <c r="O116" s="109">
        <v>11857.536548012027</v>
      </c>
      <c r="P116" s="109">
        <v>14058.826564927309</v>
      </c>
      <c r="Q116" s="110">
        <v>6666.0130428891625</v>
      </c>
      <c r="R116" s="258">
        <v>18523.549590901188</v>
      </c>
      <c r="S116" s="259">
        <v>20724.839607816473</v>
      </c>
      <c r="U116" s="7" t="s">
        <v>1153</v>
      </c>
    </row>
    <row r="117" spans="1:21" s="65" customFormat="1" ht="16.5" thickBot="1">
      <c r="A117" s="41" t="s">
        <v>31</v>
      </c>
      <c r="B117" s="42">
        <f t="shared" si="6"/>
        <v>70</v>
      </c>
      <c r="C117" s="42" t="s">
        <v>3</v>
      </c>
      <c r="D117" s="42">
        <f t="shared" si="7"/>
        <v>260</v>
      </c>
      <c r="E117" s="42" t="s">
        <v>3</v>
      </c>
      <c r="F117" s="101">
        <f t="shared" si="8"/>
        <v>750</v>
      </c>
      <c r="G117" s="42" t="s">
        <v>3</v>
      </c>
      <c r="H117" s="39">
        <v>2</v>
      </c>
      <c r="I117" s="40" t="s">
        <v>40</v>
      </c>
      <c r="J117" s="149">
        <v>70</v>
      </c>
      <c r="K117" s="104">
        <v>260</v>
      </c>
      <c r="L117" s="104">
        <v>750</v>
      </c>
      <c r="M117" s="150">
        <v>6.0090375933521436</v>
      </c>
      <c r="N117" s="66">
        <v>128.44433994751844</v>
      </c>
      <c r="O117" s="109">
        <v>12315.463344433674</v>
      </c>
      <c r="P117" s="109">
        <v>14634.527512593222</v>
      </c>
      <c r="Q117" s="110">
        <v>7137.0046701333404</v>
      </c>
      <c r="R117" s="258">
        <v>19452.468014567014</v>
      </c>
      <c r="S117" s="259">
        <v>21771.532182726562</v>
      </c>
      <c r="U117" s="7" t="s">
        <v>1154</v>
      </c>
    </row>
    <row r="118" spans="1:21" s="65" customFormat="1" ht="16.5" thickBot="1">
      <c r="A118" s="41" t="s">
        <v>31</v>
      </c>
      <c r="B118" s="42">
        <f t="shared" si="6"/>
        <v>70</v>
      </c>
      <c r="C118" s="42" t="s">
        <v>3</v>
      </c>
      <c r="D118" s="42">
        <f t="shared" si="7"/>
        <v>260</v>
      </c>
      <c r="E118" s="42" t="s">
        <v>3</v>
      </c>
      <c r="F118" s="101">
        <f t="shared" si="8"/>
        <v>800</v>
      </c>
      <c r="G118" s="42" t="s">
        <v>3</v>
      </c>
      <c r="H118" s="39">
        <v>2</v>
      </c>
      <c r="I118" s="40" t="s">
        <v>40</v>
      </c>
      <c r="J118" s="149">
        <v>70</v>
      </c>
      <c r="K118" s="104">
        <v>260</v>
      </c>
      <c r="L118" s="104">
        <v>800</v>
      </c>
      <c r="M118" s="150">
        <v>6.3638736803750007</v>
      </c>
      <c r="N118" s="66">
        <v>144.49988244095826</v>
      </c>
      <c r="O118" s="109">
        <v>12773.390293884086</v>
      </c>
      <c r="P118" s="109">
        <v>15210.228460259124</v>
      </c>
      <c r="Q118" s="110">
        <v>7607.9961443487855</v>
      </c>
      <c r="R118" s="258">
        <v>20381.386438232872</v>
      </c>
      <c r="S118" s="259">
        <v>22818.224604607909</v>
      </c>
      <c r="U118" s="7" t="s">
        <v>1155</v>
      </c>
    </row>
    <row r="119" spans="1:21" s="65" customFormat="1" ht="16.5" thickBot="1">
      <c r="A119" s="41" t="s">
        <v>31</v>
      </c>
      <c r="B119" s="42">
        <f t="shared" si="6"/>
        <v>70</v>
      </c>
      <c r="C119" s="42" t="s">
        <v>3</v>
      </c>
      <c r="D119" s="42">
        <f t="shared" si="7"/>
        <v>260</v>
      </c>
      <c r="E119" s="42" t="s">
        <v>3</v>
      </c>
      <c r="F119" s="101">
        <f t="shared" si="8"/>
        <v>850</v>
      </c>
      <c r="G119" s="42" t="s">
        <v>3</v>
      </c>
      <c r="H119" s="39">
        <v>2</v>
      </c>
      <c r="I119" s="40" t="s">
        <v>40</v>
      </c>
      <c r="J119" s="149">
        <v>70</v>
      </c>
      <c r="K119" s="104">
        <v>260</v>
      </c>
      <c r="L119" s="104">
        <v>850</v>
      </c>
      <c r="M119" s="150">
        <v>6.7187097673978569</v>
      </c>
      <c r="N119" s="66">
        <v>160.55542493439805</v>
      </c>
      <c r="O119" s="109">
        <v>13231.317090305734</v>
      </c>
      <c r="P119" s="109">
        <v>15785.92956095382</v>
      </c>
      <c r="Q119" s="110">
        <v>8078.9877715929815</v>
      </c>
      <c r="R119" s="258">
        <v>21310.304861898716</v>
      </c>
      <c r="S119" s="259">
        <v>23864.9173325468</v>
      </c>
      <c r="U119" s="7" t="s">
        <v>1156</v>
      </c>
    </row>
    <row r="120" spans="1:21" s="65" customFormat="1" ht="16.5" thickBot="1">
      <c r="A120" s="41" t="s">
        <v>31</v>
      </c>
      <c r="B120" s="42">
        <f t="shared" si="6"/>
        <v>70</v>
      </c>
      <c r="C120" s="42" t="s">
        <v>3</v>
      </c>
      <c r="D120" s="42">
        <f t="shared" si="7"/>
        <v>260</v>
      </c>
      <c r="E120" s="42" t="s">
        <v>3</v>
      </c>
      <c r="F120" s="101">
        <f t="shared" si="8"/>
        <v>900</v>
      </c>
      <c r="G120" s="42" t="s">
        <v>3</v>
      </c>
      <c r="H120" s="39">
        <v>2</v>
      </c>
      <c r="I120" s="40" t="s">
        <v>40</v>
      </c>
      <c r="J120" s="149">
        <v>70</v>
      </c>
      <c r="K120" s="104">
        <v>260</v>
      </c>
      <c r="L120" s="104">
        <v>900</v>
      </c>
      <c r="M120" s="150">
        <v>7.0735458544207157</v>
      </c>
      <c r="N120" s="66">
        <v>176.61096742783786</v>
      </c>
      <c r="O120" s="109">
        <v>13689.243886727385</v>
      </c>
      <c r="P120" s="109">
        <v>16361.630508619735</v>
      </c>
      <c r="Q120" s="110">
        <v>8549.9793988371766</v>
      </c>
      <c r="R120" s="258">
        <v>22239.223285564563</v>
      </c>
      <c r="S120" s="259">
        <v>24911.609907456914</v>
      </c>
      <c r="U120" s="7" t="s">
        <v>1157</v>
      </c>
    </row>
    <row r="121" spans="1:21" s="65" customFormat="1" ht="16.5" thickBot="1">
      <c r="A121" s="41" t="s">
        <v>31</v>
      </c>
      <c r="B121" s="42">
        <f t="shared" si="6"/>
        <v>70</v>
      </c>
      <c r="C121" s="42" t="s">
        <v>3</v>
      </c>
      <c r="D121" s="42">
        <f t="shared" si="7"/>
        <v>260</v>
      </c>
      <c r="E121" s="42" t="s">
        <v>3</v>
      </c>
      <c r="F121" s="101">
        <f t="shared" si="8"/>
        <v>950</v>
      </c>
      <c r="G121" s="42" t="s">
        <v>3</v>
      </c>
      <c r="H121" s="39">
        <v>2</v>
      </c>
      <c r="I121" s="40" t="s">
        <v>40</v>
      </c>
      <c r="J121" s="149">
        <v>70</v>
      </c>
      <c r="K121" s="104">
        <v>260</v>
      </c>
      <c r="L121" s="104">
        <v>950</v>
      </c>
      <c r="M121" s="150">
        <v>7.4283819414435719</v>
      </c>
      <c r="N121" s="66">
        <v>192.66650992127765</v>
      </c>
      <c r="O121" s="109">
        <v>14147.170836177796</v>
      </c>
      <c r="P121" s="109">
        <v>16937.331456285654</v>
      </c>
      <c r="Q121" s="110">
        <v>9020.9708730526054</v>
      </c>
      <c r="R121" s="258">
        <v>23168.141709230404</v>
      </c>
      <c r="S121" s="259">
        <v>25958.302329338258</v>
      </c>
      <c r="U121" s="7" t="s">
        <v>1158</v>
      </c>
    </row>
    <row r="122" spans="1:21" s="65" customFormat="1" ht="16.5" thickBot="1">
      <c r="A122" s="41" t="s">
        <v>31</v>
      </c>
      <c r="B122" s="42">
        <f t="shared" si="6"/>
        <v>70</v>
      </c>
      <c r="C122" s="42" t="s">
        <v>3</v>
      </c>
      <c r="D122" s="42">
        <f t="shared" si="7"/>
        <v>260</v>
      </c>
      <c r="E122" s="42" t="s">
        <v>3</v>
      </c>
      <c r="F122" s="101">
        <f t="shared" si="8"/>
        <v>1000</v>
      </c>
      <c r="G122" s="42" t="s">
        <v>3</v>
      </c>
      <c r="H122" s="39">
        <v>2</v>
      </c>
      <c r="I122" s="40" t="s">
        <v>40</v>
      </c>
      <c r="J122" s="149">
        <v>70</v>
      </c>
      <c r="K122" s="104">
        <v>260</v>
      </c>
      <c r="L122" s="104">
        <v>1000</v>
      </c>
      <c r="M122" s="150">
        <v>7.7832180284664298</v>
      </c>
      <c r="N122" s="66">
        <v>208.72205241471747</v>
      </c>
      <c r="O122" s="109">
        <v>14605.097632599445</v>
      </c>
      <c r="P122" s="109">
        <v>17513.032403951565</v>
      </c>
      <c r="Q122" s="110">
        <v>9491.9625002968005</v>
      </c>
      <c r="R122" s="258">
        <v>24097.060132896244</v>
      </c>
      <c r="S122" s="259">
        <v>27004.994904248364</v>
      </c>
      <c r="U122" s="7" t="s">
        <v>1159</v>
      </c>
    </row>
    <row r="123" spans="1:21" s="65" customFormat="1" ht="16.5" thickBot="1">
      <c r="A123" s="41" t="s">
        <v>31</v>
      </c>
      <c r="B123" s="42">
        <f t="shared" si="6"/>
        <v>70</v>
      </c>
      <c r="C123" s="42" t="s">
        <v>3</v>
      </c>
      <c r="D123" s="42">
        <f t="shared" si="7"/>
        <v>260</v>
      </c>
      <c r="E123" s="42" t="s">
        <v>3</v>
      </c>
      <c r="F123" s="101">
        <f t="shared" si="8"/>
        <v>1050</v>
      </c>
      <c r="G123" s="42" t="s">
        <v>3</v>
      </c>
      <c r="H123" s="39">
        <v>2</v>
      </c>
      <c r="I123" s="40" t="s">
        <v>40</v>
      </c>
      <c r="J123" s="149">
        <v>70</v>
      </c>
      <c r="K123" s="104">
        <v>260</v>
      </c>
      <c r="L123" s="104">
        <v>1050</v>
      </c>
      <c r="M123" s="150">
        <v>8.138054115489286</v>
      </c>
      <c r="N123" s="66">
        <v>224.77759490815725</v>
      </c>
      <c r="O123" s="109">
        <v>15063.024582049857</v>
      </c>
      <c r="P123" s="109">
        <v>18088.73350464625</v>
      </c>
      <c r="Q123" s="110">
        <v>9962.9539745122293</v>
      </c>
      <c r="R123" s="258">
        <v>25025.978556562084</v>
      </c>
      <c r="S123" s="259">
        <v>28051.687479158478</v>
      </c>
      <c r="U123" s="7" t="s">
        <v>1160</v>
      </c>
    </row>
    <row r="124" spans="1:21" s="65" customFormat="1" ht="16.5" thickBot="1">
      <c r="A124" s="38" t="s">
        <v>31</v>
      </c>
      <c r="B124" s="39">
        <f t="shared" si="6"/>
        <v>70</v>
      </c>
      <c r="C124" s="39" t="s">
        <v>3</v>
      </c>
      <c r="D124" s="39">
        <f t="shared" si="7"/>
        <v>260</v>
      </c>
      <c r="E124" s="39" t="s">
        <v>3</v>
      </c>
      <c r="F124" s="101">
        <f t="shared" si="8"/>
        <v>1100</v>
      </c>
      <c r="G124" s="39" t="s">
        <v>3</v>
      </c>
      <c r="H124" s="39">
        <v>2</v>
      </c>
      <c r="I124" s="40" t="s">
        <v>40</v>
      </c>
      <c r="J124" s="149">
        <v>70</v>
      </c>
      <c r="K124" s="104">
        <v>260</v>
      </c>
      <c r="L124" s="104">
        <v>1100</v>
      </c>
      <c r="M124" s="150">
        <v>8.4928902025121431</v>
      </c>
      <c r="N124" s="66">
        <v>240.83313740159707</v>
      </c>
      <c r="O124" s="109">
        <v>15520.951378471507</v>
      </c>
      <c r="P124" s="109">
        <v>18664.434452312162</v>
      </c>
      <c r="Q124" s="110">
        <v>10433.945601756424</v>
      </c>
      <c r="R124" s="258">
        <v>25954.896980227932</v>
      </c>
      <c r="S124" s="259">
        <v>29098.380054068584</v>
      </c>
      <c r="U124" s="7" t="s">
        <v>1161</v>
      </c>
    </row>
    <row r="125" spans="1:21" s="65" customFormat="1" ht="16.5" thickBot="1">
      <c r="A125" s="41" t="s">
        <v>31</v>
      </c>
      <c r="B125" s="42">
        <f t="shared" si="6"/>
        <v>70</v>
      </c>
      <c r="C125" s="42" t="s">
        <v>3</v>
      </c>
      <c r="D125" s="42">
        <f t="shared" si="7"/>
        <v>260</v>
      </c>
      <c r="E125" s="42" t="s">
        <v>3</v>
      </c>
      <c r="F125" s="101">
        <f t="shared" si="8"/>
        <v>1150</v>
      </c>
      <c r="G125" s="42" t="s">
        <v>3</v>
      </c>
      <c r="H125" s="39">
        <v>2</v>
      </c>
      <c r="I125" s="40" t="s">
        <v>40</v>
      </c>
      <c r="J125" s="149">
        <v>70</v>
      </c>
      <c r="K125" s="104">
        <v>260</v>
      </c>
      <c r="L125" s="104">
        <v>1150</v>
      </c>
      <c r="M125" s="150">
        <v>8.8477262895350002</v>
      </c>
      <c r="N125" s="66">
        <v>256.88867989503689</v>
      </c>
      <c r="O125" s="109">
        <v>15978.878174893154</v>
      </c>
      <c r="P125" s="109">
        <v>19240.13539997808</v>
      </c>
      <c r="Q125" s="110">
        <v>10904.937229000619</v>
      </c>
      <c r="R125" s="258">
        <v>26883.815403893772</v>
      </c>
      <c r="S125" s="259">
        <v>30145.072628978698</v>
      </c>
      <c r="U125" s="7" t="s">
        <v>1162</v>
      </c>
    </row>
    <row r="126" spans="1:21" s="65" customFormat="1" ht="16.5" thickBot="1">
      <c r="A126" s="41" t="s">
        <v>31</v>
      </c>
      <c r="B126" s="42">
        <f t="shared" si="6"/>
        <v>70</v>
      </c>
      <c r="C126" s="42" t="s">
        <v>3</v>
      </c>
      <c r="D126" s="42">
        <f t="shared" si="7"/>
        <v>260</v>
      </c>
      <c r="E126" s="42" t="s">
        <v>3</v>
      </c>
      <c r="F126" s="101">
        <f t="shared" si="8"/>
        <v>1200</v>
      </c>
      <c r="G126" s="42" t="s">
        <v>3</v>
      </c>
      <c r="H126" s="39">
        <v>2</v>
      </c>
      <c r="I126" s="40" t="s">
        <v>40</v>
      </c>
      <c r="J126" s="149">
        <v>70</v>
      </c>
      <c r="K126" s="104">
        <v>260</v>
      </c>
      <c r="L126" s="104">
        <v>1200</v>
      </c>
      <c r="M126" s="150">
        <v>9.2418123765578581</v>
      </c>
      <c r="N126" s="66">
        <v>272.94422238847665</v>
      </c>
      <c r="O126" s="109">
        <v>16486.805283974059</v>
      </c>
      <c r="P126" s="109">
        <v>19864.312646831528</v>
      </c>
      <c r="Q126" s="110">
        <v>11375.92870321605</v>
      </c>
      <c r="R126" s="258">
        <v>27862.733987190109</v>
      </c>
      <c r="S126" s="259">
        <v>31240.241350047578</v>
      </c>
      <c r="U126" s="7" t="s">
        <v>1163</v>
      </c>
    </row>
    <row r="127" spans="1:21" s="65" customFormat="1" ht="16.5" thickBot="1">
      <c r="A127" s="41" t="s">
        <v>31</v>
      </c>
      <c r="B127" s="42">
        <f t="shared" si="6"/>
        <v>70</v>
      </c>
      <c r="C127" s="42" t="s">
        <v>3</v>
      </c>
      <c r="D127" s="42">
        <f t="shared" si="7"/>
        <v>260</v>
      </c>
      <c r="E127" s="42" t="s">
        <v>3</v>
      </c>
      <c r="F127" s="101">
        <f t="shared" si="8"/>
        <v>1250</v>
      </c>
      <c r="G127" s="42" t="s">
        <v>3</v>
      </c>
      <c r="H127" s="39">
        <v>2</v>
      </c>
      <c r="I127" s="40" t="s">
        <v>40</v>
      </c>
      <c r="J127" s="149">
        <v>70</v>
      </c>
      <c r="K127" s="104">
        <v>260</v>
      </c>
      <c r="L127" s="104">
        <v>1250</v>
      </c>
      <c r="M127" s="150">
        <v>9.5966484635807134</v>
      </c>
      <c r="N127" s="66">
        <v>288.99976488191652</v>
      </c>
      <c r="O127" s="109">
        <v>16944.732080395861</v>
      </c>
      <c r="P127" s="109">
        <v>20440.013594497443</v>
      </c>
      <c r="Q127" s="110">
        <v>11846.920330460245</v>
      </c>
      <c r="R127" s="258">
        <v>28791.652410856106</v>
      </c>
      <c r="S127" s="259">
        <v>32286.933924957688</v>
      </c>
      <c r="U127" s="7" t="s">
        <v>1164</v>
      </c>
    </row>
    <row r="128" spans="1:21" s="65" customFormat="1" ht="16.5" thickBot="1">
      <c r="A128" s="41" t="s">
        <v>31</v>
      </c>
      <c r="B128" s="42">
        <f t="shared" si="6"/>
        <v>70</v>
      </c>
      <c r="C128" s="42" t="s">
        <v>3</v>
      </c>
      <c r="D128" s="42">
        <f t="shared" si="7"/>
        <v>260</v>
      </c>
      <c r="E128" s="42" t="s">
        <v>3</v>
      </c>
      <c r="F128" s="101">
        <f t="shared" si="8"/>
        <v>1300</v>
      </c>
      <c r="G128" s="42" t="s">
        <v>3</v>
      </c>
      <c r="H128" s="39">
        <v>2</v>
      </c>
      <c r="I128" s="40" t="s">
        <v>40</v>
      </c>
      <c r="J128" s="149">
        <v>70</v>
      </c>
      <c r="K128" s="104">
        <v>260</v>
      </c>
      <c r="L128" s="104">
        <v>1300</v>
      </c>
      <c r="M128" s="150">
        <v>9.9514845506035723</v>
      </c>
      <c r="N128" s="66">
        <v>305.05530737535628</v>
      </c>
      <c r="O128" s="109">
        <v>17402.659029846276</v>
      </c>
      <c r="P128" s="109">
        <v>21015.714542163358</v>
      </c>
      <c r="Q128" s="110">
        <v>12317.911804675674</v>
      </c>
      <c r="R128" s="258">
        <v>29720.57083452195</v>
      </c>
      <c r="S128" s="259">
        <v>33333.626346839032</v>
      </c>
      <c r="U128" s="7" t="s">
        <v>1165</v>
      </c>
    </row>
    <row r="129" spans="1:21" s="65" customFormat="1" ht="16.5" thickBot="1">
      <c r="A129" s="41" t="s">
        <v>31</v>
      </c>
      <c r="B129" s="42">
        <f t="shared" si="6"/>
        <v>70</v>
      </c>
      <c r="C129" s="42" t="s">
        <v>3</v>
      </c>
      <c r="D129" s="42">
        <f t="shared" si="7"/>
        <v>260</v>
      </c>
      <c r="E129" s="42" t="s">
        <v>3</v>
      </c>
      <c r="F129" s="101">
        <f t="shared" si="8"/>
        <v>1350</v>
      </c>
      <c r="G129" s="42" t="s">
        <v>3</v>
      </c>
      <c r="H129" s="39">
        <v>2</v>
      </c>
      <c r="I129" s="40" t="s">
        <v>40</v>
      </c>
      <c r="J129" s="149">
        <v>70</v>
      </c>
      <c r="K129" s="104">
        <v>260</v>
      </c>
      <c r="L129" s="104">
        <v>1350</v>
      </c>
      <c r="M129" s="150">
        <v>10.306320637626428</v>
      </c>
      <c r="N129" s="66">
        <v>321.11084986879609</v>
      </c>
      <c r="O129" s="109">
        <v>17860.585826267921</v>
      </c>
      <c r="P129" s="109">
        <v>21591.415489829273</v>
      </c>
      <c r="Q129" s="110">
        <v>12788.903431919871</v>
      </c>
      <c r="R129" s="258">
        <v>30649.489258187794</v>
      </c>
      <c r="S129" s="259">
        <v>34380.318921749145</v>
      </c>
      <c r="U129" s="7" t="s">
        <v>1166</v>
      </c>
    </row>
    <row r="130" spans="1:21" s="65" customFormat="1" ht="16.5" thickBot="1">
      <c r="A130" s="41" t="s">
        <v>31</v>
      </c>
      <c r="B130" s="42">
        <f t="shared" si="6"/>
        <v>70</v>
      </c>
      <c r="C130" s="42" t="s">
        <v>3</v>
      </c>
      <c r="D130" s="42">
        <f t="shared" si="7"/>
        <v>260</v>
      </c>
      <c r="E130" s="42" t="s">
        <v>3</v>
      </c>
      <c r="F130" s="101">
        <f t="shared" si="8"/>
        <v>1400</v>
      </c>
      <c r="G130" s="42" t="s">
        <v>3</v>
      </c>
      <c r="H130" s="39">
        <v>2</v>
      </c>
      <c r="I130" s="40" t="s">
        <v>40</v>
      </c>
      <c r="J130" s="149">
        <v>70</v>
      </c>
      <c r="K130" s="104">
        <v>260</v>
      </c>
      <c r="L130" s="104">
        <v>1400</v>
      </c>
      <c r="M130" s="150">
        <v>10.661156724649288</v>
      </c>
      <c r="N130" s="66">
        <v>337.16639236223591</v>
      </c>
      <c r="O130" s="109">
        <v>18318.51262268957</v>
      </c>
      <c r="P130" s="109">
        <v>22167.116590523958</v>
      </c>
      <c r="Q130" s="110">
        <v>13259.895059164062</v>
      </c>
      <c r="R130" s="258">
        <v>31578.407681853634</v>
      </c>
      <c r="S130" s="259">
        <v>35427.011649688022</v>
      </c>
      <c r="U130" s="7" t="s">
        <v>1167</v>
      </c>
    </row>
    <row r="131" spans="1:21" s="65" customFormat="1" ht="16.5" thickBot="1">
      <c r="A131" s="41" t="s">
        <v>31</v>
      </c>
      <c r="B131" s="42">
        <f t="shared" si="6"/>
        <v>70</v>
      </c>
      <c r="C131" s="42" t="s">
        <v>3</v>
      </c>
      <c r="D131" s="42">
        <f t="shared" si="7"/>
        <v>260</v>
      </c>
      <c r="E131" s="42" t="s">
        <v>3</v>
      </c>
      <c r="F131" s="101">
        <f t="shared" si="8"/>
        <v>1450</v>
      </c>
      <c r="G131" s="42" t="s">
        <v>3</v>
      </c>
      <c r="H131" s="39">
        <v>2</v>
      </c>
      <c r="I131" s="40" t="s">
        <v>40</v>
      </c>
      <c r="J131" s="149">
        <v>70</v>
      </c>
      <c r="K131" s="104">
        <v>260</v>
      </c>
      <c r="L131" s="104">
        <v>1450</v>
      </c>
      <c r="M131" s="150">
        <v>11.015992811672144</v>
      </c>
      <c r="N131" s="66">
        <v>353.22193485567573</v>
      </c>
      <c r="O131" s="109">
        <v>18776.439572139981</v>
      </c>
      <c r="P131" s="109">
        <v>22742.817538189869</v>
      </c>
      <c r="Q131" s="110">
        <v>13730.886533379495</v>
      </c>
      <c r="R131" s="258">
        <v>32507.326105519474</v>
      </c>
      <c r="S131" s="259">
        <v>36473.704071569366</v>
      </c>
      <c r="U131" s="7" t="s">
        <v>1168</v>
      </c>
    </row>
    <row r="132" spans="1:21" s="65" customFormat="1" ht="16.5" thickBot="1">
      <c r="A132" s="41" t="s">
        <v>31</v>
      </c>
      <c r="B132" s="42">
        <f t="shared" si="6"/>
        <v>70</v>
      </c>
      <c r="C132" s="42" t="s">
        <v>3</v>
      </c>
      <c r="D132" s="42">
        <f t="shared" si="7"/>
        <v>260</v>
      </c>
      <c r="E132" s="42" t="s">
        <v>3</v>
      </c>
      <c r="F132" s="101">
        <f t="shared" si="8"/>
        <v>1500</v>
      </c>
      <c r="G132" s="42" t="s">
        <v>3</v>
      </c>
      <c r="H132" s="39">
        <v>2</v>
      </c>
      <c r="I132" s="40" t="s">
        <v>40</v>
      </c>
      <c r="J132" s="149">
        <v>70</v>
      </c>
      <c r="K132" s="104">
        <v>260</v>
      </c>
      <c r="L132" s="104">
        <v>1500</v>
      </c>
      <c r="M132" s="150">
        <v>11.494593087495002</v>
      </c>
      <c r="N132" s="66">
        <v>369.27747734911549</v>
      </c>
      <c r="O132" s="109">
        <v>19876.820299920251</v>
      </c>
      <c r="P132" s="109">
        <v>23881.102266861482</v>
      </c>
      <c r="Q132" s="110">
        <v>14201.87816062369</v>
      </c>
      <c r="R132" s="258">
        <v>34078.698460543943</v>
      </c>
      <c r="S132" s="259">
        <v>38082.98042748517</v>
      </c>
      <c r="U132" s="7" t="s">
        <v>1169</v>
      </c>
    </row>
    <row r="133" spans="1:21" s="65" customFormat="1" ht="16.5" thickBot="1">
      <c r="A133" s="41" t="s">
        <v>31</v>
      </c>
      <c r="B133" s="42">
        <f t="shared" si="6"/>
        <v>70</v>
      </c>
      <c r="C133" s="42" t="s">
        <v>3</v>
      </c>
      <c r="D133" s="42">
        <f t="shared" si="7"/>
        <v>260</v>
      </c>
      <c r="E133" s="42" t="s">
        <v>3</v>
      </c>
      <c r="F133" s="101">
        <f t="shared" si="8"/>
        <v>1550</v>
      </c>
      <c r="G133" s="42" t="s">
        <v>3</v>
      </c>
      <c r="H133" s="39">
        <v>2</v>
      </c>
      <c r="I133" s="40" t="s">
        <v>40</v>
      </c>
      <c r="J133" s="149">
        <v>70</v>
      </c>
      <c r="K133" s="104">
        <v>260</v>
      </c>
      <c r="L133" s="104">
        <v>1550</v>
      </c>
      <c r="M133" s="150">
        <v>11.849429174517857</v>
      </c>
      <c r="N133" s="66">
        <v>385.3330198425553</v>
      </c>
      <c r="O133" s="109">
        <v>20334.747249370666</v>
      </c>
      <c r="P133" s="109">
        <v>24456.803214527397</v>
      </c>
      <c r="Q133" s="110">
        <v>14672.869634839117</v>
      </c>
      <c r="R133" s="258">
        <v>35007.616884209783</v>
      </c>
      <c r="S133" s="259">
        <v>39129.672849366514</v>
      </c>
      <c r="U133" s="7" t="s">
        <v>1170</v>
      </c>
    </row>
    <row r="134" spans="1:21" s="65" customFormat="1" ht="16.5" thickBot="1">
      <c r="A134" s="38" t="s">
        <v>31</v>
      </c>
      <c r="B134" s="39">
        <f t="shared" si="6"/>
        <v>70</v>
      </c>
      <c r="C134" s="39" t="s">
        <v>3</v>
      </c>
      <c r="D134" s="39">
        <f t="shared" si="7"/>
        <v>260</v>
      </c>
      <c r="E134" s="39" t="s">
        <v>3</v>
      </c>
      <c r="F134" s="101">
        <f t="shared" si="8"/>
        <v>1600</v>
      </c>
      <c r="G134" s="39" t="s">
        <v>3</v>
      </c>
      <c r="H134" s="39">
        <v>2</v>
      </c>
      <c r="I134" s="40" t="s">
        <v>40</v>
      </c>
      <c r="J134" s="149">
        <v>70</v>
      </c>
      <c r="K134" s="104">
        <v>260</v>
      </c>
      <c r="L134" s="104">
        <v>1600</v>
      </c>
      <c r="M134" s="150">
        <v>12.204265261540714</v>
      </c>
      <c r="N134" s="66">
        <v>401.38856233599512</v>
      </c>
      <c r="O134" s="109">
        <v>20792.674045792315</v>
      </c>
      <c r="P134" s="109">
        <v>25032.504315222079</v>
      </c>
      <c r="Q134" s="110">
        <v>15143.861262083314</v>
      </c>
      <c r="R134" s="258">
        <v>35936.535307875631</v>
      </c>
      <c r="S134" s="259">
        <v>40176.365577305391</v>
      </c>
      <c r="U134" s="7" t="s">
        <v>1171</v>
      </c>
    </row>
    <row r="135" spans="1:21" s="65" customFormat="1" ht="16.5" thickBot="1">
      <c r="A135" s="41" t="s">
        <v>31</v>
      </c>
      <c r="B135" s="42">
        <f t="shared" si="6"/>
        <v>70</v>
      </c>
      <c r="C135" s="42" t="s">
        <v>3</v>
      </c>
      <c r="D135" s="42">
        <f t="shared" si="7"/>
        <v>260</v>
      </c>
      <c r="E135" s="42" t="s">
        <v>3</v>
      </c>
      <c r="F135" s="101">
        <f t="shared" si="8"/>
        <v>1650</v>
      </c>
      <c r="G135" s="42" t="s">
        <v>3</v>
      </c>
      <c r="H135" s="39">
        <v>2</v>
      </c>
      <c r="I135" s="40" t="s">
        <v>40</v>
      </c>
      <c r="J135" s="149">
        <v>70</v>
      </c>
      <c r="K135" s="104">
        <v>260</v>
      </c>
      <c r="L135" s="104">
        <v>1650</v>
      </c>
      <c r="M135" s="150">
        <v>12.559101348563573</v>
      </c>
      <c r="N135" s="66">
        <v>417.44410482943493</v>
      </c>
      <c r="O135" s="109">
        <v>21250.600842213964</v>
      </c>
      <c r="P135" s="109">
        <v>25608.205262887997</v>
      </c>
      <c r="Q135" s="110">
        <v>15614.852889327509</v>
      </c>
      <c r="R135" s="258">
        <v>36865.453731541471</v>
      </c>
      <c r="S135" s="259">
        <v>41223.058152215504</v>
      </c>
      <c r="U135" s="7" t="s">
        <v>1172</v>
      </c>
    </row>
    <row r="136" spans="1:21" s="65" customFormat="1" ht="16.5" thickBot="1">
      <c r="A136" s="41" t="s">
        <v>31</v>
      </c>
      <c r="B136" s="42">
        <f t="shared" si="6"/>
        <v>70</v>
      </c>
      <c r="C136" s="42" t="s">
        <v>3</v>
      </c>
      <c r="D136" s="42">
        <f t="shared" si="7"/>
        <v>260</v>
      </c>
      <c r="E136" s="42" t="s">
        <v>3</v>
      </c>
      <c r="F136" s="101">
        <f t="shared" si="8"/>
        <v>1700</v>
      </c>
      <c r="G136" s="42" t="s">
        <v>3</v>
      </c>
      <c r="H136" s="39">
        <v>2</v>
      </c>
      <c r="I136" s="40" t="s">
        <v>40</v>
      </c>
      <c r="J136" s="149">
        <v>70</v>
      </c>
      <c r="K136" s="104">
        <v>260</v>
      </c>
      <c r="L136" s="104">
        <v>1700</v>
      </c>
      <c r="M136" s="150">
        <v>12.913937435586428</v>
      </c>
      <c r="N136" s="66">
        <v>433.49964732287475</v>
      </c>
      <c r="O136" s="109">
        <v>21708.527791664379</v>
      </c>
      <c r="P136" s="109">
        <v>26183.906210553909</v>
      </c>
      <c r="Q136" s="110">
        <v>16085.844363542936</v>
      </c>
      <c r="R136" s="258">
        <v>37794.372155207311</v>
      </c>
      <c r="S136" s="259">
        <v>42269.750574096848</v>
      </c>
      <c r="U136" s="7" t="s">
        <v>1173</v>
      </c>
    </row>
    <row r="137" spans="1:21" s="65" customFormat="1" ht="16.5" thickBot="1">
      <c r="A137" s="41" t="s">
        <v>31</v>
      </c>
      <c r="B137" s="42">
        <f t="shared" si="6"/>
        <v>70</v>
      </c>
      <c r="C137" s="42" t="s">
        <v>3</v>
      </c>
      <c r="D137" s="42">
        <f t="shared" si="7"/>
        <v>260</v>
      </c>
      <c r="E137" s="42" t="s">
        <v>3</v>
      </c>
      <c r="F137" s="101">
        <f t="shared" si="8"/>
        <v>1750</v>
      </c>
      <c r="G137" s="42" t="s">
        <v>3</v>
      </c>
      <c r="H137" s="39">
        <v>2</v>
      </c>
      <c r="I137" s="40" t="s">
        <v>40</v>
      </c>
      <c r="J137" s="149">
        <v>70</v>
      </c>
      <c r="K137" s="104">
        <v>260</v>
      </c>
      <c r="L137" s="104">
        <v>1750</v>
      </c>
      <c r="M137" s="150">
        <v>13.268773522609283</v>
      </c>
      <c r="N137" s="66">
        <v>449.55518981631451</v>
      </c>
      <c r="O137" s="109">
        <v>22166.454588086024</v>
      </c>
      <c r="P137" s="109">
        <v>26759.607158219824</v>
      </c>
      <c r="Q137" s="110">
        <v>16556.835990787131</v>
      </c>
      <c r="R137" s="258">
        <v>38723.290578873159</v>
      </c>
      <c r="S137" s="259">
        <v>43316.443149006955</v>
      </c>
      <c r="U137" s="7" t="s">
        <v>1174</v>
      </c>
    </row>
    <row r="138" spans="1:21" s="65" customFormat="1" ht="16.5" thickBot="1">
      <c r="A138" s="41" t="s">
        <v>31</v>
      </c>
      <c r="B138" s="42">
        <f t="shared" si="6"/>
        <v>70</v>
      </c>
      <c r="C138" s="42" t="s">
        <v>3</v>
      </c>
      <c r="D138" s="42">
        <f t="shared" si="7"/>
        <v>260</v>
      </c>
      <c r="E138" s="42" t="s">
        <v>3</v>
      </c>
      <c r="F138" s="101">
        <f t="shared" si="8"/>
        <v>1800</v>
      </c>
      <c r="G138" s="42" t="s">
        <v>3</v>
      </c>
      <c r="H138" s="39">
        <v>2</v>
      </c>
      <c r="I138" s="40" t="s">
        <v>40</v>
      </c>
      <c r="J138" s="149">
        <v>70</v>
      </c>
      <c r="K138" s="104">
        <v>260</v>
      </c>
      <c r="L138" s="104">
        <v>1800</v>
      </c>
      <c r="M138" s="150">
        <v>13.623609609632144</v>
      </c>
      <c r="N138" s="66">
        <v>465.61073230975433</v>
      </c>
      <c r="O138" s="109">
        <v>22624.381384507673</v>
      </c>
      <c r="P138" s="109">
        <v>27335.308258914505</v>
      </c>
      <c r="Q138" s="110">
        <v>17027.827465002563</v>
      </c>
      <c r="R138" s="258">
        <v>39652.208849510236</v>
      </c>
      <c r="S138" s="259">
        <v>44363.135723917068</v>
      </c>
      <c r="U138" s="7" t="s">
        <v>1175</v>
      </c>
    </row>
    <row r="139" spans="1:21" s="65" customFormat="1" ht="16.5" thickBot="1">
      <c r="A139" s="41" t="s">
        <v>31</v>
      </c>
      <c r="B139" s="42">
        <f t="shared" si="6"/>
        <v>70</v>
      </c>
      <c r="C139" s="42" t="s">
        <v>3</v>
      </c>
      <c r="D139" s="42">
        <f t="shared" si="7"/>
        <v>260</v>
      </c>
      <c r="E139" s="42" t="s">
        <v>3</v>
      </c>
      <c r="F139" s="101">
        <f t="shared" si="8"/>
        <v>1850</v>
      </c>
      <c r="G139" s="42" t="s">
        <v>3</v>
      </c>
      <c r="H139" s="39">
        <v>2</v>
      </c>
      <c r="I139" s="40" t="s">
        <v>40</v>
      </c>
      <c r="J139" s="149">
        <v>70</v>
      </c>
      <c r="K139" s="104">
        <v>260</v>
      </c>
      <c r="L139" s="104">
        <v>1850</v>
      </c>
      <c r="M139" s="150">
        <v>13.978445696655001</v>
      </c>
      <c r="N139" s="66">
        <v>481.66627480319414</v>
      </c>
      <c r="O139" s="109">
        <v>23082.308333958084</v>
      </c>
      <c r="P139" s="109">
        <v>27911.009206580424</v>
      </c>
      <c r="Q139" s="110">
        <v>17498.819092246758</v>
      </c>
      <c r="R139" s="258">
        <v>40581.127426204839</v>
      </c>
      <c r="S139" s="259">
        <v>45409.828298827182</v>
      </c>
      <c r="U139" s="7" t="s">
        <v>1176</v>
      </c>
    </row>
    <row r="140" spans="1:21" s="65" customFormat="1" ht="16.5" thickBot="1">
      <c r="A140" s="41" t="s">
        <v>31</v>
      </c>
      <c r="B140" s="42">
        <f t="shared" si="6"/>
        <v>70</v>
      </c>
      <c r="C140" s="42" t="s">
        <v>3</v>
      </c>
      <c r="D140" s="42">
        <f t="shared" si="7"/>
        <v>260</v>
      </c>
      <c r="E140" s="42" t="s">
        <v>3</v>
      </c>
      <c r="F140" s="101">
        <f t="shared" si="8"/>
        <v>1900</v>
      </c>
      <c r="G140" s="42" t="s">
        <v>3</v>
      </c>
      <c r="H140" s="39">
        <v>2</v>
      </c>
      <c r="I140" s="40" t="s">
        <v>40</v>
      </c>
      <c r="J140" s="149">
        <v>70</v>
      </c>
      <c r="K140" s="104">
        <v>260</v>
      </c>
      <c r="L140" s="104">
        <v>1900</v>
      </c>
      <c r="M140" s="150">
        <v>14.333281783677856</v>
      </c>
      <c r="N140" s="66">
        <v>497.72181729663396</v>
      </c>
      <c r="O140" s="109">
        <v>23540.235130379733</v>
      </c>
      <c r="P140" s="109">
        <v>28486.710154246335</v>
      </c>
      <c r="Q140" s="110">
        <v>17969.810719490953</v>
      </c>
      <c r="R140" s="258">
        <v>41510.045849870687</v>
      </c>
      <c r="S140" s="259">
        <v>46456.520873737289</v>
      </c>
      <c r="U140" s="7" t="s">
        <v>1177</v>
      </c>
    </row>
    <row r="141" spans="1:21" s="65" customFormat="1" ht="16.5" thickBot="1">
      <c r="A141" s="41" t="s">
        <v>31</v>
      </c>
      <c r="B141" s="42">
        <f t="shared" si="6"/>
        <v>70</v>
      </c>
      <c r="C141" s="42" t="s">
        <v>3</v>
      </c>
      <c r="D141" s="42">
        <f t="shared" si="7"/>
        <v>260</v>
      </c>
      <c r="E141" s="42" t="s">
        <v>3</v>
      </c>
      <c r="F141" s="101">
        <f t="shared" si="8"/>
        <v>1950</v>
      </c>
      <c r="G141" s="42" t="s">
        <v>3</v>
      </c>
      <c r="H141" s="39">
        <v>2</v>
      </c>
      <c r="I141" s="40" t="s">
        <v>40</v>
      </c>
      <c r="J141" s="149">
        <v>70</v>
      </c>
      <c r="K141" s="104">
        <v>260</v>
      </c>
      <c r="L141" s="104">
        <v>1950</v>
      </c>
      <c r="M141" s="150">
        <v>14.727367870700714</v>
      </c>
      <c r="N141" s="66">
        <v>513.77735979007377</v>
      </c>
      <c r="O141" s="109">
        <v>24048.162239460795</v>
      </c>
      <c r="P141" s="109">
        <v>29110.887401099786</v>
      </c>
      <c r="Q141" s="110">
        <v>18440.802193706382</v>
      </c>
      <c r="R141" s="258">
        <v>42488.964433167173</v>
      </c>
      <c r="S141" s="259">
        <v>47551.689594806172</v>
      </c>
      <c r="U141" s="7" t="s">
        <v>1178</v>
      </c>
    </row>
    <row r="142" spans="1:21" s="65" customFormat="1" ht="16.5" thickBot="1">
      <c r="A142" s="41" t="s">
        <v>31</v>
      </c>
      <c r="B142" s="42">
        <f t="shared" si="6"/>
        <v>70</v>
      </c>
      <c r="C142" s="42" t="s">
        <v>3</v>
      </c>
      <c r="D142" s="42">
        <f t="shared" si="7"/>
        <v>260</v>
      </c>
      <c r="E142" s="42" t="s">
        <v>3</v>
      </c>
      <c r="F142" s="101">
        <f t="shared" si="8"/>
        <v>2000</v>
      </c>
      <c r="G142" s="42" t="s">
        <v>3</v>
      </c>
      <c r="H142" s="39">
        <v>2</v>
      </c>
      <c r="I142" s="40" t="s">
        <v>40</v>
      </c>
      <c r="J142" s="149">
        <v>70</v>
      </c>
      <c r="K142" s="104">
        <v>260</v>
      </c>
      <c r="L142" s="104">
        <v>2000</v>
      </c>
      <c r="M142" s="150">
        <v>15.173766357723572</v>
      </c>
      <c r="N142" s="66">
        <v>529.83290228351348</v>
      </c>
      <c r="O142" s="109">
        <v>24757.380937727037</v>
      </c>
      <c r="P142" s="109">
        <v>30015.016848131792</v>
      </c>
      <c r="Q142" s="110">
        <v>18911.793820950577</v>
      </c>
      <c r="R142" s="258">
        <v>43669.174758677618</v>
      </c>
      <c r="S142" s="259">
        <v>48926.81066908237</v>
      </c>
      <c r="U142" s="7" t="s">
        <v>1179</v>
      </c>
    </row>
    <row r="143" spans="1:21" s="65" customFormat="1" ht="16.5" thickBot="1">
      <c r="A143" s="41" t="s">
        <v>31</v>
      </c>
      <c r="B143" s="42">
        <f t="shared" si="6"/>
        <v>70</v>
      </c>
      <c r="C143" s="42" t="s">
        <v>3</v>
      </c>
      <c r="D143" s="42">
        <f t="shared" si="7"/>
        <v>260</v>
      </c>
      <c r="E143" s="42" t="s">
        <v>3</v>
      </c>
      <c r="F143" s="101">
        <f t="shared" si="8"/>
        <v>2050</v>
      </c>
      <c r="G143" s="42" t="s">
        <v>3</v>
      </c>
      <c r="H143" s="39">
        <v>2</v>
      </c>
      <c r="I143" s="40" t="s">
        <v>40</v>
      </c>
      <c r="J143" s="149">
        <v>70</v>
      </c>
      <c r="K143" s="104">
        <v>260</v>
      </c>
      <c r="L143" s="104">
        <v>2050</v>
      </c>
      <c r="M143" s="150">
        <v>15.528602444746429</v>
      </c>
      <c r="N143" s="66">
        <v>545.88844477695329</v>
      </c>
      <c r="O143" s="109">
        <v>25215.307887177452</v>
      </c>
      <c r="P143" s="109">
        <v>30590.717795797715</v>
      </c>
      <c r="Q143" s="110">
        <v>19382.785295166006</v>
      </c>
      <c r="R143" s="258">
        <v>44598.093182343458</v>
      </c>
      <c r="S143" s="259">
        <v>49973.503090963721</v>
      </c>
      <c r="U143" s="7" t="s">
        <v>1180</v>
      </c>
    </row>
    <row r="144" spans="1:21" s="65" customFormat="1" ht="16.5" thickBot="1">
      <c r="A144" s="38" t="s">
        <v>31</v>
      </c>
      <c r="B144" s="39">
        <f t="shared" si="6"/>
        <v>70</v>
      </c>
      <c r="C144" s="39" t="s">
        <v>3</v>
      </c>
      <c r="D144" s="39">
        <f t="shared" si="7"/>
        <v>260</v>
      </c>
      <c r="E144" s="39" t="s">
        <v>3</v>
      </c>
      <c r="F144" s="101">
        <f t="shared" si="8"/>
        <v>2100</v>
      </c>
      <c r="G144" s="39" t="s">
        <v>3</v>
      </c>
      <c r="H144" s="39">
        <v>2</v>
      </c>
      <c r="I144" s="40" t="s">
        <v>40</v>
      </c>
      <c r="J144" s="149">
        <v>70</v>
      </c>
      <c r="K144" s="104">
        <v>260</v>
      </c>
      <c r="L144" s="104">
        <v>2100</v>
      </c>
      <c r="M144" s="150">
        <v>15.883438531769283</v>
      </c>
      <c r="N144" s="66">
        <v>561.94398727039311</v>
      </c>
      <c r="O144" s="109">
        <v>25673.234683599097</v>
      </c>
      <c r="P144" s="109">
        <v>31166.418743463626</v>
      </c>
      <c r="Q144" s="110">
        <v>19853.776922410201</v>
      </c>
      <c r="R144" s="258">
        <v>45527.011606009299</v>
      </c>
      <c r="S144" s="259">
        <v>51020.195665873827</v>
      </c>
      <c r="U144" s="7" t="s">
        <v>1181</v>
      </c>
    </row>
    <row r="145" spans="1:21" s="65" customFormat="1" ht="16.5" thickBot="1">
      <c r="A145" s="41" t="s">
        <v>31</v>
      </c>
      <c r="B145" s="42">
        <f t="shared" si="6"/>
        <v>70</v>
      </c>
      <c r="C145" s="42" t="s">
        <v>3</v>
      </c>
      <c r="D145" s="42">
        <f t="shared" si="7"/>
        <v>260</v>
      </c>
      <c r="E145" s="42" t="s">
        <v>3</v>
      </c>
      <c r="F145" s="101">
        <f t="shared" si="8"/>
        <v>2150</v>
      </c>
      <c r="G145" s="42" t="s">
        <v>3</v>
      </c>
      <c r="H145" s="39">
        <v>2</v>
      </c>
      <c r="I145" s="40" t="s">
        <v>40</v>
      </c>
      <c r="J145" s="149">
        <v>70</v>
      </c>
      <c r="K145" s="104">
        <v>260</v>
      </c>
      <c r="L145" s="104">
        <v>2150</v>
      </c>
      <c r="M145" s="150">
        <v>16.23827461879214</v>
      </c>
      <c r="N145" s="66">
        <v>577.99952976383304</v>
      </c>
      <c r="O145" s="109">
        <v>26131.161480020746</v>
      </c>
      <c r="P145" s="109">
        <v>31742.119844158307</v>
      </c>
      <c r="Q145" s="110">
        <v>20324.768396625634</v>
      </c>
      <c r="R145" s="258">
        <v>46455.929876646376</v>
      </c>
      <c r="S145" s="259">
        <v>52066.888240783941</v>
      </c>
      <c r="U145" s="7" t="s">
        <v>1182</v>
      </c>
    </row>
    <row r="146" spans="1:21" s="65" customFormat="1" ht="16.5" thickBot="1">
      <c r="A146" s="41" t="s">
        <v>31</v>
      </c>
      <c r="B146" s="42">
        <f t="shared" si="6"/>
        <v>70</v>
      </c>
      <c r="C146" s="42" t="s">
        <v>3</v>
      </c>
      <c r="D146" s="42">
        <f t="shared" si="7"/>
        <v>260</v>
      </c>
      <c r="E146" s="42" t="s">
        <v>3</v>
      </c>
      <c r="F146" s="101">
        <f t="shared" si="8"/>
        <v>2200</v>
      </c>
      <c r="G146" s="42" t="s">
        <v>3</v>
      </c>
      <c r="H146" s="39">
        <v>2</v>
      </c>
      <c r="I146" s="40" t="s">
        <v>40</v>
      </c>
      <c r="J146" s="149">
        <v>70</v>
      </c>
      <c r="K146" s="104">
        <v>260</v>
      </c>
      <c r="L146" s="104">
        <v>2200</v>
      </c>
      <c r="M146" s="150">
        <v>16.593110705815</v>
      </c>
      <c r="N146" s="66">
        <v>594.05507225727285</v>
      </c>
      <c r="O146" s="109">
        <v>26589.088429471158</v>
      </c>
      <c r="P146" s="109">
        <v>32317.820791824222</v>
      </c>
      <c r="Q146" s="110">
        <v>20795.760023869829</v>
      </c>
      <c r="R146" s="258">
        <v>47384.848453340986</v>
      </c>
      <c r="S146" s="259">
        <v>53113.580815694047</v>
      </c>
      <c r="U146" s="7" t="s">
        <v>1183</v>
      </c>
    </row>
    <row r="147" spans="1:21" s="65" customFormat="1" ht="16.5" thickBot="1">
      <c r="A147" s="41" t="s">
        <v>31</v>
      </c>
      <c r="B147" s="42">
        <f t="shared" si="6"/>
        <v>70</v>
      </c>
      <c r="C147" s="42" t="s">
        <v>3</v>
      </c>
      <c r="D147" s="42">
        <f t="shared" si="7"/>
        <v>260</v>
      </c>
      <c r="E147" s="42" t="s">
        <v>3</v>
      </c>
      <c r="F147" s="101">
        <f t="shared" si="8"/>
        <v>2250</v>
      </c>
      <c r="G147" s="42" t="s">
        <v>3</v>
      </c>
      <c r="H147" s="39">
        <v>2</v>
      </c>
      <c r="I147" s="40" t="s">
        <v>40</v>
      </c>
      <c r="J147" s="149">
        <v>70</v>
      </c>
      <c r="K147" s="104">
        <v>260</v>
      </c>
      <c r="L147" s="104">
        <v>2250</v>
      </c>
      <c r="M147" s="150">
        <v>16.947946792837858</v>
      </c>
      <c r="N147" s="66">
        <v>610.11061475071256</v>
      </c>
      <c r="O147" s="109">
        <v>27047.01522589281</v>
      </c>
      <c r="P147" s="109">
        <v>32893.521739490141</v>
      </c>
      <c r="Q147" s="110">
        <v>21266.75165111402</v>
      </c>
      <c r="R147" s="258">
        <v>48313.766877006827</v>
      </c>
      <c r="S147" s="259">
        <v>54160.273390604161</v>
      </c>
      <c r="U147" s="7" t="s">
        <v>1184</v>
      </c>
    </row>
    <row r="148" spans="1:21" s="65" customFormat="1" ht="16.5" thickBot="1">
      <c r="A148" s="41" t="s">
        <v>31</v>
      </c>
      <c r="B148" s="42">
        <f t="shared" si="6"/>
        <v>70</v>
      </c>
      <c r="C148" s="42" t="s">
        <v>3</v>
      </c>
      <c r="D148" s="42">
        <f t="shared" si="7"/>
        <v>260</v>
      </c>
      <c r="E148" s="42" t="s">
        <v>3</v>
      </c>
      <c r="F148" s="101">
        <f t="shared" si="8"/>
        <v>2300</v>
      </c>
      <c r="G148" s="42" t="s">
        <v>3</v>
      </c>
      <c r="H148" s="39">
        <v>2</v>
      </c>
      <c r="I148" s="40" t="s">
        <v>40</v>
      </c>
      <c r="J148" s="149">
        <v>70</v>
      </c>
      <c r="K148" s="104">
        <v>260</v>
      </c>
      <c r="L148" s="104">
        <v>2300</v>
      </c>
      <c r="M148" s="150">
        <v>17.302782879860715</v>
      </c>
      <c r="N148" s="66">
        <v>626.16615724415237</v>
      </c>
      <c r="O148" s="109">
        <v>27504.942022314302</v>
      </c>
      <c r="P148" s="109">
        <v>33469.222840184819</v>
      </c>
      <c r="Q148" s="110">
        <v>21737.743125329449</v>
      </c>
      <c r="R148" s="258">
        <v>49242.685147643751</v>
      </c>
      <c r="S148" s="259">
        <v>55206.965965514268</v>
      </c>
      <c r="U148" s="7" t="s">
        <v>1185</v>
      </c>
    </row>
    <row r="149" spans="1:21" s="65" customFormat="1" ht="16.5" thickBot="1">
      <c r="A149" s="41" t="s">
        <v>31</v>
      </c>
      <c r="B149" s="42">
        <f t="shared" si="6"/>
        <v>70</v>
      </c>
      <c r="C149" s="42" t="s">
        <v>3</v>
      </c>
      <c r="D149" s="42">
        <f t="shared" si="7"/>
        <v>260</v>
      </c>
      <c r="E149" s="42" t="s">
        <v>3</v>
      </c>
      <c r="F149" s="101">
        <f t="shared" si="8"/>
        <v>2350</v>
      </c>
      <c r="G149" s="42" t="s">
        <v>3</v>
      </c>
      <c r="H149" s="39">
        <v>2</v>
      </c>
      <c r="I149" s="40" t="s">
        <v>40</v>
      </c>
      <c r="J149" s="149">
        <v>70</v>
      </c>
      <c r="K149" s="104">
        <v>260</v>
      </c>
      <c r="L149" s="104">
        <v>2350</v>
      </c>
      <c r="M149" s="150">
        <v>17.657618966883572</v>
      </c>
      <c r="N149" s="66">
        <v>642.22169973759219</v>
      </c>
      <c r="O149" s="109">
        <v>27962.868971764867</v>
      </c>
      <c r="P149" s="109">
        <v>34044.923787850734</v>
      </c>
      <c r="Q149" s="110">
        <v>22208.734752573648</v>
      </c>
      <c r="R149" s="258">
        <v>50171.603724338514</v>
      </c>
      <c r="S149" s="259">
        <v>56253.658540424381</v>
      </c>
      <c r="U149" s="7" t="s">
        <v>1186</v>
      </c>
    </row>
    <row r="150" spans="1:21" s="65" customFormat="1" ht="16.5" thickBot="1">
      <c r="A150" s="41" t="s">
        <v>31</v>
      </c>
      <c r="B150" s="42">
        <f t="shared" si="6"/>
        <v>70</v>
      </c>
      <c r="C150" s="42" t="s">
        <v>3</v>
      </c>
      <c r="D150" s="42">
        <f t="shared" si="7"/>
        <v>260</v>
      </c>
      <c r="E150" s="42" t="s">
        <v>3</v>
      </c>
      <c r="F150" s="101">
        <f t="shared" si="8"/>
        <v>2400</v>
      </c>
      <c r="G150" s="42" t="s">
        <v>3</v>
      </c>
      <c r="H150" s="39">
        <v>2</v>
      </c>
      <c r="I150" s="40" t="s">
        <v>40</v>
      </c>
      <c r="J150" s="149">
        <v>70</v>
      </c>
      <c r="K150" s="104">
        <v>260</v>
      </c>
      <c r="L150" s="104">
        <v>2400</v>
      </c>
      <c r="M150" s="150">
        <v>18.012455053906429</v>
      </c>
      <c r="N150" s="66">
        <v>658.27724223103189</v>
      </c>
      <c r="O150" s="109">
        <v>28420.795768186515</v>
      </c>
      <c r="P150" s="109">
        <v>34620.624735516649</v>
      </c>
      <c r="Q150" s="110">
        <v>22679.726226789073</v>
      </c>
      <c r="R150" s="258">
        <v>51100.521994975585</v>
      </c>
      <c r="S150" s="259">
        <v>57300.350962305718</v>
      </c>
      <c r="U150" s="7" t="s">
        <v>1187</v>
      </c>
    </row>
    <row r="151" spans="1:21" s="65" customFormat="1" ht="16.5" thickBot="1">
      <c r="A151" s="41" t="s">
        <v>31</v>
      </c>
      <c r="B151" s="42">
        <f t="shared" si="6"/>
        <v>70</v>
      </c>
      <c r="C151" s="42" t="s">
        <v>3</v>
      </c>
      <c r="D151" s="42">
        <f t="shared" si="7"/>
        <v>260</v>
      </c>
      <c r="E151" s="42" t="s">
        <v>3</v>
      </c>
      <c r="F151" s="101">
        <f t="shared" si="8"/>
        <v>2450</v>
      </c>
      <c r="G151" s="42" t="s">
        <v>3</v>
      </c>
      <c r="H151" s="39">
        <v>2</v>
      </c>
      <c r="I151" s="40" t="s">
        <v>40</v>
      </c>
      <c r="J151" s="149">
        <v>70</v>
      </c>
      <c r="K151" s="104">
        <v>260</v>
      </c>
      <c r="L151" s="104">
        <v>2450</v>
      </c>
      <c r="M151" s="150">
        <v>18.491055329729285</v>
      </c>
      <c r="N151" s="66">
        <v>674.33278472447182</v>
      </c>
      <c r="O151" s="109">
        <v>29521.176648995552</v>
      </c>
      <c r="P151" s="109">
        <v>35758.909464188262</v>
      </c>
      <c r="Q151" s="110">
        <v>23150.717854033268</v>
      </c>
      <c r="R151" s="258">
        <v>52671.894503028816</v>
      </c>
      <c r="S151" s="259">
        <v>58909.62731822153</v>
      </c>
      <c r="U151" s="7" t="s">
        <v>1188</v>
      </c>
    </row>
    <row r="152" spans="1:21" s="65" customFormat="1" ht="16.5" thickBot="1">
      <c r="A152" s="41" t="s">
        <v>31</v>
      </c>
      <c r="B152" s="42">
        <f t="shared" si="6"/>
        <v>70</v>
      </c>
      <c r="C152" s="42" t="s">
        <v>3</v>
      </c>
      <c r="D152" s="42">
        <f t="shared" si="7"/>
        <v>260</v>
      </c>
      <c r="E152" s="42" t="s">
        <v>3</v>
      </c>
      <c r="F152" s="101">
        <f t="shared" si="8"/>
        <v>2500</v>
      </c>
      <c r="G152" s="42" t="s">
        <v>3</v>
      </c>
      <c r="H152" s="39">
        <v>2</v>
      </c>
      <c r="I152" s="40" t="s">
        <v>40</v>
      </c>
      <c r="J152" s="149">
        <v>70</v>
      </c>
      <c r="K152" s="104">
        <v>260</v>
      </c>
      <c r="L152" s="104">
        <v>2500</v>
      </c>
      <c r="M152" s="150">
        <v>18.845891416752142</v>
      </c>
      <c r="N152" s="66">
        <v>690.38832721791152</v>
      </c>
      <c r="O152" s="109">
        <v>29979.1034454172</v>
      </c>
      <c r="P152" s="109">
        <v>36334.610411854177</v>
      </c>
      <c r="Q152" s="110">
        <v>23621.709481277463</v>
      </c>
      <c r="R152" s="258">
        <v>53600.812926694663</v>
      </c>
      <c r="S152" s="259">
        <v>59956.319893131644</v>
      </c>
      <c r="U152" s="7" t="s">
        <v>1189</v>
      </c>
    </row>
    <row r="153" spans="1:21" s="65" customFormat="1" ht="16.5" thickBot="1">
      <c r="A153" s="41" t="s">
        <v>31</v>
      </c>
      <c r="B153" s="42">
        <f t="shared" si="6"/>
        <v>70</v>
      </c>
      <c r="C153" s="42" t="s">
        <v>3</v>
      </c>
      <c r="D153" s="42">
        <f t="shared" si="7"/>
        <v>260</v>
      </c>
      <c r="E153" s="42" t="s">
        <v>3</v>
      </c>
      <c r="F153" s="101">
        <f t="shared" si="8"/>
        <v>2550</v>
      </c>
      <c r="G153" s="42" t="s">
        <v>3</v>
      </c>
      <c r="H153" s="39">
        <v>2</v>
      </c>
      <c r="I153" s="40" t="s">
        <v>40</v>
      </c>
      <c r="J153" s="149">
        <v>70</v>
      </c>
      <c r="K153" s="104">
        <v>260</v>
      </c>
      <c r="L153" s="104">
        <v>2550</v>
      </c>
      <c r="M153" s="150">
        <v>19.200727503774999</v>
      </c>
      <c r="N153" s="66">
        <v>706.44386971135145</v>
      </c>
      <c r="O153" s="109">
        <v>30437.030241838846</v>
      </c>
      <c r="P153" s="109">
        <v>36910.311512548862</v>
      </c>
      <c r="Q153" s="110">
        <v>24092.700955492892</v>
      </c>
      <c r="R153" s="258">
        <v>54529.731197331741</v>
      </c>
      <c r="S153" s="259">
        <v>61003.01246804175</v>
      </c>
      <c r="U153" s="7" t="s">
        <v>1190</v>
      </c>
    </row>
    <row r="154" spans="1:21" s="65" customFormat="1" ht="16.5" thickBot="1">
      <c r="A154" s="38" t="s">
        <v>31</v>
      </c>
      <c r="B154" s="39">
        <f t="shared" si="6"/>
        <v>70</v>
      </c>
      <c r="C154" s="39" t="s">
        <v>3</v>
      </c>
      <c r="D154" s="39">
        <f t="shared" si="7"/>
        <v>260</v>
      </c>
      <c r="E154" s="39" t="s">
        <v>3</v>
      </c>
      <c r="F154" s="101">
        <f t="shared" si="8"/>
        <v>2600</v>
      </c>
      <c r="G154" s="39" t="s">
        <v>3</v>
      </c>
      <c r="H154" s="39">
        <v>2</v>
      </c>
      <c r="I154" s="40" t="s">
        <v>40</v>
      </c>
      <c r="J154" s="149">
        <v>70</v>
      </c>
      <c r="K154" s="104">
        <v>260</v>
      </c>
      <c r="L154" s="104">
        <v>2600</v>
      </c>
      <c r="M154" s="150">
        <v>19.55556359079786</v>
      </c>
      <c r="N154" s="66">
        <v>722.49941220479127</v>
      </c>
      <c r="O154" s="109">
        <v>30894.957191289257</v>
      </c>
      <c r="P154" s="109">
        <v>37486.012460214777</v>
      </c>
      <c r="Q154" s="110">
        <v>24563.692582737087</v>
      </c>
      <c r="R154" s="258">
        <v>55458.649774026344</v>
      </c>
      <c r="S154" s="259">
        <v>62049.705042951864</v>
      </c>
      <c r="U154" s="7" t="s">
        <v>1191</v>
      </c>
    </row>
    <row r="155" spans="1:21" s="65" customFormat="1" ht="16.5" thickBot="1">
      <c r="A155" s="41" t="s">
        <v>31</v>
      </c>
      <c r="B155" s="42">
        <f t="shared" si="6"/>
        <v>70</v>
      </c>
      <c r="C155" s="42" t="s">
        <v>3</v>
      </c>
      <c r="D155" s="42">
        <f t="shared" si="7"/>
        <v>260</v>
      </c>
      <c r="E155" s="42" t="s">
        <v>3</v>
      </c>
      <c r="F155" s="101">
        <f t="shared" si="8"/>
        <v>2650</v>
      </c>
      <c r="G155" s="42" t="s">
        <v>3</v>
      </c>
      <c r="H155" s="39">
        <v>2</v>
      </c>
      <c r="I155" s="40" t="s">
        <v>40</v>
      </c>
      <c r="J155" s="149">
        <v>70</v>
      </c>
      <c r="K155" s="104">
        <v>260</v>
      </c>
      <c r="L155" s="104">
        <v>2650</v>
      </c>
      <c r="M155" s="150">
        <v>19.910399677820713</v>
      </c>
      <c r="N155" s="66">
        <v>738.55495469823097</v>
      </c>
      <c r="O155" s="109">
        <v>31352.883987710909</v>
      </c>
      <c r="P155" s="109">
        <v>38061.713407880685</v>
      </c>
      <c r="Q155" s="110">
        <v>25034.684056952519</v>
      </c>
      <c r="R155" s="258">
        <v>56387.568044663429</v>
      </c>
      <c r="S155" s="259">
        <v>63096.397464833208</v>
      </c>
      <c r="U155" s="7" t="s">
        <v>1192</v>
      </c>
    </row>
    <row r="156" spans="1:21" s="65" customFormat="1" ht="16.5" thickBot="1">
      <c r="A156" s="41" t="s">
        <v>31</v>
      </c>
      <c r="B156" s="42">
        <f t="shared" si="6"/>
        <v>70</v>
      </c>
      <c r="C156" s="42" t="s">
        <v>3</v>
      </c>
      <c r="D156" s="42">
        <f t="shared" si="7"/>
        <v>260</v>
      </c>
      <c r="E156" s="42" t="s">
        <v>3</v>
      </c>
      <c r="F156" s="101">
        <f t="shared" si="8"/>
        <v>2700</v>
      </c>
      <c r="G156" s="42" t="s">
        <v>3</v>
      </c>
      <c r="H156" s="39">
        <v>2</v>
      </c>
      <c r="I156" s="40" t="s">
        <v>40</v>
      </c>
      <c r="J156" s="149">
        <v>70</v>
      </c>
      <c r="K156" s="104">
        <v>260</v>
      </c>
      <c r="L156" s="104">
        <v>2700</v>
      </c>
      <c r="M156" s="150">
        <v>20.304485764843573</v>
      </c>
      <c r="N156" s="66">
        <v>754.6104971916709</v>
      </c>
      <c r="O156" s="109">
        <v>31860.811096791967</v>
      </c>
      <c r="P156" s="109">
        <v>38685.890654734139</v>
      </c>
      <c r="Q156" s="110">
        <v>25505.675684196711</v>
      </c>
      <c r="R156" s="258">
        <v>57366.486780988678</v>
      </c>
      <c r="S156" s="259">
        <v>64191.566338930847</v>
      </c>
      <c r="U156" s="7" t="s">
        <v>1193</v>
      </c>
    </row>
    <row r="157" spans="1:21" s="65" customFormat="1" ht="16.5" thickBot="1">
      <c r="A157" s="41" t="s">
        <v>31</v>
      </c>
      <c r="B157" s="42">
        <f t="shared" si="6"/>
        <v>70</v>
      </c>
      <c r="C157" s="42" t="s">
        <v>3</v>
      </c>
      <c r="D157" s="42">
        <f t="shared" si="7"/>
        <v>260</v>
      </c>
      <c r="E157" s="42" t="s">
        <v>3</v>
      </c>
      <c r="F157" s="101">
        <f t="shared" si="8"/>
        <v>2750</v>
      </c>
      <c r="G157" s="42" t="s">
        <v>3</v>
      </c>
      <c r="H157" s="39">
        <v>2</v>
      </c>
      <c r="I157" s="40" t="s">
        <v>40</v>
      </c>
      <c r="J157" s="149">
        <v>70</v>
      </c>
      <c r="K157" s="104">
        <v>260</v>
      </c>
      <c r="L157" s="104">
        <v>2750</v>
      </c>
      <c r="M157" s="150">
        <v>20.65932185186643</v>
      </c>
      <c r="N157" s="66">
        <v>770.6660396851106</v>
      </c>
      <c r="O157" s="109">
        <v>32318.737893213616</v>
      </c>
      <c r="P157" s="109">
        <v>39261.591602400047</v>
      </c>
      <c r="Q157" s="110">
        <v>25976.667311440906</v>
      </c>
      <c r="R157" s="258">
        <v>58295.405204654526</v>
      </c>
      <c r="S157" s="259">
        <v>65238.258913840953</v>
      </c>
      <c r="U157" s="7" t="s">
        <v>1194</v>
      </c>
    </row>
    <row r="158" spans="1:21" s="65" customFormat="1" ht="16.5" thickBot="1">
      <c r="A158" s="41" t="s">
        <v>31</v>
      </c>
      <c r="B158" s="42">
        <f t="shared" si="6"/>
        <v>70</v>
      </c>
      <c r="C158" s="42" t="s">
        <v>3</v>
      </c>
      <c r="D158" s="42">
        <f t="shared" si="7"/>
        <v>260</v>
      </c>
      <c r="E158" s="42" t="s">
        <v>3</v>
      </c>
      <c r="F158" s="101">
        <f t="shared" si="8"/>
        <v>2800</v>
      </c>
      <c r="G158" s="42" t="s">
        <v>3</v>
      </c>
      <c r="H158" s="39">
        <v>2</v>
      </c>
      <c r="I158" s="40" t="s">
        <v>40</v>
      </c>
      <c r="J158" s="149">
        <v>70</v>
      </c>
      <c r="K158" s="104">
        <v>260</v>
      </c>
      <c r="L158" s="104">
        <v>2800</v>
      </c>
      <c r="M158" s="150">
        <v>21.014157938889291</v>
      </c>
      <c r="N158" s="66">
        <v>786.72158217855053</v>
      </c>
      <c r="O158" s="109">
        <v>32776.664689635261</v>
      </c>
      <c r="P158" s="109">
        <v>39837.292550065969</v>
      </c>
      <c r="Q158" s="110">
        <v>26447.658785656335</v>
      </c>
      <c r="R158" s="258">
        <v>59224.323475291596</v>
      </c>
      <c r="S158" s="259">
        <v>66284.951335722304</v>
      </c>
      <c r="U158" s="7" t="s">
        <v>1195</v>
      </c>
    </row>
    <row r="159" spans="1:21" s="65" customFormat="1" ht="16.5" thickBot="1">
      <c r="A159" s="41" t="s">
        <v>31</v>
      </c>
      <c r="B159" s="42">
        <f t="shared" si="6"/>
        <v>70</v>
      </c>
      <c r="C159" s="42" t="s">
        <v>3</v>
      </c>
      <c r="D159" s="42">
        <f t="shared" si="7"/>
        <v>260</v>
      </c>
      <c r="E159" s="42" t="s">
        <v>3</v>
      </c>
      <c r="F159" s="101">
        <f t="shared" si="8"/>
        <v>2850</v>
      </c>
      <c r="G159" s="42" t="s">
        <v>3</v>
      </c>
      <c r="H159" s="39">
        <v>2</v>
      </c>
      <c r="I159" s="40" t="s">
        <v>40</v>
      </c>
      <c r="J159" s="149">
        <v>70</v>
      </c>
      <c r="K159" s="104">
        <v>260</v>
      </c>
      <c r="L159" s="104">
        <v>2850</v>
      </c>
      <c r="M159" s="150">
        <v>21.368994025912144</v>
      </c>
      <c r="N159" s="66">
        <v>802.77712467199024</v>
      </c>
      <c r="O159" s="109">
        <v>33234.59163908568</v>
      </c>
      <c r="P159" s="109">
        <v>40412.993650760647</v>
      </c>
      <c r="Q159" s="110">
        <v>26918.65041290053</v>
      </c>
      <c r="R159" s="258">
        <v>60153.242051986206</v>
      </c>
      <c r="S159" s="259">
        <v>67331.644063661181</v>
      </c>
      <c r="U159" s="7" t="s">
        <v>1196</v>
      </c>
    </row>
    <row r="160" spans="1:21" s="65" customFormat="1" ht="16.5" thickBot="1">
      <c r="A160" s="41" t="s">
        <v>31</v>
      </c>
      <c r="B160" s="42">
        <f t="shared" si="6"/>
        <v>70</v>
      </c>
      <c r="C160" s="42" t="s">
        <v>3</v>
      </c>
      <c r="D160" s="42">
        <f t="shared" si="7"/>
        <v>260</v>
      </c>
      <c r="E160" s="42" t="s">
        <v>3</v>
      </c>
      <c r="F160" s="101">
        <f t="shared" si="8"/>
        <v>2900</v>
      </c>
      <c r="G160" s="42" t="s">
        <v>3</v>
      </c>
      <c r="H160" s="39">
        <v>2</v>
      </c>
      <c r="I160" s="40" t="s">
        <v>40</v>
      </c>
      <c r="J160" s="149">
        <v>70</v>
      </c>
      <c r="K160" s="104">
        <v>260</v>
      </c>
      <c r="L160" s="104">
        <v>2900</v>
      </c>
      <c r="M160" s="150">
        <v>21.723830112934998</v>
      </c>
      <c r="N160" s="66">
        <v>818.83266716542994</v>
      </c>
      <c r="O160" s="109">
        <v>33692.518435507322</v>
      </c>
      <c r="P160" s="109">
        <v>40988.694598426562</v>
      </c>
      <c r="Q160" s="110">
        <v>27389.641887115966</v>
      </c>
      <c r="R160" s="258">
        <v>61082.160322623284</v>
      </c>
      <c r="S160" s="259">
        <v>68378.336485542532</v>
      </c>
      <c r="U160" s="7" t="s">
        <v>1197</v>
      </c>
    </row>
    <row r="161" spans="1:21" s="65" customFormat="1" ht="16.5" thickBot="1">
      <c r="A161" s="41" t="s">
        <v>31</v>
      </c>
      <c r="B161" s="42">
        <f t="shared" si="6"/>
        <v>70</v>
      </c>
      <c r="C161" s="42" t="s">
        <v>3</v>
      </c>
      <c r="D161" s="42">
        <f t="shared" si="7"/>
        <v>260</v>
      </c>
      <c r="E161" s="42" t="s">
        <v>3</v>
      </c>
      <c r="F161" s="101">
        <f t="shared" si="8"/>
        <v>2950</v>
      </c>
      <c r="G161" s="42" t="s">
        <v>3</v>
      </c>
      <c r="H161" s="39">
        <v>2</v>
      </c>
      <c r="I161" s="40" t="s">
        <v>40</v>
      </c>
      <c r="J161" s="149">
        <v>70</v>
      </c>
      <c r="K161" s="104">
        <v>260</v>
      </c>
      <c r="L161" s="104">
        <v>2950</v>
      </c>
      <c r="M161" s="150">
        <v>22.078666199957858</v>
      </c>
      <c r="N161" s="66">
        <v>834.88820965886987</v>
      </c>
      <c r="O161" s="109">
        <v>34150.445231928978</v>
      </c>
      <c r="P161" s="109">
        <v>41564.395546092477</v>
      </c>
      <c r="Q161" s="110">
        <v>27860.633514360161</v>
      </c>
      <c r="R161" s="258">
        <v>62011.078746289139</v>
      </c>
      <c r="S161" s="259">
        <v>69425.029060452638</v>
      </c>
      <c r="U161" s="7" t="s">
        <v>1198</v>
      </c>
    </row>
    <row r="162" spans="1:21" s="65" customFormat="1" ht="16.5" thickBot="1">
      <c r="A162" s="43" t="s">
        <v>31</v>
      </c>
      <c r="B162" s="44">
        <f t="shared" si="6"/>
        <v>70</v>
      </c>
      <c r="C162" s="44" t="s">
        <v>3</v>
      </c>
      <c r="D162" s="44">
        <f t="shared" si="7"/>
        <v>260</v>
      </c>
      <c r="E162" s="44" t="s">
        <v>3</v>
      </c>
      <c r="F162" s="102">
        <f t="shared" si="8"/>
        <v>3000</v>
      </c>
      <c r="G162" s="44" t="s">
        <v>3</v>
      </c>
      <c r="H162" s="46">
        <v>2</v>
      </c>
      <c r="I162" s="45" t="s">
        <v>40</v>
      </c>
      <c r="J162" s="149">
        <v>70</v>
      </c>
      <c r="K162" s="134">
        <v>260</v>
      </c>
      <c r="L162" s="134">
        <v>3000</v>
      </c>
      <c r="M162" s="152">
        <v>22.433502286980715</v>
      </c>
      <c r="N162" s="126">
        <v>850.94375215230957</v>
      </c>
      <c r="O162" s="154">
        <v>34608.372181379389</v>
      </c>
      <c r="P162" s="154">
        <v>42140.096493758399</v>
      </c>
      <c r="Q162" s="136">
        <v>28331.625141604356</v>
      </c>
      <c r="R162" s="260">
        <v>62939.997322983749</v>
      </c>
      <c r="S162" s="261">
        <v>70471.721635362759</v>
      </c>
      <c r="U162" s="7" t="s">
        <v>1199</v>
      </c>
    </row>
    <row r="163" spans="1:21" s="65" customFormat="1" ht="22.5" customHeight="1" thickBot="1">
      <c r="A163" s="3010" t="s">
        <v>43</v>
      </c>
      <c r="B163" s="3011"/>
      <c r="C163" s="3011"/>
      <c r="D163" s="3011"/>
      <c r="E163" s="3011"/>
      <c r="F163" s="3011"/>
      <c r="G163" s="3011"/>
      <c r="H163" s="3011"/>
      <c r="I163" s="3011"/>
      <c r="J163" s="3011"/>
      <c r="K163" s="3011"/>
      <c r="L163" s="3011"/>
      <c r="M163" s="3011"/>
      <c r="N163" s="3011"/>
      <c r="O163" s="3011"/>
      <c r="P163" s="3011"/>
      <c r="Q163" s="3011"/>
      <c r="R163" s="3011"/>
      <c r="S163" s="3012"/>
      <c r="U163" s="7"/>
    </row>
    <row r="164" spans="1:21" s="65" customFormat="1" ht="22.5" customHeight="1" thickBot="1">
      <c r="A164" s="2971" t="s">
        <v>62</v>
      </c>
      <c r="B164" s="2972"/>
      <c r="C164" s="2972"/>
      <c r="D164" s="2972"/>
      <c r="E164" s="2972"/>
      <c r="F164" s="2972"/>
      <c r="G164" s="2972"/>
      <c r="H164" s="2972"/>
      <c r="I164" s="2972"/>
      <c r="J164" s="2972"/>
      <c r="K164" s="2972"/>
      <c r="L164" s="2972"/>
      <c r="M164" s="2972"/>
      <c r="N164" s="2972"/>
      <c r="O164" s="2972"/>
      <c r="P164" s="2972"/>
      <c r="Q164" s="2972"/>
      <c r="R164" s="2972"/>
      <c r="S164" s="2973"/>
      <c r="U164" s="7"/>
    </row>
    <row r="165" spans="1:21" s="65" customFormat="1" ht="16.5" thickBot="1">
      <c r="A165" s="2974" t="s">
        <v>112</v>
      </c>
      <c r="B165" s="2975"/>
      <c r="C165" s="2975"/>
      <c r="D165" s="2975"/>
      <c r="E165" s="2975"/>
      <c r="F165" s="2975"/>
      <c r="G165" s="2975"/>
      <c r="H165" s="2975"/>
      <c r="I165" s="2975"/>
      <c r="J165" s="2975"/>
      <c r="K165" s="2975"/>
      <c r="L165" s="2975"/>
      <c r="M165" s="2975"/>
      <c r="N165" s="2975"/>
      <c r="O165" s="2975"/>
      <c r="P165" s="2975"/>
      <c r="Q165" s="2975"/>
      <c r="R165" s="2975"/>
      <c r="S165" s="2976"/>
      <c r="U165" s="7"/>
    </row>
    <row r="166" spans="1:21" s="65" customFormat="1" ht="16.5" thickBot="1">
      <c r="A166" s="38" t="s">
        <v>31</v>
      </c>
      <c r="B166" s="39">
        <f>J166</f>
        <v>70</v>
      </c>
      <c r="C166" s="39" t="s">
        <v>3</v>
      </c>
      <c r="D166" s="39">
        <f>K166</f>
        <v>300</v>
      </c>
      <c r="E166" s="39" t="s">
        <v>3</v>
      </c>
      <c r="F166" s="101">
        <f>L166</f>
        <v>600</v>
      </c>
      <c r="G166" s="39" t="s">
        <v>3</v>
      </c>
      <c r="H166" s="39">
        <v>2</v>
      </c>
      <c r="I166" s="40" t="s">
        <v>40</v>
      </c>
      <c r="J166" s="146">
        <v>70</v>
      </c>
      <c r="K166" s="138">
        <v>300</v>
      </c>
      <c r="L166" s="138">
        <v>600</v>
      </c>
      <c r="M166" s="147">
        <v>5.4382493597121435</v>
      </c>
      <c r="N166" s="122">
        <v>85.988380735127819</v>
      </c>
      <c r="O166" s="148">
        <v>11465.44593995122</v>
      </c>
      <c r="P166" s="148">
        <v>13622.56297958305</v>
      </c>
      <c r="Q166" s="139">
        <v>6417.2545322512115</v>
      </c>
      <c r="R166" s="256">
        <v>17882.700472202432</v>
      </c>
      <c r="S166" s="257">
        <v>20039.817511834262</v>
      </c>
      <c r="U166" s="7" t="s">
        <v>1200</v>
      </c>
    </row>
    <row r="167" spans="1:21" s="65" customFormat="1" ht="16.5" thickBot="1">
      <c r="A167" s="41" t="s">
        <v>31</v>
      </c>
      <c r="B167" s="42">
        <f t="shared" ref="B167:B214" si="9">J167</f>
        <v>70</v>
      </c>
      <c r="C167" s="42" t="s">
        <v>3</v>
      </c>
      <c r="D167" s="42">
        <f t="shared" ref="D167:D214" si="10">K167</f>
        <v>300</v>
      </c>
      <c r="E167" s="42" t="s">
        <v>3</v>
      </c>
      <c r="F167" s="101">
        <f t="shared" ref="F167:F214" si="11">L167</f>
        <v>650</v>
      </c>
      <c r="G167" s="42" t="s">
        <v>3</v>
      </c>
      <c r="H167" s="39">
        <v>2</v>
      </c>
      <c r="I167" s="40" t="s">
        <v>40</v>
      </c>
      <c r="J167" s="149">
        <v>70</v>
      </c>
      <c r="K167" s="104">
        <v>300</v>
      </c>
      <c r="L167" s="104">
        <v>650</v>
      </c>
      <c r="M167" s="150">
        <v>5.8250188538778573</v>
      </c>
      <c r="N167" s="66">
        <v>103.18605688215338</v>
      </c>
      <c r="O167" s="111">
        <v>11943.805902236185</v>
      </c>
      <c r="P167" s="111">
        <v>14232.750183700005</v>
      </c>
      <c r="Q167" s="110">
        <v>6945.130471153966</v>
      </c>
      <c r="R167" s="258">
        <v>18888.936373390152</v>
      </c>
      <c r="S167" s="259">
        <v>21177.880654853972</v>
      </c>
      <c r="U167" s="7" t="s">
        <v>1201</v>
      </c>
    </row>
    <row r="168" spans="1:21" s="65" customFormat="1" ht="16.5" thickBot="1">
      <c r="A168" s="41" t="s">
        <v>31</v>
      </c>
      <c r="B168" s="42">
        <f t="shared" si="9"/>
        <v>70</v>
      </c>
      <c r="C168" s="42" t="s">
        <v>3</v>
      </c>
      <c r="D168" s="42">
        <f t="shared" si="10"/>
        <v>300</v>
      </c>
      <c r="E168" s="42" t="s">
        <v>3</v>
      </c>
      <c r="F168" s="101">
        <f t="shared" si="11"/>
        <v>700</v>
      </c>
      <c r="G168" s="42" t="s">
        <v>3</v>
      </c>
      <c r="H168" s="39">
        <v>2</v>
      </c>
      <c r="I168" s="40" t="s">
        <v>40</v>
      </c>
      <c r="J168" s="149">
        <v>70</v>
      </c>
      <c r="K168" s="104">
        <v>300</v>
      </c>
      <c r="L168" s="104">
        <v>700</v>
      </c>
      <c r="M168" s="150">
        <v>6.2117883480435712</v>
      </c>
      <c r="N168" s="66">
        <v>120.38373302917894</v>
      </c>
      <c r="O168" s="111">
        <v>12422.165864521148</v>
      </c>
      <c r="P168" s="111">
        <v>14842.937387816961</v>
      </c>
      <c r="Q168" s="110">
        <v>7473.0062570279561</v>
      </c>
      <c r="R168" s="258">
        <v>19895.172121549105</v>
      </c>
      <c r="S168" s="259">
        <v>22315.943644844916</v>
      </c>
      <c r="U168" s="7" t="s">
        <v>1202</v>
      </c>
    </row>
    <row r="169" spans="1:21" s="65" customFormat="1" ht="16.5" thickBot="1">
      <c r="A169" s="41" t="s">
        <v>31</v>
      </c>
      <c r="B169" s="42">
        <f t="shared" si="9"/>
        <v>70</v>
      </c>
      <c r="C169" s="42" t="s">
        <v>3</v>
      </c>
      <c r="D169" s="42">
        <f t="shared" si="10"/>
        <v>300</v>
      </c>
      <c r="E169" s="42" t="s">
        <v>3</v>
      </c>
      <c r="F169" s="101">
        <f t="shared" si="11"/>
        <v>750</v>
      </c>
      <c r="G169" s="42" t="s">
        <v>3</v>
      </c>
      <c r="H169" s="39">
        <v>2</v>
      </c>
      <c r="I169" s="40" t="s">
        <v>40</v>
      </c>
      <c r="J169" s="149">
        <v>70</v>
      </c>
      <c r="K169" s="104">
        <v>300</v>
      </c>
      <c r="L169" s="104">
        <v>750</v>
      </c>
      <c r="M169" s="150">
        <v>6.598557842209285</v>
      </c>
      <c r="N169" s="66">
        <v>137.58140917620452</v>
      </c>
      <c r="O169" s="111">
        <v>12900.52582680611</v>
      </c>
      <c r="P169" s="111">
        <v>15453.124438905152</v>
      </c>
      <c r="Q169" s="110">
        <v>8000.8821959307124</v>
      </c>
      <c r="R169" s="258">
        <v>20901.408022736821</v>
      </c>
      <c r="S169" s="259">
        <v>23454.006634835863</v>
      </c>
      <c r="U169" s="7" t="s">
        <v>1203</v>
      </c>
    </row>
    <row r="170" spans="1:21" s="65" customFormat="1" ht="16.5" thickBot="1">
      <c r="A170" s="41" t="s">
        <v>31</v>
      </c>
      <c r="B170" s="42">
        <f t="shared" si="9"/>
        <v>70</v>
      </c>
      <c r="C170" s="42" t="s">
        <v>3</v>
      </c>
      <c r="D170" s="42">
        <f t="shared" si="10"/>
        <v>300</v>
      </c>
      <c r="E170" s="42" t="s">
        <v>3</v>
      </c>
      <c r="F170" s="101">
        <f t="shared" si="11"/>
        <v>800</v>
      </c>
      <c r="G170" s="42" t="s">
        <v>3</v>
      </c>
      <c r="H170" s="39">
        <v>2</v>
      </c>
      <c r="I170" s="40" t="s">
        <v>40</v>
      </c>
      <c r="J170" s="149">
        <v>70</v>
      </c>
      <c r="K170" s="104">
        <v>300</v>
      </c>
      <c r="L170" s="104">
        <v>800</v>
      </c>
      <c r="M170" s="150">
        <v>6.9853273363750006</v>
      </c>
      <c r="N170" s="66">
        <v>154.77908532323008</v>
      </c>
      <c r="O170" s="111">
        <v>13378.885789091075</v>
      </c>
      <c r="P170" s="111">
        <v>16063.311643022109</v>
      </c>
      <c r="Q170" s="110">
        <v>8528.7579818047016</v>
      </c>
      <c r="R170" s="258">
        <v>21907.643770895775</v>
      </c>
      <c r="S170" s="259">
        <v>24592.06962482681</v>
      </c>
      <c r="U170" s="7" t="s">
        <v>1204</v>
      </c>
    </row>
    <row r="171" spans="1:21" s="65" customFormat="1" ht="16.5" thickBot="1">
      <c r="A171" s="41" t="s">
        <v>31</v>
      </c>
      <c r="B171" s="42">
        <f t="shared" si="9"/>
        <v>70</v>
      </c>
      <c r="C171" s="42" t="s">
        <v>3</v>
      </c>
      <c r="D171" s="42">
        <f t="shared" si="10"/>
        <v>300</v>
      </c>
      <c r="E171" s="42" t="s">
        <v>3</v>
      </c>
      <c r="F171" s="101">
        <f t="shared" si="11"/>
        <v>850</v>
      </c>
      <c r="G171" s="42" t="s">
        <v>3</v>
      </c>
      <c r="H171" s="39">
        <v>2</v>
      </c>
      <c r="I171" s="40" t="s">
        <v>40</v>
      </c>
      <c r="J171" s="149">
        <v>70</v>
      </c>
      <c r="K171" s="104">
        <v>300</v>
      </c>
      <c r="L171" s="104">
        <v>850</v>
      </c>
      <c r="M171" s="150">
        <v>7.3720968305407135</v>
      </c>
      <c r="N171" s="66">
        <v>171.97676147025564</v>
      </c>
      <c r="O171" s="111">
        <v>13857.24575137604</v>
      </c>
      <c r="P171" s="111">
        <v>16673.498847139064</v>
      </c>
      <c r="Q171" s="110">
        <v>9056.6339207074561</v>
      </c>
      <c r="R171" s="258">
        <v>22913.879672083494</v>
      </c>
      <c r="S171" s="259">
        <v>25730.13276784652</v>
      </c>
      <c r="U171" s="7" t="s">
        <v>1205</v>
      </c>
    </row>
    <row r="172" spans="1:21" s="65" customFormat="1" ht="16.5" thickBot="1">
      <c r="A172" s="41" t="s">
        <v>31</v>
      </c>
      <c r="B172" s="42">
        <f t="shared" si="9"/>
        <v>70</v>
      </c>
      <c r="C172" s="42" t="s">
        <v>3</v>
      </c>
      <c r="D172" s="42">
        <f t="shared" si="10"/>
        <v>300</v>
      </c>
      <c r="E172" s="42" t="s">
        <v>3</v>
      </c>
      <c r="F172" s="101">
        <f t="shared" si="11"/>
        <v>900</v>
      </c>
      <c r="G172" s="42" t="s">
        <v>3</v>
      </c>
      <c r="H172" s="39">
        <v>2</v>
      </c>
      <c r="I172" s="40" t="s">
        <v>40</v>
      </c>
      <c r="J172" s="149">
        <v>70</v>
      </c>
      <c r="K172" s="104">
        <v>300</v>
      </c>
      <c r="L172" s="104">
        <v>900</v>
      </c>
      <c r="M172" s="150">
        <v>7.7588663247064291</v>
      </c>
      <c r="N172" s="66">
        <v>189.17443761728123</v>
      </c>
      <c r="O172" s="111">
        <v>14335.605713661002</v>
      </c>
      <c r="P172" s="111">
        <v>17283.685898227253</v>
      </c>
      <c r="Q172" s="110">
        <v>9584.509706581448</v>
      </c>
      <c r="R172" s="258">
        <v>23920.115420242451</v>
      </c>
      <c r="S172" s="259">
        <v>26868.195604808701</v>
      </c>
      <c r="U172" s="7" t="s">
        <v>1206</v>
      </c>
    </row>
    <row r="173" spans="1:21" s="65" customFormat="1" ht="16.5" thickBot="1">
      <c r="A173" s="41" t="s">
        <v>31</v>
      </c>
      <c r="B173" s="42">
        <f t="shared" si="9"/>
        <v>70</v>
      </c>
      <c r="C173" s="42" t="s">
        <v>3</v>
      </c>
      <c r="D173" s="42">
        <f t="shared" si="10"/>
        <v>300</v>
      </c>
      <c r="E173" s="42" t="s">
        <v>3</v>
      </c>
      <c r="F173" s="101">
        <f t="shared" si="11"/>
        <v>950</v>
      </c>
      <c r="G173" s="42" t="s">
        <v>3</v>
      </c>
      <c r="H173" s="39">
        <v>2</v>
      </c>
      <c r="I173" s="40" t="s">
        <v>40</v>
      </c>
      <c r="J173" s="149">
        <v>70</v>
      </c>
      <c r="K173" s="104">
        <v>300</v>
      </c>
      <c r="L173" s="104">
        <v>950</v>
      </c>
      <c r="M173" s="150">
        <v>8.1456358188721438</v>
      </c>
      <c r="N173" s="66">
        <v>206.37211376430676</v>
      </c>
      <c r="O173" s="111">
        <v>14813.965675945967</v>
      </c>
      <c r="P173" s="111">
        <v>17893.873102344209</v>
      </c>
      <c r="Q173" s="110">
        <v>10112.385645484203</v>
      </c>
      <c r="R173" s="258">
        <v>24926.351321430171</v>
      </c>
      <c r="S173" s="259">
        <v>28006.258747828411</v>
      </c>
      <c r="U173" s="7" t="s">
        <v>1207</v>
      </c>
    </row>
    <row r="174" spans="1:21" s="65" customFormat="1" ht="16.5" thickBot="1">
      <c r="A174" s="41" t="s">
        <v>31</v>
      </c>
      <c r="B174" s="42">
        <f t="shared" si="9"/>
        <v>70</v>
      </c>
      <c r="C174" s="42" t="s">
        <v>3</v>
      </c>
      <c r="D174" s="42">
        <f t="shared" si="10"/>
        <v>300</v>
      </c>
      <c r="E174" s="42" t="s">
        <v>3</v>
      </c>
      <c r="F174" s="101">
        <f t="shared" si="11"/>
        <v>1000</v>
      </c>
      <c r="G174" s="42" t="s">
        <v>3</v>
      </c>
      <c r="H174" s="39">
        <v>2</v>
      </c>
      <c r="I174" s="40" t="s">
        <v>40</v>
      </c>
      <c r="J174" s="149">
        <v>70</v>
      </c>
      <c r="K174" s="104">
        <v>300</v>
      </c>
      <c r="L174" s="104">
        <v>1000</v>
      </c>
      <c r="M174" s="150">
        <v>8.5324053130378577</v>
      </c>
      <c r="N174" s="66">
        <v>223.56978991133235</v>
      </c>
      <c r="O174" s="111">
        <v>15292.325638230928</v>
      </c>
      <c r="P174" s="111">
        <v>18504.060306461164</v>
      </c>
      <c r="Q174" s="110">
        <v>10640.261431358193</v>
      </c>
      <c r="R174" s="258">
        <v>25932.587069589121</v>
      </c>
      <c r="S174" s="259">
        <v>29144.321737819359</v>
      </c>
      <c r="U174" s="7" t="s">
        <v>1208</v>
      </c>
    </row>
    <row r="175" spans="1:21" s="65" customFormat="1" ht="16.5" thickBot="1">
      <c r="A175" s="41" t="s">
        <v>31</v>
      </c>
      <c r="B175" s="42">
        <f t="shared" si="9"/>
        <v>70</v>
      </c>
      <c r="C175" s="42" t="s">
        <v>3</v>
      </c>
      <c r="D175" s="42">
        <f t="shared" si="10"/>
        <v>300</v>
      </c>
      <c r="E175" s="42" t="s">
        <v>3</v>
      </c>
      <c r="F175" s="101">
        <f t="shared" si="11"/>
        <v>1050</v>
      </c>
      <c r="G175" s="42" t="s">
        <v>3</v>
      </c>
      <c r="H175" s="39">
        <v>2</v>
      </c>
      <c r="I175" s="40" t="s">
        <v>40</v>
      </c>
      <c r="J175" s="149">
        <v>70</v>
      </c>
      <c r="K175" s="104">
        <v>300</v>
      </c>
      <c r="L175" s="104">
        <v>1050</v>
      </c>
      <c r="M175" s="150">
        <v>8.9191748072035715</v>
      </c>
      <c r="N175" s="66">
        <v>240.76746605835788</v>
      </c>
      <c r="O175" s="111">
        <v>15770.685600515893</v>
      </c>
      <c r="P175" s="111">
        <v>19114.247357549353</v>
      </c>
      <c r="Q175" s="110">
        <v>11168.137370260947</v>
      </c>
      <c r="R175" s="258">
        <v>26938.822970776841</v>
      </c>
      <c r="S175" s="259">
        <v>30282.384727810299</v>
      </c>
      <c r="U175" s="7" t="s">
        <v>1209</v>
      </c>
    </row>
    <row r="176" spans="1:21" s="65" customFormat="1" ht="16.5" thickBot="1">
      <c r="A176" s="38" t="s">
        <v>31</v>
      </c>
      <c r="B176" s="39">
        <f t="shared" si="9"/>
        <v>70</v>
      </c>
      <c r="C176" s="39" t="s">
        <v>3</v>
      </c>
      <c r="D176" s="39">
        <f t="shared" si="10"/>
        <v>300</v>
      </c>
      <c r="E176" s="39" t="s">
        <v>3</v>
      </c>
      <c r="F176" s="101">
        <f t="shared" si="11"/>
        <v>1100</v>
      </c>
      <c r="G176" s="39" t="s">
        <v>3</v>
      </c>
      <c r="H176" s="39">
        <v>2</v>
      </c>
      <c r="I176" s="40" t="s">
        <v>40</v>
      </c>
      <c r="J176" s="149">
        <v>70</v>
      </c>
      <c r="K176" s="104">
        <v>300</v>
      </c>
      <c r="L176" s="104">
        <v>1100</v>
      </c>
      <c r="M176" s="150">
        <v>9.3059443013692871</v>
      </c>
      <c r="N176" s="66">
        <v>257.96514220538347</v>
      </c>
      <c r="O176" s="111">
        <v>16249.045562800859</v>
      </c>
      <c r="P176" s="111">
        <v>19724.434561666309</v>
      </c>
      <c r="Q176" s="110">
        <v>11696.013156134937</v>
      </c>
      <c r="R176" s="258">
        <v>27945.058718935798</v>
      </c>
      <c r="S176" s="259">
        <v>31420.447717801246</v>
      </c>
      <c r="U176" s="7" t="s">
        <v>1210</v>
      </c>
    </row>
    <row r="177" spans="1:21" s="65" customFormat="1" ht="16.5" thickBot="1">
      <c r="A177" s="41" t="s">
        <v>31</v>
      </c>
      <c r="B177" s="42">
        <f t="shared" si="9"/>
        <v>70</v>
      </c>
      <c r="C177" s="42" t="s">
        <v>3</v>
      </c>
      <c r="D177" s="42">
        <f t="shared" si="10"/>
        <v>300</v>
      </c>
      <c r="E177" s="42" t="s">
        <v>3</v>
      </c>
      <c r="F177" s="101">
        <f t="shared" si="11"/>
        <v>1150</v>
      </c>
      <c r="G177" s="42" t="s">
        <v>3</v>
      </c>
      <c r="H177" s="39">
        <v>2</v>
      </c>
      <c r="I177" s="40" t="s">
        <v>40</v>
      </c>
      <c r="J177" s="149">
        <v>70</v>
      </c>
      <c r="K177" s="104">
        <v>300</v>
      </c>
      <c r="L177" s="104">
        <v>1150</v>
      </c>
      <c r="M177" s="150">
        <v>9.6927137955349991</v>
      </c>
      <c r="N177" s="66">
        <v>275.16281835240903</v>
      </c>
      <c r="O177" s="111">
        <v>16727.405525085822</v>
      </c>
      <c r="P177" s="111">
        <v>20334.621765783264</v>
      </c>
      <c r="Q177" s="110">
        <v>12223.889095037694</v>
      </c>
      <c r="R177" s="258">
        <v>28951.294620123517</v>
      </c>
      <c r="S177" s="259">
        <v>32558.510860820956</v>
      </c>
      <c r="U177" s="7" t="s">
        <v>1211</v>
      </c>
    </row>
    <row r="178" spans="1:21" s="65" customFormat="1" ht="16.5" thickBot="1">
      <c r="A178" s="41" t="s">
        <v>31</v>
      </c>
      <c r="B178" s="42">
        <f t="shared" si="9"/>
        <v>70</v>
      </c>
      <c r="C178" s="42" t="s">
        <v>3</v>
      </c>
      <c r="D178" s="42">
        <f t="shared" si="10"/>
        <v>300</v>
      </c>
      <c r="E178" s="42" t="s">
        <v>3</v>
      </c>
      <c r="F178" s="101">
        <f t="shared" si="11"/>
        <v>1200</v>
      </c>
      <c r="G178" s="42" t="s">
        <v>3</v>
      </c>
      <c r="H178" s="39">
        <v>2</v>
      </c>
      <c r="I178" s="40" t="s">
        <v>40</v>
      </c>
      <c r="J178" s="149">
        <v>70</v>
      </c>
      <c r="K178" s="104">
        <v>300</v>
      </c>
      <c r="L178" s="104">
        <v>1200</v>
      </c>
      <c r="M178" s="150">
        <v>10.118733289700714</v>
      </c>
      <c r="N178" s="66">
        <v>292.36049449943459</v>
      </c>
      <c r="O178" s="111">
        <v>17255.765800030196</v>
      </c>
      <c r="P178" s="111">
        <v>20993.285116058985</v>
      </c>
      <c r="Q178" s="110">
        <v>12751.764880911684</v>
      </c>
      <c r="R178" s="258">
        <v>30007.53068094188</v>
      </c>
      <c r="S178" s="259">
        <v>33745.049996970673</v>
      </c>
      <c r="U178" s="7" t="s">
        <v>1212</v>
      </c>
    </row>
    <row r="179" spans="1:21" s="65" customFormat="1" ht="16.5" thickBot="1">
      <c r="A179" s="41" t="s">
        <v>31</v>
      </c>
      <c r="B179" s="42">
        <f t="shared" si="9"/>
        <v>70</v>
      </c>
      <c r="C179" s="42" t="s">
        <v>3</v>
      </c>
      <c r="D179" s="42">
        <f t="shared" si="10"/>
        <v>300</v>
      </c>
      <c r="E179" s="42" t="s">
        <v>3</v>
      </c>
      <c r="F179" s="101">
        <f t="shared" si="11"/>
        <v>1250</v>
      </c>
      <c r="G179" s="42" t="s">
        <v>3</v>
      </c>
      <c r="H179" s="39">
        <v>2</v>
      </c>
      <c r="I179" s="40" t="s">
        <v>40</v>
      </c>
      <c r="J179" s="149">
        <v>70</v>
      </c>
      <c r="K179" s="104">
        <v>300</v>
      </c>
      <c r="L179" s="104">
        <v>1250</v>
      </c>
      <c r="M179" s="150">
        <v>10.505502783866429</v>
      </c>
      <c r="N179" s="66">
        <v>309.55817064646016</v>
      </c>
      <c r="O179" s="111">
        <v>17734.125762315161</v>
      </c>
      <c r="P179" s="111">
        <v>21603.472167147178</v>
      </c>
      <c r="Q179" s="110">
        <v>13279.64081981444</v>
      </c>
      <c r="R179" s="258">
        <v>31013.766582129603</v>
      </c>
      <c r="S179" s="259">
        <v>34883.11298696162</v>
      </c>
      <c r="U179" s="7" t="s">
        <v>1213</v>
      </c>
    </row>
    <row r="180" spans="1:21" s="65" customFormat="1" ht="16.5" thickBot="1">
      <c r="A180" s="41" t="s">
        <v>31</v>
      </c>
      <c r="B180" s="42">
        <f t="shared" si="9"/>
        <v>70</v>
      </c>
      <c r="C180" s="42" t="s">
        <v>3</v>
      </c>
      <c r="D180" s="42">
        <f t="shared" si="10"/>
        <v>300</v>
      </c>
      <c r="E180" s="42" t="s">
        <v>3</v>
      </c>
      <c r="F180" s="101">
        <f t="shared" si="11"/>
        <v>1300</v>
      </c>
      <c r="G180" s="42" t="s">
        <v>3</v>
      </c>
      <c r="H180" s="39">
        <v>2</v>
      </c>
      <c r="I180" s="40" t="s">
        <v>40</v>
      </c>
      <c r="J180" s="149">
        <v>70</v>
      </c>
      <c r="K180" s="104">
        <v>300</v>
      </c>
      <c r="L180" s="104">
        <v>1300</v>
      </c>
      <c r="M180" s="150">
        <v>10.892272278032143</v>
      </c>
      <c r="N180" s="66">
        <v>326.75584679348572</v>
      </c>
      <c r="O180" s="111">
        <v>18212.485724600127</v>
      </c>
      <c r="P180" s="111">
        <v>22213.659371264133</v>
      </c>
      <c r="Q180" s="110">
        <v>13807.516605688428</v>
      </c>
      <c r="R180" s="258">
        <v>32020.002330288553</v>
      </c>
      <c r="S180" s="259">
        <v>36021.17597695256</v>
      </c>
      <c r="U180" s="7" t="s">
        <v>1214</v>
      </c>
    </row>
    <row r="181" spans="1:21" s="65" customFormat="1" ht="16.5" thickBot="1">
      <c r="A181" s="41" t="s">
        <v>31</v>
      </c>
      <c r="B181" s="42">
        <f t="shared" si="9"/>
        <v>70</v>
      </c>
      <c r="C181" s="42" t="s">
        <v>3</v>
      </c>
      <c r="D181" s="42">
        <f t="shared" si="10"/>
        <v>300</v>
      </c>
      <c r="E181" s="42" t="s">
        <v>3</v>
      </c>
      <c r="F181" s="101">
        <f t="shared" si="11"/>
        <v>1350</v>
      </c>
      <c r="G181" s="42" t="s">
        <v>3</v>
      </c>
      <c r="H181" s="39">
        <v>2</v>
      </c>
      <c r="I181" s="40" t="s">
        <v>40</v>
      </c>
      <c r="J181" s="149">
        <v>70</v>
      </c>
      <c r="K181" s="104">
        <v>300</v>
      </c>
      <c r="L181" s="104">
        <v>1350</v>
      </c>
      <c r="M181" s="150">
        <v>11.279041772197857</v>
      </c>
      <c r="N181" s="66">
        <v>343.95352294051128</v>
      </c>
      <c r="O181" s="111">
        <v>18690.845686885088</v>
      </c>
      <c r="P181" s="111">
        <v>22823.846575381089</v>
      </c>
      <c r="Q181" s="110">
        <v>14335.392544591185</v>
      </c>
      <c r="R181" s="258">
        <v>33026.238231476273</v>
      </c>
      <c r="S181" s="259">
        <v>37159.239119972277</v>
      </c>
      <c r="U181" s="7" t="s">
        <v>1215</v>
      </c>
    </row>
    <row r="182" spans="1:21" s="65" customFormat="1" ht="16.5" thickBot="1">
      <c r="A182" s="41" t="s">
        <v>31</v>
      </c>
      <c r="B182" s="42">
        <f t="shared" si="9"/>
        <v>70</v>
      </c>
      <c r="C182" s="42" t="s">
        <v>3</v>
      </c>
      <c r="D182" s="42">
        <f t="shared" si="10"/>
        <v>300</v>
      </c>
      <c r="E182" s="42" t="s">
        <v>3</v>
      </c>
      <c r="F182" s="101">
        <f t="shared" si="11"/>
        <v>1400</v>
      </c>
      <c r="G182" s="42" t="s">
        <v>3</v>
      </c>
      <c r="H182" s="39">
        <v>2</v>
      </c>
      <c r="I182" s="40" t="s">
        <v>40</v>
      </c>
      <c r="J182" s="149">
        <v>70</v>
      </c>
      <c r="K182" s="104">
        <v>300</v>
      </c>
      <c r="L182" s="104">
        <v>1400</v>
      </c>
      <c r="M182" s="150">
        <v>11.665811266363573</v>
      </c>
      <c r="N182" s="66">
        <v>361.15119908753684</v>
      </c>
      <c r="O182" s="111">
        <v>19169.205649170053</v>
      </c>
      <c r="P182" s="111">
        <v>23434.033626469278</v>
      </c>
      <c r="Q182" s="110">
        <v>14863.268330465173</v>
      </c>
      <c r="R182" s="258">
        <v>34032.473979635222</v>
      </c>
      <c r="S182" s="259">
        <v>38297.301956934447</v>
      </c>
      <c r="U182" s="7" t="s">
        <v>1216</v>
      </c>
    </row>
    <row r="183" spans="1:21" s="65" customFormat="1" ht="16.5" thickBot="1">
      <c r="A183" s="41" t="s">
        <v>31</v>
      </c>
      <c r="B183" s="42">
        <f t="shared" si="9"/>
        <v>70</v>
      </c>
      <c r="C183" s="42" t="s">
        <v>3</v>
      </c>
      <c r="D183" s="42">
        <f t="shared" si="10"/>
        <v>300</v>
      </c>
      <c r="E183" s="42" t="s">
        <v>3</v>
      </c>
      <c r="F183" s="101">
        <f t="shared" si="11"/>
        <v>1450</v>
      </c>
      <c r="G183" s="42" t="s">
        <v>3</v>
      </c>
      <c r="H183" s="39">
        <v>2</v>
      </c>
      <c r="I183" s="40" t="s">
        <v>40</v>
      </c>
      <c r="J183" s="149">
        <v>70</v>
      </c>
      <c r="K183" s="104">
        <v>300</v>
      </c>
      <c r="L183" s="104">
        <v>1450</v>
      </c>
      <c r="M183" s="150">
        <v>12.052580760529285</v>
      </c>
      <c r="N183" s="66">
        <v>378.34887523456246</v>
      </c>
      <c r="O183" s="111">
        <v>19647.565611455015</v>
      </c>
      <c r="P183" s="111">
        <v>24044.220830586233</v>
      </c>
      <c r="Q183" s="110">
        <v>15391.144269367929</v>
      </c>
      <c r="R183" s="258">
        <v>35038.709880822942</v>
      </c>
      <c r="S183" s="259">
        <v>39435.365099954164</v>
      </c>
      <c r="U183" s="7" t="s">
        <v>1217</v>
      </c>
    </row>
    <row r="184" spans="1:21" s="65" customFormat="1" ht="16.5" thickBot="1">
      <c r="A184" s="41" t="s">
        <v>31</v>
      </c>
      <c r="B184" s="42">
        <f t="shared" si="9"/>
        <v>70</v>
      </c>
      <c r="C184" s="42" t="s">
        <v>3</v>
      </c>
      <c r="D184" s="42">
        <f t="shared" si="10"/>
        <v>300</v>
      </c>
      <c r="E184" s="42" t="s">
        <v>3</v>
      </c>
      <c r="F184" s="101">
        <f t="shared" si="11"/>
        <v>1500</v>
      </c>
      <c r="G184" s="42" t="s">
        <v>3</v>
      </c>
      <c r="H184" s="39">
        <v>2</v>
      </c>
      <c r="I184" s="40" t="s">
        <v>40</v>
      </c>
      <c r="J184" s="149">
        <v>70</v>
      </c>
      <c r="K184" s="104">
        <v>300</v>
      </c>
      <c r="L184" s="104">
        <v>1500</v>
      </c>
      <c r="M184" s="150">
        <v>12.583915147494999</v>
      </c>
      <c r="N184" s="66">
        <v>395.54655138158796</v>
      </c>
      <c r="O184" s="111">
        <v>20865.651168448952</v>
      </c>
      <c r="P184" s="111">
        <v>25302.331979271206</v>
      </c>
      <c r="Q184" s="110">
        <v>15919.020055241919</v>
      </c>
      <c r="R184" s="258">
        <v>36784.671223690872</v>
      </c>
      <c r="S184" s="259">
        <v>41221.352034513126</v>
      </c>
      <c r="U184" s="7" t="s">
        <v>1218</v>
      </c>
    </row>
    <row r="185" spans="1:21" s="65" customFormat="1" ht="16.5" thickBot="1">
      <c r="A185" s="41" t="s">
        <v>31</v>
      </c>
      <c r="B185" s="42">
        <f t="shared" si="9"/>
        <v>70</v>
      </c>
      <c r="C185" s="42" t="s">
        <v>3</v>
      </c>
      <c r="D185" s="42">
        <f t="shared" si="10"/>
        <v>300</v>
      </c>
      <c r="E185" s="42" t="s">
        <v>3</v>
      </c>
      <c r="F185" s="101">
        <f t="shared" si="11"/>
        <v>1550</v>
      </c>
      <c r="G185" s="42" t="s">
        <v>3</v>
      </c>
      <c r="H185" s="39">
        <v>2</v>
      </c>
      <c r="I185" s="40" t="s">
        <v>40</v>
      </c>
      <c r="J185" s="149">
        <v>70</v>
      </c>
      <c r="K185" s="104">
        <v>300</v>
      </c>
      <c r="L185" s="104">
        <v>1550</v>
      </c>
      <c r="M185" s="150">
        <v>12.970684641660716</v>
      </c>
      <c r="N185" s="66">
        <v>412.74422752861352</v>
      </c>
      <c r="O185" s="111">
        <v>21344.011130733914</v>
      </c>
      <c r="P185" s="111">
        <v>25912.519183388162</v>
      </c>
      <c r="Q185" s="110">
        <v>16446.895994144674</v>
      </c>
      <c r="R185" s="258">
        <v>37790.907124878591</v>
      </c>
      <c r="S185" s="259">
        <v>42359.415177532836</v>
      </c>
      <c r="U185" s="7" t="s">
        <v>1219</v>
      </c>
    </row>
    <row r="186" spans="1:21" s="65" customFormat="1" ht="16.5" thickBot="1">
      <c r="A186" s="38" t="s">
        <v>31</v>
      </c>
      <c r="B186" s="39">
        <f t="shared" si="9"/>
        <v>70</v>
      </c>
      <c r="C186" s="39" t="s">
        <v>3</v>
      </c>
      <c r="D186" s="39">
        <f t="shared" si="10"/>
        <v>300</v>
      </c>
      <c r="E186" s="39" t="s">
        <v>3</v>
      </c>
      <c r="F186" s="101">
        <f t="shared" si="11"/>
        <v>1600</v>
      </c>
      <c r="G186" s="39" t="s">
        <v>3</v>
      </c>
      <c r="H186" s="39">
        <v>2</v>
      </c>
      <c r="I186" s="40" t="s">
        <v>40</v>
      </c>
      <c r="J186" s="149">
        <v>70</v>
      </c>
      <c r="K186" s="104">
        <v>300</v>
      </c>
      <c r="L186" s="104">
        <v>1600</v>
      </c>
      <c r="M186" s="150">
        <v>13.357454135826428</v>
      </c>
      <c r="N186" s="66">
        <v>429.94190367563908</v>
      </c>
      <c r="O186" s="111">
        <v>21822.371093018879</v>
      </c>
      <c r="P186" s="111">
        <v>26522.706387505117</v>
      </c>
      <c r="Q186" s="110">
        <v>16974.771780018662</v>
      </c>
      <c r="R186" s="258">
        <v>38797.142873037541</v>
      </c>
      <c r="S186" s="259">
        <v>43497.478167523775</v>
      </c>
      <c r="U186" s="7" t="s">
        <v>1220</v>
      </c>
    </row>
    <row r="187" spans="1:21" s="65" customFormat="1" ht="16.5" thickBot="1">
      <c r="A187" s="41" t="s">
        <v>31</v>
      </c>
      <c r="B187" s="42">
        <f t="shared" si="9"/>
        <v>70</v>
      </c>
      <c r="C187" s="42" t="s">
        <v>3</v>
      </c>
      <c r="D187" s="42">
        <f t="shared" si="10"/>
        <v>300</v>
      </c>
      <c r="E187" s="42" t="s">
        <v>3</v>
      </c>
      <c r="F187" s="101">
        <f t="shared" si="11"/>
        <v>1650</v>
      </c>
      <c r="G187" s="42" t="s">
        <v>3</v>
      </c>
      <c r="H187" s="39">
        <v>2</v>
      </c>
      <c r="I187" s="40" t="s">
        <v>40</v>
      </c>
      <c r="J187" s="149">
        <v>70</v>
      </c>
      <c r="K187" s="104">
        <v>300</v>
      </c>
      <c r="L187" s="104">
        <v>1650</v>
      </c>
      <c r="M187" s="150">
        <v>13.744223629992144</v>
      </c>
      <c r="N187" s="66">
        <v>447.1395798226647</v>
      </c>
      <c r="O187" s="111">
        <v>22300.731055303844</v>
      </c>
      <c r="P187" s="111">
        <v>27132.893438593306</v>
      </c>
      <c r="Q187" s="110">
        <v>17502.64771892142</v>
      </c>
      <c r="R187" s="258">
        <v>39803.378774225261</v>
      </c>
      <c r="S187" s="259">
        <v>44635.54115751473</v>
      </c>
      <c r="U187" s="7" t="s">
        <v>1221</v>
      </c>
    </row>
    <row r="188" spans="1:21" s="65" customFormat="1" ht="16.5" thickBot="1">
      <c r="A188" s="41" t="s">
        <v>31</v>
      </c>
      <c r="B188" s="42">
        <f t="shared" si="9"/>
        <v>70</v>
      </c>
      <c r="C188" s="42" t="s">
        <v>3</v>
      </c>
      <c r="D188" s="42">
        <f t="shared" si="10"/>
        <v>300</v>
      </c>
      <c r="E188" s="42" t="s">
        <v>3</v>
      </c>
      <c r="F188" s="101">
        <f t="shared" si="11"/>
        <v>1700</v>
      </c>
      <c r="G188" s="42" t="s">
        <v>3</v>
      </c>
      <c r="H188" s="39">
        <v>2</v>
      </c>
      <c r="I188" s="40" t="s">
        <v>40</v>
      </c>
      <c r="J188" s="149">
        <v>70</v>
      </c>
      <c r="K188" s="104">
        <v>300</v>
      </c>
      <c r="L188" s="104">
        <v>1700</v>
      </c>
      <c r="M188" s="150">
        <v>14.130993124157857</v>
      </c>
      <c r="N188" s="66">
        <v>464.33725596969026</v>
      </c>
      <c r="O188" s="111">
        <v>22779.091017588806</v>
      </c>
      <c r="P188" s="111">
        <v>27743.080642710262</v>
      </c>
      <c r="Q188" s="110">
        <v>18030.523504795408</v>
      </c>
      <c r="R188" s="258">
        <v>40809.614522384218</v>
      </c>
      <c r="S188" s="259">
        <v>45773.60414750567</v>
      </c>
      <c r="U188" s="7" t="s">
        <v>1222</v>
      </c>
    </row>
    <row r="189" spans="1:21" s="65" customFormat="1" ht="16.5" thickBot="1">
      <c r="A189" s="41" t="s">
        <v>31</v>
      </c>
      <c r="B189" s="42">
        <f t="shared" si="9"/>
        <v>70</v>
      </c>
      <c r="C189" s="42" t="s">
        <v>3</v>
      </c>
      <c r="D189" s="42">
        <f t="shared" si="10"/>
        <v>300</v>
      </c>
      <c r="E189" s="42" t="s">
        <v>3</v>
      </c>
      <c r="F189" s="101">
        <f t="shared" si="11"/>
        <v>1750</v>
      </c>
      <c r="G189" s="42" t="s">
        <v>3</v>
      </c>
      <c r="H189" s="39">
        <v>2</v>
      </c>
      <c r="I189" s="40" t="s">
        <v>40</v>
      </c>
      <c r="J189" s="149">
        <v>70</v>
      </c>
      <c r="K189" s="104">
        <v>300</v>
      </c>
      <c r="L189" s="104">
        <v>1750</v>
      </c>
      <c r="M189" s="150">
        <v>14.517762618323571</v>
      </c>
      <c r="N189" s="66">
        <v>481.53493211671577</v>
      </c>
      <c r="O189" s="111">
        <v>23257.450979873771</v>
      </c>
      <c r="P189" s="111">
        <v>28353.267846827217</v>
      </c>
      <c r="Q189" s="110">
        <v>18558.399443698163</v>
      </c>
      <c r="R189" s="258">
        <v>41815.85042357193</v>
      </c>
      <c r="S189" s="259">
        <v>46911.66729052538</v>
      </c>
      <c r="U189" s="7" t="s">
        <v>1223</v>
      </c>
    </row>
    <row r="190" spans="1:21" s="65" customFormat="1" ht="16.5" thickBot="1">
      <c r="A190" s="41" t="s">
        <v>31</v>
      </c>
      <c r="B190" s="42">
        <f t="shared" si="9"/>
        <v>70</v>
      </c>
      <c r="C190" s="42" t="s">
        <v>3</v>
      </c>
      <c r="D190" s="42">
        <f t="shared" si="10"/>
        <v>300</v>
      </c>
      <c r="E190" s="42" t="s">
        <v>3</v>
      </c>
      <c r="F190" s="101">
        <f t="shared" si="11"/>
        <v>1800</v>
      </c>
      <c r="G190" s="42" t="s">
        <v>3</v>
      </c>
      <c r="H190" s="39">
        <v>2</v>
      </c>
      <c r="I190" s="40" t="s">
        <v>40</v>
      </c>
      <c r="J190" s="149">
        <v>70</v>
      </c>
      <c r="K190" s="104">
        <v>300</v>
      </c>
      <c r="L190" s="104">
        <v>1800</v>
      </c>
      <c r="M190" s="150">
        <v>14.904532112489289</v>
      </c>
      <c r="N190" s="66">
        <v>498.73260826374133</v>
      </c>
      <c r="O190" s="111">
        <v>23735.810942158732</v>
      </c>
      <c r="P190" s="111">
        <v>28963.454897915406</v>
      </c>
      <c r="Q190" s="110">
        <v>19086.275229572155</v>
      </c>
      <c r="R190" s="258">
        <v>42822.086171730887</v>
      </c>
      <c r="S190" s="259">
        <v>48049.730127487564</v>
      </c>
      <c r="U190" s="7" t="s">
        <v>1224</v>
      </c>
    </row>
    <row r="191" spans="1:21" s="65" customFormat="1" ht="16.5" thickBot="1">
      <c r="A191" s="41" t="s">
        <v>31</v>
      </c>
      <c r="B191" s="42">
        <f t="shared" si="9"/>
        <v>70</v>
      </c>
      <c r="C191" s="42" t="s">
        <v>3</v>
      </c>
      <c r="D191" s="42">
        <f t="shared" si="10"/>
        <v>300</v>
      </c>
      <c r="E191" s="42" t="s">
        <v>3</v>
      </c>
      <c r="F191" s="101">
        <f t="shared" si="11"/>
        <v>1850</v>
      </c>
      <c r="G191" s="42" t="s">
        <v>3</v>
      </c>
      <c r="H191" s="39">
        <v>2</v>
      </c>
      <c r="I191" s="40" t="s">
        <v>40</v>
      </c>
      <c r="J191" s="149">
        <v>70</v>
      </c>
      <c r="K191" s="104">
        <v>300</v>
      </c>
      <c r="L191" s="104">
        <v>1850</v>
      </c>
      <c r="M191" s="150">
        <v>15.291301606655001</v>
      </c>
      <c r="N191" s="66">
        <v>515.93028441076694</v>
      </c>
      <c r="O191" s="111">
        <v>24214.170904443698</v>
      </c>
      <c r="P191" s="111">
        <v>29573.642102032361</v>
      </c>
      <c r="Q191" s="110">
        <v>19614.151168474909</v>
      </c>
      <c r="R191" s="258">
        <v>43828.322072918607</v>
      </c>
      <c r="S191" s="259">
        <v>49187.793270507274</v>
      </c>
      <c r="U191" s="7" t="s">
        <v>1225</v>
      </c>
    </row>
    <row r="192" spans="1:21" s="65" customFormat="1" ht="16.5" thickBot="1">
      <c r="A192" s="41" t="s">
        <v>31</v>
      </c>
      <c r="B192" s="42">
        <f t="shared" si="9"/>
        <v>70</v>
      </c>
      <c r="C192" s="42" t="s">
        <v>3</v>
      </c>
      <c r="D192" s="42">
        <f t="shared" si="10"/>
        <v>300</v>
      </c>
      <c r="E192" s="42" t="s">
        <v>3</v>
      </c>
      <c r="F192" s="101">
        <f t="shared" si="11"/>
        <v>1900</v>
      </c>
      <c r="G192" s="42" t="s">
        <v>3</v>
      </c>
      <c r="H192" s="39">
        <v>2</v>
      </c>
      <c r="I192" s="40" t="s">
        <v>40</v>
      </c>
      <c r="J192" s="149">
        <v>70</v>
      </c>
      <c r="K192" s="104">
        <v>300</v>
      </c>
      <c r="L192" s="104">
        <v>1900</v>
      </c>
      <c r="M192" s="150">
        <v>15.678071100820716</v>
      </c>
      <c r="N192" s="66">
        <v>533.12796055779245</v>
      </c>
      <c r="O192" s="111">
        <v>24692.530866728659</v>
      </c>
      <c r="P192" s="111">
        <v>30183.829306149317</v>
      </c>
      <c r="Q192" s="110">
        <v>20142.026954348901</v>
      </c>
      <c r="R192" s="258">
        <v>44834.557821077557</v>
      </c>
      <c r="S192" s="259">
        <v>50325.856260498214</v>
      </c>
      <c r="U192" s="7" t="s">
        <v>1226</v>
      </c>
    </row>
    <row r="193" spans="1:21" s="65" customFormat="1" ht="16.5" thickBot="1">
      <c r="A193" s="41" t="s">
        <v>31</v>
      </c>
      <c r="B193" s="42">
        <f t="shared" si="9"/>
        <v>70</v>
      </c>
      <c r="C193" s="42" t="s">
        <v>3</v>
      </c>
      <c r="D193" s="42">
        <f t="shared" si="10"/>
        <v>300</v>
      </c>
      <c r="E193" s="42" t="s">
        <v>3</v>
      </c>
      <c r="F193" s="101">
        <f t="shared" si="11"/>
        <v>1950</v>
      </c>
      <c r="G193" s="42" t="s">
        <v>3</v>
      </c>
      <c r="H193" s="39">
        <v>2</v>
      </c>
      <c r="I193" s="40" t="s">
        <v>40</v>
      </c>
      <c r="J193" s="149">
        <v>70</v>
      </c>
      <c r="K193" s="104">
        <v>300</v>
      </c>
      <c r="L193" s="104">
        <v>1950</v>
      </c>
      <c r="M193" s="150">
        <v>16.104090594986427</v>
      </c>
      <c r="N193" s="66">
        <v>550.32563670481807</v>
      </c>
      <c r="O193" s="111">
        <v>25220.891141673037</v>
      </c>
      <c r="P193" s="111">
        <v>30842.492656425042</v>
      </c>
      <c r="Q193" s="110">
        <v>20669.902893251656</v>
      </c>
      <c r="R193" s="258">
        <v>45890.794034924693</v>
      </c>
      <c r="S193" s="259">
        <v>51512.395549676701</v>
      </c>
      <c r="U193" s="7" t="s">
        <v>1227</v>
      </c>
    </row>
    <row r="194" spans="1:21" s="65" customFormat="1" ht="16.5" thickBot="1">
      <c r="A194" s="41" t="s">
        <v>31</v>
      </c>
      <c r="B194" s="42">
        <f t="shared" si="9"/>
        <v>70</v>
      </c>
      <c r="C194" s="42" t="s">
        <v>3</v>
      </c>
      <c r="D194" s="42">
        <f t="shared" si="10"/>
        <v>300</v>
      </c>
      <c r="E194" s="42" t="s">
        <v>3</v>
      </c>
      <c r="F194" s="101">
        <f t="shared" si="11"/>
        <v>2000</v>
      </c>
      <c r="G194" s="42" t="s">
        <v>3</v>
      </c>
      <c r="H194" s="39">
        <v>2</v>
      </c>
      <c r="I194" s="40" t="s">
        <v>40</v>
      </c>
      <c r="J194" s="149">
        <v>70</v>
      </c>
      <c r="K194" s="104">
        <v>300</v>
      </c>
      <c r="L194" s="104">
        <v>2000</v>
      </c>
      <c r="M194" s="150">
        <v>16.582422489152144</v>
      </c>
      <c r="N194" s="66">
        <v>567.52331285184357</v>
      </c>
      <c r="O194" s="111">
        <v>25950.543005802596</v>
      </c>
      <c r="P194" s="111">
        <v>31781.108206879326</v>
      </c>
      <c r="Q194" s="110">
        <v>21197.778679125648</v>
      </c>
      <c r="R194" s="258">
        <v>47148.321684928247</v>
      </c>
      <c r="S194" s="259">
        <v>52978.88688600497</v>
      </c>
      <c r="U194" s="7" t="s">
        <v>1228</v>
      </c>
    </row>
    <row r="195" spans="1:21" s="65" customFormat="1" ht="16.5" thickBot="1">
      <c r="A195" s="41" t="s">
        <v>31</v>
      </c>
      <c r="B195" s="42">
        <f t="shared" si="9"/>
        <v>70</v>
      </c>
      <c r="C195" s="42" t="s">
        <v>3</v>
      </c>
      <c r="D195" s="42">
        <f t="shared" si="10"/>
        <v>300</v>
      </c>
      <c r="E195" s="42" t="s">
        <v>3</v>
      </c>
      <c r="F195" s="101">
        <f t="shared" si="11"/>
        <v>2050</v>
      </c>
      <c r="G195" s="42" t="s">
        <v>3</v>
      </c>
      <c r="H195" s="39">
        <v>2</v>
      </c>
      <c r="I195" s="40" t="s">
        <v>40</v>
      </c>
      <c r="J195" s="149">
        <v>70</v>
      </c>
      <c r="K195" s="104">
        <v>300</v>
      </c>
      <c r="L195" s="104">
        <v>2050</v>
      </c>
      <c r="M195" s="150">
        <v>16.969191983317856</v>
      </c>
      <c r="N195" s="66">
        <v>584.72098899886919</v>
      </c>
      <c r="O195" s="111">
        <v>26428.902968087557</v>
      </c>
      <c r="P195" s="111">
        <v>32391.295410996281</v>
      </c>
      <c r="Q195" s="110">
        <v>21725.654618028402</v>
      </c>
      <c r="R195" s="258">
        <v>48154.55758611596</v>
      </c>
      <c r="S195" s="259">
        <v>54116.95002902468</v>
      </c>
      <c r="U195" s="7" t="s">
        <v>1229</v>
      </c>
    </row>
    <row r="196" spans="1:21" s="65" customFormat="1" ht="16.5" thickBot="1">
      <c r="A196" s="38" t="s">
        <v>31</v>
      </c>
      <c r="B196" s="39">
        <f t="shared" si="9"/>
        <v>70</v>
      </c>
      <c r="C196" s="39" t="s">
        <v>3</v>
      </c>
      <c r="D196" s="39">
        <f t="shared" si="10"/>
        <v>300</v>
      </c>
      <c r="E196" s="39" t="s">
        <v>3</v>
      </c>
      <c r="F196" s="101">
        <f t="shared" si="11"/>
        <v>2100</v>
      </c>
      <c r="G196" s="39" t="s">
        <v>3</v>
      </c>
      <c r="H196" s="39">
        <v>2</v>
      </c>
      <c r="I196" s="40" t="s">
        <v>40</v>
      </c>
      <c r="J196" s="149">
        <v>70</v>
      </c>
      <c r="K196" s="104">
        <v>300</v>
      </c>
      <c r="L196" s="104">
        <v>2100</v>
      </c>
      <c r="M196" s="150">
        <v>17.355961477483572</v>
      </c>
      <c r="N196" s="66">
        <v>601.91866514589469</v>
      </c>
      <c r="O196" s="111">
        <v>26907.262930372519</v>
      </c>
      <c r="P196" s="111">
        <v>33001.482615113237</v>
      </c>
      <c r="Q196" s="110">
        <v>22253.53040390239</v>
      </c>
      <c r="R196" s="258">
        <v>49160.793334274909</v>
      </c>
      <c r="S196" s="259">
        <v>55255.013019015627</v>
      </c>
      <c r="U196" s="7" t="s">
        <v>1230</v>
      </c>
    </row>
    <row r="197" spans="1:21" s="65" customFormat="1" ht="16.5" thickBot="1">
      <c r="A197" s="41" t="s">
        <v>31</v>
      </c>
      <c r="B197" s="42">
        <f t="shared" si="9"/>
        <v>70</v>
      </c>
      <c r="C197" s="42" t="s">
        <v>3</v>
      </c>
      <c r="D197" s="42">
        <f t="shared" si="10"/>
        <v>300</v>
      </c>
      <c r="E197" s="42" t="s">
        <v>3</v>
      </c>
      <c r="F197" s="101">
        <f t="shared" si="11"/>
        <v>2150</v>
      </c>
      <c r="G197" s="42" t="s">
        <v>3</v>
      </c>
      <c r="H197" s="39">
        <v>2</v>
      </c>
      <c r="I197" s="40" t="s">
        <v>40</v>
      </c>
      <c r="J197" s="149">
        <v>70</v>
      </c>
      <c r="K197" s="104">
        <v>300</v>
      </c>
      <c r="L197" s="104">
        <v>2150</v>
      </c>
      <c r="M197" s="150">
        <v>17.742730971649287</v>
      </c>
      <c r="N197" s="66">
        <v>619.11634129292031</v>
      </c>
      <c r="O197" s="111">
        <v>27385.622892657488</v>
      </c>
      <c r="P197" s="111">
        <v>33611.669666201422</v>
      </c>
      <c r="Q197" s="110">
        <v>22781.406342805149</v>
      </c>
      <c r="R197" s="258">
        <v>50167.029235462636</v>
      </c>
      <c r="S197" s="259">
        <v>56393.076009006574</v>
      </c>
      <c r="U197" s="7" t="s">
        <v>1231</v>
      </c>
    </row>
    <row r="198" spans="1:21" s="65" customFormat="1" ht="16.5" thickBot="1">
      <c r="A198" s="41" t="s">
        <v>31</v>
      </c>
      <c r="B198" s="42">
        <f t="shared" si="9"/>
        <v>70</v>
      </c>
      <c r="C198" s="42" t="s">
        <v>3</v>
      </c>
      <c r="D198" s="42">
        <f t="shared" si="10"/>
        <v>300</v>
      </c>
      <c r="E198" s="42" t="s">
        <v>3</v>
      </c>
      <c r="F198" s="101">
        <f t="shared" si="11"/>
        <v>2200</v>
      </c>
      <c r="G198" s="42" t="s">
        <v>3</v>
      </c>
      <c r="H198" s="39">
        <v>2</v>
      </c>
      <c r="I198" s="40" t="s">
        <v>40</v>
      </c>
      <c r="J198" s="149">
        <v>70</v>
      </c>
      <c r="K198" s="104">
        <v>300</v>
      </c>
      <c r="L198" s="104">
        <v>2200</v>
      </c>
      <c r="M198" s="150">
        <v>18.129500465814999</v>
      </c>
      <c r="N198" s="66">
        <v>636.31401743994593</v>
      </c>
      <c r="O198" s="111">
        <v>27863.982854942449</v>
      </c>
      <c r="P198" s="111">
        <v>34221.856870318377</v>
      </c>
      <c r="Q198" s="110">
        <v>23309.282128679137</v>
      </c>
      <c r="R198" s="258">
        <v>51173.264983621586</v>
      </c>
      <c r="S198" s="259">
        <v>57531.138998997514</v>
      </c>
      <c r="U198" s="7" t="s">
        <v>1232</v>
      </c>
    </row>
    <row r="199" spans="1:21" s="65" customFormat="1" ht="16.5" thickBot="1">
      <c r="A199" s="41" t="s">
        <v>31</v>
      </c>
      <c r="B199" s="42">
        <f t="shared" si="9"/>
        <v>70</v>
      </c>
      <c r="C199" s="42" t="s">
        <v>3</v>
      </c>
      <c r="D199" s="42">
        <f t="shared" si="10"/>
        <v>300</v>
      </c>
      <c r="E199" s="42" t="s">
        <v>3</v>
      </c>
      <c r="F199" s="101">
        <f t="shared" si="11"/>
        <v>2250</v>
      </c>
      <c r="G199" s="42" t="s">
        <v>3</v>
      </c>
      <c r="H199" s="39">
        <v>2</v>
      </c>
      <c r="I199" s="40" t="s">
        <v>40</v>
      </c>
      <c r="J199" s="149">
        <v>70</v>
      </c>
      <c r="K199" s="104">
        <v>300</v>
      </c>
      <c r="L199" s="104">
        <v>2250</v>
      </c>
      <c r="M199" s="150">
        <v>18.516269959980718</v>
      </c>
      <c r="N199" s="66">
        <v>653.51169358697143</v>
      </c>
      <c r="O199" s="111">
        <v>28342.342817227411</v>
      </c>
      <c r="P199" s="111">
        <v>34832.04392140657</v>
      </c>
      <c r="Q199" s="110">
        <v>23837.158067581891</v>
      </c>
      <c r="R199" s="258">
        <v>52179.500884809298</v>
      </c>
      <c r="S199" s="259">
        <v>58669.201988988461</v>
      </c>
      <c r="U199" s="7" t="s">
        <v>1233</v>
      </c>
    </row>
    <row r="200" spans="1:21" s="65" customFormat="1" ht="16.5" thickBot="1">
      <c r="A200" s="41" t="s">
        <v>31</v>
      </c>
      <c r="B200" s="42">
        <f t="shared" si="9"/>
        <v>70</v>
      </c>
      <c r="C200" s="42" t="s">
        <v>3</v>
      </c>
      <c r="D200" s="42">
        <f t="shared" si="10"/>
        <v>300</v>
      </c>
      <c r="E200" s="42" t="s">
        <v>3</v>
      </c>
      <c r="F200" s="101">
        <f t="shared" si="11"/>
        <v>2300</v>
      </c>
      <c r="G200" s="42" t="s">
        <v>3</v>
      </c>
      <c r="H200" s="39">
        <v>2</v>
      </c>
      <c r="I200" s="40" t="s">
        <v>40</v>
      </c>
      <c r="J200" s="149">
        <v>70</v>
      </c>
      <c r="K200" s="104">
        <v>300</v>
      </c>
      <c r="L200" s="104">
        <v>2300</v>
      </c>
      <c r="M200" s="150">
        <v>18.90303945414643</v>
      </c>
      <c r="N200" s="66">
        <v>670.70936973399694</v>
      </c>
      <c r="O200" s="111">
        <v>28820.702779512372</v>
      </c>
      <c r="P200" s="111">
        <v>35442.231125523525</v>
      </c>
      <c r="Q200" s="110">
        <v>24365.03385345588</v>
      </c>
      <c r="R200" s="258">
        <v>53185.736632968255</v>
      </c>
      <c r="S200" s="259">
        <v>59807.264978979409</v>
      </c>
      <c r="U200" s="7" t="s">
        <v>1234</v>
      </c>
    </row>
    <row r="201" spans="1:21" s="65" customFormat="1" ht="16.5" thickBot="1">
      <c r="A201" s="41" t="s">
        <v>31</v>
      </c>
      <c r="B201" s="42">
        <f t="shared" si="9"/>
        <v>70</v>
      </c>
      <c r="C201" s="42" t="s">
        <v>3</v>
      </c>
      <c r="D201" s="42">
        <f t="shared" si="10"/>
        <v>300</v>
      </c>
      <c r="E201" s="42" t="s">
        <v>3</v>
      </c>
      <c r="F201" s="101">
        <f t="shared" si="11"/>
        <v>2350</v>
      </c>
      <c r="G201" s="42" t="s">
        <v>3</v>
      </c>
      <c r="H201" s="39">
        <v>2</v>
      </c>
      <c r="I201" s="40" t="s">
        <v>40</v>
      </c>
      <c r="J201" s="149">
        <v>70</v>
      </c>
      <c r="K201" s="104">
        <v>300</v>
      </c>
      <c r="L201" s="104">
        <v>2350</v>
      </c>
      <c r="M201" s="150">
        <v>19.289808948312142</v>
      </c>
      <c r="N201" s="66">
        <v>687.90704588102255</v>
      </c>
      <c r="O201" s="111">
        <v>29299.062741797341</v>
      </c>
      <c r="P201" s="111">
        <v>36052.418329640481</v>
      </c>
      <c r="Q201" s="110">
        <v>24892.909792358638</v>
      </c>
      <c r="R201" s="258">
        <v>54191.972534155982</v>
      </c>
      <c r="S201" s="259">
        <v>60945.328121999119</v>
      </c>
      <c r="U201" s="7" t="s">
        <v>1235</v>
      </c>
    </row>
    <row r="202" spans="1:21" s="65" customFormat="1" ht="16.5" thickBot="1">
      <c r="A202" s="41" t="s">
        <v>31</v>
      </c>
      <c r="B202" s="42">
        <f t="shared" si="9"/>
        <v>70</v>
      </c>
      <c r="C202" s="42" t="s">
        <v>3</v>
      </c>
      <c r="D202" s="42">
        <f t="shared" si="10"/>
        <v>300</v>
      </c>
      <c r="E202" s="42" t="s">
        <v>3</v>
      </c>
      <c r="F202" s="101">
        <f t="shared" si="11"/>
        <v>2400</v>
      </c>
      <c r="G202" s="42" t="s">
        <v>3</v>
      </c>
      <c r="H202" s="39">
        <v>2</v>
      </c>
      <c r="I202" s="40" t="s">
        <v>40</v>
      </c>
      <c r="J202" s="149">
        <v>70</v>
      </c>
      <c r="K202" s="104">
        <v>300</v>
      </c>
      <c r="L202" s="104">
        <v>2400</v>
      </c>
      <c r="M202" s="150">
        <v>19.676578442477858</v>
      </c>
      <c r="N202" s="66">
        <v>705.10472202804806</v>
      </c>
      <c r="O202" s="111">
        <v>29777.422704082303</v>
      </c>
      <c r="P202" s="111">
        <v>36662.605380728673</v>
      </c>
      <c r="Q202" s="110">
        <v>25420.78557823263</v>
      </c>
      <c r="R202" s="258">
        <v>55198.208282314932</v>
      </c>
      <c r="S202" s="259">
        <v>62083.390958961303</v>
      </c>
      <c r="U202" s="7" t="s">
        <v>1236</v>
      </c>
    </row>
    <row r="203" spans="1:21" s="65" customFormat="1" ht="16.5" thickBot="1">
      <c r="A203" s="41" t="s">
        <v>31</v>
      </c>
      <c r="B203" s="42">
        <f t="shared" si="9"/>
        <v>70</v>
      </c>
      <c r="C203" s="42" t="s">
        <v>3</v>
      </c>
      <c r="D203" s="42">
        <f t="shared" si="10"/>
        <v>300</v>
      </c>
      <c r="E203" s="42" t="s">
        <v>3</v>
      </c>
      <c r="F203" s="101">
        <f t="shared" si="11"/>
        <v>2450</v>
      </c>
      <c r="G203" s="42" t="s">
        <v>3</v>
      </c>
      <c r="H203" s="39">
        <v>2</v>
      </c>
      <c r="I203" s="40" t="s">
        <v>40</v>
      </c>
      <c r="J203" s="149">
        <v>70</v>
      </c>
      <c r="K203" s="104">
        <v>300</v>
      </c>
      <c r="L203" s="104">
        <v>2450</v>
      </c>
      <c r="M203" s="150">
        <v>20.207912829443572</v>
      </c>
      <c r="N203" s="66">
        <v>722.30239817507368</v>
      </c>
      <c r="O203" s="111">
        <v>30995.50826107624</v>
      </c>
      <c r="P203" s="111">
        <v>37920.716682442406</v>
      </c>
      <c r="Q203" s="110">
        <v>25948.661517135381</v>
      </c>
      <c r="R203" s="258">
        <v>56944.169778211624</v>
      </c>
      <c r="S203" s="259">
        <v>63869.378199577783</v>
      </c>
      <c r="U203" s="7" t="s">
        <v>1237</v>
      </c>
    </row>
    <row r="204" spans="1:21" s="65" customFormat="1" ht="16.5" thickBot="1">
      <c r="A204" s="41" t="s">
        <v>31</v>
      </c>
      <c r="B204" s="42">
        <f t="shared" si="9"/>
        <v>70</v>
      </c>
      <c r="C204" s="42" t="s">
        <v>3</v>
      </c>
      <c r="D204" s="42">
        <f t="shared" si="10"/>
        <v>300</v>
      </c>
      <c r="E204" s="42" t="s">
        <v>3</v>
      </c>
      <c r="F204" s="101">
        <f t="shared" si="11"/>
        <v>2500</v>
      </c>
      <c r="G204" s="42" t="s">
        <v>3</v>
      </c>
      <c r="H204" s="39">
        <v>2</v>
      </c>
      <c r="I204" s="40" t="s">
        <v>40</v>
      </c>
      <c r="J204" s="149">
        <v>70</v>
      </c>
      <c r="K204" s="104">
        <v>300</v>
      </c>
      <c r="L204" s="104">
        <v>2500</v>
      </c>
      <c r="M204" s="150">
        <v>20.594682323609284</v>
      </c>
      <c r="N204" s="66">
        <v>739.50007432209918</v>
      </c>
      <c r="O204" s="111">
        <v>31473.868223361202</v>
      </c>
      <c r="P204" s="111">
        <v>38530.903733530598</v>
      </c>
      <c r="Q204" s="110">
        <v>26476.537303009372</v>
      </c>
      <c r="R204" s="258">
        <v>57950.405526370574</v>
      </c>
      <c r="S204" s="259">
        <v>65007.441036539967</v>
      </c>
      <c r="U204" s="7" t="s">
        <v>1238</v>
      </c>
    </row>
    <row r="205" spans="1:21" s="65" customFormat="1" ht="16.5" thickBot="1">
      <c r="A205" s="41" t="s">
        <v>31</v>
      </c>
      <c r="B205" s="42">
        <f t="shared" si="9"/>
        <v>70</v>
      </c>
      <c r="C205" s="42" t="s">
        <v>3</v>
      </c>
      <c r="D205" s="42">
        <f t="shared" si="10"/>
        <v>300</v>
      </c>
      <c r="E205" s="42" t="s">
        <v>3</v>
      </c>
      <c r="F205" s="101">
        <f t="shared" si="11"/>
        <v>2550</v>
      </c>
      <c r="G205" s="42" t="s">
        <v>3</v>
      </c>
      <c r="H205" s="39">
        <v>2</v>
      </c>
      <c r="I205" s="40" t="s">
        <v>40</v>
      </c>
      <c r="J205" s="149">
        <v>70</v>
      </c>
      <c r="K205" s="104">
        <v>300</v>
      </c>
      <c r="L205" s="104">
        <v>2550</v>
      </c>
      <c r="M205" s="150">
        <v>20.981451817775</v>
      </c>
      <c r="N205" s="66">
        <v>756.69775046912491</v>
      </c>
      <c r="O205" s="111">
        <v>31952.228185646163</v>
      </c>
      <c r="P205" s="111">
        <v>39141.090937647554</v>
      </c>
      <c r="Q205" s="110">
        <v>27004.413241912127</v>
      </c>
      <c r="R205" s="258">
        <v>58956.641427558294</v>
      </c>
      <c r="S205" s="259">
        <v>66145.504179559677</v>
      </c>
      <c r="U205" s="7" t="s">
        <v>1239</v>
      </c>
    </row>
    <row r="206" spans="1:21" s="65" customFormat="1" ht="16.5" thickBot="1">
      <c r="A206" s="38" t="s">
        <v>31</v>
      </c>
      <c r="B206" s="39">
        <f t="shared" si="9"/>
        <v>70</v>
      </c>
      <c r="C206" s="39" t="s">
        <v>3</v>
      </c>
      <c r="D206" s="39">
        <f t="shared" si="10"/>
        <v>300</v>
      </c>
      <c r="E206" s="39" t="s">
        <v>3</v>
      </c>
      <c r="F206" s="101">
        <f t="shared" si="11"/>
        <v>2600</v>
      </c>
      <c r="G206" s="39" t="s">
        <v>3</v>
      </c>
      <c r="H206" s="39">
        <v>2</v>
      </c>
      <c r="I206" s="40" t="s">
        <v>40</v>
      </c>
      <c r="J206" s="149">
        <v>70</v>
      </c>
      <c r="K206" s="104">
        <v>300</v>
      </c>
      <c r="L206" s="104">
        <v>2600</v>
      </c>
      <c r="M206" s="150">
        <v>21.368221311940715</v>
      </c>
      <c r="N206" s="66">
        <v>773.89542661615042</v>
      </c>
      <c r="O206" s="111">
        <v>32430.588147931132</v>
      </c>
      <c r="P206" s="111">
        <v>39751.278141764509</v>
      </c>
      <c r="Q206" s="110">
        <v>27532.289027786119</v>
      </c>
      <c r="R206" s="258">
        <v>59962.877175717251</v>
      </c>
      <c r="S206" s="259">
        <v>67283.567169550632</v>
      </c>
      <c r="U206" s="7" t="s">
        <v>1240</v>
      </c>
    </row>
    <row r="207" spans="1:21" s="65" customFormat="1" ht="16.5" thickBot="1">
      <c r="A207" s="41" t="s">
        <v>31</v>
      </c>
      <c r="B207" s="42">
        <f t="shared" si="9"/>
        <v>70</v>
      </c>
      <c r="C207" s="42" t="s">
        <v>3</v>
      </c>
      <c r="D207" s="42">
        <f t="shared" si="10"/>
        <v>300</v>
      </c>
      <c r="E207" s="42" t="s">
        <v>3</v>
      </c>
      <c r="F207" s="101">
        <f t="shared" si="11"/>
        <v>2650</v>
      </c>
      <c r="G207" s="42" t="s">
        <v>3</v>
      </c>
      <c r="H207" s="39">
        <v>2</v>
      </c>
      <c r="I207" s="40" t="s">
        <v>40</v>
      </c>
      <c r="J207" s="149">
        <v>70</v>
      </c>
      <c r="K207" s="104">
        <v>300</v>
      </c>
      <c r="L207" s="104">
        <v>2650</v>
      </c>
      <c r="M207" s="150">
        <v>21.754990806106427</v>
      </c>
      <c r="N207" s="66">
        <v>791.09310276317592</v>
      </c>
      <c r="O207" s="111">
        <v>32908.948110216093</v>
      </c>
      <c r="P207" s="111">
        <v>40361.465192852702</v>
      </c>
      <c r="Q207" s="110">
        <v>28060.164966688873</v>
      </c>
      <c r="R207" s="258">
        <v>60969.113076904963</v>
      </c>
      <c r="S207" s="259">
        <v>68421.630159541572</v>
      </c>
      <c r="U207" s="7" t="s">
        <v>1241</v>
      </c>
    </row>
    <row r="208" spans="1:21" s="65" customFormat="1" ht="16.5" thickBot="1">
      <c r="A208" s="41" t="s">
        <v>31</v>
      </c>
      <c r="B208" s="42">
        <f t="shared" si="9"/>
        <v>70</v>
      </c>
      <c r="C208" s="42" t="s">
        <v>3</v>
      </c>
      <c r="D208" s="42">
        <f t="shared" si="10"/>
        <v>300</v>
      </c>
      <c r="E208" s="42" t="s">
        <v>3</v>
      </c>
      <c r="F208" s="101">
        <f t="shared" si="11"/>
        <v>2700</v>
      </c>
      <c r="G208" s="42" t="s">
        <v>3</v>
      </c>
      <c r="H208" s="39">
        <v>2</v>
      </c>
      <c r="I208" s="40" t="s">
        <v>40</v>
      </c>
      <c r="J208" s="149">
        <v>70</v>
      </c>
      <c r="K208" s="104">
        <v>300</v>
      </c>
      <c r="L208" s="104">
        <v>2700</v>
      </c>
      <c r="M208" s="150">
        <v>22.181010300272142</v>
      </c>
      <c r="N208" s="66">
        <v>808.29077891020154</v>
      </c>
      <c r="O208" s="111">
        <v>33437.308385160468</v>
      </c>
      <c r="P208" s="111">
        <v>41020.12854312842</v>
      </c>
      <c r="Q208" s="110">
        <v>28588.040752562865</v>
      </c>
      <c r="R208" s="258">
        <v>62025.349137723329</v>
      </c>
      <c r="S208" s="259">
        <v>69608.169295691288</v>
      </c>
      <c r="U208" s="7" t="s">
        <v>1242</v>
      </c>
    </row>
    <row r="209" spans="1:21" s="65" customFormat="1" ht="16.5" thickBot="1">
      <c r="A209" s="41" t="s">
        <v>31</v>
      </c>
      <c r="B209" s="42">
        <f t="shared" si="9"/>
        <v>70</v>
      </c>
      <c r="C209" s="42" t="s">
        <v>3</v>
      </c>
      <c r="D209" s="42">
        <f t="shared" si="10"/>
        <v>300</v>
      </c>
      <c r="E209" s="42" t="s">
        <v>3</v>
      </c>
      <c r="F209" s="101">
        <f t="shared" si="11"/>
        <v>2750</v>
      </c>
      <c r="G209" s="42" t="s">
        <v>3</v>
      </c>
      <c r="H209" s="39">
        <v>2</v>
      </c>
      <c r="I209" s="40" t="s">
        <v>40</v>
      </c>
      <c r="J209" s="149">
        <v>70</v>
      </c>
      <c r="K209" s="104">
        <v>300</v>
      </c>
      <c r="L209" s="104">
        <v>2750</v>
      </c>
      <c r="M209" s="150">
        <v>22.567779794437858</v>
      </c>
      <c r="N209" s="66">
        <v>825.48845505722704</v>
      </c>
      <c r="O209" s="111">
        <v>33915.668347445433</v>
      </c>
      <c r="P209" s="111">
        <v>41630.315747245375</v>
      </c>
      <c r="Q209" s="110">
        <v>29115.916691465467</v>
      </c>
      <c r="R209" s="258">
        <v>63031.585038910896</v>
      </c>
      <c r="S209" s="259">
        <v>70746.232438710838</v>
      </c>
      <c r="U209" s="7" t="s">
        <v>1243</v>
      </c>
    </row>
    <row r="210" spans="1:21" s="65" customFormat="1" ht="16.5" thickBot="1">
      <c r="A210" s="41" t="s">
        <v>31</v>
      </c>
      <c r="B210" s="42">
        <f t="shared" si="9"/>
        <v>70</v>
      </c>
      <c r="C210" s="42" t="s">
        <v>3</v>
      </c>
      <c r="D210" s="42">
        <f t="shared" si="10"/>
        <v>300</v>
      </c>
      <c r="E210" s="42" t="s">
        <v>3</v>
      </c>
      <c r="F210" s="101">
        <f t="shared" si="11"/>
        <v>2800</v>
      </c>
      <c r="G210" s="42" t="s">
        <v>3</v>
      </c>
      <c r="H210" s="39">
        <v>2</v>
      </c>
      <c r="I210" s="40" t="s">
        <v>40</v>
      </c>
      <c r="J210" s="149">
        <v>70</v>
      </c>
      <c r="K210" s="104">
        <v>300</v>
      </c>
      <c r="L210" s="104">
        <v>2800</v>
      </c>
      <c r="M210" s="150">
        <v>22.954549288603573</v>
      </c>
      <c r="N210" s="66">
        <v>842.68613120425266</v>
      </c>
      <c r="O210" s="111">
        <v>34394.028309730398</v>
      </c>
      <c r="P210" s="111">
        <v>42240.50295136233</v>
      </c>
      <c r="Q210" s="110">
        <v>29643.792630368374</v>
      </c>
      <c r="R210" s="258">
        <v>64037.820940098769</v>
      </c>
      <c r="S210" s="259">
        <v>71884.295581730708</v>
      </c>
      <c r="U210" s="7" t="s">
        <v>1244</v>
      </c>
    </row>
    <row r="211" spans="1:21" s="65" customFormat="1" ht="16.5" thickBot="1">
      <c r="A211" s="41" t="s">
        <v>31</v>
      </c>
      <c r="B211" s="42">
        <f t="shared" si="9"/>
        <v>70</v>
      </c>
      <c r="C211" s="42" t="s">
        <v>3</v>
      </c>
      <c r="D211" s="42">
        <f t="shared" si="10"/>
        <v>300</v>
      </c>
      <c r="E211" s="42" t="s">
        <v>3</v>
      </c>
      <c r="F211" s="101">
        <f t="shared" si="11"/>
        <v>2850</v>
      </c>
      <c r="G211" s="42" t="s">
        <v>3</v>
      </c>
      <c r="H211" s="39">
        <v>2</v>
      </c>
      <c r="I211" s="40" t="s">
        <v>40</v>
      </c>
      <c r="J211" s="149">
        <v>70</v>
      </c>
      <c r="K211" s="104">
        <v>300</v>
      </c>
      <c r="L211" s="104">
        <v>2850</v>
      </c>
      <c r="M211" s="150">
        <v>23.341318782769285</v>
      </c>
      <c r="N211" s="66">
        <v>859.88380735127816</v>
      </c>
      <c r="O211" s="111">
        <v>34872.388272015363</v>
      </c>
      <c r="P211" s="111">
        <v>42850.690002450523</v>
      </c>
      <c r="Q211" s="110">
        <v>30171.668416242363</v>
      </c>
      <c r="R211" s="258">
        <v>65044.056688257726</v>
      </c>
      <c r="S211" s="259">
        <v>73022.358418692893</v>
      </c>
      <c r="U211" s="7" t="s">
        <v>1245</v>
      </c>
    </row>
    <row r="212" spans="1:21" s="65" customFormat="1" ht="16.5" thickBot="1">
      <c r="A212" s="41" t="s">
        <v>31</v>
      </c>
      <c r="B212" s="42">
        <f t="shared" si="9"/>
        <v>70</v>
      </c>
      <c r="C212" s="42" t="s">
        <v>3</v>
      </c>
      <c r="D212" s="42">
        <f t="shared" si="10"/>
        <v>300</v>
      </c>
      <c r="E212" s="42" t="s">
        <v>3</v>
      </c>
      <c r="F212" s="101">
        <f t="shared" si="11"/>
        <v>2900</v>
      </c>
      <c r="G212" s="42" t="s">
        <v>3</v>
      </c>
      <c r="H212" s="39">
        <v>2</v>
      </c>
      <c r="I212" s="40" t="s">
        <v>40</v>
      </c>
      <c r="J212" s="149">
        <v>70</v>
      </c>
      <c r="K212" s="104">
        <v>300</v>
      </c>
      <c r="L212" s="104">
        <v>2900</v>
      </c>
      <c r="M212" s="150">
        <v>23.728088276935001</v>
      </c>
      <c r="N212" s="66">
        <v>877.08148349830367</v>
      </c>
      <c r="O212" s="111">
        <v>35350.748234300321</v>
      </c>
      <c r="P212" s="111">
        <v>43460.877206567478</v>
      </c>
      <c r="Q212" s="110">
        <v>30699.544355145121</v>
      </c>
      <c r="R212" s="258">
        <v>66050.292589445438</v>
      </c>
      <c r="S212" s="259">
        <v>74160.421561712603</v>
      </c>
      <c r="U212" s="7" t="s">
        <v>1246</v>
      </c>
    </row>
    <row r="213" spans="1:21" s="65" customFormat="1" ht="16.5" thickBot="1">
      <c r="A213" s="41" t="s">
        <v>31</v>
      </c>
      <c r="B213" s="42">
        <f t="shared" si="9"/>
        <v>70</v>
      </c>
      <c r="C213" s="42" t="s">
        <v>3</v>
      </c>
      <c r="D213" s="42">
        <f t="shared" si="10"/>
        <v>300</v>
      </c>
      <c r="E213" s="42" t="s">
        <v>3</v>
      </c>
      <c r="F213" s="101">
        <f t="shared" si="11"/>
        <v>2950</v>
      </c>
      <c r="G213" s="42" t="s">
        <v>3</v>
      </c>
      <c r="H213" s="39">
        <v>2</v>
      </c>
      <c r="I213" s="40" t="s">
        <v>40</v>
      </c>
      <c r="J213" s="149">
        <v>70</v>
      </c>
      <c r="K213" s="104">
        <v>300</v>
      </c>
      <c r="L213" s="104">
        <v>2950</v>
      </c>
      <c r="M213" s="150">
        <v>24.114857771100716</v>
      </c>
      <c r="N213" s="66">
        <v>894.2791596453294</v>
      </c>
      <c r="O213" s="111">
        <v>35829.108196585286</v>
      </c>
      <c r="P213" s="111">
        <v>44071.064410684434</v>
      </c>
      <c r="Q213" s="110">
        <v>31227.420141019105</v>
      </c>
      <c r="R213" s="258">
        <v>67056.528337604395</v>
      </c>
      <c r="S213" s="259">
        <v>75298.484551703543</v>
      </c>
      <c r="U213" s="7" t="s">
        <v>1247</v>
      </c>
    </row>
    <row r="214" spans="1:21" s="65" customFormat="1" ht="16.5" thickBot="1">
      <c r="A214" s="43" t="s">
        <v>31</v>
      </c>
      <c r="B214" s="44">
        <f t="shared" si="9"/>
        <v>70</v>
      </c>
      <c r="C214" s="44" t="s">
        <v>3</v>
      </c>
      <c r="D214" s="44">
        <f t="shared" si="10"/>
        <v>300</v>
      </c>
      <c r="E214" s="44" t="s">
        <v>3</v>
      </c>
      <c r="F214" s="102">
        <f t="shared" si="11"/>
        <v>3000</v>
      </c>
      <c r="G214" s="44" t="s">
        <v>3</v>
      </c>
      <c r="H214" s="46">
        <v>2</v>
      </c>
      <c r="I214" s="45" t="s">
        <v>40</v>
      </c>
      <c r="J214" s="149">
        <v>70</v>
      </c>
      <c r="K214" s="134">
        <v>300</v>
      </c>
      <c r="L214" s="134">
        <v>3000</v>
      </c>
      <c r="M214" s="152">
        <v>24.501627265266428</v>
      </c>
      <c r="N214" s="126">
        <v>911.4768357923549</v>
      </c>
      <c r="O214" s="135">
        <v>36307.468158870252</v>
      </c>
      <c r="P214" s="135">
        <v>44681.251461772619</v>
      </c>
      <c r="Q214" s="136">
        <v>31755.296079921864</v>
      </c>
      <c r="R214" s="260">
        <v>68062.764238792122</v>
      </c>
      <c r="S214" s="261">
        <v>76436.547541694483</v>
      </c>
      <c r="U214" s="7" t="s">
        <v>1248</v>
      </c>
    </row>
    <row r="215" spans="1:21" s="65" customFormat="1" ht="16.5" thickBot="1">
      <c r="A215" s="2974" t="s">
        <v>113</v>
      </c>
      <c r="B215" s="2975"/>
      <c r="C215" s="2975"/>
      <c r="D215" s="2975"/>
      <c r="E215" s="2975"/>
      <c r="F215" s="2975"/>
      <c r="G215" s="2975"/>
      <c r="H215" s="2975"/>
      <c r="I215" s="2975"/>
      <c r="J215" s="2975"/>
      <c r="K215" s="2975"/>
      <c r="L215" s="2975"/>
      <c r="M215" s="2975"/>
      <c r="N215" s="2975"/>
      <c r="O215" s="2975"/>
      <c r="P215" s="2975"/>
      <c r="Q215" s="2975"/>
      <c r="R215" s="2975"/>
      <c r="S215" s="2976"/>
      <c r="U215" s="7"/>
    </row>
    <row r="216" spans="1:21" s="65" customFormat="1" ht="16.5" thickBot="1">
      <c r="A216" s="38" t="s">
        <v>31</v>
      </c>
      <c r="B216" s="39">
        <f>J216</f>
        <v>70</v>
      </c>
      <c r="C216" s="39" t="s">
        <v>3</v>
      </c>
      <c r="D216" s="39">
        <f>K216</f>
        <v>300</v>
      </c>
      <c r="E216" s="39" t="s">
        <v>3</v>
      </c>
      <c r="F216" s="101">
        <f>L216</f>
        <v>600</v>
      </c>
      <c r="G216" s="39" t="s">
        <v>3</v>
      </c>
      <c r="H216" s="39">
        <v>4</v>
      </c>
      <c r="I216" s="40" t="s">
        <v>40</v>
      </c>
      <c r="J216" s="146">
        <v>70</v>
      </c>
      <c r="K216" s="138">
        <v>300</v>
      </c>
      <c r="L216" s="138">
        <v>600</v>
      </c>
      <c r="M216" s="147">
        <v>5.9457631473671437</v>
      </c>
      <c r="N216" s="122">
        <v>109.37441183667599</v>
      </c>
      <c r="O216" s="148">
        <v>14026.906753896179</v>
      </c>
      <c r="P216" s="148">
        <v>16129.937306782229</v>
      </c>
      <c r="Q216" s="139">
        <v>6417.2545322512115</v>
      </c>
      <c r="R216" s="256">
        <v>20444.161286147391</v>
      </c>
      <c r="S216" s="257">
        <v>22547.191839033439</v>
      </c>
      <c r="U216" s="7" t="s">
        <v>1249</v>
      </c>
    </row>
    <row r="217" spans="1:21" s="65" customFormat="1" ht="16.5" thickBot="1">
      <c r="A217" s="41" t="s">
        <v>31</v>
      </c>
      <c r="B217" s="42">
        <f t="shared" ref="B217:B264" si="12">J217</f>
        <v>70</v>
      </c>
      <c r="C217" s="42" t="s">
        <v>3</v>
      </c>
      <c r="D217" s="42">
        <f t="shared" ref="D217:D264" si="13">K217</f>
        <v>300</v>
      </c>
      <c r="E217" s="42" t="s">
        <v>3</v>
      </c>
      <c r="F217" s="101">
        <f t="shared" ref="F217:F264" si="14">L217</f>
        <v>650</v>
      </c>
      <c r="G217" s="42" t="s">
        <v>3</v>
      </c>
      <c r="H217" s="39">
        <v>4</v>
      </c>
      <c r="I217" s="40" t="s">
        <v>40</v>
      </c>
      <c r="J217" s="149">
        <v>70</v>
      </c>
      <c r="K217" s="104">
        <v>300</v>
      </c>
      <c r="L217" s="104">
        <v>650</v>
      </c>
      <c r="M217" s="150">
        <v>6.3991550314128567</v>
      </c>
      <c r="N217" s="66">
        <v>131.24929420401119</v>
      </c>
      <c r="O217" s="111">
        <v>14731.866355571463</v>
      </c>
      <c r="P217" s="111">
        <v>16961.816211734418</v>
      </c>
      <c r="Q217" s="110">
        <v>6945.130471153966</v>
      </c>
      <c r="R217" s="258">
        <v>21676.99682672543</v>
      </c>
      <c r="S217" s="259">
        <v>23906.946682888385</v>
      </c>
      <c r="U217" s="7" t="s">
        <v>1250</v>
      </c>
    </row>
    <row r="218" spans="1:21" s="65" customFormat="1" ht="16.5" thickBot="1">
      <c r="A218" s="41" t="s">
        <v>31</v>
      </c>
      <c r="B218" s="42">
        <f t="shared" si="12"/>
        <v>70</v>
      </c>
      <c r="C218" s="42" t="s">
        <v>3</v>
      </c>
      <c r="D218" s="42">
        <f t="shared" si="13"/>
        <v>300</v>
      </c>
      <c r="E218" s="42" t="s">
        <v>3</v>
      </c>
      <c r="F218" s="101">
        <f t="shared" si="14"/>
        <v>700</v>
      </c>
      <c r="G218" s="42" t="s">
        <v>3</v>
      </c>
      <c r="H218" s="39">
        <v>4</v>
      </c>
      <c r="I218" s="40" t="s">
        <v>40</v>
      </c>
      <c r="J218" s="149">
        <v>70</v>
      </c>
      <c r="K218" s="104">
        <v>300</v>
      </c>
      <c r="L218" s="104">
        <v>700</v>
      </c>
      <c r="M218" s="150">
        <v>6.8525469154585714</v>
      </c>
      <c r="N218" s="66">
        <v>153.12417657134637</v>
      </c>
      <c r="O218" s="111">
        <v>15436.825804217984</v>
      </c>
      <c r="P218" s="111">
        <v>17793.695116686606</v>
      </c>
      <c r="Q218" s="110">
        <v>7473.0062570279561</v>
      </c>
      <c r="R218" s="258">
        <v>22909.832061245939</v>
      </c>
      <c r="S218" s="259">
        <v>25266.701373714561</v>
      </c>
      <c r="U218" s="7" t="s">
        <v>1251</v>
      </c>
    </row>
    <row r="219" spans="1:21" s="65" customFormat="1" ht="16.5" thickBot="1">
      <c r="A219" s="41" t="s">
        <v>31</v>
      </c>
      <c r="B219" s="42">
        <f t="shared" si="12"/>
        <v>70</v>
      </c>
      <c r="C219" s="42" t="s">
        <v>3</v>
      </c>
      <c r="D219" s="42">
        <f t="shared" si="13"/>
        <v>300</v>
      </c>
      <c r="E219" s="42" t="s">
        <v>3</v>
      </c>
      <c r="F219" s="101">
        <f t="shared" si="14"/>
        <v>750</v>
      </c>
      <c r="G219" s="42" t="s">
        <v>3</v>
      </c>
      <c r="H219" s="39">
        <v>4</v>
      </c>
      <c r="I219" s="40" t="s">
        <v>40</v>
      </c>
      <c r="J219" s="149">
        <v>70</v>
      </c>
      <c r="K219" s="104">
        <v>300</v>
      </c>
      <c r="L219" s="104">
        <v>750</v>
      </c>
      <c r="M219" s="150">
        <v>7.3059387995042844</v>
      </c>
      <c r="N219" s="66">
        <v>174.9990589386816</v>
      </c>
      <c r="O219" s="111">
        <v>16141.785405893268</v>
      </c>
      <c r="P219" s="111">
        <v>18625.573868610027</v>
      </c>
      <c r="Q219" s="110">
        <v>8000.8821959307124</v>
      </c>
      <c r="R219" s="258">
        <v>24142.667601823981</v>
      </c>
      <c r="S219" s="259">
        <v>26626.45606454074</v>
      </c>
      <c r="U219" s="7" t="s">
        <v>1252</v>
      </c>
    </row>
    <row r="220" spans="1:21" s="65" customFormat="1" ht="16.5" thickBot="1">
      <c r="A220" s="41" t="s">
        <v>31</v>
      </c>
      <c r="B220" s="42">
        <f t="shared" si="12"/>
        <v>70</v>
      </c>
      <c r="C220" s="42" t="s">
        <v>3</v>
      </c>
      <c r="D220" s="42">
        <f t="shared" si="13"/>
        <v>300</v>
      </c>
      <c r="E220" s="42" t="s">
        <v>3</v>
      </c>
      <c r="F220" s="101">
        <f t="shared" si="14"/>
        <v>800</v>
      </c>
      <c r="G220" s="42" t="s">
        <v>3</v>
      </c>
      <c r="H220" s="39">
        <v>4</v>
      </c>
      <c r="I220" s="40" t="s">
        <v>40</v>
      </c>
      <c r="J220" s="149">
        <v>70</v>
      </c>
      <c r="K220" s="104">
        <v>300</v>
      </c>
      <c r="L220" s="104">
        <v>800</v>
      </c>
      <c r="M220" s="150">
        <v>7.7593306835499991</v>
      </c>
      <c r="N220" s="66">
        <v>196.87394130601677</v>
      </c>
      <c r="O220" s="111">
        <v>16846.745007568552</v>
      </c>
      <c r="P220" s="111">
        <v>19457.452773562214</v>
      </c>
      <c r="Q220" s="110">
        <v>8528.7579818047016</v>
      </c>
      <c r="R220" s="258">
        <v>25375.502989373254</v>
      </c>
      <c r="S220" s="259">
        <v>27986.210755366916</v>
      </c>
      <c r="U220" s="7" t="s">
        <v>1253</v>
      </c>
    </row>
    <row r="221" spans="1:21" s="65" customFormat="1" ht="16.5" thickBot="1">
      <c r="A221" s="41" t="s">
        <v>31</v>
      </c>
      <c r="B221" s="42">
        <f t="shared" si="12"/>
        <v>70</v>
      </c>
      <c r="C221" s="42" t="s">
        <v>3</v>
      </c>
      <c r="D221" s="42">
        <f t="shared" si="13"/>
        <v>300</v>
      </c>
      <c r="E221" s="42" t="s">
        <v>3</v>
      </c>
      <c r="F221" s="101">
        <f t="shared" si="14"/>
        <v>850</v>
      </c>
      <c r="G221" s="42" t="s">
        <v>3</v>
      </c>
      <c r="H221" s="39">
        <v>4</v>
      </c>
      <c r="I221" s="40" t="s">
        <v>40</v>
      </c>
      <c r="J221" s="149">
        <v>70</v>
      </c>
      <c r="K221" s="104">
        <v>300</v>
      </c>
      <c r="L221" s="104">
        <v>850</v>
      </c>
      <c r="M221" s="150">
        <v>8.2127225675957138</v>
      </c>
      <c r="N221" s="66">
        <v>218.74882367335198</v>
      </c>
      <c r="O221" s="111">
        <v>17551.704609243836</v>
      </c>
      <c r="P221" s="111">
        <v>20289.331678514402</v>
      </c>
      <c r="Q221" s="110">
        <v>9056.6339207074561</v>
      </c>
      <c r="R221" s="258">
        <v>26608.338529951292</v>
      </c>
      <c r="S221" s="259">
        <v>29345.965599221858</v>
      </c>
      <c r="U221" s="7" t="s">
        <v>1254</v>
      </c>
    </row>
    <row r="222" spans="1:21" s="65" customFormat="1" ht="16.5" thickBot="1">
      <c r="A222" s="41" t="s">
        <v>31</v>
      </c>
      <c r="B222" s="42">
        <f t="shared" si="12"/>
        <v>70</v>
      </c>
      <c r="C222" s="42" t="s">
        <v>3</v>
      </c>
      <c r="D222" s="42">
        <f t="shared" si="13"/>
        <v>300</v>
      </c>
      <c r="E222" s="42" t="s">
        <v>3</v>
      </c>
      <c r="F222" s="101">
        <f t="shared" si="14"/>
        <v>900</v>
      </c>
      <c r="G222" s="42" t="s">
        <v>3</v>
      </c>
      <c r="H222" s="39">
        <v>4</v>
      </c>
      <c r="I222" s="40" t="s">
        <v>40</v>
      </c>
      <c r="J222" s="149">
        <v>70</v>
      </c>
      <c r="K222" s="104">
        <v>300</v>
      </c>
      <c r="L222" s="104">
        <v>900</v>
      </c>
      <c r="M222" s="150">
        <v>8.6661144516414303</v>
      </c>
      <c r="N222" s="66">
        <v>240.62370604068718</v>
      </c>
      <c r="O222" s="111">
        <v>18256.664057890353</v>
      </c>
      <c r="P222" s="111">
        <v>21121.210583466585</v>
      </c>
      <c r="Q222" s="110">
        <v>9584.509706581448</v>
      </c>
      <c r="R222" s="258">
        <v>27841.173764471801</v>
      </c>
      <c r="S222" s="259">
        <v>30705.720290048033</v>
      </c>
      <c r="U222" s="7" t="s">
        <v>1255</v>
      </c>
    </row>
    <row r="223" spans="1:21" s="65" customFormat="1" ht="16.5" thickBot="1">
      <c r="A223" s="41" t="s">
        <v>31</v>
      </c>
      <c r="B223" s="42">
        <f t="shared" si="12"/>
        <v>70</v>
      </c>
      <c r="C223" s="42" t="s">
        <v>3</v>
      </c>
      <c r="D223" s="42">
        <f t="shared" si="13"/>
        <v>300</v>
      </c>
      <c r="E223" s="42" t="s">
        <v>3</v>
      </c>
      <c r="F223" s="101">
        <f t="shared" si="14"/>
        <v>950</v>
      </c>
      <c r="G223" s="42" t="s">
        <v>3</v>
      </c>
      <c r="H223" s="39">
        <v>4</v>
      </c>
      <c r="I223" s="40" t="s">
        <v>40</v>
      </c>
      <c r="J223" s="149">
        <v>70</v>
      </c>
      <c r="K223" s="104">
        <v>300</v>
      </c>
      <c r="L223" s="104">
        <v>950</v>
      </c>
      <c r="M223" s="150">
        <v>9.1195063356871415</v>
      </c>
      <c r="N223" s="66">
        <v>262.49858840802239</v>
      </c>
      <c r="O223" s="111">
        <v>18961.623659565637</v>
      </c>
      <c r="P223" s="111">
        <v>21953.089488418773</v>
      </c>
      <c r="Q223" s="110">
        <v>10112.385645484203</v>
      </c>
      <c r="R223" s="258">
        <v>29074.00930504984</v>
      </c>
      <c r="S223" s="259">
        <v>32065.475133902975</v>
      </c>
      <c r="U223" s="7" t="s">
        <v>1256</v>
      </c>
    </row>
    <row r="224" spans="1:21" s="65" customFormat="1" ht="16.5" thickBot="1">
      <c r="A224" s="41" t="s">
        <v>31</v>
      </c>
      <c r="B224" s="42">
        <f t="shared" si="12"/>
        <v>70</v>
      </c>
      <c r="C224" s="42" t="s">
        <v>3</v>
      </c>
      <c r="D224" s="42">
        <f t="shared" si="13"/>
        <v>300</v>
      </c>
      <c r="E224" s="42" t="s">
        <v>3</v>
      </c>
      <c r="F224" s="101">
        <f t="shared" si="14"/>
        <v>1000</v>
      </c>
      <c r="G224" s="42" t="s">
        <v>3</v>
      </c>
      <c r="H224" s="39">
        <v>4</v>
      </c>
      <c r="I224" s="40" t="s">
        <v>40</v>
      </c>
      <c r="J224" s="149">
        <v>70</v>
      </c>
      <c r="K224" s="104">
        <v>300</v>
      </c>
      <c r="L224" s="104">
        <v>1000</v>
      </c>
      <c r="M224" s="150">
        <v>9.5728982197328563</v>
      </c>
      <c r="N224" s="66">
        <v>284.37347077535759</v>
      </c>
      <c r="O224" s="111">
        <v>19666.583261240925</v>
      </c>
      <c r="P224" s="111">
        <v>22784.96839337096</v>
      </c>
      <c r="Q224" s="110">
        <v>10640.261431358193</v>
      </c>
      <c r="R224" s="258">
        <v>30306.844692599116</v>
      </c>
      <c r="S224" s="259">
        <v>33425.229824729155</v>
      </c>
      <c r="U224" s="7" t="s">
        <v>1257</v>
      </c>
    </row>
    <row r="225" spans="1:21" s="65" customFormat="1" ht="16.5" thickBot="1">
      <c r="A225" s="41" t="s">
        <v>31</v>
      </c>
      <c r="B225" s="42">
        <f t="shared" si="12"/>
        <v>70</v>
      </c>
      <c r="C225" s="42" t="s">
        <v>3</v>
      </c>
      <c r="D225" s="42">
        <f t="shared" si="13"/>
        <v>300</v>
      </c>
      <c r="E225" s="42" t="s">
        <v>3</v>
      </c>
      <c r="F225" s="101">
        <f t="shared" si="14"/>
        <v>1050</v>
      </c>
      <c r="G225" s="42" t="s">
        <v>3</v>
      </c>
      <c r="H225" s="39">
        <v>4</v>
      </c>
      <c r="I225" s="40" t="s">
        <v>40</v>
      </c>
      <c r="J225" s="149">
        <v>70</v>
      </c>
      <c r="K225" s="104">
        <v>300</v>
      </c>
      <c r="L225" s="104">
        <v>1050</v>
      </c>
      <c r="M225" s="150">
        <v>10.026290103778571</v>
      </c>
      <c r="N225" s="66">
        <v>306.24835314269274</v>
      </c>
      <c r="O225" s="111">
        <v>20371.542862916209</v>
      </c>
      <c r="P225" s="111">
        <v>23616.847298323148</v>
      </c>
      <c r="Q225" s="110">
        <v>11168.137370260947</v>
      </c>
      <c r="R225" s="258">
        <v>31539.680233177154</v>
      </c>
      <c r="S225" s="259">
        <v>34784.984668584097</v>
      </c>
      <c r="U225" s="7" t="s">
        <v>1258</v>
      </c>
    </row>
    <row r="226" spans="1:21" s="65" customFormat="1" ht="16.5" thickBot="1">
      <c r="A226" s="38" t="s">
        <v>31</v>
      </c>
      <c r="B226" s="39">
        <f t="shared" si="12"/>
        <v>70</v>
      </c>
      <c r="C226" s="39" t="s">
        <v>3</v>
      </c>
      <c r="D226" s="39">
        <f t="shared" si="13"/>
        <v>300</v>
      </c>
      <c r="E226" s="39" t="s">
        <v>3</v>
      </c>
      <c r="F226" s="101">
        <f t="shared" si="14"/>
        <v>1100</v>
      </c>
      <c r="G226" s="39" t="s">
        <v>3</v>
      </c>
      <c r="H226" s="39">
        <v>4</v>
      </c>
      <c r="I226" s="40" t="s">
        <v>40</v>
      </c>
      <c r="J226" s="149">
        <v>70</v>
      </c>
      <c r="K226" s="104">
        <v>300</v>
      </c>
      <c r="L226" s="104">
        <v>1100</v>
      </c>
      <c r="M226" s="150">
        <v>10.479681987824286</v>
      </c>
      <c r="N226" s="66">
        <v>328.12323551002794</v>
      </c>
      <c r="O226" s="111">
        <v>21076.502464591493</v>
      </c>
      <c r="P226" s="111">
        <v>24448.726050246569</v>
      </c>
      <c r="Q226" s="110">
        <v>11696.013156134937</v>
      </c>
      <c r="R226" s="258">
        <v>32772.51562072643</v>
      </c>
      <c r="S226" s="259">
        <v>36144.739206381506</v>
      </c>
      <c r="U226" s="7" t="s">
        <v>1259</v>
      </c>
    </row>
    <row r="227" spans="1:21" s="65" customFormat="1" ht="16.5" thickBot="1">
      <c r="A227" s="41" t="s">
        <v>31</v>
      </c>
      <c r="B227" s="42">
        <f t="shared" si="12"/>
        <v>70</v>
      </c>
      <c r="C227" s="42" t="s">
        <v>3</v>
      </c>
      <c r="D227" s="42">
        <f t="shared" si="13"/>
        <v>300</v>
      </c>
      <c r="E227" s="42" t="s">
        <v>3</v>
      </c>
      <c r="F227" s="101">
        <f t="shared" si="14"/>
        <v>1150</v>
      </c>
      <c r="G227" s="42" t="s">
        <v>3</v>
      </c>
      <c r="H227" s="39">
        <v>4</v>
      </c>
      <c r="I227" s="40" t="s">
        <v>40</v>
      </c>
      <c r="J227" s="149">
        <v>70</v>
      </c>
      <c r="K227" s="104">
        <v>300</v>
      </c>
      <c r="L227" s="104">
        <v>1150</v>
      </c>
      <c r="M227" s="150">
        <v>10.933073871869999</v>
      </c>
      <c r="N227" s="66">
        <v>349.9981178773632</v>
      </c>
      <c r="O227" s="111">
        <v>21781.46191323801</v>
      </c>
      <c r="P227" s="111">
        <v>25280.604955198756</v>
      </c>
      <c r="Q227" s="110">
        <v>12223.889095037694</v>
      </c>
      <c r="R227" s="258">
        <v>34005.351008275706</v>
      </c>
      <c r="S227" s="259">
        <v>37504.494050236448</v>
      </c>
      <c r="U227" s="7" t="s">
        <v>1260</v>
      </c>
    </row>
    <row r="228" spans="1:21" s="65" customFormat="1" ht="16.5" thickBot="1">
      <c r="A228" s="41" t="s">
        <v>31</v>
      </c>
      <c r="B228" s="42">
        <f t="shared" si="12"/>
        <v>70</v>
      </c>
      <c r="C228" s="42" t="s">
        <v>3</v>
      </c>
      <c r="D228" s="42">
        <f t="shared" si="13"/>
        <v>300</v>
      </c>
      <c r="E228" s="42" t="s">
        <v>3</v>
      </c>
      <c r="F228" s="101">
        <f t="shared" si="14"/>
        <v>1200</v>
      </c>
      <c r="G228" s="42" t="s">
        <v>3</v>
      </c>
      <c r="H228" s="39">
        <v>4</v>
      </c>
      <c r="I228" s="40" t="s">
        <v>40</v>
      </c>
      <c r="J228" s="149">
        <v>70</v>
      </c>
      <c r="K228" s="104">
        <v>300</v>
      </c>
      <c r="L228" s="104">
        <v>1200</v>
      </c>
      <c r="M228" s="150">
        <v>11.464965755915713</v>
      </c>
      <c r="N228" s="66">
        <v>371.87300024469835</v>
      </c>
      <c r="O228" s="111">
        <v>22570.519850046625</v>
      </c>
      <c r="P228" s="111">
        <v>26194.018810439666</v>
      </c>
      <c r="Q228" s="110">
        <v>12751.764880911684</v>
      </c>
      <c r="R228" s="258">
        <v>35322.284730958309</v>
      </c>
      <c r="S228" s="259">
        <v>38945.783691351346</v>
      </c>
      <c r="U228" s="7" t="s">
        <v>1261</v>
      </c>
    </row>
    <row r="229" spans="1:21" s="65" customFormat="1" ht="16.5" thickBot="1">
      <c r="A229" s="41" t="s">
        <v>31</v>
      </c>
      <c r="B229" s="42">
        <f t="shared" si="12"/>
        <v>70</v>
      </c>
      <c r="C229" s="42" t="s">
        <v>3</v>
      </c>
      <c r="D229" s="42">
        <f t="shared" si="13"/>
        <v>300</v>
      </c>
      <c r="E229" s="42" t="s">
        <v>3</v>
      </c>
      <c r="F229" s="101">
        <f t="shared" si="14"/>
        <v>1250</v>
      </c>
      <c r="G229" s="42" t="s">
        <v>3</v>
      </c>
      <c r="H229" s="39">
        <v>4</v>
      </c>
      <c r="I229" s="40" t="s">
        <v>40</v>
      </c>
      <c r="J229" s="149">
        <v>70</v>
      </c>
      <c r="K229" s="104">
        <v>300</v>
      </c>
      <c r="L229" s="104">
        <v>1250</v>
      </c>
      <c r="M229" s="150">
        <v>11.918357639961428</v>
      </c>
      <c r="N229" s="66">
        <v>393.74788261203355</v>
      </c>
      <c r="O229" s="111">
        <v>23275.479451721912</v>
      </c>
      <c r="P229" s="111">
        <v>27025.897715391849</v>
      </c>
      <c r="Q229" s="110">
        <v>13279.64081981444</v>
      </c>
      <c r="R229" s="258">
        <v>36555.120271536354</v>
      </c>
      <c r="S229" s="259">
        <v>40305.538535206288</v>
      </c>
      <c r="U229" s="7" t="s">
        <v>1262</v>
      </c>
    </row>
    <row r="230" spans="1:21" s="65" customFormat="1" ht="16.5" thickBot="1">
      <c r="A230" s="41" t="s">
        <v>31</v>
      </c>
      <c r="B230" s="42">
        <f t="shared" si="12"/>
        <v>70</v>
      </c>
      <c r="C230" s="42" t="s">
        <v>3</v>
      </c>
      <c r="D230" s="42">
        <f t="shared" si="13"/>
        <v>300</v>
      </c>
      <c r="E230" s="42" t="s">
        <v>3</v>
      </c>
      <c r="F230" s="101">
        <f t="shared" si="14"/>
        <v>1300</v>
      </c>
      <c r="G230" s="42" t="s">
        <v>3</v>
      </c>
      <c r="H230" s="39">
        <v>4</v>
      </c>
      <c r="I230" s="40" t="s">
        <v>40</v>
      </c>
      <c r="J230" s="149">
        <v>70</v>
      </c>
      <c r="K230" s="104">
        <v>300</v>
      </c>
      <c r="L230" s="104">
        <v>1300</v>
      </c>
      <c r="M230" s="150">
        <v>12.371749524007143</v>
      </c>
      <c r="N230" s="66">
        <v>415.62276497936875</v>
      </c>
      <c r="O230" s="111">
        <v>23980.43890036843</v>
      </c>
      <c r="P230" s="111">
        <v>27857.776467315274</v>
      </c>
      <c r="Q230" s="110">
        <v>13807.516605688428</v>
      </c>
      <c r="R230" s="258">
        <v>37787.95550605686</v>
      </c>
      <c r="S230" s="259">
        <v>41665.293073003704</v>
      </c>
      <c r="U230" s="7" t="s">
        <v>1263</v>
      </c>
    </row>
    <row r="231" spans="1:21" s="65" customFormat="1" ht="16.5" thickBot="1">
      <c r="A231" s="41" t="s">
        <v>31</v>
      </c>
      <c r="B231" s="42">
        <f t="shared" si="12"/>
        <v>70</v>
      </c>
      <c r="C231" s="42" t="s">
        <v>3</v>
      </c>
      <c r="D231" s="42">
        <f t="shared" si="13"/>
        <v>300</v>
      </c>
      <c r="E231" s="42" t="s">
        <v>3</v>
      </c>
      <c r="F231" s="101">
        <f t="shared" si="14"/>
        <v>1350</v>
      </c>
      <c r="G231" s="42" t="s">
        <v>3</v>
      </c>
      <c r="H231" s="39">
        <v>4</v>
      </c>
      <c r="I231" s="40" t="s">
        <v>40</v>
      </c>
      <c r="J231" s="149">
        <v>70</v>
      </c>
      <c r="K231" s="104">
        <v>300</v>
      </c>
      <c r="L231" s="104">
        <v>1350</v>
      </c>
      <c r="M231" s="150">
        <v>12.825141408052858</v>
      </c>
      <c r="N231" s="66">
        <v>437.49764734670396</v>
      </c>
      <c r="O231" s="111">
        <v>24685.398502043714</v>
      </c>
      <c r="P231" s="111">
        <v>28689.655372267458</v>
      </c>
      <c r="Q231" s="110">
        <v>14335.392544591185</v>
      </c>
      <c r="R231" s="258">
        <v>39020.791046634899</v>
      </c>
      <c r="S231" s="259">
        <v>43025.047916858646</v>
      </c>
      <c r="U231" s="7" t="s">
        <v>1264</v>
      </c>
    </row>
    <row r="232" spans="1:21" s="65" customFormat="1" ht="16.5" thickBot="1">
      <c r="A232" s="41" t="s">
        <v>31</v>
      </c>
      <c r="B232" s="42">
        <f t="shared" si="12"/>
        <v>70</v>
      </c>
      <c r="C232" s="42" t="s">
        <v>3</v>
      </c>
      <c r="D232" s="42">
        <f t="shared" si="13"/>
        <v>300</v>
      </c>
      <c r="E232" s="42" t="s">
        <v>3</v>
      </c>
      <c r="F232" s="101">
        <f t="shared" si="14"/>
        <v>1400</v>
      </c>
      <c r="G232" s="42" t="s">
        <v>3</v>
      </c>
      <c r="H232" s="39">
        <v>4</v>
      </c>
      <c r="I232" s="40" t="s">
        <v>40</v>
      </c>
      <c r="J232" s="149">
        <v>70</v>
      </c>
      <c r="K232" s="104">
        <v>300</v>
      </c>
      <c r="L232" s="104">
        <v>1400</v>
      </c>
      <c r="M232" s="150">
        <v>13.278533292098572</v>
      </c>
      <c r="N232" s="66">
        <v>459.37252971403916</v>
      </c>
      <c r="O232" s="111">
        <v>25390.358103718998</v>
      </c>
      <c r="P232" s="111">
        <v>29521.534277219649</v>
      </c>
      <c r="Q232" s="110">
        <v>14863.268330465173</v>
      </c>
      <c r="R232" s="258">
        <v>40253.626434184174</v>
      </c>
      <c r="S232" s="259">
        <v>44384.802607684818</v>
      </c>
      <c r="U232" s="7" t="s">
        <v>1265</v>
      </c>
    </row>
    <row r="233" spans="1:21" s="65" customFormat="1" ht="16.5" thickBot="1">
      <c r="A233" s="41" t="s">
        <v>31</v>
      </c>
      <c r="B233" s="42">
        <f t="shared" si="12"/>
        <v>70</v>
      </c>
      <c r="C233" s="42" t="s">
        <v>3</v>
      </c>
      <c r="D233" s="42">
        <f t="shared" si="13"/>
        <v>300</v>
      </c>
      <c r="E233" s="42" t="s">
        <v>3</v>
      </c>
      <c r="F233" s="101">
        <f t="shared" si="14"/>
        <v>1450</v>
      </c>
      <c r="G233" s="42" t="s">
        <v>3</v>
      </c>
      <c r="H233" s="39">
        <v>4</v>
      </c>
      <c r="I233" s="40" t="s">
        <v>40</v>
      </c>
      <c r="J233" s="149">
        <v>70</v>
      </c>
      <c r="K233" s="104">
        <v>300</v>
      </c>
      <c r="L233" s="104">
        <v>1450</v>
      </c>
      <c r="M233" s="150">
        <v>13.731925176144287</v>
      </c>
      <c r="N233" s="66">
        <v>481.24741208137436</v>
      </c>
      <c r="O233" s="111">
        <v>26095.317705394282</v>
      </c>
      <c r="P233" s="111">
        <v>30353.413182171833</v>
      </c>
      <c r="Q233" s="110">
        <v>15391.144269367929</v>
      </c>
      <c r="R233" s="258">
        <v>41486.461974762213</v>
      </c>
      <c r="S233" s="259">
        <v>45744.55745153976</v>
      </c>
      <c r="U233" s="7" t="s">
        <v>1266</v>
      </c>
    </row>
    <row r="234" spans="1:21" s="65" customFormat="1" ht="16.5" thickBot="1">
      <c r="A234" s="41" t="s">
        <v>31</v>
      </c>
      <c r="B234" s="42">
        <f t="shared" si="12"/>
        <v>70</v>
      </c>
      <c r="C234" s="42" t="s">
        <v>3</v>
      </c>
      <c r="D234" s="42">
        <f t="shared" si="13"/>
        <v>300</v>
      </c>
      <c r="E234" s="42" t="s">
        <v>3</v>
      </c>
      <c r="F234" s="101">
        <f t="shared" si="14"/>
        <v>1500</v>
      </c>
      <c r="G234" s="42" t="s">
        <v>3</v>
      </c>
      <c r="H234" s="39">
        <v>4</v>
      </c>
      <c r="I234" s="40" t="s">
        <v>40</v>
      </c>
      <c r="J234" s="149">
        <v>70</v>
      </c>
      <c r="K234" s="104">
        <v>300</v>
      </c>
      <c r="L234" s="104">
        <v>1500</v>
      </c>
      <c r="M234" s="150">
        <v>14.32988195299</v>
      </c>
      <c r="N234" s="66">
        <v>503.12229444870951</v>
      </c>
      <c r="O234" s="111">
        <v>27540.002748749772</v>
      </c>
      <c r="P234" s="111">
        <v>31833.216184720804</v>
      </c>
      <c r="Q234" s="110">
        <v>15919.020055241919</v>
      </c>
      <c r="R234" s="258">
        <v>43459.022803991691</v>
      </c>
      <c r="S234" s="259">
        <v>47752.236239962724</v>
      </c>
      <c r="U234" s="7" t="s">
        <v>1267</v>
      </c>
    </row>
    <row r="235" spans="1:21" s="65" customFormat="1" ht="16.5" thickBot="1">
      <c r="A235" s="41" t="s">
        <v>31</v>
      </c>
      <c r="B235" s="42">
        <f t="shared" si="12"/>
        <v>70</v>
      </c>
      <c r="C235" s="42" t="s">
        <v>3</v>
      </c>
      <c r="D235" s="42">
        <f t="shared" si="13"/>
        <v>300</v>
      </c>
      <c r="E235" s="42" t="s">
        <v>3</v>
      </c>
      <c r="F235" s="101">
        <f t="shared" si="14"/>
        <v>1550</v>
      </c>
      <c r="G235" s="42" t="s">
        <v>3</v>
      </c>
      <c r="H235" s="39">
        <v>4</v>
      </c>
      <c r="I235" s="40" t="s">
        <v>40</v>
      </c>
      <c r="J235" s="149">
        <v>70</v>
      </c>
      <c r="K235" s="104">
        <v>300</v>
      </c>
      <c r="L235" s="104">
        <v>1550</v>
      </c>
      <c r="M235" s="150">
        <v>14.783273837035715</v>
      </c>
      <c r="N235" s="66">
        <v>524.99717681604477</v>
      </c>
      <c r="O235" s="111">
        <v>28244.962350425059</v>
      </c>
      <c r="P235" s="111">
        <v>32665.094936644222</v>
      </c>
      <c r="Q235" s="110">
        <v>16446.895994144674</v>
      </c>
      <c r="R235" s="258">
        <v>44691.85834456973</v>
      </c>
      <c r="S235" s="259">
        <v>49111.990930788896</v>
      </c>
      <c r="U235" s="7" t="s">
        <v>1268</v>
      </c>
    </row>
    <row r="236" spans="1:21" s="65" customFormat="1" ht="16.5" thickBot="1">
      <c r="A236" s="38" t="s">
        <v>31</v>
      </c>
      <c r="B236" s="39">
        <f t="shared" si="12"/>
        <v>70</v>
      </c>
      <c r="C236" s="39" t="s">
        <v>3</v>
      </c>
      <c r="D236" s="39">
        <f t="shared" si="13"/>
        <v>300</v>
      </c>
      <c r="E236" s="39" t="s">
        <v>3</v>
      </c>
      <c r="F236" s="101">
        <f t="shared" si="14"/>
        <v>1600</v>
      </c>
      <c r="G236" s="39" t="s">
        <v>3</v>
      </c>
      <c r="H236" s="39">
        <v>4</v>
      </c>
      <c r="I236" s="40" t="s">
        <v>40</v>
      </c>
      <c r="J236" s="149">
        <v>70</v>
      </c>
      <c r="K236" s="104">
        <v>300</v>
      </c>
      <c r="L236" s="104">
        <v>1600</v>
      </c>
      <c r="M236" s="150">
        <v>15.236665721081428</v>
      </c>
      <c r="N236" s="66">
        <v>546.87205918337997</v>
      </c>
      <c r="O236" s="111">
        <v>28949.92195210034</v>
      </c>
      <c r="P236" s="111">
        <v>33496.973841596417</v>
      </c>
      <c r="Q236" s="110">
        <v>16974.771780018662</v>
      </c>
      <c r="R236" s="258">
        <v>45924.693732119005</v>
      </c>
      <c r="S236" s="259">
        <v>50471.745621615075</v>
      </c>
      <c r="U236" s="7" t="s">
        <v>1269</v>
      </c>
    </row>
    <row r="237" spans="1:21" s="65" customFormat="1" ht="16.5" thickBot="1">
      <c r="A237" s="41" t="s">
        <v>31</v>
      </c>
      <c r="B237" s="42">
        <f t="shared" si="12"/>
        <v>70</v>
      </c>
      <c r="C237" s="42" t="s">
        <v>3</v>
      </c>
      <c r="D237" s="42">
        <f t="shared" si="13"/>
        <v>300</v>
      </c>
      <c r="E237" s="42" t="s">
        <v>3</v>
      </c>
      <c r="F237" s="101">
        <f t="shared" si="14"/>
        <v>1650</v>
      </c>
      <c r="G237" s="42" t="s">
        <v>3</v>
      </c>
      <c r="H237" s="39">
        <v>4</v>
      </c>
      <c r="I237" s="40" t="s">
        <v>40</v>
      </c>
      <c r="J237" s="149">
        <v>70</v>
      </c>
      <c r="K237" s="104">
        <v>300</v>
      </c>
      <c r="L237" s="104">
        <v>1650</v>
      </c>
      <c r="M237" s="150">
        <v>15.690057605127144</v>
      </c>
      <c r="N237" s="66">
        <v>568.74694155071518</v>
      </c>
      <c r="O237" s="111">
        <v>29654.881400746861</v>
      </c>
      <c r="P237" s="111">
        <v>34328.852746548597</v>
      </c>
      <c r="Q237" s="110">
        <v>17502.64771892142</v>
      </c>
      <c r="R237" s="258">
        <v>47157.529119668281</v>
      </c>
      <c r="S237" s="259">
        <v>51831.500465470017</v>
      </c>
      <c r="U237" s="7" t="s">
        <v>1270</v>
      </c>
    </row>
    <row r="238" spans="1:21" s="65" customFormat="1" ht="16.5" thickBot="1">
      <c r="A238" s="41" t="s">
        <v>31</v>
      </c>
      <c r="B238" s="42">
        <f t="shared" si="12"/>
        <v>70</v>
      </c>
      <c r="C238" s="42" t="s">
        <v>3</v>
      </c>
      <c r="D238" s="42">
        <f t="shared" si="13"/>
        <v>300</v>
      </c>
      <c r="E238" s="42" t="s">
        <v>3</v>
      </c>
      <c r="F238" s="101">
        <f t="shared" si="14"/>
        <v>1700</v>
      </c>
      <c r="G238" s="42" t="s">
        <v>3</v>
      </c>
      <c r="H238" s="39">
        <v>4</v>
      </c>
      <c r="I238" s="40" t="s">
        <v>40</v>
      </c>
      <c r="J238" s="149">
        <v>70</v>
      </c>
      <c r="K238" s="104">
        <v>300</v>
      </c>
      <c r="L238" s="104">
        <v>1700</v>
      </c>
      <c r="M238" s="150">
        <v>16.143449489172859</v>
      </c>
      <c r="N238" s="66">
        <v>590.62182391805038</v>
      </c>
      <c r="O238" s="111">
        <v>30359.841002422148</v>
      </c>
      <c r="P238" s="111">
        <v>35160.731651500784</v>
      </c>
      <c r="Q238" s="110">
        <v>18030.523504795408</v>
      </c>
      <c r="R238" s="258">
        <v>48390.364507217557</v>
      </c>
      <c r="S238" s="259">
        <v>53191.255156296189</v>
      </c>
      <c r="U238" s="7" t="s">
        <v>1271</v>
      </c>
    </row>
    <row r="239" spans="1:21" s="65" customFormat="1" ht="16.5" thickBot="1">
      <c r="A239" s="41" t="s">
        <v>31</v>
      </c>
      <c r="B239" s="42">
        <f t="shared" si="12"/>
        <v>70</v>
      </c>
      <c r="C239" s="42" t="s">
        <v>3</v>
      </c>
      <c r="D239" s="42">
        <f t="shared" si="13"/>
        <v>300</v>
      </c>
      <c r="E239" s="42" t="s">
        <v>3</v>
      </c>
      <c r="F239" s="101">
        <f t="shared" si="14"/>
        <v>1750</v>
      </c>
      <c r="G239" s="42" t="s">
        <v>3</v>
      </c>
      <c r="H239" s="39">
        <v>4</v>
      </c>
      <c r="I239" s="40" t="s">
        <v>40</v>
      </c>
      <c r="J239" s="149">
        <v>70</v>
      </c>
      <c r="K239" s="104">
        <v>300</v>
      </c>
      <c r="L239" s="104">
        <v>1750</v>
      </c>
      <c r="M239" s="150">
        <v>16.596841373218574</v>
      </c>
      <c r="N239" s="66">
        <v>612.49670628538547</v>
      </c>
      <c r="O239" s="111">
        <v>31064.800604097429</v>
      </c>
      <c r="P239" s="111">
        <v>35992.610556452972</v>
      </c>
      <c r="Q239" s="110">
        <v>18558.399443698163</v>
      </c>
      <c r="R239" s="258">
        <v>49623.200047795588</v>
      </c>
      <c r="S239" s="259">
        <v>54551.010000151131</v>
      </c>
      <c r="U239" s="7" t="s">
        <v>1272</v>
      </c>
    </row>
    <row r="240" spans="1:21" s="65" customFormat="1" ht="16.5" thickBot="1">
      <c r="A240" s="41" t="s">
        <v>31</v>
      </c>
      <c r="B240" s="42">
        <f t="shared" si="12"/>
        <v>70</v>
      </c>
      <c r="C240" s="42" t="s">
        <v>3</v>
      </c>
      <c r="D240" s="42">
        <f t="shared" si="13"/>
        <v>300</v>
      </c>
      <c r="E240" s="42" t="s">
        <v>3</v>
      </c>
      <c r="F240" s="101">
        <f t="shared" si="14"/>
        <v>1800</v>
      </c>
      <c r="G240" s="42" t="s">
        <v>3</v>
      </c>
      <c r="H240" s="39">
        <v>4</v>
      </c>
      <c r="I240" s="40" t="s">
        <v>40</v>
      </c>
      <c r="J240" s="149">
        <v>70</v>
      </c>
      <c r="K240" s="104">
        <v>300</v>
      </c>
      <c r="L240" s="104">
        <v>1800</v>
      </c>
      <c r="M240" s="150">
        <v>17.050233257264289</v>
      </c>
      <c r="N240" s="66">
        <v>634.37158865272067</v>
      </c>
      <c r="O240" s="111">
        <v>31769.760205772716</v>
      </c>
      <c r="P240" s="111">
        <v>36824.489461405006</v>
      </c>
      <c r="Q240" s="110">
        <v>19086.275229572155</v>
      </c>
      <c r="R240" s="258">
        <v>50856.035435344871</v>
      </c>
      <c r="S240" s="259">
        <v>55910.764690977157</v>
      </c>
      <c r="U240" s="7" t="s">
        <v>1273</v>
      </c>
    </row>
    <row r="241" spans="1:21" s="65" customFormat="1" ht="16.5" thickBot="1">
      <c r="A241" s="41" t="s">
        <v>31</v>
      </c>
      <c r="B241" s="42">
        <f t="shared" si="12"/>
        <v>70</v>
      </c>
      <c r="C241" s="42" t="s">
        <v>3</v>
      </c>
      <c r="D241" s="42">
        <f t="shared" si="13"/>
        <v>300</v>
      </c>
      <c r="E241" s="42" t="s">
        <v>3</v>
      </c>
      <c r="F241" s="101">
        <f t="shared" si="14"/>
        <v>1850</v>
      </c>
      <c r="G241" s="42" t="s">
        <v>3</v>
      </c>
      <c r="H241" s="39">
        <v>4</v>
      </c>
      <c r="I241" s="40" t="s">
        <v>40</v>
      </c>
      <c r="J241" s="149">
        <v>70</v>
      </c>
      <c r="K241" s="104">
        <v>300</v>
      </c>
      <c r="L241" s="104">
        <v>1850</v>
      </c>
      <c r="M241" s="150">
        <v>17.503625141310003</v>
      </c>
      <c r="N241" s="66">
        <v>656.24647102005588</v>
      </c>
      <c r="O241" s="111">
        <v>32474.719807447997</v>
      </c>
      <c r="P241" s="111">
        <v>37656.368213328584</v>
      </c>
      <c r="Q241" s="110">
        <v>19614.151168474909</v>
      </c>
      <c r="R241" s="258">
        <v>52088.87097592291</v>
      </c>
      <c r="S241" s="259">
        <v>57270.51938180349</v>
      </c>
      <c r="U241" s="7" t="s">
        <v>1274</v>
      </c>
    </row>
    <row r="242" spans="1:21" s="65" customFormat="1" ht="16.5" thickBot="1">
      <c r="A242" s="41" t="s">
        <v>31</v>
      </c>
      <c r="B242" s="42">
        <f t="shared" si="12"/>
        <v>70</v>
      </c>
      <c r="C242" s="42" t="s">
        <v>3</v>
      </c>
      <c r="D242" s="42">
        <f t="shared" si="13"/>
        <v>300</v>
      </c>
      <c r="E242" s="42" t="s">
        <v>3</v>
      </c>
      <c r="F242" s="101">
        <f t="shared" si="14"/>
        <v>1900</v>
      </c>
      <c r="G242" s="42" t="s">
        <v>3</v>
      </c>
      <c r="H242" s="39">
        <v>4</v>
      </c>
      <c r="I242" s="40" t="s">
        <v>40</v>
      </c>
      <c r="J242" s="149">
        <v>70</v>
      </c>
      <c r="K242" s="104">
        <v>300</v>
      </c>
      <c r="L242" s="104">
        <v>1900</v>
      </c>
      <c r="M242" s="150">
        <v>17.957017025355714</v>
      </c>
      <c r="N242" s="66">
        <v>678.1213533873912</v>
      </c>
      <c r="O242" s="111">
        <v>33179.679256094518</v>
      </c>
      <c r="P242" s="111">
        <v>38488.247118280771</v>
      </c>
      <c r="Q242" s="110">
        <v>20142.026954348901</v>
      </c>
      <c r="R242" s="258">
        <v>53321.706210443415</v>
      </c>
      <c r="S242" s="259">
        <v>58630.274072629676</v>
      </c>
      <c r="U242" s="7" t="s">
        <v>1275</v>
      </c>
    </row>
    <row r="243" spans="1:21" s="65" customFormat="1" ht="16.5" thickBot="1">
      <c r="A243" s="41" t="s">
        <v>31</v>
      </c>
      <c r="B243" s="42">
        <f t="shared" si="12"/>
        <v>70</v>
      </c>
      <c r="C243" s="42" t="s">
        <v>3</v>
      </c>
      <c r="D243" s="42">
        <f t="shared" si="13"/>
        <v>300</v>
      </c>
      <c r="E243" s="42" t="s">
        <v>3</v>
      </c>
      <c r="F243" s="101">
        <f t="shared" si="14"/>
        <v>1950</v>
      </c>
      <c r="G243" s="42" t="s">
        <v>3</v>
      </c>
      <c r="H243" s="39">
        <v>4</v>
      </c>
      <c r="I243" s="40" t="s">
        <v>40</v>
      </c>
      <c r="J243" s="149">
        <v>70</v>
      </c>
      <c r="K243" s="104">
        <v>300</v>
      </c>
      <c r="L243" s="104">
        <v>1950</v>
      </c>
      <c r="M243" s="150">
        <v>18.488908909401431</v>
      </c>
      <c r="N243" s="66">
        <v>699.9962357547264</v>
      </c>
      <c r="O243" s="111">
        <v>33968.737192903129</v>
      </c>
      <c r="P243" s="111">
        <v>39401.660973521677</v>
      </c>
      <c r="Q243" s="110">
        <v>20669.902893251656</v>
      </c>
      <c r="R243" s="258">
        <v>54638.640086154788</v>
      </c>
      <c r="S243" s="259">
        <v>60071.563866773329</v>
      </c>
      <c r="U243" s="7" t="s">
        <v>1276</v>
      </c>
    </row>
    <row r="244" spans="1:21" s="65" customFormat="1" ht="16.5" thickBot="1">
      <c r="A244" s="41" t="s">
        <v>31</v>
      </c>
      <c r="B244" s="42">
        <f t="shared" si="12"/>
        <v>70</v>
      </c>
      <c r="C244" s="42" t="s">
        <v>3</v>
      </c>
      <c r="D244" s="42">
        <f t="shared" si="13"/>
        <v>300</v>
      </c>
      <c r="E244" s="42" t="s">
        <v>3</v>
      </c>
      <c r="F244" s="101">
        <f t="shared" si="14"/>
        <v>2000</v>
      </c>
      <c r="G244" s="42" t="s">
        <v>3</v>
      </c>
      <c r="H244" s="39">
        <v>4</v>
      </c>
      <c r="I244" s="40" t="s">
        <v>40</v>
      </c>
      <c r="J244" s="149">
        <v>70</v>
      </c>
      <c r="K244" s="104">
        <v>300</v>
      </c>
      <c r="L244" s="104">
        <v>2000</v>
      </c>
      <c r="M244" s="150">
        <v>19.033863193447143</v>
      </c>
      <c r="N244" s="66">
        <v>721.87111812206149</v>
      </c>
      <c r="O244" s="111">
        <v>34924.988543394247</v>
      </c>
      <c r="P244" s="111">
        <v>40561.968377839956</v>
      </c>
      <c r="Q244" s="110">
        <v>21197.778679125648</v>
      </c>
      <c r="R244" s="258">
        <v>56122.767222519891</v>
      </c>
      <c r="S244" s="259">
        <v>61759.7470569656</v>
      </c>
      <c r="U244" s="7" t="s">
        <v>1277</v>
      </c>
    </row>
    <row r="245" spans="1:21" s="65" customFormat="1" ht="16.5" thickBot="1">
      <c r="A245" s="41" t="s">
        <v>31</v>
      </c>
      <c r="B245" s="42">
        <f t="shared" si="12"/>
        <v>70</v>
      </c>
      <c r="C245" s="42" t="s">
        <v>3</v>
      </c>
      <c r="D245" s="42">
        <f t="shared" si="13"/>
        <v>300</v>
      </c>
      <c r="E245" s="42" t="s">
        <v>3</v>
      </c>
      <c r="F245" s="101">
        <f t="shared" si="14"/>
        <v>2050</v>
      </c>
      <c r="G245" s="42" t="s">
        <v>3</v>
      </c>
      <c r="H245" s="39">
        <v>4</v>
      </c>
      <c r="I245" s="40" t="s">
        <v>40</v>
      </c>
      <c r="J245" s="149">
        <v>70</v>
      </c>
      <c r="K245" s="104">
        <v>300</v>
      </c>
      <c r="L245" s="104">
        <v>2050</v>
      </c>
      <c r="M245" s="150">
        <v>19.487255077492854</v>
      </c>
      <c r="N245" s="66">
        <v>743.74600048939669</v>
      </c>
      <c r="O245" s="111">
        <v>35629.948145069531</v>
      </c>
      <c r="P245" s="111">
        <v>41393.847282792143</v>
      </c>
      <c r="Q245" s="110">
        <v>21725.654618028402</v>
      </c>
      <c r="R245" s="258">
        <v>57355.602763097937</v>
      </c>
      <c r="S245" s="259">
        <v>63119.501900820542</v>
      </c>
      <c r="U245" s="7" t="s">
        <v>1278</v>
      </c>
    </row>
    <row r="246" spans="1:21" s="65" customFormat="1" ht="16.5" thickBot="1">
      <c r="A246" s="38" t="s">
        <v>31</v>
      </c>
      <c r="B246" s="39">
        <f t="shared" si="12"/>
        <v>70</v>
      </c>
      <c r="C246" s="39" t="s">
        <v>3</v>
      </c>
      <c r="D246" s="39">
        <f t="shared" si="13"/>
        <v>300</v>
      </c>
      <c r="E246" s="39" t="s">
        <v>3</v>
      </c>
      <c r="F246" s="101">
        <f t="shared" si="14"/>
        <v>2100</v>
      </c>
      <c r="G246" s="39" t="s">
        <v>3</v>
      </c>
      <c r="H246" s="39">
        <v>4</v>
      </c>
      <c r="I246" s="40" t="s">
        <v>40</v>
      </c>
      <c r="J246" s="149">
        <v>70</v>
      </c>
      <c r="K246" s="104">
        <v>300</v>
      </c>
      <c r="L246" s="104">
        <v>2100</v>
      </c>
      <c r="M246" s="150">
        <v>19.940646961538572</v>
      </c>
      <c r="N246" s="66">
        <v>765.6208828567319</v>
      </c>
      <c r="O246" s="111">
        <v>36334.907746744815</v>
      </c>
      <c r="P246" s="111">
        <v>42225.726034715568</v>
      </c>
      <c r="Q246" s="110">
        <v>22253.53040390239</v>
      </c>
      <c r="R246" s="258">
        <v>58588.438150647205</v>
      </c>
      <c r="S246" s="259">
        <v>64479.256438617958</v>
      </c>
      <c r="U246" s="7" t="s">
        <v>1279</v>
      </c>
    </row>
    <row r="247" spans="1:21" s="65" customFormat="1" ht="16.5" thickBot="1">
      <c r="A247" s="41" t="s">
        <v>31</v>
      </c>
      <c r="B247" s="42">
        <f t="shared" si="12"/>
        <v>70</v>
      </c>
      <c r="C247" s="42" t="s">
        <v>3</v>
      </c>
      <c r="D247" s="42">
        <f t="shared" si="13"/>
        <v>300</v>
      </c>
      <c r="E247" s="42" t="s">
        <v>3</v>
      </c>
      <c r="F247" s="101">
        <f t="shared" si="14"/>
        <v>2150</v>
      </c>
      <c r="G247" s="42" t="s">
        <v>3</v>
      </c>
      <c r="H247" s="39">
        <v>4</v>
      </c>
      <c r="I247" s="40" t="s">
        <v>40</v>
      </c>
      <c r="J247" s="149">
        <v>70</v>
      </c>
      <c r="K247" s="104">
        <v>300</v>
      </c>
      <c r="L247" s="104">
        <v>2150</v>
      </c>
      <c r="M247" s="150">
        <v>20.394038845584287</v>
      </c>
      <c r="N247" s="66">
        <v>787.4957652240671</v>
      </c>
      <c r="O247" s="111">
        <v>37039.867348420099</v>
      </c>
      <c r="P247" s="111">
        <v>43057.604939667755</v>
      </c>
      <c r="Q247" s="110">
        <v>22781.406342805149</v>
      </c>
      <c r="R247" s="258">
        <v>59821.273691225244</v>
      </c>
      <c r="S247" s="259">
        <v>65839.0112824729</v>
      </c>
      <c r="U247" s="7" t="s">
        <v>1280</v>
      </c>
    </row>
    <row r="248" spans="1:21" s="65" customFormat="1" ht="16.5" thickBot="1">
      <c r="A248" s="41" t="s">
        <v>31</v>
      </c>
      <c r="B248" s="42">
        <f t="shared" si="12"/>
        <v>70</v>
      </c>
      <c r="C248" s="42" t="s">
        <v>3</v>
      </c>
      <c r="D248" s="42">
        <f t="shared" si="13"/>
        <v>300</v>
      </c>
      <c r="E248" s="42" t="s">
        <v>3</v>
      </c>
      <c r="F248" s="101">
        <f t="shared" si="14"/>
        <v>2200</v>
      </c>
      <c r="G248" s="42" t="s">
        <v>3</v>
      </c>
      <c r="H248" s="39">
        <v>4</v>
      </c>
      <c r="I248" s="40" t="s">
        <v>40</v>
      </c>
      <c r="J248" s="149">
        <v>70</v>
      </c>
      <c r="K248" s="104">
        <v>300</v>
      </c>
      <c r="L248" s="104">
        <v>2200</v>
      </c>
      <c r="M248" s="150">
        <v>20.847430729630002</v>
      </c>
      <c r="N248" s="66">
        <v>809.3706475914023</v>
      </c>
      <c r="O248" s="111">
        <v>37744.826950095383</v>
      </c>
      <c r="P248" s="111">
        <v>43889.483844619936</v>
      </c>
      <c r="Q248" s="110">
        <v>23309.282128679137</v>
      </c>
      <c r="R248" s="258">
        <v>61054.10907877452</v>
      </c>
      <c r="S248" s="259">
        <v>67198.765973299072</v>
      </c>
      <c r="U248" s="7" t="s">
        <v>1281</v>
      </c>
    </row>
    <row r="249" spans="1:21" s="65" customFormat="1" ht="16.5" thickBot="1">
      <c r="A249" s="41" t="s">
        <v>31</v>
      </c>
      <c r="B249" s="42">
        <f t="shared" si="12"/>
        <v>70</v>
      </c>
      <c r="C249" s="42" t="s">
        <v>3</v>
      </c>
      <c r="D249" s="42">
        <f t="shared" si="13"/>
        <v>300</v>
      </c>
      <c r="E249" s="42" t="s">
        <v>3</v>
      </c>
      <c r="F249" s="101">
        <f t="shared" si="14"/>
        <v>2250</v>
      </c>
      <c r="G249" s="42" t="s">
        <v>3</v>
      </c>
      <c r="H249" s="39">
        <v>4</v>
      </c>
      <c r="I249" s="40" t="s">
        <v>40</v>
      </c>
      <c r="J249" s="149">
        <v>70</v>
      </c>
      <c r="K249" s="104">
        <v>300</v>
      </c>
      <c r="L249" s="104">
        <v>2250</v>
      </c>
      <c r="M249" s="150">
        <v>21.300822613675713</v>
      </c>
      <c r="N249" s="66">
        <v>831.24552995873751</v>
      </c>
      <c r="O249" s="111">
        <v>38449.786398741904</v>
      </c>
      <c r="P249" s="111">
        <v>44721.36274957213</v>
      </c>
      <c r="Q249" s="110">
        <v>23837.158067581891</v>
      </c>
      <c r="R249" s="258">
        <v>62286.944466323795</v>
      </c>
      <c r="S249" s="259">
        <v>68558.520817154029</v>
      </c>
      <c r="U249" s="7" t="s">
        <v>1282</v>
      </c>
    </row>
    <row r="250" spans="1:21" s="65" customFormat="1" ht="16.5" thickBot="1">
      <c r="A250" s="41" t="s">
        <v>31</v>
      </c>
      <c r="B250" s="42">
        <f t="shared" si="12"/>
        <v>70</v>
      </c>
      <c r="C250" s="42" t="s">
        <v>3</v>
      </c>
      <c r="D250" s="42">
        <f t="shared" si="13"/>
        <v>300</v>
      </c>
      <c r="E250" s="42" t="s">
        <v>3</v>
      </c>
      <c r="F250" s="101">
        <f t="shared" si="14"/>
        <v>2300</v>
      </c>
      <c r="G250" s="42" t="s">
        <v>3</v>
      </c>
      <c r="H250" s="39">
        <v>4</v>
      </c>
      <c r="I250" s="40" t="s">
        <v>40</v>
      </c>
      <c r="J250" s="149">
        <v>70</v>
      </c>
      <c r="K250" s="104">
        <v>300</v>
      </c>
      <c r="L250" s="104">
        <v>2300</v>
      </c>
      <c r="M250" s="150">
        <v>21.754214497721428</v>
      </c>
      <c r="N250" s="66">
        <v>853.12041232607271</v>
      </c>
      <c r="O250" s="111">
        <v>39154.746000417188</v>
      </c>
      <c r="P250" s="111">
        <v>45553.24165452431</v>
      </c>
      <c r="Q250" s="110">
        <v>24365.03385345588</v>
      </c>
      <c r="R250" s="258">
        <v>63519.779853873071</v>
      </c>
      <c r="S250" s="259">
        <v>69918.275507980186</v>
      </c>
      <c r="U250" s="7" t="s">
        <v>1283</v>
      </c>
    </row>
    <row r="251" spans="1:21" s="65" customFormat="1" ht="16.5" thickBot="1">
      <c r="A251" s="41" t="s">
        <v>31</v>
      </c>
      <c r="B251" s="42">
        <f t="shared" si="12"/>
        <v>70</v>
      </c>
      <c r="C251" s="42" t="s">
        <v>3</v>
      </c>
      <c r="D251" s="42">
        <f t="shared" si="13"/>
        <v>300</v>
      </c>
      <c r="E251" s="42" t="s">
        <v>3</v>
      </c>
      <c r="F251" s="101">
        <f t="shared" si="14"/>
        <v>2350</v>
      </c>
      <c r="G251" s="42" t="s">
        <v>3</v>
      </c>
      <c r="H251" s="39">
        <v>4</v>
      </c>
      <c r="I251" s="40" t="s">
        <v>40</v>
      </c>
      <c r="J251" s="149">
        <v>70</v>
      </c>
      <c r="K251" s="104">
        <v>300</v>
      </c>
      <c r="L251" s="104">
        <v>2350</v>
      </c>
      <c r="M251" s="150">
        <v>22.207606381767143</v>
      </c>
      <c r="N251" s="66">
        <v>874.99529469340791</v>
      </c>
      <c r="O251" s="111">
        <v>39859.705602092472</v>
      </c>
      <c r="P251" s="111">
        <v>46385.120559476505</v>
      </c>
      <c r="Q251" s="110">
        <v>24892.909792358638</v>
      </c>
      <c r="R251" s="258">
        <v>64752.61539445111</v>
      </c>
      <c r="S251" s="259">
        <v>71278.030351835143</v>
      </c>
      <c r="U251" s="7" t="s">
        <v>1284</v>
      </c>
    </row>
    <row r="252" spans="1:21" s="65" customFormat="1" ht="16.5" thickBot="1">
      <c r="A252" s="41" t="s">
        <v>31</v>
      </c>
      <c r="B252" s="42">
        <f t="shared" si="12"/>
        <v>70</v>
      </c>
      <c r="C252" s="42" t="s">
        <v>3</v>
      </c>
      <c r="D252" s="42">
        <f t="shared" si="13"/>
        <v>300</v>
      </c>
      <c r="E252" s="42" t="s">
        <v>3</v>
      </c>
      <c r="F252" s="101">
        <f t="shared" si="14"/>
        <v>2400</v>
      </c>
      <c r="G252" s="42" t="s">
        <v>3</v>
      </c>
      <c r="H252" s="39">
        <v>4</v>
      </c>
      <c r="I252" s="40" t="s">
        <v>40</v>
      </c>
      <c r="J252" s="149">
        <v>70</v>
      </c>
      <c r="K252" s="104">
        <v>300</v>
      </c>
      <c r="L252" s="104">
        <v>2400</v>
      </c>
      <c r="M252" s="150">
        <v>22.660998265812854</v>
      </c>
      <c r="N252" s="66">
        <v>896.870177060743</v>
      </c>
      <c r="O252" s="111">
        <v>40564.665203767756</v>
      </c>
      <c r="P252" s="111">
        <v>47216.999311399923</v>
      </c>
      <c r="Q252" s="110">
        <v>25420.78557823263</v>
      </c>
      <c r="R252" s="258">
        <v>65985.450782000378</v>
      </c>
      <c r="S252" s="259">
        <v>72637.784889632545</v>
      </c>
      <c r="U252" s="7" t="s">
        <v>1285</v>
      </c>
    </row>
    <row r="253" spans="1:21" s="65" customFormat="1" ht="16.5" thickBot="1">
      <c r="A253" s="41" t="s">
        <v>31</v>
      </c>
      <c r="B253" s="42">
        <f t="shared" si="12"/>
        <v>70</v>
      </c>
      <c r="C253" s="42" t="s">
        <v>3</v>
      </c>
      <c r="D253" s="42">
        <f t="shared" si="13"/>
        <v>300</v>
      </c>
      <c r="E253" s="42" t="s">
        <v>3</v>
      </c>
      <c r="F253" s="101">
        <f t="shared" si="14"/>
        <v>2450</v>
      </c>
      <c r="G253" s="42" t="s">
        <v>3</v>
      </c>
      <c r="H253" s="39">
        <v>4</v>
      </c>
      <c r="I253" s="40" t="s">
        <v>40</v>
      </c>
      <c r="J253" s="149">
        <v>70</v>
      </c>
      <c r="K253" s="104">
        <v>300</v>
      </c>
      <c r="L253" s="104">
        <v>2450</v>
      </c>
      <c r="M253" s="150">
        <v>23.25895504265857</v>
      </c>
      <c r="N253" s="66">
        <v>918.74505942807832</v>
      </c>
      <c r="O253" s="111">
        <v>42009.350247123242</v>
      </c>
      <c r="P253" s="111">
        <v>48696.802313948894</v>
      </c>
      <c r="Q253" s="110">
        <v>25948.661517135381</v>
      </c>
      <c r="R253" s="258">
        <v>67958.011764258626</v>
      </c>
      <c r="S253" s="259">
        <v>74645.463831084271</v>
      </c>
      <c r="U253" s="7" t="s">
        <v>1286</v>
      </c>
    </row>
    <row r="254" spans="1:21" s="65" customFormat="1" ht="16.5" thickBot="1">
      <c r="A254" s="41" t="s">
        <v>31</v>
      </c>
      <c r="B254" s="42">
        <f t="shared" si="12"/>
        <v>70</v>
      </c>
      <c r="C254" s="42" t="s">
        <v>3</v>
      </c>
      <c r="D254" s="42">
        <f t="shared" si="13"/>
        <v>300</v>
      </c>
      <c r="E254" s="42" t="s">
        <v>3</v>
      </c>
      <c r="F254" s="101">
        <f t="shared" si="14"/>
        <v>2500</v>
      </c>
      <c r="G254" s="42" t="s">
        <v>3</v>
      </c>
      <c r="H254" s="39">
        <v>4</v>
      </c>
      <c r="I254" s="40" t="s">
        <v>40</v>
      </c>
      <c r="J254" s="149">
        <v>70</v>
      </c>
      <c r="K254" s="104">
        <v>300</v>
      </c>
      <c r="L254" s="104">
        <v>2500</v>
      </c>
      <c r="M254" s="150">
        <v>23.712346926704285</v>
      </c>
      <c r="N254" s="66">
        <v>940.61994179541352</v>
      </c>
      <c r="O254" s="111">
        <v>42714.309848798533</v>
      </c>
      <c r="P254" s="111">
        <v>49528.681218901082</v>
      </c>
      <c r="Q254" s="110">
        <v>26476.537303009372</v>
      </c>
      <c r="R254" s="258">
        <v>69190.847151807902</v>
      </c>
      <c r="S254" s="259">
        <v>76005.218521910458</v>
      </c>
      <c r="U254" s="7" t="s">
        <v>1287</v>
      </c>
    </row>
    <row r="255" spans="1:21" s="65" customFormat="1" ht="16.5" thickBot="1">
      <c r="A255" s="41" t="s">
        <v>31</v>
      </c>
      <c r="B255" s="42">
        <f t="shared" si="12"/>
        <v>70</v>
      </c>
      <c r="C255" s="42" t="s">
        <v>3</v>
      </c>
      <c r="D255" s="42">
        <f t="shared" si="13"/>
        <v>300</v>
      </c>
      <c r="E255" s="42" t="s">
        <v>3</v>
      </c>
      <c r="F255" s="101">
        <f t="shared" si="14"/>
        <v>2550</v>
      </c>
      <c r="G255" s="42" t="s">
        <v>3</v>
      </c>
      <c r="H255" s="39">
        <v>4</v>
      </c>
      <c r="I255" s="40" t="s">
        <v>40</v>
      </c>
      <c r="J255" s="149">
        <v>70</v>
      </c>
      <c r="K255" s="104">
        <v>300</v>
      </c>
      <c r="L255" s="104">
        <v>2550</v>
      </c>
      <c r="M255" s="150">
        <v>24.16573881075</v>
      </c>
      <c r="N255" s="66">
        <v>962.49482416274873</v>
      </c>
      <c r="O255" s="111">
        <v>43419.26945047381</v>
      </c>
      <c r="P255" s="111">
        <v>50360.560123853269</v>
      </c>
      <c r="Q255" s="110">
        <v>27004.413241912127</v>
      </c>
      <c r="R255" s="258">
        <v>70423.682692385933</v>
      </c>
      <c r="S255" s="259">
        <v>77364.9733657654</v>
      </c>
      <c r="U255" s="7" t="s">
        <v>1288</v>
      </c>
    </row>
    <row r="256" spans="1:21" s="65" customFormat="1" ht="16.5" thickBot="1">
      <c r="A256" s="38" t="s">
        <v>31</v>
      </c>
      <c r="B256" s="39">
        <f t="shared" si="12"/>
        <v>70</v>
      </c>
      <c r="C256" s="39" t="s">
        <v>3</v>
      </c>
      <c r="D256" s="39">
        <f t="shared" si="13"/>
        <v>300</v>
      </c>
      <c r="E256" s="39" t="s">
        <v>3</v>
      </c>
      <c r="F256" s="101">
        <f t="shared" si="14"/>
        <v>2600</v>
      </c>
      <c r="G256" s="39" t="s">
        <v>3</v>
      </c>
      <c r="H256" s="39">
        <v>4</v>
      </c>
      <c r="I256" s="40" t="s">
        <v>40</v>
      </c>
      <c r="J256" s="149">
        <v>70</v>
      </c>
      <c r="K256" s="104">
        <v>300</v>
      </c>
      <c r="L256" s="104">
        <v>2600</v>
      </c>
      <c r="M256" s="150">
        <v>24.619130694795714</v>
      </c>
      <c r="N256" s="66">
        <v>984.36970653008393</v>
      </c>
      <c r="O256" s="111">
        <v>44124.228899120331</v>
      </c>
      <c r="P256" s="111">
        <v>51192.439028805456</v>
      </c>
      <c r="Q256" s="110">
        <v>27532.289027786119</v>
      </c>
      <c r="R256" s="258">
        <v>71656.517926906454</v>
      </c>
      <c r="S256" s="259">
        <v>78724.728056591572</v>
      </c>
      <c r="U256" s="7" t="s">
        <v>1289</v>
      </c>
    </row>
    <row r="257" spans="1:21" s="65" customFormat="1" ht="16.5" thickBot="1">
      <c r="A257" s="41" t="s">
        <v>31</v>
      </c>
      <c r="B257" s="42">
        <f t="shared" si="12"/>
        <v>70</v>
      </c>
      <c r="C257" s="42" t="s">
        <v>3</v>
      </c>
      <c r="D257" s="42">
        <f t="shared" si="13"/>
        <v>300</v>
      </c>
      <c r="E257" s="42" t="s">
        <v>3</v>
      </c>
      <c r="F257" s="101">
        <f t="shared" si="14"/>
        <v>2650</v>
      </c>
      <c r="G257" s="42" t="s">
        <v>3</v>
      </c>
      <c r="H257" s="39">
        <v>4</v>
      </c>
      <c r="I257" s="40" t="s">
        <v>40</v>
      </c>
      <c r="J257" s="149">
        <v>70</v>
      </c>
      <c r="K257" s="104">
        <v>300</v>
      </c>
      <c r="L257" s="104">
        <v>2650</v>
      </c>
      <c r="M257" s="150">
        <v>25.072522578841429</v>
      </c>
      <c r="N257" s="66">
        <v>1006.244588897419</v>
      </c>
      <c r="O257" s="111">
        <v>44829.188500795623</v>
      </c>
      <c r="P257" s="111">
        <v>52024.317780728874</v>
      </c>
      <c r="Q257" s="110">
        <v>28060.164966688873</v>
      </c>
      <c r="R257" s="258">
        <v>72889.3534674845</v>
      </c>
      <c r="S257" s="259">
        <v>80084.482747417744</v>
      </c>
      <c r="U257" s="7" t="s">
        <v>1290</v>
      </c>
    </row>
    <row r="258" spans="1:21" s="65" customFormat="1" ht="16.5" thickBot="1">
      <c r="A258" s="41" t="s">
        <v>31</v>
      </c>
      <c r="B258" s="42">
        <f t="shared" si="12"/>
        <v>70</v>
      </c>
      <c r="C258" s="42" t="s">
        <v>3</v>
      </c>
      <c r="D258" s="42">
        <f t="shared" si="13"/>
        <v>300</v>
      </c>
      <c r="E258" s="42" t="s">
        <v>3</v>
      </c>
      <c r="F258" s="101">
        <f t="shared" si="14"/>
        <v>2700</v>
      </c>
      <c r="G258" s="42" t="s">
        <v>3</v>
      </c>
      <c r="H258" s="39">
        <v>4</v>
      </c>
      <c r="I258" s="40" t="s">
        <v>40</v>
      </c>
      <c r="J258" s="149">
        <v>70</v>
      </c>
      <c r="K258" s="104">
        <v>300</v>
      </c>
      <c r="L258" s="104">
        <v>2700</v>
      </c>
      <c r="M258" s="150">
        <v>25.604414462887142</v>
      </c>
      <c r="N258" s="66">
        <v>1028.1194712647543</v>
      </c>
      <c r="O258" s="111">
        <v>45618.246437604234</v>
      </c>
      <c r="P258" s="111">
        <v>52937.731635969787</v>
      </c>
      <c r="Q258" s="110">
        <v>28588.040752562865</v>
      </c>
      <c r="R258" s="258">
        <v>74206.287190167102</v>
      </c>
      <c r="S258" s="259">
        <v>81525.772388532656</v>
      </c>
      <c r="U258" s="7" t="s">
        <v>1291</v>
      </c>
    </row>
    <row r="259" spans="1:21" s="65" customFormat="1" ht="16.5" thickBot="1">
      <c r="A259" s="41" t="s">
        <v>31</v>
      </c>
      <c r="B259" s="42">
        <f t="shared" si="12"/>
        <v>70</v>
      </c>
      <c r="C259" s="42" t="s">
        <v>3</v>
      </c>
      <c r="D259" s="42">
        <f t="shared" si="13"/>
        <v>300</v>
      </c>
      <c r="E259" s="42" t="s">
        <v>3</v>
      </c>
      <c r="F259" s="101">
        <f t="shared" si="14"/>
        <v>2750</v>
      </c>
      <c r="G259" s="42" t="s">
        <v>3</v>
      </c>
      <c r="H259" s="39">
        <v>4</v>
      </c>
      <c r="I259" s="40" t="s">
        <v>40</v>
      </c>
      <c r="J259" s="149">
        <v>70</v>
      </c>
      <c r="K259" s="104">
        <v>300</v>
      </c>
      <c r="L259" s="104">
        <v>2750</v>
      </c>
      <c r="M259" s="150">
        <v>26.057806346932857</v>
      </c>
      <c r="N259" s="66">
        <v>1049.9943536320895</v>
      </c>
      <c r="O259" s="111">
        <v>46323.205886250755</v>
      </c>
      <c r="P259" s="111">
        <v>53769.610540921967</v>
      </c>
      <c r="Q259" s="110">
        <v>29115.916691465467</v>
      </c>
      <c r="R259" s="258">
        <v>75439.122577716218</v>
      </c>
      <c r="S259" s="259">
        <v>82885.527232387438</v>
      </c>
      <c r="U259" s="7" t="s">
        <v>1292</v>
      </c>
    </row>
    <row r="260" spans="1:21" s="65" customFormat="1" ht="16.5" thickBot="1">
      <c r="A260" s="41" t="s">
        <v>31</v>
      </c>
      <c r="B260" s="42">
        <f t="shared" si="12"/>
        <v>70</v>
      </c>
      <c r="C260" s="42" t="s">
        <v>3</v>
      </c>
      <c r="D260" s="42">
        <f t="shared" si="13"/>
        <v>300</v>
      </c>
      <c r="E260" s="42" t="s">
        <v>3</v>
      </c>
      <c r="F260" s="101">
        <f t="shared" si="14"/>
        <v>2800</v>
      </c>
      <c r="G260" s="42" t="s">
        <v>3</v>
      </c>
      <c r="H260" s="39">
        <v>4</v>
      </c>
      <c r="I260" s="40" t="s">
        <v>40</v>
      </c>
      <c r="J260" s="149">
        <v>70</v>
      </c>
      <c r="K260" s="104">
        <v>300</v>
      </c>
      <c r="L260" s="104">
        <v>2800</v>
      </c>
      <c r="M260" s="150">
        <v>26.511198230978572</v>
      </c>
      <c r="N260" s="66">
        <v>1071.8692359994247</v>
      </c>
      <c r="O260" s="111">
        <v>47028.165487926031</v>
      </c>
      <c r="P260" s="111">
        <v>54601.489445874155</v>
      </c>
      <c r="Q260" s="110">
        <v>29643.792630368374</v>
      </c>
      <c r="R260" s="258">
        <v>76671.958118294409</v>
      </c>
      <c r="S260" s="259">
        <v>84245.282076242525</v>
      </c>
      <c r="U260" s="7" t="s">
        <v>1293</v>
      </c>
    </row>
    <row r="261" spans="1:21" s="65" customFormat="1" ht="16.5" thickBot="1">
      <c r="A261" s="41" t="s">
        <v>31</v>
      </c>
      <c r="B261" s="42">
        <f t="shared" si="12"/>
        <v>70</v>
      </c>
      <c r="C261" s="42" t="s">
        <v>3</v>
      </c>
      <c r="D261" s="42">
        <f t="shared" si="13"/>
        <v>300</v>
      </c>
      <c r="E261" s="42" t="s">
        <v>3</v>
      </c>
      <c r="F261" s="101">
        <f t="shared" si="14"/>
        <v>2850</v>
      </c>
      <c r="G261" s="42" t="s">
        <v>3</v>
      </c>
      <c r="H261" s="39">
        <v>4</v>
      </c>
      <c r="I261" s="40" t="s">
        <v>40</v>
      </c>
      <c r="J261" s="149">
        <v>70</v>
      </c>
      <c r="K261" s="104">
        <v>300</v>
      </c>
      <c r="L261" s="104">
        <v>2850</v>
      </c>
      <c r="M261" s="150">
        <v>26.964590115024283</v>
      </c>
      <c r="N261" s="66">
        <v>1093.7441183667599</v>
      </c>
      <c r="O261" s="111">
        <v>47733.125089601323</v>
      </c>
      <c r="P261" s="111">
        <v>55433.368350826342</v>
      </c>
      <c r="Q261" s="110">
        <v>30171.668416242363</v>
      </c>
      <c r="R261" s="258">
        <v>77904.793505843685</v>
      </c>
      <c r="S261" s="259">
        <v>85605.036767068697</v>
      </c>
      <c r="U261" s="7" t="s">
        <v>1294</v>
      </c>
    </row>
    <row r="262" spans="1:21" s="65" customFormat="1" ht="16.5" thickBot="1">
      <c r="A262" s="41" t="s">
        <v>31</v>
      </c>
      <c r="B262" s="42">
        <f t="shared" si="12"/>
        <v>70</v>
      </c>
      <c r="C262" s="42" t="s">
        <v>3</v>
      </c>
      <c r="D262" s="42">
        <f t="shared" si="13"/>
        <v>300</v>
      </c>
      <c r="E262" s="42" t="s">
        <v>3</v>
      </c>
      <c r="F262" s="101">
        <f t="shared" si="14"/>
        <v>2900</v>
      </c>
      <c r="G262" s="42" t="s">
        <v>3</v>
      </c>
      <c r="H262" s="39">
        <v>4</v>
      </c>
      <c r="I262" s="40" t="s">
        <v>40</v>
      </c>
      <c r="J262" s="149">
        <v>70</v>
      </c>
      <c r="K262" s="104">
        <v>300</v>
      </c>
      <c r="L262" s="104">
        <v>2900</v>
      </c>
      <c r="M262" s="150">
        <v>27.417981999069998</v>
      </c>
      <c r="N262" s="66">
        <v>1115.6190007340949</v>
      </c>
      <c r="O262" s="111">
        <v>48438.084691276606</v>
      </c>
      <c r="P262" s="111">
        <v>56265.24710274976</v>
      </c>
      <c r="Q262" s="110">
        <v>30699.544355145121</v>
      </c>
      <c r="R262" s="258">
        <v>79137.629046421731</v>
      </c>
      <c r="S262" s="259">
        <v>86964.791457894884</v>
      </c>
      <c r="U262" s="7" t="s">
        <v>1295</v>
      </c>
    </row>
    <row r="263" spans="1:21" s="65" customFormat="1" ht="16.5" thickBot="1">
      <c r="A263" s="41" t="s">
        <v>31</v>
      </c>
      <c r="B263" s="42">
        <f t="shared" si="12"/>
        <v>70</v>
      </c>
      <c r="C263" s="42" t="s">
        <v>3</v>
      </c>
      <c r="D263" s="42">
        <f t="shared" si="13"/>
        <v>300</v>
      </c>
      <c r="E263" s="42" t="s">
        <v>3</v>
      </c>
      <c r="F263" s="101">
        <f t="shared" si="14"/>
        <v>2950</v>
      </c>
      <c r="G263" s="42" t="s">
        <v>3</v>
      </c>
      <c r="H263" s="39">
        <v>4</v>
      </c>
      <c r="I263" s="40" t="s">
        <v>40</v>
      </c>
      <c r="J263" s="149">
        <v>70</v>
      </c>
      <c r="K263" s="104">
        <v>300</v>
      </c>
      <c r="L263" s="104">
        <v>2950</v>
      </c>
      <c r="M263" s="150">
        <v>27.871373883115716</v>
      </c>
      <c r="N263" s="66">
        <v>1137.4938831014304</v>
      </c>
      <c r="O263" s="111">
        <v>49143.04429295189</v>
      </c>
      <c r="P263" s="111">
        <v>57097.126007701947</v>
      </c>
      <c r="Q263" s="110">
        <v>31227.420141019105</v>
      </c>
      <c r="R263" s="258">
        <v>80370.464433970992</v>
      </c>
      <c r="S263" s="259">
        <v>88324.546148721056</v>
      </c>
      <c r="U263" s="7" t="s">
        <v>1296</v>
      </c>
    </row>
    <row r="264" spans="1:21" s="65" customFormat="1" ht="16.5" thickBot="1">
      <c r="A264" s="41" t="s">
        <v>31</v>
      </c>
      <c r="B264" s="42">
        <f t="shared" si="12"/>
        <v>70</v>
      </c>
      <c r="C264" s="42" t="s">
        <v>3</v>
      </c>
      <c r="D264" s="42">
        <f t="shared" si="13"/>
        <v>300</v>
      </c>
      <c r="E264" s="42" t="s">
        <v>3</v>
      </c>
      <c r="F264" s="101">
        <f t="shared" si="14"/>
        <v>3000</v>
      </c>
      <c r="G264" s="42" t="s">
        <v>3</v>
      </c>
      <c r="H264" s="39">
        <v>4</v>
      </c>
      <c r="I264" s="40" t="s">
        <v>40</v>
      </c>
      <c r="J264" s="151">
        <v>70</v>
      </c>
      <c r="K264" s="134">
        <v>300</v>
      </c>
      <c r="L264" s="134">
        <v>3000</v>
      </c>
      <c r="M264" s="152">
        <v>28.324765767161423</v>
      </c>
      <c r="N264" s="126">
        <v>1159.3687654687656</v>
      </c>
      <c r="O264" s="135">
        <v>49848.003741598412</v>
      </c>
      <c r="P264" s="135">
        <v>57929.004912654142</v>
      </c>
      <c r="Q264" s="136">
        <v>31755.296079921864</v>
      </c>
      <c r="R264" s="260">
        <v>81603.299821520282</v>
      </c>
      <c r="S264" s="261">
        <v>89684.300992575998</v>
      </c>
      <c r="U264" s="7" t="s">
        <v>1297</v>
      </c>
    </row>
  </sheetData>
  <mergeCells count="22">
    <mergeCell ref="Q4:Q5"/>
    <mergeCell ref="R4:R5"/>
    <mergeCell ref="S4:S5"/>
    <mergeCell ref="O6:S6"/>
    <mergeCell ref="A4:I6"/>
    <mergeCell ref="J4:M5"/>
    <mergeCell ref="N4:N6"/>
    <mergeCell ref="O4:O5"/>
    <mergeCell ref="P4:P5"/>
    <mergeCell ref="A165:S165"/>
    <mergeCell ref="A215:S215"/>
    <mergeCell ref="A61:S61"/>
    <mergeCell ref="A111:S111"/>
    <mergeCell ref="A113:S113"/>
    <mergeCell ref="A164:S164"/>
    <mergeCell ref="A59:S59"/>
    <mergeCell ref="A7:S7"/>
    <mergeCell ref="A8:S8"/>
    <mergeCell ref="A9:S9"/>
    <mergeCell ref="A163:S163"/>
    <mergeCell ref="A60:S60"/>
    <mergeCell ref="A112:S112"/>
  </mergeCells>
  <hyperlinks>
    <hyperlink ref="A1:I1" location="Главная!A1" display="Вернуться на главную страницу" xr:uid="{00000000-0004-0000-1100-000000000000}"/>
    <hyperlink ref="A2" location="'Калькулятор теплоотдач ВК'!R1C1" display="Вернуться Калькулятор теплоотдач ВК" xr:uid="{00000000-0004-0000-1100-000001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20">
    <tabColor rgb="FFFFC000"/>
  </sheetPr>
  <dimension ref="A1:U413"/>
  <sheetViews>
    <sheetView zoomScale="70" zoomScaleNormal="70" workbookViewId="0">
      <pane ySplit="6" topLeftCell="A7" activePane="bottomLeft" state="frozen"/>
      <selection pane="bottomLeft" activeCell="V6" sqref="V6"/>
    </sheetView>
  </sheetViews>
  <sheetFormatPr defaultRowHeight="15.75"/>
  <cols>
    <col min="1" max="1" width="3.710937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99" customWidth="1"/>
    <col min="7" max="7" width="3" style="7" customWidth="1"/>
    <col min="8" max="8" width="6" style="7" customWidth="1"/>
    <col min="9" max="9" width="4.5703125" style="7" customWidth="1"/>
    <col min="10" max="10" width="11.28515625" style="7" customWidth="1"/>
    <col min="11" max="12" width="11.28515625" style="99" customWidth="1"/>
    <col min="13" max="13" width="15.5703125" style="140" customWidth="1"/>
    <col min="14" max="14" width="19.140625" style="7" customWidth="1"/>
    <col min="15" max="16" width="27.7109375" style="106" customWidth="1"/>
    <col min="17" max="17" width="26.28515625" style="107" customWidth="1"/>
    <col min="18" max="19" width="27.7109375" style="107" customWidth="1"/>
    <col min="21" max="21" width="22.42578125" customWidth="1"/>
  </cols>
  <sheetData>
    <row r="1" spans="1:21" s="65" customFormat="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142</v>
      </c>
      <c r="P4" s="3008" t="s">
        <v>138</v>
      </c>
      <c r="Q4" s="3045" t="s">
        <v>143</v>
      </c>
      <c r="R4" s="3020" t="s">
        <v>420</v>
      </c>
      <c r="S4" s="2981" t="s">
        <v>421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s="65" customFormat="1" ht="22.5" customHeight="1" thickBot="1">
      <c r="A7" s="2968" t="s">
        <v>472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s="65" customFormat="1" ht="22.5" customHeight="1" thickBot="1">
      <c r="A8" s="2971" t="s">
        <v>62</v>
      </c>
      <c r="B8" s="2972"/>
      <c r="C8" s="2972"/>
      <c r="D8" s="2972"/>
      <c r="E8" s="2972"/>
      <c r="F8" s="2972"/>
      <c r="G8" s="2972"/>
      <c r="H8" s="2972"/>
      <c r="I8" s="2972"/>
      <c r="J8" s="2972"/>
      <c r="K8" s="2972"/>
      <c r="L8" s="2972"/>
      <c r="M8" s="2972"/>
      <c r="N8" s="2972"/>
      <c r="O8" s="2972"/>
      <c r="P8" s="2972"/>
      <c r="Q8" s="2972"/>
      <c r="R8" s="2972"/>
      <c r="S8" s="2973"/>
    </row>
    <row r="9" spans="1:21" ht="16.5" customHeight="1" thickBot="1">
      <c r="A9" s="2974" t="s">
        <v>112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5"/>
      <c r="R9" s="3022"/>
      <c r="S9" s="3023"/>
    </row>
    <row r="10" spans="1:21" s="65" customFormat="1" ht="16.5" customHeight="1" thickBot="1">
      <c r="A10" s="38" t="s">
        <v>31</v>
      </c>
      <c r="B10" s="39">
        <f>J10</f>
        <v>75</v>
      </c>
      <c r="C10" s="39" t="s">
        <v>3</v>
      </c>
      <c r="D10" s="39">
        <f>K10</f>
        <v>160</v>
      </c>
      <c r="E10" s="39" t="s">
        <v>3</v>
      </c>
      <c r="F10" s="101">
        <f>L10</f>
        <v>600</v>
      </c>
      <c r="G10" s="39" t="s">
        <v>3</v>
      </c>
      <c r="H10" s="39">
        <v>2</v>
      </c>
      <c r="I10" s="40" t="s">
        <v>40</v>
      </c>
      <c r="J10" s="146">
        <v>75</v>
      </c>
      <c r="K10" s="138">
        <v>160</v>
      </c>
      <c r="L10" s="138">
        <v>600</v>
      </c>
      <c r="M10" s="147">
        <v>4.2803104440392108</v>
      </c>
      <c r="N10" s="123">
        <v>64.219499999999996</v>
      </c>
      <c r="O10" s="153">
        <v>10311.084621330638</v>
      </c>
      <c r="P10" s="148">
        <v>11916.463487627476</v>
      </c>
      <c r="Q10" s="253">
        <v>6395.7962266903232</v>
      </c>
      <c r="R10" s="256">
        <v>16706.880848020963</v>
      </c>
      <c r="S10" s="257">
        <v>18312.259714317799</v>
      </c>
      <c r="U10" s="7" t="s">
        <v>1298</v>
      </c>
    </row>
    <row r="11" spans="1:21" s="65" customFormat="1" ht="16.5" customHeight="1" thickBot="1">
      <c r="A11" s="41" t="s">
        <v>31</v>
      </c>
      <c r="B11" s="42">
        <f t="shared" ref="B11:B58" si="0">J11</f>
        <v>75</v>
      </c>
      <c r="C11" s="42" t="s">
        <v>3</v>
      </c>
      <c r="D11" s="42">
        <f t="shared" ref="D11:D58" si="1">K11</f>
        <v>160</v>
      </c>
      <c r="E11" s="42" t="s">
        <v>3</v>
      </c>
      <c r="F11" s="101">
        <f t="shared" ref="F11:F58" si="2">L11</f>
        <v>650</v>
      </c>
      <c r="G11" s="42" t="s">
        <v>3</v>
      </c>
      <c r="H11" s="39">
        <v>2</v>
      </c>
      <c r="I11" s="40" t="s">
        <v>40</v>
      </c>
      <c r="J11" s="149">
        <v>75</v>
      </c>
      <c r="K11" s="104">
        <v>160</v>
      </c>
      <c r="L11" s="104">
        <v>650</v>
      </c>
      <c r="M11" s="150">
        <v>4.5379365848402635</v>
      </c>
      <c r="N11" s="78">
        <v>77.063399999999987</v>
      </c>
      <c r="O11" s="109">
        <v>10738.36189850046</v>
      </c>
      <c r="P11" s="111">
        <v>12440.099764592442</v>
      </c>
      <c r="Q11" s="254">
        <v>6733.286477412059</v>
      </c>
      <c r="R11" s="258">
        <v>17471.648375912519</v>
      </c>
      <c r="S11" s="259">
        <v>19173.386242004501</v>
      </c>
      <c r="U11" s="7" t="s">
        <v>1299</v>
      </c>
    </row>
    <row r="12" spans="1:21" s="65" customFormat="1" ht="16.5" customHeight="1" thickBot="1">
      <c r="A12" s="41" t="s">
        <v>31</v>
      </c>
      <c r="B12" s="42">
        <f t="shared" si="0"/>
        <v>75</v>
      </c>
      <c r="C12" s="42" t="s">
        <v>3</v>
      </c>
      <c r="D12" s="42">
        <f t="shared" si="1"/>
        <v>160</v>
      </c>
      <c r="E12" s="42" t="s">
        <v>3</v>
      </c>
      <c r="F12" s="101">
        <f t="shared" si="2"/>
        <v>700</v>
      </c>
      <c r="G12" s="42" t="s">
        <v>3</v>
      </c>
      <c r="H12" s="39">
        <v>2</v>
      </c>
      <c r="I12" s="40" t="s">
        <v>40</v>
      </c>
      <c r="J12" s="149">
        <v>75</v>
      </c>
      <c r="K12" s="104">
        <v>160</v>
      </c>
      <c r="L12" s="104">
        <v>700</v>
      </c>
      <c r="M12" s="150">
        <v>4.8560810245886836</v>
      </c>
      <c r="N12" s="78">
        <v>89.907299999999992</v>
      </c>
      <c r="O12" s="109">
        <v>11165.639022641517</v>
      </c>
      <c r="P12" s="111">
        <v>12963.736194586174</v>
      </c>
      <c r="Q12" s="254">
        <v>7322.1107128887988</v>
      </c>
      <c r="R12" s="258">
        <v>18487.749735530317</v>
      </c>
      <c r="S12" s="259">
        <v>20285.846907474974</v>
      </c>
      <c r="U12" s="7" t="s">
        <v>1300</v>
      </c>
    </row>
    <row r="13" spans="1:21" s="65" customFormat="1" ht="16.5" customHeight="1" thickBot="1">
      <c r="A13" s="41" t="s">
        <v>31</v>
      </c>
      <c r="B13" s="42">
        <f t="shared" si="0"/>
        <v>75</v>
      </c>
      <c r="C13" s="42" t="s">
        <v>3</v>
      </c>
      <c r="D13" s="42">
        <f t="shared" si="1"/>
        <v>160</v>
      </c>
      <c r="E13" s="42" t="s">
        <v>3</v>
      </c>
      <c r="F13" s="101">
        <f t="shared" si="2"/>
        <v>750</v>
      </c>
      <c r="G13" s="42" t="s">
        <v>3</v>
      </c>
      <c r="H13" s="39">
        <v>2</v>
      </c>
      <c r="I13" s="40" t="s">
        <v>40</v>
      </c>
      <c r="J13" s="149">
        <v>75</v>
      </c>
      <c r="K13" s="104">
        <v>160</v>
      </c>
      <c r="L13" s="104">
        <v>750</v>
      </c>
      <c r="M13" s="150">
        <v>5.1571854643371058</v>
      </c>
      <c r="N13" s="78">
        <v>102.7512</v>
      </c>
      <c r="O13" s="109">
        <v>11592.916146782574</v>
      </c>
      <c r="P13" s="111">
        <v>13487.372624579906</v>
      </c>
      <c r="Q13" s="254">
        <v>7659.6009636105346</v>
      </c>
      <c r="R13" s="258">
        <v>19252.51711039311</v>
      </c>
      <c r="S13" s="259">
        <v>21146.973588190442</v>
      </c>
      <c r="U13" s="7" t="s">
        <v>1301</v>
      </c>
    </row>
    <row r="14" spans="1:21" s="65" customFormat="1" ht="16.5" customHeight="1" thickBot="1">
      <c r="A14" s="41" t="s">
        <v>31</v>
      </c>
      <c r="B14" s="42">
        <f t="shared" si="0"/>
        <v>75</v>
      </c>
      <c r="C14" s="42" t="s">
        <v>3</v>
      </c>
      <c r="D14" s="42">
        <f t="shared" si="1"/>
        <v>160</v>
      </c>
      <c r="E14" s="42" t="s">
        <v>3</v>
      </c>
      <c r="F14" s="101">
        <f t="shared" si="2"/>
        <v>800</v>
      </c>
      <c r="G14" s="42" t="s">
        <v>3</v>
      </c>
      <c r="H14" s="39">
        <v>2</v>
      </c>
      <c r="I14" s="40" t="s">
        <v>40</v>
      </c>
      <c r="J14" s="149">
        <v>75</v>
      </c>
      <c r="K14" s="104">
        <v>160</v>
      </c>
      <c r="L14" s="104">
        <v>800</v>
      </c>
      <c r="M14" s="150">
        <v>5.4582899040855271</v>
      </c>
      <c r="N14" s="78">
        <v>115.5951</v>
      </c>
      <c r="O14" s="109">
        <v>12020.193423952396</v>
      </c>
      <c r="P14" s="111">
        <v>14011.00905457364</v>
      </c>
      <c r="Q14" s="254">
        <v>7997.0912143322694</v>
      </c>
      <c r="R14" s="258">
        <v>20017.284638284666</v>
      </c>
      <c r="S14" s="259">
        <v>22008.10026890591</v>
      </c>
      <c r="U14" s="7" t="s">
        <v>1302</v>
      </c>
    </row>
    <row r="15" spans="1:21" s="65" customFormat="1" ht="16.5" customHeight="1" thickBot="1">
      <c r="A15" s="41" t="s">
        <v>31</v>
      </c>
      <c r="B15" s="42">
        <f t="shared" si="0"/>
        <v>75</v>
      </c>
      <c r="C15" s="42" t="s">
        <v>3</v>
      </c>
      <c r="D15" s="42">
        <f t="shared" si="1"/>
        <v>160</v>
      </c>
      <c r="E15" s="42" t="s">
        <v>3</v>
      </c>
      <c r="F15" s="101">
        <f t="shared" si="2"/>
        <v>850</v>
      </c>
      <c r="G15" s="42" t="s">
        <v>3</v>
      </c>
      <c r="H15" s="39">
        <v>2</v>
      </c>
      <c r="I15" s="40" t="s">
        <v>40</v>
      </c>
      <c r="J15" s="149">
        <v>75</v>
      </c>
      <c r="K15" s="104">
        <v>160</v>
      </c>
      <c r="L15" s="104">
        <v>850</v>
      </c>
      <c r="M15" s="150">
        <v>5.7764343438339472</v>
      </c>
      <c r="N15" s="78">
        <v>128.43899999999999</v>
      </c>
      <c r="O15" s="109">
        <v>12447.470548093454</v>
      </c>
      <c r="P15" s="111">
        <v>14534.645484567371</v>
      </c>
      <c r="Q15" s="254">
        <v>8585.9156028377747</v>
      </c>
      <c r="R15" s="258">
        <v>21033.386150931226</v>
      </c>
      <c r="S15" s="259">
        <v>23120.561087405145</v>
      </c>
      <c r="U15" s="7" t="s">
        <v>1303</v>
      </c>
    </row>
    <row r="16" spans="1:21" s="65" customFormat="1" ht="16.5" customHeight="1" thickBot="1">
      <c r="A16" s="41" t="s">
        <v>31</v>
      </c>
      <c r="B16" s="42">
        <f t="shared" si="0"/>
        <v>75</v>
      </c>
      <c r="C16" s="42" t="s">
        <v>3</v>
      </c>
      <c r="D16" s="42">
        <f t="shared" si="1"/>
        <v>160</v>
      </c>
      <c r="E16" s="42" t="s">
        <v>3</v>
      </c>
      <c r="F16" s="101">
        <f t="shared" si="2"/>
        <v>900</v>
      </c>
      <c r="G16" s="42" t="s">
        <v>3</v>
      </c>
      <c r="H16" s="39">
        <v>2</v>
      </c>
      <c r="I16" s="40" t="s">
        <v>40</v>
      </c>
      <c r="J16" s="149">
        <v>75</v>
      </c>
      <c r="K16" s="104">
        <v>160</v>
      </c>
      <c r="L16" s="104">
        <v>900</v>
      </c>
      <c r="M16" s="150">
        <v>6.0775387835823693</v>
      </c>
      <c r="N16" s="78">
        <v>141.28289999999998</v>
      </c>
      <c r="O16" s="109">
        <v>12874.747672234511</v>
      </c>
      <c r="P16" s="111">
        <v>15058.281914561105</v>
      </c>
      <c r="Q16" s="254">
        <v>8923.4057005307459</v>
      </c>
      <c r="R16" s="258">
        <v>21798.153372765257</v>
      </c>
      <c r="S16" s="259">
        <v>23981.687615091851</v>
      </c>
      <c r="U16" s="7" t="s">
        <v>1304</v>
      </c>
    </row>
    <row r="17" spans="1:21" s="65" customFormat="1" ht="16.5" customHeight="1" thickBot="1">
      <c r="A17" s="41" t="s">
        <v>31</v>
      </c>
      <c r="B17" s="42">
        <f t="shared" si="0"/>
        <v>75</v>
      </c>
      <c r="C17" s="42" t="s">
        <v>3</v>
      </c>
      <c r="D17" s="42">
        <f t="shared" si="1"/>
        <v>160</v>
      </c>
      <c r="E17" s="42" t="s">
        <v>3</v>
      </c>
      <c r="F17" s="101">
        <f t="shared" si="2"/>
        <v>950</v>
      </c>
      <c r="G17" s="42" t="s">
        <v>3</v>
      </c>
      <c r="H17" s="39">
        <v>2</v>
      </c>
      <c r="I17" s="40" t="s">
        <v>40</v>
      </c>
      <c r="J17" s="149">
        <v>75</v>
      </c>
      <c r="K17" s="104">
        <v>160</v>
      </c>
      <c r="L17" s="104">
        <v>950</v>
      </c>
      <c r="M17" s="150">
        <v>6.3956832233307903</v>
      </c>
      <c r="N17" s="78">
        <v>154.12679999999997</v>
      </c>
      <c r="O17" s="109">
        <v>13302.024796375566</v>
      </c>
      <c r="P17" s="111">
        <v>15581.918344554835</v>
      </c>
      <c r="Q17" s="254">
        <v>9512.2300890362512</v>
      </c>
      <c r="R17" s="258">
        <v>22814.254885411818</v>
      </c>
      <c r="S17" s="259">
        <v>25094.148433591086</v>
      </c>
      <c r="U17" s="7" t="s">
        <v>1305</v>
      </c>
    </row>
    <row r="18" spans="1:21" s="65" customFormat="1" ht="16.5" customHeight="1" thickBot="1">
      <c r="A18" s="41" t="s">
        <v>31</v>
      </c>
      <c r="B18" s="42">
        <f t="shared" si="0"/>
        <v>75</v>
      </c>
      <c r="C18" s="42" t="s">
        <v>3</v>
      </c>
      <c r="D18" s="42">
        <f t="shared" si="1"/>
        <v>160</v>
      </c>
      <c r="E18" s="42" t="s">
        <v>3</v>
      </c>
      <c r="F18" s="101">
        <f t="shared" si="2"/>
        <v>1000</v>
      </c>
      <c r="G18" s="42" t="s">
        <v>3</v>
      </c>
      <c r="H18" s="39">
        <v>2</v>
      </c>
      <c r="I18" s="40" t="s">
        <v>40</v>
      </c>
      <c r="J18" s="149">
        <v>75</v>
      </c>
      <c r="K18" s="104">
        <v>160</v>
      </c>
      <c r="L18" s="104">
        <v>1000</v>
      </c>
      <c r="M18" s="150">
        <v>6.6967876630792116</v>
      </c>
      <c r="N18" s="78">
        <v>166.97069999999999</v>
      </c>
      <c r="O18" s="109">
        <v>13729.302073545388</v>
      </c>
      <c r="P18" s="111">
        <v>16105.554621519803</v>
      </c>
      <c r="Q18" s="254">
        <v>9849.7203397579869</v>
      </c>
      <c r="R18" s="258">
        <v>23579.022413303377</v>
      </c>
      <c r="S18" s="259">
        <v>25955.274961277792</v>
      </c>
      <c r="U18" s="7" t="s">
        <v>1306</v>
      </c>
    </row>
    <row r="19" spans="1:21" s="65" customFormat="1" ht="16.5" customHeight="1" thickBot="1">
      <c r="A19" s="41" t="s">
        <v>31</v>
      </c>
      <c r="B19" s="42">
        <f t="shared" si="0"/>
        <v>75</v>
      </c>
      <c r="C19" s="42" t="s">
        <v>3</v>
      </c>
      <c r="D19" s="42">
        <f t="shared" si="1"/>
        <v>160</v>
      </c>
      <c r="E19" s="42" t="s">
        <v>3</v>
      </c>
      <c r="F19" s="101">
        <f t="shared" si="2"/>
        <v>1050</v>
      </c>
      <c r="G19" s="42" t="s">
        <v>3</v>
      </c>
      <c r="H19" s="39">
        <v>2</v>
      </c>
      <c r="I19" s="40" t="s">
        <v>40</v>
      </c>
      <c r="J19" s="149">
        <v>75</v>
      </c>
      <c r="K19" s="104">
        <v>160</v>
      </c>
      <c r="L19" s="104">
        <v>1050</v>
      </c>
      <c r="M19" s="150">
        <v>7.0149321028276317</v>
      </c>
      <c r="N19" s="78">
        <v>179.81459999999998</v>
      </c>
      <c r="O19" s="109">
        <v>14156.579197686448</v>
      </c>
      <c r="P19" s="111">
        <v>16629.191051513535</v>
      </c>
      <c r="Q19" s="254">
        <v>10438.544728263492</v>
      </c>
      <c r="R19" s="258">
        <v>24595.123925949942</v>
      </c>
      <c r="S19" s="259">
        <v>27067.735779777027</v>
      </c>
      <c r="U19" s="7" t="s">
        <v>1307</v>
      </c>
    </row>
    <row r="20" spans="1:21" s="65" customFormat="1" ht="16.5" customHeight="1" thickBot="1">
      <c r="A20" s="38" t="s">
        <v>31</v>
      </c>
      <c r="B20" s="39">
        <f t="shared" si="0"/>
        <v>75</v>
      </c>
      <c r="C20" s="39" t="s">
        <v>3</v>
      </c>
      <c r="D20" s="39">
        <f t="shared" si="1"/>
        <v>160</v>
      </c>
      <c r="E20" s="39" t="s">
        <v>3</v>
      </c>
      <c r="F20" s="101">
        <f t="shared" si="2"/>
        <v>1100</v>
      </c>
      <c r="G20" s="39" t="s">
        <v>3</v>
      </c>
      <c r="H20" s="39">
        <v>2</v>
      </c>
      <c r="I20" s="40" t="s">
        <v>40</v>
      </c>
      <c r="J20" s="149">
        <v>75</v>
      </c>
      <c r="K20" s="104">
        <v>160</v>
      </c>
      <c r="L20" s="104">
        <v>1100</v>
      </c>
      <c r="M20" s="150">
        <v>7.316036542576053</v>
      </c>
      <c r="N20" s="78">
        <v>192.6585</v>
      </c>
      <c r="O20" s="109">
        <v>14583.856321827503</v>
      </c>
      <c r="P20" s="111">
        <v>17152.827481507265</v>
      </c>
      <c r="Q20" s="254">
        <v>10776.034825956463</v>
      </c>
      <c r="R20" s="258">
        <v>25359.891147783965</v>
      </c>
      <c r="S20" s="259">
        <v>27928.862307463729</v>
      </c>
      <c r="U20" s="7" t="s">
        <v>1308</v>
      </c>
    </row>
    <row r="21" spans="1:21" s="65" customFormat="1" ht="16.5" customHeight="1" thickBot="1">
      <c r="A21" s="41" t="s">
        <v>31</v>
      </c>
      <c r="B21" s="42">
        <f t="shared" si="0"/>
        <v>75</v>
      </c>
      <c r="C21" s="42" t="s">
        <v>3</v>
      </c>
      <c r="D21" s="42">
        <f t="shared" si="1"/>
        <v>160</v>
      </c>
      <c r="E21" s="42" t="s">
        <v>3</v>
      </c>
      <c r="F21" s="101">
        <f t="shared" si="2"/>
        <v>1150</v>
      </c>
      <c r="G21" s="42" t="s">
        <v>3</v>
      </c>
      <c r="H21" s="39">
        <v>2</v>
      </c>
      <c r="I21" s="40" t="s">
        <v>40</v>
      </c>
      <c r="J21" s="149">
        <v>75</v>
      </c>
      <c r="K21" s="104">
        <v>160</v>
      </c>
      <c r="L21" s="104">
        <v>1150</v>
      </c>
      <c r="M21" s="150">
        <v>7.6171409823244742</v>
      </c>
      <c r="N21" s="78">
        <v>205.50239999999999</v>
      </c>
      <c r="O21" s="109">
        <v>15011.133445968562</v>
      </c>
      <c r="P21" s="111">
        <v>17676.463911501</v>
      </c>
      <c r="Q21" s="254">
        <v>11113.525076678199</v>
      </c>
      <c r="R21" s="258">
        <v>26124.658522646761</v>
      </c>
      <c r="S21" s="259">
        <v>28789.988988179197</v>
      </c>
      <c r="U21" s="7" t="s">
        <v>1309</v>
      </c>
    </row>
    <row r="22" spans="1:21" s="65" customFormat="1" ht="16.5" customHeight="1" thickBot="1">
      <c r="A22" s="41" t="s">
        <v>31</v>
      </c>
      <c r="B22" s="42">
        <f t="shared" si="0"/>
        <v>75</v>
      </c>
      <c r="C22" s="42" t="s">
        <v>3</v>
      </c>
      <c r="D22" s="42">
        <f t="shared" si="1"/>
        <v>160</v>
      </c>
      <c r="E22" s="42" t="s">
        <v>3</v>
      </c>
      <c r="F22" s="101">
        <f t="shared" si="2"/>
        <v>1200</v>
      </c>
      <c r="G22" s="42" t="s">
        <v>3</v>
      </c>
      <c r="H22" s="39">
        <v>2</v>
      </c>
      <c r="I22" s="40" t="s">
        <v>40</v>
      </c>
      <c r="J22" s="149">
        <v>75</v>
      </c>
      <c r="K22" s="104">
        <v>160</v>
      </c>
      <c r="L22" s="104">
        <v>1200</v>
      </c>
      <c r="M22" s="150">
        <v>7.9745354220728952</v>
      </c>
      <c r="N22" s="78">
        <v>218.34630000000001</v>
      </c>
      <c r="O22" s="109">
        <v>15488.410882769031</v>
      </c>
      <c r="P22" s="111">
        <v>18248.576487653499</v>
      </c>
      <c r="Q22" s="254">
        <v>11702.349465183703</v>
      </c>
      <c r="R22" s="258">
        <v>27190.760347952732</v>
      </c>
      <c r="S22" s="259">
        <v>29950.925952837202</v>
      </c>
      <c r="U22" s="7" t="s">
        <v>1310</v>
      </c>
    </row>
    <row r="23" spans="1:21" s="65" customFormat="1" ht="16.5" customHeight="1" thickBot="1">
      <c r="A23" s="41" t="s">
        <v>31</v>
      </c>
      <c r="B23" s="42">
        <f t="shared" si="0"/>
        <v>75</v>
      </c>
      <c r="C23" s="42" t="s">
        <v>3</v>
      </c>
      <c r="D23" s="42">
        <f t="shared" si="1"/>
        <v>160</v>
      </c>
      <c r="E23" s="42" t="s">
        <v>3</v>
      </c>
      <c r="F23" s="101">
        <f t="shared" si="2"/>
        <v>1250</v>
      </c>
      <c r="G23" s="42" t="s">
        <v>3</v>
      </c>
      <c r="H23" s="39">
        <v>2</v>
      </c>
      <c r="I23" s="40" t="s">
        <v>40</v>
      </c>
      <c r="J23" s="149">
        <v>75</v>
      </c>
      <c r="K23" s="104">
        <v>160</v>
      </c>
      <c r="L23" s="104">
        <v>1250</v>
      </c>
      <c r="M23" s="150">
        <v>8.2756398618213165</v>
      </c>
      <c r="N23" s="78">
        <v>231.1902</v>
      </c>
      <c r="O23" s="109">
        <v>15915.688006910086</v>
      </c>
      <c r="P23" s="111">
        <v>18772.212917647234</v>
      </c>
      <c r="Q23" s="254">
        <v>12039.83971590544</v>
      </c>
      <c r="R23" s="258">
        <v>27955.527722815525</v>
      </c>
      <c r="S23" s="259">
        <v>30812.052633552674</v>
      </c>
      <c r="U23" s="7" t="s">
        <v>1311</v>
      </c>
    </row>
    <row r="24" spans="1:21" s="65" customFormat="1" ht="16.5" customHeight="1" thickBot="1">
      <c r="A24" s="41" t="s">
        <v>31</v>
      </c>
      <c r="B24" s="42">
        <f t="shared" si="0"/>
        <v>75</v>
      </c>
      <c r="C24" s="42" t="s">
        <v>3</v>
      </c>
      <c r="D24" s="42">
        <f t="shared" si="1"/>
        <v>160</v>
      </c>
      <c r="E24" s="42" t="s">
        <v>3</v>
      </c>
      <c r="F24" s="101">
        <f t="shared" si="2"/>
        <v>1300</v>
      </c>
      <c r="G24" s="42" t="s">
        <v>3</v>
      </c>
      <c r="H24" s="39">
        <v>2</v>
      </c>
      <c r="I24" s="40" t="s">
        <v>40</v>
      </c>
      <c r="J24" s="149">
        <v>75</v>
      </c>
      <c r="K24" s="104">
        <v>160</v>
      </c>
      <c r="L24" s="104">
        <v>1300</v>
      </c>
      <c r="M24" s="150">
        <v>8.5937843015697375</v>
      </c>
      <c r="N24" s="78">
        <v>244.0341</v>
      </c>
      <c r="O24" s="109">
        <v>16342.965284079908</v>
      </c>
      <c r="P24" s="111">
        <v>19295.849347640964</v>
      </c>
      <c r="Q24" s="254">
        <v>12628.663951382177</v>
      </c>
      <c r="R24" s="258">
        <v>28971.629235462085</v>
      </c>
      <c r="S24" s="259">
        <v>31924.513299023143</v>
      </c>
      <c r="U24" s="7" t="s">
        <v>1312</v>
      </c>
    </row>
    <row r="25" spans="1:21" s="65" customFormat="1" ht="16.5" customHeight="1" thickBot="1">
      <c r="A25" s="41" t="s">
        <v>31</v>
      </c>
      <c r="B25" s="42">
        <f t="shared" si="0"/>
        <v>75</v>
      </c>
      <c r="C25" s="42" t="s">
        <v>3</v>
      </c>
      <c r="D25" s="42">
        <f t="shared" si="1"/>
        <v>160</v>
      </c>
      <c r="E25" s="42" t="s">
        <v>3</v>
      </c>
      <c r="F25" s="101">
        <f t="shared" si="2"/>
        <v>1350</v>
      </c>
      <c r="G25" s="42" t="s">
        <v>3</v>
      </c>
      <c r="H25" s="39">
        <v>2</v>
      </c>
      <c r="I25" s="40" t="s">
        <v>40</v>
      </c>
      <c r="J25" s="149">
        <v>75</v>
      </c>
      <c r="K25" s="104">
        <v>160</v>
      </c>
      <c r="L25" s="104">
        <v>1350</v>
      </c>
      <c r="M25" s="150">
        <v>8.8948887413181588</v>
      </c>
      <c r="N25" s="78">
        <v>256.87799999999999</v>
      </c>
      <c r="O25" s="109">
        <v>16770.242408220965</v>
      </c>
      <c r="P25" s="111">
        <v>19819.485777634698</v>
      </c>
      <c r="Q25" s="254">
        <v>12966.154202103913</v>
      </c>
      <c r="R25" s="258">
        <v>29736.396610324879</v>
      </c>
      <c r="S25" s="259">
        <v>32785.639979738611</v>
      </c>
      <c r="U25" s="7" t="s">
        <v>1313</v>
      </c>
    </row>
    <row r="26" spans="1:21" s="65" customFormat="1" ht="16.5" customHeight="1" thickBot="1">
      <c r="A26" s="41" t="s">
        <v>31</v>
      </c>
      <c r="B26" s="42">
        <f t="shared" si="0"/>
        <v>75</v>
      </c>
      <c r="C26" s="42" t="s">
        <v>3</v>
      </c>
      <c r="D26" s="42">
        <f t="shared" si="1"/>
        <v>160</v>
      </c>
      <c r="E26" s="42" t="s">
        <v>3</v>
      </c>
      <c r="F26" s="101">
        <f t="shared" si="2"/>
        <v>1400</v>
      </c>
      <c r="G26" s="42" t="s">
        <v>3</v>
      </c>
      <c r="H26" s="39">
        <v>2</v>
      </c>
      <c r="I26" s="40" t="s">
        <v>40</v>
      </c>
      <c r="J26" s="149">
        <v>75</v>
      </c>
      <c r="K26" s="104">
        <v>160</v>
      </c>
      <c r="L26" s="104">
        <v>1400</v>
      </c>
      <c r="M26" s="150">
        <v>9.2130331810665798</v>
      </c>
      <c r="N26" s="78">
        <v>269.72190000000001</v>
      </c>
      <c r="O26" s="109">
        <v>17197.519532362025</v>
      </c>
      <c r="P26" s="111">
        <v>20343.122207628428</v>
      </c>
      <c r="Q26" s="254">
        <v>13554.97859060942</v>
      </c>
      <c r="R26" s="258">
        <v>30752.498122971447</v>
      </c>
      <c r="S26" s="259">
        <v>33898.100798237851</v>
      </c>
      <c r="U26" s="7" t="s">
        <v>1314</v>
      </c>
    </row>
    <row r="27" spans="1:21" s="65" customFormat="1" ht="16.5" customHeight="1" thickBot="1">
      <c r="A27" s="41" t="s">
        <v>31</v>
      </c>
      <c r="B27" s="42">
        <f t="shared" si="0"/>
        <v>75</v>
      </c>
      <c r="C27" s="42" t="s">
        <v>3</v>
      </c>
      <c r="D27" s="42">
        <f t="shared" si="1"/>
        <v>160</v>
      </c>
      <c r="E27" s="42" t="s">
        <v>3</v>
      </c>
      <c r="F27" s="101">
        <f t="shared" si="2"/>
        <v>1450</v>
      </c>
      <c r="G27" s="42" t="s">
        <v>3</v>
      </c>
      <c r="H27" s="39">
        <v>2</v>
      </c>
      <c r="I27" s="40" t="s">
        <v>40</v>
      </c>
      <c r="J27" s="149">
        <v>75</v>
      </c>
      <c r="K27" s="104">
        <v>160</v>
      </c>
      <c r="L27" s="104">
        <v>1450</v>
      </c>
      <c r="M27" s="150">
        <v>9.514137620815001</v>
      </c>
      <c r="N27" s="78">
        <v>282.56579999999997</v>
      </c>
      <c r="O27" s="109">
        <v>17624.79665650308</v>
      </c>
      <c r="P27" s="111">
        <v>20866.758484593396</v>
      </c>
      <c r="Q27" s="254">
        <v>13892.468841331156</v>
      </c>
      <c r="R27" s="258">
        <v>31517.265497834236</v>
      </c>
      <c r="S27" s="259">
        <v>34759.227325924556</v>
      </c>
      <c r="U27" s="7" t="s">
        <v>1315</v>
      </c>
    </row>
    <row r="28" spans="1:21" s="65" customFormat="1" ht="16.5" customHeight="1" thickBot="1">
      <c r="A28" s="41" t="s">
        <v>31</v>
      </c>
      <c r="B28" s="42">
        <f t="shared" si="0"/>
        <v>75</v>
      </c>
      <c r="C28" s="42" t="s">
        <v>3</v>
      </c>
      <c r="D28" s="42">
        <f t="shared" si="1"/>
        <v>160</v>
      </c>
      <c r="E28" s="42" t="s">
        <v>3</v>
      </c>
      <c r="F28" s="101">
        <f t="shared" si="2"/>
        <v>1500</v>
      </c>
      <c r="G28" s="42" t="s">
        <v>3</v>
      </c>
      <c r="H28" s="39">
        <v>2</v>
      </c>
      <c r="I28" s="40" t="s">
        <v>40</v>
      </c>
      <c r="J28" s="149">
        <v>75</v>
      </c>
      <c r="K28" s="104">
        <v>160</v>
      </c>
      <c r="L28" s="104">
        <v>1500</v>
      </c>
      <c r="M28" s="150">
        <v>9.9040444893634216</v>
      </c>
      <c r="N28" s="78">
        <v>295.40969999999999</v>
      </c>
      <c r="O28" s="109">
        <v>18640.058194257872</v>
      </c>
      <c r="P28" s="111">
        <v>21878.158647517786</v>
      </c>
      <c r="Q28" s="254">
        <v>14481.293076807897</v>
      </c>
      <c r="R28" s="258">
        <v>33121.351271065767</v>
      </c>
      <c r="S28" s="259">
        <v>36359.451724325685</v>
      </c>
      <c r="U28" s="7" t="s">
        <v>1316</v>
      </c>
    </row>
    <row r="29" spans="1:21" s="65" customFormat="1" ht="16.5" customHeight="1" thickBot="1">
      <c r="A29" s="41" t="s">
        <v>31</v>
      </c>
      <c r="B29" s="42">
        <f t="shared" si="0"/>
        <v>75</v>
      </c>
      <c r="C29" s="42" t="s">
        <v>3</v>
      </c>
      <c r="D29" s="42">
        <f t="shared" si="1"/>
        <v>160</v>
      </c>
      <c r="E29" s="42" t="s">
        <v>3</v>
      </c>
      <c r="F29" s="101">
        <f t="shared" si="2"/>
        <v>1550</v>
      </c>
      <c r="G29" s="42" t="s">
        <v>3</v>
      </c>
      <c r="H29" s="39">
        <v>2</v>
      </c>
      <c r="I29" s="40" t="s">
        <v>40</v>
      </c>
      <c r="J29" s="149">
        <v>75</v>
      </c>
      <c r="K29" s="104">
        <v>160</v>
      </c>
      <c r="L29" s="104">
        <v>1550</v>
      </c>
      <c r="M29" s="150">
        <v>10.205148929111841</v>
      </c>
      <c r="N29" s="78">
        <v>308.25359999999995</v>
      </c>
      <c r="O29" s="109">
        <v>19067.335318398927</v>
      </c>
      <c r="P29" s="111">
        <v>22401.795077511521</v>
      </c>
      <c r="Q29" s="254">
        <v>14818.783327529631</v>
      </c>
      <c r="R29" s="258">
        <v>33886.11864592856</v>
      </c>
      <c r="S29" s="259">
        <v>37220.578405041153</v>
      </c>
      <c r="U29" s="7" t="s">
        <v>1317</v>
      </c>
    </row>
    <row r="30" spans="1:21" s="65" customFormat="1" ht="16.5" customHeight="1" thickBot="1">
      <c r="A30" s="38" t="s">
        <v>31</v>
      </c>
      <c r="B30" s="39">
        <f t="shared" si="0"/>
        <v>75</v>
      </c>
      <c r="C30" s="39" t="s">
        <v>3</v>
      </c>
      <c r="D30" s="39">
        <f t="shared" si="1"/>
        <v>160</v>
      </c>
      <c r="E30" s="39" t="s">
        <v>3</v>
      </c>
      <c r="F30" s="101">
        <f t="shared" si="2"/>
        <v>1600</v>
      </c>
      <c r="G30" s="39" t="s">
        <v>3</v>
      </c>
      <c r="H30" s="39">
        <v>2</v>
      </c>
      <c r="I30" s="40" t="s">
        <v>40</v>
      </c>
      <c r="J30" s="149">
        <v>75</v>
      </c>
      <c r="K30" s="104">
        <v>160</v>
      </c>
      <c r="L30" s="104">
        <v>1600</v>
      </c>
      <c r="M30" s="150">
        <v>10.506253368860262</v>
      </c>
      <c r="N30" s="78">
        <v>321.09750000000003</v>
      </c>
      <c r="O30" s="109">
        <v>19494.612442539987</v>
      </c>
      <c r="P30" s="111">
        <v>22925.431507505251</v>
      </c>
      <c r="Q30" s="254">
        <v>15156.273578251366</v>
      </c>
      <c r="R30" s="258">
        <v>34650.886020791353</v>
      </c>
      <c r="S30" s="259">
        <v>38081.705085756621</v>
      </c>
      <c r="U30" s="7" t="s">
        <v>1318</v>
      </c>
    </row>
    <row r="31" spans="1:21" s="65" customFormat="1" ht="16.5" customHeight="1" thickBot="1">
      <c r="A31" s="41" t="s">
        <v>31</v>
      </c>
      <c r="B31" s="42">
        <f t="shared" si="0"/>
        <v>75</v>
      </c>
      <c r="C31" s="42" t="s">
        <v>3</v>
      </c>
      <c r="D31" s="42">
        <f t="shared" si="1"/>
        <v>160</v>
      </c>
      <c r="E31" s="42" t="s">
        <v>3</v>
      </c>
      <c r="F31" s="101">
        <f t="shared" si="2"/>
        <v>1650</v>
      </c>
      <c r="G31" s="42" t="s">
        <v>3</v>
      </c>
      <c r="H31" s="39">
        <v>2</v>
      </c>
      <c r="I31" s="40" t="s">
        <v>40</v>
      </c>
      <c r="J31" s="149">
        <v>75</v>
      </c>
      <c r="K31" s="104">
        <v>160</v>
      </c>
      <c r="L31" s="104">
        <v>1650</v>
      </c>
      <c r="M31" s="150">
        <v>10.824397808608687</v>
      </c>
      <c r="N31" s="78">
        <v>333.94139999999999</v>
      </c>
      <c r="O31" s="109">
        <v>19921.889566681042</v>
      </c>
      <c r="P31" s="111">
        <v>23449.067937498985</v>
      </c>
      <c r="Q31" s="254">
        <v>15745.097966756874</v>
      </c>
      <c r="R31" s="258">
        <v>35666.987533437918</v>
      </c>
      <c r="S31" s="259">
        <v>39194.16590425586</v>
      </c>
      <c r="U31" s="7" t="s">
        <v>1319</v>
      </c>
    </row>
    <row r="32" spans="1:21" s="65" customFormat="1" ht="16.5" customHeight="1" thickBot="1">
      <c r="A32" s="41" t="s">
        <v>31</v>
      </c>
      <c r="B32" s="42">
        <f t="shared" si="0"/>
        <v>75</v>
      </c>
      <c r="C32" s="42" t="s">
        <v>3</v>
      </c>
      <c r="D32" s="42">
        <f t="shared" si="1"/>
        <v>160</v>
      </c>
      <c r="E32" s="42" t="s">
        <v>3</v>
      </c>
      <c r="F32" s="101">
        <f t="shared" si="2"/>
        <v>1700</v>
      </c>
      <c r="G32" s="42" t="s">
        <v>3</v>
      </c>
      <c r="H32" s="39">
        <v>2</v>
      </c>
      <c r="I32" s="40" t="s">
        <v>40</v>
      </c>
      <c r="J32" s="149">
        <v>75</v>
      </c>
      <c r="K32" s="104">
        <v>160</v>
      </c>
      <c r="L32" s="104">
        <v>1700</v>
      </c>
      <c r="M32" s="150">
        <v>11.125502248357106</v>
      </c>
      <c r="N32" s="78">
        <v>346.78530000000001</v>
      </c>
      <c r="O32" s="109">
        <v>20349.166843850868</v>
      </c>
      <c r="P32" s="111">
        <v>23972.704214463953</v>
      </c>
      <c r="Q32" s="254">
        <v>16082.58806444969</v>
      </c>
      <c r="R32" s="258">
        <v>36431.754908300558</v>
      </c>
      <c r="S32" s="259">
        <v>40055.292278913643</v>
      </c>
      <c r="U32" s="7" t="s">
        <v>1320</v>
      </c>
    </row>
    <row r="33" spans="1:21" s="65" customFormat="1" ht="16.5" customHeight="1" thickBot="1">
      <c r="A33" s="41" t="s">
        <v>31</v>
      </c>
      <c r="B33" s="42">
        <f t="shared" si="0"/>
        <v>75</v>
      </c>
      <c r="C33" s="42" t="s">
        <v>3</v>
      </c>
      <c r="D33" s="42">
        <f t="shared" si="1"/>
        <v>160</v>
      </c>
      <c r="E33" s="42" t="s">
        <v>3</v>
      </c>
      <c r="F33" s="101">
        <f t="shared" si="2"/>
        <v>1750</v>
      </c>
      <c r="G33" s="42" t="s">
        <v>3</v>
      </c>
      <c r="H33" s="39">
        <v>2</v>
      </c>
      <c r="I33" s="40" t="s">
        <v>40</v>
      </c>
      <c r="J33" s="149">
        <v>75</v>
      </c>
      <c r="K33" s="104">
        <v>160</v>
      </c>
      <c r="L33" s="104">
        <v>1750</v>
      </c>
      <c r="M33" s="150">
        <v>11.443646688105527</v>
      </c>
      <c r="N33" s="78">
        <v>359.62919999999997</v>
      </c>
      <c r="O33" s="109">
        <v>20776.443967991923</v>
      </c>
      <c r="P33" s="111">
        <v>24496.340644457683</v>
      </c>
      <c r="Q33" s="254">
        <v>16671.412452955348</v>
      </c>
      <c r="R33" s="258">
        <v>37447.856420947268</v>
      </c>
      <c r="S33" s="259">
        <v>41167.753097413035</v>
      </c>
      <c r="U33" s="7" t="s">
        <v>1321</v>
      </c>
    </row>
    <row r="34" spans="1:21" s="65" customFormat="1" ht="16.5" customHeight="1" thickBot="1">
      <c r="A34" s="41" t="s">
        <v>31</v>
      </c>
      <c r="B34" s="42">
        <f t="shared" si="0"/>
        <v>75</v>
      </c>
      <c r="C34" s="42" t="s">
        <v>3</v>
      </c>
      <c r="D34" s="42">
        <f t="shared" si="1"/>
        <v>160</v>
      </c>
      <c r="E34" s="42" t="s">
        <v>3</v>
      </c>
      <c r="F34" s="101">
        <f t="shared" si="2"/>
        <v>1800</v>
      </c>
      <c r="G34" s="42" t="s">
        <v>3</v>
      </c>
      <c r="H34" s="39">
        <v>2</v>
      </c>
      <c r="I34" s="40" t="s">
        <v>40</v>
      </c>
      <c r="J34" s="149">
        <v>75</v>
      </c>
      <c r="K34" s="104">
        <v>160</v>
      </c>
      <c r="L34" s="104">
        <v>1800</v>
      </c>
      <c r="M34" s="150">
        <v>11.744751127853947</v>
      </c>
      <c r="N34" s="78">
        <v>372.47309999999999</v>
      </c>
      <c r="O34" s="109">
        <v>21203.721092132979</v>
      </c>
      <c r="P34" s="111">
        <v>25019.977074451417</v>
      </c>
      <c r="Q34" s="254">
        <v>17008.902703677086</v>
      </c>
      <c r="R34" s="258">
        <v>38212.623795810068</v>
      </c>
      <c r="S34" s="259">
        <v>42028.879778128503</v>
      </c>
      <c r="U34" s="7" t="s">
        <v>1322</v>
      </c>
    </row>
    <row r="35" spans="1:21" s="65" customFormat="1" ht="16.5" customHeight="1" thickBot="1">
      <c r="A35" s="41" t="s">
        <v>31</v>
      </c>
      <c r="B35" s="42">
        <f t="shared" si="0"/>
        <v>75</v>
      </c>
      <c r="C35" s="42" t="s">
        <v>3</v>
      </c>
      <c r="D35" s="42">
        <f t="shared" si="1"/>
        <v>160</v>
      </c>
      <c r="E35" s="42" t="s">
        <v>3</v>
      </c>
      <c r="F35" s="101">
        <f t="shared" si="2"/>
        <v>1850</v>
      </c>
      <c r="G35" s="42" t="s">
        <v>3</v>
      </c>
      <c r="H35" s="39">
        <v>2</v>
      </c>
      <c r="I35" s="40" t="s">
        <v>40</v>
      </c>
      <c r="J35" s="149">
        <v>75</v>
      </c>
      <c r="K35" s="104">
        <v>160</v>
      </c>
      <c r="L35" s="104">
        <v>1850</v>
      </c>
      <c r="M35" s="150">
        <v>12.06289556760237</v>
      </c>
      <c r="N35" s="78">
        <v>385.31700000000001</v>
      </c>
      <c r="O35" s="109">
        <v>21630.998369302804</v>
      </c>
      <c r="P35" s="111">
        <v>25543.613504445148</v>
      </c>
      <c r="Q35" s="254">
        <v>17597.727092182588</v>
      </c>
      <c r="R35" s="258">
        <v>39228.725461485388</v>
      </c>
      <c r="S35" s="259">
        <v>43141.340596627735</v>
      </c>
      <c r="U35" s="7" t="s">
        <v>1323</v>
      </c>
    </row>
    <row r="36" spans="1:21" s="65" customFormat="1" ht="16.5" customHeight="1" thickBot="1">
      <c r="A36" s="41" t="s">
        <v>31</v>
      </c>
      <c r="B36" s="42">
        <f t="shared" si="0"/>
        <v>75</v>
      </c>
      <c r="C36" s="42" t="s">
        <v>3</v>
      </c>
      <c r="D36" s="42">
        <f t="shared" si="1"/>
        <v>160</v>
      </c>
      <c r="E36" s="42" t="s">
        <v>3</v>
      </c>
      <c r="F36" s="101">
        <f t="shared" si="2"/>
        <v>1900</v>
      </c>
      <c r="G36" s="42" t="s">
        <v>3</v>
      </c>
      <c r="H36" s="39">
        <v>2</v>
      </c>
      <c r="I36" s="40" t="s">
        <v>40</v>
      </c>
      <c r="J36" s="149">
        <v>75</v>
      </c>
      <c r="K36" s="104">
        <v>160</v>
      </c>
      <c r="L36" s="104">
        <v>1900</v>
      </c>
      <c r="M36" s="150">
        <v>12.364000007350789</v>
      </c>
      <c r="N36" s="78">
        <v>398.16089999999997</v>
      </c>
      <c r="O36" s="109">
        <v>22058.27549344386</v>
      </c>
      <c r="P36" s="111">
        <v>26067.249934438882</v>
      </c>
      <c r="Q36" s="254">
        <v>17935.217189875559</v>
      </c>
      <c r="R36" s="258">
        <v>39993.492683319419</v>
      </c>
      <c r="S36" s="259">
        <v>44002.46712431444</v>
      </c>
      <c r="U36" s="7" t="s">
        <v>1324</v>
      </c>
    </row>
    <row r="37" spans="1:21" s="65" customFormat="1" ht="16.5" customHeight="1" thickBot="1">
      <c r="A37" s="41" t="s">
        <v>31</v>
      </c>
      <c r="B37" s="42">
        <f t="shared" si="0"/>
        <v>75</v>
      </c>
      <c r="C37" s="42" t="s">
        <v>3</v>
      </c>
      <c r="D37" s="42">
        <f t="shared" si="1"/>
        <v>160</v>
      </c>
      <c r="E37" s="42" t="s">
        <v>3</v>
      </c>
      <c r="F37" s="101">
        <f t="shared" si="2"/>
        <v>1950</v>
      </c>
      <c r="G37" s="42" t="s">
        <v>3</v>
      </c>
      <c r="H37" s="39">
        <v>2</v>
      </c>
      <c r="I37" s="40" t="s">
        <v>40</v>
      </c>
      <c r="J37" s="149">
        <v>75</v>
      </c>
      <c r="K37" s="104">
        <v>160</v>
      </c>
      <c r="L37" s="104">
        <v>1950</v>
      </c>
      <c r="M37" s="150">
        <v>12.70435444709921</v>
      </c>
      <c r="N37" s="78">
        <v>411.00479999999999</v>
      </c>
      <c r="O37" s="109">
        <v>22535.552930244328</v>
      </c>
      <c r="P37" s="111">
        <v>26639.362510591378</v>
      </c>
      <c r="Q37" s="254">
        <v>18272.707440597296</v>
      </c>
      <c r="R37" s="258">
        <v>40808.260370841628</v>
      </c>
      <c r="S37" s="259">
        <v>44912.069951188678</v>
      </c>
      <c r="U37" s="7" t="s">
        <v>1325</v>
      </c>
    </row>
    <row r="38" spans="1:21" s="65" customFormat="1" ht="16.5" customHeight="1" thickBot="1">
      <c r="A38" s="41" t="s">
        <v>31</v>
      </c>
      <c r="B38" s="42">
        <f t="shared" si="0"/>
        <v>75</v>
      </c>
      <c r="C38" s="42" t="s">
        <v>3</v>
      </c>
      <c r="D38" s="42">
        <f t="shared" si="1"/>
        <v>160</v>
      </c>
      <c r="E38" s="42" t="s">
        <v>3</v>
      </c>
      <c r="F38" s="101">
        <f t="shared" si="2"/>
        <v>2000</v>
      </c>
      <c r="G38" s="42" t="s">
        <v>3</v>
      </c>
      <c r="H38" s="39">
        <v>2</v>
      </c>
      <c r="I38" s="40" t="s">
        <v>40</v>
      </c>
      <c r="J38" s="149">
        <v>75</v>
      </c>
      <c r="K38" s="104">
        <v>160</v>
      </c>
      <c r="L38" s="104">
        <v>2000</v>
      </c>
      <c r="M38" s="150">
        <v>13.114061286847633</v>
      </c>
      <c r="N38" s="78">
        <v>423.84869999999995</v>
      </c>
      <c r="O38" s="109">
        <v>23214.121956229981</v>
      </c>
      <c r="P38" s="111">
        <v>27491.427439951207</v>
      </c>
      <c r="Q38" s="254">
        <v>18861.531829102802</v>
      </c>
      <c r="R38" s="258">
        <v>42075.653785332783</v>
      </c>
      <c r="S38" s="259">
        <v>46352.959269054008</v>
      </c>
      <c r="U38" s="7" t="s">
        <v>1326</v>
      </c>
    </row>
    <row r="39" spans="1:21" s="65" customFormat="1" ht="16.5" customHeight="1" thickBot="1">
      <c r="A39" s="41" t="s">
        <v>31</v>
      </c>
      <c r="B39" s="42">
        <f t="shared" si="0"/>
        <v>75</v>
      </c>
      <c r="C39" s="42" t="s">
        <v>3</v>
      </c>
      <c r="D39" s="42">
        <f t="shared" si="1"/>
        <v>160</v>
      </c>
      <c r="E39" s="42" t="s">
        <v>3</v>
      </c>
      <c r="F39" s="101">
        <f t="shared" si="2"/>
        <v>2050</v>
      </c>
      <c r="G39" s="42" t="s">
        <v>3</v>
      </c>
      <c r="H39" s="39">
        <v>2</v>
      </c>
      <c r="I39" s="40" t="s">
        <v>40</v>
      </c>
      <c r="J39" s="149">
        <v>75</v>
      </c>
      <c r="K39" s="104">
        <v>160</v>
      </c>
      <c r="L39" s="104">
        <v>2050</v>
      </c>
      <c r="M39" s="150">
        <v>13.415165726596053</v>
      </c>
      <c r="N39" s="78">
        <v>436.69260000000003</v>
      </c>
      <c r="O39" s="109">
        <v>23641.399080371037</v>
      </c>
      <c r="P39" s="111">
        <v>28015.063869944941</v>
      </c>
      <c r="Q39" s="254">
        <v>19199.022079824535</v>
      </c>
      <c r="R39" s="258">
        <v>42840.421160195576</v>
      </c>
      <c r="S39" s="259">
        <v>47214.085949769476</v>
      </c>
      <c r="U39" s="7" t="s">
        <v>1327</v>
      </c>
    </row>
    <row r="40" spans="1:21" s="65" customFormat="1" ht="16.5" customHeight="1" thickBot="1">
      <c r="A40" s="38" t="s">
        <v>31</v>
      </c>
      <c r="B40" s="39">
        <f t="shared" si="0"/>
        <v>75</v>
      </c>
      <c r="C40" s="39" t="s">
        <v>3</v>
      </c>
      <c r="D40" s="39">
        <f t="shared" si="1"/>
        <v>160</v>
      </c>
      <c r="E40" s="39" t="s">
        <v>3</v>
      </c>
      <c r="F40" s="101">
        <f t="shared" si="2"/>
        <v>2100</v>
      </c>
      <c r="G40" s="39" t="s">
        <v>3</v>
      </c>
      <c r="H40" s="39">
        <v>2</v>
      </c>
      <c r="I40" s="40" t="s">
        <v>40</v>
      </c>
      <c r="J40" s="149">
        <v>75</v>
      </c>
      <c r="K40" s="104">
        <v>160</v>
      </c>
      <c r="L40" s="104">
        <v>2100</v>
      </c>
      <c r="M40" s="150">
        <v>13.733310166344474</v>
      </c>
      <c r="N40" s="78">
        <v>449.53649999999999</v>
      </c>
      <c r="O40" s="109">
        <v>24068.676204512096</v>
      </c>
      <c r="P40" s="111">
        <v>28538.700299938668</v>
      </c>
      <c r="Q40" s="254">
        <v>19787.846468330041</v>
      </c>
      <c r="R40" s="258">
        <v>43856.52267284214</v>
      </c>
      <c r="S40" s="259">
        <v>48326.546768268709</v>
      </c>
      <c r="U40" s="7" t="s">
        <v>1328</v>
      </c>
    </row>
    <row r="41" spans="1:21" s="65" customFormat="1" ht="16.5" customHeight="1" thickBot="1">
      <c r="A41" s="41" t="s">
        <v>31</v>
      </c>
      <c r="B41" s="42">
        <f t="shared" si="0"/>
        <v>75</v>
      </c>
      <c r="C41" s="42" t="s">
        <v>3</v>
      </c>
      <c r="D41" s="42">
        <f t="shared" si="1"/>
        <v>160</v>
      </c>
      <c r="E41" s="42" t="s">
        <v>3</v>
      </c>
      <c r="F41" s="101">
        <f t="shared" si="2"/>
        <v>2150</v>
      </c>
      <c r="G41" s="42" t="s">
        <v>3</v>
      </c>
      <c r="H41" s="39">
        <v>2</v>
      </c>
      <c r="I41" s="40" t="s">
        <v>40</v>
      </c>
      <c r="J41" s="149">
        <v>75</v>
      </c>
      <c r="K41" s="104">
        <v>160</v>
      </c>
      <c r="L41" s="104">
        <v>2150</v>
      </c>
      <c r="M41" s="150">
        <v>14.034414606092895</v>
      </c>
      <c r="N41" s="78">
        <v>462.38040000000001</v>
      </c>
      <c r="O41" s="109">
        <v>24495.953328653151</v>
      </c>
      <c r="P41" s="111">
        <v>29062.336576903635</v>
      </c>
      <c r="Q41" s="254">
        <v>20125.336566023012</v>
      </c>
      <c r="R41" s="258">
        <v>44621.289894676163</v>
      </c>
      <c r="S41" s="259">
        <v>49187.673142926651</v>
      </c>
      <c r="U41" s="7" t="s">
        <v>1329</v>
      </c>
    </row>
    <row r="42" spans="1:21" s="65" customFormat="1" ht="16.5" customHeight="1" thickBot="1">
      <c r="A42" s="41" t="s">
        <v>31</v>
      </c>
      <c r="B42" s="42">
        <f t="shared" si="0"/>
        <v>75</v>
      </c>
      <c r="C42" s="42" t="s">
        <v>3</v>
      </c>
      <c r="D42" s="42">
        <f t="shared" si="1"/>
        <v>160</v>
      </c>
      <c r="E42" s="42" t="s">
        <v>3</v>
      </c>
      <c r="F42" s="101">
        <f t="shared" si="2"/>
        <v>2200</v>
      </c>
      <c r="G42" s="42" t="s">
        <v>3</v>
      </c>
      <c r="H42" s="39">
        <v>2</v>
      </c>
      <c r="I42" s="40" t="s">
        <v>40</v>
      </c>
      <c r="J42" s="149">
        <v>75</v>
      </c>
      <c r="K42" s="104">
        <v>160</v>
      </c>
      <c r="L42" s="104">
        <v>2200</v>
      </c>
      <c r="M42" s="150">
        <v>14.352559045841316</v>
      </c>
      <c r="N42" s="78">
        <v>475.22429999999997</v>
      </c>
      <c r="O42" s="109">
        <v>24923.230605822973</v>
      </c>
      <c r="P42" s="111">
        <v>29585.973006897369</v>
      </c>
      <c r="Q42" s="254">
        <v>20714.160954528517</v>
      </c>
      <c r="R42" s="258">
        <v>45637.391560351491</v>
      </c>
      <c r="S42" s="259">
        <v>50300.13396142589</v>
      </c>
      <c r="U42" s="7" t="s">
        <v>1330</v>
      </c>
    </row>
    <row r="43" spans="1:21" s="65" customFormat="1" ht="16.5" customHeight="1" thickBot="1">
      <c r="A43" s="41" t="s">
        <v>31</v>
      </c>
      <c r="B43" s="42">
        <f t="shared" si="0"/>
        <v>75</v>
      </c>
      <c r="C43" s="42" t="s">
        <v>3</v>
      </c>
      <c r="D43" s="42">
        <f t="shared" si="1"/>
        <v>160</v>
      </c>
      <c r="E43" s="42" t="s">
        <v>3</v>
      </c>
      <c r="F43" s="101">
        <f t="shared" si="2"/>
        <v>2250</v>
      </c>
      <c r="G43" s="42" t="s">
        <v>3</v>
      </c>
      <c r="H43" s="39">
        <v>2</v>
      </c>
      <c r="I43" s="40" t="s">
        <v>40</v>
      </c>
      <c r="J43" s="149">
        <v>75</v>
      </c>
      <c r="K43" s="104">
        <v>160</v>
      </c>
      <c r="L43" s="104">
        <v>2250</v>
      </c>
      <c r="M43" s="150">
        <v>14.653663485589735</v>
      </c>
      <c r="N43" s="78">
        <v>488.06819999999999</v>
      </c>
      <c r="O43" s="109">
        <v>25350.507729964029</v>
      </c>
      <c r="P43" s="111">
        <v>30109.609436891104</v>
      </c>
      <c r="Q43" s="254">
        <v>21051.651205250255</v>
      </c>
      <c r="R43" s="258">
        <v>46402.158935214284</v>
      </c>
      <c r="S43" s="259">
        <v>51161.260642141358</v>
      </c>
      <c r="U43" s="7" t="s">
        <v>1331</v>
      </c>
    </row>
    <row r="44" spans="1:21" s="65" customFormat="1" ht="16.5" customHeight="1" thickBot="1">
      <c r="A44" s="41" t="s">
        <v>31</v>
      </c>
      <c r="B44" s="42">
        <f t="shared" si="0"/>
        <v>75</v>
      </c>
      <c r="C44" s="42" t="s">
        <v>3</v>
      </c>
      <c r="D44" s="42">
        <f t="shared" si="1"/>
        <v>160</v>
      </c>
      <c r="E44" s="42" t="s">
        <v>3</v>
      </c>
      <c r="F44" s="101">
        <f t="shared" si="2"/>
        <v>2300</v>
      </c>
      <c r="G44" s="42" t="s">
        <v>3</v>
      </c>
      <c r="H44" s="39">
        <v>2</v>
      </c>
      <c r="I44" s="40" t="s">
        <v>40</v>
      </c>
      <c r="J44" s="149">
        <v>75</v>
      </c>
      <c r="K44" s="104">
        <v>160</v>
      </c>
      <c r="L44" s="104">
        <v>2300</v>
      </c>
      <c r="M44" s="150">
        <v>14.954767925338157</v>
      </c>
      <c r="N44" s="78">
        <v>500.91210000000001</v>
      </c>
      <c r="O44" s="109">
        <v>25777.784854105092</v>
      </c>
      <c r="P44" s="111">
        <v>30633.245866884838</v>
      </c>
      <c r="Q44" s="254">
        <v>21389.141302943226</v>
      </c>
      <c r="R44" s="258">
        <v>47166.926157048321</v>
      </c>
      <c r="S44" s="259">
        <v>52022.387169828064</v>
      </c>
      <c r="U44" s="7" t="s">
        <v>1332</v>
      </c>
    </row>
    <row r="45" spans="1:21" s="65" customFormat="1" ht="16.5" customHeight="1" thickBot="1">
      <c r="A45" s="41" t="s">
        <v>31</v>
      </c>
      <c r="B45" s="42">
        <f t="shared" si="0"/>
        <v>75</v>
      </c>
      <c r="C45" s="42" t="s">
        <v>3</v>
      </c>
      <c r="D45" s="42">
        <f t="shared" si="1"/>
        <v>160</v>
      </c>
      <c r="E45" s="42" t="s">
        <v>3</v>
      </c>
      <c r="F45" s="101">
        <f t="shared" si="2"/>
        <v>2350</v>
      </c>
      <c r="G45" s="42" t="s">
        <v>3</v>
      </c>
      <c r="H45" s="39">
        <v>2</v>
      </c>
      <c r="I45" s="40" t="s">
        <v>40</v>
      </c>
      <c r="J45" s="149">
        <v>75</v>
      </c>
      <c r="K45" s="104">
        <v>160</v>
      </c>
      <c r="L45" s="104">
        <v>2350</v>
      </c>
      <c r="M45" s="150">
        <v>15.272912365086579</v>
      </c>
      <c r="N45" s="78">
        <v>513.75599999999997</v>
      </c>
      <c r="O45" s="109">
        <v>26205.061978246147</v>
      </c>
      <c r="P45" s="111">
        <v>31156.882296878564</v>
      </c>
      <c r="Q45" s="254">
        <v>21977.965691448728</v>
      </c>
      <c r="R45" s="258">
        <v>48183.027669694871</v>
      </c>
      <c r="S45" s="259">
        <v>53134.847988327296</v>
      </c>
      <c r="U45" s="7" t="s">
        <v>1333</v>
      </c>
    </row>
    <row r="46" spans="1:21" s="65" customFormat="1" ht="16.5" customHeight="1" thickBot="1">
      <c r="A46" s="41" t="s">
        <v>31</v>
      </c>
      <c r="B46" s="42">
        <f t="shared" si="0"/>
        <v>75</v>
      </c>
      <c r="C46" s="42" t="s">
        <v>3</v>
      </c>
      <c r="D46" s="42">
        <f t="shared" si="1"/>
        <v>160</v>
      </c>
      <c r="E46" s="42" t="s">
        <v>3</v>
      </c>
      <c r="F46" s="101">
        <f t="shared" si="2"/>
        <v>2400</v>
      </c>
      <c r="G46" s="42" t="s">
        <v>3</v>
      </c>
      <c r="H46" s="39">
        <v>2</v>
      </c>
      <c r="I46" s="40" t="s">
        <v>40</v>
      </c>
      <c r="J46" s="149">
        <v>75</v>
      </c>
      <c r="K46" s="104">
        <v>160</v>
      </c>
      <c r="L46" s="104">
        <v>2400</v>
      </c>
      <c r="M46" s="150">
        <v>15.574016804835001</v>
      </c>
      <c r="N46" s="78">
        <v>526.59990000000005</v>
      </c>
      <c r="O46" s="109">
        <v>26632.339255415969</v>
      </c>
      <c r="P46" s="111">
        <v>31680.518726872298</v>
      </c>
      <c r="Q46" s="254">
        <v>22315.455942170465</v>
      </c>
      <c r="R46" s="258">
        <v>48947.795197586434</v>
      </c>
      <c r="S46" s="259">
        <v>53995.974669042764</v>
      </c>
      <c r="U46" s="7" t="s">
        <v>1334</v>
      </c>
    </row>
    <row r="47" spans="1:21" s="65" customFormat="1" ht="16.5" customHeight="1" thickBot="1">
      <c r="A47" s="41" t="s">
        <v>31</v>
      </c>
      <c r="B47" s="42">
        <f t="shared" si="0"/>
        <v>75</v>
      </c>
      <c r="C47" s="42" t="s">
        <v>3</v>
      </c>
      <c r="D47" s="42">
        <f t="shared" si="1"/>
        <v>160</v>
      </c>
      <c r="E47" s="42" t="s">
        <v>3</v>
      </c>
      <c r="F47" s="101">
        <f t="shared" si="2"/>
        <v>2450</v>
      </c>
      <c r="G47" s="42" t="s">
        <v>3</v>
      </c>
      <c r="H47" s="39">
        <v>2</v>
      </c>
      <c r="I47" s="40" t="s">
        <v>40</v>
      </c>
      <c r="J47" s="149">
        <v>75</v>
      </c>
      <c r="K47" s="104">
        <v>160</v>
      </c>
      <c r="L47" s="104">
        <v>2450</v>
      </c>
      <c r="M47" s="150">
        <v>15.96392367338342</v>
      </c>
      <c r="N47" s="78">
        <v>539.44380000000001</v>
      </c>
      <c r="O47" s="109">
        <v>27647.600640141991</v>
      </c>
      <c r="P47" s="111">
        <v>32691.918736767926</v>
      </c>
      <c r="Q47" s="254">
        <v>22904.280330675971</v>
      </c>
      <c r="R47" s="258">
        <v>50551.880970817961</v>
      </c>
      <c r="S47" s="259">
        <v>55596.1990674439</v>
      </c>
      <c r="U47" s="7" t="s">
        <v>1335</v>
      </c>
    </row>
    <row r="48" spans="1:21" s="65" customFormat="1" ht="16.5" customHeight="1" thickBot="1">
      <c r="A48" s="41" t="s">
        <v>31</v>
      </c>
      <c r="B48" s="42">
        <f t="shared" si="0"/>
        <v>75</v>
      </c>
      <c r="C48" s="42" t="s">
        <v>3</v>
      </c>
      <c r="D48" s="42">
        <f t="shared" si="1"/>
        <v>160</v>
      </c>
      <c r="E48" s="42" t="s">
        <v>3</v>
      </c>
      <c r="F48" s="101">
        <f t="shared" si="2"/>
        <v>2500</v>
      </c>
      <c r="G48" s="42" t="s">
        <v>3</v>
      </c>
      <c r="H48" s="39">
        <v>2</v>
      </c>
      <c r="I48" s="40" t="s">
        <v>40</v>
      </c>
      <c r="J48" s="149">
        <v>75</v>
      </c>
      <c r="K48" s="104">
        <v>160</v>
      </c>
      <c r="L48" s="104">
        <v>2500</v>
      </c>
      <c r="M48" s="150">
        <v>16.265028113131844</v>
      </c>
      <c r="N48" s="78">
        <v>552.28769999999997</v>
      </c>
      <c r="O48" s="109">
        <v>28074.877764283054</v>
      </c>
      <c r="P48" s="111">
        <v>33215.55516676166</v>
      </c>
      <c r="Q48" s="254">
        <v>23241.770581397705</v>
      </c>
      <c r="R48" s="258">
        <v>51316.648345680762</v>
      </c>
      <c r="S48" s="259">
        <v>56457.325748159361</v>
      </c>
      <c r="U48" s="7" t="s">
        <v>1336</v>
      </c>
    </row>
    <row r="49" spans="1:21" s="65" customFormat="1" ht="16.5" customHeight="1" thickBot="1">
      <c r="A49" s="41" t="s">
        <v>31</v>
      </c>
      <c r="B49" s="42">
        <f t="shared" si="0"/>
        <v>75</v>
      </c>
      <c r="C49" s="42" t="s">
        <v>3</v>
      </c>
      <c r="D49" s="42">
        <f t="shared" si="1"/>
        <v>160</v>
      </c>
      <c r="E49" s="42" t="s">
        <v>3</v>
      </c>
      <c r="F49" s="101">
        <f t="shared" si="2"/>
        <v>2550</v>
      </c>
      <c r="G49" s="42" t="s">
        <v>3</v>
      </c>
      <c r="H49" s="39">
        <v>2</v>
      </c>
      <c r="I49" s="40" t="s">
        <v>40</v>
      </c>
      <c r="J49" s="149">
        <v>75</v>
      </c>
      <c r="K49" s="104">
        <v>160</v>
      </c>
      <c r="L49" s="104">
        <v>2550</v>
      </c>
      <c r="M49" s="150">
        <v>16.583172552880264</v>
      </c>
      <c r="N49" s="78">
        <v>565.13159999999993</v>
      </c>
      <c r="O49" s="109">
        <v>28502.154888424109</v>
      </c>
      <c r="P49" s="111">
        <v>33739.191596755387</v>
      </c>
      <c r="Q49" s="254">
        <v>23830.594816874447</v>
      </c>
      <c r="R49" s="258">
        <v>52332.749705298556</v>
      </c>
      <c r="S49" s="259">
        <v>57569.78641362983</v>
      </c>
      <c r="U49" s="7" t="s">
        <v>1337</v>
      </c>
    </row>
    <row r="50" spans="1:21" s="65" customFormat="1" ht="16.5" customHeight="1" thickBot="1">
      <c r="A50" s="38" t="s">
        <v>31</v>
      </c>
      <c r="B50" s="39">
        <f t="shared" si="0"/>
        <v>75</v>
      </c>
      <c r="C50" s="39" t="s">
        <v>3</v>
      </c>
      <c r="D50" s="39">
        <f t="shared" si="1"/>
        <v>160</v>
      </c>
      <c r="E50" s="39" t="s">
        <v>3</v>
      </c>
      <c r="F50" s="101">
        <f t="shared" si="2"/>
        <v>2600</v>
      </c>
      <c r="G50" s="39" t="s">
        <v>3</v>
      </c>
      <c r="H50" s="39">
        <v>2</v>
      </c>
      <c r="I50" s="40" t="s">
        <v>40</v>
      </c>
      <c r="J50" s="149">
        <v>75</v>
      </c>
      <c r="K50" s="104">
        <v>160</v>
      </c>
      <c r="L50" s="104">
        <v>2600</v>
      </c>
      <c r="M50" s="150">
        <v>16.884276992628685</v>
      </c>
      <c r="N50" s="78">
        <v>577.97550000000001</v>
      </c>
      <c r="O50" s="109">
        <v>28929.432165593931</v>
      </c>
      <c r="P50" s="111">
        <v>34262.828026749121</v>
      </c>
      <c r="Q50" s="254">
        <v>24168.085067596181</v>
      </c>
      <c r="R50" s="258">
        <v>53097.517233190112</v>
      </c>
      <c r="S50" s="259">
        <v>58430.913094345306</v>
      </c>
      <c r="U50" s="7" t="s">
        <v>1338</v>
      </c>
    </row>
    <row r="51" spans="1:21" s="65" customFormat="1" ht="16.5" customHeight="1" thickBot="1">
      <c r="A51" s="41" t="s">
        <v>31</v>
      </c>
      <c r="B51" s="42">
        <f t="shared" si="0"/>
        <v>75</v>
      </c>
      <c r="C51" s="42" t="s">
        <v>3</v>
      </c>
      <c r="D51" s="42">
        <f t="shared" si="1"/>
        <v>160</v>
      </c>
      <c r="E51" s="42" t="s">
        <v>3</v>
      </c>
      <c r="F51" s="101">
        <f t="shared" si="2"/>
        <v>2650</v>
      </c>
      <c r="G51" s="42" t="s">
        <v>3</v>
      </c>
      <c r="H51" s="39">
        <v>2</v>
      </c>
      <c r="I51" s="40" t="s">
        <v>40</v>
      </c>
      <c r="J51" s="149">
        <v>75</v>
      </c>
      <c r="K51" s="104">
        <v>160</v>
      </c>
      <c r="L51" s="104">
        <v>2650</v>
      </c>
      <c r="M51" s="150">
        <v>17.202421432377108</v>
      </c>
      <c r="N51" s="78">
        <v>590.81939999999997</v>
      </c>
      <c r="O51" s="109">
        <v>29356.709289734987</v>
      </c>
      <c r="P51" s="111">
        <v>34786.464456742855</v>
      </c>
      <c r="Q51" s="254">
        <v>24756.909456101686</v>
      </c>
      <c r="R51" s="258">
        <v>54113.618745836677</v>
      </c>
      <c r="S51" s="259">
        <v>59543.373912844545</v>
      </c>
      <c r="U51" s="7" t="s">
        <v>1339</v>
      </c>
    </row>
    <row r="52" spans="1:21" s="65" customFormat="1" ht="16.5" customHeight="1" thickBot="1">
      <c r="A52" s="41" t="s">
        <v>31</v>
      </c>
      <c r="B52" s="42">
        <f t="shared" si="0"/>
        <v>75</v>
      </c>
      <c r="C52" s="42" t="s">
        <v>3</v>
      </c>
      <c r="D52" s="42">
        <f t="shared" si="1"/>
        <v>160</v>
      </c>
      <c r="E52" s="42" t="s">
        <v>3</v>
      </c>
      <c r="F52" s="101">
        <f t="shared" si="2"/>
        <v>2700</v>
      </c>
      <c r="G52" s="42" t="s">
        <v>3</v>
      </c>
      <c r="H52" s="39">
        <v>2</v>
      </c>
      <c r="I52" s="40" t="s">
        <v>40</v>
      </c>
      <c r="J52" s="149">
        <v>75</v>
      </c>
      <c r="K52" s="104">
        <v>160</v>
      </c>
      <c r="L52" s="104">
        <v>2700</v>
      </c>
      <c r="M52" s="150">
        <v>17.542775872125528</v>
      </c>
      <c r="N52" s="78">
        <v>603.66329999999994</v>
      </c>
      <c r="O52" s="109">
        <v>29833.986726535455</v>
      </c>
      <c r="P52" s="111">
        <v>35358.577032895351</v>
      </c>
      <c r="Q52" s="254">
        <v>25094.399706823424</v>
      </c>
      <c r="R52" s="258">
        <v>54928.386433358879</v>
      </c>
      <c r="S52" s="259">
        <v>60452.976739718775</v>
      </c>
      <c r="U52" s="7" t="s">
        <v>1340</v>
      </c>
    </row>
    <row r="53" spans="1:21" s="65" customFormat="1" ht="16.5" customHeight="1" thickBot="1">
      <c r="A53" s="41" t="s">
        <v>31</v>
      </c>
      <c r="B53" s="42">
        <f t="shared" si="0"/>
        <v>75</v>
      </c>
      <c r="C53" s="42" t="s">
        <v>3</v>
      </c>
      <c r="D53" s="42">
        <f t="shared" si="1"/>
        <v>160</v>
      </c>
      <c r="E53" s="42" t="s">
        <v>3</v>
      </c>
      <c r="F53" s="101">
        <f t="shared" si="2"/>
        <v>2750</v>
      </c>
      <c r="G53" s="42" t="s">
        <v>3</v>
      </c>
      <c r="H53" s="39">
        <v>2</v>
      </c>
      <c r="I53" s="40" t="s">
        <v>40</v>
      </c>
      <c r="J53" s="149">
        <v>75</v>
      </c>
      <c r="K53" s="104">
        <v>160</v>
      </c>
      <c r="L53" s="104">
        <v>2750</v>
      </c>
      <c r="M53" s="150">
        <v>17.843880311873949</v>
      </c>
      <c r="N53" s="78">
        <v>616.5071999999999</v>
      </c>
      <c r="O53" s="109">
        <v>30261.263850676511</v>
      </c>
      <c r="P53" s="111">
        <v>35882.213462889085</v>
      </c>
      <c r="Q53" s="254">
        <v>25431.889804516391</v>
      </c>
      <c r="R53" s="258">
        <v>55693.153655192902</v>
      </c>
      <c r="S53" s="259">
        <v>61314.103267405473</v>
      </c>
      <c r="U53" s="7" t="s">
        <v>1341</v>
      </c>
    </row>
    <row r="54" spans="1:21" s="65" customFormat="1" ht="16.5" customHeight="1" thickBot="1">
      <c r="A54" s="41" t="s">
        <v>31</v>
      </c>
      <c r="B54" s="42">
        <f t="shared" si="0"/>
        <v>75</v>
      </c>
      <c r="C54" s="42" t="s">
        <v>3</v>
      </c>
      <c r="D54" s="42">
        <f t="shared" si="1"/>
        <v>160</v>
      </c>
      <c r="E54" s="42" t="s">
        <v>3</v>
      </c>
      <c r="F54" s="101">
        <f t="shared" si="2"/>
        <v>2800</v>
      </c>
      <c r="G54" s="42" t="s">
        <v>3</v>
      </c>
      <c r="H54" s="39">
        <v>2</v>
      </c>
      <c r="I54" s="40" t="s">
        <v>40</v>
      </c>
      <c r="J54" s="149">
        <v>75</v>
      </c>
      <c r="K54" s="104">
        <v>160</v>
      </c>
      <c r="L54" s="104">
        <v>2800</v>
      </c>
      <c r="M54" s="150">
        <v>18.162024751622369</v>
      </c>
      <c r="N54" s="78">
        <v>629.35109999999997</v>
      </c>
      <c r="O54" s="109">
        <v>30688.540974817573</v>
      </c>
      <c r="P54" s="111">
        <v>36405.849892882819</v>
      </c>
      <c r="Q54" s="254">
        <v>26020.714193021897</v>
      </c>
      <c r="R54" s="258">
        <v>56709.255167839467</v>
      </c>
      <c r="S54" s="259">
        <v>62426.564085904713</v>
      </c>
      <c r="U54" s="7" t="s">
        <v>1342</v>
      </c>
    </row>
    <row r="55" spans="1:21" s="65" customFormat="1" ht="16.5" customHeight="1" thickBot="1">
      <c r="A55" s="41" t="s">
        <v>31</v>
      </c>
      <c r="B55" s="42">
        <f t="shared" si="0"/>
        <v>75</v>
      </c>
      <c r="C55" s="42" t="s">
        <v>3</v>
      </c>
      <c r="D55" s="42">
        <f t="shared" si="1"/>
        <v>160</v>
      </c>
      <c r="E55" s="42" t="s">
        <v>3</v>
      </c>
      <c r="F55" s="101">
        <f t="shared" si="2"/>
        <v>2850</v>
      </c>
      <c r="G55" s="42" t="s">
        <v>3</v>
      </c>
      <c r="H55" s="39">
        <v>2</v>
      </c>
      <c r="I55" s="40" t="s">
        <v>40</v>
      </c>
      <c r="J55" s="149">
        <v>75</v>
      </c>
      <c r="K55" s="104">
        <v>160</v>
      </c>
      <c r="L55" s="104">
        <v>2850</v>
      </c>
      <c r="M55" s="150">
        <v>18.46312919137079</v>
      </c>
      <c r="N55" s="78">
        <v>642.19500000000005</v>
      </c>
      <c r="O55" s="109">
        <v>31115.818251987395</v>
      </c>
      <c r="P55" s="111">
        <v>36929.486169847791</v>
      </c>
      <c r="Q55" s="254">
        <v>26358.204443743634</v>
      </c>
      <c r="R55" s="258">
        <v>57474.02269573103</v>
      </c>
      <c r="S55" s="259">
        <v>63287.690613591425</v>
      </c>
      <c r="U55" s="7" t="s">
        <v>1343</v>
      </c>
    </row>
    <row r="56" spans="1:21" s="65" customFormat="1" ht="16.5" customHeight="1" thickBot="1">
      <c r="A56" s="41" t="s">
        <v>31</v>
      </c>
      <c r="B56" s="42">
        <f t="shared" si="0"/>
        <v>75</v>
      </c>
      <c r="C56" s="42" t="s">
        <v>3</v>
      </c>
      <c r="D56" s="42">
        <f t="shared" si="1"/>
        <v>160</v>
      </c>
      <c r="E56" s="42" t="s">
        <v>3</v>
      </c>
      <c r="F56" s="101">
        <f t="shared" si="2"/>
        <v>2900</v>
      </c>
      <c r="G56" s="42" t="s">
        <v>3</v>
      </c>
      <c r="H56" s="39">
        <v>2</v>
      </c>
      <c r="I56" s="40" t="s">
        <v>40</v>
      </c>
      <c r="J56" s="149">
        <v>75</v>
      </c>
      <c r="K56" s="104">
        <v>160</v>
      </c>
      <c r="L56" s="104">
        <v>2900</v>
      </c>
      <c r="M56" s="150">
        <v>18.781273631119213</v>
      </c>
      <c r="N56" s="78">
        <v>655.03890000000001</v>
      </c>
      <c r="O56" s="109">
        <v>31543.095376128451</v>
      </c>
      <c r="P56" s="111">
        <v>37453.122599841518</v>
      </c>
      <c r="Q56" s="254">
        <v>26947.028832249136</v>
      </c>
      <c r="R56" s="258">
        <v>58490.124208377587</v>
      </c>
      <c r="S56" s="259">
        <v>64400.151432090657</v>
      </c>
      <c r="U56" s="7" t="s">
        <v>1344</v>
      </c>
    </row>
    <row r="57" spans="1:21" s="65" customFormat="1" ht="16.5" customHeight="1" thickBot="1">
      <c r="A57" s="41" t="s">
        <v>31</v>
      </c>
      <c r="B57" s="42">
        <f t="shared" si="0"/>
        <v>75</v>
      </c>
      <c r="C57" s="42" t="s">
        <v>3</v>
      </c>
      <c r="D57" s="42">
        <f t="shared" si="1"/>
        <v>160</v>
      </c>
      <c r="E57" s="42" t="s">
        <v>3</v>
      </c>
      <c r="F57" s="101">
        <f t="shared" si="2"/>
        <v>2950</v>
      </c>
      <c r="G57" s="42" t="s">
        <v>3</v>
      </c>
      <c r="H57" s="39">
        <v>2</v>
      </c>
      <c r="I57" s="40" t="s">
        <v>40</v>
      </c>
      <c r="J57" s="149">
        <v>75</v>
      </c>
      <c r="K57" s="104">
        <v>160</v>
      </c>
      <c r="L57" s="104">
        <v>2950</v>
      </c>
      <c r="M57" s="150">
        <v>19.082378070867634</v>
      </c>
      <c r="N57" s="78">
        <v>667.88279999999997</v>
      </c>
      <c r="O57" s="109">
        <v>31970.372500269506</v>
      </c>
      <c r="P57" s="111">
        <v>37976.759029835252</v>
      </c>
      <c r="Q57" s="254">
        <v>27284.518929942107</v>
      </c>
      <c r="R57" s="258">
        <v>59254.891430211617</v>
      </c>
      <c r="S57" s="259">
        <v>65261.277959777362</v>
      </c>
      <c r="U57" s="7" t="s">
        <v>1345</v>
      </c>
    </row>
    <row r="58" spans="1:21" s="65" customFormat="1" ht="16.5" customHeight="1" thickBot="1">
      <c r="A58" s="43" t="s">
        <v>31</v>
      </c>
      <c r="B58" s="44">
        <f t="shared" si="0"/>
        <v>75</v>
      </c>
      <c r="C58" s="44" t="s">
        <v>3</v>
      </c>
      <c r="D58" s="44">
        <f t="shared" si="1"/>
        <v>160</v>
      </c>
      <c r="E58" s="44" t="s">
        <v>3</v>
      </c>
      <c r="F58" s="102">
        <f t="shared" si="2"/>
        <v>3000</v>
      </c>
      <c r="G58" s="44" t="s">
        <v>3</v>
      </c>
      <c r="H58" s="46">
        <v>2</v>
      </c>
      <c r="I58" s="45" t="s">
        <v>40</v>
      </c>
      <c r="J58" s="151">
        <v>75</v>
      </c>
      <c r="K58" s="134">
        <v>160</v>
      </c>
      <c r="L58" s="134">
        <v>3000</v>
      </c>
      <c r="M58" s="152">
        <v>19.400522510616049</v>
      </c>
      <c r="N58" s="127">
        <v>680.72669999999994</v>
      </c>
      <c r="O58" s="154">
        <v>32397.649624410562</v>
      </c>
      <c r="P58" s="135">
        <v>38500.395459828986</v>
      </c>
      <c r="Q58" s="255">
        <v>27873.343318447616</v>
      </c>
      <c r="R58" s="260">
        <v>60270.992942858182</v>
      </c>
      <c r="S58" s="261">
        <v>66373.738778276602</v>
      </c>
      <c r="U58" s="7" t="s">
        <v>1346</v>
      </c>
    </row>
    <row r="59" spans="1:21" s="65" customFormat="1" ht="22.5" customHeight="1" thickBot="1">
      <c r="A59" s="3010" t="s">
        <v>46</v>
      </c>
      <c r="B59" s="3011"/>
      <c r="C59" s="3011"/>
      <c r="D59" s="3011"/>
      <c r="E59" s="3011"/>
      <c r="F59" s="3011"/>
      <c r="G59" s="3011"/>
      <c r="H59" s="3011"/>
      <c r="I59" s="3011"/>
      <c r="J59" s="3011"/>
      <c r="K59" s="3011"/>
      <c r="L59" s="3011"/>
      <c r="M59" s="3011"/>
      <c r="N59" s="3011"/>
      <c r="O59" s="3011"/>
      <c r="P59" s="3011"/>
      <c r="Q59" s="3011"/>
      <c r="R59" s="3047"/>
      <c r="S59" s="3048"/>
      <c r="U59" s="7"/>
    </row>
    <row r="60" spans="1:21" s="65" customFormat="1" ht="16.5" customHeight="1" thickBot="1">
      <c r="A60" s="2974" t="s">
        <v>112</v>
      </c>
      <c r="B60" s="2975"/>
      <c r="C60" s="2975"/>
      <c r="D60" s="2975"/>
      <c r="E60" s="2975"/>
      <c r="F60" s="2975"/>
      <c r="G60" s="2975"/>
      <c r="H60" s="2975"/>
      <c r="I60" s="2975"/>
      <c r="J60" s="2975"/>
      <c r="K60" s="2975"/>
      <c r="L60" s="2975"/>
      <c r="M60" s="2975"/>
      <c r="N60" s="2975"/>
      <c r="O60" s="2975"/>
      <c r="P60" s="2975"/>
      <c r="Q60" s="2975"/>
      <c r="R60" s="2975"/>
      <c r="S60" s="2976"/>
      <c r="U60" s="7"/>
    </row>
    <row r="61" spans="1:21" ht="16.5" customHeight="1" thickBot="1">
      <c r="A61" s="38" t="s">
        <v>31</v>
      </c>
      <c r="B61" s="39">
        <f>J61</f>
        <v>75</v>
      </c>
      <c r="C61" s="39" t="s">
        <v>3</v>
      </c>
      <c r="D61" s="39">
        <f>K61</f>
        <v>200</v>
      </c>
      <c r="E61" s="39" t="s">
        <v>3</v>
      </c>
      <c r="F61" s="101">
        <f>L61</f>
        <v>600</v>
      </c>
      <c r="G61" s="39" t="s">
        <v>3</v>
      </c>
      <c r="H61" s="39">
        <v>2</v>
      </c>
      <c r="I61" s="40" t="s">
        <v>40</v>
      </c>
      <c r="J61" s="121">
        <v>75</v>
      </c>
      <c r="K61" s="138">
        <v>200</v>
      </c>
      <c r="L61" s="138">
        <v>600</v>
      </c>
      <c r="M61" s="147">
        <v>4.7566600268813168</v>
      </c>
      <c r="N61" s="123">
        <v>71.35499999999999</v>
      </c>
      <c r="O61" s="148">
        <v>10580.423358475189</v>
      </c>
      <c r="P61" s="153">
        <v>11924.909145174724</v>
      </c>
      <c r="Q61" s="139">
        <v>7123.1890801891068</v>
      </c>
      <c r="R61" s="256">
        <v>17703.612438664295</v>
      </c>
      <c r="S61" s="257">
        <v>19048.098225363832</v>
      </c>
      <c r="U61" s="7" t="s">
        <v>1347</v>
      </c>
    </row>
    <row r="62" spans="1:21" ht="16.5" customHeight="1" thickBot="1">
      <c r="A62" s="41" t="s">
        <v>31</v>
      </c>
      <c r="B62" s="42">
        <f t="shared" ref="B62:B109" si="3">J62</f>
        <v>75</v>
      </c>
      <c r="C62" s="42" t="s">
        <v>3</v>
      </c>
      <c r="D62" s="42">
        <f t="shared" ref="D62:D109" si="4">K62</f>
        <v>200</v>
      </c>
      <c r="E62" s="42" t="s">
        <v>3</v>
      </c>
      <c r="F62" s="101">
        <f t="shared" ref="F62:F109" si="5">L62</f>
        <v>650</v>
      </c>
      <c r="G62" s="42" t="s">
        <v>3</v>
      </c>
      <c r="H62" s="39">
        <v>2</v>
      </c>
      <c r="I62" s="40" t="s">
        <v>40</v>
      </c>
      <c r="J62" s="103">
        <v>75</v>
      </c>
      <c r="K62" s="104">
        <v>200</v>
      </c>
      <c r="L62" s="104">
        <v>650</v>
      </c>
      <c r="M62" s="150">
        <v>5.0896181745244746</v>
      </c>
      <c r="N62" s="78">
        <v>85.626000000000005</v>
      </c>
      <c r="O62" s="111">
        <v>11007.354637607063</v>
      </c>
      <c r="P62" s="109">
        <v>12448.880861192845</v>
      </c>
      <c r="Q62" s="110">
        <v>7513.8655494313916</v>
      </c>
      <c r="R62" s="258">
        <v>18521.220187038452</v>
      </c>
      <c r="S62" s="259">
        <v>19962.746410624237</v>
      </c>
      <c r="U62" s="7" t="s">
        <v>1348</v>
      </c>
    </row>
    <row r="63" spans="1:21" ht="16.5" customHeight="1" thickBot="1">
      <c r="A63" s="41" t="s">
        <v>31</v>
      </c>
      <c r="B63" s="42">
        <f t="shared" si="3"/>
        <v>75</v>
      </c>
      <c r="C63" s="42" t="s">
        <v>3</v>
      </c>
      <c r="D63" s="42">
        <f t="shared" si="4"/>
        <v>200</v>
      </c>
      <c r="E63" s="42" t="s">
        <v>3</v>
      </c>
      <c r="F63" s="101">
        <f t="shared" si="5"/>
        <v>700</v>
      </c>
      <c r="G63" s="42" t="s">
        <v>3</v>
      </c>
      <c r="H63" s="39">
        <v>2</v>
      </c>
      <c r="I63" s="40" t="s">
        <v>40</v>
      </c>
      <c r="J63" s="103">
        <v>75</v>
      </c>
      <c r="K63" s="104">
        <v>200</v>
      </c>
      <c r="L63" s="104">
        <v>700</v>
      </c>
      <c r="M63" s="150">
        <v>5.4396163221676312</v>
      </c>
      <c r="N63" s="78">
        <v>99.897000000000006</v>
      </c>
      <c r="O63" s="111">
        <v>11434.285916738938</v>
      </c>
      <c r="P63" s="109">
        <v>12972.852577210966</v>
      </c>
      <c r="Q63" s="110">
        <v>8155.8760034286815</v>
      </c>
      <c r="R63" s="258">
        <v>19590.161920167619</v>
      </c>
      <c r="S63" s="259">
        <v>21128.728580639647</v>
      </c>
      <c r="U63" s="7" t="s">
        <v>1349</v>
      </c>
    </row>
    <row r="64" spans="1:21" ht="16.5" customHeight="1" thickBot="1">
      <c r="A64" s="41" t="s">
        <v>31</v>
      </c>
      <c r="B64" s="42">
        <f t="shared" si="3"/>
        <v>75</v>
      </c>
      <c r="C64" s="42" t="s">
        <v>3</v>
      </c>
      <c r="D64" s="42">
        <f t="shared" si="4"/>
        <v>200</v>
      </c>
      <c r="E64" s="42" t="s">
        <v>3</v>
      </c>
      <c r="F64" s="101">
        <f t="shared" si="5"/>
        <v>750</v>
      </c>
      <c r="G64" s="42" t="s">
        <v>3</v>
      </c>
      <c r="H64" s="39">
        <v>2</v>
      </c>
      <c r="I64" s="40" t="s">
        <v>40</v>
      </c>
      <c r="J64" s="103">
        <v>75</v>
      </c>
      <c r="K64" s="104">
        <v>200</v>
      </c>
      <c r="L64" s="104">
        <v>750</v>
      </c>
      <c r="M64" s="150">
        <v>5.7725744698107899</v>
      </c>
      <c r="N64" s="78">
        <v>114.16799999999999</v>
      </c>
      <c r="O64" s="111">
        <v>11861.217195870813</v>
      </c>
      <c r="P64" s="109">
        <v>13496.824293229087</v>
      </c>
      <c r="Q64" s="110">
        <v>8546.5523196422018</v>
      </c>
      <c r="R64" s="258">
        <v>20407.769515513013</v>
      </c>
      <c r="S64" s="259">
        <v>22043.376612871289</v>
      </c>
      <c r="U64" s="7" t="s">
        <v>1350</v>
      </c>
    </row>
    <row r="65" spans="1:21" ht="16.5" customHeight="1" thickBot="1">
      <c r="A65" s="41" t="s">
        <v>31</v>
      </c>
      <c r="B65" s="42">
        <f t="shared" si="3"/>
        <v>75</v>
      </c>
      <c r="C65" s="42" t="s">
        <v>3</v>
      </c>
      <c r="D65" s="42">
        <f t="shared" si="4"/>
        <v>200</v>
      </c>
      <c r="E65" s="42" t="s">
        <v>3</v>
      </c>
      <c r="F65" s="101">
        <f t="shared" si="5"/>
        <v>800</v>
      </c>
      <c r="G65" s="42" t="s">
        <v>3</v>
      </c>
      <c r="H65" s="39">
        <v>2</v>
      </c>
      <c r="I65" s="40" t="s">
        <v>40</v>
      </c>
      <c r="J65" s="103">
        <v>75</v>
      </c>
      <c r="K65" s="104">
        <v>200</v>
      </c>
      <c r="L65" s="104">
        <v>800</v>
      </c>
      <c r="M65" s="150">
        <v>6.1055326174539477</v>
      </c>
      <c r="N65" s="78">
        <v>128.43899999999999</v>
      </c>
      <c r="O65" s="111">
        <v>12288.148475002687</v>
      </c>
      <c r="P65" s="109">
        <v>14020.796009247209</v>
      </c>
      <c r="Q65" s="110">
        <v>8937.2286358557212</v>
      </c>
      <c r="R65" s="258">
        <v>21225.377110858408</v>
      </c>
      <c r="S65" s="259">
        <v>22958.024645102931</v>
      </c>
      <c r="U65" s="7" t="s">
        <v>1351</v>
      </c>
    </row>
    <row r="66" spans="1:21" ht="16.5" customHeight="1" thickBot="1">
      <c r="A66" s="41" t="s">
        <v>31</v>
      </c>
      <c r="B66" s="42">
        <f t="shared" si="3"/>
        <v>75</v>
      </c>
      <c r="C66" s="42" t="s">
        <v>3</v>
      </c>
      <c r="D66" s="42">
        <f t="shared" si="4"/>
        <v>200</v>
      </c>
      <c r="E66" s="42" t="s">
        <v>3</v>
      </c>
      <c r="F66" s="101">
        <f t="shared" si="5"/>
        <v>850</v>
      </c>
      <c r="G66" s="42" t="s">
        <v>3</v>
      </c>
      <c r="H66" s="39">
        <v>2</v>
      </c>
      <c r="I66" s="40" t="s">
        <v>40</v>
      </c>
      <c r="J66" s="103">
        <v>75</v>
      </c>
      <c r="K66" s="104">
        <v>200</v>
      </c>
      <c r="L66" s="104">
        <v>850</v>
      </c>
      <c r="M66" s="150">
        <v>6.4555307650971052</v>
      </c>
      <c r="N66" s="78">
        <v>142.70999999999998</v>
      </c>
      <c r="O66" s="111">
        <v>12715.079754134562</v>
      </c>
      <c r="P66" s="109">
        <v>14544.767878294095</v>
      </c>
      <c r="Q66" s="110">
        <v>9579.239089853012</v>
      </c>
      <c r="R66" s="258">
        <v>22294.318843987574</v>
      </c>
      <c r="S66" s="259">
        <v>24124.006968147107</v>
      </c>
      <c r="U66" s="7" t="s">
        <v>1352</v>
      </c>
    </row>
    <row r="67" spans="1:21" ht="16.5" customHeight="1" thickBot="1">
      <c r="A67" s="41" t="s">
        <v>31</v>
      </c>
      <c r="B67" s="42">
        <f t="shared" si="3"/>
        <v>75</v>
      </c>
      <c r="C67" s="42" t="s">
        <v>3</v>
      </c>
      <c r="D67" s="42">
        <f t="shared" si="4"/>
        <v>200</v>
      </c>
      <c r="E67" s="42" t="s">
        <v>3</v>
      </c>
      <c r="F67" s="101">
        <f t="shared" si="5"/>
        <v>900</v>
      </c>
      <c r="G67" s="42" t="s">
        <v>3</v>
      </c>
      <c r="H67" s="39">
        <v>2</v>
      </c>
      <c r="I67" s="40" t="s">
        <v>40</v>
      </c>
      <c r="J67" s="103">
        <v>75</v>
      </c>
      <c r="K67" s="104">
        <v>200</v>
      </c>
      <c r="L67" s="104">
        <v>900</v>
      </c>
      <c r="M67" s="150">
        <v>6.7884639977402639</v>
      </c>
      <c r="N67" s="78">
        <v>156.98099999999999</v>
      </c>
      <c r="O67" s="111">
        <v>13142.011033266437</v>
      </c>
      <c r="P67" s="109">
        <v>15068.739594312217</v>
      </c>
      <c r="Q67" s="110">
        <v>9969.915559095296</v>
      </c>
      <c r="R67" s="258">
        <v>23111.926592361735</v>
      </c>
      <c r="S67" s="259">
        <v>25038.655153407512</v>
      </c>
      <c r="U67" s="7" t="s">
        <v>1353</v>
      </c>
    </row>
    <row r="68" spans="1:21" ht="16.5" customHeight="1" thickBot="1">
      <c r="A68" s="41" t="s">
        <v>31</v>
      </c>
      <c r="B68" s="42">
        <f t="shared" si="3"/>
        <v>75</v>
      </c>
      <c r="C68" s="42" t="s">
        <v>3</v>
      </c>
      <c r="D68" s="42">
        <f t="shared" si="4"/>
        <v>200</v>
      </c>
      <c r="E68" s="42" t="s">
        <v>3</v>
      </c>
      <c r="F68" s="101">
        <f t="shared" si="5"/>
        <v>950</v>
      </c>
      <c r="G68" s="42" t="s">
        <v>3</v>
      </c>
      <c r="H68" s="39">
        <v>2</v>
      </c>
      <c r="I68" s="40" t="s">
        <v>40</v>
      </c>
      <c r="J68" s="103">
        <v>75</v>
      </c>
      <c r="K68" s="104">
        <v>200</v>
      </c>
      <c r="L68" s="104">
        <v>950</v>
      </c>
      <c r="M68" s="150">
        <v>7.1384870603834205</v>
      </c>
      <c r="N68" s="78">
        <v>171.25200000000001</v>
      </c>
      <c r="O68" s="111">
        <v>13568.942312398311</v>
      </c>
      <c r="P68" s="109">
        <v>15592.711310330336</v>
      </c>
      <c r="Q68" s="110">
        <v>10611.926013092587</v>
      </c>
      <c r="R68" s="258">
        <v>24180.868325490897</v>
      </c>
      <c r="S68" s="259">
        <v>26204.637323422925</v>
      </c>
      <c r="U68" s="7" t="s">
        <v>1354</v>
      </c>
    </row>
    <row r="69" spans="1:21" ht="16.5" customHeight="1" thickBot="1">
      <c r="A69" s="41" t="s">
        <v>31</v>
      </c>
      <c r="B69" s="42">
        <f t="shared" si="3"/>
        <v>75</v>
      </c>
      <c r="C69" s="42" t="s">
        <v>3</v>
      </c>
      <c r="D69" s="42">
        <f t="shared" si="4"/>
        <v>200</v>
      </c>
      <c r="E69" s="42" t="s">
        <v>3</v>
      </c>
      <c r="F69" s="101">
        <f t="shared" si="5"/>
        <v>1000</v>
      </c>
      <c r="G69" s="42" t="s">
        <v>3</v>
      </c>
      <c r="H69" s="39">
        <v>2</v>
      </c>
      <c r="I69" s="40" t="s">
        <v>40</v>
      </c>
      <c r="J69" s="103">
        <v>75</v>
      </c>
      <c r="K69" s="104">
        <v>200</v>
      </c>
      <c r="L69" s="104">
        <v>1000</v>
      </c>
      <c r="M69" s="150">
        <v>7.4714452080265801</v>
      </c>
      <c r="N69" s="78">
        <v>185.523</v>
      </c>
      <c r="O69" s="111">
        <v>13995.873591530186</v>
      </c>
      <c r="P69" s="109">
        <v>16116.683026348457</v>
      </c>
      <c r="Q69" s="110">
        <v>11002.602329306106</v>
      </c>
      <c r="R69" s="258">
        <v>24998.475920836292</v>
      </c>
      <c r="S69" s="259">
        <v>27119.285355654563</v>
      </c>
      <c r="U69" s="7" t="s">
        <v>1355</v>
      </c>
    </row>
    <row r="70" spans="1:21" ht="16.5" customHeight="1" thickBot="1">
      <c r="A70" s="41" t="s">
        <v>31</v>
      </c>
      <c r="B70" s="42">
        <f t="shared" si="3"/>
        <v>75</v>
      </c>
      <c r="C70" s="42" t="s">
        <v>3</v>
      </c>
      <c r="D70" s="42">
        <f t="shared" si="4"/>
        <v>200</v>
      </c>
      <c r="E70" s="42" t="s">
        <v>3</v>
      </c>
      <c r="F70" s="101">
        <f t="shared" si="5"/>
        <v>1050</v>
      </c>
      <c r="G70" s="42" t="s">
        <v>3</v>
      </c>
      <c r="H70" s="39">
        <v>2</v>
      </c>
      <c r="I70" s="40" t="s">
        <v>40</v>
      </c>
      <c r="J70" s="103">
        <v>75</v>
      </c>
      <c r="K70" s="104">
        <v>200</v>
      </c>
      <c r="L70" s="104">
        <v>1050</v>
      </c>
      <c r="M70" s="150">
        <v>7.8214433556697367</v>
      </c>
      <c r="N70" s="78">
        <v>199.79400000000001</v>
      </c>
      <c r="O70" s="111">
        <v>14422.804870662061</v>
      </c>
      <c r="P70" s="109">
        <v>16640.65474236658</v>
      </c>
      <c r="Q70" s="110">
        <v>11644.612783303395</v>
      </c>
      <c r="R70" s="258">
        <v>26067.417653965458</v>
      </c>
      <c r="S70" s="259">
        <v>28285.267525669973</v>
      </c>
      <c r="U70" s="7" t="s">
        <v>1356</v>
      </c>
    </row>
    <row r="71" spans="1:21" ht="16.5" customHeight="1" thickBot="1">
      <c r="A71" s="38" t="s">
        <v>31</v>
      </c>
      <c r="B71" s="39">
        <f t="shared" si="3"/>
        <v>75</v>
      </c>
      <c r="C71" s="39" t="s">
        <v>3</v>
      </c>
      <c r="D71" s="39">
        <f t="shared" si="4"/>
        <v>200</v>
      </c>
      <c r="E71" s="39" t="s">
        <v>3</v>
      </c>
      <c r="F71" s="101">
        <f t="shared" si="5"/>
        <v>1100</v>
      </c>
      <c r="G71" s="39" t="s">
        <v>3</v>
      </c>
      <c r="H71" s="39">
        <v>2</v>
      </c>
      <c r="I71" s="40" t="s">
        <v>40</v>
      </c>
      <c r="J71" s="103">
        <v>75</v>
      </c>
      <c r="K71" s="104">
        <v>200</v>
      </c>
      <c r="L71" s="104">
        <v>1100</v>
      </c>
      <c r="M71" s="150">
        <v>8.1544015033128954</v>
      </c>
      <c r="N71" s="78">
        <v>214.06499999999997</v>
      </c>
      <c r="O71" s="111">
        <v>14849.736149793936</v>
      </c>
      <c r="P71" s="109">
        <v>17164.626458384701</v>
      </c>
      <c r="Q71" s="110">
        <v>12035.289252545683</v>
      </c>
      <c r="R71" s="258">
        <v>26885.025402339619</v>
      </c>
      <c r="S71" s="259">
        <v>29199.915710930385</v>
      </c>
      <c r="U71" s="7" t="s">
        <v>1357</v>
      </c>
    </row>
    <row r="72" spans="1:21" ht="16.5" customHeight="1" thickBot="1">
      <c r="A72" s="41" t="s">
        <v>31</v>
      </c>
      <c r="B72" s="42">
        <f t="shared" si="3"/>
        <v>75</v>
      </c>
      <c r="C72" s="42" t="s">
        <v>3</v>
      </c>
      <c r="D72" s="42">
        <f t="shared" si="4"/>
        <v>200</v>
      </c>
      <c r="E72" s="42" t="s">
        <v>3</v>
      </c>
      <c r="F72" s="101">
        <f t="shared" si="5"/>
        <v>1150</v>
      </c>
      <c r="G72" s="42" t="s">
        <v>3</v>
      </c>
      <c r="H72" s="39">
        <v>2</v>
      </c>
      <c r="I72" s="40" t="s">
        <v>40</v>
      </c>
      <c r="J72" s="103">
        <v>75</v>
      </c>
      <c r="K72" s="104">
        <v>200</v>
      </c>
      <c r="L72" s="104">
        <v>1150</v>
      </c>
      <c r="M72" s="150">
        <v>8.4873596509560532</v>
      </c>
      <c r="N72" s="78">
        <v>228.33599999999998</v>
      </c>
      <c r="O72" s="111">
        <v>15276.667581954574</v>
      </c>
      <c r="P72" s="109">
        <v>17688.598174402821</v>
      </c>
      <c r="Q72" s="110">
        <v>12425.965568759202</v>
      </c>
      <c r="R72" s="258">
        <v>27702.633150713777</v>
      </c>
      <c r="S72" s="259">
        <v>30114.563743162023</v>
      </c>
      <c r="U72" s="7" t="s">
        <v>1358</v>
      </c>
    </row>
    <row r="73" spans="1:21" ht="16.5" customHeight="1" thickBot="1">
      <c r="A73" s="41" t="s">
        <v>31</v>
      </c>
      <c r="B73" s="42">
        <f t="shared" si="3"/>
        <v>75</v>
      </c>
      <c r="C73" s="42" t="s">
        <v>3</v>
      </c>
      <c r="D73" s="42">
        <f t="shared" si="4"/>
        <v>200</v>
      </c>
      <c r="E73" s="42" t="s">
        <v>3</v>
      </c>
      <c r="F73" s="101">
        <f t="shared" si="5"/>
        <v>1200</v>
      </c>
      <c r="G73" s="42" t="s">
        <v>3</v>
      </c>
      <c r="H73" s="39">
        <v>2</v>
      </c>
      <c r="I73" s="40" t="s">
        <v>40</v>
      </c>
      <c r="J73" s="103">
        <v>75</v>
      </c>
      <c r="K73" s="104">
        <v>200</v>
      </c>
      <c r="L73" s="104">
        <v>1200</v>
      </c>
      <c r="M73" s="150">
        <v>8.8766077985992098</v>
      </c>
      <c r="N73" s="78">
        <v>242.607</v>
      </c>
      <c r="O73" s="111">
        <v>15753.599020717096</v>
      </c>
      <c r="P73" s="109">
        <v>18261.046189608474</v>
      </c>
      <c r="Q73" s="110">
        <v>13067.976022756491</v>
      </c>
      <c r="R73" s="258">
        <v>28821.575043473589</v>
      </c>
      <c r="S73" s="259">
        <v>31329.022212364966</v>
      </c>
      <c r="U73" s="7" t="s">
        <v>1359</v>
      </c>
    </row>
    <row r="74" spans="1:21" ht="16.5" customHeight="1" thickBot="1">
      <c r="A74" s="41" t="s">
        <v>31</v>
      </c>
      <c r="B74" s="42">
        <f t="shared" si="3"/>
        <v>75</v>
      </c>
      <c r="C74" s="42" t="s">
        <v>3</v>
      </c>
      <c r="D74" s="42">
        <f t="shared" si="4"/>
        <v>200</v>
      </c>
      <c r="E74" s="42" t="s">
        <v>3</v>
      </c>
      <c r="F74" s="101">
        <f t="shared" si="5"/>
        <v>1250</v>
      </c>
      <c r="G74" s="42" t="s">
        <v>3</v>
      </c>
      <c r="H74" s="39">
        <v>2</v>
      </c>
      <c r="I74" s="40" t="s">
        <v>40</v>
      </c>
      <c r="J74" s="103">
        <v>75</v>
      </c>
      <c r="K74" s="104">
        <v>200</v>
      </c>
      <c r="L74" s="104">
        <v>1250</v>
      </c>
      <c r="M74" s="150">
        <v>9.2095659462423676</v>
      </c>
      <c r="N74" s="78">
        <v>256.87799999999999</v>
      </c>
      <c r="O74" s="111">
        <v>16180.530299848971</v>
      </c>
      <c r="P74" s="109">
        <v>18785.017905626595</v>
      </c>
      <c r="Q74" s="110">
        <v>13458.652338970012</v>
      </c>
      <c r="R74" s="258">
        <v>29639.182638818984</v>
      </c>
      <c r="S74" s="259">
        <v>32243.670244596608</v>
      </c>
      <c r="U74" s="7" t="s">
        <v>1360</v>
      </c>
    </row>
    <row r="75" spans="1:21" ht="16.5" customHeight="1" thickBot="1">
      <c r="A75" s="41" t="s">
        <v>31</v>
      </c>
      <c r="B75" s="42">
        <f t="shared" si="3"/>
        <v>75</v>
      </c>
      <c r="C75" s="42" t="s">
        <v>3</v>
      </c>
      <c r="D75" s="42">
        <f t="shared" si="4"/>
        <v>200</v>
      </c>
      <c r="E75" s="42" t="s">
        <v>3</v>
      </c>
      <c r="F75" s="101">
        <f t="shared" si="5"/>
        <v>1300</v>
      </c>
      <c r="G75" s="42" t="s">
        <v>3</v>
      </c>
      <c r="H75" s="39">
        <v>2</v>
      </c>
      <c r="I75" s="40" t="s">
        <v>40</v>
      </c>
      <c r="J75" s="103">
        <v>75</v>
      </c>
      <c r="K75" s="104">
        <v>200</v>
      </c>
      <c r="L75" s="104">
        <v>1300</v>
      </c>
      <c r="M75" s="150">
        <v>9.5595640938855269</v>
      </c>
      <c r="N75" s="78">
        <v>271.149</v>
      </c>
      <c r="O75" s="111">
        <v>16607.461578980845</v>
      </c>
      <c r="P75" s="109">
        <v>19308.989621644716</v>
      </c>
      <c r="Q75" s="110">
        <v>14100.662792967301</v>
      </c>
      <c r="R75" s="258">
        <v>30708.124371948146</v>
      </c>
      <c r="S75" s="259">
        <v>33409.652414612021</v>
      </c>
      <c r="U75" s="7" t="s">
        <v>1361</v>
      </c>
    </row>
    <row r="76" spans="1:21" ht="16.5" customHeight="1" thickBot="1">
      <c r="A76" s="41" t="s">
        <v>31</v>
      </c>
      <c r="B76" s="42">
        <f t="shared" si="3"/>
        <v>75</v>
      </c>
      <c r="C76" s="42" t="s">
        <v>3</v>
      </c>
      <c r="D76" s="42">
        <f t="shared" si="4"/>
        <v>200</v>
      </c>
      <c r="E76" s="42" t="s">
        <v>3</v>
      </c>
      <c r="F76" s="101">
        <f t="shared" si="5"/>
        <v>1350</v>
      </c>
      <c r="G76" s="42" t="s">
        <v>3</v>
      </c>
      <c r="H76" s="39">
        <v>2</v>
      </c>
      <c r="I76" s="40" t="s">
        <v>40</v>
      </c>
      <c r="J76" s="103">
        <v>75</v>
      </c>
      <c r="K76" s="104">
        <v>200</v>
      </c>
      <c r="L76" s="104">
        <v>1350</v>
      </c>
      <c r="M76" s="150">
        <v>9.8925222415286846</v>
      </c>
      <c r="N76" s="78">
        <v>285.41999999999996</v>
      </c>
      <c r="O76" s="111">
        <v>17034.392858112722</v>
      </c>
      <c r="P76" s="109">
        <v>19832.961337662837</v>
      </c>
      <c r="Q76" s="110">
        <v>14491.339262209587</v>
      </c>
      <c r="R76" s="258">
        <v>31525.732120322311</v>
      </c>
      <c r="S76" s="259">
        <v>34324.300599872426</v>
      </c>
      <c r="U76" s="7" t="s">
        <v>1362</v>
      </c>
    </row>
    <row r="77" spans="1:21" ht="16.5" customHeight="1" thickBot="1">
      <c r="A77" s="41" t="s">
        <v>31</v>
      </c>
      <c r="B77" s="42">
        <f t="shared" si="3"/>
        <v>75</v>
      </c>
      <c r="C77" s="42" t="s">
        <v>3</v>
      </c>
      <c r="D77" s="42">
        <f t="shared" si="4"/>
        <v>200</v>
      </c>
      <c r="E77" s="42" t="s">
        <v>3</v>
      </c>
      <c r="F77" s="101">
        <f t="shared" si="5"/>
        <v>1400</v>
      </c>
      <c r="G77" s="42" t="s">
        <v>3</v>
      </c>
      <c r="H77" s="39">
        <v>2</v>
      </c>
      <c r="I77" s="40" t="s">
        <v>40</v>
      </c>
      <c r="J77" s="103">
        <v>75</v>
      </c>
      <c r="K77" s="104">
        <v>200</v>
      </c>
      <c r="L77" s="104">
        <v>1400</v>
      </c>
      <c r="M77" s="150">
        <v>10.242520389171842</v>
      </c>
      <c r="N77" s="78">
        <v>299.69099999999997</v>
      </c>
      <c r="O77" s="111">
        <v>17461.324137244595</v>
      </c>
      <c r="P77" s="109">
        <v>20356.933053680958</v>
      </c>
      <c r="Q77" s="110">
        <v>15133.349716206876</v>
      </c>
      <c r="R77" s="258">
        <v>32594.673853451473</v>
      </c>
      <c r="S77" s="259">
        <v>35490.282769887832</v>
      </c>
      <c r="U77" s="7" t="s">
        <v>1363</v>
      </c>
    </row>
    <row r="78" spans="1:21" ht="16.5" customHeight="1" thickBot="1">
      <c r="A78" s="41" t="s">
        <v>31</v>
      </c>
      <c r="B78" s="42">
        <f t="shared" si="3"/>
        <v>75</v>
      </c>
      <c r="C78" s="42" t="s">
        <v>3</v>
      </c>
      <c r="D78" s="42">
        <f t="shared" si="4"/>
        <v>200</v>
      </c>
      <c r="E78" s="42" t="s">
        <v>3</v>
      </c>
      <c r="F78" s="101">
        <f t="shared" si="5"/>
        <v>1450</v>
      </c>
      <c r="G78" s="42" t="s">
        <v>3</v>
      </c>
      <c r="H78" s="39">
        <v>2</v>
      </c>
      <c r="I78" s="40" t="s">
        <v>40</v>
      </c>
      <c r="J78" s="103">
        <v>75</v>
      </c>
      <c r="K78" s="104">
        <v>200</v>
      </c>
      <c r="L78" s="104">
        <v>1450</v>
      </c>
      <c r="M78" s="150">
        <v>10.575478536815002</v>
      </c>
      <c r="N78" s="78">
        <v>313.96199999999999</v>
      </c>
      <c r="O78" s="111">
        <v>17888.255569405232</v>
      </c>
      <c r="P78" s="109">
        <v>20880.904922727845</v>
      </c>
      <c r="Q78" s="110">
        <v>15524.026032420395</v>
      </c>
      <c r="R78" s="258">
        <v>33412.281601825627</v>
      </c>
      <c r="S78" s="259">
        <v>36404.930955148244</v>
      </c>
      <c r="U78" s="7" t="s">
        <v>1364</v>
      </c>
    </row>
    <row r="79" spans="1:21" ht="16.5" customHeight="1" thickBot="1">
      <c r="A79" s="41" t="s">
        <v>31</v>
      </c>
      <c r="B79" s="42">
        <f t="shared" si="3"/>
        <v>75</v>
      </c>
      <c r="C79" s="42" t="s">
        <v>3</v>
      </c>
      <c r="D79" s="42">
        <f t="shared" si="4"/>
        <v>200</v>
      </c>
      <c r="E79" s="42" t="s">
        <v>3</v>
      </c>
      <c r="F79" s="101">
        <f t="shared" si="5"/>
        <v>1500</v>
      </c>
      <c r="G79" s="42" t="s">
        <v>3</v>
      </c>
      <c r="H79" s="39">
        <v>2</v>
      </c>
      <c r="I79" s="40" t="s">
        <v>40</v>
      </c>
      <c r="J79" s="103">
        <v>75</v>
      </c>
      <c r="K79" s="104">
        <v>200</v>
      </c>
      <c r="L79" s="104">
        <v>1500</v>
      </c>
      <c r="M79" s="150">
        <v>11.01803981725816</v>
      </c>
      <c r="N79" s="78">
        <v>328.23299999999995</v>
      </c>
      <c r="O79" s="111">
        <v>18903.171109122079</v>
      </c>
      <c r="P79" s="109">
        <v>21892.640218647863</v>
      </c>
      <c r="Q79" s="110">
        <v>16166.036486417688</v>
      </c>
      <c r="R79" s="258">
        <v>35069.207595539767</v>
      </c>
      <c r="S79" s="259">
        <v>38058.676705065547</v>
      </c>
      <c r="U79" s="7" t="s">
        <v>1365</v>
      </c>
    </row>
    <row r="80" spans="1:21" ht="16.5" customHeight="1" thickBot="1">
      <c r="A80" s="41" t="s">
        <v>31</v>
      </c>
      <c r="B80" s="42">
        <f t="shared" si="3"/>
        <v>75</v>
      </c>
      <c r="C80" s="42" t="s">
        <v>3</v>
      </c>
      <c r="D80" s="42">
        <f t="shared" si="4"/>
        <v>200</v>
      </c>
      <c r="E80" s="42" t="s">
        <v>3</v>
      </c>
      <c r="F80" s="101">
        <f t="shared" si="5"/>
        <v>1550</v>
      </c>
      <c r="G80" s="42" t="s">
        <v>3</v>
      </c>
      <c r="H80" s="39">
        <v>2</v>
      </c>
      <c r="I80" s="40" t="s">
        <v>40</v>
      </c>
      <c r="J80" s="103">
        <v>75</v>
      </c>
      <c r="K80" s="104">
        <v>200</v>
      </c>
      <c r="L80" s="104">
        <v>1550</v>
      </c>
      <c r="M80" s="150">
        <v>11.350997964901316</v>
      </c>
      <c r="N80" s="78">
        <v>342.50400000000002</v>
      </c>
      <c r="O80" s="111">
        <v>19330.102388253952</v>
      </c>
      <c r="P80" s="109">
        <v>22416.612087694746</v>
      </c>
      <c r="Q80" s="110">
        <v>16556.712955659972</v>
      </c>
      <c r="R80" s="258">
        <v>35886.815343913928</v>
      </c>
      <c r="S80" s="259">
        <v>38973.325043354722</v>
      </c>
      <c r="U80" s="7" t="s">
        <v>1366</v>
      </c>
    </row>
    <row r="81" spans="1:21" ht="16.5" customHeight="1" thickBot="1">
      <c r="A81" s="38" t="s">
        <v>31</v>
      </c>
      <c r="B81" s="39">
        <f t="shared" si="3"/>
        <v>75</v>
      </c>
      <c r="C81" s="39" t="s">
        <v>3</v>
      </c>
      <c r="D81" s="39">
        <f t="shared" si="4"/>
        <v>200</v>
      </c>
      <c r="E81" s="39" t="s">
        <v>3</v>
      </c>
      <c r="F81" s="101">
        <f t="shared" si="5"/>
        <v>1600</v>
      </c>
      <c r="G81" s="39" t="s">
        <v>3</v>
      </c>
      <c r="H81" s="39">
        <v>2</v>
      </c>
      <c r="I81" s="40" t="s">
        <v>40</v>
      </c>
      <c r="J81" s="103">
        <v>75</v>
      </c>
      <c r="K81" s="104">
        <v>200</v>
      </c>
      <c r="L81" s="104">
        <v>1600</v>
      </c>
      <c r="M81" s="150">
        <v>11.683956112544472</v>
      </c>
      <c r="N81" s="78">
        <v>356.77499999999998</v>
      </c>
      <c r="O81" s="111">
        <v>19757.033667385829</v>
      </c>
      <c r="P81" s="109">
        <v>22940.583803712871</v>
      </c>
      <c r="Q81" s="110">
        <v>16947.389271873493</v>
      </c>
      <c r="R81" s="258">
        <v>36704.422939259326</v>
      </c>
      <c r="S81" s="259">
        <v>39887.973075586364</v>
      </c>
      <c r="U81" s="7" t="s">
        <v>1367</v>
      </c>
    </row>
    <row r="82" spans="1:21" ht="16.5" customHeight="1" thickBot="1">
      <c r="A82" s="41" t="s">
        <v>31</v>
      </c>
      <c r="B82" s="42">
        <f t="shared" si="3"/>
        <v>75</v>
      </c>
      <c r="C82" s="42" t="s">
        <v>3</v>
      </c>
      <c r="D82" s="42">
        <f t="shared" si="4"/>
        <v>200</v>
      </c>
      <c r="E82" s="42" t="s">
        <v>3</v>
      </c>
      <c r="F82" s="101">
        <f t="shared" si="5"/>
        <v>1650</v>
      </c>
      <c r="G82" s="42" t="s">
        <v>3</v>
      </c>
      <c r="H82" s="39">
        <v>2</v>
      </c>
      <c r="I82" s="40" t="s">
        <v>40</v>
      </c>
      <c r="J82" s="103">
        <v>75</v>
      </c>
      <c r="K82" s="104">
        <v>200</v>
      </c>
      <c r="L82" s="104">
        <v>1650</v>
      </c>
      <c r="M82" s="150">
        <v>12.033954260187631</v>
      </c>
      <c r="N82" s="78">
        <v>371.04599999999999</v>
      </c>
      <c r="O82" s="111">
        <v>20183.964946517703</v>
      </c>
      <c r="P82" s="109">
        <v>23464.555519730991</v>
      </c>
      <c r="Q82" s="110">
        <v>17589.399725870782</v>
      </c>
      <c r="R82" s="258">
        <v>37773.364672388489</v>
      </c>
      <c r="S82" s="259">
        <v>41053.95524560177</v>
      </c>
      <c r="U82" s="7" t="s">
        <v>1368</v>
      </c>
    </row>
    <row r="83" spans="1:21" ht="16.5" customHeight="1" thickBot="1">
      <c r="A83" s="41" t="s">
        <v>31</v>
      </c>
      <c r="B83" s="42">
        <f t="shared" si="3"/>
        <v>75</v>
      </c>
      <c r="C83" s="42" t="s">
        <v>3</v>
      </c>
      <c r="D83" s="42">
        <f t="shared" si="4"/>
        <v>200</v>
      </c>
      <c r="E83" s="42" t="s">
        <v>3</v>
      </c>
      <c r="F83" s="101">
        <f t="shared" si="5"/>
        <v>1700</v>
      </c>
      <c r="G83" s="42" t="s">
        <v>3</v>
      </c>
      <c r="H83" s="39">
        <v>2</v>
      </c>
      <c r="I83" s="40" t="s">
        <v>40</v>
      </c>
      <c r="J83" s="103">
        <v>75</v>
      </c>
      <c r="K83" s="104">
        <v>200</v>
      </c>
      <c r="L83" s="104">
        <v>1700</v>
      </c>
      <c r="M83" s="150">
        <v>12.366912407830789</v>
      </c>
      <c r="N83" s="78">
        <v>385.31700000000001</v>
      </c>
      <c r="O83" s="111">
        <v>20610.896225649576</v>
      </c>
      <c r="P83" s="109">
        <v>23988.527235749109</v>
      </c>
      <c r="Q83" s="110">
        <v>17980.076042084303</v>
      </c>
      <c r="R83" s="258">
        <v>38590.97226773388</v>
      </c>
      <c r="S83" s="259">
        <v>41968.603277833412</v>
      </c>
      <c r="U83" s="7" t="s">
        <v>1369</v>
      </c>
    </row>
    <row r="84" spans="1:21" ht="16.5" customHeight="1" thickBot="1">
      <c r="A84" s="41" t="s">
        <v>31</v>
      </c>
      <c r="B84" s="42">
        <f t="shared" si="3"/>
        <v>75</v>
      </c>
      <c r="C84" s="42" t="s">
        <v>3</v>
      </c>
      <c r="D84" s="42">
        <f t="shared" si="4"/>
        <v>200</v>
      </c>
      <c r="E84" s="42" t="s">
        <v>3</v>
      </c>
      <c r="F84" s="101">
        <f t="shared" si="5"/>
        <v>1750</v>
      </c>
      <c r="G84" s="42" t="s">
        <v>3</v>
      </c>
      <c r="H84" s="39">
        <v>2</v>
      </c>
      <c r="I84" s="40" t="s">
        <v>40</v>
      </c>
      <c r="J84" s="103">
        <v>75</v>
      </c>
      <c r="K84" s="104">
        <v>200</v>
      </c>
      <c r="L84" s="104">
        <v>1750</v>
      </c>
      <c r="M84" s="150">
        <v>12.716910555473948</v>
      </c>
      <c r="N84" s="78">
        <v>399.58800000000002</v>
      </c>
      <c r="O84" s="111">
        <v>21037.82750478145</v>
      </c>
      <c r="P84" s="109">
        <v>24512.498951767233</v>
      </c>
      <c r="Q84" s="110">
        <v>18622.086496081592</v>
      </c>
      <c r="R84" s="258">
        <v>39659.914000863042</v>
      </c>
      <c r="S84" s="259">
        <v>43134.585447848825</v>
      </c>
      <c r="U84" s="7" t="s">
        <v>1370</v>
      </c>
    </row>
    <row r="85" spans="1:21" ht="16.5" customHeight="1" thickBot="1">
      <c r="A85" s="41" t="s">
        <v>31</v>
      </c>
      <c r="B85" s="42">
        <f t="shared" si="3"/>
        <v>75</v>
      </c>
      <c r="C85" s="42" t="s">
        <v>3</v>
      </c>
      <c r="D85" s="42">
        <f t="shared" si="4"/>
        <v>200</v>
      </c>
      <c r="E85" s="42" t="s">
        <v>3</v>
      </c>
      <c r="F85" s="101">
        <f t="shared" si="5"/>
        <v>1800</v>
      </c>
      <c r="G85" s="42" t="s">
        <v>3</v>
      </c>
      <c r="H85" s="39">
        <v>2</v>
      </c>
      <c r="I85" s="40" t="s">
        <v>40</v>
      </c>
      <c r="J85" s="103">
        <v>75</v>
      </c>
      <c r="K85" s="104">
        <v>200</v>
      </c>
      <c r="L85" s="104">
        <v>1800</v>
      </c>
      <c r="M85" s="150">
        <v>13.049868703117106</v>
      </c>
      <c r="N85" s="78">
        <v>413.85899999999998</v>
      </c>
      <c r="O85" s="111">
        <v>21464.758783913327</v>
      </c>
      <c r="P85" s="109">
        <v>25036.470667785354</v>
      </c>
      <c r="Q85" s="110">
        <v>19012.762965323876</v>
      </c>
      <c r="R85" s="258">
        <v>40477.521749237203</v>
      </c>
      <c r="S85" s="259">
        <v>44049.23363310923</v>
      </c>
      <c r="U85" s="7" t="s">
        <v>1371</v>
      </c>
    </row>
    <row r="86" spans="1:21" ht="16.5" customHeight="1" thickBot="1">
      <c r="A86" s="41" t="s">
        <v>31</v>
      </c>
      <c r="B86" s="42">
        <f t="shared" si="3"/>
        <v>75</v>
      </c>
      <c r="C86" s="42" t="s">
        <v>3</v>
      </c>
      <c r="D86" s="42">
        <f t="shared" si="4"/>
        <v>200</v>
      </c>
      <c r="E86" s="42" t="s">
        <v>3</v>
      </c>
      <c r="F86" s="101">
        <f t="shared" si="5"/>
        <v>1850</v>
      </c>
      <c r="G86" s="42" t="s">
        <v>3</v>
      </c>
      <c r="H86" s="39">
        <v>2</v>
      </c>
      <c r="I86" s="40" t="s">
        <v>40</v>
      </c>
      <c r="J86" s="103">
        <v>75</v>
      </c>
      <c r="K86" s="104">
        <v>200</v>
      </c>
      <c r="L86" s="104">
        <v>1850</v>
      </c>
      <c r="M86" s="150">
        <v>13.399866850760263</v>
      </c>
      <c r="N86" s="78">
        <v>428.12999999999994</v>
      </c>
      <c r="O86" s="111">
        <v>21891.6900630452</v>
      </c>
      <c r="P86" s="109">
        <v>25560.442383803478</v>
      </c>
      <c r="Q86" s="110">
        <v>19654.773419321165</v>
      </c>
      <c r="R86" s="258">
        <v>41546.463482366365</v>
      </c>
      <c r="S86" s="259">
        <v>45215.215803124644</v>
      </c>
      <c r="U86" s="7" t="s">
        <v>1372</v>
      </c>
    </row>
    <row r="87" spans="1:21" ht="16.5" customHeight="1" thickBot="1">
      <c r="A87" s="41" t="s">
        <v>31</v>
      </c>
      <c r="B87" s="42">
        <f t="shared" si="3"/>
        <v>75</v>
      </c>
      <c r="C87" s="42" t="s">
        <v>3</v>
      </c>
      <c r="D87" s="42">
        <f t="shared" si="4"/>
        <v>200</v>
      </c>
      <c r="E87" s="42" t="s">
        <v>3</v>
      </c>
      <c r="F87" s="101">
        <f t="shared" si="5"/>
        <v>1900</v>
      </c>
      <c r="G87" s="42" t="s">
        <v>3</v>
      </c>
      <c r="H87" s="39">
        <v>2</v>
      </c>
      <c r="I87" s="40" t="s">
        <v>40</v>
      </c>
      <c r="J87" s="103">
        <v>75</v>
      </c>
      <c r="K87" s="104">
        <v>200</v>
      </c>
      <c r="L87" s="104">
        <v>1900</v>
      </c>
      <c r="M87" s="150">
        <v>13.732824998403419</v>
      </c>
      <c r="N87" s="78">
        <v>442.40100000000001</v>
      </c>
      <c r="O87" s="111">
        <v>22318.621342177074</v>
      </c>
      <c r="P87" s="109">
        <v>26084.414252850362</v>
      </c>
      <c r="Q87" s="110">
        <v>20045.449735534687</v>
      </c>
      <c r="R87" s="258">
        <v>42364.071077711764</v>
      </c>
      <c r="S87" s="259">
        <v>46129.863988385048</v>
      </c>
      <c r="U87" s="7" t="s">
        <v>1373</v>
      </c>
    </row>
    <row r="88" spans="1:21" ht="16.5" customHeight="1" thickBot="1">
      <c r="A88" s="41" t="s">
        <v>31</v>
      </c>
      <c r="B88" s="42">
        <f t="shared" si="3"/>
        <v>75</v>
      </c>
      <c r="C88" s="42" t="s">
        <v>3</v>
      </c>
      <c r="D88" s="42">
        <f t="shared" si="4"/>
        <v>200</v>
      </c>
      <c r="E88" s="42" t="s">
        <v>3</v>
      </c>
      <c r="F88" s="101">
        <f t="shared" si="5"/>
        <v>1950</v>
      </c>
      <c r="G88" s="42" t="s">
        <v>3</v>
      </c>
      <c r="H88" s="39">
        <v>2</v>
      </c>
      <c r="I88" s="40" t="s">
        <v>40</v>
      </c>
      <c r="J88" s="103">
        <v>75</v>
      </c>
      <c r="K88" s="104">
        <v>200</v>
      </c>
      <c r="L88" s="104">
        <v>1950</v>
      </c>
      <c r="M88" s="150">
        <v>14.105033146046578</v>
      </c>
      <c r="N88" s="78">
        <v>456.67199999999997</v>
      </c>
      <c r="O88" s="111">
        <v>22795.552933968364</v>
      </c>
      <c r="P88" s="109">
        <v>26656.862115027248</v>
      </c>
      <c r="Q88" s="110">
        <v>20436.126051748208</v>
      </c>
      <c r="R88" s="258">
        <v>43231.678985716571</v>
      </c>
      <c r="S88" s="259">
        <v>47092.988166775453</v>
      </c>
      <c r="U88" s="7" t="s">
        <v>1374</v>
      </c>
    </row>
    <row r="89" spans="1:21" ht="16.5" customHeight="1" thickBot="1">
      <c r="A89" s="41" t="s">
        <v>31</v>
      </c>
      <c r="B89" s="42">
        <f t="shared" si="3"/>
        <v>75</v>
      </c>
      <c r="C89" s="42" t="s">
        <v>3</v>
      </c>
      <c r="D89" s="42">
        <f t="shared" si="4"/>
        <v>200</v>
      </c>
      <c r="E89" s="42" t="s">
        <v>3</v>
      </c>
      <c r="F89" s="101">
        <f t="shared" si="5"/>
        <v>2000</v>
      </c>
      <c r="G89" s="42" t="s">
        <v>3</v>
      </c>
      <c r="H89" s="39">
        <v>2</v>
      </c>
      <c r="I89" s="40" t="s">
        <v>40</v>
      </c>
      <c r="J89" s="103">
        <v>75</v>
      </c>
      <c r="K89" s="104">
        <v>200</v>
      </c>
      <c r="L89" s="104">
        <v>2000</v>
      </c>
      <c r="M89" s="150">
        <v>14.546593693689736</v>
      </c>
      <c r="N89" s="78">
        <v>470.94299999999998</v>
      </c>
      <c r="O89" s="111">
        <v>23473.776114944831</v>
      </c>
      <c r="P89" s="109">
        <v>27509.26233041146</v>
      </c>
      <c r="Q89" s="110">
        <v>21078.136658774263</v>
      </c>
      <c r="R89" s="258">
        <v>44551.912773719094</v>
      </c>
      <c r="S89" s="259">
        <v>48587.39898918572</v>
      </c>
      <c r="U89" s="7" t="s">
        <v>1375</v>
      </c>
    </row>
    <row r="90" spans="1:21" ht="16.5" customHeight="1" thickBot="1">
      <c r="A90" s="41" t="s">
        <v>31</v>
      </c>
      <c r="B90" s="42">
        <f t="shared" si="3"/>
        <v>75</v>
      </c>
      <c r="C90" s="42" t="s">
        <v>3</v>
      </c>
      <c r="D90" s="42">
        <f t="shared" si="4"/>
        <v>200</v>
      </c>
      <c r="E90" s="42" t="s">
        <v>3</v>
      </c>
      <c r="F90" s="101">
        <f t="shared" si="5"/>
        <v>2050</v>
      </c>
      <c r="G90" s="42" t="s">
        <v>3</v>
      </c>
      <c r="H90" s="39">
        <v>2</v>
      </c>
      <c r="I90" s="40" t="s">
        <v>40</v>
      </c>
      <c r="J90" s="103">
        <v>75</v>
      </c>
      <c r="K90" s="104">
        <v>200</v>
      </c>
      <c r="L90" s="104">
        <v>2050</v>
      </c>
      <c r="M90" s="150">
        <v>14.879551841332894</v>
      </c>
      <c r="N90" s="78">
        <v>485.214</v>
      </c>
      <c r="O90" s="111">
        <v>23900.707394076708</v>
      </c>
      <c r="P90" s="109">
        <v>28033.234046429588</v>
      </c>
      <c r="Q90" s="110">
        <v>21468.812974987781</v>
      </c>
      <c r="R90" s="258">
        <v>45369.520369064485</v>
      </c>
      <c r="S90" s="259">
        <v>49502.047021417369</v>
      </c>
      <c r="U90" s="7" t="s">
        <v>1376</v>
      </c>
    </row>
    <row r="91" spans="1:21" ht="16.5" customHeight="1" thickBot="1">
      <c r="A91" s="38" t="s">
        <v>31</v>
      </c>
      <c r="B91" s="39">
        <f t="shared" si="3"/>
        <v>75</v>
      </c>
      <c r="C91" s="39" t="s">
        <v>3</v>
      </c>
      <c r="D91" s="39">
        <f t="shared" si="4"/>
        <v>200</v>
      </c>
      <c r="E91" s="39" t="s">
        <v>3</v>
      </c>
      <c r="F91" s="101">
        <f t="shared" si="5"/>
        <v>2100</v>
      </c>
      <c r="G91" s="39" t="s">
        <v>3</v>
      </c>
      <c r="H91" s="39">
        <v>2</v>
      </c>
      <c r="I91" s="40" t="s">
        <v>40</v>
      </c>
      <c r="J91" s="103">
        <v>75</v>
      </c>
      <c r="K91" s="104">
        <v>200</v>
      </c>
      <c r="L91" s="104">
        <v>2100</v>
      </c>
      <c r="M91" s="150">
        <v>15.229549988976052</v>
      </c>
      <c r="N91" s="78">
        <v>499.48500000000001</v>
      </c>
      <c r="O91" s="111">
        <v>24327.638673208581</v>
      </c>
      <c r="P91" s="109">
        <v>28557.205762447709</v>
      </c>
      <c r="Q91" s="110">
        <v>22110.823428985073</v>
      </c>
      <c r="R91" s="258">
        <v>46438.462102193655</v>
      </c>
      <c r="S91" s="259">
        <v>50668.029191432783</v>
      </c>
      <c r="U91" s="7" t="s">
        <v>1377</v>
      </c>
    </row>
    <row r="92" spans="1:21" ht="16.5" customHeight="1" thickBot="1">
      <c r="A92" s="41" t="s">
        <v>31</v>
      </c>
      <c r="B92" s="42">
        <f t="shared" si="3"/>
        <v>75</v>
      </c>
      <c r="C92" s="42" t="s">
        <v>3</v>
      </c>
      <c r="D92" s="42">
        <f t="shared" si="4"/>
        <v>200</v>
      </c>
      <c r="E92" s="42" t="s">
        <v>3</v>
      </c>
      <c r="F92" s="101">
        <f t="shared" si="5"/>
        <v>2150</v>
      </c>
      <c r="G92" s="42" t="s">
        <v>3</v>
      </c>
      <c r="H92" s="39">
        <v>2</v>
      </c>
      <c r="I92" s="40" t="s">
        <v>40</v>
      </c>
      <c r="J92" s="103">
        <v>75</v>
      </c>
      <c r="K92" s="104">
        <v>200</v>
      </c>
      <c r="L92" s="104">
        <v>2150</v>
      </c>
      <c r="M92" s="150">
        <v>15.562508136619211</v>
      </c>
      <c r="N92" s="78">
        <v>513.75599999999997</v>
      </c>
      <c r="O92" s="111">
        <v>24754.569952340455</v>
      </c>
      <c r="P92" s="109">
        <v>29081.177631494593</v>
      </c>
      <c r="Q92" s="110">
        <v>22501.499745198591</v>
      </c>
      <c r="R92" s="258">
        <v>47256.069697539046</v>
      </c>
      <c r="S92" s="259">
        <v>51582.677376693187</v>
      </c>
      <c r="U92" s="7" t="s">
        <v>1378</v>
      </c>
    </row>
    <row r="93" spans="1:21" ht="16.5" customHeight="1" thickBot="1">
      <c r="A93" s="41" t="s">
        <v>31</v>
      </c>
      <c r="B93" s="42">
        <f t="shared" si="3"/>
        <v>75</v>
      </c>
      <c r="C93" s="42" t="s">
        <v>3</v>
      </c>
      <c r="D93" s="42">
        <f t="shared" si="4"/>
        <v>200</v>
      </c>
      <c r="E93" s="42" t="s">
        <v>3</v>
      </c>
      <c r="F93" s="101">
        <f t="shared" si="5"/>
        <v>2200</v>
      </c>
      <c r="G93" s="42" t="s">
        <v>3</v>
      </c>
      <c r="H93" s="39">
        <v>2</v>
      </c>
      <c r="I93" s="40" t="s">
        <v>40</v>
      </c>
      <c r="J93" s="103">
        <v>75</v>
      </c>
      <c r="K93" s="104">
        <v>200</v>
      </c>
      <c r="L93" s="104">
        <v>2200</v>
      </c>
      <c r="M93" s="150">
        <v>15.912506284262371</v>
      </c>
      <c r="N93" s="78">
        <v>528.02699999999993</v>
      </c>
      <c r="O93" s="111">
        <v>25181.501231472332</v>
      </c>
      <c r="P93" s="109">
        <v>29605.149347512714</v>
      </c>
      <c r="Q93" s="110">
        <v>23143.510199195884</v>
      </c>
      <c r="R93" s="258">
        <v>48325.011430668215</v>
      </c>
      <c r="S93" s="259">
        <v>52748.659546708601</v>
      </c>
      <c r="U93" s="7" t="s">
        <v>1379</v>
      </c>
    </row>
    <row r="94" spans="1:21" ht="16.5" customHeight="1" thickBot="1">
      <c r="A94" s="41" t="s">
        <v>31</v>
      </c>
      <c r="B94" s="42">
        <f t="shared" si="3"/>
        <v>75</v>
      </c>
      <c r="C94" s="42" t="s">
        <v>3</v>
      </c>
      <c r="D94" s="42">
        <f t="shared" si="4"/>
        <v>200</v>
      </c>
      <c r="E94" s="42" t="s">
        <v>3</v>
      </c>
      <c r="F94" s="101">
        <f t="shared" si="5"/>
        <v>2250</v>
      </c>
      <c r="G94" s="42" t="s">
        <v>3</v>
      </c>
      <c r="H94" s="39">
        <v>2</v>
      </c>
      <c r="I94" s="40" t="s">
        <v>40</v>
      </c>
      <c r="J94" s="103">
        <v>75</v>
      </c>
      <c r="K94" s="104">
        <v>200</v>
      </c>
      <c r="L94" s="104">
        <v>2250</v>
      </c>
      <c r="M94" s="150">
        <v>16.245464431905525</v>
      </c>
      <c r="N94" s="78">
        <v>542.298</v>
      </c>
      <c r="O94" s="111">
        <v>25608.432510604205</v>
      </c>
      <c r="P94" s="109">
        <v>30129.121063530834</v>
      </c>
      <c r="Q94" s="110">
        <v>23534.186668438168</v>
      </c>
      <c r="R94" s="258">
        <v>49142.619179042376</v>
      </c>
      <c r="S94" s="259">
        <v>53663.307731969006</v>
      </c>
      <c r="U94" s="7" t="s">
        <v>1380</v>
      </c>
    </row>
    <row r="95" spans="1:21" ht="16.5" customHeight="1" thickBot="1">
      <c r="A95" s="41" t="s">
        <v>31</v>
      </c>
      <c r="B95" s="42">
        <f t="shared" si="3"/>
        <v>75</v>
      </c>
      <c r="C95" s="42" t="s">
        <v>3</v>
      </c>
      <c r="D95" s="42">
        <f t="shared" si="4"/>
        <v>200</v>
      </c>
      <c r="E95" s="42" t="s">
        <v>3</v>
      </c>
      <c r="F95" s="101">
        <f t="shared" si="5"/>
        <v>2300</v>
      </c>
      <c r="G95" s="42" t="s">
        <v>3</v>
      </c>
      <c r="H95" s="39">
        <v>2</v>
      </c>
      <c r="I95" s="40" t="s">
        <v>40</v>
      </c>
      <c r="J95" s="103">
        <v>75</v>
      </c>
      <c r="K95" s="104">
        <v>200</v>
      </c>
      <c r="L95" s="104">
        <v>2300</v>
      </c>
      <c r="M95" s="150">
        <v>16.578422579548686</v>
      </c>
      <c r="N95" s="78">
        <v>556.56899999999996</v>
      </c>
      <c r="O95" s="111">
        <v>26035.363789736082</v>
      </c>
      <c r="P95" s="109">
        <v>30653.092779548955</v>
      </c>
      <c r="Q95" s="110">
        <v>23924.862984651689</v>
      </c>
      <c r="R95" s="258">
        <v>49960.226774387775</v>
      </c>
      <c r="S95" s="259">
        <v>54577.95576420064</v>
      </c>
      <c r="U95" s="7" t="s">
        <v>1381</v>
      </c>
    </row>
    <row r="96" spans="1:21" ht="16.5" customHeight="1" thickBot="1">
      <c r="A96" s="41" t="s">
        <v>31</v>
      </c>
      <c r="B96" s="42">
        <f t="shared" si="3"/>
        <v>75</v>
      </c>
      <c r="C96" s="42" t="s">
        <v>3</v>
      </c>
      <c r="D96" s="42">
        <f t="shared" si="4"/>
        <v>200</v>
      </c>
      <c r="E96" s="42" t="s">
        <v>3</v>
      </c>
      <c r="F96" s="101">
        <f t="shared" si="5"/>
        <v>2350</v>
      </c>
      <c r="G96" s="42" t="s">
        <v>3</v>
      </c>
      <c r="H96" s="39">
        <v>2</v>
      </c>
      <c r="I96" s="40" t="s">
        <v>40</v>
      </c>
      <c r="J96" s="103">
        <v>75</v>
      </c>
      <c r="K96" s="104">
        <v>200</v>
      </c>
      <c r="L96" s="104">
        <v>2350</v>
      </c>
      <c r="M96" s="150">
        <v>16.928420727191842</v>
      </c>
      <c r="N96" s="78">
        <v>570.83999999999992</v>
      </c>
      <c r="O96" s="111">
        <v>26462.295068867956</v>
      </c>
      <c r="P96" s="109">
        <v>31177.064495567076</v>
      </c>
      <c r="Q96" s="110">
        <v>24566.873438648978</v>
      </c>
      <c r="R96" s="258">
        <v>51029.168507516937</v>
      </c>
      <c r="S96" s="259">
        <v>55743.937934216054</v>
      </c>
      <c r="U96" s="7" t="s">
        <v>1382</v>
      </c>
    </row>
    <row r="97" spans="1:21" ht="16.5" customHeight="1" thickBot="1">
      <c r="A97" s="41" t="s">
        <v>31</v>
      </c>
      <c r="B97" s="42">
        <f t="shared" si="3"/>
        <v>75</v>
      </c>
      <c r="C97" s="42" t="s">
        <v>3</v>
      </c>
      <c r="D97" s="42">
        <f t="shared" si="4"/>
        <v>200</v>
      </c>
      <c r="E97" s="42" t="s">
        <v>3</v>
      </c>
      <c r="F97" s="101">
        <f t="shared" si="5"/>
        <v>2400</v>
      </c>
      <c r="G97" s="42" t="s">
        <v>3</v>
      </c>
      <c r="H97" s="39">
        <v>2</v>
      </c>
      <c r="I97" s="40" t="s">
        <v>40</v>
      </c>
      <c r="J97" s="103">
        <v>75</v>
      </c>
      <c r="K97" s="104">
        <v>200</v>
      </c>
      <c r="L97" s="104">
        <v>2400</v>
      </c>
      <c r="M97" s="150">
        <v>17.261378874835</v>
      </c>
      <c r="N97" s="78">
        <v>585.11099999999999</v>
      </c>
      <c r="O97" s="111">
        <v>26889.226347999829</v>
      </c>
      <c r="P97" s="109">
        <v>31701.036211585197</v>
      </c>
      <c r="Q97" s="110">
        <v>24957.549754862499</v>
      </c>
      <c r="R97" s="258">
        <v>51846.776102862328</v>
      </c>
      <c r="S97" s="259">
        <v>56658.585966447696</v>
      </c>
      <c r="U97" s="7" t="s">
        <v>1383</v>
      </c>
    </row>
    <row r="98" spans="1:21" ht="16.5" customHeight="1" thickBot="1">
      <c r="A98" s="41" t="s">
        <v>31</v>
      </c>
      <c r="B98" s="42">
        <f t="shared" si="3"/>
        <v>75</v>
      </c>
      <c r="C98" s="42" t="s">
        <v>3</v>
      </c>
      <c r="D98" s="42">
        <f t="shared" si="4"/>
        <v>200</v>
      </c>
      <c r="E98" s="42" t="s">
        <v>3</v>
      </c>
      <c r="F98" s="101">
        <f t="shared" si="5"/>
        <v>2450</v>
      </c>
      <c r="G98" s="42" t="s">
        <v>3</v>
      </c>
      <c r="H98" s="39">
        <v>2</v>
      </c>
      <c r="I98" s="40" t="s">
        <v>40</v>
      </c>
      <c r="J98" s="103">
        <v>75</v>
      </c>
      <c r="K98" s="104">
        <v>200</v>
      </c>
      <c r="L98" s="104">
        <v>2450</v>
      </c>
      <c r="M98" s="150">
        <v>17.703940155278158</v>
      </c>
      <c r="N98" s="78">
        <v>599.38199999999995</v>
      </c>
      <c r="O98" s="111">
        <v>27904.141887716672</v>
      </c>
      <c r="P98" s="109">
        <v>32712.771660533977</v>
      </c>
      <c r="Q98" s="110">
        <v>25599.560361888554</v>
      </c>
      <c r="R98" s="258">
        <v>53503.702249605223</v>
      </c>
      <c r="S98" s="259">
        <v>58312.332022422532</v>
      </c>
      <c r="U98" s="7" t="s">
        <v>1384</v>
      </c>
    </row>
    <row r="99" spans="1:21" ht="16.5" customHeight="1" thickBot="1">
      <c r="A99" s="41" t="s">
        <v>31</v>
      </c>
      <c r="B99" s="42">
        <f t="shared" si="3"/>
        <v>75</v>
      </c>
      <c r="C99" s="42" t="s">
        <v>3</v>
      </c>
      <c r="D99" s="42">
        <f t="shared" si="4"/>
        <v>200</v>
      </c>
      <c r="E99" s="42" t="s">
        <v>3</v>
      </c>
      <c r="F99" s="101">
        <f t="shared" si="5"/>
        <v>2500</v>
      </c>
      <c r="G99" s="42" t="s">
        <v>3</v>
      </c>
      <c r="H99" s="39">
        <v>2</v>
      </c>
      <c r="I99" s="40" t="s">
        <v>40</v>
      </c>
      <c r="J99" s="103">
        <v>75</v>
      </c>
      <c r="K99" s="104">
        <v>200</v>
      </c>
      <c r="L99" s="104">
        <v>2500</v>
      </c>
      <c r="M99" s="150">
        <v>18.036898302921315</v>
      </c>
      <c r="N99" s="78">
        <v>613.65300000000002</v>
      </c>
      <c r="O99" s="111">
        <v>28331.073319877316</v>
      </c>
      <c r="P99" s="109">
        <v>33236.743376552105</v>
      </c>
      <c r="Q99" s="110">
        <v>25990.236678102072</v>
      </c>
      <c r="R99" s="258">
        <v>54321.309997979391</v>
      </c>
      <c r="S99" s="259">
        <v>59226.980054654181</v>
      </c>
      <c r="U99" s="7" t="s">
        <v>1385</v>
      </c>
    </row>
    <row r="100" spans="1:21" ht="16.5" customHeight="1" thickBot="1">
      <c r="A100" s="41" t="s">
        <v>31</v>
      </c>
      <c r="B100" s="42">
        <f t="shared" si="3"/>
        <v>75</v>
      </c>
      <c r="C100" s="42" t="s">
        <v>3</v>
      </c>
      <c r="D100" s="42">
        <f t="shared" si="4"/>
        <v>200</v>
      </c>
      <c r="E100" s="42" t="s">
        <v>3</v>
      </c>
      <c r="F100" s="101">
        <f t="shared" si="5"/>
        <v>2550</v>
      </c>
      <c r="G100" s="42" t="s">
        <v>3</v>
      </c>
      <c r="H100" s="39">
        <v>2</v>
      </c>
      <c r="I100" s="40" t="s">
        <v>40</v>
      </c>
      <c r="J100" s="103">
        <v>75</v>
      </c>
      <c r="K100" s="104">
        <v>200</v>
      </c>
      <c r="L100" s="104">
        <v>2550</v>
      </c>
      <c r="M100" s="150">
        <v>18.386896450564471</v>
      </c>
      <c r="N100" s="78">
        <v>627.92399999999998</v>
      </c>
      <c r="O100" s="111">
        <v>28758.004599009186</v>
      </c>
      <c r="P100" s="109">
        <v>33760.715092570223</v>
      </c>
      <c r="Q100" s="110">
        <v>26632.247132099365</v>
      </c>
      <c r="R100" s="258">
        <v>55390.251731108554</v>
      </c>
      <c r="S100" s="259">
        <v>60392.962224669587</v>
      </c>
      <c r="U100" s="7" t="s">
        <v>1386</v>
      </c>
    </row>
    <row r="101" spans="1:21" ht="16.5" customHeight="1" thickBot="1">
      <c r="A101" s="38" t="s">
        <v>31</v>
      </c>
      <c r="B101" s="39">
        <f t="shared" si="3"/>
        <v>75</v>
      </c>
      <c r="C101" s="39" t="s">
        <v>3</v>
      </c>
      <c r="D101" s="39">
        <f t="shared" si="4"/>
        <v>200</v>
      </c>
      <c r="E101" s="39" t="s">
        <v>3</v>
      </c>
      <c r="F101" s="101">
        <f t="shared" si="5"/>
        <v>2600</v>
      </c>
      <c r="G101" s="39" t="s">
        <v>3</v>
      </c>
      <c r="H101" s="39">
        <v>2</v>
      </c>
      <c r="I101" s="40" t="s">
        <v>40</v>
      </c>
      <c r="J101" s="103">
        <v>75</v>
      </c>
      <c r="K101" s="104">
        <v>200</v>
      </c>
      <c r="L101" s="104">
        <v>2600</v>
      </c>
      <c r="M101" s="150">
        <v>18.719854598207633</v>
      </c>
      <c r="N101" s="78">
        <v>642.19500000000005</v>
      </c>
      <c r="O101" s="111">
        <v>29184.935878141059</v>
      </c>
      <c r="P101" s="109">
        <v>34284.68696161711</v>
      </c>
      <c r="Q101" s="110">
        <v>27022.923448312882</v>
      </c>
      <c r="R101" s="258">
        <v>56207.859326453938</v>
      </c>
      <c r="S101" s="259">
        <v>61307.610409929992</v>
      </c>
      <c r="U101" s="7" t="s">
        <v>1387</v>
      </c>
    </row>
    <row r="102" spans="1:21" ht="16.5" customHeight="1" thickBot="1">
      <c r="A102" s="41" t="s">
        <v>31</v>
      </c>
      <c r="B102" s="42">
        <f t="shared" si="3"/>
        <v>75</v>
      </c>
      <c r="C102" s="42" t="s">
        <v>3</v>
      </c>
      <c r="D102" s="42">
        <f t="shared" si="4"/>
        <v>200</v>
      </c>
      <c r="E102" s="42" t="s">
        <v>3</v>
      </c>
      <c r="F102" s="101">
        <f t="shared" si="5"/>
        <v>2650</v>
      </c>
      <c r="G102" s="42" t="s">
        <v>3</v>
      </c>
      <c r="H102" s="39">
        <v>2</v>
      </c>
      <c r="I102" s="40" t="s">
        <v>40</v>
      </c>
      <c r="J102" s="103">
        <v>75</v>
      </c>
      <c r="K102" s="104">
        <v>200</v>
      </c>
      <c r="L102" s="104">
        <v>2650</v>
      </c>
      <c r="M102" s="150">
        <v>19.069852745850792</v>
      </c>
      <c r="N102" s="78">
        <v>656.46599999999989</v>
      </c>
      <c r="O102" s="111">
        <v>29611.867157272936</v>
      </c>
      <c r="P102" s="109">
        <v>34808.658677635227</v>
      </c>
      <c r="Q102" s="110">
        <v>27664.933902310175</v>
      </c>
      <c r="R102" s="258">
        <v>57276.801059583115</v>
      </c>
      <c r="S102" s="259">
        <v>62473.592579945398</v>
      </c>
      <c r="U102" s="7" t="s">
        <v>1388</v>
      </c>
    </row>
    <row r="103" spans="1:21" ht="16.5" customHeight="1" thickBot="1">
      <c r="A103" s="41" t="s">
        <v>31</v>
      </c>
      <c r="B103" s="42">
        <f t="shared" si="3"/>
        <v>75</v>
      </c>
      <c r="C103" s="42" t="s">
        <v>3</v>
      </c>
      <c r="D103" s="42">
        <f t="shared" si="4"/>
        <v>200</v>
      </c>
      <c r="E103" s="42" t="s">
        <v>3</v>
      </c>
      <c r="F103" s="101">
        <f t="shared" si="5"/>
        <v>2700</v>
      </c>
      <c r="G103" s="42" t="s">
        <v>3</v>
      </c>
      <c r="H103" s="39">
        <v>2</v>
      </c>
      <c r="I103" s="40" t="s">
        <v>40</v>
      </c>
      <c r="J103" s="103">
        <v>75</v>
      </c>
      <c r="K103" s="104">
        <v>200</v>
      </c>
      <c r="L103" s="104">
        <v>2700</v>
      </c>
      <c r="M103" s="150">
        <v>19.442060893493949</v>
      </c>
      <c r="N103" s="78">
        <v>670.73699999999997</v>
      </c>
      <c r="O103" s="111">
        <v>30088.798596035456</v>
      </c>
      <c r="P103" s="109">
        <v>35381.106539812114</v>
      </c>
      <c r="Q103" s="110">
        <v>28055.610371552459</v>
      </c>
      <c r="R103" s="258">
        <v>58144.408967587915</v>
      </c>
      <c r="S103" s="259">
        <v>63436.716911364572</v>
      </c>
      <c r="U103" s="7" t="s">
        <v>1389</v>
      </c>
    </row>
    <row r="104" spans="1:21" ht="16.5" customHeight="1" thickBot="1">
      <c r="A104" s="41" t="s">
        <v>31</v>
      </c>
      <c r="B104" s="42">
        <f t="shared" si="3"/>
        <v>75</v>
      </c>
      <c r="C104" s="42" t="s">
        <v>3</v>
      </c>
      <c r="D104" s="42">
        <f t="shared" si="4"/>
        <v>200</v>
      </c>
      <c r="E104" s="42" t="s">
        <v>3</v>
      </c>
      <c r="F104" s="101">
        <f t="shared" si="5"/>
        <v>2750</v>
      </c>
      <c r="G104" s="42" t="s">
        <v>3</v>
      </c>
      <c r="H104" s="39">
        <v>2</v>
      </c>
      <c r="I104" s="40" t="s">
        <v>40</v>
      </c>
      <c r="J104" s="103">
        <v>75</v>
      </c>
      <c r="K104" s="104">
        <v>200</v>
      </c>
      <c r="L104" s="104">
        <v>2750</v>
      </c>
      <c r="M104" s="150">
        <v>19.775019041137107</v>
      </c>
      <c r="N104" s="78">
        <v>685.00800000000004</v>
      </c>
      <c r="O104" s="111">
        <v>30515.72987516733</v>
      </c>
      <c r="P104" s="109">
        <v>35905.078255830238</v>
      </c>
      <c r="Q104" s="110">
        <v>28446.286687765976</v>
      </c>
      <c r="R104" s="258">
        <v>58962.016562933306</v>
      </c>
      <c r="S104" s="259">
        <v>64351.364943596214</v>
      </c>
      <c r="U104" s="7" t="s">
        <v>1390</v>
      </c>
    </row>
    <row r="105" spans="1:21" ht="16.5" customHeight="1" thickBot="1">
      <c r="A105" s="41" t="s">
        <v>31</v>
      </c>
      <c r="B105" s="42">
        <f t="shared" si="3"/>
        <v>75</v>
      </c>
      <c r="C105" s="42" t="s">
        <v>3</v>
      </c>
      <c r="D105" s="42">
        <f t="shared" si="4"/>
        <v>200</v>
      </c>
      <c r="E105" s="42" t="s">
        <v>3</v>
      </c>
      <c r="F105" s="101">
        <f t="shared" si="5"/>
        <v>2800</v>
      </c>
      <c r="G105" s="42" t="s">
        <v>3</v>
      </c>
      <c r="H105" s="39">
        <v>2</v>
      </c>
      <c r="I105" s="40" t="s">
        <v>40</v>
      </c>
      <c r="J105" s="103">
        <v>75</v>
      </c>
      <c r="K105" s="104">
        <v>200</v>
      </c>
      <c r="L105" s="104">
        <v>2800</v>
      </c>
      <c r="M105" s="150">
        <v>20.125017188780266</v>
      </c>
      <c r="N105" s="78">
        <v>699.27899999999988</v>
      </c>
      <c r="O105" s="111">
        <v>30942.661307327973</v>
      </c>
      <c r="P105" s="109">
        <v>36429.050124877118</v>
      </c>
      <c r="Q105" s="110">
        <v>29088.297141763269</v>
      </c>
      <c r="R105" s="258">
        <v>60030.958449091238</v>
      </c>
      <c r="S105" s="259">
        <v>65517.347266640383</v>
      </c>
      <c r="U105" s="7" t="s">
        <v>1391</v>
      </c>
    </row>
    <row r="106" spans="1:21" ht="16.5" customHeight="1" thickBot="1">
      <c r="A106" s="41" t="s">
        <v>31</v>
      </c>
      <c r="B106" s="42">
        <f t="shared" si="3"/>
        <v>75</v>
      </c>
      <c r="C106" s="42" t="s">
        <v>3</v>
      </c>
      <c r="D106" s="42">
        <f t="shared" si="4"/>
        <v>200</v>
      </c>
      <c r="E106" s="42" t="s">
        <v>3</v>
      </c>
      <c r="F106" s="101">
        <f t="shared" si="5"/>
        <v>2850</v>
      </c>
      <c r="G106" s="42" t="s">
        <v>3</v>
      </c>
      <c r="H106" s="39">
        <v>2</v>
      </c>
      <c r="I106" s="40" t="s">
        <v>40</v>
      </c>
      <c r="J106" s="103">
        <v>75</v>
      </c>
      <c r="K106" s="104">
        <v>200</v>
      </c>
      <c r="L106" s="104">
        <v>2850</v>
      </c>
      <c r="M106" s="150">
        <v>20.45797533642342</v>
      </c>
      <c r="N106" s="78">
        <v>713.55</v>
      </c>
      <c r="O106" s="111">
        <v>31369.592586459847</v>
      </c>
      <c r="P106" s="109">
        <v>36953.02184089525</v>
      </c>
      <c r="Q106" s="110">
        <v>29478.973457976786</v>
      </c>
      <c r="R106" s="258">
        <v>60848.566044436637</v>
      </c>
      <c r="S106" s="259">
        <v>66431.995298872032</v>
      </c>
      <c r="U106" s="7" t="s">
        <v>1392</v>
      </c>
    </row>
    <row r="107" spans="1:21" ht="16.5" customHeight="1" thickBot="1">
      <c r="A107" s="41" t="s">
        <v>31</v>
      </c>
      <c r="B107" s="42">
        <f t="shared" si="3"/>
        <v>75</v>
      </c>
      <c r="C107" s="42" t="s">
        <v>3</v>
      </c>
      <c r="D107" s="42">
        <f t="shared" si="4"/>
        <v>200</v>
      </c>
      <c r="E107" s="42" t="s">
        <v>3</v>
      </c>
      <c r="F107" s="101">
        <f t="shared" si="5"/>
        <v>2900</v>
      </c>
      <c r="G107" s="42" t="s">
        <v>3</v>
      </c>
      <c r="H107" s="39">
        <v>2</v>
      </c>
      <c r="I107" s="40" t="s">
        <v>40</v>
      </c>
      <c r="J107" s="103">
        <v>75</v>
      </c>
      <c r="K107" s="104">
        <v>200</v>
      </c>
      <c r="L107" s="104">
        <v>2900</v>
      </c>
      <c r="M107" s="150">
        <v>20.807973484066579</v>
      </c>
      <c r="N107" s="78">
        <v>727.82100000000003</v>
      </c>
      <c r="O107" s="111">
        <v>31796.523865591724</v>
      </c>
      <c r="P107" s="109">
        <v>37476.993556913367</v>
      </c>
      <c r="Q107" s="110">
        <v>30120.983911974079</v>
      </c>
      <c r="R107" s="258">
        <v>61917.507777565799</v>
      </c>
      <c r="S107" s="259">
        <v>67597.977468887446</v>
      </c>
      <c r="U107" s="7" t="s">
        <v>1393</v>
      </c>
    </row>
    <row r="108" spans="1:21" ht="16.5" customHeight="1" thickBot="1">
      <c r="A108" s="41" t="s">
        <v>31</v>
      </c>
      <c r="B108" s="42">
        <f t="shared" si="3"/>
        <v>75</v>
      </c>
      <c r="C108" s="42" t="s">
        <v>3</v>
      </c>
      <c r="D108" s="42">
        <f t="shared" si="4"/>
        <v>200</v>
      </c>
      <c r="E108" s="42" t="s">
        <v>3</v>
      </c>
      <c r="F108" s="101">
        <f t="shared" si="5"/>
        <v>2950</v>
      </c>
      <c r="G108" s="42" t="s">
        <v>3</v>
      </c>
      <c r="H108" s="39">
        <v>2</v>
      </c>
      <c r="I108" s="40" t="s">
        <v>40</v>
      </c>
      <c r="J108" s="103">
        <v>75</v>
      </c>
      <c r="K108" s="104">
        <v>200</v>
      </c>
      <c r="L108" s="104">
        <v>2950</v>
      </c>
      <c r="M108" s="150">
        <v>21.140931631709737</v>
      </c>
      <c r="N108" s="78">
        <v>742.09199999999998</v>
      </c>
      <c r="O108" s="111">
        <v>32223.455144723594</v>
      </c>
      <c r="P108" s="109">
        <v>38000.965272931491</v>
      </c>
      <c r="Q108" s="110">
        <v>30511.660381216363</v>
      </c>
      <c r="R108" s="258">
        <v>62735.115525939953</v>
      </c>
      <c r="S108" s="259">
        <v>68512.625654147851</v>
      </c>
      <c r="U108" s="7" t="s">
        <v>1394</v>
      </c>
    </row>
    <row r="109" spans="1:21" ht="16.5" customHeight="1" thickBot="1">
      <c r="A109" s="43" t="s">
        <v>31</v>
      </c>
      <c r="B109" s="44">
        <f t="shared" si="3"/>
        <v>75</v>
      </c>
      <c r="C109" s="44" t="s">
        <v>3</v>
      </c>
      <c r="D109" s="44">
        <f t="shared" si="4"/>
        <v>200</v>
      </c>
      <c r="E109" s="44" t="s">
        <v>3</v>
      </c>
      <c r="F109" s="102">
        <f t="shared" si="5"/>
        <v>3000</v>
      </c>
      <c r="G109" s="44" t="s">
        <v>3</v>
      </c>
      <c r="H109" s="46">
        <v>2</v>
      </c>
      <c r="I109" s="45" t="s">
        <v>40</v>
      </c>
      <c r="J109" s="125">
        <v>75</v>
      </c>
      <c r="K109" s="134">
        <v>200</v>
      </c>
      <c r="L109" s="134">
        <v>3000</v>
      </c>
      <c r="M109" s="152">
        <v>21.490929779352896</v>
      </c>
      <c r="N109" s="127">
        <v>756.36299999999994</v>
      </c>
      <c r="O109" s="135">
        <v>33931.307887241208</v>
      </c>
      <c r="P109" s="154">
        <v>38524.936988949608</v>
      </c>
      <c r="Q109" s="136">
        <v>31153.670835213656</v>
      </c>
      <c r="R109" s="260">
        <v>65084.978722454864</v>
      </c>
      <c r="S109" s="261">
        <v>69678.607824163264</v>
      </c>
      <c r="U109" s="7" t="s">
        <v>1395</v>
      </c>
    </row>
    <row r="110" spans="1:21" ht="22.5" customHeight="1" thickBot="1">
      <c r="A110" s="3010" t="s">
        <v>45</v>
      </c>
      <c r="B110" s="3011"/>
      <c r="C110" s="3011"/>
      <c r="D110" s="3011"/>
      <c r="E110" s="3011"/>
      <c r="F110" s="3011"/>
      <c r="G110" s="3011"/>
      <c r="H110" s="3011"/>
      <c r="I110" s="3011"/>
      <c r="J110" s="3011"/>
      <c r="K110" s="3011"/>
      <c r="L110" s="3011"/>
      <c r="M110" s="3011"/>
      <c r="N110" s="3011"/>
      <c r="O110" s="3011"/>
      <c r="P110" s="3011"/>
      <c r="Q110" s="3011"/>
      <c r="R110" s="3011"/>
      <c r="S110" s="3012"/>
      <c r="U110" s="7"/>
    </row>
    <row r="111" spans="1:21" ht="16.5" customHeight="1" thickBot="1">
      <c r="A111" s="2974" t="s">
        <v>112</v>
      </c>
      <c r="B111" s="2975"/>
      <c r="C111" s="2975"/>
      <c r="D111" s="2975"/>
      <c r="E111" s="2975"/>
      <c r="F111" s="2975"/>
      <c r="G111" s="2975"/>
      <c r="H111" s="2975"/>
      <c r="I111" s="2975"/>
      <c r="J111" s="2975"/>
      <c r="K111" s="2975"/>
      <c r="L111" s="2975"/>
      <c r="M111" s="2975"/>
      <c r="N111" s="2975"/>
      <c r="O111" s="2975"/>
      <c r="P111" s="2975"/>
      <c r="Q111" s="2975"/>
      <c r="R111" s="2975"/>
      <c r="S111" s="2976"/>
      <c r="U111" s="7"/>
    </row>
    <row r="112" spans="1:21" ht="16.5" thickBot="1">
      <c r="A112" s="38" t="s">
        <v>31</v>
      </c>
      <c r="B112" s="39">
        <f>J112</f>
        <v>75</v>
      </c>
      <c r="C112" s="39" t="s">
        <v>3</v>
      </c>
      <c r="D112" s="39">
        <f>K112</f>
        <v>260</v>
      </c>
      <c r="E112" s="39" t="s">
        <v>3</v>
      </c>
      <c r="F112" s="101">
        <f>L112</f>
        <v>600</v>
      </c>
      <c r="G112" s="39" t="s">
        <v>3</v>
      </c>
      <c r="H112" s="39">
        <v>2</v>
      </c>
      <c r="I112" s="40" t="s">
        <v>40</v>
      </c>
      <c r="J112" s="121">
        <v>75</v>
      </c>
      <c r="K112" s="138">
        <v>260</v>
      </c>
      <c r="L112" s="138">
        <v>600</v>
      </c>
      <c r="M112" s="147">
        <v>5.5364018495655269</v>
      </c>
      <c r="N112" s="122">
        <v>91.907999999999987</v>
      </c>
      <c r="O112" s="153">
        <v>10941.682802139965</v>
      </c>
      <c r="P112" s="153">
        <v>12907.424516566713</v>
      </c>
      <c r="Q112" s="139">
        <v>8214.2785134660462</v>
      </c>
      <c r="R112" s="256">
        <v>19155.961315606011</v>
      </c>
      <c r="S112" s="257">
        <v>21121.703030032761</v>
      </c>
      <c r="U112" s="7" t="s">
        <v>1396</v>
      </c>
    </row>
    <row r="113" spans="1:21" ht="16.5" thickBot="1">
      <c r="A113" s="41" t="s">
        <v>31</v>
      </c>
      <c r="B113" s="42">
        <f t="shared" ref="B113:B160" si="6">J113</f>
        <v>75</v>
      </c>
      <c r="C113" s="42" t="s">
        <v>3</v>
      </c>
      <c r="D113" s="42">
        <f t="shared" ref="D113:D160" si="7">K113</f>
        <v>260</v>
      </c>
      <c r="E113" s="42" t="s">
        <v>3</v>
      </c>
      <c r="F113" s="101">
        <f t="shared" ref="F113:F160" si="8">L113</f>
        <v>650</v>
      </c>
      <c r="G113" s="42" t="s">
        <v>3</v>
      </c>
      <c r="H113" s="39">
        <v>2</v>
      </c>
      <c r="I113" s="40" t="s">
        <v>40</v>
      </c>
      <c r="J113" s="103">
        <v>75</v>
      </c>
      <c r="K113" s="104">
        <v>260</v>
      </c>
      <c r="L113" s="104">
        <v>650</v>
      </c>
      <c r="M113" s="150">
        <v>5.9171405590507895</v>
      </c>
      <c r="N113" s="66">
        <v>110.28959999999998</v>
      </c>
      <c r="O113" s="109">
        <v>11399.609751590378</v>
      </c>
      <c r="P113" s="109">
        <v>13483.125617261392</v>
      </c>
      <c r="Q113" s="110">
        <v>8684.7340809460093</v>
      </c>
      <c r="R113" s="258">
        <v>20084.34383253639</v>
      </c>
      <c r="S113" s="259">
        <v>22167.859698207401</v>
      </c>
      <c r="U113" s="7" t="s">
        <v>1397</v>
      </c>
    </row>
    <row r="114" spans="1:21" ht="16.5" thickBot="1">
      <c r="A114" s="41" t="s">
        <v>31</v>
      </c>
      <c r="B114" s="42">
        <f t="shared" si="6"/>
        <v>75</v>
      </c>
      <c r="C114" s="42" t="s">
        <v>3</v>
      </c>
      <c r="D114" s="42">
        <f t="shared" si="7"/>
        <v>260</v>
      </c>
      <c r="E114" s="42" t="s">
        <v>3</v>
      </c>
      <c r="F114" s="101">
        <f t="shared" si="8"/>
        <v>700</v>
      </c>
      <c r="G114" s="42" t="s">
        <v>3</v>
      </c>
      <c r="H114" s="39">
        <v>2</v>
      </c>
      <c r="I114" s="40" t="s">
        <v>40</v>
      </c>
      <c r="J114" s="103">
        <v>75</v>
      </c>
      <c r="K114" s="104">
        <v>260</v>
      </c>
      <c r="L114" s="104">
        <v>700</v>
      </c>
      <c r="M114" s="150">
        <v>6.3149192685360518</v>
      </c>
      <c r="N114" s="66">
        <v>128.67119999999997</v>
      </c>
      <c r="O114" s="109">
        <v>11857.536548012027</v>
      </c>
      <c r="P114" s="109">
        <v>14058.826564927309</v>
      </c>
      <c r="Q114" s="110">
        <v>9406.5237862097401</v>
      </c>
      <c r="R114" s="258">
        <v>21264.060334221766</v>
      </c>
      <c r="S114" s="259">
        <v>23465.350351137051</v>
      </c>
      <c r="U114" s="7" t="s">
        <v>1398</v>
      </c>
    </row>
    <row r="115" spans="1:21" ht="16.5" thickBot="1">
      <c r="A115" s="41" t="s">
        <v>31</v>
      </c>
      <c r="B115" s="42">
        <f t="shared" si="6"/>
        <v>75</v>
      </c>
      <c r="C115" s="42" t="s">
        <v>3</v>
      </c>
      <c r="D115" s="42">
        <f t="shared" si="7"/>
        <v>260</v>
      </c>
      <c r="E115" s="42" t="s">
        <v>3</v>
      </c>
      <c r="F115" s="101">
        <f t="shared" si="8"/>
        <v>750</v>
      </c>
      <c r="G115" s="42" t="s">
        <v>3</v>
      </c>
      <c r="H115" s="39">
        <v>2</v>
      </c>
      <c r="I115" s="40" t="s">
        <v>40</v>
      </c>
      <c r="J115" s="103">
        <v>75</v>
      </c>
      <c r="K115" s="104">
        <v>260</v>
      </c>
      <c r="L115" s="104">
        <v>750</v>
      </c>
      <c r="M115" s="150">
        <v>6.6956579780213152</v>
      </c>
      <c r="N115" s="66">
        <v>147.05279999999996</v>
      </c>
      <c r="O115" s="109">
        <v>12315.463344433674</v>
      </c>
      <c r="P115" s="109">
        <v>14634.527512593222</v>
      </c>
      <c r="Q115" s="110">
        <v>9876.9793536897032</v>
      </c>
      <c r="R115" s="258">
        <v>22192.442698123377</v>
      </c>
      <c r="S115" s="259">
        <v>24511.506866282925</v>
      </c>
      <c r="U115" s="7" t="s">
        <v>1399</v>
      </c>
    </row>
    <row r="116" spans="1:21" ht="16.5" thickBot="1">
      <c r="A116" s="41" t="s">
        <v>31</v>
      </c>
      <c r="B116" s="42">
        <f t="shared" si="6"/>
        <v>75</v>
      </c>
      <c r="C116" s="42" t="s">
        <v>3</v>
      </c>
      <c r="D116" s="42">
        <f t="shared" si="7"/>
        <v>260</v>
      </c>
      <c r="E116" s="42" t="s">
        <v>3</v>
      </c>
      <c r="F116" s="101">
        <f t="shared" si="8"/>
        <v>800</v>
      </c>
      <c r="G116" s="42" t="s">
        <v>3</v>
      </c>
      <c r="H116" s="39">
        <v>2</v>
      </c>
      <c r="I116" s="40" t="s">
        <v>40</v>
      </c>
      <c r="J116" s="103">
        <v>75</v>
      </c>
      <c r="K116" s="104">
        <v>260</v>
      </c>
      <c r="L116" s="104">
        <v>800</v>
      </c>
      <c r="M116" s="150">
        <v>7.0763966875065787</v>
      </c>
      <c r="N116" s="66">
        <v>165.43439999999995</v>
      </c>
      <c r="O116" s="109">
        <v>12773.390293884086</v>
      </c>
      <c r="P116" s="109">
        <v>15210.228460259124</v>
      </c>
      <c r="Q116" s="110">
        <v>10347.434921169664</v>
      </c>
      <c r="R116" s="258">
        <v>23120.825215053752</v>
      </c>
      <c r="S116" s="259">
        <v>25557.663381428789</v>
      </c>
      <c r="U116" s="7" t="s">
        <v>1400</v>
      </c>
    </row>
    <row r="117" spans="1:21" ht="16.5" thickBot="1">
      <c r="A117" s="41" t="s">
        <v>31</v>
      </c>
      <c r="B117" s="42">
        <f t="shared" si="6"/>
        <v>75</v>
      </c>
      <c r="C117" s="42" t="s">
        <v>3</v>
      </c>
      <c r="D117" s="42">
        <f t="shared" si="7"/>
        <v>260</v>
      </c>
      <c r="E117" s="42" t="s">
        <v>3</v>
      </c>
      <c r="F117" s="101">
        <f t="shared" si="8"/>
        <v>850</v>
      </c>
      <c r="G117" s="42" t="s">
        <v>3</v>
      </c>
      <c r="H117" s="39">
        <v>2</v>
      </c>
      <c r="I117" s="40" t="s">
        <v>40</v>
      </c>
      <c r="J117" s="103">
        <v>75</v>
      </c>
      <c r="K117" s="104">
        <v>260</v>
      </c>
      <c r="L117" s="104">
        <v>850</v>
      </c>
      <c r="M117" s="150">
        <v>7.4741753969918419</v>
      </c>
      <c r="N117" s="66">
        <v>183.81599999999997</v>
      </c>
      <c r="O117" s="109">
        <v>13231.317090305734</v>
      </c>
      <c r="P117" s="109">
        <v>15785.92956095382</v>
      </c>
      <c r="Q117" s="110">
        <v>11069.224626433395</v>
      </c>
      <c r="R117" s="258">
        <v>24300.541716739128</v>
      </c>
      <c r="S117" s="259">
        <v>26855.154187387216</v>
      </c>
      <c r="U117" s="7" t="s">
        <v>1401</v>
      </c>
    </row>
    <row r="118" spans="1:21" ht="16.5" thickBot="1">
      <c r="A118" s="41" t="s">
        <v>31</v>
      </c>
      <c r="B118" s="42">
        <f t="shared" si="6"/>
        <v>75</v>
      </c>
      <c r="C118" s="42" t="s">
        <v>3</v>
      </c>
      <c r="D118" s="42">
        <f t="shared" si="7"/>
        <v>260</v>
      </c>
      <c r="E118" s="42" t="s">
        <v>3</v>
      </c>
      <c r="F118" s="101">
        <f t="shared" si="8"/>
        <v>900</v>
      </c>
      <c r="G118" s="42" t="s">
        <v>3</v>
      </c>
      <c r="H118" s="39">
        <v>2</v>
      </c>
      <c r="I118" s="40" t="s">
        <v>40</v>
      </c>
      <c r="J118" s="103">
        <v>75</v>
      </c>
      <c r="K118" s="104">
        <v>260</v>
      </c>
      <c r="L118" s="104">
        <v>900</v>
      </c>
      <c r="M118" s="150">
        <v>7.8549141064771053</v>
      </c>
      <c r="N118" s="66">
        <v>202.19759999999994</v>
      </c>
      <c r="O118" s="109">
        <v>13689.243886727385</v>
      </c>
      <c r="P118" s="109">
        <v>16361.630508619735</v>
      </c>
      <c r="Q118" s="110">
        <v>11539.680193913358</v>
      </c>
      <c r="R118" s="258">
        <v>25228.924080640743</v>
      </c>
      <c r="S118" s="259">
        <v>27901.310702533094</v>
      </c>
      <c r="U118" s="7" t="s">
        <v>1402</v>
      </c>
    </row>
    <row r="119" spans="1:21" ht="16.5" thickBot="1">
      <c r="A119" s="41" t="s">
        <v>31</v>
      </c>
      <c r="B119" s="42">
        <f t="shared" si="6"/>
        <v>75</v>
      </c>
      <c r="C119" s="42" t="s">
        <v>3</v>
      </c>
      <c r="D119" s="42">
        <f t="shared" si="7"/>
        <v>260</v>
      </c>
      <c r="E119" s="42" t="s">
        <v>3</v>
      </c>
      <c r="F119" s="101">
        <f t="shared" si="8"/>
        <v>950</v>
      </c>
      <c r="G119" s="42" t="s">
        <v>3</v>
      </c>
      <c r="H119" s="39">
        <v>2</v>
      </c>
      <c r="I119" s="40" t="s">
        <v>40</v>
      </c>
      <c r="J119" s="103">
        <v>75</v>
      </c>
      <c r="K119" s="104">
        <v>260</v>
      </c>
      <c r="L119" s="104">
        <v>950</v>
      </c>
      <c r="M119" s="150">
        <v>8.2526928159623676</v>
      </c>
      <c r="N119" s="66">
        <v>220.57919999999996</v>
      </c>
      <c r="O119" s="109">
        <v>14147.170836177796</v>
      </c>
      <c r="P119" s="109">
        <v>16937.331456285654</v>
      </c>
      <c r="Q119" s="110">
        <v>12261.469899177091</v>
      </c>
      <c r="R119" s="258">
        <v>26408.640735354886</v>
      </c>
      <c r="S119" s="259">
        <v>29198.801355462747</v>
      </c>
      <c r="U119" s="7" t="s">
        <v>1403</v>
      </c>
    </row>
    <row r="120" spans="1:21" ht="16.5" thickBot="1">
      <c r="A120" s="41" t="s">
        <v>31</v>
      </c>
      <c r="B120" s="42">
        <f t="shared" si="6"/>
        <v>75</v>
      </c>
      <c r="C120" s="42" t="s">
        <v>3</v>
      </c>
      <c r="D120" s="42">
        <f t="shared" si="7"/>
        <v>260</v>
      </c>
      <c r="E120" s="42" t="s">
        <v>3</v>
      </c>
      <c r="F120" s="101">
        <f t="shared" si="8"/>
        <v>1000</v>
      </c>
      <c r="G120" s="42" t="s">
        <v>3</v>
      </c>
      <c r="H120" s="39">
        <v>2</v>
      </c>
      <c r="I120" s="40" t="s">
        <v>40</v>
      </c>
      <c r="J120" s="103">
        <v>75</v>
      </c>
      <c r="K120" s="104">
        <v>260</v>
      </c>
      <c r="L120" s="104">
        <v>1000</v>
      </c>
      <c r="M120" s="150">
        <v>8.6334315254476319</v>
      </c>
      <c r="N120" s="66">
        <v>238.96079999999995</v>
      </c>
      <c r="O120" s="109">
        <v>14605.097632599445</v>
      </c>
      <c r="P120" s="109">
        <v>17513.032403951565</v>
      </c>
      <c r="Q120" s="110">
        <v>12731.925466657052</v>
      </c>
      <c r="R120" s="258">
        <v>27337.023099256498</v>
      </c>
      <c r="S120" s="259">
        <v>30244.957870608618</v>
      </c>
      <c r="U120" s="7" t="s">
        <v>1404</v>
      </c>
    </row>
    <row r="121" spans="1:21" ht="16.5" thickBot="1">
      <c r="A121" s="41" t="s">
        <v>31</v>
      </c>
      <c r="B121" s="42">
        <f t="shared" si="6"/>
        <v>75</v>
      </c>
      <c r="C121" s="42" t="s">
        <v>3</v>
      </c>
      <c r="D121" s="42">
        <f t="shared" si="7"/>
        <v>260</v>
      </c>
      <c r="E121" s="42" t="s">
        <v>3</v>
      </c>
      <c r="F121" s="101">
        <f t="shared" si="8"/>
        <v>1050</v>
      </c>
      <c r="G121" s="42" t="s">
        <v>3</v>
      </c>
      <c r="H121" s="39">
        <v>2</v>
      </c>
      <c r="I121" s="40" t="s">
        <v>40</v>
      </c>
      <c r="J121" s="103">
        <v>75</v>
      </c>
      <c r="K121" s="104">
        <v>260</v>
      </c>
      <c r="L121" s="104">
        <v>1050</v>
      </c>
      <c r="M121" s="150">
        <v>9.031210234932896</v>
      </c>
      <c r="N121" s="66">
        <v>257.34239999999994</v>
      </c>
      <c r="O121" s="109">
        <v>15063.024582049857</v>
      </c>
      <c r="P121" s="109">
        <v>18088.73350464625</v>
      </c>
      <c r="Q121" s="110">
        <v>13453.71501889202</v>
      </c>
      <c r="R121" s="258">
        <v>28516.739600941877</v>
      </c>
      <c r="S121" s="259">
        <v>31542.448523538271</v>
      </c>
      <c r="U121" s="7" t="s">
        <v>1405</v>
      </c>
    </row>
    <row r="122" spans="1:21" ht="16.5" thickBot="1">
      <c r="A122" s="38" t="s">
        <v>31</v>
      </c>
      <c r="B122" s="39">
        <f t="shared" si="6"/>
        <v>75</v>
      </c>
      <c r="C122" s="39" t="s">
        <v>3</v>
      </c>
      <c r="D122" s="39">
        <f t="shared" si="7"/>
        <v>260</v>
      </c>
      <c r="E122" s="39" t="s">
        <v>3</v>
      </c>
      <c r="F122" s="101">
        <f t="shared" si="8"/>
        <v>1100</v>
      </c>
      <c r="G122" s="39" t="s">
        <v>3</v>
      </c>
      <c r="H122" s="39">
        <v>2</v>
      </c>
      <c r="I122" s="40" t="s">
        <v>40</v>
      </c>
      <c r="J122" s="103">
        <v>75</v>
      </c>
      <c r="K122" s="104">
        <v>260</v>
      </c>
      <c r="L122" s="104">
        <v>1100</v>
      </c>
      <c r="M122" s="150">
        <v>9.4119489444181585</v>
      </c>
      <c r="N122" s="66">
        <v>275.72399999999999</v>
      </c>
      <c r="O122" s="109">
        <v>15520.951378471507</v>
      </c>
      <c r="P122" s="109">
        <v>18664.434452312162</v>
      </c>
      <c r="Q122" s="110">
        <v>13924.170586371982</v>
      </c>
      <c r="R122" s="258">
        <v>29445.121964843489</v>
      </c>
      <c r="S122" s="259">
        <v>32588.605038684145</v>
      </c>
      <c r="U122" s="7" t="s">
        <v>1406</v>
      </c>
    </row>
    <row r="123" spans="1:21" ht="16.5" thickBot="1">
      <c r="A123" s="41" t="s">
        <v>31</v>
      </c>
      <c r="B123" s="42">
        <f t="shared" si="6"/>
        <v>75</v>
      </c>
      <c r="C123" s="42" t="s">
        <v>3</v>
      </c>
      <c r="D123" s="42">
        <f t="shared" si="7"/>
        <v>260</v>
      </c>
      <c r="E123" s="42" t="s">
        <v>3</v>
      </c>
      <c r="F123" s="101">
        <f t="shared" si="8"/>
        <v>1150</v>
      </c>
      <c r="G123" s="42" t="s">
        <v>3</v>
      </c>
      <c r="H123" s="39">
        <v>2</v>
      </c>
      <c r="I123" s="40" t="s">
        <v>40</v>
      </c>
      <c r="J123" s="103">
        <v>75</v>
      </c>
      <c r="K123" s="104">
        <v>260</v>
      </c>
      <c r="L123" s="104">
        <v>1150</v>
      </c>
      <c r="M123" s="150">
        <v>9.7926876539034211</v>
      </c>
      <c r="N123" s="66">
        <v>294.10559999999992</v>
      </c>
      <c r="O123" s="109">
        <v>15978.878174893154</v>
      </c>
      <c r="P123" s="109">
        <v>19240.13539997808</v>
      </c>
      <c r="Q123" s="110">
        <v>14394.626153851941</v>
      </c>
      <c r="R123" s="258">
        <v>30373.504328745097</v>
      </c>
      <c r="S123" s="259">
        <v>33634.761553830023</v>
      </c>
      <c r="U123" s="7" t="s">
        <v>1407</v>
      </c>
    </row>
    <row r="124" spans="1:21" ht="16.5" thickBot="1">
      <c r="A124" s="41" t="s">
        <v>31</v>
      </c>
      <c r="B124" s="42">
        <f t="shared" si="6"/>
        <v>75</v>
      </c>
      <c r="C124" s="42" t="s">
        <v>3</v>
      </c>
      <c r="D124" s="42">
        <f t="shared" si="7"/>
        <v>260</v>
      </c>
      <c r="E124" s="42" t="s">
        <v>3</v>
      </c>
      <c r="F124" s="101">
        <f t="shared" si="8"/>
        <v>1200</v>
      </c>
      <c r="G124" s="42" t="s">
        <v>3</v>
      </c>
      <c r="H124" s="39">
        <v>2</v>
      </c>
      <c r="I124" s="40" t="s">
        <v>40</v>
      </c>
      <c r="J124" s="103">
        <v>75</v>
      </c>
      <c r="K124" s="104">
        <v>260</v>
      </c>
      <c r="L124" s="104">
        <v>1200</v>
      </c>
      <c r="M124" s="150">
        <v>10.229716363388683</v>
      </c>
      <c r="N124" s="66">
        <v>312.48719999999992</v>
      </c>
      <c r="O124" s="109">
        <v>16486.805283974059</v>
      </c>
      <c r="P124" s="109">
        <v>19864.312646831528</v>
      </c>
      <c r="Q124" s="110">
        <v>15116.415859115676</v>
      </c>
      <c r="R124" s="258">
        <v>31603.221143089737</v>
      </c>
      <c r="S124" s="259">
        <v>34980.728505947205</v>
      </c>
      <c r="U124" s="7" t="s">
        <v>1408</v>
      </c>
    </row>
    <row r="125" spans="1:21" ht="16.5" thickBot="1">
      <c r="A125" s="41" t="s">
        <v>31</v>
      </c>
      <c r="B125" s="42">
        <f t="shared" si="6"/>
        <v>75</v>
      </c>
      <c r="C125" s="42" t="s">
        <v>3</v>
      </c>
      <c r="D125" s="42">
        <f t="shared" si="7"/>
        <v>260</v>
      </c>
      <c r="E125" s="42" t="s">
        <v>3</v>
      </c>
      <c r="F125" s="101">
        <f t="shared" si="8"/>
        <v>1250</v>
      </c>
      <c r="G125" s="42" t="s">
        <v>3</v>
      </c>
      <c r="H125" s="39">
        <v>2</v>
      </c>
      <c r="I125" s="40" t="s">
        <v>40</v>
      </c>
      <c r="J125" s="103">
        <v>75</v>
      </c>
      <c r="K125" s="104">
        <v>260</v>
      </c>
      <c r="L125" s="104">
        <v>1250</v>
      </c>
      <c r="M125" s="150">
        <v>10.610455072873947</v>
      </c>
      <c r="N125" s="66">
        <v>330.86879999999991</v>
      </c>
      <c r="O125" s="109">
        <v>16944.732080395861</v>
      </c>
      <c r="P125" s="109">
        <v>20440.013594497443</v>
      </c>
      <c r="Q125" s="110">
        <v>15586.871426595639</v>
      </c>
      <c r="R125" s="258">
        <v>32531.603506991501</v>
      </c>
      <c r="S125" s="259">
        <v>36026.885021093083</v>
      </c>
      <c r="U125" s="7" t="s">
        <v>1409</v>
      </c>
    </row>
    <row r="126" spans="1:21" ht="16.5" thickBot="1">
      <c r="A126" s="41" t="s">
        <v>31</v>
      </c>
      <c r="B126" s="42">
        <f t="shared" si="6"/>
        <v>75</v>
      </c>
      <c r="C126" s="42" t="s">
        <v>3</v>
      </c>
      <c r="D126" s="42">
        <f t="shared" si="7"/>
        <v>260</v>
      </c>
      <c r="E126" s="42" t="s">
        <v>3</v>
      </c>
      <c r="F126" s="101">
        <f t="shared" si="8"/>
        <v>1300</v>
      </c>
      <c r="G126" s="42" t="s">
        <v>3</v>
      </c>
      <c r="H126" s="39">
        <v>2</v>
      </c>
      <c r="I126" s="40" t="s">
        <v>40</v>
      </c>
      <c r="J126" s="103">
        <v>75</v>
      </c>
      <c r="K126" s="104">
        <v>260</v>
      </c>
      <c r="L126" s="104">
        <v>1300</v>
      </c>
      <c r="M126" s="150">
        <v>11.008233782359213</v>
      </c>
      <c r="N126" s="66">
        <v>349.2503999999999</v>
      </c>
      <c r="O126" s="109">
        <v>17402.659029846276</v>
      </c>
      <c r="P126" s="109">
        <v>21015.714542163358</v>
      </c>
      <c r="Q126" s="110">
        <v>16308.66113185937</v>
      </c>
      <c r="R126" s="258">
        <v>33711.320161705647</v>
      </c>
      <c r="S126" s="259">
        <v>37324.375674022725</v>
      </c>
      <c r="U126" s="7" t="s">
        <v>1410</v>
      </c>
    </row>
    <row r="127" spans="1:21" ht="16.5" thickBot="1">
      <c r="A127" s="41" t="s">
        <v>31</v>
      </c>
      <c r="B127" s="42">
        <f t="shared" si="6"/>
        <v>75</v>
      </c>
      <c r="C127" s="42" t="s">
        <v>3</v>
      </c>
      <c r="D127" s="42">
        <f t="shared" si="7"/>
        <v>260</v>
      </c>
      <c r="E127" s="42" t="s">
        <v>3</v>
      </c>
      <c r="F127" s="101">
        <f t="shared" si="8"/>
        <v>1350</v>
      </c>
      <c r="G127" s="42" t="s">
        <v>3</v>
      </c>
      <c r="H127" s="39">
        <v>2</v>
      </c>
      <c r="I127" s="40" t="s">
        <v>40</v>
      </c>
      <c r="J127" s="103">
        <v>75</v>
      </c>
      <c r="K127" s="104">
        <v>260</v>
      </c>
      <c r="L127" s="104">
        <v>1350</v>
      </c>
      <c r="M127" s="150">
        <v>11.388972491844475</v>
      </c>
      <c r="N127" s="66">
        <v>367.63199999999995</v>
      </c>
      <c r="O127" s="109">
        <v>17860.585826267921</v>
      </c>
      <c r="P127" s="109">
        <v>21591.415489829273</v>
      </c>
      <c r="Q127" s="110">
        <v>16779.116699339331</v>
      </c>
      <c r="R127" s="258">
        <v>34639.702525607252</v>
      </c>
      <c r="S127" s="259">
        <v>38370.532189168604</v>
      </c>
      <c r="U127" s="7" t="s">
        <v>1411</v>
      </c>
    </row>
    <row r="128" spans="1:21" ht="16.5" thickBot="1">
      <c r="A128" s="41" t="s">
        <v>31</v>
      </c>
      <c r="B128" s="42">
        <f t="shared" si="6"/>
        <v>75</v>
      </c>
      <c r="C128" s="42" t="s">
        <v>3</v>
      </c>
      <c r="D128" s="42">
        <f t="shared" si="7"/>
        <v>260</v>
      </c>
      <c r="E128" s="42" t="s">
        <v>3</v>
      </c>
      <c r="F128" s="101">
        <f t="shared" si="8"/>
        <v>1400</v>
      </c>
      <c r="G128" s="42" t="s">
        <v>3</v>
      </c>
      <c r="H128" s="39">
        <v>2</v>
      </c>
      <c r="I128" s="40" t="s">
        <v>40</v>
      </c>
      <c r="J128" s="103">
        <v>75</v>
      </c>
      <c r="K128" s="104">
        <v>260</v>
      </c>
      <c r="L128" s="104">
        <v>1400</v>
      </c>
      <c r="M128" s="150">
        <v>11.786751201329738</v>
      </c>
      <c r="N128" s="66">
        <v>386.01359999999994</v>
      </c>
      <c r="O128" s="109">
        <v>18318.51262268957</v>
      </c>
      <c r="P128" s="109">
        <v>22167.116590523958</v>
      </c>
      <c r="Q128" s="110">
        <v>17500.906404603062</v>
      </c>
      <c r="R128" s="258">
        <v>35819.419027292635</v>
      </c>
      <c r="S128" s="259">
        <v>39668.022995127016</v>
      </c>
      <c r="U128" s="7" t="s">
        <v>1412</v>
      </c>
    </row>
    <row r="129" spans="1:21" ht="16.5" thickBot="1">
      <c r="A129" s="41" t="s">
        <v>31</v>
      </c>
      <c r="B129" s="42">
        <f t="shared" si="6"/>
        <v>75</v>
      </c>
      <c r="C129" s="42" t="s">
        <v>3</v>
      </c>
      <c r="D129" s="42">
        <f t="shared" si="7"/>
        <v>260</v>
      </c>
      <c r="E129" s="42" t="s">
        <v>3</v>
      </c>
      <c r="F129" s="101">
        <f t="shared" si="8"/>
        <v>1450</v>
      </c>
      <c r="G129" s="42" t="s">
        <v>3</v>
      </c>
      <c r="H129" s="39">
        <v>2</v>
      </c>
      <c r="I129" s="40" t="s">
        <v>40</v>
      </c>
      <c r="J129" s="103">
        <v>75</v>
      </c>
      <c r="K129" s="104">
        <v>260</v>
      </c>
      <c r="L129" s="104">
        <v>1450</v>
      </c>
      <c r="M129" s="150">
        <v>12.167489910815002</v>
      </c>
      <c r="N129" s="66">
        <v>404.39519999999987</v>
      </c>
      <c r="O129" s="109">
        <v>18776.439572139981</v>
      </c>
      <c r="P129" s="109">
        <v>22742.817538189869</v>
      </c>
      <c r="Q129" s="110">
        <v>17971.361972083025</v>
      </c>
      <c r="R129" s="258">
        <v>36747.80154422301</v>
      </c>
      <c r="S129" s="259">
        <v>40714.179510272894</v>
      </c>
      <c r="U129" s="7" t="s">
        <v>1413</v>
      </c>
    </row>
    <row r="130" spans="1:21" ht="16.5" thickBot="1">
      <c r="A130" s="41" t="s">
        <v>31</v>
      </c>
      <c r="B130" s="42">
        <f t="shared" si="6"/>
        <v>75</v>
      </c>
      <c r="C130" s="42" t="s">
        <v>3</v>
      </c>
      <c r="D130" s="42">
        <f t="shared" si="7"/>
        <v>260</v>
      </c>
      <c r="E130" s="42" t="s">
        <v>3</v>
      </c>
      <c r="F130" s="101">
        <f t="shared" si="8"/>
        <v>1500</v>
      </c>
      <c r="G130" s="42" t="s">
        <v>3</v>
      </c>
      <c r="H130" s="39">
        <v>2</v>
      </c>
      <c r="I130" s="40" t="s">
        <v>40</v>
      </c>
      <c r="J130" s="103">
        <v>75</v>
      </c>
      <c r="K130" s="104">
        <v>260</v>
      </c>
      <c r="L130" s="104">
        <v>1500</v>
      </c>
      <c r="M130" s="150">
        <v>12.689032809100265</v>
      </c>
      <c r="N130" s="66">
        <v>422.77679999999992</v>
      </c>
      <c r="O130" s="109">
        <v>19876.820299920251</v>
      </c>
      <c r="P130" s="109">
        <v>23881.102266861482</v>
      </c>
      <c r="Q130" s="110">
        <v>18693.151677346756</v>
      </c>
      <c r="R130" s="258">
        <v>38569.971977267007</v>
      </c>
      <c r="S130" s="259">
        <v>42574.253944208234</v>
      </c>
      <c r="U130" s="7" t="s">
        <v>1414</v>
      </c>
    </row>
    <row r="131" spans="1:21" ht="16.5" thickBot="1">
      <c r="A131" s="41" t="s">
        <v>31</v>
      </c>
      <c r="B131" s="42">
        <f t="shared" si="6"/>
        <v>75</v>
      </c>
      <c r="C131" s="42" t="s">
        <v>3</v>
      </c>
      <c r="D131" s="42">
        <f t="shared" si="7"/>
        <v>260</v>
      </c>
      <c r="E131" s="42" t="s">
        <v>3</v>
      </c>
      <c r="F131" s="101">
        <f t="shared" si="8"/>
        <v>1550</v>
      </c>
      <c r="G131" s="42" t="s">
        <v>3</v>
      </c>
      <c r="H131" s="39">
        <v>2</v>
      </c>
      <c r="I131" s="40" t="s">
        <v>40</v>
      </c>
      <c r="J131" s="103">
        <v>75</v>
      </c>
      <c r="K131" s="104">
        <v>260</v>
      </c>
      <c r="L131" s="104">
        <v>1550</v>
      </c>
      <c r="M131" s="150">
        <v>13.069771518585526</v>
      </c>
      <c r="N131" s="66">
        <v>441.15839999999992</v>
      </c>
      <c r="O131" s="109">
        <v>20334.747249370666</v>
      </c>
      <c r="P131" s="109">
        <v>24456.803214527397</v>
      </c>
      <c r="Q131" s="110">
        <v>19163.607244826719</v>
      </c>
      <c r="R131" s="258">
        <v>39498.354494197381</v>
      </c>
      <c r="S131" s="259">
        <v>43620.410459354112</v>
      </c>
      <c r="U131" s="7" t="s">
        <v>1415</v>
      </c>
    </row>
    <row r="132" spans="1:21" ht="16.5" thickBot="1">
      <c r="A132" s="38" t="s">
        <v>31</v>
      </c>
      <c r="B132" s="39">
        <f t="shared" si="6"/>
        <v>75</v>
      </c>
      <c r="C132" s="39" t="s">
        <v>3</v>
      </c>
      <c r="D132" s="39">
        <f t="shared" si="7"/>
        <v>260</v>
      </c>
      <c r="E132" s="39" t="s">
        <v>3</v>
      </c>
      <c r="F132" s="101">
        <f t="shared" si="8"/>
        <v>1600</v>
      </c>
      <c r="G132" s="39" t="s">
        <v>3</v>
      </c>
      <c r="H132" s="39">
        <v>2</v>
      </c>
      <c r="I132" s="40" t="s">
        <v>40</v>
      </c>
      <c r="J132" s="103">
        <v>75</v>
      </c>
      <c r="K132" s="104">
        <v>260</v>
      </c>
      <c r="L132" s="104">
        <v>1600</v>
      </c>
      <c r="M132" s="150">
        <v>13.45051022807079</v>
      </c>
      <c r="N132" s="66">
        <v>459.53999999999991</v>
      </c>
      <c r="O132" s="109">
        <v>20792.674045792315</v>
      </c>
      <c r="P132" s="109">
        <v>25032.504315222079</v>
      </c>
      <c r="Q132" s="110">
        <v>19634.062812306682</v>
      </c>
      <c r="R132" s="258">
        <v>40426.736858099001</v>
      </c>
      <c r="S132" s="259">
        <v>44666.56712752876</v>
      </c>
      <c r="U132" s="7" t="s">
        <v>1416</v>
      </c>
    </row>
    <row r="133" spans="1:21" ht="16.5" thickBot="1">
      <c r="A133" s="41" t="s">
        <v>31</v>
      </c>
      <c r="B133" s="42">
        <f t="shared" si="6"/>
        <v>75</v>
      </c>
      <c r="C133" s="42" t="s">
        <v>3</v>
      </c>
      <c r="D133" s="42">
        <f t="shared" si="7"/>
        <v>260</v>
      </c>
      <c r="E133" s="42" t="s">
        <v>3</v>
      </c>
      <c r="F133" s="101">
        <f t="shared" si="8"/>
        <v>1650</v>
      </c>
      <c r="G133" s="42" t="s">
        <v>3</v>
      </c>
      <c r="H133" s="39">
        <v>2</v>
      </c>
      <c r="I133" s="40" t="s">
        <v>40</v>
      </c>
      <c r="J133" s="103">
        <v>75</v>
      </c>
      <c r="K133" s="104">
        <v>260</v>
      </c>
      <c r="L133" s="104">
        <v>1650</v>
      </c>
      <c r="M133" s="150">
        <v>13.848288937556054</v>
      </c>
      <c r="N133" s="66">
        <v>477.9215999999999</v>
      </c>
      <c r="O133" s="109">
        <v>21250.600842213964</v>
      </c>
      <c r="P133" s="109">
        <v>25608.205262887997</v>
      </c>
      <c r="Q133" s="110">
        <v>20355.852364541646</v>
      </c>
      <c r="R133" s="258">
        <v>41606.453206755614</v>
      </c>
      <c r="S133" s="259">
        <v>45964.057627429647</v>
      </c>
      <c r="U133" s="7" t="s">
        <v>1417</v>
      </c>
    </row>
    <row r="134" spans="1:21" ht="16.5" thickBot="1">
      <c r="A134" s="41" t="s">
        <v>31</v>
      </c>
      <c r="B134" s="42">
        <f t="shared" si="6"/>
        <v>75</v>
      </c>
      <c r="C134" s="42" t="s">
        <v>3</v>
      </c>
      <c r="D134" s="42">
        <f t="shared" si="7"/>
        <v>260</v>
      </c>
      <c r="E134" s="42" t="s">
        <v>3</v>
      </c>
      <c r="F134" s="101">
        <f t="shared" si="8"/>
        <v>1700</v>
      </c>
      <c r="G134" s="42" t="s">
        <v>3</v>
      </c>
      <c r="H134" s="39">
        <v>2</v>
      </c>
      <c r="I134" s="40" t="s">
        <v>40</v>
      </c>
      <c r="J134" s="103">
        <v>75</v>
      </c>
      <c r="K134" s="104">
        <v>260</v>
      </c>
      <c r="L134" s="104">
        <v>1700</v>
      </c>
      <c r="M134" s="150">
        <v>14.229027647041317</v>
      </c>
      <c r="N134" s="66">
        <v>496.30319999999995</v>
      </c>
      <c r="O134" s="109">
        <v>21708.527791664379</v>
      </c>
      <c r="P134" s="109">
        <v>26183.906210553909</v>
      </c>
      <c r="Q134" s="110">
        <v>20826.307932021609</v>
      </c>
      <c r="R134" s="258">
        <v>42534.835723685988</v>
      </c>
      <c r="S134" s="259">
        <v>47010.214142575518</v>
      </c>
      <c r="U134" s="7" t="s">
        <v>1418</v>
      </c>
    </row>
    <row r="135" spans="1:21" ht="16.5" thickBot="1">
      <c r="A135" s="41" t="s">
        <v>31</v>
      </c>
      <c r="B135" s="42">
        <f t="shared" si="6"/>
        <v>75</v>
      </c>
      <c r="C135" s="42" t="s">
        <v>3</v>
      </c>
      <c r="D135" s="42">
        <f t="shared" si="7"/>
        <v>260</v>
      </c>
      <c r="E135" s="42" t="s">
        <v>3</v>
      </c>
      <c r="F135" s="101">
        <f t="shared" si="8"/>
        <v>1750</v>
      </c>
      <c r="G135" s="42" t="s">
        <v>3</v>
      </c>
      <c r="H135" s="39">
        <v>2</v>
      </c>
      <c r="I135" s="40" t="s">
        <v>40</v>
      </c>
      <c r="J135" s="103">
        <v>75</v>
      </c>
      <c r="K135" s="104">
        <v>260</v>
      </c>
      <c r="L135" s="104">
        <v>1750</v>
      </c>
      <c r="M135" s="150">
        <v>14.626806356526579</v>
      </c>
      <c r="N135" s="66">
        <v>514.68479999999988</v>
      </c>
      <c r="O135" s="109">
        <v>22166.454588086024</v>
      </c>
      <c r="P135" s="109">
        <v>26759.607158219824</v>
      </c>
      <c r="Q135" s="110">
        <v>21548.09763728534</v>
      </c>
      <c r="R135" s="258">
        <v>43714.552225371364</v>
      </c>
      <c r="S135" s="259">
        <v>48307.704795505168</v>
      </c>
      <c r="U135" s="7" t="s">
        <v>1419</v>
      </c>
    </row>
    <row r="136" spans="1:21" ht="16.5" thickBot="1">
      <c r="A136" s="41" t="s">
        <v>31</v>
      </c>
      <c r="B136" s="42">
        <f t="shared" si="6"/>
        <v>75</v>
      </c>
      <c r="C136" s="42" t="s">
        <v>3</v>
      </c>
      <c r="D136" s="42">
        <f t="shared" si="7"/>
        <v>260</v>
      </c>
      <c r="E136" s="42" t="s">
        <v>3</v>
      </c>
      <c r="F136" s="101">
        <f t="shared" si="8"/>
        <v>1800</v>
      </c>
      <c r="G136" s="42" t="s">
        <v>3</v>
      </c>
      <c r="H136" s="39">
        <v>2</v>
      </c>
      <c r="I136" s="40" t="s">
        <v>40</v>
      </c>
      <c r="J136" s="103">
        <v>75</v>
      </c>
      <c r="K136" s="104">
        <v>260</v>
      </c>
      <c r="L136" s="104">
        <v>1800</v>
      </c>
      <c r="M136" s="150">
        <v>15.007545066011843</v>
      </c>
      <c r="N136" s="66">
        <v>533.06639999999993</v>
      </c>
      <c r="O136" s="109">
        <v>22624.381384507673</v>
      </c>
      <c r="P136" s="109">
        <v>27335.308258914505</v>
      </c>
      <c r="Q136" s="110">
        <v>22018.553204765303</v>
      </c>
      <c r="R136" s="258">
        <v>44642.934589272976</v>
      </c>
      <c r="S136" s="259">
        <v>49353.861463679808</v>
      </c>
      <c r="U136" s="7" t="s">
        <v>1420</v>
      </c>
    </row>
    <row r="137" spans="1:21" ht="16.5" thickBot="1">
      <c r="A137" s="41" t="s">
        <v>31</v>
      </c>
      <c r="B137" s="42">
        <f t="shared" si="6"/>
        <v>75</v>
      </c>
      <c r="C137" s="42" t="s">
        <v>3</v>
      </c>
      <c r="D137" s="42">
        <f t="shared" si="7"/>
        <v>260</v>
      </c>
      <c r="E137" s="42" t="s">
        <v>3</v>
      </c>
      <c r="F137" s="101">
        <f t="shared" si="8"/>
        <v>1850</v>
      </c>
      <c r="G137" s="42" t="s">
        <v>3</v>
      </c>
      <c r="H137" s="39">
        <v>2</v>
      </c>
      <c r="I137" s="40" t="s">
        <v>40</v>
      </c>
      <c r="J137" s="103">
        <v>75</v>
      </c>
      <c r="K137" s="104">
        <v>260</v>
      </c>
      <c r="L137" s="104">
        <v>1850</v>
      </c>
      <c r="M137" s="150">
        <v>15.405323775497106</v>
      </c>
      <c r="N137" s="66">
        <v>551.44799999999998</v>
      </c>
      <c r="O137" s="109">
        <v>23082.308333958084</v>
      </c>
      <c r="P137" s="109">
        <v>27911.009206580424</v>
      </c>
      <c r="Q137" s="110">
        <v>22740.342910029034</v>
      </c>
      <c r="R137" s="258">
        <v>45822.651243987115</v>
      </c>
      <c r="S137" s="259">
        <v>50651.352116609458</v>
      </c>
      <c r="U137" s="7" t="s">
        <v>1421</v>
      </c>
    </row>
    <row r="138" spans="1:21" ht="16.5" thickBot="1">
      <c r="A138" s="41" t="s">
        <v>31</v>
      </c>
      <c r="B138" s="42">
        <f t="shared" si="6"/>
        <v>75</v>
      </c>
      <c r="C138" s="42" t="s">
        <v>3</v>
      </c>
      <c r="D138" s="42">
        <f t="shared" si="7"/>
        <v>260</v>
      </c>
      <c r="E138" s="42" t="s">
        <v>3</v>
      </c>
      <c r="F138" s="101">
        <f t="shared" si="8"/>
        <v>1900</v>
      </c>
      <c r="G138" s="42" t="s">
        <v>3</v>
      </c>
      <c r="H138" s="39">
        <v>2</v>
      </c>
      <c r="I138" s="40" t="s">
        <v>40</v>
      </c>
      <c r="J138" s="103">
        <v>75</v>
      </c>
      <c r="K138" s="104">
        <v>260</v>
      </c>
      <c r="L138" s="104">
        <v>1900</v>
      </c>
      <c r="M138" s="150">
        <v>15.786062484982368</v>
      </c>
      <c r="N138" s="66">
        <v>569.82959999999991</v>
      </c>
      <c r="O138" s="109">
        <v>23540.235130379733</v>
      </c>
      <c r="P138" s="109">
        <v>28486.710154246335</v>
      </c>
      <c r="Q138" s="110">
        <v>23210.798477508997</v>
      </c>
      <c r="R138" s="258">
        <v>46751.033607888734</v>
      </c>
      <c r="S138" s="259">
        <v>51697.508631755336</v>
      </c>
      <c r="U138" s="7" t="s">
        <v>1422</v>
      </c>
    </row>
    <row r="139" spans="1:21" ht="16.5" thickBot="1">
      <c r="A139" s="41" t="s">
        <v>31</v>
      </c>
      <c r="B139" s="42">
        <f t="shared" si="6"/>
        <v>75</v>
      </c>
      <c r="C139" s="42" t="s">
        <v>3</v>
      </c>
      <c r="D139" s="42">
        <f t="shared" si="7"/>
        <v>260</v>
      </c>
      <c r="E139" s="42" t="s">
        <v>3</v>
      </c>
      <c r="F139" s="101">
        <f t="shared" si="8"/>
        <v>1950</v>
      </c>
      <c r="G139" s="42" t="s">
        <v>3</v>
      </c>
      <c r="H139" s="39">
        <v>2</v>
      </c>
      <c r="I139" s="40" t="s">
        <v>40</v>
      </c>
      <c r="J139" s="103">
        <v>75</v>
      </c>
      <c r="K139" s="104">
        <v>260</v>
      </c>
      <c r="L139" s="104">
        <v>1950</v>
      </c>
      <c r="M139" s="150">
        <v>16.206051194467634</v>
      </c>
      <c r="N139" s="66">
        <v>588.21119999999985</v>
      </c>
      <c r="O139" s="109">
        <v>24048.162239460795</v>
      </c>
      <c r="P139" s="109">
        <v>29110.887401099786</v>
      </c>
      <c r="Q139" s="110">
        <v>23681.25404498896</v>
      </c>
      <c r="R139" s="258">
        <v>47729.416284449755</v>
      </c>
      <c r="S139" s="259">
        <v>52792.141446088746</v>
      </c>
      <c r="U139" s="7" t="s">
        <v>1423</v>
      </c>
    </row>
    <row r="140" spans="1:21" ht="16.5" thickBot="1">
      <c r="A140" s="41" t="s">
        <v>31</v>
      </c>
      <c r="B140" s="42">
        <f t="shared" si="6"/>
        <v>75</v>
      </c>
      <c r="C140" s="42" t="s">
        <v>3</v>
      </c>
      <c r="D140" s="42">
        <f t="shared" si="7"/>
        <v>260</v>
      </c>
      <c r="E140" s="42" t="s">
        <v>3</v>
      </c>
      <c r="F140" s="101">
        <f t="shared" si="8"/>
        <v>2000</v>
      </c>
      <c r="G140" s="42" t="s">
        <v>3</v>
      </c>
      <c r="H140" s="39">
        <v>2</v>
      </c>
      <c r="I140" s="40" t="s">
        <v>40</v>
      </c>
      <c r="J140" s="103">
        <v>75</v>
      </c>
      <c r="K140" s="104">
        <v>260</v>
      </c>
      <c r="L140" s="104">
        <v>2000</v>
      </c>
      <c r="M140" s="150">
        <v>16.695392303952897</v>
      </c>
      <c r="N140" s="66">
        <v>606.5927999999999</v>
      </c>
      <c r="O140" s="109">
        <v>24757.380937727037</v>
      </c>
      <c r="P140" s="109">
        <v>30015.016848131792</v>
      </c>
      <c r="Q140" s="110">
        <v>24403.043750252691</v>
      </c>
      <c r="R140" s="258">
        <v>49160.424687979728</v>
      </c>
      <c r="S140" s="259">
        <v>54418.060598384487</v>
      </c>
      <c r="U140" s="7" t="s">
        <v>1424</v>
      </c>
    </row>
    <row r="141" spans="1:21" ht="16.5" thickBot="1">
      <c r="A141" s="41" t="s">
        <v>31</v>
      </c>
      <c r="B141" s="42">
        <f t="shared" si="6"/>
        <v>75</v>
      </c>
      <c r="C141" s="42" t="s">
        <v>3</v>
      </c>
      <c r="D141" s="42">
        <f t="shared" si="7"/>
        <v>260</v>
      </c>
      <c r="E141" s="42" t="s">
        <v>3</v>
      </c>
      <c r="F141" s="101">
        <f t="shared" si="8"/>
        <v>2050</v>
      </c>
      <c r="G141" s="42" t="s">
        <v>3</v>
      </c>
      <c r="H141" s="39">
        <v>2</v>
      </c>
      <c r="I141" s="40" t="s">
        <v>40</v>
      </c>
      <c r="J141" s="103">
        <v>75</v>
      </c>
      <c r="K141" s="104">
        <v>260</v>
      </c>
      <c r="L141" s="104">
        <v>2050</v>
      </c>
      <c r="M141" s="150">
        <v>17.076131013438157</v>
      </c>
      <c r="N141" s="66">
        <v>624.97439999999983</v>
      </c>
      <c r="O141" s="109">
        <v>25215.307887177452</v>
      </c>
      <c r="P141" s="109">
        <v>30590.717795797715</v>
      </c>
      <c r="Q141" s="110">
        <v>24873.499317732651</v>
      </c>
      <c r="R141" s="258">
        <v>50088.807204910103</v>
      </c>
      <c r="S141" s="259">
        <v>55464.217113530365</v>
      </c>
      <c r="U141" s="7" t="s">
        <v>1425</v>
      </c>
    </row>
    <row r="142" spans="1:21" ht="16.5" thickBot="1">
      <c r="A142" s="38" t="s">
        <v>31</v>
      </c>
      <c r="B142" s="39">
        <f t="shared" si="6"/>
        <v>75</v>
      </c>
      <c r="C142" s="39" t="s">
        <v>3</v>
      </c>
      <c r="D142" s="39">
        <f t="shared" si="7"/>
        <v>260</v>
      </c>
      <c r="E142" s="39" t="s">
        <v>3</v>
      </c>
      <c r="F142" s="101">
        <f t="shared" si="8"/>
        <v>2100</v>
      </c>
      <c r="G142" s="39" t="s">
        <v>3</v>
      </c>
      <c r="H142" s="39">
        <v>2</v>
      </c>
      <c r="I142" s="40" t="s">
        <v>40</v>
      </c>
      <c r="J142" s="103">
        <v>75</v>
      </c>
      <c r="K142" s="104">
        <v>260</v>
      </c>
      <c r="L142" s="104">
        <v>2100</v>
      </c>
      <c r="M142" s="150">
        <v>17.47390972292342</v>
      </c>
      <c r="N142" s="66">
        <v>643.35599999999988</v>
      </c>
      <c r="O142" s="109">
        <v>25673.234683599097</v>
      </c>
      <c r="P142" s="109">
        <v>31166.418743463626</v>
      </c>
      <c r="Q142" s="110">
        <v>25595.289022996385</v>
      </c>
      <c r="R142" s="258">
        <v>51268.523706595486</v>
      </c>
      <c r="S142" s="259">
        <v>56761.707766460007</v>
      </c>
      <c r="U142" s="7" t="s">
        <v>1426</v>
      </c>
    </row>
    <row r="143" spans="1:21" ht="16.5" thickBot="1">
      <c r="A143" s="41" t="s">
        <v>31</v>
      </c>
      <c r="B143" s="42">
        <f t="shared" si="6"/>
        <v>75</v>
      </c>
      <c r="C143" s="42" t="s">
        <v>3</v>
      </c>
      <c r="D143" s="42">
        <f t="shared" si="7"/>
        <v>260</v>
      </c>
      <c r="E143" s="42" t="s">
        <v>3</v>
      </c>
      <c r="F143" s="101">
        <f t="shared" si="8"/>
        <v>2150</v>
      </c>
      <c r="G143" s="42" t="s">
        <v>3</v>
      </c>
      <c r="H143" s="39">
        <v>2</v>
      </c>
      <c r="I143" s="40" t="s">
        <v>40</v>
      </c>
      <c r="J143" s="103">
        <v>75</v>
      </c>
      <c r="K143" s="104">
        <v>260</v>
      </c>
      <c r="L143" s="104">
        <v>2150</v>
      </c>
      <c r="M143" s="150">
        <v>17.854648432408684</v>
      </c>
      <c r="N143" s="66">
        <v>661.73759999999982</v>
      </c>
      <c r="O143" s="109">
        <v>26131.161480020746</v>
      </c>
      <c r="P143" s="109">
        <v>31742.119844158307</v>
      </c>
      <c r="Q143" s="110">
        <v>26065.744590476344</v>
      </c>
      <c r="R143" s="258">
        <v>52196.906070497091</v>
      </c>
      <c r="S143" s="259">
        <v>57807.864434634655</v>
      </c>
      <c r="U143" s="7" t="s">
        <v>1427</v>
      </c>
    </row>
    <row r="144" spans="1:21" ht="16.5" thickBot="1">
      <c r="A144" s="41" t="s">
        <v>31</v>
      </c>
      <c r="B144" s="42">
        <f t="shared" si="6"/>
        <v>75</v>
      </c>
      <c r="C144" s="42" t="s">
        <v>3</v>
      </c>
      <c r="D144" s="42">
        <f t="shared" si="7"/>
        <v>260</v>
      </c>
      <c r="E144" s="42" t="s">
        <v>3</v>
      </c>
      <c r="F144" s="101">
        <f t="shared" si="8"/>
        <v>2200</v>
      </c>
      <c r="G144" s="42" t="s">
        <v>3</v>
      </c>
      <c r="H144" s="39">
        <v>2</v>
      </c>
      <c r="I144" s="40" t="s">
        <v>40</v>
      </c>
      <c r="J144" s="103">
        <v>75</v>
      </c>
      <c r="K144" s="104">
        <v>260</v>
      </c>
      <c r="L144" s="104">
        <v>2200</v>
      </c>
      <c r="M144" s="150">
        <v>18.252427141893946</v>
      </c>
      <c r="N144" s="66">
        <v>680.11919999999975</v>
      </c>
      <c r="O144" s="109">
        <v>26589.088429471158</v>
      </c>
      <c r="P144" s="109">
        <v>32317.820791824222</v>
      </c>
      <c r="Q144" s="110">
        <v>26787.534295740079</v>
      </c>
      <c r="R144" s="258">
        <v>53376.622725211237</v>
      </c>
      <c r="S144" s="259">
        <v>59105.355087564298</v>
      </c>
      <c r="U144" s="7" t="s">
        <v>1428</v>
      </c>
    </row>
    <row r="145" spans="1:21" ht="16.5" thickBot="1">
      <c r="A145" s="41" t="s">
        <v>31</v>
      </c>
      <c r="B145" s="42">
        <f t="shared" si="6"/>
        <v>75</v>
      </c>
      <c r="C145" s="42" t="s">
        <v>3</v>
      </c>
      <c r="D145" s="42">
        <f t="shared" si="7"/>
        <v>260</v>
      </c>
      <c r="E145" s="42" t="s">
        <v>3</v>
      </c>
      <c r="F145" s="101">
        <f t="shared" si="8"/>
        <v>2250</v>
      </c>
      <c r="G145" s="42" t="s">
        <v>3</v>
      </c>
      <c r="H145" s="39">
        <v>2</v>
      </c>
      <c r="I145" s="40" t="s">
        <v>40</v>
      </c>
      <c r="J145" s="103">
        <v>75</v>
      </c>
      <c r="K145" s="104">
        <v>260</v>
      </c>
      <c r="L145" s="104">
        <v>2250</v>
      </c>
      <c r="M145" s="150">
        <v>18.633165851379211</v>
      </c>
      <c r="N145" s="66">
        <v>698.5007999999998</v>
      </c>
      <c r="O145" s="109">
        <v>27047.01522589281</v>
      </c>
      <c r="P145" s="109">
        <v>32893.521739490141</v>
      </c>
      <c r="Q145" s="110">
        <v>27257.989710191272</v>
      </c>
      <c r="R145" s="258">
        <v>54305.004936084079</v>
      </c>
      <c r="S145" s="259">
        <v>60151.511449681413</v>
      </c>
      <c r="U145" s="7" t="s">
        <v>1429</v>
      </c>
    </row>
    <row r="146" spans="1:21" ht="16.5" thickBot="1">
      <c r="A146" s="41" t="s">
        <v>31</v>
      </c>
      <c r="B146" s="42">
        <f t="shared" si="6"/>
        <v>75</v>
      </c>
      <c r="C146" s="42" t="s">
        <v>3</v>
      </c>
      <c r="D146" s="42">
        <f t="shared" si="7"/>
        <v>260</v>
      </c>
      <c r="E146" s="42" t="s">
        <v>3</v>
      </c>
      <c r="F146" s="101">
        <f t="shared" si="8"/>
        <v>2300</v>
      </c>
      <c r="G146" s="42" t="s">
        <v>3</v>
      </c>
      <c r="H146" s="39">
        <v>2</v>
      </c>
      <c r="I146" s="40" t="s">
        <v>40</v>
      </c>
      <c r="J146" s="103">
        <v>75</v>
      </c>
      <c r="K146" s="104">
        <v>260</v>
      </c>
      <c r="L146" s="104">
        <v>2300</v>
      </c>
      <c r="M146" s="150">
        <v>19.013904560864475</v>
      </c>
      <c r="N146" s="66">
        <v>716.88239999999985</v>
      </c>
      <c r="O146" s="109">
        <v>27504.942022314302</v>
      </c>
      <c r="P146" s="109">
        <v>33469.222840184819</v>
      </c>
      <c r="Q146" s="110">
        <v>27728.445277671239</v>
      </c>
      <c r="R146" s="258">
        <v>55233.387299985538</v>
      </c>
      <c r="S146" s="259">
        <v>61197.668117856054</v>
      </c>
      <c r="U146" s="7" t="s">
        <v>1430</v>
      </c>
    </row>
    <row r="147" spans="1:21" ht="16.5" thickBot="1">
      <c r="A147" s="41" t="s">
        <v>31</v>
      </c>
      <c r="B147" s="42">
        <f t="shared" si="6"/>
        <v>75</v>
      </c>
      <c r="C147" s="42" t="s">
        <v>3</v>
      </c>
      <c r="D147" s="42">
        <f t="shared" si="7"/>
        <v>260</v>
      </c>
      <c r="E147" s="42" t="s">
        <v>3</v>
      </c>
      <c r="F147" s="101">
        <f t="shared" si="8"/>
        <v>2350</v>
      </c>
      <c r="G147" s="42" t="s">
        <v>3</v>
      </c>
      <c r="H147" s="39">
        <v>2</v>
      </c>
      <c r="I147" s="40" t="s">
        <v>40</v>
      </c>
      <c r="J147" s="103">
        <v>75</v>
      </c>
      <c r="K147" s="104">
        <v>260</v>
      </c>
      <c r="L147" s="104">
        <v>2350</v>
      </c>
      <c r="M147" s="150">
        <v>19.411683270349737</v>
      </c>
      <c r="N147" s="66">
        <v>735.2639999999999</v>
      </c>
      <c r="O147" s="109">
        <v>27962.868971764867</v>
      </c>
      <c r="P147" s="109">
        <v>34044.923787850734</v>
      </c>
      <c r="Q147" s="110">
        <v>28450.234982934966</v>
      </c>
      <c r="R147" s="258">
        <v>56413.103954699836</v>
      </c>
      <c r="S147" s="259">
        <v>62495.158770785696</v>
      </c>
      <c r="U147" s="7" t="s">
        <v>1431</v>
      </c>
    </row>
    <row r="148" spans="1:21" ht="16.5" thickBot="1">
      <c r="A148" s="41" t="s">
        <v>31</v>
      </c>
      <c r="B148" s="42">
        <f t="shared" si="6"/>
        <v>75</v>
      </c>
      <c r="C148" s="42" t="s">
        <v>3</v>
      </c>
      <c r="D148" s="42">
        <f t="shared" si="7"/>
        <v>260</v>
      </c>
      <c r="E148" s="42" t="s">
        <v>3</v>
      </c>
      <c r="F148" s="101">
        <f t="shared" si="8"/>
        <v>2400</v>
      </c>
      <c r="G148" s="42" t="s">
        <v>3</v>
      </c>
      <c r="H148" s="39">
        <v>2</v>
      </c>
      <c r="I148" s="40" t="s">
        <v>40</v>
      </c>
      <c r="J148" s="103">
        <v>75</v>
      </c>
      <c r="K148" s="104">
        <v>260</v>
      </c>
      <c r="L148" s="104">
        <v>2400</v>
      </c>
      <c r="M148" s="150">
        <v>19.792421979835002</v>
      </c>
      <c r="N148" s="66">
        <v>753.64559999999983</v>
      </c>
      <c r="O148" s="109">
        <v>28420.795768186515</v>
      </c>
      <c r="P148" s="109">
        <v>34620.624735516649</v>
      </c>
      <c r="Q148" s="110">
        <v>28920.690550414929</v>
      </c>
      <c r="R148" s="258">
        <v>57341.486318601441</v>
      </c>
      <c r="S148" s="259">
        <v>63541.315285931574</v>
      </c>
      <c r="U148" s="7" t="s">
        <v>1432</v>
      </c>
    </row>
    <row r="149" spans="1:21" ht="16.5" thickBot="1">
      <c r="A149" s="41" t="s">
        <v>31</v>
      </c>
      <c r="B149" s="42">
        <f t="shared" si="6"/>
        <v>75</v>
      </c>
      <c r="C149" s="42" t="s">
        <v>3</v>
      </c>
      <c r="D149" s="42">
        <f t="shared" si="7"/>
        <v>260</v>
      </c>
      <c r="E149" s="42" t="s">
        <v>3</v>
      </c>
      <c r="F149" s="101">
        <f t="shared" si="8"/>
        <v>2450</v>
      </c>
      <c r="G149" s="42" t="s">
        <v>3</v>
      </c>
      <c r="H149" s="39">
        <v>2</v>
      </c>
      <c r="I149" s="40" t="s">
        <v>40</v>
      </c>
      <c r="J149" s="103">
        <v>75</v>
      </c>
      <c r="K149" s="104">
        <v>260</v>
      </c>
      <c r="L149" s="104">
        <v>2450</v>
      </c>
      <c r="M149" s="150">
        <v>20.313964878120263</v>
      </c>
      <c r="N149" s="66">
        <v>772.02719999999988</v>
      </c>
      <c r="O149" s="109">
        <v>29521.176648995552</v>
      </c>
      <c r="P149" s="109">
        <v>35758.909464188262</v>
      </c>
      <c r="Q149" s="110">
        <v>29642.480255678664</v>
      </c>
      <c r="R149" s="258">
        <v>59163.656904674215</v>
      </c>
      <c r="S149" s="259">
        <v>65401.389719866929</v>
      </c>
      <c r="U149" s="7" t="s">
        <v>1433</v>
      </c>
    </row>
    <row r="150" spans="1:21" ht="16.5" thickBot="1">
      <c r="A150" s="41" t="s">
        <v>31</v>
      </c>
      <c r="B150" s="42">
        <f t="shared" si="6"/>
        <v>75</v>
      </c>
      <c r="C150" s="42" t="s">
        <v>3</v>
      </c>
      <c r="D150" s="42">
        <f t="shared" si="7"/>
        <v>260</v>
      </c>
      <c r="E150" s="42" t="s">
        <v>3</v>
      </c>
      <c r="F150" s="101">
        <f t="shared" si="8"/>
        <v>2500</v>
      </c>
      <c r="G150" s="42" t="s">
        <v>3</v>
      </c>
      <c r="H150" s="39">
        <v>2</v>
      </c>
      <c r="I150" s="40" t="s">
        <v>40</v>
      </c>
      <c r="J150" s="103">
        <v>75</v>
      </c>
      <c r="K150" s="104">
        <v>260</v>
      </c>
      <c r="L150" s="104">
        <v>2500</v>
      </c>
      <c r="M150" s="150">
        <v>20.694703587605531</v>
      </c>
      <c r="N150" s="66">
        <v>790.40879999999981</v>
      </c>
      <c r="O150" s="109">
        <v>29979.1034454172</v>
      </c>
      <c r="P150" s="109">
        <v>36334.610411854177</v>
      </c>
      <c r="Q150" s="110">
        <v>30112.935823158623</v>
      </c>
      <c r="R150" s="258">
        <v>60092.039268575827</v>
      </c>
      <c r="S150" s="259">
        <v>66447.546235012793</v>
      </c>
      <c r="U150" s="7" t="s">
        <v>1434</v>
      </c>
    </row>
    <row r="151" spans="1:21" ht="16.5" thickBot="1">
      <c r="A151" s="41" t="s">
        <v>31</v>
      </c>
      <c r="B151" s="42">
        <f t="shared" si="6"/>
        <v>75</v>
      </c>
      <c r="C151" s="42" t="s">
        <v>3</v>
      </c>
      <c r="D151" s="42">
        <f t="shared" si="7"/>
        <v>260</v>
      </c>
      <c r="E151" s="42" t="s">
        <v>3</v>
      </c>
      <c r="F151" s="101">
        <f t="shared" si="8"/>
        <v>2550</v>
      </c>
      <c r="G151" s="42" t="s">
        <v>3</v>
      </c>
      <c r="H151" s="39">
        <v>2</v>
      </c>
      <c r="I151" s="40" t="s">
        <v>40</v>
      </c>
      <c r="J151" s="103">
        <v>75</v>
      </c>
      <c r="K151" s="104">
        <v>260</v>
      </c>
      <c r="L151" s="104">
        <v>2550</v>
      </c>
      <c r="M151" s="150">
        <v>21.09248229709079</v>
      </c>
      <c r="N151" s="66">
        <v>808.79039999999975</v>
      </c>
      <c r="O151" s="109">
        <v>30437.030241838846</v>
      </c>
      <c r="P151" s="109">
        <v>36910.311512548862</v>
      </c>
      <c r="Q151" s="110">
        <v>30834.725528422357</v>
      </c>
      <c r="R151" s="258">
        <v>61271.755770261203</v>
      </c>
      <c r="S151" s="259">
        <v>67745.03704097122</v>
      </c>
      <c r="U151" s="7" t="s">
        <v>1435</v>
      </c>
    </row>
    <row r="152" spans="1:21" ht="16.5" thickBot="1">
      <c r="A152" s="38" t="s">
        <v>31</v>
      </c>
      <c r="B152" s="39">
        <f t="shared" si="6"/>
        <v>75</v>
      </c>
      <c r="C152" s="39" t="s">
        <v>3</v>
      </c>
      <c r="D152" s="39">
        <f t="shared" si="7"/>
        <v>260</v>
      </c>
      <c r="E152" s="39" t="s">
        <v>3</v>
      </c>
      <c r="F152" s="101">
        <f t="shared" si="8"/>
        <v>2600</v>
      </c>
      <c r="G152" s="39" t="s">
        <v>3</v>
      </c>
      <c r="H152" s="39">
        <v>2</v>
      </c>
      <c r="I152" s="40" t="s">
        <v>40</v>
      </c>
      <c r="J152" s="103">
        <v>75</v>
      </c>
      <c r="K152" s="104">
        <v>260</v>
      </c>
      <c r="L152" s="104">
        <v>2600</v>
      </c>
      <c r="M152" s="150">
        <v>21.473221006576054</v>
      </c>
      <c r="N152" s="66">
        <v>827.1719999999998</v>
      </c>
      <c r="O152" s="109">
        <v>30894.957191289257</v>
      </c>
      <c r="P152" s="109">
        <v>37486.012460214777</v>
      </c>
      <c r="Q152" s="110">
        <v>31305.181095902317</v>
      </c>
      <c r="R152" s="258">
        <v>62200.13828719157</v>
      </c>
      <c r="S152" s="259">
        <v>68791.193556117098</v>
      </c>
      <c r="U152" s="7" t="s">
        <v>1436</v>
      </c>
    </row>
    <row r="153" spans="1:21" ht="16.5" thickBot="1">
      <c r="A153" s="41" t="s">
        <v>31</v>
      </c>
      <c r="B153" s="42">
        <f t="shared" si="6"/>
        <v>75</v>
      </c>
      <c r="C153" s="42" t="s">
        <v>3</v>
      </c>
      <c r="D153" s="42">
        <f t="shared" si="7"/>
        <v>260</v>
      </c>
      <c r="E153" s="42" t="s">
        <v>3</v>
      </c>
      <c r="F153" s="101">
        <f t="shared" si="8"/>
        <v>2650</v>
      </c>
      <c r="G153" s="42" t="s">
        <v>3</v>
      </c>
      <c r="H153" s="39">
        <v>2</v>
      </c>
      <c r="I153" s="40" t="s">
        <v>40</v>
      </c>
      <c r="J153" s="103">
        <v>75</v>
      </c>
      <c r="K153" s="104">
        <v>260</v>
      </c>
      <c r="L153" s="104">
        <v>2650</v>
      </c>
      <c r="M153" s="150">
        <v>21.87099971606132</v>
      </c>
      <c r="N153" s="66">
        <v>845.55359999999985</v>
      </c>
      <c r="O153" s="109">
        <v>31352.883987710909</v>
      </c>
      <c r="P153" s="109">
        <v>38061.713407880685</v>
      </c>
      <c r="Q153" s="110">
        <v>32026.970801166051</v>
      </c>
      <c r="R153" s="258">
        <v>63379.854788876961</v>
      </c>
      <c r="S153" s="259">
        <v>70088.68420904674</v>
      </c>
      <c r="U153" s="7" t="s">
        <v>1437</v>
      </c>
    </row>
    <row r="154" spans="1:21" ht="16.5" thickBot="1">
      <c r="A154" s="41" t="s">
        <v>31</v>
      </c>
      <c r="B154" s="42">
        <f t="shared" si="6"/>
        <v>75</v>
      </c>
      <c r="C154" s="42" t="s">
        <v>3</v>
      </c>
      <c r="D154" s="42">
        <f t="shared" si="7"/>
        <v>260</v>
      </c>
      <c r="E154" s="42" t="s">
        <v>3</v>
      </c>
      <c r="F154" s="101">
        <f t="shared" si="8"/>
        <v>2700</v>
      </c>
      <c r="G154" s="42" t="s">
        <v>3</v>
      </c>
      <c r="H154" s="39">
        <v>2</v>
      </c>
      <c r="I154" s="40" t="s">
        <v>40</v>
      </c>
      <c r="J154" s="103">
        <v>75</v>
      </c>
      <c r="K154" s="104">
        <v>260</v>
      </c>
      <c r="L154" s="104">
        <v>2700</v>
      </c>
      <c r="M154" s="150">
        <v>22.290988425546587</v>
      </c>
      <c r="N154" s="66">
        <v>863.9351999999999</v>
      </c>
      <c r="O154" s="109">
        <v>31860.811096791967</v>
      </c>
      <c r="P154" s="109">
        <v>38685.890654734139</v>
      </c>
      <c r="Q154" s="110">
        <v>32497.426368646011</v>
      </c>
      <c r="R154" s="258">
        <v>64358.237465437982</v>
      </c>
      <c r="S154" s="259">
        <v>71183.31702338015</v>
      </c>
      <c r="U154" s="7" t="s">
        <v>1438</v>
      </c>
    </row>
    <row r="155" spans="1:21" ht="16.5" thickBot="1">
      <c r="A155" s="41" t="s">
        <v>31</v>
      </c>
      <c r="B155" s="42">
        <f t="shared" si="6"/>
        <v>75</v>
      </c>
      <c r="C155" s="42" t="s">
        <v>3</v>
      </c>
      <c r="D155" s="42">
        <f t="shared" si="7"/>
        <v>260</v>
      </c>
      <c r="E155" s="42" t="s">
        <v>3</v>
      </c>
      <c r="F155" s="101">
        <f t="shared" si="8"/>
        <v>2750</v>
      </c>
      <c r="G155" s="42" t="s">
        <v>3</v>
      </c>
      <c r="H155" s="39">
        <v>2</v>
      </c>
      <c r="I155" s="40" t="s">
        <v>40</v>
      </c>
      <c r="J155" s="103">
        <v>75</v>
      </c>
      <c r="K155" s="104">
        <v>260</v>
      </c>
      <c r="L155" s="104">
        <v>2750</v>
      </c>
      <c r="M155" s="150">
        <v>22.671727135031844</v>
      </c>
      <c r="N155" s="66">
        <v>882.31679999999983</v>
      </c>
      <c r="O155" s="109">
        <v>32318.737893213616</v>
      </c>
      <c r="P155" s="109">
        <v>39261.591602400047</v>
      </c>
      <c r="Q155" s="110">
        <v>32967.881936125974</v>
      </c>
      <c r="R155" s="258">
        <v>65286.619829339586</v>
      </c>
      <c r="S155" s="259">
        <v>72229.473538526014</v>
      </c>
      <c r="U155" s="7" t="s">
        <v>1439</v>
      </c>
    </row>
    <row r="156" spans="1:21" ht="16.5" thickBot="1">
      <c r="A156" s="41" t="s">
        <v>31</v>
      </c>
      <c r="B156" s="42">
        <f t="shared" si="6"/>
        <v>75</v>
      </c>
      <c r="C156" s="42" t="s">
        <v>3</v>
      </c>
      <c r="D156" s="42">
        <f t="shared" si="7"/>
        <v>260</v>
      </c>
      <c r="E156" s="42" t="s">
        <v>3</v>
      </c>
      <c r="F156" s="101">
        <f t="shared" si="8"/>
        <v>2800</v>
      </c>
      <c r="G156" s="42" t="s">
        <v>3</v>
      </c>
      <c r="H156" s="39">
        <v>2</v>
      </c>
      <c r="I156" s="40" t="s">
        <v>40</v>
      </c>
      <c r="J156" s="103">
        <v>75</v>
      </c>
      <c r="K156" s="104">
        <v>260</v>
      </c>
      <c r="L156" s="104">
        <v>2800</v>
      </c>
      <c r="M156" s="150">
        <v>23.069505844517106</v>
      </c>
      <c r="N156" s="66">
        <v>900.69839999999988</v>
      </c>
      <c r="O156" s="109">
        <v>32776.664689635261</v>
      </c>
      <c r="P156" s="109">
        <v>39837.292550065969</v>
      </c>
      <c r="Q156" s="110">
        <v>33689.671488360938</v>
      </c>
      <c r="R156" s="258">
        <v>66466.3361779962</v>
      </c>
      <c r="S156" s="259">
        <v>73526.964038426901</v>
      </c>
      <c r="U156" s="7" t="s">
        <v>1440</v>
      </c>
    </row>
    <row r="157" spans="1:21" ht="16.5" thickBot="1">
      <c r="A157" s="41" t="s">
        <v>31</v>
      </c>
      <c r="B157" s="42">
        <f t="shared" si="6"/>
        <v>75</v>
      </c>
      <c r="C157" s="42" t="s">
        <v>3</v>
      </c>
      <c r="D157" s="42">
        <f t="shared" si="7"/>
        <v>260</v>
      </c>
      <c r="E157" s="42" t="s">
        <v>3</v>
      </c>
      <c r="F157" s="101">
        <f t="shared" si="8"/>
        <v>2850</v>
      </c>
      <c r="G157" s="42" t="s">
        <v>3</v>
      </c>
      <c r="H157" s="39">
        <v>2</v>
      </c>
      <c r="I157" s="40" t="s">
        <v>40</v>
      </c>
      <c r="J157" s="103">
        <v>75</v>
      </c>
      <c r="K157" s="104">
        <v>260</v>
      </c>
      <c r="L157" s="104">
        <v>2850</v>
      </c>
      <c r="M157" s="150">
        <v>23.450244554002374</v>
      </c>
      <c r="N157" s="66">
        <v>919.07999999999981</v>
      </c>
      <c r="O157" s="109">
        <v>33234.59163908568</v>
      </c>
      <c r="P157" s="109">
        <v>40412.993650760647</v>
      </c>
      <c r="Q157" s="110">
        <v>34160.127055840901</v>
      </c>
      <c r="R157" s="258">
        <v>67394.718694926589</v>
      </c>
      <c r="S157" s="259">
        <v>74573.120706601549</v>
      </c>
      <c r="U157" s="7" t="s">
        <v>1441</v>
      </c>
    </row>
    <row r="158" spans="1:21" ht="16.5" thickBot="1">
      <c r="A158" s="41" t="s">
        <v>31</v>
      </c>
      <c r="B158" s="42">
        <f t="shared" si="6"/>
        <v>75</v>
      </c>
      <c r="C158" s="42" t="s">
        <v>3</v>
      </c>
      <c r="D158" s="42">
        <f t="shared" si="7"/>
        <v>260</v>
      </c>
      <c r="E158" s="42" t="s">
        <v>3</v>
      </c>
      <c r="F158" s="101">
        <f t="shared" si="8"/>
        <v>2900</v>
      </c>
      <c r="G158" s="42" t="s">
        <v>3</v>
      </c>
      <c r="H158" s="39">
        <v>2</v>
      </c>
      <c r="I158" s="40" t="s">
        <v>40</v>
      </c>
      <c r="J158" s="103">
        <v>75</v>
      </c>
      <c r="K158" s="104">
        <v>260</v>
      </c>
      <c r="L158" s="104">
        <v>2900</v>
      </c>
      <c r="M158" s="150">
        <v>23.848023263487633</v>
      </c>
      <c r="N158" s="66">
        <v>937.46159999999975</v>
      </c>
      <c r="O158" s="109">
        <v>33692.518435507322</v>
      </c>
      <c r="P158" s="109">
        <v>40988.694598426562</v>
      </c>
      <c r="Q158" s="110">
        <v>34881.916761104636</v>
      </c>
      <c r="R158" s="258">
        <v>68574.435196611958</v>
      </c>
      <c r="S158" s="259">
        <v>75870.611359531205</v>
      </c>
      <c r="U158" s="7" t="s">
        <v>1442</v>
      </c>
    </row>
    <row r="159" spans="1:21" ht="16.5" thickBot="1">
      <c r="A159" s="41" t="s">
        <v>31</v>
      </c>
      <c r="B159" s="42">
        <f t="shared" si="6"/>
        <v>75</v>
      </c>
      <c r="C159" s="42" t="s">
        <v>3</v>
      </c>
      <c r="D159" s="42">
        <f t="shared" si="7"/>
        <v>260</v>
      </c>
      <c r="E159" s="42" t="s">
        <v>3</v>
      </c>
      <c r="F159" s="101">
        <f t="shared" si="8"/>
        <v>2950</v>
      </c>
      <c r="G159" s="42" t="s">
        <v>3</v>
      </c>
      <c r="H159" s="39">
        <v>2</v>
      </c>
      <c r="I159" s="40" t="s">
        <v>40</v>
      </c>
      <c r="J159" s="103">
        <v>75</v>
      </c>
      <c r="K159" s="104">
        <v>260</v>
      </c>
      <c r="L159" s="104">
        <v>2950</v>
      </c>
      <c r="M159" s="150">
        <v>24.228761972972897</v>
      </c>
      <c r="N159" s="66">
        <v>955.8431999999998</v>
      </c>
      <c r="O159" s="109">
        <v>34150.445231928978</v>
      </c>
      <c r="P159" s="109">
        <v>41564.395546092477</v>
      </c>
      <c r="Q159" s="110">
        <v>35352.372328584599</v>
      </c>
      <c r="R159" s="258">
        <v>69502.817560513577</v>
      </c>
      <c r="S159" s="259">
        <v>76916.767874677083</v>
      </c>
      <c r="U159" s="7" t="s">
        <v>1443</v>
      </c>
    </row>
    <row r="160" spans="1:21" ht="16.5" thickBot="1">
      <c r="A160" s="43" t="s">
        <v>31</v>
      </c>
      <c r="B160" s="44">
        <f t="shared" si="6"/>
        <v>75</v>
      </c>
      <c r="C160" s="44" t="s">
        <v>3</v>
      </c>
      <c r="D160" s="44">
        <f t="shared" si="7"/>
        <v>260</v>
      </c>
      <c r="E160" s="44" t="s">
        <v>3</v>
      </c>
      <c r="F160" s="102">
        <f t="shared" si="8"/>
        <v>3000</v>
      </c>
      <c r="G160" s="44" t="s">
        <v>3</v>
      </c>
      <c r="H160" s="46">
        <v>2</v>
      </c>
      <c r="I160" s="45" t="s">
        <v>40</v>
      </c>
      <c r="J160" s="125">
        <v>75</v>
      </c>
      <c r="K160" s="134">
        <v>260</v>
      </c>
      <c r="L160" s="134">
        <v>3000</v>
      </c>
      <c r="M160" s="152">
        <v>24.62654068245816</v>
      </c>
      <c r="N160" s="126">
        <v>974.22479999999985</v>
      </c>
      <c r="O160" s="154">
        <v>34608.372181379389</v>
      </c>
      <c r="P160" s="154">
        <v>42140.096493758399</v>
      </c>
      <c r="Q160" s="136">
        <v>36074.162033848326</v>
      </c>
      <c r="R160" s="260">
        <v>70682.534215227715</v>
      </c>
      <c r="S160" s="261">
        <v>78214.258527606726</v>
      </c>
      <c r="U160" s="7" t="s">
        <v>1444</v>
      </c>
    </row>
    <row r="161" spans="1:21" ht="22.5" customHeight="1" thickBot="1">
      <c r="A161" s="3010" t="s">
        <v>43</v>
      </c>
      <c r="B161" s="3011"/>
      <c r="C161" s="3011"/>
      <c r="D161" s="3011"/>
      <c r="E161" s="3011"/>
      <c r="F161" s="3011"/>
      <c r="G161" s="3011"/>
      <c r="H161" s="3011"/>
      <c r="I161" s="3011"/>
      <c r="J161" s="3011"/>
      <c r="K161" s="3011"/>
      <c r="L161" s="3011"/>
      <c r="M161" s="3011"/>
      <c r="N161" s="3011"/>
      <c r="O161" s="3011"/>
      <c r="P161" s="3011"/>
      <c r="Q161" s="3011"/>
      <c r="R161" s="3011"/>
      <c r="S161" s="3012"/>
      <c r="U161" s="7"/>
    </row>
    <row r="162" spans="1:21" ht="16.5" thickBot="1">
      <c r="A162" s="2974" t="s">
        <v>112</v>
      </c>
      <c r="B162" s="2975"/>
      <c r="C162" s="2975"/>
      <c r="D162" s="2975"/>
      <c r="E162" s="2975"/>
      <c r="F162" s="2975"/>
      <c r="G162" s="2975"/>
      <c r="H162" s="2975"/>
      <c r="I162" s="2975"/>
      <c r="J162" s="2975"/>
      <c r="K162" s="2975"/>
      <c r="L162" s="2975"/>
      <c r="M162" s="2975"/>
      <c r="N162" s="2975"/>
      <c r="O162" s="2975"/>
      <c r="P162" s="2975"/>
      <c r="Q162" s="2975"/>
      <c r="R162" s="2975"/>
      <c r="S162" s="2976"/>
      <c r="U162" s="7"/>
    </row>
    <row r="163" spans="1:21" ht="16.5" thickBot="1">
      <c r="A163" s="38" t="s">
        <v>31</v>
      </c>
      <c r="B163" s="39">
        <f>J163</f>
        <v>75</v>
      </c>
      <c r="C163" s="39" t="s">
        <v>3</v>
      </c>
      <c r="D163" s="39">
        <f>K163</f>
        <v>300</v>
      </c>
      <c r="E163" s="39" t="s">
        <v>3</v>
      </c>
      <c r="F163" s="101">
        <f>L163</f>
        <v>600</v>
      </c>
      <c r="G163" s="39" t="s">
        <v>3</v>
      </c>
      <c r="H163" s="39">
        <v>2</v>
      </c>
      <c r="I163" s="40" t="s">
        <v>40</v>
      </c>
      <c r="J163" s="121">
        <v>75</v>
      </c>
      <c r="K163" s="138">
        <v>300</v>
      </c>
      <c r="L163" s="138">
        <v>600</v>
      </c>
      <c r="M163" s="147">
        <v>6.0562297313549998</v>
      </c>
      <c r="N163" s="122">
        <v>98.744304772080014</v>
      </c>
      <c r="O163" s="148">
        <v>11465.44593995122</v>
      </c>
      <c r="P163" s="148">
        <v>13622.56297958305</v>
      </c>
      <c r="Q163" s="139">
        <v>8941.6715199935952</v>
      </c>
      <c r="R163" s="256">
        <v>20407.117459944813</v>
      </c>
      <c r="S163" s="257">
        <v>22564.234499576647</v>
      </c>
      <c r="U163" s="7" t="s">
        <v>1445</v>
      </c>
    </row>
    <row r="164" spans="1:21" ht="16.5" thickBot="1">
      <c r="A164" s="41" t="s">
        <v>31</v>
      </c>
      <c r="B164" s="42">
        <f t="shared" ref="B164:B211" si="9">J164</f>
        <v>75</v>
      </c>
      <c r="C164" s="42" t="s">
        <v>3</v>
      </c>
      <c r="D164" s="42">
        <f t="shared" ref="D164:D211" si="10">K164</f>
        <v>300</v>
      </c>
      <c r="E164" s="42" t="s">
        <v>3</v>
      </c>
      <c r="F164" s="101">
        <f t="shared" ref="F164:F211" si="11">L164</f>
        <v>650</v>
      </c>
      <c r="G164" s="42" t="s">
        <v>3</v>
      </c>
      <c r="H164" s="39">
        <v>2</v>
      </c>
      <c r="I164" s="40" t="s">
        <v>40</v>
      </c>
      <c r="J164" s="103">
        <v>75</v>
      </c>
      <c r="K164" s="104">
        <v>300</v>
      </c>
      <c r="L164" s="104">
        <v>650</v>
      </c>
      <c r="M164" s="150">
        <v>6.4688221487350006</v>
      </c>
      <c r="N164" s="66">
        <v>118.49316572649602</v>
      </c>
      <c r="O164" s="111">
        <v>11943.805902236185</v>
      </c>
      <c r="P164" s="111">
        <v>14232.750183700005</v>
      </c>
      <c r="Q164" s="110">
        <v>9465.3131529653438</v>
      </c>
      <c r="R164" s="258">
        <v>21409.119055201529</v>
      </c>
      <c r="S164" s="259">
        <v>23698.063336665349</v>
      </c>
      <c r="U164" s="7" t="s">
        <v>1446</v>
      </c>
    </row>
    <row r="165" spans="1:21" ht="16.5" thickBot="1">
      <c r="A165" s="41" t="s">
        <v>31</v>
      </c>
      <c r="B165" s="42">
        <f t="shared" si="9"/>
        <v>75</v>
      </c>
      <c r="C165" s="42" t="s">
        <v>3</v>
      </c>
      <c r="D165" s="42">
        <f t="shared" si="10"/>
        <v>300</v>
      </c>
      <c r="E165" s="42" t="s">
        <v>3</v>
      </c>
      <c r="F165" s="101">
        <f t="shared" si="11"/>
        <v>700</v>
      </c>
      <c r="G165" s="42" t="s">
        <v>3</v>
      </c>
      <c r="H165" s="39">
        <v>2</v>
      </c>
      <c r="I165" s="40" t="s">
        <v>40</v>
      </c>
      <c r="J165" s="103">
        <v>75</v>
      </c>
      <c r="K165" s="104">
        <v>300</v>
      </c>
      <c r="L165" s="104">
        <v>700</v>
      </c>
      <c r="M165" s="150">
        <v>6.8984545661149994</v>
      </c>
      <c r="N165" s="66">
        <v>138.24202668091201</v>
      </c>
      <c r="O165" s="111">
        <v>12422.165864521148</v>
      </c>
      <c r="P165" s="111">
        <v>14842.937387816961</v>
      </c>
      <c r="Q165" s="110">
        <v>10240.289076749623</v>
      </c>
      <c r="R165" s="258">
        <v>22662.454941270771</v>
      </c>
      <c r="S165" s="259">
        <v>25083.226464566585</v>
      </c>
      <c r="U165" s="7" t="s">
        <v>1447</v>
      </c>
    </row>
    <row r="166" spans="1:21" ht="16.5" thickBot="1">
      <c r="A166" s="41" t="s">
        <v>31</v>
      </c>
      <c r="B166" s="42">
        <f t="shared" si="9"/>
        <v>75</v>
      </c>
      <c r="C166" s="42" t="s">
        <v>3</v>
      </c>
      <c r="D166" s="42">
        <f t="shared" si="10"/>
        <v>300</v>
      </c>
      <c r="E166" s="42" t="s">
        <v>3</v>
      </c>
      <c r="F166" s="101">
        <f t="shared" si="11"/>
        <v>750</v>
      </c>
      <c r="G166" s="42" t="s">
        <v>3</v>
      </c>
      <c r="H166" s="39">
        <v>2</v>
      </c>
      <c r="I166" s="40" t="s">
        <v>40</v>
      </c>
      <c r="J166" s="103">
        <v>75</v>
      </c>
      <c r="K166" s="104">
        <v>300</v>
      </c>
      <c r="L166" s="104">
        <v>750</v>
      </c>
      <c r="M166" s="150">
        <v>7.3110469834949985</v>
      </c>
      <c r="N166" s="66">
        <v>157.99088763532799</v>
      </c>
      <c r="O166" s="111">
        <v>12900.52582680611</v>
      </c>
      <c r="P166" s="111">
        <v>15453.124438905152</v>
      </c>
      <c r="Q166" s="110">
        <v>10763.930709721371</v>
      </c>
      <c r="R166" s="258">
        <v>23664.456536527483</v>
      </c>
      <c r="S166" s="259">
        <v>26217.055148626525</v>
      </c>
      <c r="U166" s="7" t="s">
        <v>1448</v>
      </c>
    </row>
    <row r="167" spans="1:21" ht="16.5" thickBot="1">
      <c r="A167" s="41" t="s">
        <v>31</v>
      </c>
      <c r="B167" s="42">
        <f t="shared" si="9"/>
        <v>75</v>
      </c>
      <c r="C167" s="42" t="s">
        <v>3</v>
      </c>
      <c r="D167" s="42">
        <f t="shared" si="10"/>
        <v>300</v>
      </c>
      <c r="E167" s="42" t="s">
        <v>3</v>
      </c>
      <c r="F167" s="101">
        <f t="shared" si="11"/>
        <v>800</v>
      </c>
      <c r="G167" s="42" t="s">
        <v>3</v>
      </c>
      <c r="H167" s="39">
        <v>2</v>
      </c>
      <c r="I167" s="40" t="s">
        <v>40</v>
      </c>
      <c r="J167" s="103">
        <v>75</v>
      </c>
      <c r="K167" s="104">
        <v>300</v>
      </c>
      <c r="L167" s="104">
        <v>800</v>
      </c>
      <c r="M167" s="150">
        <v>7.7236394008750011</v>
      </c>
      <c r="N167" s="66">
        <v>177.73974858974404</v>
      </c>
      <c r="O167" s="111">
        <v>13378.885789091075</v>
      </c>
      <c r="P167" s="111">
        <v>16063.311643022109</v>
      </c>
      <c r="Q167" s="110">
        <v>11287.572342693116</v>
      </c>
      <c r="R167" s="258">
        <v>24666.458131784191</v>
      </c>
      <c r="S167" s="259">
        <v>27350.883985715227</v>
      </c>
      <c r="U167" s="7" t="s">
        <v>1449</v>
      </c>
    </row>
    <row r="168" spans="1:21" ht="16.5" thickBot="1">
      <c r="A168" s="41" t="s">
        <v>31</v>
      </c>
      <c r="B168" s="42">
        <f t="shared" si="9"/>
        <v>75</v>
      </c>
      <c r="C168" s="42" t="s">
        <v>3</v>
      </c>
      <c r="D168" s="42">
        <f t="shared" si="10"/>
        <v>300</v>
      </c>
      <c r="E168" s="42" t="s">
        <v>3</v>
      </c>
      <c r="F168" s="101">
        <f t="shared" si="11"/>
        <v>850</v>
      </c>
      <c r="G168" s="42" t="s">
        <v>3</v>
      </c>
      <c r="H168" s="39">
        <v>2</v>
      </c>
      <c r="I168" s="40" t="s">
        <v>40</v>
      </c>
      <c r="J168" s="103">
        <v>75</v>
      </c>
      <c r="K168" s="104">
        <v>300</v>
      </c>
      <c r="L168" s="104">
        <v>850</v>
      </c>
      <c r="M168" s="150">
        <v>8.1532718182549999</v>
      </c>
      <c r="N168" s="66">
        <v>197.48860954416003</v>
      </c>
      <c r="O168" s="111">
        <v>13857.24575137604</v>
      </c>
      <c r="P168" s="111">
        <v>16673.498847139064</v>
      </c>
      <c r="Q168" s="110">
        <v>12062.548266477399</v>
      </c>
      <c r="R168" s="258">
        <v>25919.794017853441</v>
      </c>
      <c r="S168" s="259">
        <v>28736.047113616463</v>
      </c>
      <c r="U168" s="7" t="s">
        <v>1450</v>
      </c>
    </row>
    <row r="169" spans="1:21" ht="16.5" thickBot="1">
      <c r="A169" s="41" t="s">
        <v>31</v>
      </c>
      <c r="B169" s="42">
        <f t="shared" si="9"/>
        <v>75</v>
      </c>
      <c r="C169" s="42" t="s">
        <v>3</v>
      </c>
      <c r="D169" s="42">
        <f t="shared" si="10"/>
        <v>300</v>
      </c>
      <c r="E169" s="42" t="s">
        <v>3</v>
      </c>
      <c r="F169" s="101">
        <f t="shared" si="11"/>
        <v>900</v>
      </c>
      <c r="G169" s="42" t="s">
        <v>3</v>
      </c>
      <c r="H169" s="39">
        <v>2</v>
      </c>
      <c r="I169" s="40" t="s">
        <v>40</v>
      </c>
      <c r="J169" s="103">
        <v>75</v>
      </c>
      <c r="K169" s="104">
        <v>300</v>
      </c>
      <c r="L169" s="104">
        <v>900</v>
      </c>
      <c r="M169" s="150">
        <v>8.5658642356350008</v>
      </c>
      <c r="N169" s="66">
        <v>217.23747049857604</v>
      </c>
      <c r="O169" s="111">
        <v>14335.605713661002</v>
      </c>
      <c r="P169" s="111">
        <v>17283.685898227253</v>
      </c>
      <c r="Q169" s="110">
        <v>12586.189899449146</v>
      </c>
      <c r="R169" s="258">
        <v>26921.795613110145</v>
      </c>
      <c r="S169" s="259">
        <v>29869.875797676399</v>
      </c>
      <c r="U169" s="7" t="s">
        <v>1451</v>
      </c>
    </row>
    <row r="170" spans="1:21" ht="16.5" thickBot="1">
      <c r="A170" s="41" t="s">
        <v>31</v>
      </c>
      <c r="B170" s="42">
        <f t="shared" si="9"/>
        <v>75</v>
      </c>
      <c r="C170" s="42" t="s">
        <v>3</v>
      </c>
      <c r="D170" s="42">
        <f t="shared" si="10"/>
        <v>300</v>
      </c>
      <c r="E170" s="42" t="s">
        <v>3</v>
      </c>
      <c r="F170" s="101">
        <f t="shared" si="11"/>
        <v>950</v>
      </c>
      <c r="G170" s="42" t="s">
        <v>3</v>
      </c>
      <c r="H170" s="39">
        <v>2</v>
      </c>
      <c r="I170" s="40" t="s">
        <v>40</v>
      </c>
      <c r="J170" s="103">
        <v>75</v>
      </c>
      <c r="K170" s="104">
        <v>300</v>
      </c>
      <c r="L170" s="104">
        <v>950</v>
      </c>
      <c r="M170" s="150">
        <v>8.9954966530149996</v>
      </c>
      <c r="N170" s="66">
        <v>236.98633145299203</v>
      </c>
      <c r="O170" s="111">
        <v>14813.965675945967</v>
      </c>
      <c r="P170" s="111">
        <v>17893.873102344209</v>
      </c>
      <c r="Q170" s="110">
        <v>13361.165670204662</v>
      </c>
      <c r="R170" s="258">
        <v>28175.131346150629</v>
      </c>
      <c r="S170" s="259">
        <v>31255.038772548869</v>
      </c>
      <c r="U170" s="7" t="s">
        <v>1452</v>
      </c>
    </row>
    <row r="171" spans="1:21" ht="16.5" thickBot="1">
      <c r="A171" s="41" t="s">
        <v>31</v>
      </c>
      <c r="B171" s="42">
        <f t="shared" si="9"/>
        <v>75</v>
      </c>
      <c r="C171" s="42" t="s">
        <v>3</v>
      </c>
      <c r="D171" s="42">
        <f t="shared" si="10"/>
        <v>300</v>
      </c>
      <c r="E171" s="42" t="s">
        <v>3</v>
      </c>
      <c r="F171" s="101">
        <f t="shared" si="11"/>
        <v>1000</v>
      </c>
      <c r="G171" s="42" t="s">
        <v>3</v>
      </c>
      <c r="H171" s="39">
        <v>2</v>
      </c>
      <c r="I171" s="40" t="s">
        <v>40</v>
      </c>
      <c r="J171" s="103">
        <v>75</v>
      </c>
      <c r="K171" s="104">
        <v>300</v>
      </c>
      <c r="L171" s="104">
        <v>1000</v>
      </c>
      <c r="M171" s="150">
        <v>9.4080890703950004</v>
      </c>
      <c r="N171" s="66">
        <v>256.73519240740802</v>
      </c>
      <c r="O171" s="111">
        <v>15292.325638230928</v>
      </c>
      <c r="P171" s="111">
        <v>18504.060306461164</v>
      </c>
      <c r="Q171" s="110">
        <v>13884.807456205173</v>
      </c>
      <c r="R171" s="258">
        <v>29177.133094436103</v>
      </c>
      <c r="S171" s="259">
        <v>32388.867762666338</v>
      </c>
      <c r="U171" s="7" t="s">
        <v>1453</v>
      </c>
    </row>
    <row r="172" spans="1:21" ht="16.5" thickBot="1">
      <c r="A172" s="41" t="s">
        <v>31</v>
      </c>
      <c r="B172" s="42">
        <f t="shared" si="9"/>
        <v>75</v>
      </c>
      <c r="C172" s="42" t="s">
        <v>3</v>
      </c>
      <c r="D172" s="42">
        <f t="shared" si="10"/>
        <v>300</v>
      </c>
      <c r="E172" s="42" t="s">
        <v>3</v>
      </c>
      <c r="F172" s="101">
        <f t="shared" si="11"/>
        <v>1050</v>
      </c>
      <c r="G172" s="42" t="s">
        <v>3</v>
      </c>
      <c r="H172" s="39">
        <v>2</v>
      </c>
      <c r="I172" s="40" t="s">
        <v>40</v>
      </c>
      <c r="J172" s="103">
        <v>75</v>
      </c>
      <c r="K172" s="104">
        <v>300</v>
      </c>
      <c r="L172" s="104">
        <v>1050</v>
      </c>
      <c r="M172" s="150">
        <v>9.837721487775001</v>
      </c>
      <c r="N172" s="66">
        <v>276.48405336182401</v>
      </c>
      <c r="O172" s="111">
        <v>15770.685600515893</v>
      </c>
      <c r="P172" s="111">
        <v>19114.247357549353</v>
      </c>
      <c r="Q172" s="110">
        <v>14659.78322696069</v>
      </c>
      <c r="R172" s="258">
        <v>30430.468827476583</v>
      </c>
      <c r="S172" s="259">
        <v>33774.030584510045</v>
      </c>
      <c r="U172" s="7" t="s">
        <v>1454</v>
      </c>
    </row>
    <row r="173" spans="1:21" ht="16.5" thickBot="1">
      <c r="A173" s="38" t="s">
        <v>31</v>
      </c>
      <c r="B173" s="39">
        <f t="shared" si="9"/>
        <v>75</v>
      </c>
      <c r="C173" s="39" t="s">
        <v>3</v>
      </c>
      <c r="D173" s="39">
        <f t="shared" si="10"/>
        <v>300</v>
      </c>
      <c r="E173" s="39" t="s">
        <v>3</v>
      </c>
      <c r="F173" s="101">
        <f t="shared" si="11"/>
        <v>1100</v>
      </c>
      <c r="G173" s="39" t="s">
        <v>3</v>
      </c>
      <c r="H173" s="39">
        <v>2</v>
      </c>
      <c r="I173" s="40" t="s">
        <v>40</v>
      </c>
      <c r="J173" s="103">
        <v>75</v>
      </c>
      <c r="K173" s="104">
        <v>300</v>
      </c>
      <c r="L173" s="104">
        <v>1100</v>
      </c>
      <c r="M173" s="150">
        <v>10.250313905155</v>
      </c>
      <c r="N173" s="66">
        <v>296.23291431624</v>
      </c>
      <c r="O173" s="111">
        <v>16249.045562800859</v>
      </c>
      <c r="P173" s="111">
        <v>19724.434561666309</v>
      </c>
      <c r="Q173" s="110">
        <v>15183.425012961201</v>
      </c>
      <c r="R173" s="258">
        <v>31432.470575762061</v>
      </c>
      <c r="S173" s="259">
        <v>34907.85957462751</v>
      </c>
      <c r="U173" s="7" t="s">
        <v>1455</v>
      </c>
    </row>
    <row r="174" spans="1:21" ht="16.5" thickBot="1">
      <c r="A174" s="41" t="s">
        <v>31</v>
      </c>
      <c r="B174" s="42">
        <f t="shared" si="9"/>
        <v>75</v>
      </c>
      <c r="C174" s="42" t="s">
        <v>3</v>
      </c>
      <c r="D174" s="42">
        <f t="shared" si="10"/>
        <v>300</v>
      </c>
      <c r="E174" s="42" t="s">
        <v>3</v>
      </c>
      <c r="F174" s="101">
        <f t="shared" si="11"/>
        <v>1150</v>
      </c>
      <c r="G174" s="42" t="s">
        <v>3</v>
      </c>
      <c r="H174" s="39">
        <v>2</v>
      </c>
      <c r="I174" s="40" t="s">
        <v>40</v>
      </c>
      <c r="J174" s="103">
        <v>75</v>
      </c>
      <c r="K174" s="104">
        <v>300</v>
      </c>
      <c r="L174" s="104">
        <v>1150</v>
      </c>
      <c r="M174" s="150">
        <v>10.662906322534999</v>
      </c>
      <c r="N174" s="66">
        <v>315.98177527065599</v>
      </c>
      <c r="O174" s="111">
        <v>16727.405525085822</v>
      </c>
      <c r="P174" s="111">
        <v>20334.621765783264</v>
      </c>
      <c r="Q174" s="110">
        <v>15707.066645932946</v>
      </c>
      <c r="R174" s="258">
        <v>32434.472171018766</v>
      </c>
      <c r="S174" s="259">
        <v>36041.688411716212</v>
      </c>
      <c r="U174" s="7" t="s">
        <v>1456</v>
      </c>
    </row>
    <row r="175" spans="1:21" ht="16.5" thickBot="1">
      <c r="A175" s="41" t="s">
        <v>31</v>
      </c>
      <c r="B175" s="42">
        <f t="shared" si="9"/>
        <v>75</v>
      </c>
      <c r="C175" s="42" t="s">
        <v>3</v>
      </c>
      <c r="D175" s="42">
        <f t="shared" si="10"/>
        <v>300</v>
      </c>
      <c r="E175" s="42" t="s">
        <v>3</v>
      </c>
      <c r="F175" s="101">
        <f t="shared" si="11"/>
        <v>1200</v>
      </c>
      <c r="G175" s="42" t="s">
        <v>3</v>
      </c>
      <c r="H175" s="39">
        <v>2</v>
      </c>
      <c r="I175" s="40" t="s">
        <v>40</v>
      </c>
      <c r="J175" s="103">
        <v>75</v>
      </c>
      <c r="K175" s="104">
        <v>300</v>
      </c>
      <c r="L175" s="104">
        <v>1200</v>
      </c>
      <c r="M175" s="150">
        <v>11.131788739915001</v>
      </c>
      <c r="N175" s="66">
        <v>335.73063622507203</v>
      </c>
      <c r="O175" s="111">
        <v>17255.765800030196</v>
      </c>
      <c r="P175" s="111">
        <v>20993.285116058985</v>
      </c>
      <c r="Q175" s="110">
        <v>16482.042416688462</v>
      </c>
      <c r="R175" s="258">
        <v>33737.808216718659</v>
      </c>
      <c r="S175" s="259">
        <v>37475.327532747448</v>
      </c>
      <c r="U175" s="7" t="s">
        <v>1457</v>
      </c>
    </row>
    <row r="176" spans="1:21" ht="16.5" thickBot="1">
      <c r="A176" s="41" t="s">
        <v>31</v>
      </c>
      <c r="B176" s="42">
        <f t="shared" si="9"/>
        <v>75</v>
      </c>
      <c r="C176" s="42" t="s">
        <v>3</v>
      </c>
      <c r="D176" s="42">
        <f t="shared" si="10"/>
        <v>300</v>
      </c>
      <c r="E176" s="42" t="s">
        <v>3</v>
      </c>
      <c r="F176" s="101">
        <f t="shared" si="11"/>
        <v>1250</v>
      </c>
      <c r="G176" s="42" t="s">
        <v>3</v>
      </c>
      <c r="H176" s="39">
        <v>2</v>
      </c>
      <c r="I176" s="40" t="s">
        <v>40</v>
      </c>
      <c r="J176" s="103">
        <v>75</v>
      </c>
      <c r="K176" s="104">
        <v>300</v>
      </c>
      <c r="L176" s="104">
        <v>1250</v>
      </c>
      <c r="M176" s="150">
        <v>11.544381157295</v>
      </c>
      <c r="N176" s="66">
        <v>355.47949717948808</v>
      </c>
      <c r="O176" s="111">
        <v>17734.125762315161</v>
      </c>
      <c r="P176" s="111">
        <v>21603.472167147178</v>
      </c>
      <c r="Q176" s="110">
        <v>17005.684202688975</v>
      </c>
      <c r="R176" s="258">
        <v>34739.80996500414</v>
      </c>
      <c r="S176" s="259">
        <v>38609.156369836157</v>
      </c>
      <c r="U176" s="7" t="s">
        <v>1458</v>
      </c>
    </row>
    <row r="177" spans="1:21" ht="16.5" thickBot="1">
      <c r="A177" s="41" t="s">
        <v>31</v>
      </c>
      <c r="B177" s="42">
        <f t="shared" si="9"/>
        <v>75</v>
      </c>
      <c r="C177" s="42" t="s">
        <v>3</v>
      </c>
      <c r="D177" s="42">
        <f t="shared" si="10"/>
        <v>300</v>
      </c>
      <c r="E177" s="42" t="s">
        <v>3</v>
      </c>
      <c r="F177" s="101">
        <f t="shared" si="11"/>
        <v>1300</v>
      </c>
      <c r="G177" s="42" t="s">
        <v>3</v>
      </c>
      <c r="H177" s="39">
        <v>2</v>
      </c>
      <c r="I177" s="40" t="s">
        <v>40</v>
      </c>
      <c r="J177" s="103">
        <v>75</v>
      </c>
      <c r="K177" s="104">
        <v>300</v>
      </c>
      <c r="L177" s="104">
        <v>1300</v>
      </c>
      <c r="M177" s="150">
        <v>11.974013574675002</v>
      </c>
      <c r="N177" s="66">
        <v>375.22835813390401</v>
      </c>
      <c r="O177" s="111">
        <v>18212.485724600127</v>
      </c>
      <c r="P177" s="111">
        <v>22213.659371264133</v>
      </c>
      <c r="Q177" s="110">
        <v>17780.65997344449</v>
      </c>
      <c r="R177" s="258">
        <v>35993.145698044616</v>
      </c>
      <c r="S177" s="259">
        <v>39994.319344708623</v>
      </c>
      <c r="U177" s="7" t="s">
        <v>1459</v>
      </c>
    </row>
    <row r="178" spans="1:21" ht="16.5" thickBot="1">
      <c r="A178" s="41" t="s">
        <v>31</v>
      </c>
      <c r="B178" s="42">
        <f t="shared" si="9"/>
        <v>75</v>
      </c>
      <c r="C178" s="42" t="s">
        <v>3</v>
      </c>
      <c r="D178" s="42">
        <f t="shared" si="10"/>
        <v>300</v>
      </c>
      <c r="E178" s="42" t="s">
        <v>3</v>
      </c>
      <c r="F178" s="101">
        <f t="shared" si="11"/>
        <v>1350</v>
      </c>
      <c r="G178" s="42" t="s">
        <v>3</v>
      </c>
      <c r="H178" s="39">
        <v>2</v>
      </c>
      <c r="I178" s="40" t="s">
        <v>40</v>
      </c>
      <c r="J178" s="103">
        <v>75</v>
      </c>
      <c r="K178" s="104">
        <v>300</v>
      </c>
      <c r="L178" s="104">
        <v>1350</v>
      </c>
      <c r="M178" s="150">
        <v>12.386605992054999</v>
      </c>
      <c r="N178" s="66">
        <v>394.97721908832006</v>
      </c>
      <c r="O178" s="111">
        <v>18690.845686885088</v>
      </c>
      <c r="P178" s="111">
        <v>22823.846575381089</v>
      </c>
      <c r="Q178" s="110">
        <v>18304.301606416237</v>
      </c>
      <c r="R178" s="258">
        <v>36995.147293301328</v>
      </c>
      <c r="S178" s="259">
        <v>41128.148181797325</v>
      </c>
      <c r="U178" s="7" t="s">
        <v>1460</v>
      </c>
    </row>
    <row r="179" spans="1:21" ht="16.5" thickBot="1">
      <c r="A179" s="41" t="s">
        <v>31</v>
      </c>
      <c r="B179" s="42">
        <f t="shared" si="9"/>
        <v>75</v>
      </c>
      <c r="C179" s="42" t="s">
        <v>3</v>
      </c>
      <c r="D179" s="42">
        <f t="shared" si="10"/>
        <v>300</v>
      </c>
      <c r="E179" s="42" t="s">
        <v>3</v>
      </c>
      <c r="F179" s="101">
        <f t="shared" si="11"/>
        <v>1400</v>
      </c>
      <c r="G179" s="42" t="s">
        <v>3</v>
      </c>
      <c r="H179" s="39">
        <v>2</v>
      </c>
      <c r="I179" s="40" t="s">
        <v>40</v>
      </c>
      <c r="J179" s="103">
        <v>75</v>
      </c>
      <c r="K179" s="104">
        <v>300</v>
      </c>
      <c r="L179" s="104">
        <v>1400</v>
      </c>
      <c r="M179" s="150">
        <v>12.816238409435002</v>
      </c>
      <c r="N179" s="66">
        <v>414.72608004273599</v>
      </c>
      <c r="O179" s="111">
        <v>19169.205649170053</v>
      </c>
      <c r="P179" s="111">
        <v>23434.033626469278</v>
      </c>
      <c r="Q179" s="110">
        <v>19079.277530200521</v>
      </c>
      <c r="R179" s="258">
        <v>38248.483179370574</v>
      </c>
      <c r="S179" s="259">
        <v>42513.311156669799</v>
      </c>
      <c r="U179" s="7" t="s">
        <v>1461</v>
      </c>
    </row>
    <row r="180" spans="1:21" ht="16.5" thickBot="1">
      <c r="A180" s="41" t="s">
        <v>31</v>
      </c>
      <c r="B180" s="42">
        <f t="shared" si="9"/>
        <v>75</v>
      </c>
      <c r="C180" s="42" t="s">
        <v>3</v>
      </c>
      <c r="D180" s="42">
        <f t="shared" si="10"/>
        <v>300</v>
      </c>
      <c r="E180" s="42" t="s">
        <v>3</v>
      </c>
      <c r="F180" s="101">
        <f t="shared" si="11"/>
        <v>1450</v>
      </c>
      <c r="G180" s="42" t="s">
        <v>3</v>
      </c>
      <c r="H180" s="39">
        <v>2</v>
      </c>
      <c r="I180" s="40" t="s">
        <v>40</v>
      </c>
      <c r="J180" s="103">
        <v>75</v>
      </c>
      <c r="K180" s="104">
        <v>300</v>
      </c>
      <c r="L180" s="104">
        <v>1450</v>
      </c>
      <c r="M180" s="150">
        <v>13.228830826815003</v>
      </c>
      <c r="N180" s="66">
        <v>434.47494099715209</v>
      </c>
      <c r="O180" s="111">
        <v>19647.565611455015</v>
      </c>
      <c r="P180" s="111">
        <v>24044.220830586233</v>
      </c>
      <c r="Q180" s="110">
        <v>19602.919163172111</v>
      </c>
      <c r="R180" s="258">
        <v>39250.484774627126</v>
      </c>
      <c r="S180" s="259">
        <v>43647.139993758348</v>
      </c>
      <c r="U180" s="7" t="s">
        <v>1462</v>
      </c>
    </row>
    <row r="181" spans="1:21" ht="16.5" thickBot="1">
      <c r="A181" s="41" t="s">
        <v>31</v>
      </c>
      <c r="B181" s="42">
        <f t="shared" si="9"/>
        <v>75</v>
      </c>
      <c r="C181" s="42" t="s">
        <v>3</v>
      </c>
      <c r="D181" s="42">
        <f t="shared" si="10"/>
        <v>300</v>
      </c>
      <c r="E181" s="42" t="s">
        <v>3</v>
      </c>
      <c r="F181" s="101">
        <f t="shared" si="11"/>
        <v>1500</v>
      </c>
      <c r="G181" s="42" t="s">
        <v>3</v>
      </c>
      <c r="H181" s="39">
        <v>2</v>
      </c>
      <c r="I181" s="40" t="s">
        <v>40</v>
      </c>
      <c r="J181" s="103">
        <v>75</v>
      </c>
      <c r="K181" s="104">
        <v>300</v>
      </c>
      <c r="L181" s="104">
        <v>1500</v>
      </c>
      <c r="M181" s="150">
        <v>13.803028136995</v>
      </c>
      <c r="N181" s="66">
        <v>454.22380195156802</v>
      </c>
      <c r="O181" s="111">
        <v>20865.651168448952</v>
      </c>
      <c r="P181" s="111">
        <v>25302.331979271206</v>
      </c>
      <c r="Q181" s="110">
        <v>20377.895086956549</v>
      </c>
      <c r="R181" s="258">
        <v>41243.546255405498</v>
      </c>
      <c r="S181" s="259">
        <v>45680.227066227759</v>
      </c>
      <c r="U181" s="7" t="s">
        <v>1463</v>
      </c>
    </row>
    <row r="182" spans="1:21" ht="16.5" thickBot="1">
      <c r="A182" s="41" t="s">
        <v>31</v>
      </c>
      <c r="B182" s="42">
        <f t="shared" si="9"/>
        <v>75</v>
      </c>
      <c r="C182" s="42" t="s">
        <v>3</v>
      </c>
      <c r="D182" s="42">
        <f t="shared" si="10"/>
        <v>300</v>
      </c>
      <c r="E182" s="42" t="s">
        <v>3</v>
      </c>
      <c r="F182" s="101">
        <f t="shared" si="11"/>
        <v>1550</v>
      </c>
      <c r="G182" s="42" t="s">
        <v>3</v>
      </c>
      <c r="H182" s="39">
        <v>2</v>
      </c>
      <c r="I182" s="40" t="s">
        <v>40</v>
      </c>
      <c r="J182" s="103">
        <v>75</v>
      </c>
      <c r="K182" s="104">
        <v>300</v>
      </c>
      <c r="L182" s="104">
        <v>1550</v>
      </c>
      <c r="M182" s="150">
        <v>14.215620554375</v>
      </c>
      <c r="N182" s="66">
        <v>473.97266290598407</v>
      </c>
      <c r="O182" s="111">
        <v>21344.011130733914</v>
      </c>
      <c r="P182" s="111">
        <v>25912.519183388162</v>
      </c>
      <c r="Q182" s="110">
        <v>20901.536719928292</v>
      </c>
      <c r="R182" s="258">
        <v>42245.547850662202</v>
      </c>
      <c r="S182" s="259">
        <v>46814.055903316454</v>
      </c>
      <c r="U182" s="7" t="s">
        <v>1464</v>
      </c>
    </row>
    <row r="183" spans="1:21" ht="16.5" thickBot="1">
      <c r="A183" s="38" t="s">
        <v>31</v>
      </c>
      <c r="B183" s="39">
        <f t="shared" si="9"/>
        <v>75</v>
      </c>
      <c r="C183" s="39" t="s">
        <v>3</v>
      </c>
      <c r="D183" s="39">
        <f t="shared" si="10"/>
        <v>300</v>
      </c>
      <c r="E183" s="39" t="s">
        <v>3</v>
      </c>
      <c r="F183" s="101">
        <f t="shared" si="11"/>
        <v>1600</v>
      </c>
      <c r="G183" s="39" t="s">
        <v>3</v>
      </c>
      <c r="H183" s="39">
        <v>2</v>
      </c>
      <c r="I183" s="40" t="s">
        <v>40</v>
      </c>
      <c r="J183" s="103">
        <v>75</v>
      </c>
      <c r="K183" s="104">
        <v>300</v>
      </c>
      <c r="L183" s="104">
        <v>1600</v>
      </c>
      <c r="M183" s="150">
        <v>14.628212971755</v>
      </c>
      <c r="N183" s="66">
        <v>493.7215238604</v>
      </c>
      <c r="O183" s="111">
        <v>21822.371093018879</v>
      </c>
      <c r="P183" s="111">
        <v>26522.706387505117</v>
      </c>
      <c r="Q183" s="110">
        <v>21425.178352900039</v>
      </c>
      <c r="R183" s="258">
        <v>43247.549445918921</v>
      </c>
      <c r="S183" s="259">
        <v>47947.884740405156</v>
      </c>
      <c r="U183" s="7" t="s">
        <v>1465</v>
      </c>
    </row>
    <row r="184" spans="1:21" ht="16.5" thickBot="1">
      <c r="A184" s="41" t="s">
        <v>31</v>
      </c>
      <c r="B184" s="42">
        <f t="shared" si="9"/>
        <v>75</v>
      </c>
      <c r="C184" s="42" t="s">
        <v>3</v>
      </c>
      <c r="D184" s="42">
        <f t="shared" si="10"/>
        <v>300</v>
      </c>
      <c r="E184" s="42" t="s">
        <v>3</v>
      </c>
      <c r="F184" s="101">
        <f t="shared" si="11"/>
        <v>1650</v>
      </c>
      <c r="G184" s="42" t="s">
        <v>3</v>
      </c>
      <c r="H184" s="39">
        <v>2</v>
      </c>
      <c r="I184" s="40" t="s">
        <v>40</v>
      </c>
      <c r="J184" s="103">
        <v>75</v>
      </c>
      <c r="K184" s="104">
        <v>300</v>
      </c>
      <c r="L184" s="104">
        <v>1650</v>
      </c>
      <c r="M184" s="150">
        <v>15.057845389135002</v>
      </c>
      <c r="N184" s="66">
        <v>513.47038481481604</v>
      </c>
      <c r="O184" s="111">
        <v>22300.731055303844</v>
      </c>
      <c r="P184" s="111">
        <v>27132.893438593306</v>
      </c>
      <c r="Q184" s="110">
        <v>22200.154276684319</v>
      </c>
      <c r="R184" s="258">
        <v>44500.88533198816</v>
      </c>
      <c r="S184" s="259">
        <v>49333.047715277629</v>
      </c>
      <c r="U184" s="7" t="s">
        <v>1466</v>
      </c>
    </row>
    <row r="185" spans="1:21" ht="16.5" thickBot="1">
      <c r="A185" s="41" t="s">
        <v>31</v>
      </c>
      <c r="B185" s="42">
        <f t="shared" si="9"/>
        <v>75</v>
      </c>
      <c r="C185" s="42" t="s">
        <v>3</v>
      </c>
      <c r="D185" s="42">
        <f t="shared" si="10"/>
        <v>300</v>
      </c>
      <c r="E185" s="42" t="s">
        <v>3</v>
      </c>
      <c r="F185" s="101">
        <f t="shared" si="11"/>
        <v>1700</v>
      </c>
      <c r="G185" s="42" t="s">
        <v>3</v>
      </c>
      <c r="H185" s="39">
        <v>2</v>
      </c>
      <c r="I185" s="40" t="s">
        <v>40</v>
      </c>
      <c r="J185" s="103">
        <v>75</v>
      </c>
      <c r="K185" s="104">
        <v>300</v>
      </c>
      <c r="L185" s="104">
        <v>1700</v>
      </c>
      <c r="M185" s="150">
        <v>15.470437806515001</v>
      </c>
      <c r="N185" s="66">
        <v>533.21924576923209</v>
      </c>
      <c r="O185" s="111">
        <v>22779.091017588806</v>
      </c>
      <c r="P185" s="111">
        <v>27743.080642710262</v>
      </c>
      <c r="Q185" s="110">
        <v>22723.795909656066</v>
      </c>
      <c r="R185" s="258">
        <v>45502.886927244872</v>
      </c>
      <c r="S185" s="259">
        <v>50466.876552366331</v>
      </c>
      <c r="U185" s="7" t="s">
        <v>1467</v>
      </c>
    </row>
    <row r="186" spans="1:21" ht="16.5" thickBot="1">
      <c r="A186" s="41" t="s">
        <v>31</v>
      </c>
      <c r="B186" s="42">
        <f t="shared" si="9"/>
        <v>75</v>
      </c>
      <c r="C186" s="42" t="s">
        <v>3</v>
      </c>
      <c r="D186" s="42">
        <f t="shared" si="10"/>
        <v>300</v>
      </c>
      <c r="E186" s="42" t="s">
        <v>3</v>
      </c>
      <c r="F186" s="101">
        <f t="shared" si="11"/>
        <v>1750</v>
      </c>
      <c r="G186" s="42" t="s">
        <v>3</v>
      </c>
      <c r="H186" s="39">
        <v>2</v>
      </c>
      <c r="I186" s="40" t="s">
        <v>40</v>
      </c>
      <c r="J186" s="103">
        <v>75</v>
      </c>
      <c r="K186" s="104">
        <v>300</v>
      </c>
      <c r="L186" s="104">
        <v>1750</v>
      </c>
      <c r="M186" s="150">
        <v>15.900070223895</v>
      </c>
      <c r="N186" s="66">
        <v>552.96810672364802</v>
      </c>
      <c r="O186" s="111">
        <v>23257.450979873771</v>
      </c>
      <c r="P186" s="111">
        <v>28353.267846827217</v>
      </c>
      <c r="Q186" s="110">
        <v>23498.771833440347</v>
      </c>
      <c r="R186" s="258">
        <v>46756.222813314118</v>
      </c>
      <c r="S186" s="259">
        <v>51852.039680267568</v>
      </c>
      <c r="U186" s="7" t="s">
        <v>1468</v>
      </c>
    </row>
    <row r="187" spans="1:21" ht="16.5" thickBot="1">
      <c r="A187" s="41" t="s">
        <v>31</v>
      </c>
      <c r="B187" s="42">
        <f t="shared" si="9"/>
        <v>75</v>
      </c>
      <c r="C187" s="42" t="s">
        <v>3</v>
      </c>
      <c r="D187" s="42">
        <f t="shared" si="10"/>
        <v>300</v>
      </c>
      <c r="E187" s="42" t="s">
        <v>3</v>
      </c>
      <c r="F187" s="101">
        <f t="shared" si="11"/>
        <v>1800</v>
      </c>
      <c r="G187" s="42" t="s">
        <v>3</v>
      </c>
      <c r="H187" s="39">
        <v>2</v>
      </c>
      <c r="I187" s="40" t="s">
        <v>40</v>
      </c>
      <c r="J187" s="103">
        <v>75</v>
      </c>
      <c r="K187" s="104">
        <v>300</v>
      </c>
      <c r="L187" s="104">
        <v>1800</v>
      </c>
      <c r="M187" s="150">
        <v>16.312662641275001</v>
      </c>
      <c r="N187" s="66">
        <v>572.71696767806407</v>
      </c>
      <c r="O187" s="111">
        <v>23735.810942158732</v>
      </c>
      <c r="P187" s="111">
        <v>28963.454897915406</v>
      </c>
      <c r="Q187" s="110">
        <v>24022.413466412094</v>
      </c>
      <c r="R187" s="258">
        <v>47758.224408570823</v>
      </c>
      <c r="S187" s="259">
        <v>52985.8683643275</v>
      </c>
      <c r="U187" s="7" t="s">
        <v>1469</v>
      </c>
    </row>
    <row r="188" spans="1:21" ht="16.5" thickBot="1">
      <c r="A188" s="41" t="s">
        <v>31</v>
      </c>
      <c r="B188" s="42">
        <f t="shared" si="9"/>
        <v>75</v>
      </c>
      <c r="C188" s="42" t="s">
        <v>3</v>
      </c>
      <c r="D188" s="42">
        <f t="shared" si="10"/>
        <v>300</v>
      </c>
      <c r="E188" s="42" t="s">
        <v>3</v>
      </c>
      <c r="F188" s="101">
        <f t="shared" si="11"/>
        <v>1850</v>
      </c>
      <c r="G188" s="42" t="s">
        <v>3</v>
      </c>
      <c r="H188" s="39">
        <v>2</v>
      </c>
      <c r="I188" s="40" t="s">
        <v>40</v>
      </c>
      <c r="J188" s="103">
        <v>75</v>
      </c>
      <c r="K188" s="104">
        <v>300</v>
      </c>
      <c r="L188" s="104">
        <v>1850</v>
      </c>
      <c r="M188" s="150">
        <v>16.742295058654999</v>
      </c>
      <c r="N188" s="66">
        <v>592.46582863248</v>
      </c>
      <c r="O188" s="111">
        <v>24214.170904443698</v>
      </c>
      <c r="P188" s="111">
        <v>29573.642102032361</v>
      </c>
      <c r="Q188" s="110">
        <v>24797.389237167612</v>
      </c>
      <c r="R188" s="258">
        <v>49011.560141611306</v>
      </c>
      <c r="S188" s="259">
        <v>54371.031339199973</v>
      </c>
      <c r="U188" s="7" t="s">
        <v>1470</v>
      </c>
    </row>
    <row r="189" spans="1:21" ht="16.5" thickBot="1">
      <c r="A189" s="41" t="s">
        <v>31</v>
      </c>
      <c r="B189" s="42">
        <f t="shared" si="9"/>
        <v>75</v>
      </c>
      <c r="C189" s="42" t="s">
        <v>3</v>
      </c>
      <c r="D189" s="42">
        <f t="shared" si="10"/>
        <v>300</v>
      </c>
      <c r="E189" s="42" t="s">
        <v>3</v>
      </c>
      <c r="F189" s="101">
        <f t="shared" si="11"/>
        <v>1900</v>
      </c>
      <c r="G189" s="42" t="s">
        <v>3</v>
      </c>
      <c r="H189" s="39">
        <v>2</v>
      </c>
      <c r="I189" s="40" t="s">
        <v>40</v>
      </c>
      <c r="J189" s="103">
        <v>75</v>
      </c>
      <c r="K189" s="104">
        <v>300</v>
      </c>
      <c r="L189" s="104">
        <v>1900</v>
      </c>
      <c r="M189" s="150">
        <v>17.154887476035</v>
      </c>
      <c r="N189" s="66">
        <v>612.21468958689604</v>
      </c>
      <c r="O189" s="111">
        <v>24692.530866728659</v>
      </c>
      <c r="P189" s="111">
        <v>30183.829306149317</v>
      </c>
      <c r="Q189" s="110">
        <v>25321.031023168125</v>
      </c>
      <c r="R189" s="258">
        <v>50013.56188989678</v>
      </c>
      <c r="S189" s="259">
        <v>55504.860329317438</v>
      </c>
      <c r="U189" s="7" t="s">
        <v>1471</v>
      </c>
    </row>
    <row r="190" spans="1:21" ht="16.5" thickBot="1">
      <c r="A190" s="41" t="s">
        <v>31</v>
      </c>
      <c r="B190" s="42">
        <f t="shared" si="9"/>
        <v>75</v>
      </c>
      <c r="C190" s="42" t="s">
        <v>3</v>
      </c>
      <c r="D190" s="42">
        <f t="shared" si="10"/>
        <v>300</v>
      </c>
      <c r="E190" s="42" t="s">
        <v>3</v>
      </c>
      <c r="F190" s="101">
        <f t="shared" si="11"/>
        <v>1950</v>
      </c>
      <c r="G190" s="42" t="s">
        <v>3</v>
      </c>
      <c r="H190" s="39">
        <v>2</v>
      </c>
      <c r="I190" s="40" t="s">
        <v>40</v>
      </c>
      <c r="J190" s="103">
        <v>75</v>
      </c>
      <c r="K190" s="104">
        <v>300</v>
      </c>
      <c r="L190" s="104">
        <v>1950</v>
      </c>
      <c r="M190" s="150">
        <v>17.606729893415</v>
      </c>
      <c r="N190" s="66">
        <v>631.96355054131197</v>
      </c>
      <c r="O190" s="111">
        <v>25220.891141673037</v>
      </c>
      <c r="P190" s="111">
        <v>30842.492656425042</v>
      </c>
      <c r="Q190" s="110">
        <v>25844.672656139872</v>
      </c>
      <c r="R190" s="258">
        <v>51065.563797812909</v>
      </c>
      <c r="S190" s="259">
        <v>56687.165312564917</v>
      </c>
      <c r="U190" s="7" t="s">
        <v>1472</v>
      </c>
    </row>
    <row r="191" spans="1:21" ht="16.5" thickBot="1">
      <c r="A191" s="41" t="s">
        <v>31</v>
      </c>
      <c r="B191" s="42">
        <f t="shared" si="9"/>
        <v>75</v>
      </c>
      <c r="C191" s="42" t="s">
        <v>3</v>
      </c>
      <c r="D191" s="42">
        <f t="shared" si="10"/>
        <v>300</v>
      </c>
      <c r="E191" s="42" t="s">
        <v>3</v>
      </c>
      <c r="F191" s="101">
        <f t="shared" si="11"/>
        <v>2000</v>
      </c>
      <c r="G191" s="42" t="s">
        <v>3</v>
      </c>
      <c r="H191" s="39">
        <v>2</v>
      </c>
      <c r="I191" s="40" t="s">
        <v>40</v>
      </c>
      <c r="J191" s="103">
        <v>75</v>
      </c>
      <c r="K191" s="104">
        <v>300</v>
      </c>
      <c r="L191" s="104">
        <v>2000</v>
      </c>
      <c r="M191" s="150">
        <v>18.127924710795</v>
      </c>
      <c r="N191" s="66">
        <v>651.71241149572802</v>
      </c>
      <c r="O191" s="111">
        <v>25950.543005802596</v>
      </c>
      <c r="P191" s="111">
        <v>31781.108206879326</v>
      </c>
      <c r="Q191" s="110">
        <v>26619.648426895383</v>
      </c>
      <c r="R191" s="258">
        <v>52570.191432697975</v>
      </c>
      <c r="S191" s="259">
        <v>58400.756633774712</v>
      </c>
      <c r="U191" s="7" t="s">
        <v>1473</v>
      </c>
    </row>
    <row r="192" spans="1:21" ht="16.5" thickBot="1">
      <c r="A192" s="41" t="s">
        <v>31</v>
      </c>
      <c r="B192" s="42">
        <f t="shared" si="9"/>
        <v>75</v>
      </c>
      <c r="C192" s="42" t="s">
        <v>3</v>
      </c>
      <c r="D192" s="42">
        <f t="shared" si="10"/>
        <v>300</v>
      </c>
      <c r="E192" s="42" t="s">
        <v>3</v>
      </c>
      <c r="F192" s="101">
        <f t="shared" si="11"/>
        <v>2050</v>
      </c>
      <c r="G192" s="42" t="s">
        <v>3</v>
      </c>
      <c r="H192" s="39">
        <v>2</v>
      </c>
      <c r="I192" s="40" t="s">
        <v>40</v>
      </c>
      <c r="J192" s="103">
        <v>75</v>
      </c>
      <c r="K192" s="104">
        <v>300</v>
      </c>
      <c r="L192" s="104">
        <v>2050</v>
      </c>
      <c r="M192" s="150">
        <v>18.540517128175001</v>
      </c>
      <c r="N192" s="66">
        <v>671.46127245014407</v>
      </c>
      <c r="O192" s="111">
        <v>26428.902968087557</v>
      </c>
      <c r="P192" s="111">
        <v>32391.295410996281</v>
      </c>
      <c r="Q192" s="110">
        <v>27143.290212895896</v>
      </c>
      <c r="R192" s="258">
        <v>53572.19318098345</v>
      </c>
      <c r="S192" s="259">
        <v>59534.585623892177</v>
      </c>
      <c r="U192" s="7" t="s">
        <v>1474</v>
      </c>
    </row>
    <row r="193" spans="1:21" ht="16.5" thickBot="1">
      <c r="A193" s="38" t="s">
        <v>31</v>
      </c>
      <c r="B193" s="39">
        <f t="shared" si="9"/>
        <v>75</v>
      </c>
      <c r="C193" s="39" t="s">
        <v>3</v>
      </c>
      <c r="D193" s="39">
        <f t="shared" si="10"/>
        <v>300</v>
      </c>
      <c r="E193" s="39" t="s">
        <v>3</v>
      </c>
      <c r="F193" s="101">
        <f t="shared" si="11"/>
        <v>2100</v>
      </c>
      <c r="G193" s="39" t="s">
        <v>3</v>
      </c>
      <c r="H193" s="39">
        <v>2</v>
      </c>
      <c r="I193" s="40" t="s">
        <v>40</v>
      </c>
      <c r="J193" s="103">
        <v>75</v>
      </c>
      <c r="K193" s="104">
        <v>300</v>
      </c>
      <c r="L193" s="104">
        <v>2100</v>
      </c>
      <c r="M193" s="150">
        <v>18.970149545555</v>
      </c>
      <c r="N193" s="66">
        <v>691.21013340456</v>
      </c>
      <c r="O193" s="111">
        <v>26907.262930372519</v>
      </c>
      <c r="P193" s="111">
        <v>33001.482615113237</v>
      </c>
      <c r="Q193" s="110">
        <v>27918.265983651414</v>
      </c>
      <c r="R193" s="258">
        <v>54825.528914023933</v>
      </c>
      <c r="S193" s="259">
        <v>60919.748598764651</v>
      </c>
      <c r="U193" s="7" t="s">
        <v>1475</v>
      </c>
    </row>
    <row r="194" spans="1:21" ht="16.5" thickBot="1">
      <c r="A194" s="41" t="s">
        <v>31</v>
      </c>
      <c r="B194" s="42">
        <f t="shared" si="9"/>
        <v>75</v>
      </c>
      <c r="C194" s="42" t="s">
        <v>3</v>
      </c>
      <c r="D194" s="42">
        <f t="shared" si="10"/>
        <v>300</v>
      </c>
      <c r="E194" s="42" t="s">
        <v>3</v>
      </c>
      <c r="F194" s="101">
        <f t="shared" si="11"/>
        <v>2150</v>
      </c>
      <c r="G194" s="42" t="s">
        <v>3</v>
      </c>
      <c r="H194" s="39">
        <v>2</v>
      </c>
      <c r="I194" s="40" t="s">
        <v>40</v>
      </c>
      <c r="J194" s="103">
        <v>75</v>
      </c>
      <c r="K194" s="104">
        <v>300</v>
      </c>
      <c r="L194" s="104">
        <v>2150</v>
      </c>
      <c r="M194" s="150">
        <v>19.382741962935</v>
      </c>
      <c r="N194" s="66">
        <v>710.95899435897616</v>
      </c>
      <c r="O194" s="111">
        <v>27385.622892657488</v>
      </c>
      <c r="P194" s="111">
        <v>33611.669666201422</v>
      </c>
      <c r="Q194" s="110">
        <v>28441.907769651927</v>
      </c>
      <c r="R194" s="258">
        <v>55827.530662309415</v>
      </c>
      <c r="S194" s="259">
        <v>62053.577435853353</v>
      </c>
      <c r="U194" s="7" t="s">
        <v>1476</v>
      </c>
    </row>
    <row r="195" spans="1:21" ht="16.5" thickBot="1">
      <c r="A195" s="41" t="s">
        <v>31</v>
      </c>
      <c r="B195" s="42">
        <f t="shared" si="9"/>
        <v>75</v>
      </c>
      <c r="C195" s="42" t="s">
        <v>3</v>
      </c>
      <c r="D195" s="42">
        <f t="shared" si="10"/>
        <v>300</v>
      </c>
      <c r="E195" s="42" t="s">
        <v>3</v>
      </c>
      <c r="F195" s="101">
        <f t="shared" si="11"/>
        <v>2200</v>
      </c>
      <c r="G195" s="42" t="s">
        <v>3</v>
      </c>
      <c r="H195" s="39">
        <v>2</v>
      </c>
      <c r="I195" s="40" t="s">
        <v>40</v>
      </c>
      <c r="J195" s="103">
        <v>75</v>
      </c>
      <c r="K195" s="104">
        <v>300</v>
      </c>
      <c r="L195" s="104">
        <v>2200</v>
      </c>
      <c r="M195" s="150">
        <v>19.812374380314999</v>
      </c>
      <c r="N195" s="66">
        <v>730.70785531339209</v>
      </c>
      <c r="O195" s="111">
        <v>27863.982854942449</v>
      </c>
      <c r="P195" s="111">
        <v>34221.856870318377</v>
      </c>
      <c r="Q195" s="110">
        <v>29216.883540407438</v>
      </c>
      <c r="R195" s="258">
        <v>57080.866395349891</v>
      </c>
      <c r="S195" s="259">
        <v>63438.740410725819</v>
      </c>
      <c r="U195" s="7" t="s">
        <v>1477</v>
      </c>
    </row>
    <row r="196" spans="1:21" ht="16.5" thickBot="1">
      <c r="A196" s="41" t="s">
        <v>31</v>
      </c>
      <c r="B196" s="42">
        <f t="shared" si="9"/>
        <v>75</v>
      </c>
      <c r="C196" s="42" t="s">
        <v>3</v>
      </c>
      <c r="D196" s="42">
        <f t="shared" si="10"/>
        <v>300</v>
      </c>
      <c r="E196" s="42" t="s">
        <v>3</v>
      </c>
      <c r="F196" s="101">
        <f t="shared" si="11"/>
        <v>2250</v>
      </c>
      <c r="G196" s="42" t="s">
        <v>3</v>
      </c>
      <c r="H196" s="39">
        <v>2</v>
      </c>
      <c r="I196" s="40" t="s">
        <v>40</v>
      </c>
      <c r="J196" s="103">
        <v>75</v>
      </c>
      <c r="K196" s="104">
        <v>300</v>
      </c>
      <c r="L196" s="104">
        <v>2250</v>
      </c>
      <c r="M196" s="150">
        <v>20.224966797695</v>
      </c>
      <c r="N196" s="66">
        <v>750.45671626780802</v>
      </c>
      <c r="O196" s="111">
        <v>28342.342817227411</v>
      </c>
      <c r="P196" s="111">
        <v>34832.04392140657</v>
      </c>
      <c r="Q196" s="110">
        <v>29740.525173379188</v>
      </c>
      <c r="R196" s="258">
        <v>58082.867990606595</v>
      </c>
      <c r="S196" s="259">
        <v>64572.569094785758</v>
      </c>
      <c r="U196" s="7" t="s">
        <v>1478</v>
      </c>
    </row>
    <row r="197" spans="1:21" ht="16.5" thickBot="1">
      <c r="A197" s="41" t="s">
        <v>31</v>
      </c>
      <c r="B197" s="42">
        <f t="shared" si="9"/>
        <v>75</v>
      </c>
      <c r="C197" s="42" t="s">
        <v>3</v>
      </c>
      <c r="D197" s="42">
        <f t="shared" si="10"/>
        <v>300</v>
      </c>
      <c r="E197" s="42" t="s">
        <v>3</v>
      </c>
      <c r="F197" s="101">
        <f t="shared" si="11"/>
        <v>2300</v>
      </c>
      <c r="G197" s="42" t="s">
        <v>3</v>
      </c>
      <c r="H197" s="39">
        <v>2</v>
      </c>
      <c r="I197" s="40" t="s">
        <v>40</v>
      </c>
      <c r="J197" s="103">
        <v>75</v>
      </c>
      <c r="K197" s="104">
        <v>300</v>
      </c>
      <c r="L197" s="104">
        <v>2300</v>
      </c>
      <c r="M197" s="150">
        <v>20.637559215075001</v>
      </c>
      <c r="N197" s="66">
        <v>770.20557722222406</v>
      </c>
      <c r="O197" s="111">
        <v>28820.702779512372</v>
      </c>
      <c r="P197" s="111">
        <v>35442.231125523525</v>
      </c>
      <c r="Q197" s="110">
        <v>30264.166959379701</v>
      </c>
      <c r="R197" s="258">
        <v>59084.86973889207</v>
      </c>
      <c r="S197" s="259">
        <v>65706.398084903223</v>
      </c>
      <c r="U197" s="7" t="s">
        <v>1479</v>
      </c>
    </row>
    <row r="198" spans="1:21" ht="16.5" thickBot="1">
      <c r="A198" s="41" t="s">
        <v>31</v>
      </c>
      <c r="B198" s="42">
        <f t="shared" si="9"/>
        <v>75</v>
      </c>
      <c r="C198" s="42" t="s">
        <v>3</v>
      </c>
      <c r="D198" s="42">
        <f t="shared" si="10"/>
        <v>300</v>
      </c>
      <c r="E198" s="42" t="s">
        <v>3</v>
      </c>
      <c r="F198" s="101">
        <f t="shared" si="11"/>
        <v>2350</v>
      </c>
      <c r="G198" s="42" t="s">
        <v>3</v>
      </c>
      <c r="H198" s="39">
        <v>2</v>
      </c>
      <c r="I198" s="40" t="s">
        <v>40</v>
      </c>
      <c r="J198" s="103">
        <v>75</v>
      </c>
      <c r="K198" s="104">
        <v>300</v>
      </c>
      <c r="L198" s="104">
        <v>2350</v>
      </c>
      <c r="M198" s="150">
        <v>21.067191632455</v>
      </c>
      <c r="N198" s="66">
        <v>789.95443817664011</v>
      </c>
      <c r="O198" s="111">
        <v>29299.062741797341</v>
      </c>
      <c r="P198" s="111">
        <v>36052.418329640481</v>
      </c>
      <c r="Q198" s="110">
        <v>31039.142730135216</v>
      </c>
      <c r="R198" s="258">
        <v>60338.205471932553</v>
      </c>
      <c r="S198" s="259">
        <v>67091.561059775704</v>
      </c>
      <c r="U198" s="7" t="s">
        <v>1480</v>
      </c>
    </row>
    <row r="199" spans="1:21" ht="16.5" thickBot="1">
      <c r="A199" s="41" t="s">
        <v>31</v>
      </c>
      <c r="B199" s="42">
        <f t="shared" si="9"/>
        <v>75</v>
      </c>
      <c r="C199" s="42" t="s">
        <v>3</v>
      </c>
      <c r="D199" s="42">
        <f t="shared" si="10"/>
        <v>300</v>
      </c>
      <c r="E199" s="42" t="s">
        <v>3</v>
      </c>
      <c r="F199" s="101">
        <f t="shared" si="11"/>
        <v>2400</v>
      </c>
      <c r="G199" s="42" t="s">
        <v>3</v>
      </c>
      <c r="H199" s="39">
        <v>2</v>
      </c>
      <c r="I199" s="40" t="s">
        <v>40</v>
      </c>
      <c r="J199" s="103">
        <v>75</v>
      </c>
      <c r="K199" s="104">
        <v>300</v>
      </c>
      <c r="L199" s="104">
        <v>2400</v>
      </c>
      <c r="M199" s="150">
        <v>21.479784049834997</v>
      </c>
      <c r="N199" s="66">
        <v>809.70329913105604</v>
      </c>
      <c r="O199" s="111">
        <v>29777.422704082303</v>
      </c>
      <c r="P199" s="111">
        <v>36662.605380728673</v>
      </c>
      <c r="Q199" s="110">
        <v>31562.784363106966</v>
      </c>
      <c r="R199" s="258">
        <v>61340.207067189272</v>
      </c>
      <c r="S199" s="259">
        <v>68225.389743835636</v>
      </c>
      <c r="U199" s="7" t="s">
        <v>1481</v>
      </c>
    </row>
    <row r="200" spans="1:21" ht="16.5" thickBot="1">
      <c r="A200" s="41" t="s">
        <v>31</v>
      </c>
      <c r="B200" s="42">
        <f t="shared" si="9"/>
        <v>75</v>
      </c>
      <c r="C200" s="42" t="s">
        <v>3</v>
      </c>
      <c r="D200" s="42">
        <f t="shared" si="10"/>
        <v>300</v>
      </c>
      <c r="E200" s="42" t="s">
        <v>3</v>
      </c>
      <c r="F200" s="101">
        <f t="shared" si="11"/>
        <v>2450</v>
      </c>
      <c r="G200" s="42" t="s">
        <v>3</v>
      </c>
      <c r="H200" s="39">
        <v>2</v>
      </c>
      <c r="I200" s="40" t="s">
        <v>40</v>
      </c>
      <c r="J200" s="103">
        <v>75</v>
      </c>
      <c r="K200" s="104">
        <v>300</v>
      </c>
      <c r="L200" s="104">
        <v>2450</v>
      </c>
      <c r="M200" s="150">
        <v>22.053981360014998</v>
      </c>
      <c r="N200" s="66">
        <v>829.45216008547197</v>
      </c>
      <c r="O200" s="111">
        <v>30995.50826107624</v>
      </c>
      <c r="P200" s="111">
        <v>37920.716682442406</v>
      </c>
      <c r="Q200" s="110">
        <v>32337.760286891244</v>
      </c>
      <c r="R200" s="258">
        <v>63333.268547967484</v>
      </c>
      <c r="S200" s="259">
        <v>70258.476969333657</v>
      </c>
      <c r="U200" s="7" t="s">
        <v>1482</v>
      </c>
    </row>
    <row r="201" spans="1:21" ht="16.5" thickBot="1">
      <c r="A201" s="41" t="s">
        <v>31</v>
      </c>
      <c r="B201" s="42">
        <f t="shared" si="9"/>
        <v>75</v>
      </c>
      <c r="C201" s="42" t="s">
        <v>3</v>
      </c>
      <c r="D201" s="42">
        <f t="shared" si="10"/>
        <v>300</v>
      </c>
      <c r="E201" s="42" t="s">
        <v>3</v>
      </c>
      <c r="F201" s="101">
        <f t="shared" si="11"/>
        <v>2500</v>
      </c>
      <c r="G201" s="42" t="s">
        <v>3</v>
      </c>
      <c r="H201" s="39">
        <v>2</v>
      </c>
      <c r="I201" s="40" t="s">
        <v>40</v>
      </c>
      <c r="J201" s="103">
        <v>75</v>
      </c>
      <c r="K201" s="104">
        <v>300</v>
      </c>
      <c r="L201" s="104">
        <v>2500</v>
      </c>
      <c r="M201" s="150">
        <v>22.466573777395002</v>
      </c>
      <c r="N201" s="66">
        <v>849.20102103988802</v>
      </c>
      <c r="O201" s="111">
        <v>31473.868223361202</v>
      </c>
      <c r="P201" s="111">
        <v>38530.903733530598</v>
      </c>
      <c r="Q201" s="110">
        <v>32861.40191986299</v>
      </c>
      <c r="R201" s="258">
        <v>64335.270143224188</v>
      </c>
      <c r="S201" s="259">
        <v>71392.305653393589</v>
      </c>
      <c r="U201" s="7" t="s">
        <v>1483</v>
      </c>
    </row>
    <row r="202" spans="1:21" ht="16.5" thickBot="1">
      <c r="A202" s="41" t="s">
        <v>31</v>
      </c>
      <c r="B202" s="42">
        <f t="shared" si="9"/>
        <v>75</v>
      </c>
      <c r="C202" s="42" t="s">
        <v>3</v>
      </c>
      <c r="D202" s="42">
        <f t="shared" si="10"/>
        <v>300</v>
      </c>
      <c r="E202" s="42" t="s">
        <v>3</v>
      </c>
      <c r="F202" s="101">
        <f t="shared" si="11"/>
        <v>2550</v>
      </c>
      <c r="G202" s="42" t="s">
        <v>3</v>
      </c>
      <c r="H202" s="39">
        <v>2</v>
      </c>
      <c r="I202" s="40" t="s">
        <v>40</v>
      </c>
      <c r="J202" s="103">
        <v>75</v>
      </c>
      <c r="K202" s="104">
        <v>300</v>
      </c>
      <c r="L202" s="104">
        <v>2550</v>
      </c>
      <c r="M202" s="150">
        <v>22.896206194775001</v>
      </c>
      <c r="N202" s="66">
        <v>868.94988199430418</v>
      </c>
      <c r="O202" s="111">
        <v>31952.228185646163</v>
      </c>
      <c r="P202" s="111">
        <v>39141.090937647554</v>
      </c>
      <c r="Q202" s="110">
        <v>33636.377843647271</v>
      </c>
      <c r="R202" s="258">
        <v>65588.606029293442</v>
      </c>
      <c r="S202" s="259">
        <v>72777.468781294825</v>
      </c>
      <c r="U202" s="7" t="s">
        <v>1484</v>
      </c>
    </row>
    <row r="203" spans="1:21" ht="16.5" thickBot="1">
      <c r="A203" s="38" t="s">
        <v>31</v>
      </c>
      <c r="B203" s="39">
        <f t="shared" si="9"/>
        <v>75</v>
      </c>
      <c r="C203" s="39" t="s">
        <v>3</v>
      </c>
      <c r="D203" s="39">
        <f t="shared" si="10"/>
        <v>300</v>
      </c>
      <c r="E203" s="39" t="s">
        <v>3</v>
      </c>
      <c r="F203" s="101">
        <f t="shared" si="11"/>
        <v>2600</v>
      </c>
      <c r="G203" s="39" t="s">
        <v>3</v>
      </c>
      <c r="H203" s="39">
        <v>2</v>
      </c>
      <c r="I203" s="40" t="s">
        <v>40</v>
      </c>
      <c r="J203" s="103">
        <v>75</v>
      </c>
      <c r="K203" s="104">
        <v>300</v>
      </c>
      <c r="L203" s="104">
        <v>2600</v>
      </c>
      <c r="M203" s="150">
        <v>23.308798612155002</v>
      </c>
      <c r="N203" s="66">
        <v>888.69874294872022</v>
      </c>
      <c r="O203" s="111">
        <v>32430.588147931132</v>
      </c>
      <c r="P203" s="111">
        <v>39751.278141764509</v>
      </c>
      <c r="Q203" s="110">
        <v>34160.019476619018</v>
      </c>
      <c r="R203" s="258">
        <v>66590.607624550146</v>
      </c>
      <c r="S203" s="259">
        <v>73911.297618383527</v>
      </c>
      <c r="U203" s="7" t="s">
        <v>1485</v>
      </c>
    </row>
    <row r="204" spans="1:21" ht="16.5" thickBot="1">
      <c r="A204" s="41" t="s">
        <v>31</v>
      </c>
      <c r="B204" s="42">
        <f t="shared" si="9"/>
        <v>75</v>
      </c>
      <c r="C204" s="42" t="s">
        <v>3</v>
      </c>
      <c r="D204" s="42">
        <f t="shared" si="10"/>
        <v>300</v>
      </c>
      <c r="E204" s="42" t="s">
        <v>3</v>
      </c>
      <c r="F204" s="101">
        <f t="shared" si="11"/>
        <v>2650</v>
      </c>
      <c r="G204" s="42" t="s">
        <v>3</v>
      </c>
      <c r="H204" s="39">
        <v>2</v>
      </c>
      <c r="I204" s="40" t="s">
        <v>40</v>
      </c>
      <c r="J204" s="103">
        <v>75</v>
      </c>
      <c r="K204" s="104">
        <v>300</v>
      </c>
      <c r="L204" s="104">
        <v>2650</v>
      </c>
      <c r="M204" s="150">
        <v>23.738431029535001</v>
      </c>
      <c r="N204" s="66">
        <v>908.44760390313604</v>
      </c>
      <c r="O204" s="111">
        <v>32908.948110216093</v>
      </c>
      <c r="P204" s="111">
        <v>40361.465192852702</v>
      </c>
      <c r="Q204" s="110">
        <v>34934.995247374536</v>
      </c>
      <c r="R204" s="258">
        <v>67843.94335759063</v>
      </c>
      <c r="S204" s="259">
        <v>75296.460440227238</v>
      </c>
      <c r="U204" s="7" t="s">
        <v>1486</v>
      </c>
    </row>
    <row r="205" spans="1:21" ht="16.5" thickBot="1">
      <c r="A205" s="41" t="s">
        <v>31</v>
      </c>
      <c r="B205" s="42">
        <f t="shared" si="9"/>
        <v>75</v>
      </c>
      <c r="C205" s="42" t="s">
        <v>3</v>
      </c>
      <c r="D205" s="42">
        <f t="shared" si="10"/>
        <v>300</v>
      </c>
      <c r="E205" s="42" t="s">
        <v>3</v>
      </c>
      <c r="F205" s="101">
        <f t="shared" si="11"/>
        <v>2700</v>
      </c>
      <c r="G205" s="42" t="s">
        <v>3</v>
      </c>
      <c r="H205" s="39">
        <v>2</v>
      </c>
      <c r="I205" s="40" t="s">
        <v>40</v>
      </c>
      <c r="J205" s="103">
        <v>75</v>
      </c>
      <c r="K205" s="104">
        <v>300</v>
      </c>
      <c r="L205" s="104">
        <v>2700</v>
      </c>
      <c r="M205" s="150">
        <v>24.190273446915</v>
      </c>
      <c r="N205" s="66">
        <v>928.19646485755209</v>
      </c>
      <c r="O205" s="111">
        <v>33437.308385160468</v>
      </c>
      <c r="P205" s="111">
        <v>41020.12854312842</v>
      </c>
      <c r="Q205" s="110">
        <v>35458.637033375046</v>
      </c>
      <c r="R205" s="258">
        <v>68895.945418535513</v>
      </c>
      <c r="S205" s="259">
        <v>76478.765576503472</v>
      </c>
      <c r="U205" s="7" t="s">
        <v>1487</v>
      </c>
    </row>
    <row r="206" spans="1:21" ht="16.5" thickBot="1">
      <c r="A206" s="41" t="s">
        <v>31</v>
      </c>
      <c r="B206" s="42">
        <f t="shared" si="9"/>
        <v>75</v>
      </c>
      <c r="C206" s="42" t="s">
        <v>3</v>
      </c>
      <c r="D206" s="42">
        <f t="shared" si="10"/>
        <v>300</v>
      </c>
      <c r="E206" s="42" t="s">
        <v>3</v>
      </c>
      <c r="F206" s="101">
        <f t="shared" si="11"/>
        <v>2750</v>
      </c>
      <c r="G206" s="42" t="s">
        <v>3</v>
      </c>
      <c r="H206" s="39">
        <v>2</v>
      </c>
      <c r="I206" s="40" t="s">
        <v>40</v>
      </c>
      <c r="J206" s="103">
        <v>75</v>
      </c>
      <c r="K206" s="104">
        <v>300</v>
      </c>
      <c r="L206" s="104">
        <v>2750</v>
      </c>
      <c r="M206" s="150">
        <v>24.602865864295001</v>
      </c>
      <c r="N206" s="66">
        <v>947.94532581196813</v>
      </c>
      <c r="O206" s="111">
        <v>33915.668347445433</v>
      </c>
      <c r="P206" s="111">
        <v>41630.315747245375</v>
      </c>
      <c r="Q206" s="110">
        <v>35982.278666346792</v>
      </c>
      <c r="R206" s="258">
        <v>69897.947013792233</v>
      </c>
      <c r="S206" s="259">
        <v>77612.59441359216</v>
      </c>
      <c r="U206" s="7" t="s">
        <v>1488</v>
      </c>
    </row>
    <row r="207" spans="1:21" ht="16.5" thickBot="1">
      <c r="A207" s="41" t="s">
        <v>31</v>
      </c>
      <c r="B207" s="42">
        <f t="shared" si="9"/>
        <v>75</v>
      </c>
      <c r="C207" s="42" t="s">
        <v>3</v>
      </c>
      <c r="D207" s="42">
        <f t="shared" si="10"/>
        <v>300</v>
      </c>
      <c r="E207" s="42" t="s">
        <v>3</v>
      </c>
      <c r="F207" s="101">
        <f t="shared" si="11"/>
        <v>2800</v>
      </c>
      <c r="G207" s="42" t="s">
        <v>3</v>
      </c>
      <c r="H207" s="39">
        <v>2</v>
      </c>
      <c r="I207" s="40" t="s">
        <v>40</v>
      </c>
      <c r="J207" s="103">
        <v>75</v>
      </c>
      <c r="K207" s="104">
        <v>300</v>
      </c>
      <c r="L207" s="104">
        <v>2800</v>
      </c>
      <c r="M207" s="150">
        <v>25.032498281675004</v>
      </c>
      <c r="N207" s="66">
        <v>967.69418676638395</v>
      </c>
      <c r="O207" s="111">
        <v>34394.028309730398</v>
      </c>
      <c r="P207" s="111">
        <v>42240.50295136233</v>
      </c>
      <c r="Q207" s="110">
        <v>36757.25443710231</v>
      </c>
      <c r="R207" s="258">
        <v>71151.282746832701</v>
      </c>
      <c r="S207" s="259">
        <v>78997.757388464641</v>
      </c>
      <c r="U207" s="7" t="s">
        <v>1489</v>
      </c>
    </row>
    <row r="208" spans="1:21" ht="16.5" thickBot="1">
      <c r="A208" s="41" t="s">
        <v>31</v>
      </c>
      <c r="B208" s="42">
        <f t="shared" si="9"/>
        <v>75</v>
      </c>
      <c r="C208" s="42" t="s">
        <v>3</v>
      </c>
      <c r="D208" s="42">
        <f t="shared" si="10"/>
        <v>300</v>
      </c>
      <c r="E208" s="42" t="s">
        <v>3</v>
      </c>
      <c r="F208" s="101">
        <f t="shared" si="11"/>
        <v>2850</v>
      </c>
      <c r="G208" s="42" t="s">
        <v>3</v>
      </c>
      <c r="H208" s="39">
        <v>2</v>
      </c>
      <c r="I208" s="40" t="s">
        <v>40</v>
      </c>
      <c r="J208" s="103">
        <v>75</v>
      </c>
      <c r="K208" s="104">
        <v>300</v>
      </c>
      <c r="L208" s="104">
        <v>2850</v>
      </c>
      <c r="M208" s="150">
        <v>25.445090699055001</v>
      </c>
      <c r="N208" s="66">
        <v>987.4430477208</v>
      </c>
      <c r="O208" s="111">
        <v>34872.388272015363</v>
      </c>
      <c r="P208" s="111">
        <v>42850.690002450523</v>
      </c>
      <c r="Q208" s="110">
        <v>37280.89622310282</v>
      </c>
      <c r="R208" s="258">
        <v>72153.284495118191</v>
      </c>
      <c r="S208" s="259">
        <v>80131.586225553343</v>
      </c>
      <c r="U208" s="7" t="s">
        <v>1490</v>
      </c>
    </row>
    <row r="209" spans="1:21" ht="16.5" thickBot="1">
      <c r="A209" s="41" t="s">
        <v>31</v>
      </c>
      <c r="B209" s="42">
        <f t="shared" si="9"/>
        <v>75</v>
      </c>
      <c r="C209" s="42" t="s">
        <v>3</v>
      </c>
      <c r="D209" s="42">
        <f t="shared" si="10"/>
        <v>300</v>
      </c>
      <c r="E209" s="42" t="s">
        <v>3</v>
      </c>
      <c r="F209" s="101">
        <f t="shared" si="11"/>
        <v>2900</v>
      </c>
      <c r="G209" s="42" t="s">
        <v>3</v>
      </c>
      <c r="H209" s="39">
        <v>2</v>
      </c>
      <c r="I209" s="40" t="s">
        <v>40</v>
      </c>
      <c r="J209" s="103">
        <v>75</v>
      </c>
      <c r="K209" s="104">
        <v>300</v>
      </c>
      <c r="L209" s="104">
        <v>2900</v>
      </c>
      <c r="M209" s="150">
        <v>25.874723116435</v>
      </c>
      <c r="N209" s="66">
        <v>1007.191908675216</v>
      </c>
      <c r="O209" s="111">
        <v>35350.748234300321</v>
      </c>
      <c r="P209" s="111">
        <v>43460.877206567478</v>
      </c>
      <c r="Q209" s="110">
        <v>38055.871993858338</v>
      </c>
      <c r="R209" s="258">
        <v>73406.620228158659</v>
      </c>
      <c r="S209" s="259">
        <v>81516.749200425809</v>
      </c>
      <c r="U209" s="7" t="s">
        <v>1491</v>
      </c>
    </row>
    <row r="210" spans="1:21" ht="16.5" thickBot="1">
      <c r="A210" s="41" t="s">
        <v>31</v>
      </c>
      <c r="B210" s="42">
        <f t="shared" si="9"/>
        <v>75</v>
      </c>
      <c r="C210" s="42" t="s">
        <v>3</v>
      </c>
      <c r="D210" s="42">
        <f t="shared" si="10"/>
        <v>300</v>
      </c>
      <c r="E210" s="42" t="s">
        <v>3</v>
      </c>
      <c r="F210" s="101">
        <f t="shared" si="11"/>
        <v>2950</v>
      </c>
      <c r="G210" s="42" t="s">
        <v>3</v>
      </c>
      <c r="H210" s="39">
        <v>2</v>
      </c>
      <c r="I210" s="40" t="s">
        <v>40</v>
      </c>
      <c r="J210" s="103">
        <v>75</v>
      </c>
      <c r="K210" s="104">
        <v>300</v>
      </c>
      <c r="L210" s="104">
        <v>2950</v>
      </c>
      <c r="M210" s="150">
        <v>26.287315533814997</v>
      </c>
      <c r="N210" s="66">
        <v>1026.9407696296321</v>
      </c>
      <c r="O210" s="111">
        <v>35829.108196585286</v>
      </c>
      <c r="P210" s="111">
        <v>44071.064410684434</v>
      </c>
      <c r="Q210" s="110">
        <v>38579.513779858848</v>
      </c>
      <c r="R210" s="258">
        <v>74408.621976444134</v>
      </c>
      <c r="S210" s="259">
        <v>82650.578190543281</v>
      </c>
      <c r="U210" s="7" t="s">
        <v>1492</v>
      </c>
    </row>
    <row r="211" spans="1:21" ht="16.5" thickBot="1">
      <c r="A211" s="43" t="s">
        <v>31</v>
      </c>
      <c r="B211" s="44">
        <f t="shared" si="9"/>
        <v>75</v>
      </c>
      <c r="C211" s="44" t="s">
        <v>3</v>
      </c>
      <c r="D211" s="44">
        <f t="shared" si="10"/>
        <v>300</v>
      </c>
      <c r="E211" s="44" t="s">
        <v>3</v>
      </c>
      <c r="F211" s="102">
        <f t="shared" si="11"/>
        <v>3000</v>
      </c>
      <c r="G211" s="44" t="s">
        <v>3</v>
      </c>
      <c r="H211" s="46">
        <v>2</v>
      </c>
      <c r="I211" s="45" t="s">
        <v>40</v>
      </c>
      <c r="J211" s="125">
        <v>75</v>
      </c>
      <c r="K211" s="134">
        <v>300</v>
      </c>
      <c r="L211" s="134">
        <v>3000</v>
      </c>
      <c r="M211" s="152">
        <v>26.716947951195003</v>
      </c>
      <c r="N211" s="126">
        <v>1046.689630584048</v>
      </c>
      <c r="O211" s="135">
        <v>36307.468158870252</v>
      </c>
      <c r="P211" s="135">
        <v>44681.251461772619</v>
      </c>
      <c r="Q211" s="136">
        <v>39354.489550614366</v>
      </c>
      <c r="R211" s="260">
        <v>75661.957709484617</v>
      </c>
      <c r="S211" s="261">
        <v>84035.741012386978</v>
      </c>
      <c r="U211" s="7" t="s">
        <v>1493</v>
      </c>
    </row>
    <row r="212" spans="1:21" ht="16.5" thickBot="1">
      <c r="A212" s="2974" t="s">
        <v>113</v>
      </c>
      <c r="B212" s="2975"/>
      <c r="C212" s="2975"/>
      <c r="D212" s="2975"/>
      <c r="E212" s="2975"/>
      <c r="F212" s="2975"/>
      <c r="G212" s="2975"/>
      <c r="H212" s="2975"/>
      <c r="I212" s="2975"/>
      <c r="J212" s="2975"/>
      <c r="K212" s="2975"/>
      <c r="L212" s="2975"/>
      <c r="M212" s="2975"/>
      <c r="N212" s="2975"/>
      <c r="O212" s="2975"/>
      <c r="P212" s="2975"/>
      <c r="Q212" s="2975"/>
      <c r="R212" s="2975"/>
      <c r="S212" s="2976"/>
      <c r="U212" s="7"/>
    </row>
    <row r="213" spans="1:21" ht="16.5" thickBot="1">
      <c r="A213" s="38" t="s">
        <v>31</v>
      </c>
      <c r="B213" s="39">
        <f>J213</f>
        <v>75</v>
      </c>
      <c r="C213" s="39" t="s">
        <v>3</v>
      </c>
      <c r="D213" s="39">
        <f>K213</f>
        <v>300</v>
      </c>
      <c r="E213" s="39" t="s">
        <v>3</v>
      </c>
      <c r="F213" s="101">
        <f>L213</f>
        <v>600</v>
      </c>
      <c r="G213" s="39" t="s">
        <v>3</v>
      </c>
      <c r="H213" s="39">
        <v>4</v>
      </c>
      <c r="I213" s="40" t="s">
        <v>40</v>
      </c>
      <c r="J213" s="121">
        <v>75</v>
      </c>
      <c r="K213" s="138">
        <v>300</v>
      </c>
      <c r="L213" s="138">
        <v>600</v>
      </c>
      <c r="M213" s="147">
        <v>6.56374351901</v>
      </c>
      <c r="N213" s="122">
        <v>132.24</v>
      </c>
      <c r="O213" s="148">
        <v>14026.906753896179</v>
      </c>
      <c r="P213" s="148">
        <v>16129.937306782229</v>
      </c>
      <c r="Q213" s="139">
        <v>8941.6715199935952</v>
      </c>
      <c r="R213" s="256">
        <v>22968.578273889776</v>
      </c>
      <c r="S213" s="257">
        <v>25071.608826775824</v>
      </c>
      <c r="U213" s="7" t="s">
        <v>1494</v>
      </c>
    </row>
    <row r="214" spans="1:21" ht="16.5" thickBot="1">
      <c r="A214" s="41" t="s">
        <v>31</v>
      </c>
      <c r="B214" s="42">
        <f t="shared" ref="B214:B261" si="12">J214</f>
        <v>75</v>
      </c>
      <c r="C214" s="42" t="s">
        <v>3</v>
      </c>
      <c r="D214" s="42">
        <f t="shared" ref="D214:D261" si="13">K214</f>
        <v>300</v>
      </c>
      <c r="E214" s="42" t="s">
        <v>3</v>
      </c>
      <c r="F214" s="101">
        <f t="shared" ref="F214:F261" si="14">L214</f>
        <v>650</v>
      </c>
      <c r="G214" s="42" t="s">
        <v>3</v>
      </c>
      <c r="H214" s="39">
        <v>4</v>
      </c>
      <c r="I214" s="40" t="s">
        <v>40</v>
      </c>
      <c r="J214" s="103">
        <v>75</v>
      </c>
      <c r="K214" s="104">
        <v>300</v>
      </c>
      <c r="L214" s="104">
        <v>650</v>
      </c>
      <c r="M214" s="150">
        <v>7.04295832627</v>
      </c>
      <c r="N214" s="66">
        <v>158.68800000000002</v>
      </c>
      <c r="O214" s="111">
        <v>14731.866355571463</v>
      </c>
      <c r="P214" s="111">
        <v>16961.816211734418</v>
      </c>
      <c r="Q214" s="110">
        <v>9465.3131529653438</v>
      </c>
      <c r="R214" s="258">
        <v>24197.179508536807</v>
      </c>
      <c r="S214" s="259">
        <v>26427.129364699762</v>
      </c>
      <c r="U214" s="7" t="s">
        <v>1495</v>
      </c>
    </row>
    <row r="215" spans="1:21" ht="16.5" thickBot="1">
      <c r="A215" s="41" t="s">
        <v>31</v>
      </c>
      <c r="B215" s="42">
        <f t="shared" si="12"/>
        <v>75</v>
      </c>
      <c r="C215" s="42" t="s">
        <v>3</v>
      </c>
      <c r="D215" s="42">
        <f t="shared" si="13"/>
        <v>300</v>
      </c>
      <c r="E215" s="42" t="s">
        <v>3</v>
      </c>
      <c r="F215" s="101">
        <f t="shared" si="14"/>
        <v>700</v>
      </c>
      <c r="G215" s="42" t="s">
        <v>3</v>
      </c>
      <c r="H215" s="39">
        <v>4</v>
      </c>
      <c r="I215" s="40" t="s">
        <v>40</v>
      </c>
      <c r="J215" s="103">
        <v>75</v>
      </c>
      <c r="K215" s="104">
        <v>300</v>
      </c>
      <c r="L215" s="104">
        <v>700</v>
      </c>
      <c r="M215" s="150">
        <v>7.5392131335299988</v>
      </c>
      <c r="N215" s="66">
        <v>185.136</v>
      </c>
      <c r="O215" s="111">
        <v>15436.825804217984</v>
      </c>
      <c r="P215" s="111">
        <v>17793.695116686606</v>
      </c>
      <c r="Q215" s="110">
        <v>10240.289076749623</v>
      </c>
      <c r="R215" s="258">
        <v>25677.114880967609</v>
      </c>
      <c r="S215" s="259">
        <v>28033.984193436227</v>
      </c>
      <c r="U215" s="7" t="s">
        <v>1496</v>
      </c>
    </row>
    <row r="216" spans="1:21" ht="16.5" thickBot="1">
      <c r="A216" s="41" t="s">
        <v>31</v>
      </c>
      <c r="B216" s="42">
        <f t="shared" si="12"/>
        <v>75</v>
      </c>
      <c r="C216" s="42" t="s">
        <v>3</v>
      </c>
      <c r="D216" s="42">
        <f t="shared" si="13"/>
        <v>300</v>
      </c>
      <c r="E216" s="42" t="s">
        <v>3</v>
      </c>
      <c r="F216" s="101">
        <f t="shared" si="14"/>
        <v>750</v>
      </c>
      <c r="G216" s="42" t="s">
        <v>3</v>
      </c>
      <c r="H216" s="39">
        <v>4</v>
      </c>
      <c r="I216" s="40" t="s">
        <v>40</v>
      </c>
      <c r="J216" s="103">
        <v>75</v>
      </c>
      <c r="K216" s="104">
        <v>300</v>
      </c>
      <c r="L216" s="104">
        <v>750</v>
      </c>
      <c r="M216" s="150">
        <v>8.0184279407899997</v>
      </c>
      <c r="N216" s="66">
        <v>211.58399999999997</v>
      </c>
      <c r="O216" s="111">
        <v>16141.785405893268</v>
      </c>
      <c r="P216" s="111">
        <v>18625.573868610027</v>
      </c>
      <c r="Q216" s="110">
        <v>10763.930709721371</v>
      </c>
      <c r="R216" s="258">
        <v>26905.716115614639</v>
      </c>
      <c r="S216" s="259">
        <v>29389.504578331398</v>
      </c>
      <c r="U216" s="7" t="s">
        <v>1497</v>
      </c>
    </row>
    <row r="217" spans="1:21" ht="16.5" thickBot="1">
      <c r="A217" s="41" t="s">
        <v>31</v>
      </c>
      <c r="B217" s="42">
        <f t="shared" si="12"/>
        <v>75</v>
      </c>
      <c r="C217" s="42" t="s">
        <v>3</v>
      </c>
      <c r="D217" s="42">
        <f t="shared" si="13"/>
        <v>300</v>
      </c>
      <c r="E217" s="42" t="s">
        <v>3</v>
      </c>
      <c r="F217" s="101">
        <f t="shared" si="14"/>
        <v>800</v>
      </c>
      <c r="G217" s="42" t="s">
        <v>3</v>
      </c>
      <c r="H217" s="39">
        <v>4</v>
      </c>
      <c r="I217" s="40" t="s">
        <v>40</v>
      </c>
      <c r="J217" s="103">
        <v>75</v>
      </c>
      <c r="K217" s="104">
        <v>300</v>
      </c>
      <c r="L217" s="104">
        <v>800</v>
      </c>
      <c r="M217" s="150">
        <v>8.4976427480499996</v>
      </c>
      <c r="N217" s="66">
        <v>238.03200000000001</v>
      </c>
      <c r="O217" s="111">
        <v>16846.745007568552</v>
      </c>
      <c r="P217" s="111">
        <v>19457.452773562214</v>
      </c>
      <c r="Q217" s="110">
        <v>11287.572342693116</v>
      </c>
      <c r="R217" s="258">
        <v>28134.31735026167</v>
      </c>
      <c r="S217" s="259">
        <v>30745.025116255332</v>
      </c>
      <c r="U217" s="7" t="s">
        <v>1498</v>
      </c>
    </row>
    <row r="218" spans="1:21" ht="16.5" thickBot="1">
      <c r="A218" s="41" t="s">
        <v>31</v>
      </c>
      <c r="B218" s="42">
        <f t="shared" si="12"/>
        <v>75</v>
      </c>
      <c r="C218" s="42" t="s">
        <v>3</v>
      </c>
      <c r="D218" s="42">
        <f t="shared" si="13"/>
        <v>300</v>
      </c>
      <c r="E218" s="42" t="s">
        <v>3</v>
      </c>
      <c r="F218" s="101">
        <f t="shared" si="14"/>
        <v>850</v>
      </c>
      <c r="G218" s="42" t="s">
        <v>3</v>
      </c>
      <c r="H218" s="39">
        <v>4</v>
      </c>
      <c r="I218" s="40" t="s">
        <v>40</v>
      </c>
      <c r="J218" s="103">
        <v>75</v>
      </c>
      <c r="K218" s="104">
        <v>300</v>
      </c>
      <c r="L218" s="104">
        <v>850</v>
      </c>
      <c r="M218" s="150">
        <v>8.9938975553099993</v>
      </c>
      <c r="N218" s="66">
        <v>264.48</v>
      </c>
      <c r="O218" s="111">
        <v>17551.704609243836</v>
      </c>
      <c r="P218" s="111">
        <v>20289.331678514402</v>
      </c>
      <c r="Q218" s="110">
        <v>12062.548266477399</v>
      </c>
      <c r="R218" s="258">
        <v>29614.252875721235</v>
      </c>
      <c r="S218" s="259">
        <v>32351.879944991801</v>
      </c>
      <c r="U218" s="7" t="s">
        <v>1499</v>
      </c>
    </row>
    <row r="219" spans="1:21" ht="16.5" thickBot="1">
      <c r="A219" s="41" t="s">
        <v>31</v>
      </c>
      <c r="B219" s="42">
        <f t="shared" si="12"/>
        <v>75</v>
      </c>
      <c r="C219" s="42" t="s">
        <v>3</v>
      </c>
      <c r="D219" s="42">
        <f t="shared" si="13"/>
        <v>300</v>
      </c>
      <c r="E219" s="42" t="s">
        <v>3</v>
      </c>
      <c r="F219" s="101">
        <f t="shared" si="14"/>
        <v>900</v>
      </c>
      <c r="G219" s="42" t="s">
        <v>3</v>
      </c>
      <c r="H219" s="39">
        <v>4</v>
      </c>
      <c r="I219" s="40" t="s">
        <v>40</v>
      </c>
      <c r="J219" s="103">
        <v>75</v>
      </c>
      <c r="K219" s="104">
        <v>300</v>
      </c>
      <c r="L219" s="104">
        <v>900</v>
      </c>
      <c r="M219" s="150">
        <v>9.4731123625699993</v>
      </c>
      <c r="N219" s="66">
        <v>290.928</v>
      </c>
      <c r="O219" s="111">
        <v>18256.664057890353</v>
      </c>
      <c r="P219" s="111">
        <v>21121.210583466585</v>
      </c>
      <c r="Q219" s="110">
        <v>12586.189899449146</v>
      </c>
      <c r="R219" s="258">
        <v>30842.853957339499</v>
      </c>
      <c r="S219" s="259">
        <v>33707.400482915735</v>
      </c>
      <c r="U219" s="7" t="s">
        <v>1500</v>
      </c>
    </row>
    <row r="220" spans="1:21" ht="16.5" thickBot="1">
      <c r="A220" s="41" t="s">
        <v>31</v>
      </c>
      <c r="B220" s="42">
        <f t="shared" si="12"/>
        <v>75</v>
      </c>
      <c r="C220" s="42" t="s">
        <v>3</v>
      </c>
      <c r="D220" s="42">
        <f t="shared" si="13"/>
        <v>300</v>
      </c>
      <c r="E220" s="42" t="s">
        <v>3</v>
      </c>
      <c r="F220" s="101">
        <f t="shared" si="14"/>
        <v>950</v>
      </c>
      <c r="G220" s="42" t="s">
        <v>3</v>
      </c>
      <c r="H220" s="39">
        <v>4</v>
      </c>
      <c r="I220" s="40" t="s">
        <v>40</v>
      </c>
      <c r="J220" s="103">
        <v>75</v>
      </c>
      <c r="K220" s="104">
        <v>300</v>
      </c>
      <c r="L220" s="104">
        <v>950</v>
      </c>
      <c r="M220" s="150">
        <v>9.969367169829999</v>
      </c>
      <c r="N220" s="66">
        <v>317.37600000000003</v>
      </c>
      <c r="O220" s="111">
        <v>18961.623659565637</v>
      </c>
      <c r="P220" s="111">
        <v>21953.089488418773</v>
      </c>
      <c r="Q220" s="110">
        <v>13361.165670204662</v>
      </c>
      <c r="R220" s="258">
        <v>32322.789329770298</v>
      </c>
      <c r="S220" s="259">
        <v>35314.255158623433</v>
      </c>
      <c r="U220" s="7" t="s">
        <v>1501</v>
      </c>
    </row>
    <row r="221" spans="1:21" ht="16.5" thickBot="1">
      <c r="A221" s="41" t="s">
        <v>31</v>
      </c>
      <c r="B221" s="42">
        <f t="shared" si="12"/>
        <v>75</v>
      </c>
      <c r="C221" s="42" t="s">
        <v>3</v>
      </c>
      <c r="D221" s="42">
        <f t="shared" si="13"/>
        <v>300</v>
      </c>
      <c r="E221" s="42" t="s">
        <v>3</v>
      </c>
      <c r="F221" s="101">
        <f t="shared" si="14"/>
        <v>1000</v>
      </c>
      <c r="G221" s="42" t="s">
        <v>3</v>
      </c>
      <c r="H221" s="39">
        <v>4</v>
      </c>
      <c r="I221" s="40" t="s">
        <v>40</v>
      </c>
      <c r="J221" s="103">
        <v>75</v>
      </c>
      <c r="K221" s="104">
        <v>300</v>
      </c>
      <c r="L221" s="104">
        <v>1000</v>
      </c>
      <c r="M221" s="150">
        <v>10.448581977090001</v>
      </c>
      <c r="N221" s="66">
        <v>343.82399999999996</v>
      </c>
      <c r="O221" s="111">
        <v>19666.583261240925</v>
      </c>
      <c r="P221" s="111">
        <v>22784.96839337096</v>
      </c>
      <c r="Q221" s="110">
        <v>13884.807456205173</v>
      </c>
      <c r="R221" s="258">
        <v>33551.390717446098</v>
      </c>
      <c r="S221" s="259">
        <v>36669.775849576137</v>
      </c>
      <c r="U221" s="7" t="s">
        <v>1502</v>
      </c>
    </row>
    <row r="222" spans="1:21" ht="16.5" thickBot="1">
      <c r="A222" s="41" t="s">
        <v>31</v>
      </c>
      <c r="B222" s="42">
        <f t="shared" si="12"/>
        <v>75</v>
      </c>
      <c r="C222" s="42" t="s">
        <v>3</v>
      </c>
      <c r="D222" s="42">
        <f t="shared" si="13"/>
        <v>300</v>
      </c>
      <c r="E222" s="42" t="s">
        <v>3</v>
      </c>
      <c r="F222" s="101">
        <f t="shared" si="14"/>
        <v>1050</v>
      </c>
      <c r="G222" s="42" t="s">
        <v>3</v>
      </c>
      <c r="H222" s="39">
        <v>4</v>
      </c>
      <c r="I222" s="40" t="s">
        <v>40</v>
      </c>
      <c r="J222" s="103">
        <v>75</v>
      </c>
      <c r="K222" s="104">
        <v>300</v>
      </c>
      <c r="L222" s="104">
        <v>1050</v>
      </c>
      <c r="M222" s="150">
        <v>10.944836784349999</v>
      </c>
      <c r="N222" s="66">
        <v>370.27199999999999</v>
      </c>
      <c r="O222" s="111">
        <v>20371.542862916209</v>
      </c>
      <c r="P222" s="111">
        <v>23616.847298323148</v>
      </c>
      <c r="Q222" s="110">
        <v>14659.78322696069</v>
      </c>
      <c r="R222" s="258">
        <v>35031.3260898769</v>
      </c>
      <c r="S222" s="259">
        <v>38276.630525283836</v>
      </c>
      <c r="U222" s="7" t="s">
        <v>1503</v>
      </c>
    </row>
    <row r="223" spans="1:21" ht="16.5" thickBot="1">
      <c r="A223" s="38" t="s">
        <v>31</v>
      </c>
      <c r="B223" s="39">
        <f t="shared" si="12"/>
        <v>75</v>
      </c>
      <c r="C223" s="39" t="s">
        <v>3</v>
      </c>
      <c r="D223" s="39">
        <f t="shared" si="13"/>
        <v>300</v>
      </c>
      <c r="E223" s="39" t="s">
        <v>3</v>
      </c>
      <c r="F223" s="101">
        <f t="shared" si="14"/>
        <v>1100</v>
      </c>
      <c r="G223" s="39" t="s">
        <v>3</v>
      </c>
      <c r="H223" s="39">
        <v>4</v>
      </c>
      <c r="I223" s="40" t="s">
        <v>40</v>
      </c>
      <c r="J223" s="103">
        <v>75</v>
      </c>
      <c r="K223" s="104">
        <v>300</v>
      </c>
      <c r="L223" s="104">
        <v>1100</v>
      </c>
      <c r="M223" s="150">
        <v>11.424051591609999</v>
      </c>
      <c r="N223" s="66">
        <v>396.72</v>
      </c>
      <c r="O223" s="111">
        <v>21076.502464591493</v>
      </c>
      <c r="P223" s="111">
        <v>24448.726050246569</v>
      </c>
      <c r="Q223" s="110">
        <v>15183.425012961201</v>
      </c>
      <c r="R223" s="258">
        <v>36259.927477552694</v>
      </c>
      <c r="S223" s="259">
        <v>39632.15106320777</v>
      </c>
      <c r="U223" s="7" t="s">
        <v>1504</v>
      </c>
    </row>
    <row r="224" spans="1:21" ht="16.5" thickBot="1">
      <c r="A224" s="41" t="s">
        <v>31</v>
      </c>
      <c r="B224" s="42">
        <f t="shared" si="12"/>
        <v>75</v>
      </c>
      <c r="C224" s="42" t="s">
        <v>3</v>
      </c>
      <c r="D224" s="42">
        <f t="shared" si="13"/>
        <v>300</v>
      </c>
      <c r="E224" s="42" t="s">
        <v>3</v>
      </c>
      <c r="F224" s="101">
        <f t="shared" si="14"/>
        <v>1150</v>
      </c>
      <c r="G224" s="42" t="s">
        <v>3</v>
      </c>
      <c r="H224" s="39">
        <v>4</v>
      </c>
      <c r="I224" s="40" t="s">
        <v>40</v>
      </c>
      <c r="J224" s="103">
        <v>75</v>
      </c>
      <c r="K224" s="104">
        <v>300</v>
      </c>
      <c r="L224" s="104">
        <v>1150</v>
      </c>
      <c r="M224" s="150">
        <v>11.903266398869999</v>
      </c>
      <c r="N224" s="66">
        <v>423.16799999999995</v>
      </c>
      <c r="O224" s="111">
        <v>21781.46191323801</v>
      </c>
      <c r="P224" s="111">
        <v>25280.604955198756</v>
      </c>
      <c r="Q224" s="110">
        <v>15707.066645932946</v>
      </c>
      <c r="R224" s="258">
        <v>37488.528559170954</v>
      </c>
      <c r="S224" s="259">
        <v>40987.671601131704</v>
      </c>
      <c r="U224" s="7" t="s">
        <v>1505</v>
      </c>
    </row>
    <row r="225" spans="1:21" ht="16.5" thickBot="1">
      <c r="A225" s="41" t="s">
        <v>31</v>
      </c>
      <c r="B225" s="42">
        <f t="shared" si="12"/>
        <v>75</v>
      </c>
      <c r="C225" s="42" t="s">
        <v>3</v>
      </c>
      <c r="D225" s="42">
        <f t="shared" si="13"/>
        <v>300</v>
      </c>
      <c r="E225" s="42" t="s">
        <v>3</v>
      </c>
      <c r="F225" s="101">
        <f t="shared" si="14"/>
        <v>1200</v>
      </c>
      <c r="G225" s="42" t="s">
        <v>3</v>
      </c>
      <c r="H225" s="39">
        <v>4</v>
      </c>
      <c r="I225" s="40" t="s">
        <v>40</v>
      </c>
      <c r="J225" s="103">
        <v>75</v>
      </c>
      <c r="K225" s="104">
        <v>300</v>
      </c>
      <c r="L225" s="104">
        <v>1200</v>
      </c>
      <c r="M225" s="150">
        <v>12.478021206129998</v>
      </c>
      <c r="N225" s="66">
        <v>449.61599999999999</v>
      </c>
      <c r="O225" s="111">
        <v>22570.519850046625</v>
      </c>
      <c r="P225" s="111">
        <v>26194.018810439666</v>
      </c>
      <c r="Q225" s="110">
        <v>16482.042416688462</v>
      </c>
      <c r="R225" s="258">
        <v>39052.562266735084</v>
      </c>
      <c r="S225" s="259">
        <v>42676.061227128128</v>
      </c>
      <c r="U225" s="7" t="s">
        <v>1506</v>
      </c>
    </row>
    <row r="226" spans="1:21" ht="16.5" thickBot="1">
      <c r="A226" s="41" t="s">
        <v>31</v>
      </c>
      <c r="B226" s="42">
        <f t="shared" si="12"/>
        <v>75</v>
      </c>
      <c r="C226" s="42" t="s">
        <v>3</v>
      </c>
      <c r="D226" s="42">
        <f t="shared" si="13"/>
        <v>300</v>
      </c>
      <c r="E226" s="42" t="s">
        <v>3</v>
      </c>
      <c r="F226" s="101">
        <f t="shared" si="14"/>
        <v>1250</v>
      </c>
      <c r="G226" s="42" t="s">
        <v>3</v>
      </c>
      <c r="H226" s="39">
        <v>4</v>
      </c>
      <c r="I226" s="40" t="s">
        <v>40</v>
      </c>
      <c r="J226" s="103">
        <v>75</v>
      </c>
      <c r="K226" s="104">
        <v>300</v>
      </c>
      <c r="L226" s="104">
        <v>1250</v>
      </c>
      <c r="M226" s="150">
        <v>12.957236013389998</v>
      </c>
      <c r="N226" s="66">
        <v>476.06400000000002</v>
      </c>
      <c r="O226" s="111">
        <v>23275.479451721912</v>
      </c>
      <c r="P226" s="111">
        <v>27025.897715391849</v>
      </c>
      <c r="Q226" s="110">
        <v>17005.684202688975</v>
      </c>
      <c r="R226" s="258">
        <v>40281.163654410891</v>
      </c>
      <c r="S226" s="259">
        <v>44031.581918080825</v>
      </c>
      <c r="U226" s="7" t="s">
        <v>1507</v>
      </c>
    </row>
    <row r="227" spans="1:21" ht="16.5" thickBot="1">
      <c r="A227" s="41" t="s">
        <v>31</v>
      </c>
      <c r="B227" s="42">
        <f t="shared" si="12"/>
        <v>75</v>
      </c>
      <c r="C227" s="42" t="s">
        <v>3</v>
      </c>
      <c r="D227" s="42">
        <f t="shared" si="13"/>
        <v>300</v>
      </c>
      <c r="E227" s="42" t="s">
        <v>3</v>
      </c>
      <c r="F227" s="101">
        <f t="shared" si="14"/>
        <v>1300</v>
      </c>
      <c r="G227" s="42" t="s">
        <v>3</v>
      </c>
      <c r="H227" s="39">
        <v>4</v>
      </c>
      <c r="I227" s="40" t="s">
        <v>40</v>
      </c>
      <c r="J227" s="103">
        <v>75</v>
      </c>
      <c r="K227" s="104">
        <v>300</v>
      </c>
      <c r="L227" s="104">
        <v>1300</v>
      </c>
      <c r="M227" s="150">
        <v>13.45349082065</v>
      </c>
      <c r="N227" s="66">
        <v>502.51199999999994</v>
      </c>
      <c r="O227" s="111">
        <v>23980.43890036843</v>
      </c>
      <c r="P227" s="111">
        <v>27857.776467315274</v>
      </c>
      <c r="Q227" s="110">
        <v>17780.65997344449</v>
      </c>
      <c r="R227" s="258">
        <v>41761.098873812924</v>
      </c>
      <c r="S227" s="259">
        <v>45638.43644075976</v>
      </c>
      <c r="U227" s="7" t="s">
        <v>1508</v>
      </c>
    </row>
    <row r="228" spans="1:21" ht="16.5" thickBot="1">
      <c r="A228" s="41" t="s">
        <v>31</v>
      </c>
      <c r="B228" s="42">
        <f t="shared" si="12"/>
        <v>75</v>
      </c>
      <c r="C228" s="42" t="s">
        <v>3</v>
      </c>
      <c r="D228" s="42">
        <f t="shared" si="13"/>
        <v>300</v>
      </c>
      <c r="E228" s="42" t="s">
        <v>3</v>
      </c>
      <c r="F228" s="101">
        <f t="shared" si="14"/>
        <v>1350</v>
      </c>
      <c r="G228" s="42" t="s">
        <v>3</v>
      </c>
      <c r="H228" s="39">
        <v>4</v>
      </c>
      <c r="I228" s="40" t="s">
        <v>40</v>
      </c>
      <c r="J228" s="103">
        <v>75</v>
      </c>
      <c r="K228" s="104">
        <v>300</v>
      </c>
      <c r="L228" s="104">
        <v>1350</v>
      </c>
      <c r="M228" s="150">
        <v>13.93270562791</v>
      </c>
      <c r="N228" s="66">
        <v>528.96</v>
      </c>
      <c r="O228" s="111">
        <v>24685.398502043714</v>
      </c>
      <c r="P228" s="111">
        <v>28689.655372267458</v>
      </c>
      <c r="Q228" s="110">
        <v>18304.301606416237</v>
      </c>
      <c r="R228" s="258">
        <v>42989.700108459947</v>
      </c>
      <c r="S228" s="259">
        <v>46993.956978683695</v>
      </c>
      <c r="U228" s="7" t="s">
        <v>1509</v>
      </c>
    </row>
    <row r="229" spans="1:21" ht="16.5" thickBot="1">
      <c r="A229" s="41" t="s">
        <v>31</v>
      </c>
      <c r="B229" s="42">
        <f t="shared" si="12"/>
        <v>75</v>
      </c>
      <c r="C229" s="42" t="s">
        <v>3</v>
      </c>
      <c r="D229" s="42">
        <f t="shared" si="13"/>
        <v>300</v>
      </c>
      <c r="E229" s="42" t="s">
        <v>3</v>
      </c>
      <c r="F229" s="101">
        <f t="shared" si="14"/>
        <v>1400</v>
      </c>
      <c r="G229" s="42" t="s">
        <v>3</v>
      </c>
      <c r="H229" s="39">
        <v>4</v>
      </c>
      <c r="I229" s="40" t="s">
        <v>40</v>
      </c>
      <c r="J229" s="103">
        <v>75</v>
      </c>
      <c r="K229" s="104">
        <v>300</v>
      </c>
      <c r="L229" s="104">
        <v>1400</v>
      </c>
      <c r="M229" s="150">
        <v>14.42896043517</v>
      </c>
      <c r="N229" s="66">
        <v>555.4079999999999</v>
      </c>
      <c r="O229" s="111">
        <v>25390.358103718998</v>
      </c>
      <c r="P229" s="111">
        <v>29521.534277219649</v>
      </c>
      <c r="Q229" s="110">
        <v>19079.277530200521</v>
      </c>
      <c r="R229" s="258">
        <v>44469.635633919519</v>
      </c>
      <c r="S229" s="259">
        <v>48600.81180742017</v>
      </c>
      <c r="U229" s="7" t="s">
        <v>1510</v>
      </c>
    </row>
    <row r="230" spans="1:21" ht="16.5" thickBot="1">
      <c r="A230" s="41" t="s">
        <v>31</v>
      </c>
      <c r="B230" s="42">
        <f t="shared" si="12"/>
        <v>75</v>
      </c>
      <c r="C230" s="42" t="s">
        <v>3</v>
      </c>
      <c r="D230" s="42">
        <f t="shared" si="13"/>
        <v>300</v>
      </c>
      <c r="E230" s="42" t="s">
        <v>3</v>
      </c>
      <c r="F230" s="101">
        <f t="shared" si="14"/>
        <v>1450</v>
      </c>
      <c r="G230" s="42" t="s">
        <v>3</v>
      </c>
      <c r="H230" s="39">
        <v>4</v>
      </c>
      <c r="I230" s="40" t="s">
        <v>40</v>
      </c>
      <c r="J230" s="103">
        <v>75</v>
      </c>
      <c r="K230" s="104">
        <v>300</v>
      </c>
      <c r="L230" s="104">
        <v>1450</v>
      </c>
      <c r="M230" s="150">
        <v>14.908175242430001</v>
      </c>
      <c r="N230" s="66">
        <v>581.85599999999999</v>
      </c>
      <c r="O230" s="111">
        <v>26095.317705394282</v>
      </c>
      <c r="P230" s="111">
        <v>30353.413182171833</v>
      </c>
      <c r="Q230" s="110">
        <v>19602.919163172111</v>
      </c>
      <c r="R230" s="258">
        <v>45698.236868566397</v>
      </c>
      <c r="S230" s="259">
        <v>49956.332345343944</v>
      </c>
      <c r="U230" s="7" t="s">
        <v>1511</v>
      </c>
    </row>
    <row r="231" spans="1:21" ht="16.5" thickBot="1">
      <c r="A231" s="41" t="s">
        <v>31</v>
      </c>
      <c r="B231" s="42">
        <f t="shared" si="12"/>
        <v>75</v>
      </c>
      <c r="C231" s="42" t="s">
        <v>3</v>
      </c>
      <c r="D231" s="42">
        <f t="shared" si="13"/>
        <v>300</v>
      </c>
      <c r="E231" s="42" t="s">
        <v>3</v>
      </c>
      <c r="F231" s="101">
        <f t="shared" si="14"/>
        <v>1500</v>
      </c>
      <c r="G231" s="42" t="s">
        <v>3</v>
      </c>
      <c r="H231" s="39">
        <v>4</v>
      </c>
      <c r="I231" s="40" t="s">
        <v>40</v>
      </c>
      <c r="J231" s="103">
        <v>75</v>
      </c>
      <c r="K231" s="104">
        <v>300</v>
      </c>
      <c r="L231" s="104">
        <v>1500</v>
      </c>
      <c r="M231" s="150">
        <v>15.548994942490001</v>
      </c>
      <c r="N231" s="66">
        <v>608.30399999999997</v>
      </c>
      <c r="O231" s="111">
        <v>27540.002748749772</v>
      </c>
      <c r="P231" s="111">
        <v>31833.216184720804</v>
      </c>
      <c r="Q231" s="110">
        <v>20377.895086956549</v>
      </c>
      <c r="R231" s="258">
        <v>47917.897835706317</v>
      </c>
      <c r="S231" s="259">
        <v>52211.11127167735</v>
      </c>
      <c r="U231" s="7" t="s">
        <v>1512</v>
      </c>
    </row>
    <row r="232" spans="1:21" ht="16.5" thickBot="1">
      <c r="A232" s="41" t="s">
        <v>31</v>
      </c>
      <c r="B232" s="42">
        <f t="shared" si="12"/>
        <v>75</v>
      </c>
      <c r="C232" s="42" t="s">
        <v>3</v>
      </c>
      <c r="D232" s="42">
        <f t="shared" si="13"/>
        <v>300</v>
      </c>
      <c r="E232" s="42" t="s">
        <v>3</v>
      </c>
      <c r="F232" s="101">
        <f t="shared" si="14"/>
        <v>1550</v>
      </c>
      <c r="G232" s="42" t="s">
        <v>3</v>
      </c>
      <c r="H232" s="39">
        <v>4</v>
      </c>
      <c r="I232" s="40" t="s">
        <v>40</v>
      </c>
      <c r="J232" s="103">
        <v>75</v>
      </c>
      <c r="K232" s="104">
        <v>300</v>
      </c>
      <c r="L232" s="104">
        <v>1550</v>
      </c>
      <c r="M232" s="150">
        <v>16.028209749750001</v>
      </c>
      <c r="N232" s="66">
        <v>634.75200000000007</v>
      </c>
      <c r="O232" s="111">
        <v>28244.962350425059</v>
      </c>
      <c r="P232" s="111">
        <v>32665.094936644222</v>
      </c>
      <c r="Q232" s="110">
        <v>20901.536719928292</v>
      </c>
      <c r="R232" s="258">
        <v>49146.499070353355</v>
      </c>
      <c r="S232" s="259">
        <v>53566.631656572514</v>
      </c>
      <c r="U232" s="7" t="s">
        <v>1513</v>
      </c>
    </row>
    <row r="233" spans="1:21" ht="16.5" thickBot="1">
      <c r="A233" s="38" t="s">
        <v>31</v>
      </c>
      <c r="B233" s="39">
        <f t="shared" si="12"/>
        <v>75</v>
      </c>
      <c r="C233" s="39" t="s">
        <v>3</v>
      </c>
      <c r="D233" s="39">
        <f t="shared" si="13"/>
        <v>300</v>
      </c>
      <c r="E233" s="39" t="s">
        <v>3</v>
      </c>
      <c r="F233" s="101">
        <f t="shared" si="14"/>
        <v>1600</v>
      </c>
      <c r="G233" s="39" t="s">
        <v>3</v>
      </c>
      <c r="H233" s="39">
        <v>4</v>
      </c>
      <c r="I233" s="40" t="s">
        <v>40</v>
      </c>
      <c r="J233" s="103">
        <v>75</v>
      </c>
      <c r="K233" s="104">
        <v>300</v>
      </c>
      <c r="L233" s="104">
        <v>1600</v>
      </c>
      <c r="M233" s="150">
        <v>16.507424557009998</v>
      </c>
      <c r="N233" s="66">
        <v>661.19999999999993</v>
      </c>
      <c r="O233" s="111">
        <v>28949.92195210034</v>
      </c>
      <c r="P233" s="111">
        <v>33496.973841596417</v>
      </c>
      <c r="Q233" s="110">
        <v>21425.178352900039</v>
      </c>
      <c r="R233" s="258">
        <v>50375.100305000378</v>
      </c>
      <c r="S233" s="259">
        <v>54922.152194496455</v>
      </c>
      <c r="U233" s="7" t="s">
        <v>1514</v>
      </c>
    </row>
    <row r="234" spans="1:21" ht="16.5" thickBot="1">
      <c r="A234" s="41" t="s">
        <v>31</v>
      </c>
      <c r="B234" s="42">
        <f t="shared" si="12"/>
        <v>75</v>
      </c>
      <c r="C234" s="42" t="s">
        <v>3</v>
      </c>
      <c r="D234" s="42">
        <f t="shared" si="13"/>
        <v>300</v>
      </c>
      <c r="E234" s="42" t="s">
        <v>3</v>
      </c>
      <c r="F234" s="101">
        <f t="shared" si="14"/>
        <v>1650</v>
      </c>
      <c r="G234" s="42" t="s">
        <v>3</v>
      </c>
      <c r="H234" s="39">
        <v>4</v>
      </c>
      <c r="I234" s="40" t="s">
        <v>40</v>
      </c>
      <c r="J234" s="103">
        <v>75</v>
      </c>
      <c r="K234" s="104">
        <v>300</v>
      </c>
      <c r="L234" s="104">
        <v>1650</v>
      </c>
      <c r="M234" s="150">
        <v>17.003679364269999</v>
      </c>
      <c r="N234" s="66">
        <v>687.64799999999991</v>
      </c>
      <c r="O234" s="111">
        <v>29654.881400746861</v>
      </c>
      <c r="P234" s="111">
        <v>34328.852746548597</v>
      </c>
      <c r="Q234" s="110">
        <v>22200.154276684319</v>
      </c>
      <c r="R234" s="258">
        <v>51855.03567743118</v>
      </c>
      <c r="S234" s="259">
        <v>56529.007023232916</v>
      </c>
      <c r="U234" s="7" t="s">
        <v>1515</v>
      </c>
    </row>
    <row r="235" spans="1:21" ht="16.5" thickBot="1">
      <c r="A235" s="41" t="s">
        <v>31</v>
      </c>
      <c r="B235" s="42">
        <f t="shared" si="12"/>
        <v>75</v>
      </c>
      <c r="C235" s="42" t="s">
        <v>3</v>
      </c>
      <c r="D235" s="42">
        <f t="shared" si="13"/>
        <v>300</v>
      </c>
      <c r="E235" s="42" t="s">
        <v>3</v>
      </c>
      <c r="F235" s="101">
        <f t="shared" si="14"/>
        <v>1700</v>
      </c>
      <c r="G235" s="42" t="s">
        <v>3</v>
      </c>
      <c r="H235" s="39">
        <v>4</v>
      </c>
      <c r="I235" s="40" t="s">
        <v>40</v>
      </c>
      <c r="J235" s="103">
        <v>75</v>
      </c>
      <c r="K235" s="104">
        <v>300</v>
      </c>
      <c r="L235" s="104">
        <v>1700</v>
      </c>
      <c r="M235" s="150">
        <v>17.482894171530003</v>
      </c>
      <c r="N235" s="66">
        <v>714.096</v>
      </c>
      <c r="O235" s="111">
        <v>30359.841002422148</v>
      </c>
      <c r="P235" s="111">
        <v>35160.731651500784</v>
      </c>
      <c r="Q235" s="110">
        <v>22723.795909656066</v>
      </c>
      <c r="R235" s="258">
        <v>53083.636912078218</v>
      </c>
      <c r="S235" s="259">
        <v>57884.52756115685</v>
      </c>
      <c r="U235" s="7" t="s">
        <v>1516</v>
      </c>
    </row>
    <row r="236" spans="1:21" ht="16.5" thickBot="1">
      <c r="A236" s="41" t="s">
        <v>31</v>
      </c>
      <c r="B236" s="42">
        <f t="shared" si="12"/>
        <v>75</v>
      </c>
      <c r="C236" s="42" t="s">
        <v>3</v>
      </c>
      <c r="D236" s="42">
        <f t="shared" si="13"/>
        <v>300</v>
      </c>
      <c r="E236" s="42" t="s">
        <v>3</v>
      </c>
      <c r="F236" s="101">
        <f t="shared" si="14"/>
        <v>1750</v>
      </c>
      <c r="G236" s="42" t="s">
        <v>3</v>
      </c>
      <c r="H236" s="39">
        <v>4</v>
      </c>
      <c r="I236" s="40" t="s">
        <v>40</v>
      </c>
      <c r="J236" s="103">
        <v>75</v>
      </c>
      <c r="K236" s="104">
        <v>300</v>
      </c>
      <c r="L236" s="104">
        <v>1750</v>
      </c>
      <c r="M236" s="150">
        <v>17.979148978790001</v>
      </c>
      <c r="N236" s="66">
        <v>740.54399999999998</v>
      </c>
      <c r="O236" s="111">
        <v>31064.800604097429</v>
      </c>
      <c r="P236" s="111">
        <v>35992.610556452972</v>
      </c>
      <c r="Q236" s="110">
        <v>23498.771833440347</v>
      </c>
      <c r="R236" s="258">
        <v>54563.572437537776</v>
      </c>
      <c r="S236" s="259">
        <v>59491.382389893319</v>
      </c>
      <c r="U236" s="7" t="s">
        <v>1517</v>
      </c>
    </row>
    <row r="237" spans="1:21" ht="16.5" thickBot="1">
      <c r="A237" s="41" t="s">
        <v>31</v>
      </c>
      <c r="B237" s="42">
        <f t="shared" si="12"/>
        <v>75</v>
      </c>
      <c r="C237" s="42" t="s">
        <v>3</v>
      </c>
      <c r="D237" s="42">
        <f t="shared" si="13"/>
        <v>300</v>
      </c>
      <c r="E237" s="42" t="s">
        <v>3</v>
      </c>
      <c r="F237" s="101">
        <f t="shared" si="14"/>
        <v>1800</v>
      </c>
      <c r="G237" s="42" t="s">
        <v>3</v>
      </c>
      <c r="H237" s="39">
        <v>4</v>
      </c>
      <c r="I237" s="40" t="s">
        <v>40</v>
      </c>
      <c r="J237" s="103">
        <v>75</v>
      </c>
      <c r="K237" s="104">
        <v>300</v>
      </c>
      <c r="L237" s="104">
        <v>1800</v>
      </c>
      <c r="M237" s="150">
        <v>18.45836378605</v>
      </c>
      <c r="N237" s="66">
        <v>766.99199999999996</v>
      </c>
      <c r="O237" s="111">
        <v>31769.760205772716</v>
      </c>
      <c r="P237" s="111">
        <v>36824.489461405006</v>
      </c>
      <c r="Q237" s="110">
        <v>24022.413466412094</v>
      </c>
      <c r="R237" s="258">
        <v>55792.173672184814</v>
      </c>
      <c r="S237" s="259">
        <v>60846.9029278171</v>
      </c>
      <c r="U237" s="7" t="s">
        <v>1518</v>
      </c>
    </row>
    <row r="238" spans="1:21" ht="16.5" thickBot="1">
      <c r="A238" s="41" t="s">
        <v>31</v>
      </c>
      <c r="B238" s="42">
        <f t="shared" si="12"/>
        <v>75</v>
      </c>
      <c r="C238" s="42" t="s">
        <v>3</v>
      </c>
      <c r="D238" s="42">
        <f t="shared" si="13"/>
        <v>300</v>
      </c>
      <c r="E238" s="42" t="s">
        <v>3</v>
      </c>
      <c r="F238" s="101">
        <f t="shared" si="14"/>
        <v>1850</v>
      </c>
      <c r="G238" s="42" t="s">
        <v>3</v>
      </c>
      <c r="H238" s="39">
        <v>4</v>
      </c>
      <c r="I238" s="40" t="s">
        <v>40</v>
      </c>
      <c r="J238" s="103">
        <v>75</v>
      </c>
      <c r="K238" s="104">
        <v>300</v>
      </c>
      <c r="L238" s="104">
        <v>1850</v>
      </c>
      <c r="M238" s="150">
        <v>18.954618593310002</v>
      </c>
      <c r="N238" s="66">
        <v>793.44</v>
      </c>
      <c r="O238" s="111">
        <v>32474.719807447997</v>
      </c>
      <c r="P238" s="111">
        <v>37656.368213328584</v>
      </c>
      <c r="Q238" s="110">
        <v>24797.389237167612</v>
      </c>
      <c r="R238" s="258">
        <v>57272.109044615609</v>
      </c>
      <c r="S238" s="259">
        <v>62453.757450496196</v>
      </c>
      <c r="U238" s="7" t="s">
        <v>1519</v>
      </c>
    </row>
    <row r="239" spans="1:21" ht="16.5" thickBot="1">
      <c r="A239" s="41" t="s">
        <v>31</v>
      </c>
      <c r="B239" s="42">
        <f t="shared" si="12"/>
        <v>75</v>
      </c>
      <c r="C239" s="42" t="s">
        <v>3</v>
      </c>
      <c r="D239" s="42">
        <f t="shared" si="13"/>
        <v>300</v>
      </c>
      <c r="E239" s="42" t="s">
        <v>3</v>
      </c>
      <c r="F239" s="101">
        <f t="shared" si="14"/>
        <v>1900</v>
      </c>
      <c r="G239" s="42" t="s">
        <v>3</v>
      </c>
      <c r="H239" s="39">
        <v>4</v>
      </c>
      <c r="I239" s="40" t="s">
        <v>40</v>
      </c>
      <c r="J239" s="103">
        <v>75</v>
      </c>
      <c r="K239" s="104">
        <v>300</v>
      </c>
      <c r="L239" s="104">
        <v>1900</v>
      </c>
      <c r="M239" s="150">
        <v>19.433833400570002</v>
      </c>
      <c r="N239" s="66">
        <v>819.88800000000003</v>
      </c>
      <c r="O239" s="111">
        <v>33179.679256094518</v>
      </c>
      <c r="P239" s="111">
        <v>38488.247118280771</v>
      </c>
      <c r="Q239" s="110">
        <v>25321.031023168125</v>
      </c>
      <c r="R239" s="258">
        <v>58500.710279262639</v>
      </c>
      <c r="S239" s="259">
        <v>63809.2781414489</v>
      </c>
      <c r="U239" s="7" t="s">
        <v>1520</v>
      </c>
    </row>
    <row r="240" spans="1:21" ht="16.5" thickBot="1">
      <c r="A240" s="41" t="s">
        <v>31</v>
      </c>
      <c r="B240" s="42">
        <f t="shared" si="12"/>
        <v>75</v>
      </c>
      <c r="C240" s="42" t="s">
        <v>3</v>
      </c>
      <c r="D240" s="42">
        <f t="shared" si="13"/>
        <v>300</v>
      </c>
      <c r="E240" s="42" t="s">
        <v>3</v>
      </c>
      <c r="F240" s="101">
        <f t="shared" si="14"/>
        <v>1950</v>
      </c>
      <c r="G240" s="42" t="s">
        <v>3</v>
      </c>
      <c r="H240" s="39">
        <v>4</v>
      </c>
      <c r="I240" s="40" t="s">
        <v>40</v>
      </c>
      <c r="J240" s="103">
        <v>75</v>
      </c>
      <c r="K240" s="104">
        <v>300</v>
      </c>
      <c r="L240" s="104">
        <v>1950</v>
      </c>
      <c r="M240" s="150">
        <v>19.99154820783</v>
      </c>
      <c r="N240" s="66">
        <v>846.3359999999999</v>
      </c>
      <c r="O240" s="111">
        <v>33968.737192903129</v>
      </c>
      <c r="P240" s="111">
        <v>39401.660973521677</v>
      </c>
      <c r="Q240" s="110">
        <v>25844.672656139872</v>
      </c>
      <c r="R240" s="258">
        <v>59813.409849043004</v>
      </c>
      <c r="S240" s="259">
        <v>65246.333629661545</v>
      </c>
      <c r="U240" s="7" t="s">
        <v>1521</v>
      </c>
    </row>
    <row r="241" spans="1:21" ht="16.5" thickBot="1">
      <c r="A241" s="41" t="s">
        <v>31</v>
      </c>
      <c r="B241" s="42">
        <f t="shared" si="12"/>
        <v>75</v>
      </c>
      <c r="C241" s="42" t="s">
        <v>3</v>
      </c>
      <c r="D241" s="42">
        <f t="shared" si="13"/>
        <v>300</v>
      </c>
      <c r="E241" s="42" t="s">
        <v>3</v>
      </c>
      <c r="F241" s="101">
        <f t="shared" si="14"/>
        <v>2000</v>
      </c>
      <c r="G241" s="42" t="s">
        <v>3</v>
      </c>
      <c r="H241" s="39">
        <v>4</v>
      </c>
      <c r="I241" s="40" t="s">
        <v>40</v>
      </c>
      <c r="J241" s="103">
        <v>75</v>
      </c>
      <c r="K241" s="104">
        <v>300</v>
      </c>
      <c r="L241" s="104">
        <v>2000</v>
      </c>
      <c r="M241" s="150">
        <v>20.579365415090003</v>
      </c>
      <c r="N241" s="66">
        <v>872.78399999999999</v>
      </c>
      <c r="O241" s="111">
        <v>34924.988543394247</v>
      </c>
      <c r="P241" s="111">
        <v>40561.968377839956</v>
      </c>
      <c r="Q241" s="110">
        <v>26619.648426895383</v>
      </c>
      <c r="R241" s="258">
        <v>61544.636970289634</v>
      </c>
      <c r="S241" s="259">
        <v>67181.616804735342</v>
      </c>
      <c r="U241" s="7" t="s">
        <v>1522</v>
      </c>
    </row>
    <row r="242" spans="1:21" ht="16.5" thickBot="1">
      <c r="A242" s="41" t="s">
        <v>31</v>
      </c>
      <c r="B242" s="42">
        <f t="shared" si="12"/>
        <v>75</v>
      </c>
      <c r="C242" s="42" t="s">
        <v>3</v>
      </c>
      <c r="D242" s="42">
        <f t="shared" si="13"/>
        <v>300</v>
      </c>
      <c r="E242" s="42" t="s">
        <v>3</v>
      </c>
      <c r="F242" s="101">
        <f t="shared" si="14"/>
        <v>2050</v>
      </c>
      <c r="G242" s="42" t="s">
        <v>3</v>
      </c>
      <c r="H242" s="39">
        <v>4</v>
      </c>
      <c r="I242" s="40" t="s">
        <v>40</v>
      </c>
      <c r="J242" s="103">
        <v>75</v>
      </c>
      <c r="K242" s="104">
        <v>300</v>
      </c>
      <c r="L242" s="104">
        <v>2050</v>
      </c>
      <c r="M242" s="150">
        <v>21.058580222349999</v>
      </c>
      <c r="N242" s="66">
        <v>899.23199999999997</v>
      </c>
      <c r="O242" s="111">
        <v>35629.948145069531</v>
      </c>
      <c r="P242" s="111">
        <v>41393.847282792143</v>
      </c>
      <c r="Q242" s="110">
        <v>27143.290212895896</v>
      </c>
      <c r="R242" s="258">
        <v>62773.238357965427</v>
      </c>
      <c r="S242" s="259">
        <v>68537.137495688046</v>
      </c>
      <c r="U242" s="7" t="s">
        <v>1523</v>
      </c>
    </row>
    <row r="243" spans="1:21" ht="16.5" thickBot="1">
      <c r="A243" s="38" t="s">
        <v>31</v>
      </c>
      <c r="B243" s="39">
        <f t="shared" si="12"/>
        <v>75</v>
      </c>
      <c r="C243" s="39" t="s">
        <v>3</v>
      </c>
      <c r="D243" s="39">
        <f t="shared" si="13"/>
        <v>300</v>
      </c>
      <c r="E243" s="39" t="s">
        <v>3</v>
      </c>
      <c r="F243" s="101">
        <f t="shared" si="14"/>
        <v>2100</v>
      </c>
      <c r="G243" s="39" t="s">
        <v>3</v>
      </c>
      <c r="H243" s="39">
        <v>4</v>
      </c>
      <c r="I243" s="40" t="s">
        <v>40</v>
      </c>
      <c r="J243" s="103">
        <v>75</v>
      </c>
      <c r="K243" s="104">
        <v>300</v>
      </c>
      <c r="L243" s="104">
        <v>2100</v>
      </c>
      <c r="M243" s="150">
        <v>21.554835029609997</v>
      </c>
      <c r="N243" s="66">
        <v>925.68</v>
      </c>
      <c r="O243" s="111">
        <v>36334.907746744815</v>
      </c>
      <c r="P243" s="111">
        <v>42225.726034715568</v>
      </c>
      <c r="Q243" s="110">
        <v>27918.265983651414</v>
      </c>
      <c r="R243" s="258">
        <v>64253.173730396229</v>
      </c>
      <c r="S243" s="259">
        <v>70143.992018366989</v>
      </c>
      <c r="U243" s="7" t="s">
        <v>1524</v>
      </c>
    </row>
    <row r="244" spans="1:21" ht="16.5" thickBot="1">
      <c r="A244" s="41" t="s">
        <v>31</v>
      </c>
      <c r="B244" s="42">
        <f t="shared" si="12"/>
        <v>75</v>
      </c>
      <c r="C244" s="42" t="s">
        <v>3</v>
      </c>
      <c r="D244" s="42">
        <f t="shared" si="13"/>
        <v>300</v>
      </c>
      <c r="E244" s="42" t="s">
        <v>3</v>
      </c>
      <c r="F244" s="101">
        <f t="shared" si="14"/>
        <v>2150</v>
      </c>
      <c r="G244" s="42" t="s">
        <v>3</v>
      </c>
      <c r="H244" s="39">
        <v>4</v>
      </c>
      <c r="I244" s="40" t="s">
        <v>40</v>
      </c>
      <c r="J244" s="103">
        <v>75</v>
      </c>
      <c r="K244" s="104">
        <v>300</v>
      </c>
      <c r="L244" s="104">
        <v>2150</v>
      </c>
      <c r="M244" s="150">
        <v>22.03404983687</v>
      </c>
      <c r="N244" s="66">
        <v>952.12800000000004</v>
      </c>
      <c r="O244" s="111">
        <v>37039.867348420099</v>
      </c>
      <c r="P244" s="111">
        <v>43057.604939667755</v>
      </c>
      <c r="Q244" s="110">
        <v>28441.907769651927</v>
      </c>
      <c r="R244" s="258">
        <v>65481.775118072022</v>
      </c>
      <c r="S244" s="259">
        <v>71499.512709319679</v>
      </c>
      <c r="U244" s="7" t="s">
        <v>1525</v>
      </c>
    </row>
    <row r="245" spans="1:21" ht="16.5" thickBot="1">
      <c r="A245" s="41" t="s">
        <v>31</v>
      </c>
      <c r="B245" s="42">
        <f t="shared" si="12"/>
        <v>75</v>
      </c>
      <c r="C245" s="42" t="s">
        <v>3</v>
      </c>
      <c r="D245" s="42">
        <f t="shared" si="13"/>
        <v>300</v>
      </c>
      <c r="E245" s="42" t="s">
        <v>3</v>
      </c>
      <c r="F245" s="101">
        <f t="shared" si="14"/>
        <v>2200</v>
      </c>
      <c r="G245" s="42" t="s">
        <v>3</v>
      </c>
      <c r="H245" s="39">
        <v>4</v>
      </c>
      <c r="I245" s="40" t="s">
        <v>40</v>
      </c>
      <c r="J245" s="103">
        <v>75</v>
      </c>
      <c r="K245" s="104">
        <v>300</v>
      </c>
      <c r="L245" s="104">
        <v>2200</v>
      </c>
      <c r="M245" s="150">
        <v>22.530304644129998</v>
      </c>
      <c r="N245" s="66">
        <v>978.57600000000002</v>
      </c>
      <c r="O245" s="111">
        <v>37744.826950095383</v>
      </c>
      <c r="P245" s="111">
        <v>43889.483844619936</v>
      </c>
      <c r="Q245" s="110">
        <v>29216.883540407438</v>
      </c>
      <c r="R245" s="258">
        <v>66961.710490502825</v>
      </c>
      <c r="S245" s="259">
        <v>73106.367385027377</v>
      </c>
      <c r="U245" s="7" t="s">
        <v>1526</v>
      </c>
    </row>
    <row r="246" spans="1:21" ht="16.5" thickBot="1">
      <c r="A246" s="41" t="s">
        <v>31</v>
      </c>
      <c r="B246" s="42">
        <f t="shared" si="12"/>
        <v>75</v>
      </c>
      <c r="C246" s="42" t="s">
        <v>3</v>
      </c>
      <c r="D246" s="42">
        <f t="shared" si="13"/>
        <v>300</v>
      </c>
      <c r="E246" s="42" t="s">
        <v>3</v>
      </c>
      <c r="F246" s="101">
        <f t="shared" si="14"/>
        <v>2250</v>
      </c>
      <c r="G246" s="42" t="s">
        <v>3</v>
      </c>
      <c r="H246" s="39">
        <v>4</v>
      </c>
      <c r="I246" s="40" t="s">
        <v>40</v>
      </c>
      <c r="J246" s="103">
        <v>75</v>
      </c>
      <c r="K246" s="104">
        <v>300</v>
      </c>
      <c r="L246" s="104">
        <v>2250</v>
      </c>
      <c r="M246" s="150">
        <v>23.009519451390002</v>
      </c>
      <c r="N246" s="66">
        <v>1005.0239999999999</v>
      </c>
      <c r="O246" s="111">
        <v>38449.786398741904</v>
      </c>
      <c r="P246" s="111">
        <v>44721.36274957213</v>
      </c>
      <c r="Q246" s="110">
        <v>29740.525173379188</v>
      </c>
      <c r="R246" s="258">
        <v>68190.311572121092</v>
      </c>
      <c r="S246" s="259">
        <v>74461.887922951311</v>
      </c>
      <c r="U246" s="7" t="s">
        <v>1527</v>
      </c>
    </row>
    <row r="247" spans="1:21" ht="16.5" thickBot="1">
      <c r="A247" s="41" t="s">
        <v>31</v>
      </c>
      <c r="B247" s="42">
        <f t="shared" si="12"/>
        <v>75</v>
      </c>
      <c r="C247" s="42" t="s">
        <v>3</v>
      </c>
      <c r="D247" s="42">
        <f t="shared" si="13"/>
        <v>300</v>
      </c>
      <c r="E247" s="42" t="s">
        <v>3</v>
      </c>
      <c r="F247" s="101">
        <f t="shared" si="14"/>
        <v>2300</v>
      </c>
      <c r="G247" s="42" t="s">
        <v>3</v>
      </c>
      <c r="H247" s="39">
        <v>4</v>
      </c>
      <c r="I247" s="40" t="s">
        <v>40</v>
      </c>
      <c r="J247" s="103">
        <v>75</v>
      </c>
      <c r="K247" s="104">
        <v>300</v>
      </c>
      <c r="L247" s="104">
        <v>2300</v>
      </c>
      <c r="M247" s="150">
        <v>23.488734258649998</v>
      </c>
      <c r="N247" s="66">
        <v>1031.472</v>
      </c>
      <c r="O247" s="111">
        <v>39154.746000417188</v>
      </c>
      <c r="P247" s="111">
        <v>45553.24165452431</v>
      </c>
      <c r="Q247" s="110">
        <v>30264.166959379701</v>
      </c>
      <c r="R247" s="258">
        <v>69418.912959796886</v>
      </c>
      <c r="S247" s="259">
        <v>75817.408613904016</v>
      </c>
      <c r="U247" s="7" t="s">
        <v>1528</v>
      </c>
    </row>
    <row r="248" spans="1:21" ht="16.5" thickBot="1">
      <c r="A248" s="41" t="s">
        <v>31</v>
      </c>
      <c r="B248" s="42">
        <f t="shared" si="12"/>
        <v>75</v>
      </c>
      <c r="C248" s="42" t="s">
        <v>3</v>
      </c>
      <c r="D248" s="42">
        <f t="shared" si="13"/>
        <v>300</v>
      </c>
      <c r="E248" s="42" t="s">
        <v>3</v>
      </c>
      <c r="F248" s="101">
        <f t="shared" si="14"/>
        <v>2350</v>
      </c>
      <c r="G248" s="42" t="s">
        <v>3</v>
      </c>
      <c r="H248" s="39">
        <v>4</v>
      </c>
      <c r="I248" s="40" t="s">
        <v>40</v>
      </c>
      <c r="J248" s="103">
        <v>75</v>
      </c>
      <c r="K248" s="104">
        <v>300</v>
      </c>
      <c r="L248" s="104">
        <v>2350</v>
      </c>
      <c r="M248" s="150">
        <v>23.98498906591</v>
      </c>
      <c r="N248" s="66">
        <v>1057.92</v>
      </c>
      <c r="O248" s="111">
        <v>39859.705602092472</v>
      </c>
      <c r="P248" s="111">
        <v>46385.120559476505</v>
      </c>
      <c r="Q248" s="110">
        <v>31039.142730135216</v>
      </c>
      <c r="R248" s="258">
        <v>70898.848332227688</v>
      </c>
      <c r="S248" s="259">
        <v>77424.263289611728</v>
      </c>
      <c r="U248" s="7" t="s">
        <v>1529</v>
      </c>
    </row>
    <row r="249" spans="1:21" ht="16.5" thickBot="1">
      <c r="A249" s="41" t="s">
        <v>31</v>
      </c>
      <c r="B249" s="42">
        <f t="shared" si="12"/>
        <v>75</v>
      </c>
      <c r="C249" s="42" t="s">
        <v>3</v>
      </c>
      <c r="D249" s="42">
        <f t="shared" si="13"/>
        <v>300</v>
      </c>
      <c r="E249" s="42" t="s">
        <v>3</v>
      </c>
      <c r="F249" s="101">
        <f t="shared" si="14"/>
        <v>2400</v>
      </c>
      <c r="G249" s="42" t="s">
        <v>3</v>
      </c>
      <c r="H249" s="39">
        <v>4</v>
      </c>
      <c r="I249" s="40" t="s">
        <v>40</v>
      </c>
      <c r="J249" s="103">
        <v>75</v>
      </c>
      <c r="K249" s="104">
        <v>300</v>
      </c>
      <c r="L249" s="104">
        <v>2400</v>
      </c>
      <c r="M249" s="150">
        <v>24.46420387317</v>
      </c>
      <c r="N249" s="66">
        <v>1084.3679999999999</v>
      </c>
      <c r="O249" s="111">
        <v>40564.665203767756</v>
      </c>
      <c r="P249" s="111">
        <v>47216.999311399923</v>
      </c>
      <c r="Q249" s="110">
        <v>31562.784363106966</v>
      </c>
      <c r="R249" s="258">
        <v>72127.449566874726</v>
      </c>
      <c r="S249" s="259">
        <v>78779.783674506893</v>
      </c>
      <c r="U249" s="7" t="s">
        <v>1530</v>
      </c>
    </row>
    <row r="250" spans="1:21" ht="16.5" thickBot="1">
      <c r="A250" s="41" t="s">
        <v>31</v>
      </c>
      <c r="B250" s="42">
        <f t="shared" si="12"/>
        <v>75</v>
      </c>
      <c r="C250" s="42" t="s">
        <v>3</v>
      </c>
      <c r="D250" s="42">
        <f t="shared" si="13"/>
        <v>300</v>
      </c>
      <c r="E250" s="42" t="s">
        <v>3</v>
      </c>
      <c r="F250" s="101">
        <f t="shared" si="14"/>
        <v>2450</v>
      </c>
      <c r="G250" s="42" t="s">
        <v>3</v>
      </c>
      <c r="H250" s="39">
        <v>4</v>
      </c>
      <c r="I250" s="40" t="s">
        <v>40</v>
      </c>
      <c r="J250" s="103">
        <v>75</v>
      </c>
      <c r="K250" s="104">
        <v>300</v>
      </c>
      <c r="L250" s="104">
        <v>2450</v>
      </c>
      <c r="M250" s="150">
        <v>25.10502357323</v>
      </c>
      <c r="N250" s="66">
        <v>1110.8159999999998</v>
      </c>
      <c r="O250" s="111">
        <v>42009.350247123242</v>
      </c>
      <c r="P250" s="111">
        <v>48696.802313948894</v>
      </c>
      <c r="Q250" s="110">
        <v>32337.760286891244</v>
      </c>
      <c r="R250" s="258">
        <v>74347.110534014486</v>
      </c>
      <c r="S250" s="259">
        <v>81034.562600840145</v>
      </c>
      <c r="U250" s="7" t="s">
        <v>1531</v>
      </c>
    </row>
    <row r="251" spans="1:21" ht="16.5" thickBot="1">
      <c r="A251" s="41" t="s">
        <v>31</v>
      </c>
      <c r="B251" s="42">
        <f t="shared" si="12"/>
        <v>75</v>
      </c>
      <c r="C251" s="42" t="s">
        <v>3</v>
      </c>
      <c r="D251" s="42">
        <f t="shared" si="13"/>
        <v>300</v>
      </c>
      <c r="E251" s="42" t="s">
        <v>3</v>
      </c>
      <c r="F251" s="101">
        <f t="shared" si="14"/>
        <v>2500</v>
      </c>
      <c r="G251" s="42" t="s">
        <v>3</v>
      </c>
      <c r="H251" s="39">
        <v>4</v>
      </c>
      <c r="I251" s="40" t="s">
        <v>40</v>
      </c>
      <c r="J251" s="103">
        <v>75</v>
      </c>
      <c r="K251" s="104">
        <v>300</v>
      </c>
      <c r="L251" s="104">
        <v>2500</v>
      </c>
      <c r="M251" s="150">
        <v>25.58423838049</v>
      </c>
      <c r="N251" s="66">
        <v>1137.2639999999999</v>
      </c>
      <c r="O251" s="111">
        <v>42714.309848798533</v>
      </c>
      <c r="P251" s="111">
        <v>49528.681218901082</v>
      </c>
      <c r="Q251" s="110">
        <v>32861.40191986299</v>
      </c>
      <c r="R251" s="258">
        <v>75575.711768661524</v>
      </c>
      <c r="S251" s="259">
        <v>82390.083138764079</v>
      </c>
      <c r="U251" s="7" t="s">
        <v>1532</v>
      </c>
    </row>
    <row r="252" spans="1:21" ht="16.5" thickBot="1">
      <c r="A252" s="41" t="s">
        <v>31</v>
      </c>
      <c r="B252" s="42">
        <f t="shared" si="12"/>
        <v>75</v>
      </c>
      <c r="C252" s="42" t="s">
        <v>3</v>
      </c>
      <c r="D252" s="42">
        <f t="shared" si="13"/>
        <v>300</v>
      </c>
      <c r="E252" s="42" t="s">
        <v>3</v>
      </c>
      <c r="F252" s="101">
        <f t="shared" si="14"/>
        <v>2550</v>
      </c>
      <c r="G252" s="42" t="s">
        <v>3</v>
      </c>
      <c r="H252" s="39">
        <v>4</v>
      </c>
      <c r="I252" s="40" t="s">
        <v>40</v>
      </c>
      <c r="J252" s="103">
        <v>75</v>
      </c>
      <c r="K252" s="104">
        <v>300</v>
      </c>
      <c r="L252" s="104">
        <v>2550</v>
      </c>
      <c r="M252" s="150">
        <v>26.080493187750001</v>
      </c>
      <c r="N252" s="66">
        <v>1163.712</v>
      </c>
      <c r="O252" s="111">
        <v>43419.26945047381</v>
      </c>
      <c r="P252" s="111">
        <v>50360.560123853269</v>
      </c>
      <c r="Q252" s="110">
        <v>33636.377843647271</v>
      </c>
      <c r="R252" s="258">
        <v>77055.647294121081</v>
      </c>
      <c r="S252" s="259">
        <v>83996.937967500533</v>
      </c>
      <c r="U252" s="7" t="s">
        <v>1533</v>
      </c>
    </row>
    <row r="253" spans="1:21" ht="16.5" thickBot="1">
      <c r="A253" s="38" t="s">
        <v>31</v>
      </c>
      <c r="B253" s="39">
        <f t="shared" si="12"/>
        <v>75</v>
      </c>
      <c r="C253" s="39" t="s">
        <v>3</v>
      </c>
      <c r="D253" s="39">
        <f t="shared" si="13"/>
        <v>300</v>
      </c>
      <c r="E253" s="39" t="s">
        <v>3</v>
      </c>
      <c r="F253" s="101">
        <f t="shared" si="14"/>
        <v>2600</v>
      </c>
      <c r="G253" s="39" t="s">
        <v>3</v>
      </c>
      <c r="H253" s="39">
        <v>4</v>
      </c>
      <c r="I253" s="40" t="s">
        <v>40</v>
      </c>
      <c r="J253" s="103">
        <v>75</v>
      </c>
      <c r="K253" s="104">
        <v>300</v>
      </c>
      <c r="L253" s="104">
        <v>2600</v>
      </c>
      <c r="M253" s="150">
        <v>26.559707995010001</v>
      </c>
      <c r="N253" s="66">
        <v>1190.1599999999999</v>
      </c>
      <c r="O253" s="111">
        <v>44124.228899120331</v>
      </c>
      <c r="P253" s="111">
        <v>51192.439028805456</v>
      </c>
      <c r="Q253" s="110">
        <v>34160.019476619018</v>
      </c>
      <c r="R253" s="258">
        <v>78284.248375739349</v>
      </c>
      <c r="S253" s="259">
        <v>85352.458505424467</v>
      </c>
      <c r="U253" s="7" t="s">
        <v>1534</v>
      </c>
    </row>
    <row r="254" spans="1:21" ht="16.5" thickBot="1">
      <c r="A254" s="41" t="s">
        <v>31</v>
      </c>
      <c r="B254" s="42">
        <f t="shared" si="12"/>
        <v>75</v>
      </c>
      <c r="C254" s="42" t="s">
        <v>3</v>
      </c>
      <c r="D254" s="42">
        <f t="shared" si="13"/>
        <v>300</v>
      </c>
      <c r="E254" s="42" t="s">
        <v>3</v>
      </c>
      <c r="F254" s="101">
        <f t="shared" si="14"/>
        <v>2650</v>
      </c>
      <c r="G254" s="42" t="s">
        <v>3</v>
      </c>
      <c r="H254" s="39">
        <v>4</v>
      </c>
      <c r="I254" s="40" t="s">
        <v>40</v>
      </c>
      <c r="J254" s="103">
        <v>75</v>
      </c>
      <c r="K254" s="104">
        <v>300</v>
      </c>
      <c r="L254" s="104">
        <v>2650</v>
      </c>
      <c r="M254" s="150">
        <v>27.055962802270002</v>
      </c>
      <c r="N254" s="66">
        <v>1216.6079999999999</v>
      </c>
      <c r="O254" s="111">
        <v>44829.188500795623</v>
      </c>
      <c r="P254" s="111">
        <v>52024.317780728874</v>
      </c>
      <c r="Q254" s="110">
        <v>34934.995247374536</v>
      </c>
      <c r="R254" s="258">
        <v>79764.183748170151</v>
      </c>
      <c r="S254" s="259">
        <v>86959.31302810341</v>
      </c>
      <c r="U254" s="7" t="s">
        <v>1535</v>
      </c>
    </row>
    <row r="255" spans="1:21" ht="16.5" thickBot="1">
      <c r="A255" s="41" t="s">
        <v>31</v>
      </c>
      <c r="B255" s="42">
        <f t="shared" si="12"/>
        <v>75</v>
      </c>
      <c r="C255" s="42" t="s">
        <v>3</v>
      </c>
      <c r="D255" s="42">
        <f t="shared" si="13"/>
        <v>300</v>
      </c>
      <c r="E255" s="42" t="s">
        <v>3</v>
      </c>
      <c r="F255" s="101">
        <f t="shared" si="14"/>
        <v>2700</v>
      </c>
      <c r="G255" s="42" t="s">
        <v>3</v>
      </c>
      <c r="H255" s="39">
        <v>4</v>
      </c>
      <c r="I255" s="40" t="s">
        <v>40</v>
      </c>
      <c r="J255" s="103">
        <v>75</v>
      </c>
      <c r="K255" s="104">
        <v>300</v>
      </c>
      <c r="L255" s="104">
        <v>2700</v>
      </c>
      <c r="M255" s="150">
        <v>27.613677609530001</v>
      </c>
      <c r="N255" s="66">
        <v>1243.056</v>
      </c>
      <c r="O255" s="111">
        <v>45618.246437604234</v>
      </c>
      <c r="P255" s="111">
        <v>52937.731635969787</v>
      </c>
      <c r="Q255" s="110">
        <v>35458.637033375046</v>
      </c>
      <c r="R255" s="258">
        <v>81076.883470979286</v>
      </c>
      <c r="S255" s="259">
        <v>88396.36866934484</v>
      </c>
      <c r="U255" s="7" t="s">
        <v>1536</v>
      </c>
    </row>
    <row r="256" spans="1:21" ht="16.5" thickBot="1">
      <c r="A256" s="41" t="s">
        <v>31</v>
      </c>
      <c r="B256" s="42">
        <f t="shared" si="12"/>
        <v>75</v>
      </c>
      <c r="C256" s="42" t="s">
        <v>3</v>
      </c>
      <c r="D256" s="42">
        <f t="shared" si="13"/>
        <v>300</v>
      </c>
      <c r="E256" s="42" t="s">
        <v>3</v>
      </c>
      <c r="F256" s="101">
        <f t="shared" si="14"/>
        <v>2750</v>
      </c>
      <c r="G256" s="42" t="s">
        <v>3</v>
      </c>
      <c r="H256" s="39">
        <v>4</v>
      </c>
      <c r="I256" s="40" t="s">
        <v>40</v>
      </c>
      <c r="J256" s="103">
        <v>75</v>
      </c>
      <c r="K256" s="104">
        <v>300</v>
      </c>
      <c r="L256" s="104">
        <v>2750</v>
      </c>
      <c r="M256" s="150">
        <v>28.092892416790001</v>
      </c>
      <c r="N256" s="66">
        <v>1269.5040000000001</v>
      </c>
      <c r="O256" s="111">
        <v>46323.205886250755</v>
      </c>
      <c r="P256" s="111">
        <v>53769.610540921967</v>
      </c>
      <c r="Q256" s="110">
        <v>35982.278666346792</v>
      </c>
      <c r="R256" s="258">
        <v>82305.48455259754</v>
      </c>
      <c r="S256" s="259">
        <v>89751.889207268759</v>
      </c>
      <c r="U256" s="7" t="s">
        <v>1537</v>
      </c>
    </row>
    <row r="257" spans="1:21" ht="16.5" thickBot="1">
      <c r="A257" s="41" t="s">
        <v>31</v>
      </c>
      <c r="B257" s="42">
        <f t="shared" si="12"/>
        <v>75</v>
      </c>
      <c r="C257" s="42" t="s">
        <v>3</v>
      </c>
      <c r="D257" s="42">
        <f t="shared" si="13"/>
        <v>300</v>
      </c>
      <c r="E257" s="42" t="s">
        <v>3</v>
      </c>
      <c r="F257" s="101">
        <f t="shared" si="14"/>
        <v>2800</v>
      </c>
      <c r="G257" s="42" t="s">
        <v>3</v>
      </c>
      <c r="H257" s="39">
        <v>4</v>
      </c>
      <c r="I257" s="40" t="s">
        <v>40</v>
      </c>
      <c r="J257" s="103">
        <v>75</v>
      </c>
      <c r="K257" s="104">
        <v>300</v>
      </c>
      <c r="L257" s="104">
        <v>2800</v>
      </c>
      <c r="M257" s="150">
        <v>28.589147224050002</v>
      </c>
      <c r="N257" s="66">
        <v>1295.952</v>
      </c>
      <c r="O257" s="111">
        <v>47028.165487926031</v>
      </c>
      <c r="P257" s="111">
        <v>54601.489445874155</v>
      </c>
      <c r="Q257" s="110">
        <v>36757.25443710231</v>
      </c>
      <c r="R257" s="258">
        <v>83785.419925028342</v>
      </c>
      <c r="S257" s="259">
        <v>91358.743882976472</v>
      </c>
      <c r="U257" s="7" t="s">
        <v>1538</v>
      </c>
    </row>
    <row r="258" spans="1:21" ht="16.5" thickBot="1">
      <c r="A258" s="41" t="s">
        <v>31</v>
      </c>
      <c r="B258" s="42">
        <f t="shared" si="12"/>
        <v>75</v>
      </c>
      <c r="C258" s="42" t="s">
        <v>3</v>
      </c>
      <c r="D258" s="42">
        <f t="shared" si="13"/>
        <v>300</v>
      </c>
      <c r="E258" s="42" t="s">
        <v>3</v>
      </c>
      <c r="F258" s="101">
        <f t="shared" si="14"/>
        <v>2850</v>
      </c>
      <c r="G258" s="42" t="s">
        <v>3</v>
      </c>
      <c r="H258" s="39">
        <v>4</v>
      </c>
      <c r="I258" s="40" t="s">
        <v>40</v>
      </c>
      <c r="J258" s="103">
        <v>75</v>
      </c>
      <c r="K258" s="104">
        <v>300</v>
      </c>
      <c r="L258" s="104">
        <v>2850</v>
      </c>
      <c r="M258" s="150">
        <v>29.068362031309999</v>
      </c>
      <c r="N258" s="66">
        <v>1322.3999999999999</v>
      </c>
      <c r="O258" s="111">
        <v>47733.125089601323</v>
      </c>
      <c r="P258" s="111">
        <v>55433.368350826342</v>
      </c>
      <c r="Q258" s="110">
        <v>37280.89622310282</v>
      </c>
      <c r="R258" s="258">
        <v>85014.021312704135</v>
      </c>
      <c r="S258" s="259">
        <v>92714.264573929162</v>
      </c>
      <c r="U258" s="7" t="s">
        <v>1539</v>
      </c>
    </row>
    <row r="259" spans="1:21" ht="16.5" thickBot="1">
      <c r="A259" s="41" t="s">
        <v>31</v>
      </c>
      <c r="B259" s="42">
        <f t="shared" si="12"/>
        <v>75</v>
      </c>
      <c r="C259" s="42" t="s">
        <v>3</v>
      </c>
      <c r="D259" s="42">
        <f t="shared" si="13"/>
        <v>300</v>
      </c>
      <c r="E259" s="42" t="s">
        <v>3</v>
      </c>
      <c r="F259" s="101">
        <f t="shared" si="14"/>
        <v>2900</v>
      </c>
      <c r="G259" s="42" t="s">
        <v>3</v>
      </c>
      <c r="H259" s="39">
        <v>4</v>
      </c>
      <c r="I259" s="40" t="s">
        <v>40</v>
      </c>
      <c r="J259" s="103">
        <v>75</v>
      </c>
      <c r="K259" s="104">
        <v>300</v>
      </c>
      <c r="L259" s="104">
        <v>2900</v>
      </c>
      <c r="M259" s="150">
        <v>29.56461683857</v>
      </c>
      <c r="N259" s="66">
        <v>1348.848</v>
      </c>
      <c r="O259" s="111">
        <v>48438.084691276606</v>
      </c>
      <c r="P259" s="111">
        <v>56265.24710274976</v>
      </c>
      <c r="Q259" s="110">
        <v>38055.871993858338</v>
      </c>
      <c r="R259" s="258">
        <v>86493.956685134937</v>
      </c>
      <c r="S259" s="259">
        <v>94321.119096608105</v>
      </c>
      <c r="U259" s="7" t="s">
        <v>1540</v>
      </c>
    </row>
    <row r="260" spans="1:21" ht="16.5" thickBot="1">
      <c r="A260" s="41" t="s">
        <v>31</v>
      </c>
      <c r="B260" s="42">
        <f t="shared" si="12"/>
        <v>75</v>
      </c>
      <c r="C260" s="42" t="s">
        <v>3</v>
      </c>
      <c r="D260" s="42">
        <f t="shared" si="13"/>
        <v>300</v>
      </c>
      <c r="E260" s="42" t="s">
        <v>3</v>
      </c>
      <c r="F260" s="101">
        <f t="shared" si="14"/>
        <v>2950</v>
      </c>
      <c r="G260" s="42" t="s">
        <v>3</v>
      </c>
      <c r="H260" s="39">
        <v>4</v>
      </c>
      <c r="I260" s="40" t="s">
        <v>40</v>
      </c>
      <c r="J260" s="103">
        <v>75</v>
      </c>
      <c r="K260" s="104">
        <v>300</v>
      </c>
      <c r="L260" s="104">
        <v>2950</v>
      </c>
      <c r="M260" s="150">
        <v>30.043831645829997</v>
      </c>
      <c r="N260" s="66">
        <v>1375.2959999999998</v>
      </c>
      <c r="O260" s="111">
        <v>49143.04429295189</v>
      </c>
      <c r="P260" s="111">
        <v>57097.126007701947</v>
      </c>
      <c r="Q260" s="110">
        <v>38579.513779858848</v>
      </c>
      <c r="R260" s="258">
        <v>87722.558072810731</v>
      </c>
      <c r="S260" s="259">
        <v>95676.639787560795</v>
      </c>
      <c r="U260" s="7" t="s">
        <v>1541</v>
      </c>
    </row>
    <row r="261" spans="1:21" ht="16.5" thickBot="1">
      <c r="A261" s="43" t="s">
        <v>31</v>
      </c>
      <c r="B261" s="44">
        <f t="shared" si="12"/>
        <v>75</v>
      </c>
      <c r="C261" s="44" t="s">
        <v>3</v>
      </c>
      <c r="D261" s="44">
        <f t="shared" si="13"/>
        <v>300</v>
      </c>
      <c r="E261" s="44" t="s">
        <v>3</v>
      </c>
      <c r="F261" s="102">
        <f t="shared" si="14"/>
        <v>3000</v>
      </c>
      <c r="G261" s="44" t="s">
        <v>3</v>
      </c>
      <c r="H261" s="46">
        <v>4</v>
      </c>
      <c r="I261" s="45" t="s">
        <v>40</v>
      </c>
      <c r="J261" s="125">
        <v>75</v>
      </c>
      <c r="K261" s="134">
        <v>300</v>
      </c>
      <c r="L261" s="134">
        <v>3000</v>
      </c>
      <c r="M261" s="152">
        <v>30.540086453089998</v>
      </c>
      <c r="N261" s="126">
        <v>1401.7439999999999</v>
      </c>
      <c r="O261" s="135">
        <v>49848.003741598412</v>
      </c>
      <c r="P261" s="135">
        <v>57929.004912654142</v>
      </c>
      <c r="Q261" s="136">
        <v>39354.489550614366</v>
      </c>
      <c r="R261" s="260">
        <v>89202.493292212777</v>
      </c>
      <c r="S261" s="261">
        <v>97283.494463268507</v>
      </c>
      <c r="U261" s="7" t="s">
        <v>1542</v>
      </c>
    </row>
    <row r="262" spans="1:21" ht="22.5" customHeight="1" thickBot="1">
      <c r="A262" s="3010" t="s">
        <v>44</v>
      </c>
      <c r="B262" s="3011"/>
      <c r="C262" s="3011"/>
      <c r="D262" s="3011"/>
      <c r="E262" s="3011"/>
      <c r="F262" s="3011"/>
      <c r="G262" s="3011"/>
      <c r="H262" s="3011"/>
      <c r="I262" s="3011"/>
      <c r="J262" s="3011"/>
      <c r="K262" s="3011"/>
      <c r="L262" s="3011"/>
      <c r="M262" s="3011"/>
      <c r="N262" s="3011"/>
      <c r="O262" s="3011"/>
      <c r="P262" s="3011"/>
      <c r="Q262" s="3011"/>
      <c r="R262" s="3011"/>
      <c r="S262" s="3012"/>
      <c r="U262" s="7"/>
    </row>
    <row r="263" spans="1:21" ht="16.5" thickBot="1">
      <c r="A263" s="2974" t="s">
        <v>113</v>
      </c>
      <c r="B263" s="2975"/>
      <c r="C263" s="2975"/>
      <c r="D263" s="2975"/>
      <c r="E263" s="2975"/>
      <c r="F263" s="2975"/>
      <c r="G263" s="2975"/>
      <c r="H263" s="2975"/>
      <c r="I263" s="2975"/>
      <c r="J263" s="2975"/>
      <c r="K263" s="2975"/>
      <c r="L263" s="2975"/>
      <c r="M263" s="2975"/>
      <c r="N263" s="2975"/>
      <c r="O263" s="2975"/>
      <c r="P263" s="2975"/>
      <c r="Q263" s="2975"/>
      <c r="R263" s="2975"/>
      <c r="S263" s="2976"/>
      <c r="U263" s="7"/>
    </row>
    <row r="264" spans="1:21" ht="16.5" thickBot="1">
      <c r="A264" s="38" t="s">
        <v>31</v>
      </c>
      <c r="B264" s="39">
        <f>J264</f>
        <v>75</v>
      </c>
      <c r="C264" s="39" t="s">
        <v>3</v>
      </c>
      <c r="D264" s="39">
        <f>K264</f>
        <v>360</v>
      </c>
      <c r="E264" s="39" t="s">
        <v>3</v>
      </c>
      <c r="F264" s="101">
        <f>L264</f>
        <v>600</v>
      </c>
      <c r="G264" s="39" t="s">
        <v>3</v>
      </c>
      <c r="H264" s="39">
        <v>4</v>
      </c>
      <c r="I264" s="40" t="s">
        <v>40</v>
      </c>
      <c r="J264" s="121">
        <v>75</v>
      </c>
      <c r="K264" s="138">
        <v>360</v>
      </c>
      <c r="L264" s="138">
        <v>600</v>
      </c>
      <c r="M264" s="147">
        <v>7.3434853416942119</v>
      </c>
      <c r="N264" s="122">
        <v>142.04670000000002</v>
      </c>
      <c r="O264" s="148">
        <v>14641.602644520013</v>
      </c>
      <c r="P264" s="148">
        <v>17103.202242351177</v>
      </c>
      <c r="Q264" s="139">
        <v>10032.760953270536</v>
      </c>
      <c r="R264" s="256">
        <v>24674.363597790551</v>
      </c>
      <c r="S264" s="257">
        <v>27135.963195621713</v>
      </c>
      <c r="U264" s="7" t="s">
        <v>1543</v>
      </c>
    </row>
    <row r="265" spans="1:21" ht="16.5" thickBot="1">
      <c r="A265" s="41" t="s">
        <v>31</v>
      </c>
      <c r="B265" s="42">
        <f t="shared" ref="B265:B312" si="15">J265</f>
        <v>75</v>
      </c>
      <c r="C265" s="42" t="s">
        <v>3</v>
      </c>
      <c r="D265" s="42">
        <f t="shared" ref="D265:D312" si="16">K265</f>
        <v>360</v>
      </c>
      <c r="E265" s="42" t="s">
        <v>3</v>
      </c>
      <c r="F265" s="101">
        <f t="shared" ref="F265:F312" si="17">L265</f>
        <v>650</v>
      </c>
      <c r="G265" s="42" t="s">
        <v>3</v>
      </c>
      <c r="H265" s="39">
        <v>4</v>
      </c>
      <c r="I265" s="40" t="s">
        <v>40</v>
      </c>
      <c r="J265" s="103">
        <v>75</v>
      </c>
      <c r="K265" s="104">
        <v>360</v>
      </c>
      <c r="L265" s="104">
        <v>650</v>
      </c>
      <c r="M265" s="150">
        <v>7.8927079558363165</v>
      </c>
      <c r="N265" s="66">
        <v>170.45604</v>
      </c>
      <c r="O265" s="111">
        <v>15377.211918475889</v>
      </c>
      <c r="P265" s="111">
        <v>18065.905897695022</v>
      </c>
      <c r="Q265" s="110">
        <v>10636.181837508726</v>
      </c>
      <c r="R265" s="258">
        <v>26013.393755984616</v>
      </c>
      <c r="S265" s="259">
        <v>28702.08773520375</v>
      </c>
      <c r="U265" s="7" t="s">
        <v>1544</v>
      </c>
    </row>
    <row r="266" spans="1:21" ht="16.5" thickBot="1">
      <c r="A266" s="41" t="s">
        <v>31</v>
      </c>
      <c r="B266" s="42">
        <f t="shared" si="15"/>
        <v>75</v>
      </c>
      <c r="C266" s="42" t="s">
        <v>3</v>
      </c>
      <c r="D266" s="42">
        <f t="shared" si="16"/>
        <v>360</v>
      </c>
      <c r="E266" s="42" t="s">
        <v>3</v>
      </c>
      <c r="F266" s="101">
        <f t="shared" si="17"/>
        <v>700</v>
      </c>
      <c r="G266" s="42" t="s">
        <v>3</v>
      </c>
      <c r="H266" s="39">
        <v>4</v>
      </c>
      <c r="I266" s="40" t="s">
        <v>40</v>
      </c>
      <c r="J266" s="103">
        <v>75</v>
      </c>
      <c r="K266" s="104">
        <v>360</v>
      </c>
      <c r="L266" s="104">
        <v>700</v>
      </c>
      <c r="M266" s="150">
        <v>8.4380150954384199</v>
      </c>
      <c r="N266" s="66">
        <v>198.86538000000002</v>
      </c>
      <c r="O266" s="111">
        <v>16112.821192431762</v>
      </c>
      <c r="P266" s="111">
        <v>18954.039706994809</v>
      </c>
      <c r="Q266" s="110">
        <v>11490.936859530682</v>
      </c>
      <c r="R266" s="258">
        <v>27603.758051962446</v>
      </c>
      <c r="S266" s="259">
        <v>30444.976566525489</v>
      </c>
      <c r="U266" s="7" t="s">
        <v>1545</v>
      </c>
    </row>
    <row r="267" spans="1:21" ht="16.5" thickBot="1">
      <c r="A267" s="41" t="s">
        <v>31</v>
      </c>
      <c r="B267" s="42">
        <f t="shared" si="15"/>
        <v>75</v>
      </c>
      <c r="C267" s="42" t="s">
        <v>3</v>
      </c>
      <c r="D267" s="42">
        <f t="shared" si="16"/>
        <v>360</v>
      </c>
      <c r="E267" s="42" t="s">
        <v>3</v>
      </c>
      <c r="F267" s="101">
        <f t="shared" si="17"/>
        <v>750</v>
      </c>
      <c r="G267" s="42" t="s">
        <v>3</v>
      </c>
      <c r="H267" s="39">
        <v>4</v>
      </c>
      <c r="I267" s="40" t="s">
        <v>40</v>
      </c>
      <c r="J267" s="103">
        <v>75</v>
      </c>
      <c r="K267" s="104">
        <v>360</v>
      </c>
      <c r="L267" s="104">
        <v>750</v>
      </c>
      <c r="M267" s="150">
        <v>8.9662822350405271</v>
      </c>
      <c r="N267" s="66">
        <v>227.27472</v>
      </c>
      <c r="O267" s="111">
        <v>16848.430466387639</v>
      </c>
      <c r="P267" s="111">
        <v>19842.173363265832</v>
      </c>
      <c r="Q267" s="110">
        <v>12094.357743768871</v>
      </c>
      <c r="R267" s="258">
        <v>28942.788210156512</v>
      </c>
      <c r="S267" s="259">
        <v>31936.531107034702</v>
      </c>
      <c r="U267" s="7" t="s">
        <v>1546</v>
      </c>
    </row>
    <row r="268" spans="1:21" ht="16.5" thickBot="1">
      <c r="A268" s="41" t="s">
        <v>31</v>
      </c>
      <c r="B268" s="42">
        <f t="shared" si="15"/>
        <v>75</v>
      </c>
      <c r="C268" s="42" t="s">
        <v>3</v>
      </c>
      <c r="D268" s="42">
        <f t="shared" si="16"/>
        <v>360</v>
      </c>
      <c r="E268" s="42" t="s">
        <v>3</v>
      </c>
      <c r="F268" s="101">
        <f t="shared" si="17"/>
        <v>800</v>
      </c>
      <c r="G268" s="42" t="s">
        <v>3</v>
      </c>
      <c r="H268" s="39">
        <v>4</v>
      </c>
      <c r="I268" s="40" t="s">
        <v>40</v>
      </c>
      <c r="J268" s="103">
        <v>75</v>
      </c>
      <c r="K268" s="104">
        <v>360</v>
      </c>
      <c r="L268" s="104">
        <v>800</v>
      </c>
      <c r="M268" s="150">
        <v>9.4945493746426326</v>
      </c>
      <c r="N268" s="66">
        <v>255.68405999999999</v>
      </c>
      <c r="O268" s="111">
        <v>17584.039740343516</v>
      </c>
      <c r="P268" s="111">
        <v>20730.307172565623</v>
      </c>
      <c r="Q268" s="110">
        <v>12697.77862800706</v>
      </c>
      <c r="R268" s="258">
        <v>30281.818368350578</v>
      </c>
      <c r="S268" s="259">
        <v>33428.085800572684</v>
      </c>
      <c r="U268" s="7" t="s">
        <v>1547</v>
      </c>
    </row>
    <row r="269" spans="1:21" ht="16.5" thickBot="1">
      <c r="A269" s="41" t="s">
        <v>31</v>
      </c>
      <c r="B269" s="42">
        <f t="shared" si="15"/>
        <v>75</v>
      </c>
      <c r="C269" s="42" t="s">
        <v>3</v>
      </c>
      <c r="D269" s="42">
        <f t="shared" si="16"/>
        <v>360</v>
      </c>
      <c r="E269" s="42" t="s">
        <v>3</v>
      </c>
      <c r="F269" s="101">
        <f t="shared" si="17"/>
        <v>850</v>
      </c>
      <c r="G269" s="42" t="s">
        <v>3</v>
      </c>
      <c r="H269" s="39">
        <v>4</v>
      </c>
      <c r="I269" s="40" t="s">
        <v>40</v>
      </c>
      <c r="J269" s="103">
        <v>75</v>
      </c>
      <c r="K269" s="104">
        <v>360</v>
      </c>
      <c r="L269" s="104">
        <v>850</v>
      </c>
      <c r="M269" s="150">
        <v>10.039856514244738</v>
      </c>
      <c r="N269" s="66">
        <v>284.09340000000003</v>
      </c>
      <c r="O269" s="111">
        <v>18319.64901429939</v>
      </c>
      <c r="P269" s="111">
        <v>21618.440828836647</v>
      </c>
      <c r="Q269" s="110">
        <v>13552.533650029018</v>
      </c>
      <c r="R269" s="258">
        <v>31872.182664328408</v>
      </c>
      <c r="S269" s="259">
        <v>35170.974478865668</v>
      </c>
      <c r="U269" s="7" t="s">
        <v>1548</v>
      </c>
    </row>
    <row r="270" spans="1:21" ht="16.5" thickBot="1">
      <c r="A270" s="41" t="s">
        <v>31</v>
      </c>
      <c r="B270" s="42">
        <f t="shared" si="15"/>
        <v>75</v>
      </c>
      <c r="C270" s="42" t="s">
        <v>3</v>
      </c>
      <c r="D270" s="42">
        <f t="shared" si="16"/>
        <v>360</v>
      </c>
      <c r="E270" s="42" t="s">
        <v>3</v>
      </c>
      <c r="F270" s="101">
        <f t="shared" si="17"/>
        <v>900</v>
      </c>
      <c r="G270" s="42" t="s">
        <v>3</v>
      </c>
      <c r="H270" s="39">
        <v>4</v>
      </c>
      <c r="I270" s="40" t="s">
        <v>40</v>
      </c>
      <c r="J270" s="103">
        <v>75</v>
      </c>
      <c r="K270" s="104">
        <v>360</v>
      </c>
      <c r="L270" s="104">
        <v>900</v>
      </c>
      <c r="M270" s="150">
        <v>10.568123653846845</v>
      </c>
      <c r="N270" s="66">
        <v>312.50273999999996</v>
      </c>
      <c r="O270" s="111">
        <v>19055.258288255263</v>
      </c>
      <c r="P270" s="111">
        <v>22506.574638136433</v>
      </c>
      <c r="Q270" s="110">
        <v>14155.954534267206</v>
      </c>
      <c r="R270" s="258">
        <v>33211.212822522473</v>
      </c>
      <c r="S270" s="259">
        <v>36662.529172403636</v>
      </c>
      <c r="U270" s="7" t="s">
        <v>1549</v>
      </c>
    </row>
    <row r="271" spans="1:21" ht="16.5" thickBot="1">
      <c r="A271" s="41" t="s">
        <v>31</v>
      </c>
      <c r="B271" s="42">
        <f t="shared" si="15"/>
        <v>75</v>
      </c>
      <c r="C271" s="42" t="s">
        <v>3</v>
      </c>
      <c r="D271" s="42">
        <f t="shared" si="16"/>
        <v>360</v>
      </c>
      <c r="E271" s="42" t="s">
        <v>3</v>
      </c>
      <c r="F271" s="101">
        <f t="shared" si="17"/>
        <v>950</v>
      </c>
      <c r="G271" s="42" t="s">
        <v>3</v>
      </c>
      <c r="H271" s="39">
        <v>4</v>
      </c>
      <c r="I271" s="40" t="s">
        <v>40</v>
      </c>
      <c r="J271" s="103">
        <v>75</v>
      </c>
      <c r="K271" s="104">
        <v>360</v>
      </c>
      <c r="L271" s="104">
        <v>950</v>
      </c>
      <c r="M271" s="150">
        <v>11.113430793448948</v>
      </c>
      <c r="N271" s="66">
        <v>340.91208</v>
      </c>
      <c r="O271" s="111">
        <v>19790.867409182374</v>
      </c>
      <c r="P271" s="111">
        <v>23394.708294407454</v>
      </c>
      <c r="Q271" s="110">
        <v>15010.709556289165</v>
      </c>
      <c r="R271" s="258">
        <v>34801.57696547154</v>
      </c>
      <c r="S271" s="259">
        <v>38405.41785069662</v>
      </c>
      <c r="U271" s="7" t="s">
        <v>1550</v>
      </c>
    </row>
    <row r="272" spans="1:21" ht="16.5" thickBot="1">
      <c r="A272" s="41" t="s">
        <v>31</v>
      </c>
      <c r="B272" s="42">
        <f t="shared" si="15"/>
        <v>75</v>
      </c>
      <c r="C272" s="42" t="s">
        <v>3</v>
      </c>
      <c r="D272" s="42">
        <f t="shared" si="16"/>
        <v>360</v>
      </c>
      <c r="E272" s="42" t="s">
        <v>3</v>
      </c>
      <c r="F272" s="101">
        <f t="shared" si="17"/>
        <v>1000</v>
      </c>
      <c r="G272" s="42" t="s">
        <v>3</v>
      </c>
      <c r="H272" s="39">
        <v>4</v>
      </c>
      <c r="I272" s="40" t="s">
        <v>40</v>
      </c>
      <c r="J272" s="103">
        <v>75</v>
      </c>
      <c r="K272" s="104">
        <v>360</v>
      </c>
      <c r="L272" s="104">
        <v>1000</v>
      </c>
      <c r="M272" s="150">
        <v>11.641697933051054</v>
      </c>
      <c r="N272" s="66">
        <v>369.32141999999999</v>
      </c>
      <c r="O272" s="111">
        <v>20526.476683138251</v>
      </c>
      <c r="P272" s="111">
        <v>24282.841950678478</v>
      </c>
      <c r="Q272" s="110">
        <v>15614.130440527351</v>
      </c>
      <c r="R272" s="258">
        <v>36140.607123665599</v>
      </c>
      <c r="S272" s="259">
        <v>39896.972391205825</v>
      </c>
      <c r="U272" s="7" t="s">
        <v>1551</v>
      </c>
    </row>
    <row r="273" spans="1:21" ht="16.5" thickBot="1">
      <c r="A273" s="41" t="s">
        <v>31</v>
      </c>
      <c r="B273" s="42">
        <f t="shared" si="15"/>
        <v>75</v>
      </c>
      <c r="C273" s="42" t="s">
        <v>3</v>
      </c>
      <c r="D273" s="42">
        <f t="shared" si="16"/>
        <v>360</v>
      </c>
      <c r="E273" s="42" t="s">
        <v>3</v>
      </c>
      <c r="F273" s="101">
        <f t="shared" si="17"/>
        <v>1050</v>
      </c>
      <c r="G273" s="42" t="s">
        <v>3</v>
      </c>
      <c r="H273" s="39">
        <v>4</v>
      </c>
      <c r="I273" s="40" t="s">
        <v>40</v>
      </c>
      <c r="J273" s="103">
        <v>75</v>
      </c>
      <c r="K273" s="104">
        <v>360</v>
      </c>
      <c r="L273" s="104">
        <v>1050</v>
      </c>
      <c r="M273" s="150">
        <v>12.187005072653159</v>
      </c>
      <c r="N273" s="66">
        <v>397.73076000000003</v>
      </c>
      <c r="O273" s="111">
        <v>21262.085957094125</v>
      </c>
      <c r="P273" s="111">
        <v>25170.975759978264</v>
      </c>
      <c r="Q273" s="110">
        <v>16468.885462549311</v>
      </c>
      <c r="R273" s="258">
        <v>37730.971419643436</v>
      </c>
      <c r="S273" s="259">
        <v>41639.861222527572</v>
      </c>
      <c r="U273" s="7" t="s">
        <v>1552</v>
      </c>
    </row>
    <row r="274" spans="1:21" ht="16.5" thickBot="1">
      <c r="A274" s="38" t="s">
        <v>31</v>
      </c>
      <c r="B274" s="39">
        <f t="shared" si="15"/>
        <v>75</v>
      </c>
      <c r="C274" s="39" t="s">
        <v>3</v>
      </c>
      <c r="D274" s="39">
        <f t="shared" si="16"/>
        <v>360</v>
      </c>
      <c r="E274" s="39" t="s">
        <v>3</v>
      </c>
      <c r="F274" s="101">
        <f t="shared" si="17"/>
        <v>1100</v>
      </c>
      <c r="G274" s="39" t="s">
        <v>3</v>
      </c>
      <c r="H274" s="39">
        <v>4</v>
      </c>
      <c r="I274" s="40" t="s">
        <v>40</v>
      </c>
      <c r="J274" s="103">
        <v>75</v>
      </c>
      <c r="K274" s="104">
        <v>360</v>
      </c>
      <c r="L274" s="104">
        <v>1100</v>
      </c>
      <c r="M274" s="150">
        <v>12.715272212255265</v>
      </c>
      <c r="N274" s="66">
        <v>426.14010000000002</v>
      </c>
      <c r="O274" s="111">
        <v>21997.695231049998</v>
      </c>
      <c r="P274" s="111">
        <v>26059.109416249292</v>
      </c>
      <c r="Q274" s="110">
        <v>17072.3063467875</v>
      </c>
      <c r="R274" s="258">
        <v>39070.001577837495</v>
      </c>
      <c r="S274" s="259">
        <v>43131.415763036792</v>
      </c>
      <c r="U274" s="7" t="s">
        <v>1553</v>
      </c>
    </row>
    <row r="275" spans="1:21" ht="16.5" thickBot="1">
      <c r="A275" s="41" t="s">
        <v>31</v>
      </c>
      <c r="B275" s="42">
        <f t="shared" si="15"/>
        <v>75</v>
      </c>
      <c r="C275" s="42" t="s">
        <v>3</v>
      </c>
      <c r="D275" s="42">
        <f t="shared" si="16"/>
        <v>360</v>
      </c>
      <c r="E275" s="42" t="s">
        <v>3</v>
      </c>
      <c r="F275" s="101">
        <f t="shared" si="17"/>
        <v>1150</v>
      </c>
      <c r="G275" s="42" t="s">
        <v>3</v>
      </c>
      <c r="H275" s="39">
        <v>4</v>
      </c>
      <c r="I275" s="40" t="s">
        <v>40</v>
      </c>
      <c r="J275" s="103">
        <v>75</v>
      </c>
      <c r="K275" s="104">
        <v>360</v>
      </c>
      <c r="L275" s="104">
        <v>1150</v>
      </c>
      <c r="M275" s="150">
        <v>13.243539351857368</v>
      </c>
      <c r="N275" s="66">
        <v>454.54944</v>
      </c>
      <c r="O275" s="111">
        <v>22733.304505005872</v>
      </c>
      <c r="P275" s="111">
        <v>26947.243225549078</v>
      </c>
      <c r="Q275" s="110">
        <v>17675.727231025689</v>
      </c>
      <c r="R275" s="258">
        <v>40409.03173603156</v>
      </c>
      <c r="S275" s="259">
        <v>44622.970456574767</v>
      </c>
      <c r="U275" s="7" t="s">
        <v>1554</v>
      </c>
    </row>
    <row r="276" spans="1:21" ht="16.5" thickBot="1">
      <c r="A276" s="41" t="s">
        <v>31</v>
      </c>
      <c r="B276" s="42">
        <f t="shared" si="15"/>
        <v>75</v>
      </c>
      <c r="C276" s="42" t="s">
        <v>3</v>
      </c>
      <c r="D276" s="42">
        <f t="shared" si="16"/>
        <v>360</v>
      </c>
      <c r="E276" s="42" t="s">
        <v>3</v>
      </c>
      <c r="F276" s="101">
        <f t="shared" si="17"/>
        <v>1200</v>
      </c>
      <c r="G276" s="42" t="s">
        <v>3</v>
      </c>
      <c r="H276" s="39">
        <v>4</v>
      </c>
      <c r="I276" s="40" t="s">
        <v>40</v>
      </c>
      <c r="J276" s="103">
        <v>75</v>
      </c>
      <c r="K276" s="104">
        <v>360</v>
      </c>
      <c r="L276" s="104">
        <v>1200</v>
      </c>
      <c r="M276" s="150">
        <v>13.867346491459472</v>
      </c>
      <c r="N276" s="66">
        <v>482.95878000000005</v>
      </c>
      <c r="O276" s="111">
        <v>23553.011961066313</v>
      </c>
      <c r="P276" s="111">
        <v>27916.911832108821</v>
      </c>
      <c r="Q276" s="110">
        <v>18530.482406076411</v>
      </c>
      <c r="R276" s="258">
        <v>42083.494367142725</v>
      </c>
      <c r="S276" s="259">
        <v>46447.394238185232</v>
      </c>
      <c r="U276" s="7" t="s">
        <v>1555</v>
      </c>
    </row>
    <row r="277" spans="1:21" ht="16.5" thickBot="1">
      <c r="A277" s="41" t="s">
        <v>31</v>
      </c>
      <c r="B277" s="42">
        <f t="shared" si="15"/>
        <v>75</v>
      </c>
      <c r="C277" s="42" t="s">
        <v>3</v>
      </c>
      <c r="D277" s="42">
        <f t="shared" si="16"/>
        <v>360</v>
      </c>
      <c r="E277" s="42" t="s">
        <v>3</v>
      </c>
      <c r="F277" s="101">
        <f t="shared" si="17"/>
        <v>1250</v>
      </c>
      <c r="G277" s="42" t="s">
        <v>3</v>
      </c>
      <c r="H277" s="39">
        <v>4</v>
      </c>
      <c r="I277" s="40" t="s">
        <v>40</v>
      </c>
      <c r="J277" s="103">
        <v>75</v>
      </c>
      <c r="K277" s="104">
        <v>360</v>
      </c>
      <c r="L277" s="104">
        <v>1250</v>
      </c>
      <c r="M277" s="150">
        <v>14.395613631061579</v>
      </c>
      <c r="N277" s="66">
        <v>511.36811999999998</v>
      </c>
      <c r="O277" s="111">
        <v>24288.62123502219</v>
      </c>
      <c r="P277" s="111">
        <v>28805.045488379845</v>
      </c>
      <c r="Q277" s="110">
        <v>19133.9032903146</v>
      </c>
      <c r="R277" s="258">
        <v>43422.52452533679</v>
      </c>
      <c r="S277" s="259">
        <v>47938.948778694445</v>
      </c>
      <c r="U277" s="7" t="s">
        <v>1556</v>
      </c>
    </row>
    <row r="278" spans="1:21" ht="16.5" thickBot="1">
      <c r="A278" s="41" t="s">
        <v>31</v>
      </c>
      <c r="B278" s="42">
        <f t="shared" si="15"/>
        <v>75</v>
      </c>
      <c r="C278" s="42" t="s">
        <v>3</v>
      </c>
      <c r="D278" s="42">
        <f t="shared" si="16"/>
        <v>360</v>
      </c>
      <c r="E278" s="42" t="s">
        <v>3</v>
      </c>
      <c r="F278" s="101">
        <f t="shared" si="17"/>
        <v>1300</v>
      </c>
      <c r="G278" s="42" t="s">
        <v>3</v>
      </c>
      <c r="H278" s="39">
        <v>4</v>
      </c>
      <c r="I278" s="40" t="s">
        <v>40</v>
      </c>
      <c r="J278" s="103">
        <v>75</v>
      </c>
      <c r="K278" s="104">
        <v>360</v>
      </c>
      <c r="L278" s="104">
        <v>1300</v>
      </c>
      <c r="M278" s="150">
        <v>14.940920770663684</v>
      </c>
      <c r="N278" s="66">
        <v>539.77746000000002</v>
      </c>
      <c r="O278" s="111">
        <v>25024.230508978064</v>
      </c>
      <c r="P278" s="111">
        <v>29693.179297679635</v>
      </c>
      <c r="Q278" s="110">
        <v>19988.658312336556</v>
      </c>
      <c r="R278" s="258">
        <v>45012.88882131462</v>
      </c>
      <c r="S278" s="259">
        <v>49681.837610016191</v>
      </c>
      <c r="U278" s="7" t="s">
        <v>1557</v>
      </c>
    </row>
    <row r="279" spans="1:21" ht="16.5" thickBot="1">
      <c r="A279" s="41" t="s">
        <v>31</v>
      </c>
      <c r="B279" s="42">
        <f t="shared" si="15"/>
        <v>75</v>
      </c>
      <c r="C279" s="42" t="s">
        <v>3</v>
      </c>
      <c r="D279" s="42">
        <f t="shared" si="16"/>
        <v>360</v>
      </c>
      <c r="E279" s="42" t="s">
        <v>3</v>
      </c>
      <c r="F279" s="101">
        <f t="shared" si="17"/>
        <v>1350</v>
      </c>
      <c r="G279" s="42" t="s">
        <v>3</v>
      </c>
      <c r="H279" s="39">
        <v>4</v>
      </c>
      <c r="I279" s="40" t="s">
        <v>40</v>
      </c>
      <c r="J279" s="103">
        <v>75</v>
      </c>
      <c r="K279" s="104">
        <v>360</v>
      </c>
      <c r="L279" s="104">
        <v>1350</v>
      </c>
      <c r="M279" s="150">
        <v>15.46918791026579</v>
      </c>
      <c r="N279" s="66">
        <v>568.18680000000006</v>
      </c>
      <c r="O279" s="111">
        <v>25759.839782933941</v>
      </c>
      <c r="P279" s="111">
        <v>30581.312953950659</v>
      </c>
      <c r="Q279" s="110">
        <v>20592.079196574745</v>
      </c>
      <c r="R279" s="258">
        <v>46351.918979508686</v>
      </c>
      <c r="S279" s="259">
        <v>51173.392150525404</v>
      </c>
      <c r="U279" s="7" t="s">
        <v>1558</v>
      </c>
    </row>
    <row r="280" spans="1:21" ht="16.5" thickBot="1">
      <c r="A280" s="41" t="s">
        <v>31</v>
      </c>
      <c r="B280" s="42">
        <f t="shared" si="15"/>
        <v>75</v>
      </c>
      <c r="C280" s="42" t="s">
        <v>3</v>
      </c>
      <c r="D280" s="42">
        <f t="shared" si="16"/>
        <v>360</v>
      </c>
      <c r="E280" s="42" t="s">
        <v>3</v>
      </c>
      <c r="F280" s="101">
        <f t="shared" si="17"/>
        <v>1400</v>
      </c>
      <c r="G280" s="42" t="s">
        <v>3</v>
      </c>
      <c r="H280" s="39">
        <v>4</v>
      </c>
      <c r="I280" s="40" t="s">
        <v>40</v>
      </c>
      <c r="J280" s="103">
        <v>75</v>
      </c>
      <c r="K280" s="104">
        <v>360</v>
      </c>
      <c r="L280" s="104">
        <v>1400</v>
      </c>
      <c r="M280" s="150">
        <v>16.014495049867893</v>
      </c>
      <c r="N280" s="66">
        <v>596.59613999999999</v>
      </c>
      <c r="O280" s="111">
        <v>26495.449056889818</v>
      </c>
      <c r="P280" s="111">
        <v>31469.446610221679</v>
      </c>
      <c r="Q280" s="110">
        <v>21446.834218596705</v>
      </c>
      <c r="R280" s="258">
        <v>47942.283275486523</v>
      </c>
      <c r="S280" s="259">
        <v>52916.280828818388</v>
      </c>
      <c r="U280" s="7" t="s">
        <v>1559</v>
      </c>
    </row>
    <row r="281" spans="1:21" ht="16.5" thickBot="1">
      <c r="A281" s="41" t="s">
        <v>31</v>
      </c>
      <c r="B281" s="42">
        <f t="shared" si="15"/>
        <v>75</v>
      </c>
      <c r="C281" s="42" t="s">
        <v>3</v>
      </c>
      <c r="D281" s="42">
        <f t="shared" si="16"/>
        <v>360</v>
      </c>
      <c r="E281" s="42" t="s">
        <v>3</v>
      </c>
      <c r="F281" s="101">
        <f t="shared" si="17"/>
        <v>1450</v>
      </c>
      <c r="G281" s="42" t="s">
        <v>3</v>
      </c>
      <c r="H281" s="39">
        <v>4</v>
      </c>
      <c r="I281" s="40" t="s">
        <v>40</v>
      </c>
      <c r="J281" s="103">
        <v>75</v>
      </c>
      <c r="K281" s="104">
        <v>360</v>
      </c>
      <c r="L281" s="104">
        <v>1450</v>
      </c>
      <c r="M281" s="150">
        <v>16.542762189470004</v>
      </c>
      <c r="N281" s="66">
        <v>625.00547999999992</v>
      </c>
      <c r="O281" s="111">
        <v>27231.058330845692</v>
      </c>
      <c r="P281" s="111">
        <v>32357.58041952147</v>
      </c>
      <c r="Q281" s="110">
        <v>22050.255102834893</v>
      </c>
      <c r="R281" s="258">
        <v>49281.313433680582</v>
      </c>
      <c r="S281" s="259">
        <v>54407.835522356363</v>
      </c>
      <c r="U281" s="7" t="s">
        <v>1560</v>
      </c>
    </row>
    <row r="282" spans="1:21" ht="16.5" thickBot="1">
      <c r="A282" s="41" t="s">
        <v>31</v>
      </c>
      <c r="B282" s="42">
        <f t="shared" si="15"/>
        <v>75</v>
      </c>
      <c r="C282" s="42" t="s">
        <v>3</v>
      </c>
      <c r="D282" s="42">
        <f t="shared" si="16"/>
        <v>360</v>
      </c>
      <c r="E282" s="42" t="s">
        <v>3</v>
      </c>
      <c r="F282" s="101">
        <f t="shared" si="17"/>
        <v>1500</v>
      </c>
      <c r="G282" s="42" t="s">
        <v>3</v>
      </c>
      <c r="H282" s="39">
        <v>4</v>
      </c>
      <c r="I282" s="40" t="s">
        <v>40</v>
      </c>
      <c r="J282" s="103">
        <v>75</v>
      </c>
      <c r="K282" s="104">
        <v>360</v>
      </c>
      <c r="L282" s="104">
        <v>1500</v>
      </c>
      <c r="M282" s="150">
        <v>17.265026227632106</v>
      </c>
      <c r="N282" s="66">
        <v>653.41482000000008</v>
      </c>
      <c r="O282" s="111">
        <v>28752.911648677062</v>
      </c>
      <c r="P282" s="111">
        <v>33968.071058688547</v>
      </c>
      <c r="Q282" s="110">
        <v>22905.01012485685</v>
      </c>
      <c r="R282" s="258">
        <v>51657.921773533912</v>
      </c>
      <c r="S282" s="259">
        <v>56873.081183545393</v>
      </c>
      <c r="U282" s="7" t="s">
        <v>1561</v>
      </c>
    </row>
    <row r="283" spans="1:21" ht="16.5" thickBot="1">
      <c r="A283" s="41" t="s">
        <v>31</v>
      </c>
      <c r="B283" s="42">
        <f t="shared" si="15"/>
        <v>75</v>
      </c>
      <c r="C283" s="42" t="s">
        <v>3</v>
      </c>
      <c r="D283" s="42">
        <f t="shared" si="16"/>
        <v>360</v>
      </c>
      <c r="E283" s="42" t="s">
        <v>3</v>
      </c>
      <c r="F283" s="101">
        <f t="shared" si="17"/>
        <v>1550</v>
      </c>
      <c r="G283" s="42" t="s">
        <v>3</v>
      </c>
      <c r="H283" s="39">
        <v>4</v>
      </c>
      <c r="I283" s="40" t="s">
        <v>40</v>
      </c>
      <c r="J283" s="103">
        <v>75</v>
      </c>
      <c r="K283" s="104">
        <v>360</v>
      </c>
      <c r="L283" s="104">
        <v>1550</v>
      </c>
      <c r="M283" s="150">
        <v>17.79329336723421</v>
      </c>
      <c r="N283" s="66">
        <v>681.82416000000001</v>
      </c>
      <c r="O283" s="111">
        <v>29488.520922632939</v>
      </c>
      <c r="P283" s="111">
        <v>34856.204714959567</v>
      </c>
      <c r="Q283" s="110">
        <v>23508.431009095038</v>
      </c>
      <c r="R283" s="258">
        <v>52996.951931727977</v>
      </c>
      <c r="S283" s="259">
        <v>58364.635724054606</v>
      </c>
      <c r="U283" s="7" t="s">
        <v>1562</v>
      </c>
    </row>
    <row r="284" spans="1:21" ht="16.5" thickBot="1">
      <c r="A284" s="38" t="s">
        <v>31</v>
      </c>
      <c r="B284" s="39">
        <f t="shared" si="15"/>
        <v>75</v>
      </c>
      <c r="C284" s="39" t="s">
        <v>3</v>
      </c>
      <c r="D284" s="39">
        <f t="shared" si="16"/>
        <v>360</v>
      </c>
      <c r="E284" s="39" t="s">
        <v>3</v>
      </c>
      <c r="F284" s="101">
        <f t="shared" si="17"/>
        <v>1600</v>
      </c>
      <c r="G284" s="39" t="s">
        <v>3</v>
      </c>
      <c r="H284" s="39">
        <v>4</v>
      </c>
      <c r="I284" s="40" t="s">
        <v>40</v>
      </c>
      <c r="J284" s="103">
        <v>75</v>
      </c>
      <c r="K284" s="104">
        <v>360</v>
      </c>
      <c r="L284" s="104">
        <v>1600</v>
      </c>
      <c r="M284" s="150">
        <v>18.321560506836317</v>
      </c>
      <c r="N284" s="66">
        <v>710.23350000000005</v>
      </c>
      <c r="O284" s="111">
        <v>30224.130196588812</v>
      </c>
      <c r="P284" s="111">
        <v>35744.338524259358</v>
      </c>
      <c r="Q284" s="110">
        <v>24111.851893333227</v>
      </c>
      <c r="R284" s="258">
        <v>54335.982089922036</v>
      </c>
      <c r="S284" s="259">
        <v>59856.190417592588</v>
      </c>
      <c r="U284" s="7" t="s">
        <v>1563</v>
      </c>
    </row>
    <row r="285" spans="1:21" ht="16.5" thickBot="1">
      <c r="A285" s="41" t="s">
        <v>31</v>
      </c>
      <c r="B285" s="42">
        <f t="shared" si="15"/>
        <v>75</v>
      </c>
      <c r="C285" s="42" t="s">
        <v>3</v>
      </c>
      <c r="D285" s="42">
        <f t="shared" si="16"/>
        <v>360</v>
      </c>
      <c r="E285" s="42" t="s">
        <v>3</v>
      </c>
      <c r="F285" s="101">
        <f t="shared" si="17"/>
        <v>1650</v>
      </c>
      <c r="G285" s="42" t="s">
        <v>3</v>
      </c>
      <c r="H285" s="39">
        <v>4</v>
      </c>
      <c r="I285" s="40" t="s">
        <v>40</v>
      </c>
      <c r="J285" s="103">
        <v>75</v>
      </c>
      <c r="K285" s="104">
        <v>360</v>
      </c>
      <c r="L285" s="104">
        <v>1650</v>
      </c>
      <c r="M285" s="150">
        <v>18.866867646438422</v>
      </c>
      <c r="N285" s="66">
        <v>738.64283999999998</v>
      </c>
      <c r="O285" s="111">
        <v>30959.739470544686</v>
      </c>
      <c r="P285" s="111">
        <v>36632.472180530378</v>
      </c>
      <c r="Q285" s="110">
        <v>24966.606915355183</v>
      </c>
      <c r="R285" s="258">
        <v>55926.346385899873</v>
      </c>
      <c r="S285" s="259">
        <v>61599.079095885565</v>
      </c>
      <c r="U285" s="7" t="s">
        <v>1564</v>
      </c>
    </row>
    <row r="286" spans="1:21" ht="16.5" thickBot="1">
      <c r="A286" s="41" t="s">
        <v>31</v>
      </c>
      <c r="B286" s="42">
        <f t="shared" si="15"/>
        <v>75</v>
      </c>
      <c r="C286" s="42" t="s">
        <v>3</v>
      </c>
      <c r="D286" s="42">
        <f t="shared" si="16"/>
        <v>360</v>
      </c>
      <c r="E286" s="42" t="s">
        <v>3</v>
      </c>
      <c r="F286" s="101">
        <f t="shared" si="17"/>
        <v>1700</v>
      </c>
      <c r="G286" s="42" t="s">
        <v>3</v>
      </c>
      <c r="H286" s="39">
        <v>4</v>
      </c>
      <c r="I286" s="40" t="s">
        <v>40</v>
      </c>
      <c r="J286" s="103">
        <v>75</v>
      </c>
      <c r="K286" s="104">
        <v>360</v>
      </c>
      <c r="L286" s="104">
        <v>1700</v>
      </c>
      <c r="M286" s="150">
        <v>19.395134786040529</v>
      </c>
      <c r="N286" s="66">
        <v>767.05218000000002</v>
      </c>
      <c r="O286" s="111">
        <v>31695.348744500559</v>
      </c>
      <c r="P286" s="111">
        <v>37520.605836801406</v>
      </c>
      <c r="Q286" s="110">
        <v>25570.027799593372</v>
      </c>
      <c r="R286" s="258">
        <v>57265.376544093931</v>
      </c>
      <c r="S286" s="259">
        <v>63090.633636394778</v>
      </c>
      <c r="U286" s="7" t="s">
        <v>1565</v>
      </c>
    </row>
    <row r="287" spans="1:21" ht="16.5" thickBot="1">
      <c r="A287" s="41" t="s">
        <v>31</v>
      </c>
      <c r="B287" s="42">
        <f t="shared" si="15"/>
        <v>75</v>
      </c>
      <c r="C287" s="42" t="s">
        <v>3</v>
      </c>
      <c r="D287" s="42">
        <f t="shared" si="16"/>
        <v>360</v>
      </c>
      <c r="E287" s="42" t="s">
        <v>3</v>
      </c>
      <c r="F287" s="101">
        <f t="shared" si="17"/>
        <v>1750</v>
      </c>
      <c r="G287" s="42" t="s">
        <v>3</v>
      </c>
      <c r="H287" s="39">
        <v>4</v>
      </c>
      <c r="I287" s="40" t="s">
        <v>40</v>
      </c>
      <c r="J287" s="103">
        <v>75</v>
      </c>
      <c r="K287" s="104">
        <v>360</v>
      </c>
      <c r="L287" s="104">
        <v>1750</v>
      </c>
      <c r="M287" s="150">
        <v>19.940441925642631</v>
      </c>
      <c r="N287" s="66">
        <v>795.46152000000006</v>
      </c>
      <c r="O287" s="111">
        <v>32430.958018456437</v>
      </c>
      <c r="P287" s="111">
        <v>38408.739646101189</v>
      </c>
      <c r="Q287" s="110">
        <v>26424.782821615332</v>
      </c>
      <c r="R287" s="258">
        <v>58855.740840071769</v>
      </c>
      <c r="S287" s="259">
        <v>64833.522467716524</v>
      </c>
      <c r="U287" s="7" t="s">
        <v>1566</v>
      </c>
    </row>
    <row r="288" spans="1:21" ht="16.5" thickBot="1">
      <c r="A288" s="41" t="s">
        <v>31</v>
      </c>
      <c r="B288" s="42">
        <f t="shared" si="15"/>
        <v>75</v>
      </c>
      <c r="C288" s="42" t="s">
        <v>3</v>
      </c>
      <c r="D288" s="42">
        <f t="shared" si="16"/>
        <v>360</v>
      </c>
      <c r="E288" s="42" t="s">
        <v>3</v>
      </c>
      <c r="F288" s="101">
        <f t="shared" si="17"/>
        <v>1800</v>
      </c>
      <c r="G288" s="42" t="s">
        <v>3</v>
      </c>
      <c r="H288" s="39">
        <v>4</v>
      </c>
      <c r="I288" s="40" t="s">
        <v>40</v>
      </c>
      <c r="J288" s="103">
        <v>75</v>
      </c>
      <c r="K288" s="104">
        <v>360</v>
      </c>
      <c r="L288" s="104">
        <v>1800</v>
      </c>
      <c r="M288" s="150">
        <v>20.468709065244735</v>
      </c>
      <c r="N288" s="66">
        <v>823.87086000000011</v>
      </c>
      <c r="O288" s="111">
        <v>33166.567139383544</v>
      </c>
      <c r="P288" s="111">
        <v>39296.873302372209</v>
      </c>
      <c r="Q288" s="110">
        <v>27028.203705853517</v>
      </c>
      <c r="R288" s="258">
        <v>60194.770845237057</v>
      </c>
      <c r="S288" s="259">
        <v>66325.077008225722</v>
      </c>
      <c r="U288" s="7" t="s">
        <v>1567</v>
      </c>
    </row>
    <row r="289" spans="1:21" ht="16.5" thickBot="1">
      <c r="A289" s="41" t="s">
        <v>31</v>
      </c>
      <c r="B289" s="42">
        <f t="shared" si="15"/>
        <v>75</v>
      </c>
      <c r="C289" s="42" t="s">
        <v>3</v>
      </c>
      <c r="D289" s="42">
        <f t="shared" si="16"/>
        <v>360</v>
      </c>
      <c r="E289" s="42" t="s">
        <v>3</v>
      </c>
      <c r="F289" s="101">
        <f t="shared" si="17"/>
        <v>1850</v>
      </c>
      <c r="G289" s="42" t="s">
        <v>3</v>
      </c>
      <c r="H289" s="39">
        <v>4</v>
      </c>
      <c r="I289" s="40" t="s">
        <v>40</v>
      </c>
      <c r="J289" s="103">
        <v>75</v>
      </c>
      <c r="K289" s="104">
        <v>360</v>
      </c>
      <c r="L289" s="104">
        <v>1850</v>
      </c>
      <c r="M289" s="150">
        <v>21.014016204846847</v>
      </c>
      <c r="N289" s="66">
        <v>852.28020000000004</v>
      </c>
      <c r="O289" s="111">
        <v>33902.176413339424</v>
      </c>
      <c r="P289" s="111">
        <v>40185.007111671999</v>
      </c>
      <c r="Q289" s="110">
        <v>27882.958880904247</v>
      </c>
      <c r="R289" s="258">
        <v>61785.135294243672</v>
      </c>
      <c r="S289" s="259">
        <v>68067.965992576239</v>
      </c>
      <c r="U289" s="7" t="s">
        <v>1568</v>
      </c>
    </row>
    <row r="290" spans="1:21" ht="16.5" thickBot="1">
      <c r="A290" s="41" t="s">
        <v>31</v>
      </c>
      <c r="B290" s="42">
        <f t="shared" si="15"/>
        <v>75</v>
      </c>
      <c r="C290" s="42" t="s">
        <v>3</v>
      </c>
      <c r="D290" s="42">
        <f t="shared" si="16"/>
        <v>360</v>
      </c>
      <c r="E290" s="42" t="s">
        <v>3</v>
      </c>
      <c r="F290" s="101">
        <f t="shared" si="17"/>
        <v>1900</v>
      </c>
      <c r="G290" s="42" t="s">
        <v>3</v>
      </c>
      <c r="H290" s="39">
        <v>4</v>
      </c>
      <c r="I290" s="40" t="s">
        <v>40</v>
      </c>
      <c r="J290" s="103">
        <v>75</v>
      </c>
      <c r="K290" s="104">
        <v>360</v>
      </c>
      <c r="L290" s="104">
        <v>1900</v>
      </c>
      <c r="M290" s="150">
        <v>21.542283344448951</v>
      </c>
      <c r="N290" s="66">
        <v>880.68953999999997</v>
      </c>
      <c r="O290" s="111">
        <v>34637.785687295298</v>
      </c>
      <c r="P290" s="111">
        <v>41073.140767943019</v>
      </c>
      <c r="Q290" s="110">
        <v>28486.379765142432</v>
      </c>
      <c r="R290" s="258">
        <v>63124.16545243773</v>
      </c>
      <c r="S290" s="259">
        <v>69559.520533085451</v>
      </c>
      <c r="U290" s="7" t="s">
        <v>1569</v>
      </c>
    </row>
    <row r="291" spans="1:21" ht="16.5" thickBot="1">
      <c r="A291" s="41" t="s">
        <v>31</v>
      </c>
      <c r="B291" s="42">
        <f t="shared" si="15"/>
        <v>75</v>
      </c>
      <c r="C291" s="42" t="s">
        <v>3</v>
      </c>
      <c r="D291" s="42">
        <f t="shared" si="16"/>
        <v>360</v>
      </c>
      <c r="E291" s="42" t="s">
        <v>3</v>
      </c>
      <c r="F291" s="101">
        <f t="shared" si="17"/>
        <v>1950</v>
      </c>
      <c r="G291" s="42" t="s">
        <v>3</v>
      </c>
      <c r="H291" s="39">
        <v>4</v>
      </c>
      <c r="I291" s="40" t="s">
        <v>40</v>
      </c>
      <c r="J291" s="103">
        <v>75</v>
      </c>
      <c r="K291" s="104">
        <v>360</v>
      </c>
      <c r="L291" s="104">
        <v>1950</v>
      </c>
      <c r="M291" s="150">
        <v>22.149050484051056</v>
      </c>
      <c r="N291" s="66">
        <v>909.09888000000001</v>
      </c>
      <c r="O291" s="111">
        <v>35457.493296384499</v>
      </c>
      <c r="P291" s="111">
        <v>42042.809374502765</v>
      </c>
      <c r="Q291" s="110">
        <v>29089.800649380621</v>
      </c>
      <c r="R291" s="258">
        <v>64547.293945765123</v>
      </c>
      <c r="S291" s="259">
        <v>71132.61002388339</v>
      </c>
      <c r="U291" s="7" t="s">
        <v>1570</v>
      </c>
    </row>
    <row r="292" spans="1:21" ht="16.5" thickBot="1">
      <c r="A292" s="41" t="s">
        <v>31</v>
      </c>
      <c r="B292" s="42">
        <f t="shared" si="15"/>
        <v>75</v>
      </c>
      <c r="C292" s="42" t="s">
        <v>3</v>
      </c>
      <c r="D292" s="42">
        <f t="shared" si="16"/>
        <v>360</v>
      </c>
      <c r="E292" s="42" t="s">
        <v>3</v>
      </c>
      <c r="F292" s="101">
        <f t="shared" si="17"/>
        <v>2000</v>
      </c>
      <c r="G292" s="42" t="s">
        <v>3</v>
      </c>
      <c r="H292" s="39">
        <v>4</v>
      </c>
      <c r="I292" s="40" t="s">
        <v>40</v>
      </c>
      <c r="J292" s="103">
        <v>75</v>
      </c>
      <c r="K292" s="104">
        <v>360</v>
      </c>
      <c r="L292" s="104">
        <v>2000</v>
      </c>
      <c r="M292" s="150">
        <v>22.785920023653162</v>
      </c>
      <c r="N292" s="66">
        <v>937.50822000000005</v>
      </c>
      <c r="O292" s="111">
        <v>36444.394319156207</v>
      </c>
      <c r="P292" s="111">
        <v>43259.371683168647</v>
      </c>
      <c r="Q292" s="110">
        <v>29944.555671402581</v>
      </c>
      <c r="R292" s="258">
        <v>66388.949990558787</v>
      </c>
      <c r="S292" s="259">
        <v>73203.927354571235</v>
      </c>
      <c r="U292" s="7" t="s">
        <v>1571</v>
      </c>
    </row>
    <row r="293" spans="1:21" ht="16.5" thickBot="1">
      <c r="A293" s="41" t="s">
        <v>31</v>
      </c>
      <c r="B293" s="42">
        <f t="shared" si="15"/>
        <v>75</v>
      </c>
      <c r="C293" s="42" t="s">
        <v>3</v>
      </c>
      <c r="D293" s="42">
        <f t="shared" si="16"/>
        <v>360</v>
      </c>
      <c r="E293" s="42" t="s">
        <v>3</v>
      </c>
      <c r="F293" s="101">
        <f t="shared" si="17"/>
        <v>2050</v>
      </c>
      <c r="G293" s="42" t="s">
        <v>3</v>
      </c>
      <c r="H293" s="39">
        <v>4</v>
      </c>
      <c r="I293" s="40" t="s">
        <v>40</v>
      </c>
      <c r="J293" s="103">
        <v>75</v>
      </c>
      <c r="K293" s="104">
        <v>360</v>
      </c>
      <c r="L293" s="104">
        <v>2050</v>
      </c>
      <c r="M293" s="150">
        <v>23.314187163255266</v>
      </c>
      <c r="N293" s="66">
        <v>965.91756000000009</v>
      </c>
      <c r="O293" s="111">
        <v>37180.003593112087</v>
      </c>
      <c r="P293" s="111">
        <v>44147.505339439675</v>
      </c>
      <c r="Q293" s="110">
        <v>30547.976555640766</v>
      </c>
      <c r="R293" s="258">
        <v>67727.98014875286</v>
      </c>
      <c r="S293" s="259">
        <v>74695.481895080447</v>
      </c>
      <c r="U293" s="7" t="s">
        <v>1572</v>
      </c>
    </row>
    <row r="294" spans="1:21" ht="16.5" thickBot="1">
      <c r="A294" s="38" t="s">
        <v>31</v>
      </c>
      <c r="B294" s="39">
        <f t="shared" si="15"/>
        <v>75</v>
      </c>
      <c r="C294" s="39" t="s">
        <v>3</v>
      </c>
      <c r="D294" s="39">
        <f t="shared" si="16"/>
        <v>360</v>
      </c>
      <c r="E294" s="39" t="s">
        <v>3</v>
      </c>
      <c r="F294" s="101">
        <f t="shared" si="17"/>
        <v>2100</v>
      </c>
      <c r="G294" s="39" t="s">
        <v>3</v>
      </c>
      <c r="H294" s="39">
        <v>4</v>
      </c>
      <c r="I294" s="40" t="s">
        <v>40</v>
      </c>
      <c r="J294" s="103">
        <v>75</v>
      </c>
      <c r="K294" s="104">
        <v>360</v>
      </c>
      <c r="L294" s="104">
        <v>2100</v>
      </c>
      <c r="M294" s="150">
        <v>23.859494302857371</v>
      </c>
      <c r="N294" s="66">
        <v>994.32689999999991</v>
      </c>
      <c r="O294" s="111">
        <v>37915.612867067961</v>
      </c>
      <c r="P294" s="111">
        <v>45035.638995710695</v>
      </c>
      <c r="Q294" s="110">
        <v>31402.731577662726</v>
      </c>
      <c r="R294" s="258">
        <v>69318.344444730683</v>
      </c>
      <c r="S294" s="259">
        <v>76438.370573373424</v>
      </c>
      <c r="U294" s="7" t="s">
        <v>1573</v>
      </c>
    </row>
    <row r="295" spans="1:21" ht="16.5" thickBot="1">
      <c r="A295" s="41" t="s">
        <v>31</v>
      </c>
      <c r="B295" s="42">
        <f t="shared" si="15"/>
        <v>75</v>
      </c>
      <c r="C295" s="42" t="s">
        <v>3</v>
      </c>
      <c r="D295" s="42">
        <f t="shared" si="16"/>
        <v>360</v>
      </c>
      <c r="E295" s="42" t="s">
        <v>3</v>
      </c>
      <c r="F295" s="101">
        <f t="shared" si="17"/>
        <v>2150</v>
      </c>
      <c r="G295" s="42" t="s">
        <v>3</v>
      </c>
      <c r="H295" s="39">
        <v>4</v>
      </c>
      <c r="I295" s="40" t="s">
        <v>40</v>
      </c>
      <c r="J295" s="103">
        <v>75</v>
      </c>
      <c r="K295" s="104">
        <v>360</v>
      </c>
      <c r="L295" s="104">
        <v>2150</v>
      </c>
      <c r="M295" s="150">
        <v>24.387761442459475</v>
      </c>
      <c r="N295" s="66">
        <v>1022.73624</v>
      </c>
      <c r="O295" s="111">
        <v>38651.222141023834</v>
      </c>
      <c r="P295" s="111">
        <v>45923.772805010485</v>
      </c>
      <c r="Q295" s="110">
        <v>32006.152461900914</v>
      </c>
      <c r="R295" s="258">
        <v>70657.374602924741</v>
      </c>
      <c r="S295" s="259">
        <v>77929.925266911392</v>
      </c>
      <c r="U295" s="7" t="s">
        <v>1574</v>
      </c>
    </row>
    <row r="296" spans="1:21" ht="16.5" thickBot="1">
      <c r="A296" s="41" t="s">
        <v>31</v>
      </c>
      <c r="B296" s="42">
        <f t="shared" si="15"/>
        <v>75</v>
      </c>
      <c r="C296" s="42" t="s">
        <v>3</v>
      </c>
      <c r="D296" s="42">
        <f t="shared" si="16"/>
        <v>360</v>
      </c>
      <c r="E296" s="42" t="s">
        <v>3</v>
      </c>
      <c r="F296" s="101">
        <f t="shared" si="17"/>
        <v>2200</v>
      </c>
      <c r="G296" s="42" t="s">
        <v>3</v>
      </c>
      <c r="H296" s="39">
        <v>4</v>
      </c>
      <c r="I296" s="40" t="s">
        <v>40</v>
      </c>
      <c r="J296" s="103">
        <v>75</v>
      </c>
      <c r="K296" s="104">
        <v>360</v>
      </c>
      <c r="L296" s="104">
        <v>2200</v>
      </c>
      <c r="M296" s="150">
        <v>24.93306858206158</v>
      </c>
      <c r="N296" s="66">
        <v>1051.1455799999999</v>
      </c>
      <c r="O296" s="111">
        <v>39386.831414979708</v>
      </c>
      <c r="P296" s="111">
        <v>46811.906461281505</v>
      </c>
      <c r="Q296" s="110">
        <v>32860.907483922878</v>
      </c>
      <c r="R296" s="258">
        <v>72247.738898902579</v>
      </c>
      <c r="S296" s="259">
        <v>79672.813945204383</v>
      </c>
      <c r="U296" s="7" t="s">
        <v>1575</v>
      </c>
    </row>
    <row r="297" spans="1:21" ht="16.5" thickBot="1">
      <c r="A297" s="41" t="s">
        <v>31</v>
      </c>
      <c r="B297" s="42">
        <f t="shared" si="15"/>
        <v>75</v>
      </c>
      <c r="C297" s="42" t="s">
        <v>3</v>
      </c>
      <c r="D297" s="42">
        <f t="shared" si="16"/>
        <v>360</v>
      </c>
      <c r="E297" s="42" t="s">
        <v>3</v>
      </c>
      <c r="F297" s="101">
        <f t="shared" si="17"/>
        <v>2250</v>
      </c>
      <c r="G297" s="42" t="s">
        <v>3</v>
      </c>
      <c r="H297" s="39">
        <v>4</v>
      </c>
      <c r="I297" s="40" t="s">
        <v>40</v>
      </c>
      <c r="J297" s="103">
        <v>75</v>
      </c>
      <c r="K297" s="104">
        <v>360</v>
      </c>
      <c r="L297" s="104">
        <v>2250</v>
      </c>
      <c r="M297" s="150">
        <v>25.461335721663684</v>
      </c>
      <c r="N297" s="66">
        <v>1079.55492</v>
      </c>
      <c r="O297" s="111">
        <v>40122.440688935581</v>
      </c>
      <c r="P297" s="111">
        <v>47700.040270581296</v>
      </c>
      <c r="Q297" s="110">
        <v>33464.328368161063</v>
      </c>
      <c r="R297" s="258">
        <v>73586.769057096652</v>
      </c>
      <c r="S297" s="259">
        <v>81164.368638742366</v>
      </c>
      <c r="U297" s="7" t="s">
        <v>1576</v>
      </c>
    </row>
    <row r="298" spans="1:21" ht="16.5" thickBot="1">
      <c r="A298" s="41" t="s">
        <v>31</v>
      </c>
      <c r="B298" s="42">
        <f t="shared" si="15"/>
        <v>75</v>
      </c>
      <c r="C298" s="42" t="s">
        <v>3</v>
      </c>
      <c r="D298" s="42">
        <f t="shared" si="16"/>
        <v>360</v>
      </c>
      <c r="E298" s="42" t="s">
        <v>3</v>
      </c>
      <c r="F298" s="101">
        <f t="shared" si="17"/>
        <v>2300</v>
      </c>
      <c r="G298" s="42" t="s">
        <v>3</v>
      </c>
      <c r="H298" s="39">
        <v>4</v>
      </c>
      <c r="I298" s="40" t="s">
        <v>40</v>
      </c>
      <c r="J298" s="103">
        <v>75</v>
      </c>
      <c r="K298" s="104">
        <v>360</v>
      </c>
      <c r="L298" s="104">
        <v>2300</v>
      </c>
      <c r="M298" s="150">
        <v>25.989602861265787</v>
      </c>
      <c r="N298" s="66">
        <v>1107.96426</v>
      </c>
      <c r="O298" s="111">
        <v>40858.049962891462</v>
      </c>
      <c r="P298" s="111">
        <v>48588.173926852323</v>
      </c>
      <c r="Q298" s="110">
        <v>34067.749252399248</v>
      </c>
      <c r="R298" s="258">
        <v>74925.79921529071</v>
      </c>
      <c r="S298" s="259">
        <v>82655.923179251578</v>
      </c>
      <c r="U298" s="7" t="s">
        <v>1577</v>
      </c>
    </row>
    <row r="299" spans="1:21" ht="16.5" thickBot="1">
      <c r="A299" s="41" t="s">
        <v>31</v>
      </c>
      <c r="B299" s="42">
        <f t="shared" si="15"/>
        <v>75</v>
      </c>
      <c r="C299" s="42" t="s">
        <v>3</v>
      </c>
      <c r="D299" s="42">
        <f t="shared" si="16"/>
        <v>360</v>
      </c>
      <c r="E299" s="42" t="s">
        <v>3</v>
      </c>
      <c r="F299" s="101">
        <f t="shared" si="17"/>
        <v>2350</v>
      </c>
      <c r="G299" s="42" t="s">
        <v>3</v>
      </c>
      <c r="H299" s="39">
        <v>4</v>
      </c>
      <c r="I299" s="40" t="s">
        <v>40</v>
      </c>
      <c r="J299" s="103">
        <v>75</v>
      </c>
      <c r="K299" s="104">
        <v>360</v>
      </c>
      <c r="L299" s="104">
        <v>2350</v>
      </c>
      <c r="M299" s="150">
        <v>26.534910000867896</v>
      </c>
      <c r="N299" s="66">
        <v>1136.3736000000001</v>
      </c>
      <c r="O299" s="111">
        <v>41593.659236847336</v>
      </c>
      <c r="P299" s="111">
        <v>49476.307736152106</v>
      </c>
      <c r="Q299" s="110">
        <v>34922.504274421211</v>
      </c>
      <c r="R299" s="258">
        <v>76516.163511268547</v>
      </c>
      <c r="S299" s="259">
        <v>84398.812010573311</v>
      </c>
      <c r="U299" s="7" t="s">
        <v>1578</v>
      </c>
    </row>
    <row r="300" spans="1:21" ht="16.5" thickBot="1">
      <c r="A300" s="41" t="s">
        <v>31</v>
      </c>
      <c r="B300" s="42">
        <f t="shared" si="15"/>
        <v>75</v>
      </c>
      <c r="C300" s="42" t="s">
        <v>3</v>
      </c>
      <c r="D300" s="42">
        <f t="shared" si="16"/>
        <v>360</v>
      </c>
      <c r="E300" s="42" t="s">
        <v>3</v>
      </c>
      <c r="F300" s="101">
        <f t="shared" si="17"/>
        <v>2400</v>
      </c>
      <c r="G300" s="42" t="s">
        <v>3</v>
      </c>
      <c r="H300" s="39">
        <v>4</v>
      </c>
      <c r="I300" s="40" t="s">
        <v>40</v>
      </c>
      <c r="J300" s="103">
        <v>75</v>
      </c>
      <c r="K300" s="104">
        <v>360</v>
      </c>
      <c r="L300" s="104">
        <v>2400</v>
      </c>
      <c r="M300" s="150">
        <v>27.063177140469996</v>
      </c>
      <c r="N300" s="66">
        <v>1164.7829400000001</v>
      </c>
      <c r="O300" s="111">
        <v>42329.268357774446</v>
      </c>
      <c r="P300" s="111">
        <v>50364.441392423134</v>
      </c>
      <c r="Q300" s="110">
        <v>35525.925158659396</v>
      </c>
      <c r="R300" s="258">
        <v>77855.19351643385</v>
      </c>
      <c r="S300" s="259">
        <v>85890.366551082523</v>
      </c>
      <c r="U300" s="7" t="s">
        <v>1579</v>
      </c>
    </row>
    <row r="301" spans="1:21" ht="16.5" thickBot="1">
      <c r="A301" s="41" t="s">
        <v>31</v>
      </c>
      <c r="B301" s="42">
        <f t="shared" si="15"/>
        <v>75</v>
      </c>
      <c r="C301" s="42" t="s">
        <v>3</v>
      </c>
      <c r="D301" s="42">
        <f t="shared" si="16"/>
        <v>360</v>
      </c>
      <c r="E301" s="42" t="s">
        <v>3</v>
      </c>
      <c r="F301" s="101">
        <f t="shared" si="17"/>
        <v>2450</v>
      </c>
      <c r="G301" s="42" t="s">
        <v>3</v>
      </c>
      <c r="H301" s="39">
        <v>4</v>
      </c>
      <c r="I301" s="40" t="s">
        <v>40</v>
      </c>
      <c r="J301" s="103">
        <v>75</v>
      </c>
      <c r="K301" s="104">
        <v>360</v>
      </c>
      <c r="L301" s="104">
        <v>2450</v>
      </c>
      <c r="M301" s="150">
        <v>27.785441178632105</v>
      </c>
      <c r="N301" s="66">
        <v>1193.19228</v>
      </c>
      <c r="O301" s="111">
        <v>43851.121828634583</v>
      </c>
      <c r="P301" s="111">
        <v>51974.932031590208</v>
      </c>
      <c r="Q301" s="110">
        <v>36380.680180681353</v>
      </c>
      <c r="R301" s="258">
        <v>80231.802009315928</v>
      </c>
      <c r="S301" s="259">
        <v>88355.612212271561</v>
      </c>
      <c r="U301" s="7" t="s">
        <v>1580</v>
      </c>
    </row>
    <row r="302" spans="1:21" ht="16.5" thickBot="1">
      <c r="A302" s="41" t="s">
        <v>31</v>
      </c>
      <c r="B302" s="42">
        <f t="shared" si="15"/>
        <v>75</v>
      </c>
      <c r="C302" s="42" t="s">
        <v>3</v>
      </c>
      <c r="D302" s="42">
        <f t="shared" si="16"/>
        <v>360</v>
      </c>
      <c r="E302" s="42" t="s">
        <v>3</v>
      </c>
      <c r="F302" s="101">
        <f t="shared" si="17"/>
        <v>2500</v>
      </c>
      <c r="G302" s="42" t="s">
        <v>3</v>
      </c>
      <c r="H302" s="39">
        <v>4</v>
      </c>
      <c r="I302" s="40" t="s">
        <v>40</v>
      </c>
      <c r="J302" s="103">
        <v>75</v>
      </c>
      <c r="K302" s="104">
        <v>360</v>
      </c>
      <c r="L302" s="104">
        <v>2500</v>
      </c>
      <c r="M302" s="150">
        <v>28.313708318234205</v>
      </c>
      <c r="N302" s="66">
        <v>1221.6016200000001</v>
      </c>
      <c r="O302" s="111">
        <v>44586.731102590456</v>
      </c>
      <c r="P302" s="111">
        <v>52863.065687861228</v>
      </c>
      <c r="Q302" s="110">
        <v>36984.101064919538</v>
      </c>
      <c r="R302" s="258">
        <v>81570.832167510001</v>
      </c>
      <c r="S302" s="259">
        <v>89847.166752780759</v>
      </c>
      <c r="U302" s="7" t="s">
        <v>1581</v>
      </c>
    </row>
    <row r="303" spans="1:21" ht="16.5" thickBot="1">
      <c r="A303" s="41" t="s">
        <v>31</v>
      </c>
      <c r="B303" s="42">
        <f t="shared" si="15"/>
        <v>75</v>
      </c>
      <c r="C303" s="42" t="s">
        <v>3</v>
      </c>
      <c r="D303" s="42">
        <f t="shared" si="16"/>
        <v>360</v>
      </c>
      <c r="E303" s="42" t="s">
        <v>3</v>
      </c>
      <c r="F303" s="101">
        <f t="shared" si="17"/>
        <v>2550</v>
      </c>
      <c r="G303" s="42" t="s">
        <v>3</v>
      </c>
      <c r="H303" s="39">
        <v>4</v>
      </c>
      <c r="I303" s="40" t="s">
        <v>40</v>
      </c>
      <c r="J303" s="103">
        <v>75</v>
      </c>
      <c r="K303" s="104">
        <v>360</v>
      </c>
      <c r="L303" s="104">
        <v>2550</v>
      </c>
      <c r="M303" s="150">
        <v>28.859015457836311</v>
      </c>
      <c r="N303" s="66">
        <v>1250.0109599999998</v>
      </c>
      <c r="O303" s="111">
        <v>45322.34037654633</v>
      </c>
      <c r="P303" s="111">
        <v>53751.199497161018</v>
      </c>
      <c r="Q303" s="110">
        <v>37838.856239970264</v>
      </c>
      <c r="R303" s="258">
        <v>83161.196616516594</v>
      </c>
      <c r="S303" s="259">
        <v>91590.055737131275</v>
      </c>
      <c r="U303" s="7" t="s">
        <v>1582</v>
      </c>
    </row>
    <row r="304" spans="1:21" ht="16.5" thickBot="1">
      <c r="A304" s="38" t="s">
        <v>31</v>
      </c>
      <c r="B304" s="39">
        <f t="shared" si="15"/>
        <v>75</v>
      </c>
      <c r="C304" s="39" t="s">
        <v>3</v>
      </c>
      <c r="D304" s="39">
        <f t="shared" si="16"/>
        <v>360</v>
      </c>
      <c r="E304" s="39" t="s">
        <v>3</v>
      </c>
      <c r="F304" s="101">
        <f t="shared" si="17"/>
        <v>2600</v>
      </c>
      <c r="G304" s="39" t="s">
        <v>3</v>
      </c>
      <c r="H304" s="39">
        <v>4</v>
      </c>
      <c r="I304" s="40" t="s">
        <v>40</v>
      </c>
      <c r="J304" s="103">
        <v>75</v>
      </c>
      <c r="K304" s="104">
        <v>360</v>
      </c>
      <c r="L304" s="104">
        <v>2600</v>
      </c>
      <c r="M304" s="150">
        <v>29.387282597438421</v>
      </c>
      <c r="N304" s="66">
        <v>1278.4203</v>
      </c>
      <c r="O304" s="111">
        <v>46057.949650502203</v>
      </c>
      <c r="P304" s="111">
        <v>54639.333153431879</v>
      </c>
      <c r="Q304" s="110">
        <v>38442.277124208456</v>
      </c>
      <c r="R304" s="258">
        <v>84500.226774710667</v>
      </c>
      <c r="S304" s="259">
        <v>93081.610277640342</v>
      </c>
      <c r="U304" s="7" t="s">
        <v>1583</v>
      </c>
    </row>
    <row r="305" spans="1:21" ht="16.5" thickBot="1">
      <c r="A305" s="41" t="s">
        <v>31</v>
      </c>
      <c r="B305" s="42">
        <f t="shared" si="15"/>
        <v>75</v>
      </c>
      <c r="C305" s="42" t="s">
        <v>3</v>
      </c>
      <c r="D305" s="42">
        <f t="shared" si="16"/>
        <v>360</v>
      </c>
      <c r="E305" s="42" t="s">
        <v>3</v>
      </c>
      <c r="F305" s="101">
        <f t="shared" si="17"/>
        <v>2650</v>
      </c>
      <c r="G305" s="42" t="s">
        <v>3</v>
      </c>
      <c r="H305" s="39">
        <v>4</v>
      </c>
      <c r="I305" s="40" t="s">
        <v>40</v>
      </c>
      <c r="J305" s="103">
        <v>75</v>
      </c>
      <c r="K305" s="104">
        <v>360</v>
      </c>
      <c r="L305" s="104">
        <v>2650</v>
      </c>
      <c r="M305" s="150">
        <v>29.932589737040523</v>
      </c>
      <c r="N305" s="66">
        <v>1306.8296400000002</v>
      </c>
      <c r="O305" s="111">
        <v>46793.558771429314</v>
      </c>
      <c r="P305" s="111">
        <v>55527.466809703059</v>
      </c>
      <c r="Q305" s="110">
        <v>39297.032146230413</v>
      </c>
      <c r="R305" s="258">
        <v>86090.59091765972</v>
      </c>
      <c r="S305" s="259">
        <v>94824.498955933464</v>
      </c>
      <c r="U305" s="7" t="s">
        <v>1584</v>
      </c>
    </row>
    <row r="306" spans="1:21" ht="16.5" thickBot="1">
      <c r="A306" s="41" t="s">
        <v>31</v>
      </c>
      <c r="B306" s="42">
        <f t="shared" si="15"/>
        <v>75</v>
      </c>
      <c r="C306" s="42" t="s">
        <v>3</v>
      </c>
      <c r="D306" s="42">
        <f t="shared" si="16"/>
        <v>360</v>
      </c>
      <c r="E306" s="42" t="s">
        <v>3</v>
      </c>
      <c r="F306" s="101">
        <f t="shared" si="17"/>
        <v>2700</v>
      </c>
      <c r="G306" s="42" t="s">
        <v>3</v>
      </c>
      <c r="H306" s="39">
        <v>4</v>
      </c>
      <c r="I306" s="40" t="s">
        <v>40</v>
      </c>
      <c r="J306" s="103">
        <v>75</v>
      </c>
      <c r="K306" s="104">
        <v>360</v>
      </c>
      <c r="L306" s="104">
        <v>2700</v>
      </c>
      <c r="M306" s="150">
        <v>30.539356876642636</v>
      </c>
      <c r="N306" s="66">
        <v>1335.2389800000001</v>
      </c>
      <c r="O306" s="111">
        <v>47613.266380518522</v>
      </c>
      <c r="P306" s="111">
        <v>56497.135569291568</v>
      </c>
      <c r="Q306" s="110">
        <v>39900.453030468605</v>
      </c>
      <c r="R306" s="258">
        <v>87513.719410987134</v>
      </c>
      <c r="S306" s="259">
        <v>96397.588599760173</v>
      </c>
      <c r="U306" s="7" t="s">
        <v>1585</v>
      </c>
    </row>
    <row r="307" spans="1:21" ht="16.5" thickBot="1">
      <c r="A307" s="41" t="s">
        <v>31</v>
      </c>
      <c r="B307" s="42">
        <f t="shared" si="15"/>
        <v>75</v>
      </c>
      <c r="C307" s="42" t="s">
        <v>3</v>
      </c>
      <c r="D307" s="42">
        <f t="shared" si="16"/>
        <v>360</v>
      </c>
      <c r="E307" s="42" t="s">
        <v>3</v>
      </c>
      <c r="F307" s="101">
        <f t="shared" si="17"/>
        <v>2750</v>
      </c>
      <c r="G307" s="42" t="s">
        <v>3</v>
      </c>
      <c r="H307" s="39">
        <v>4</v>
      </c>
      <c r="I307" s="40" t="s">
        <v>40</v>
      </c>
      <c r="J307" s="103">
        <v>75</v>
      </c>
      <c r="K307" s="104">
        <v>360</v>
      </c>
      <c r="L307" s="104">
        <v>2750</v>
      </c>
      <c r="M307" s="150">
        <v>31.067624016244736</v>
      </c>
      <c r="N307" s="66">
        <v>1363.64832</v>
      </c>
      <c r="O307" s="111">
        <v>48348.875654474396</v>
      </c>
      <c r="P307" s="111">
        <v>57385.269225562588</v>
      </c>
      <c r="Q307" s="110">
        <v>40503.87391470679</v>
      </c>
      <c r="R307" s="258">
        <v>88852.749569181178</v>
      </c>
      <c r="S307" s="259">
        <v>97889.143140269385</v>
      </c>
      <c r="U307" s="7" t="s">
        <v>1586</v>
      </c>
    </row>
    <row r="308" spans="1:21" ht="16.5" thickBot="1">
      <c r="A308" s="41" t="s">
        <v>31</v>
      </c>
      <c r="B308" s="42">
        <f t="shared" si="15"/>
        <v>75</v>
      </c>
      <c r="C308" s="42" t="s">
        <v>3</v>
      </c>
      <c r="D308" s="42">
        <f t="shared" si="16"/>
        <v>360</v>
      </c>
      <c r="E308" s="42" t="s">
        <v>3</v>
      </c>
      <c r="F308" s="101">
        <f t="shared" si="17"/>
        <v>2800</v>
      </c>
      <c r="G308" s="42" t="s">
        <v>3</v>
      </c>
      <c r="H308" s="39">
        <v>4</v>
      </c>
      <c r="I308" s="40" t="s">
        <v>40</v>
      </c>
      <c r="J308" s="103">
        <v>75</v>
      </c>
      <c r="K308" s="104">
        <v>360</v>
      </c>
      <c r="L308" s="104">
        <v>2800</v>
      </c>
      <c r="M308" s="150">
        <v>31.612931155846844</v>
      </c>
      <c r="N308" s="66">
        <v>1392.0576600000002</v>
      </c>
      <c r="O308" s="111">
        <v>49084.484928430269</v>
      </c>
      <c r="P308" s="111">
        <v>58273.402881833616</v>
      </c>
      <c r="Q308" s="110">
        <v>41358.628936728746</v>
      </c>
      <c r="R308" s="258">
        <v>90443.113865159015</v>
      </c>
      <c r="S308" s="259">
        <v>99632.031818562362</v>
      </c>
      <c r="U308" s="7" t="s">
        <v>1587</v>
      </c>
    </row>
    <row r="309" spans="1:21" ht="16.5" thickBot="1">
      <c r="A309" s="41" t="s">
        <v>31</v>
      </c>
      <c r="B309" s="42">
        <f t="shared" si="15"/>
        <v>75</v>
      </c>
      <c r="C309" s="42" t="s">
        <v>3</v>
      </c>
      <c r="D309" s="42">
        <f t="shared" si="16"/>
        <v>360</v>
      </c>
      <c r="E309" s="42" t="s">
        <v>3</v>
      </c>
      <c r="F309" s="101">
        <f t="shared" si="17"/>
        <v>2850</v>
      </c>
      <c r="G309" s="42" t="s">
        <v>3</v>
      </c>
      <c r="H309" s="39">
        <v>4</v>
      </c>
      <c r="I309" s="40" t="s">
        <v>40</v>
      </c>
      <c r="J309" s="103">
        <v>75</v>
      </c>
      <c r="K309" s="104">
        <v>360</v>
      </c>
      <c r="L309" s="104">
        <v>2850</v>
      </c>
      <c r="M309" s="150">
        <v>32.141198295448945</v>
      </c>
      <c r="N309" s="66">
        <v>1420.4670000000001</v>
      </c>
      <c r="O309" s="111">
        <v>49820.094202386143</v>
      </c>
      <c r="P309" s="111">
        <v>59161.536691133406</v>
      </c>
      <c r="Q309" s="110">
        <v>41962.049820966939</v>
      </c>
      <c r="R309" s="258">
        <v>91782.144023353088</v>
      </c>
      <c r="S309" s="259">
        <v>101123.58651210034</v>
      </c>
      <c r="U309" s="7" t="s">
        <v>1588</v>
      </c>
    </row>
    <row r="310" spans="1:21" ht="16.5" thickBot="1">
      <c r="A310" s="41" t="s">
        <v>31</v>
      </c>
      <c r="B310" s="42">
        <f t="shared" si="15"/>
        <v>75</v>
      </c>
      <c r="C310" s="42" t="s">
        <v>3</v>
      </c>
      <c r="D310" s="42">
        <f t="shared" si="16"/>
        <v>360</v>
      </c>
      <c r="E310" s="42" t="s">
        <v>3</v>
      </c>
      <c r="F310" s="101">
        <f t="shared" si="17"/>
        <v>2900</v>
      </c>
      <c r="G310" s="42" t="s">
        <v>3</v>
      </c>
      <c r="H310" s="39">
        <v>4</v>
      </c>
      <c r="I310" s="40" t="s">
        <v>40</v>
      </c>
      <c r="J310" s="103">
        <v>75</v>
      </c>
      <c r="K310" s="104">
        <v>360</v>
      </c>
      <c r="L310" s="104">
        <v>2900</v>
      </c>
      <c r="M310" s="150">
        <v>32.686505435051053</v>
      </c>
      <c r="N310" s="66">
        <v>1448.8763400000003</v>
      </c>
      <c r="O310" s="111">
        <v>50555.703323313253</v>
      </c>
      <c r="P310" s="111">
        <v>60049.670347404433</v>
      </c>
      <c r="Q310" s="110">
        <v>42816.804842988895</v>
      </c>
      <c r="R310" s="258">
        <v>93372.508166302141</v>
      </c>
      <c r="S310" s="259">
        <v>102866.47519039334</v>
      </c>
      <c r="U310" s="7" t="s">
        <v>1589</v>
      </c>
    </row>
    <row r="311" spans="1:21" ht="16.5" thickBot="1">
      <c r="A311" s="41" t="s">
        <v>31</v>
      </c>
      <c r="B311" s="42">
        <f t="shared" si="15"/>
        <v>75</v>
      </c>
      <c r="C311" s="42" t="s">
        <v>3</v>
      </c>
      <c r="D311" s="42">
        <f t="shared" si="16"/>
        <v>360</v>
      </c>
      <c r="E311" s="42" t="s">
        <v>3</v>
      </c>
      <c r="F311" s="101">
        <f t="shared" si="17"/>
        <v>2950</v>
      </c>
      <c r="G311" s="42" t="s">
        <v>3</v>
      </c>
      <c r="H311" s="39">
        <v>4</v>
      </c>
      <c r="I311" s="40" t="s">
        <v>40</v>
      </c>
      <c r="J311" s="103">
        <v>75</v>
      </c>
      <c r="K311" s="104">
        <v>360</v>
      </c>
      <c r="L311" s="104">
        <v>2950</v>
      </c>
      <c r="M311" s="150">
        <v>33.214772574653161</v>
      </c>
      <c r="N311" s="66">
        <v>1477.28568</v>
      </c>
      <c r="O311" s="111">
        <v>51291.312597269134</v>
      </c>
      <c r="P311" s="111">
        <v>60937.804156704216</v>
      </c>
      <c r="Q311" s="110">
        <v>43420.22572722708</v>
      </c>
      <c r="R311" s="258">
        <v>94711.538324496214</v>
      </c>
      <c r="S311" s="259">
        <v>104358.0298839313</v>
      </c>
      <c r="U311" s="7" t="s">
        <v>1590</v>
      </c>
    </row>
    <row r="312" spans="1:21" ht="16.5" thickBot="1">
      <c r="A312" s="43" t="s">
        <v>31</v>
      </c>
      <c r="B312" s="44">
        <f t="shared" si="15"/>
        <v>75</v>
      </c>
      <c r="C312" s="44" t="s">
        <v>3</v>
      </c>
      <c r="D312" s="44">
        <f t="shared" si="16"/>
        <v>360</v>
      </c>
      <c r="E312" s="44" t="s">
        <v>3</v>
      </c>
      <c r="F312" s="102">
        <f t="shared" si="17"/>
        <v>3000</v>
      </c>
      <c r="G312" s="44" t="s">
        <v>3</v>
      </c>
      <c r="H312" s="46">
        <v>4</v>
      </c>
      <c r="I312" s="45" t="s">
        <v>40</v>
      </c>
      <c r="J312" s="125">
        <v>75</v>
      </c>
      <c r="K312" s="134">
        <v>360</v>
      </c>
      <c r="L312" s="134">
        <v>3000</v>
      </c>
      <c r="M312" s="152">
        <v>33.760079714255262</v>
      </c>
      <c r="N312" s="126">
        <v>1505.6950199999999</v>
      </c>
      <c r="O312" s="135">
        <v>52026.921871225008</v>
      </c>
      <c r="P312" s="135">
        <v>61825.937812975237</v>
      </c>
      <c r="Q312" s="136">
        <v>44274.980749249036</v>
      </c>
      <c r="R312" s="260">
        <v>96301.902620474051</v>
      </c>
      <c r="S312" s="261">
        <v>106100.91856222428</v>
      </c>
      <c r="U312" s="7" t="s">
        <v>1591</v>
      </c>
    </row>
    <row r="313" spans="1:21" s="65" customFormat="1" ht="22.5" customHeight="1" thickBot="1">
      <c r="A313" s="3010" t="s">
        <v>60</v>
      </c>
      <c r="B313" s="3011"/>
      <c r="C313" s="3011"/>
      <c r="D313" s="3011"/>
      <c r="E313" s="3011"/>
      <c r="F313" s="3011"/>
      <c r="G313" s="3011"/>
      <c r="H313" s="3011"/>
      <c r="I313" s="3011"/>
      <c r="J313" s="3011"/>
      <c r="K313" s="3011"/>
      <c r="L313" s="3011"/>
      <c r="M313" s="3011"/>
      <c r="N313" s="3011"/>
      <c r="O313" s="3011"/>
      <c r="P313" s="3011"/>
      <c r="Q313" s="3011"/>
      <c r="R313" s="3011"/>
      <c r="S313" s="3012"/>
      <c r="U313" s="7"/>
    </row>
    <row r="314" spans="1:21" s="65" customFormat="1" ht="16.5" thickBot="1">
      <c r="A314" s="2974" t="s">
        <v>113</v>
      </c>
      <c r="B314" s="2975"/>
      <c r="C314" s="2975"/>
      <c r="D314" s="2975"/>
      <c r="E314" s="2975"/>
      <c r="F314" s="2975"/>
      <c r="G314" s="2975"/>
      <c r="H314" s="2975"/>
      <c r="I314" s="2975"/>
      <c r="J314" s="2975"/>
      <c r="K314" s="2975"/>
      <c r="L314" s="2975"/>
      <c r="M314" s="2975"/>
      <c r="N314" s="2975"/>
      <c r="O314" s="2975"/>
      <c r="P314" s="2975"/>
      <c r="Q314" s="2975"/>
      <c r="R314" s="2975"/>
      <c r="S314" s="2976"/>
      <c r="U314" s="7"/>
    </row>
    <row r="315" spans="1:21" s="65" customFormat="1" ht="16.5" thickBot="1">
      <c r="A315" s="38" t="s">
        <v>31</v>
      </c>
      <c r="B315" s="39">
        <f>J315</f>
        <v>75</v>
      </c>
      <c r="C315" s="39" t="s">
        <v>3</v>
      </c>
      <c r="D315" s="39">
        <f>K315</f>
        <v>400</v>
      </c>
      <c r="E315" s="39" t="s">
        <v>3</v>
      </c>
      <c r="F315" s="101">
        <f>L315</f>
        <v>600</v>
      </c>
      <c r="G315" s="39" t="s">
        <v>3</v>
      </c>
      <c r="H315" s="39">
        <v>4</v>
      </c>
      <c r="I315" s="40" t="s">
        <v>40</v>
      </c>
      <c r="J315" s="121">
        <v>75</v>
      </c>
      <c r="K315" s="138">
        <v>400</v>
      </c>
      <c r="L315" s="138">
        <v>600</v>
      </c>
      <c r="M315" s="147">
        <v>7.8633132234836847</v>
      </c>
      <c r="N315" s="122">
        <v>146.3397366312</v>
      </c>
      <c r="O315" s="148">
        <v>15165.36578233127</v>
      </c>
      <c r="P315" s="148">
        <v>17818.340705367515</v>
      </c>
      <c r="Q315" s="139">
        <v>10760.15380676932</v>
      </c>
      <c r="R315" s="256">
        <v>25925.51958910059</v>
      </c>
      <c r="S315" s="257">
        <v>28578.494512136836</v>
      </c>
      <c r="U315" s="7" t="s">
        <v>1592</v>
      </c>
    </row>
    <row r="316" spans="1:21" s="65" customFormat="1" ht="16.5" thickBot="1">
      <c r="A316" s="41" t="s">
        <v>31</v>
      </c>
      <c r="B316" s="42">
        <f t="shared" ref="B316:B363" si="18">J316</f>
        <v>75</v>
      </c>
      <c r="C316" s="42" t="s">
        <v>3</v>
      </c>
      <c r="D316" s="42">
        <f t="shared" ref="D316:D363" si="19">K316</f>
        <v>400</v>
      </c>
      <c r="E316" s="42" t="s">
        <v>3</v>
      </c>
      <c r="F316" s="101">
        <f t="shared" ref="F316:F363" si="20">L316</f>
        <v>650</v>
      </c>
      <c r="G316" s="42" t="s">
        <v>3</v>
      </c>
      <c r="H316" s="39">
        <v>4</v>
      </c>
      <c r="I316" s="40" t="s">
        <v>40</v>
      </c>
      <c r="J316" s="103">
        <v>75</v>
      </c>
      <c r="K316" s="104">
        <v>400</v>
      </c>
      <c r="L316" s="104">
        <v>650</v>
      </c>
      <c r="M316" s="150">
        <v>8.4464948487205262</v>
      </c>
      <c r="N316" s="66">
        <v>175.60768395744</v>
      </c>
      <c r="O316" s="111">
        <v>15921.408069121693</v>
      </c>
      <c r="P316" s="111">
        <v>18823.022293387858</v>
      </c>
      <c r="Q316" s="110">
        <v>11416.760909528057</v>
      </c>
      <c r="R316" s="258">
        <v>27338.168978649752</v>
      </c>
      <c r="S316" s="259">
        <v>30239.783202915914</v>
      </c>
      <c r="U316" s="7" t="s">
        <v>1593</v>
      </c>
    </row>
    <row r="317" spans="1:21" s="65" customFormat="1" ht="16.5" thickBot="1">
      <c r="A317" s="41" t="s">
        <v>31</v>
      </c>
      <c r="B317" s="42">
        <f t="shared" si="18"/>
        <v>75</v>
      </c>
      <c r="C317" s="42" t="s">
        <v>3</v>
      </c>
      <c r="D317" s="42">
        <f t="shared" si="19"/>
        <v>400</v>
      </c>
      <c r="E317" s="42" t="s">
        <v>3</v>
      </c>
      <c r="F317" s="101">
        <f t="shared" si="20"/>
        <v>700</v>
      </c>
      <c r="G317" s="42" t="s">
        <v>3</v>
      </c>
      <c r="H317" s="39">
        <v>4</v>
      </c>
      <c r="I317" s="40" t="s">
        <v>40</v>
      </c>
      <c r="J317" s="103">
        <v>75</v>
      </c>
      <c r="K317" s="104">
        <v>400</v>
      </c>
      <c r="L317" s="104">
        <v>700</v>
      </c>
      <c r="M317" s="150">
        <v>9.0237658062173676</v>
      </c>
      <c r="N317" s="66">
        <v>204.87563128368001</v>
      </c>
      <c r="O317" s="111">
        <v>16677.450508940889</v>
      </c>
      <c r="P317" s="111">
        <v>19746.034112777408</v>
      </c>
      <c r="Q317" s="110">
        <v>12324.7019970418</v>
      </c>
      <c r="R317" s="258">
        <v>29002.152505982689</v>
      </c>
      <c r="S317" s="259">
        <v>32070.736109819209</v>
      </c>
      <c r="U317" s="7" t="s">
        <v>1594</v>
      </c>
    </row>
    <row r="318" spans="1:21" s="65" customFormat="1" ht="16.5" thickBot="1">
      <c r="A318" s="41" t="s">
        <v>31</v>
      </c>
      <c r="B318" s="42">
        <f t="shared" si="18"/>
        <v>75</v>
      </c>
      <c r="C318" s="42" t="s">
        <v>3</v>
      </c>
      <c r="D318" s="42">
        <f t="shared" si="19"/>
        <v>400</v>
      </c>
      <c r="E318" s="42" t="s">
        <v>3</v>
      </c>
      <c r="F318" s="101">
        <f t="shared" si="20"/>
        <v>750</v>
      </c>
      <c r="G318" s="42" t="s">
        <v>3</v>
      </c>
      <c r="H318" s="39">
        <v>4</v>
      </c>
      <c r="I318" s="40" t="s">
        <v>40</v>
      </c>
      <c r="J318" s="103">
        <v>75</v>
      </c>
      <c r="K318" s="104">
        <v>400</v>
      </c>
      <c r="L318" s="104">
        <v>750</v>
      </c>
      <c r="M318" s="150">
        <v>9.5839967637142109</v>
      </c>
      <c r="N318" s="66">
        <v>234.14357860991998</v>
      </c>
      <c r="O318" s="111">
        <v>17433.492795731312</v>
      </c>
      <c r="P318" s="111">
        <v>20669.045779138192</v>
      </c>
      <c r="Q318" s="110">
        <v>12981.309099800537</v>
      </c>
      <c r="R318" s="258">
        <v>30414.801895531848</v>
      </c>
      <c r="S318" s="259">
        <v>33650.354878938728</v>
      </c>
      <c r="U318" s="7" t="s">
        <v>1595</v>
      </c>
    </row>
    <row r="319" spans="1:21" s="65" customFormat="1" ht="16.5" thickBot="1">
      <c r="A319" s="41" t="s">
        <v>31</v>
      </c>
      <c r="B319" s="42">
        <f t="shared" si="18"/>
        <v>75</v>
      </c>
      <c r="C319" s="42" t="s">
        <v>3</v>
      </c>
      <c r="D319" s="42">
        <f t="shared" si="19"/>
        <v>400</v>
      </c>
      <c r="E319" s="42" t="s">
        <v>3</v>
      </c>
      <c r="F319" s="101">
        <f t="shared" si="20"/>
        <v>800</v>
      </c>
      <c r="G319" s="42" t="s">
        <v>3</v>
      </c>
      <c r="H319" s="39">
        <v>4</v>
      </c>
      <c r="I319" s="40" t="s">
        <v>40</v>
      </c>
      <c r="J319" s="103">
        <v>75</v>
      </c>
      <c r="K319" s="104">
        <v>400</v>
      </c>
      <c r="L319" s="104">
        <v>800</v>
      </c>
      <c r="M319" s="150">
        <v>10.144227721211054</v>
      </c>
      <c r="N319" s="66">
        <v>263.41152593615999</v>
      </c>
      <c r="O319" s="111">
        <v>18189.535235550502</v>
      </c>
      <c r="P319" s="111">
        <v>21592.057445498973</v>
      </c>
      <c r="Q319" s="110">
        <v>13637.916049530511</v>
      </c>
      <c r="R319" s="258">
        <v>31827.451285081013</v>
      </c>
      <c r="S319" s="259">
        <v>35229.973495029481</v>
      </c>
      <c r="U319" s="7" t="s">
        <v>1596</v>
      </c>
    </row>
    <row r="320" spans="1:21" s="65" customFormat="1" ht="16.5" thickBot="1">
      <c r="A320" s="41" t="s">
        <v>31</v>
      </c>
      <c r="B320" s="42">
        <f t="shared" si="18"/>
        <v>75</v>
      </c>
      <c r="C320" s="42" t="s">
        <v>3</v>
      </c>
      <c r="D320" s="42">
        <f t="shared" si="19"/>
        <v>400</v>
      </c>
      <c r="E320" s="42" t="s">
        <v>3</v>
      </c>
      <c r="F320" s="101">
        <f t="shared" si="20"/>
        <v>850</v>
      </c>
      <c r="G320" s="42" t="s">
        <v>3</v>
      </c>
      <c r="H320" s="39">
        <v>4</v>
      </c>
      <c r="I320" s="40" t="s">
        <v>40</v>
      </c>
      <c r="J320" s="103">
        <v>75</v>
      </c>
      <c r="K320" s="104">
        <v>400</v>
      </c>
      <c r="L320" s="104">
        <v>850</v>
      </c>
      <c r="M320" s="150">
        <v>10.721498678707896</v>
      </c>
      <c r="N320" s="66">
        <v>292.67947326239999</v>
      </c>
      <c r="O320" s="111">
        <v>18945.577675369692</v>
      </c>
      <c r="P320" s="111">
        <v>22515.069111859757</v>
      </c>
      <c r="Q320" s="110">
        <v>14545.85729007302</v>
      </c>
      <c r="R320" s="258">
        <v>33491.434965442713</v>
      </c>
      <c r="S320" s="259">
        <v>37060.926401932775</v>
      </c>
      <c r="U320" s="7" t="s">
        <v>1597</v>
      </c>
    </row>
    <row r="321" spans="1:21" s="65" customFormat="1" ht="16.5" thickBot="1">
      <c r="A321" s="41" t="s">
        <v>31</v>
      </c>
      <c r="B321" s="42">
        <f t="shared" si="18"/>
        <v>75</v>
      </c>
      <c r="C321" s="42" t="s">
        <v>3</v>
      </c>
      <c r="D321" s="42">
        <f t="shared" si="19"/>
        <v>400</v>
      </c>
      <c r="E321" s="42" t="s">
        <v>3</v>
      </c>
      <c r="F321" s="101">
        <f t="shared" si="20"/>
        <v>900</v>
      </c>
      <c r="G321" s="42" t="s">
        <v>3</v>
      </c>
      <c r="H321" s="39">
        <v>4</v>
      </c>
      <c r="I321" s="40" t="s">
        <v>40</v>
      </c>
      <c r="J321" s="103">
        <v>75</v>
      </c>
      <c r="K321" s="104">
        <v>400</v>
      </c>
      <c r="L321" s="104">
        <v>900</v>
      </c>
      <c r="M321" s="150">
        <v>11.281729636204739</v>
      </c>
      <c r="N321" s="66">
        <v>321.94742058863994</v>
      </c>
      <c r="O321" s="111">
        <v>19701.619962160119</v>
      </c>
      <c r="P321" s="111">
        <v>23438.080931249304</v>
      </c>
      <c r="Q321" s="110">
        <v>15202.464239802994</v>
      </c>
      <c r="R321" s="258">
        <v>34904.084201963109</v>
      </c>
      <c r="S321" s="259">
        <v>38640.545171052298</v>
      </c>
      <c r="U321" s="7" t="s">
        <v>1598</v>
      </c>
    </row>
    <row r="322" spans="1:21" s="65" customFormat="1" ht="16.5" thickBot="1">
      <c r="A322" s="41" t="s">
        <v>31</v>
      </c>
      <c r="B322" s="42">
        <f t="shared" si="18"/>
        <v>75</v>
      </c>
      <c r="C322" s="42" t="s">
        <v>3</v>
      </c>
      <c r="D322" s="42">
        <f t="shared" si="19"/>
        <v>400</v>
      </c>
      <c r="E322" s="42" t="s">
        <v>3</v>
      </c>
      <c r="F322" s="101">
        <f t="shared" si="20"/>
        <v>950</v>
      </c>
      <c r="G322" s="42" t="s">
        <v>3</v>
      </c>
      <c r="H322" s="39">
        <v>4</v>
      </c>
      <c r="I322" s="40" t="s">
        <v>40</v>
      </c>
      <c r="J322" s="103">
        <v>75</v>
      </c>
      <c r="K322" s="104">
        <v>400</v>
      </c>
      <c r="L322" s="104">
        <v>950</v>
      </c>
      <c r="M322" s="150">
        <v>11.859000593701577</v>
      </c>
      <c r="N322" s="66">
        <v>351.21536791488001</v>
      </c>
      <c r="O322" s="111">
        <v>20457.662401979309</v>
      </c>
      <c r="P322" s="111">
        <v>24361.092597610088</v>
      </c>
      <c r="Q322" s="110">
        <v>16110.4054803455</v>
      </c>
      <c r="R322" s="258">
        <v>36568.067882324809</v>
      </c>
      <c r="S322" s="259">
        <v>40471.498077955592</v>
      </c>
      <c r="U322" s="7" t="s">
        <v>1599</v>
      </c>
    </row>
    <row r="323" spans="1:21" s="65" customFormat="1" ht="16.5" thickBot="1">
      <c r="A323" s="41" t="s">
        <v>31</v>
      </c>
      <c r="B323" s="42">
        <f t="shared" si="18"/>
        <v>75</v>
      </c>
      <c r="C323" s="42" t="s">
        <v>3</v>
      </c>
      <c r="D323" s="42">
        <f t="shared" si="19"/>
        <v>400</v>
      </c>
      <c r="E323" s="42" t="s">
        <v>3</v>
      </c>
      <c r="F323" s="101">
        <f t="shared" si="20"/>
        <v>1000</v>
      </c>
      <c r="G323" s="42" t="s">
        <v>3</v>
      </c>
      <c r="H323" s="39">
        <v>4</v>
      </c>
      <c r="I323" s="40" t="s">
        <v>40</v>
      </c>
      <c r="J323" s="103">
        <v>75</v>
      </c>
      <c r="K323" s="104">
        <v>400</v>
      </c>
      <c r="L323" s="104">
        <v>1000</v>
      </c>
      <c r="M323" s="150">
        <v>12.41923155119842</v>
      </c>
      <c r="N323" s="66">
        <v>380.48331524112001</v>
      </c>
      <c r="O323" s="111">
        <v>21213.704688769736</v>
      </c>
      <c r="P323" s="111">
        <v>25284.104263970872</v>
      </c>
      <c r="Q323" s="110">
        <v>16767.012583104239</v>
      </c>
      <c r="R323" s="258">
        <v>37980.717271873975</v>
      </c>
      <c r="S323" s="259">
        <v>42051.116847075114</v>
      </c>
      <c r="U323" s="7" t="s">
        <v>1600</v>
      </c>
    </row>
    <row r="324" spans="1:21" s="65" customFormat="1" ht="16.5" thickBot="1">
      <c r="A324" s="41" t="s">
        <v>31</v>
      </c>
      <c r="B324" s="42">
        <f t="shared" si="18"/>
        <v>75</v>
      </c>
      <c r="C324" s="42" t="s">
        <v>3</v>
      </c>
      <c r="D324" s="42">
        <f t="shared" si="19"/>
        <v>400</v>
      </c>
      <c r="E324" s="42" t="s">
        <v>3</v>
      </c>
      <c r="F324" s="101">
        <f t="shared" si="20"/>
        <v>1050</v>
      </c>
      <c r="G324" s="42" t="s">
        <v>3</v>
      </c>
      <c r="H324" s="39">
        <v>4</v>
      </c>
      <c r="I324" s="40" t="s">
        <v>40</v>
      </c>
      <c r="J324" s="103">
        <v>75</v>
      </c>
      <c r="K324" s="104">
        <v>400</v>
      </c>
      <c r="L324" s="104">
        <v>1050</v>
      </c>
      <c r="M324" s="150">
        <v>12.996502508695261</v>
      </c>
      <c r="N324" s="66">
        <v>409.75126256736002</v>
      </c>
      <c r="O324" s="111">
        <v>21969.747128588926</v>
      </c>
      <c r="P324" s="111">
        <v>26207.116083360419</v>
      </c>
      <c r="Q324" s="110">
        <v>17674.953670617982</v>
      </c>
      <c r="R324" s="258">
        <v>39644.700799206912</v>
      </c>
      <c r="S324" s="259">
        <v>43882.069753978401</v>
      </c>
      <c r="U324" s="7" t="s">
        <v>1601</v>
      </c>
    </row>
    <row r="325" spans="1:21" s="65" customFormat="1" ht="16.5" thickBot="1">
      <c r="A325" s="38" t="s">
        <v>31</v>
      </c>
      <c r="B325" s="39">
        <f t="shared" si="18"/>
        <v>75</v>
      </c>
      <c r="C325" s="39" t="s">
        <v>3</v>
      </c>
      <c r="D325" s="39">
        <f t="shared" si="19"/>
        <v>400</v>
      </c>
      <c r="E325" s="39" t="s">
        <v>3</v>
      </c>
      <c r="F325" s="101">
        <f t="shared" si="20"/>
        <v>1100</v>
      </c>
      <c r="G325" s="39" t="s">
        <v>3</v>
      </c>
      <c r="H325" s="39">
        <v>4</v>
      </c>
      <c r="I325" s="40" t="s">
        <v>40</v>
      </c>
      <c r="J325" s="103">
        <v>75</v>
      </c>
      <c r="K325" s="104">
        <v>400</v>
      </c>
      <c r="L325" s="104">
        <v>1100</v>
      </c>
      <c r="M325" s="150">
        <v>13.556733466192103</v>
      </c>
      <c r="N325" s="66">
        <v>439.01920989360002</v>
      </c>
      <c r="O325" s="111">
        <v>22725.789568408116</v>
      </c>
      <c r="P325" s="111">
        <v>27130.1277497212</v>
      </c>
      <c r="Q325" s="110">
        <v>18331.560773376717</v>
      </c>
      <c r="R325" s="258">
        <v>41057.350341784833</v>
      </c>
      <c r="S325" s="259">
        <v>45461.688523097917</v>
      </c>
      <c r="U325" s="7" t="s">
        <v>1602</v>
      </c>
    </row>
    <row r="326" spans="1:21" s="65" customFormat="1" ht="16.5" thickBot="1">
      <c r="A326" s="41" t="s">
        <v>31</v>
      </c>
      <c r="B326" s="42">
        <f t="shared" si="18"/>
        <v>75</v>
      </c>
      <c r="C326" s="42" t="s">
        <v>3</v>
      </c>
      <c r="D326" s="42">
        <f t="shared" si="19"/>
        <v>400</v>
      </c>
      <c r="E326" s="42" t="s">
        <v>3</v>
      </c>
      <c r="F326" s="101">
        <f t="shared" si="20"/>
        <v>1150</v>
      </c>
      <c r="G326" s="42" t="s">
        <v>3</v>
      </c>
      <c r="H326" s="39">
        <v>4</v>
      </c>
      <c r="I326" s="40" t="s">
        <v>40</v>
      </c>
      <c r="J326" s="103">
        <v>75</v>
      </c>
      <c r="K326" s="104">
        <v>400</v>
      </c>
      <c r="L326" s="104">
        <v>1150</v>
      </c>
      <c r="M326" s="150">
        <v>14.116964423688948</v>
      </c>
      <c r="N326" s="66">
        <v>468.28715721983997</v>
      </c>
      <c r="O326" s="111">
        <v>23481.831855198543</v>
      </c>
      <c r="P326" s="111">
        <v>28053.139416081984</v>
      </c>
      <c r="Q326" s="110">
        <v>18988.167723106693</v>
      </c>
      <c r="R326" s="258">
        <v>42469.999578305236</v>
      </c>
      <c r="S326" s="259">
        <v>47041.307139188677</v>
      </c>
      <c r="U326" s="7" t="s">
        <v>1603</v>
      </c>
    </row>
    <row r="327" spans="1:21" s="65" customFormat="1" ht="16.5" thickBot="1">
      <c r="A327" s="41" t="s">
        <v>31</v>
      </c>
      <c r="B327" s="42">
        <f t="shared" si="18"/>
        <v>75</v>
      </c>
      <c r="C327" s="42" t="s">
        <v>3</v>
      </c>
      <c r="D327" s="42">
        <f t="shared" si="19"/>
        <v>400</v>
      </c>
      <c r="E327" s="42" t="s">
        <v>3</v>
      </c>
      <c r="F327" s="101">
        <f t="shared" si="20"/>
        <v>1200</v>
      </c>
      <c r="G327" s="42" t="s">
        <v>3</v>
      </c>
      <c r="H327" s="39">
        <v>4</v>
      </c>
      <c r="I327" s="40" t="s">
        <v>40</v>
      </c>
      <c r="J327" s="103">
        <v>75</v>
      </c>
      <c r="K327" s="104">
        <v>400</v>
      </c>
      <c r="L327" s="104">
        <v>1200</v>
      </c>
      <c r="M327" s="150">
        <v>14.772735381185788</v>
      </c>
      <c r="N327" s="66">
        <v>497.55510454607997</v>
      </c>
      <c r="O327" s="111">
        <v>24321.972477122297</v>
      </c>
      <c r="P327" s="111">
        <v>29057.68603273149</v>
      </c>
      <c r="Q327" s="110">
        <v>19896.1089636492</v>
      </c>
      <c r="R327" s="258">
        <v>44218.081440771493</v>
      </c>
      <c r="S327" s="259">
        <v>48953.79499638069</v>
      </c>
      <c r="U327" s="7" t="s">
        <v>1604</v>
      </c>
    </row>
    <row r="328" spans="1:21" s="65" customFormat="1" ht="16.5" thickBot="1">
      <c r="A328" s="41" t="s">
        <v>31</v>
      </c>
      <c r="B328" s="42">
        <f t="shared" si="18"/>
        <v>75</v>
      </c>
      <c r="C328" s="42" t="s">
        <v>3</v>
      </c>
      <c r="D328" s="42">
        <f t="shared" si="19"/>
        <v>400</v>
      </c>
      <c r="E328" s="42" t="s">
        <v>3</v>
      </c>
      <c r="F328" s="101">
        <f t="shared" si="20"/>
        <v>1250</v>
      </c>
      <c r="G328" s="42" t="s">
        <v>3</v>
      </c>
      <c r="H328" s="39">
        <v>4</v>
      </c>
      <c r="I328" s="40" t="s">
        <v>40</v>
      </c>
      <c r="J328" s="103">
        <v>75</v>
      </c>
      <c r="K328" s="104">
        <v>400</v>
      </c>
      <c r="L328" s="104">
        <v>1250</v>
      </c>
      <c r="M328" s="150">
        <v>15.332966338682629</v>
      </c>
      <c r="N328" s="66">
        <v>526.82305187231998</v>
      </c>
      <c r="O328" s="111">
        <v>25078.014916941487</v>
      </c>
      <c r="P328" s="111">
        <v>29980.69785212104</v>
      </c>
      <c r="Q328" s="110">
        <v>20552.715913379172</v>
      </c>
      <c r="R328" s="258">
        <v>45630.730830320659</v>
      </c>
      <c r="S328" s="259">
        <v>50533.413765500212</v>
      </c>
      <c r="U328" s="7" t="s">
        <v>1605</v>
      </c>
    </row>
    <row r="329" spans="1:21" s="65" customFormat="1" ht="16.5" thickBot="1">
      <c r="A329" s="41" t="s">
        <v>31</v>
      </c>
      <c r="B329" s="42">
        <f t="shared" si="18"/>
        <v>75</v>
      </c>
      <c r="C329" s="42" t="s">
        <v>3</v>
      </c>
      <c r="D329" s="42">
        <f t="shared" si="19"/>
        <v>400</v>
      </c>
      <c r="E329" s="42" t="s">
        <v>3</v>
      </c>
      <c r="F329" s="101">
        <f t="shared" si="20"/>
        <v>1300</v>
      </c>
      <c r="G329" s="42" t="s">
        <v>3</v>
      </c>
      <c r="H329" s="39">
        <v>4</v>
      </c>
      <c r="I329" s="40" t="s">
        <v>40</v>
      </c>
      <c r="J329" s="103">
        <v>75</v>
      </c>
      <c r="K329" s="104">
        <v>400</v>
      </c>
      <c r="L329" s="104">
        <v>1300</v>
      </c>
      <c r="M329" s="150">
        <v>15.910237296179472</v>
      </c>
      <c r="N329" s="66">
        <v>556.09099919855998</v>
      </c>
      <c r="O329" s="111">
        <v>25834.057356760681</v>
      </c>
      <c r="P329" s="111">
        <v>30903.709518481821</v>
      </c>
      <c r="Q329" s="110">
        <v>21460.657153921682</v>
      </c>
      <c r="R329" s="258">
        <v>47294.714510682359</v>
      </c>
      <c r="S329" s="259">
        <v>52364.366672403499</v>
      </c>
      <c r="U329" s="7" t="s">
        <v>1606</v>
      </c>
    </row>
    <row r="330" spans="1:21" s="65" customFormat="1" ht="16.5" thickBot="1">
      <c r="A330" s="41" t="s">
        <v>31</v>
      </c>
      <c r="B330" s="42">
        <f t="shared" si="18"/>
        <v>75</v>
      </c>
      <c r="C330" s="42" t="s">
        <v>3</v>
      </c>
      <c r="D330" s="42">
        <f t="shared" si="19"/>
        <v>400</v>
      </c>
      <c r="E330" s="42" t="s">
        <v>3</v>
      </c>
      <c r="F330" s="101">
        <f t="shared" si="20"/>
        <v>1350</v>
      </c>
      <c r="G330" s="42" t="s">
        <v>3</v>
      </c>
      <c r="H330" s="39">
        <v>4</v>
      </c>
      <c r="I330" s="40" t="s">
        <v>40</v>
      </c>
      <c r="J330" s="103">
        <v>75</v>
      </c>
      <c r="K330" s="104">
        <v>400</v>
      </c>
      <c r="L330" s="104">
        <v>1350</v>
      </c>
      <c r="M330" s="150">
        <v>16.470468253676316</v>
      </c>
      <c r="N330" s="66">
        <v>585.35894652479999</v>
      </c>
      <c r="O330" s="111">
        <v>26590.099643551108</v>
      </c>
      <c r="P330" s="111">
        <v>31826.721184842601</v>
      </c>
      <c r="Q330" s="110">
        <v>22117.264103651651</v>
      </c>
      <c r="R330" s="258">
        <v>48707.363747202762</v>
      </c>
      <c r="S330" s="259">
        <v>53943.985288494252</v>
      </c>
      <c r="U330" s="7" t="s">
        <v>1607</v>
      </c>
    </row>
    <row r="331" spans="1:21" s="65" customFormat="1" ht="16.5" thickBot="1">
      <c r="A331" s="41" t="s">
        <v>31</v>
      </c>
      <c r="B331" s="42">
        <f t="shared" si="18"/>
        <v>75</v>
      </c>
      <c r="C331" s="42" t="s">
        <v>3</v>
      </c>
      <c r="D331" s="42">
        <f t="shared" si="19"/>
        <v>400</v>
      </c>
      <c r="E331" s="42" t="s">
        <v>3</v>
      </c>
      <c r="F331" s="101">
        <f t="shared" si="20"/>
        <v>1400</v>
      </c>
      <c r="G331" s="42" t="s">
        <v>3</v>
      </c>
      <c r="H331" s="39">
        <v>4</v>
      </c>
      <c r="I331" s="40" t="s">
        <v>40</v>
      </c>
      <c r="J331" s="103">
        <v>75</v>
      </c>
      <c r="K331" s="104">
        <v>400</v>
      </c>
      <c r="L331" s="104">
        <v>1400</v>
      </c>
      <c r="M331" s="150">
        <v>17.047739211173155</v>
      </c>
      <c r="N331" s="66">
        <v>614.62689385103999</v>
      </c>
      <c r="O331" s="111">
        <v>27346.142083370294</v>
      </c>
      <c r="P331" s="111">
        <v>32749.732851203382</v>
      </c>
      <c r="Q331" s="110">
        <v>23025.205344194161</v>
      </c>
      <c r="R331" s="258">
        <v>50371.347427564455</v>
      </c>
      <c r="S331" s="259">
        <v>55774.938195397539</v>
      </c>
      <c r="U331" s="7" t="s">
        <v>1608</v>
      </c>
    </row>
    <row r="332" spans="1:21" s="65" customFormat="1" ht="16.5" thickBot="1">
      <c r="A332" s="41" t="s">
        <v>31</v>
      </c>
      <c r="B332" s="42">
        <f t="shared" si="18"/>
        <v>75</v>
      </c>
      <c r="C332" s="42" t="s">
        <v>3</v>
      </c>
      <c r="D332" s="42">
        <f t="shared" si="19"/>
        <v>400</v>
      </c>
      <c r="E332" s="42" t="s">
        <v>3</v>
      </c>
      <c r="F332" s="101">
        <f t="shared" si="20"/>
        <v>1450</v>
      </c>
      <c r="G332" s="42" t="s">
        <v>3</v>
      </c>
      <c r="H332" s="39">
        <v>4</v>
      </c>
      <c r="I332" s="40" t="s">
        <v>40</v>
      </c>
      <c r="J332" s="103">
        <v>75</v>
      </c>
      <c r="K332" s="104">
        <v>400</v>
      </c>
      <c r="L332" s="104">
        <v>1450</v>
      </c>
      <c r="M332" s="150">
        <v>17.607970168670001</v>
      </c>
      <c r="N332" s="66">
        <v>643.89484117727989</v>
      </c>
      <c r="O332" s="111">
        <v>28102.184370160721</v>
      </c>
      <c r="P332" s="111">
        <v>33672.744670592932</v>
      </c>
      <c r="Q332" s="110">
        <v>23681.812293924133</v>
      </c>
      <c r="R332" s="258">
        <v>51783.996664084858</v>
      </c>
      <c r="S332" s="259">
        <v>57354.556964517062</v>
      </c>
      <c r="U332" s="7" t="s">
        <v>1609</v>
      </c>
    </row>
    <row r="333" spans="1:21" s="65" customFormat="1" ht="16.5" thickBot="1">
      <c r="A333" s="41" t="s">
        <v>31</v>
      </c>
      <c r="B333" s="42">
        <f t="shared" si="18"/>
        <v>75</v>
      </c>
      <c r="C333" s="42" t="s">
        <v>3</v>
      </c>
      <c r="D333" s="42">
        <f t="shared" si="19"/>
        <v>400</v>
      </c>
      <c r="E333" s="42" t="s">
        <v>3</v>
      </c>
      <c r="F333" s="101">
        <f t="shared" si="20"/>
        <v>1500</v>
      </c>
      <c r="G333" s="42" t="s">
        <v>3</v>
      </c>
      <c r="H333" s="39">
        <v>4</v>
      </c>
      <c r="I333" s="40" t="s">
        <v>40</v>
      </c>
      <c r="J333" s="103">
        <v>75</v>
      </c>
      <c r="K333" s="104">
        <v>400</v>
      </c>
      <c r="L333" s="104">
        <v>1500</v>
      </c>
      <c r="M333" s="150">
        <v>18.383139669526841</v>
      </c>
      <c r="N333" s="66">
        <v>673.16278850352001</v>
      </c>
      <c r="O333" s="111">
        <v>29741.742517205759</v>
      </c>
      <c r="P333" s="111">
        <v>35403.95511170417</v>
      </c>
      <c r="Q333" s="110">
        <v>24589.753534466639</v>
      </c>
      <c r="R333" s="258">
        <v>54331.496051672395</v>
      </c>
      <c r="S333" s="259">
        <v>59993.70864617081</v>
      </c>
      <c r="U333" s="7" t="s">
        <v>1610</v>
      </c>
    </row>
    <row r="334" spans="1:21" s="65" customFormat="1" ht="16.5" thickBot="1">
      <c r="A334" s="41" t="s">
        <v>31</v>
      </c>
      <c r="B334" s="42">
        <f t="shared" si="18"/>
        <v>75</v>
      </c>
      <c r="C334" s="42" t="s">
        <v>3</v>
      </c>
      <c r="D334" s="42">
        <f t="shared" si="19"/>
        <v>400</v>
      </c>
      <c r="E334" s="42" t="s">
        <v>3</v>
      </c>
      <c r="F334" s="101">
        <f t="shared" si="20"/>
        <v>1550</v>
      </c>
      <c r="G334" s="42" t="s">
        <v>3</v>
      </c>
      <c r="H334" s="39">
        <v>4</v>
      </c>
      <c r="I334" s="40" t="s">
        <v>40</v>
      </c>
      <c r="J334" s="103">
        <v>75</v>
      </c>
      <c r="K334" s="104">
        <v>400</v>
      </c>
      <c r="L334" s="104">
        <v>1550</v>
      </c>
      <c r="M334" s="150">
        <v>18.943370627023683</v>
      </c>
      <c r="N334" s="66">
        <v>702.43073582976001</v>
      </c>
      <c r="O334" s="111">
        <v>30497.784803996186</v>
      </c>
      <c r="P334" s="111">
        <v>36326.966778064947</v>
      </c>
      <c r="Q334" s="110">
        <v>25246.360484196612</v>
      </c>
      <c r="R334" s="258">
        <v>55744.145288192798</v>
      </c>
      <c r="S334" s="259">
        <v>61573.327262261562</v>
      </c>
      <c r="U334" s="7" t="s">
        <v>1611</v>
      </c>
    </row>
    <row r="335" spans="1:21" s="65" customFormat="1" ht="16.5" thickBot="1">
      <c r="A335" s="38" t="s">
        <v>31</v>
      </c>
      <c r="B335" s="39">
        <f t="shared" si="18"/>
        <v>75</v>
      </c>
      <c r="C335" s="39" t="s">
        <v>3</v>
      </c>
      <c r="D335" s="39">
        <f t="shared" si="19"/>
        <v>400</v>
      </c>
      <c r="E335" s="39" t="s">
        <v>3</v>
      </c>
      <c r="F335" s="101">
        <f t="shared" si="20"/>
        <v>1600</v>
      </c>
      <c r="G335" s="39" t="s">
        <v>3</v>
      </c>
      <c r="H335" s="39">
        <v>4</v>
      </c>
      <c r="I335" s="40" t="s">
        <v>40</v>
      </c>
      <c r="J335" s="103">
        <v>75</v>
      </c>
      <c r="K335" s="104">
        <v>400</v>
      </c>
      <c r="L335" s="104">
        <v>1600</v>
      </c>
      <c r="M335" s="150">
        <v>19.503601584520524</v>
      </c>
      <c r="N335" s="66">
        <v>731.6986831559999</v>
      </c>
      <c r="O335" s="111">
        <v>31253.827243815373</v>
      </c>
      <c r="P335" s="111">
        <v>37249.978444425731</v>
      </c>
      <c r="Q335" s="110">
        <v>25902.96758695535</v>
      </c>
      <c r="R335" s="258">
        <v>57156.794830770727</v>
      </c>
      <c r="S335" s="259">
        <v>63152.946031381085</v>
      </c>
      <c r="U335" s="7" t="s">
        <v>1612</v>
      </c>
    </row>
    <row r="336" spans="1:21" s="65" customFormat="1" ht="16.5" thickBot="1">
      <c r="A336" s="41" t="s">
        <v>31</v>
      </c>
      <c r="B336" s="42">
        <f t="shared" si="18"/>
        <v>75</v>
      </c>
      <c r="C336" s="42" t="s">
        <v>3</v>
      </c>
      <c r="D336" s="42">
        <f t="shared" si="19"/>
        <v>400</v>
      </c>
      <c r="E336" s="42" t="s">
        <v>3</v>
      </c>
      <c r="F336" s="101">
        <f t="shared" si="20"/>
        <v>1650</v>
      </c>
      <c r="G336" s="42" t="s">
        <v>3</v>
      </c>
      <c r="H336" s="39">
        <v>4</v>
      </c>
      <c r="I336" s="40" t="s">
        <v>40</v>
      </c>
      <c r="J336" s="103">
        <v>75</v>
      </c>
      <c r="K336" s="104">
        <v>400</v>
      </c>
      <c r="L336" s="104">
        <v>1650</v>
      </c>
      <c r="M336" s="150">
        <v>20.080872542017367</v>
      </c>
      <c r="N336" s="66">
        <v>760.96663048224002</v>
      </c>
      <c r="O336" s="111">
        <v>32009.869683634566</v>
      </c>
      <c r="P336" s="111">
        <v>38172.990110786515</v>
      </c>
      <c r="Q336" s="110">
        <v>26810.908827497857</v>
      </c>
      <c r="R336" s="258">
        <v>58820.778511132419</v>
      </c>
      <c r="S336" s="259">
        <v>64983.898938284372</v>
      </c>
      <c r="U336" s="7" t="s">
        <v>1613</v>
      </c>
    </row>
    <row r="337" spans="1:21" s="65" customFormat="1" ht="16.5" thickBot="1">
      <c r="A337" s="41" t="s">
        <v>31</v>
      </c>
      <c r="B337" s="42">
        <f t="shared" si="18"/>
        <v>75</v>
      </c>
      <c r="C337" s="42" t="s">
        <v>3</v>
      </c>
      <c r="D337" s="42">
        <f t="shared" si="19"/>
        <v>400</v>
      </c>
      <c r="E337" s="42" t="s">
        <v>3</v>
      </c>
      <c r="F337" s="101">
        <f t="shared" si="20"/>
        <v>1700</v>
      </c>
      <c r="G337" s="42" t="s">
        <v>3</v>
      </c>
      <c r="H337" s="39">
        <v>4</v>
      </c>
      <c r="I337" s="40" t="s">
        <v>40</v>
      </c>
      <c r="J337" s="103">
        <v>75</v>
      </c>
      <c r="K337" s="104">
        <v>400</v>
      </c>
      <c r="L337" s="104">
        <v>1700</v>
      </c>
      <c r="M337" s="150">
        <v>20.641103499514209</v>
      </c>
      <c r="N337" s="66">
        <v>790.23457780848003</v>
      </c>
      <c r="O337" s="111">
        <v>32765.911970424993</v>
      </c>
      <c r="P337" s="111">
        <v>39096.001930176062</v>
      </c>
      <c r="Q337" s="110">
        <v>27467.515777227836</v>
      </c>
      <c r="R337" s="258">
        <v>60233.42774765283</v>
      </c>
      <c r="S337" s="259">
        <v>66563.517707403895</v>
      </c>
      <c r="U337" s="7" t="s">
        <v>1614</v>
      </c>
    </row>
    <row r="338" spans="1:21" s="65" customFormat="1" ht="16.5" thickBot="1">
      <c r="A338" s="41" t="s">
        <v>31</v>
      </c>
      <c r="B338" s="42">
        <f t="shared" si="18"/>
        <v>75</v>
      </c>
      <c r="C338" s="42" t="s">
        <v>3</v>
      </c>
      <c r="D338" s="42">
        <f t="shared" si="19"/>
        <v>400</v>
      </c>
      <c r="E338" s="42" t="s">
        <v>3</v>
      </c>
      <c r="F338" s="101">
        <f t="shared" si="20"/>
        <v>1750</v>
      </c>
      <c r="G338" s="42" t="s">
        <v>3</v>
      </c>
      <c r="H338" s="39">
        <v>4</v>
      </c>
      <c r="I338" s="40" t="s">
        <v>40</v>
      </c>
      <c r="J338" s="103">
        <v>75</v>
      </c>
      <c r="K338" s="104">
        <v>400</v>
      </c>
      <c r="L338" s="104">
        <v>1750</v>
      </c>
      <c r="M338" s="150">
        <v>21.218374457011052</v>
      </c>
      <c r="N338" s="66">
        <v>819.50252513472003</v>
      </c>
      <c r="O338" s="111">
        <v>33521.95441024418</v>
      </c>
      <c r="P338" s="111">
        <v>40019.013596536846</v>
      </c>
      <c r="Q338" s="110">
        <v>28375.457017770343</v>
      </c>
      <c r="R338" s="258">
        <v>61897.411428014522</v>
      </c>
      <c r="S338" s="259">
        <v>68394.470614307182</v>
      </c>
      <c r="U338" s="7" t="s">
        <v>1615</v>
      </c>
    </row>
    <row r="339" spans="1:21" s="65" customFormat="1" ht="16.5" thickBot="1">
      <c r="A339" s="41" t="s">
        <v>31</v>
      </c>
      <c r="B339" s="42">
        <f t="shared" si="18"/>
        <v>75</v>
      </c>
      <c r="C339" s="42" t="s">
        <v>3</v>
      </c>
      <c r="D339" s="42">
        <f t="shared" si="19"/>
        <v>400</v>
      </c>
      <c r="E339" s="42" t="s">
        <v>3</v>
      </c>
      <c r="F339" s="101">
        <f t="shared" si="20"/>
        <v>1800</v>
      </c>
      <c r="G339" s="42" t="s">
        <v>3</v>
      </c>
      <c r="H339" s="39">
        <v>4</v>
      </c>
      <c r="I339" s="40" t="s">
        <v>40</v>
      </c>
      <c r="J339" s="103">
        <v>75</v>
      </c>
      <c r="K339" s="104">
        <v>400</v>
      </c>
      <c r="L339" s="104">
        <v>1800</v>
      </c>
      <c r="M339" s="150">
        <v>21.778605414507894</v>
      </c>
      <c r="N339" s="66">
        <v>848.77047246096004</v>
      </c>
      <c r="O339" s="111">
        <v>34277.996697034607</v>
      </c>
      <c r="P339" s="111">
        <v>40942.02526289763</v>
      </c>
      <c r="Q339" s="110">
        <v>29032.063967500315</v>
      </c>
      <c r="R339" s="258">
        <v>63310.060664534918</v>
      </c>
      <c r="S339" s="259">
        <v>69974.089230397949</v>
      </c>
      <c r="U339" s="7" t="s">
        <v>1616</v>
      </c>
    </row>
    <row r="340" spans="1:21" s="65" customFormat="1" ht="16.5" thickBot="1">
      <c r="A340" s="41" t="s">
        <v>31</v>
      </c>
      <c r="B340" s="42">
        <f t="shared" si="18"/>
        <v>75</v>
      </c>
      <c r="C340" s="42" t="s">
        <v>3</v>
      </c>
      <c r="D340" s="42">
        <f t="shared" si="19"/>
        <v>400</v>
      </c>
      <c r="E340" s="42" t="s">
        <v>3</v>
      </c>
      <c r="F340" s="101">
        <f t="shared" si="20"/>
        <v>1850</v>
      </c>
      <c r="G340" s="42" t="s">
        <v>3</v>
      </c>
      <c r="H340" s="39">
        <v>4</v>
      </c>
      <c r="I340" s="40" t="s">
        <v>40</v>
      </c>
      <c r="J340" s="103">
        <v>75</v>
      </c>
      <c r="K340" s="104">
        <v>400</v>
      </c>
      <c r="L340" s="104">
        <v>1850</v>
      </c>
      <c r="M340" s="150">
        <v>22.35587637200474</v>
      </c>
      <c r="N340" s="66">
        <v>878.03841978720004</v>
      </c>
      <c r="O340" s="111">
        <v>35034.039136853804</v>
      </c>
      <c r="P340" s="111">
        <v>41865.037082287177</v>
      </c>
      <c r="Q340" s="110">
        <v>29940.005208042821</v>
      </c>
      <c r="R340" s="258">
        <v>64974.044344896625</v>
      </c>
      <c r="S340" s="259">
        <v>71805.042290329991</v>
      </c>
      <c r="U340" s="7" t="s">
        <v>1617</v>
      </c>
    </row>
    <row r="341" spans="1:21" s="65" customFormat="1" ht="16.5" thickBot="1">
      <c r="A341" s="41" t="s">
        <v>31</v>
      </c>
      <c r="B341" s="42">
        <f t="shared" si="18"/>
        <v>75</v>
      </c>
      <c r="C341" s="42" t="s">
        <v>3</v>
      </c>
      <c r="D341" s="42">
        <f t="shared" si="19"/>
        <v>400</v>
      </c>
      <c r="E341" s="42" t="s">
        <v>3</v>
      </c>
      <c r="F341" s="101">
        <f t="shared" si="20"/>
        <v>1900</v>
      </c>
      <c r="G341" s="42" t="s">
        <v>3</v>
      </c>
      <c r="H341" s="39">
        <v>4</v>
      </c>
      <c r="I341" s="40" t="s">
        <v>40</v>
      </c>
      <c r="J341" s="103">
        <v>75</v>
      </c>
      <c r="K341" s="104">
        <v>400</v>
      </c>
      <c r="L341" s="104">
        <v>1900</v>
      </c>
      <c r="M341" s="150">
        <v>22.916107329501578</v>
      </c>
      <c r="N341" s="66">
        <v>907.30636711343993</v>
      </c>
      <c r="O341" s="111">
        <v>35790.081423644224</v>
      </c>
      <c r="P341" s="111">
        <v>42788.048748647961</v>
      </c>
      <c r="Q341" s="110">
        <v>30596.612157772794</v>
      </c>
      <c r="R341" s="258">
        <v>66386.693581417014</v>
      </c>
      <c r="S341" s="259">
        <v>73384.660906420759</v>
      </c>
      <c r="U341" s="7" t="s">
        <v>1618</v>
      </c>
    </row>
    <row r="342" spans="1:21" s="65" customFormat="1" ht="16.5" thickBot="1">
      <c r="A342" s="41" t="s">
        <v>31</v>
      </c>
      <c r="B342" s="42">
        <f t="shared" si="18"/>
        <v>75</v>
      </c>
      <c r="C342" s="42" t="s">
        <v>3</v>
      </c>
      <c r="D342" s="42">
        <f t="shared" si="19"/>
        <v>400</v>
      </c>
      <c r="E342" s="42" t="s">
        <v>3</v>
      </c>
      <c r="F342" s="101">
        <f t="shared" si="20"/>
        <v>1950</v>
      </c>
      <c r="G342" s="42" t="s">
        <v>3</v>
      </c>
      <c r="H342" s="39">
        <v>4</v>
      </c>
      <c r="I342" s="40" t="s">
        <v>40</v>
      </c>
      <c r="J342" s="103">
        <v>75</v>
      </c>
      <c r="K342" s="104">
        <v>400</v>
      </c>
      <c r="L342" s="104">
        <v>1950</v>
      </c>
      <c r="M342" s="150">
        <v>23.554838286998425</v>
      </c>
      <c r="N342" s="66">
        <v>936.57431443967994</v>
      </c>
      <c r="O342" s="111">
        <v>36630.222198596748</v>
      </c>
      <c r="P342" s="111">
        <v>43792.595365297464</v>
      </c>
      <c r="Q342" s="110">
        <v>31253.219260531532</v>
      </c>
      <c r="R342" s="258">
        <v>67883.441459128284</v>
      </c>
      <c r="S342" s="259">
        <v>75045.814625828993</v>
      </c>
      <c r="U342" s="7" t="s">
        <v>1619</v>
      </c>
    </row>
    <row r="343" spans="1:21" s="65" customFormat="1" ht="16.5" thickBot="1">
      <c r="A343" s="41" t="s">
        <v>31</v>
      </c>
      <c r="B343" s="42">
        <f t="shared" si="18"/>
        <v>75</v>
      </c>
      <c r="C343" s="42" t="s">
        <v>3</v>
      </c>
      <c r="D343" s="42">
        <f t="shared" si="19"/>
        <v>400</v>
      </c>
      <c r="E343" s="42" t="s">
        <v>3</v>
      </c>
      <c r="F343" s="101">
        <f t="shared" si="20"/>
        <v>2000</v>
      </c>
      <c r="G343" s="42" t="s">
        <v>3</v>
      </c>
      <c r="H343" s="39">
        <v>4</v>
      </c>
      <c r="I343" s="40" t="s">
        <v>40</v>
      </c>
      <c r="J343" s="103">
        <v>75</v>
      </c>
      <c r="K343" s="104">
        <v>400</v>
      </c>
      <c r="L343" s="104">
        <v>2000</v>
      </c>
      <c r="M343" s="150">
        <v>24.223671644495262</v>
      </c>
      <c r="N343" s="66">
        <v>965.84226176591994</v>
      </c>
      <c r="O343" s="111">
        <v>37637.556387231765</v>
      </c>
      <c r="P343" s="111">
        <v>45044.035531024339</v>
      </c>
      <c r="Q343" s="110">
        <v>32161.160348045276</v>
      </c>
      <c r="R343" s="258">
        <v>69798.716735277034</v>
      </c>
      <c r="S343" s="259">
        <v>77205.195879069623</v>
      </c>
      <c r="U343" s="7" t="s">
        <v>1620</v>
      </c>
    </row>
    <row r="344" spans="1:21" s="65" customFormat="1" ht="16.5" thickBot="1">
      <c r="A344" s="41" t="s">
        <v>31</v>
      </c>
      <c r="B344" s="42">
        <f t="shared" si="18"/>
        <v>75</v>
      </c>
      <c r="C344" s="42" t="s">
        <v>3</v>
      </c>
      <c r="D344" s="42">
        <f t="shared" si="19"/>
        <v>400</v>
      </c>
      <c r="E344" s="42" t="s">
        <v>3</v>
      </c>
      <c r="F344" s="101">
        <f t="shared" si="20"/>
        <v>2050</v>
      </c>
      <c r="G344" s="42" t="s">
        <v>3</v>
      </c>
      <c r="H344" s="39">
        <v>4</v>
      </c>
      <c r="I344" s="40" t="s">
        <v>40</v>
      </c>
      <c r="J344" s="103">
        <v>75</v>
      </c>
      <c r="K344" s="104">
        <v>400</v>
      </c>
      <c r="L344" s="104">
        <v>2050</v>
      </c>
      <c r="M344" s="150">
        <v>24.783902601992104</v>
      </c>
      <c r="N344" s="66">
        <v>995.11020909215995</v>
      </c>
      <c r="O344" s="111">
        <v>38393.598827050955</v>
      </c>
      <c r="P344" s="111">
        <v>45967.047350413886</v>
      </c>
      <c r="Q344" s="110">
        <v>32817.767450804015</v>
      </c>
      <c r="R344" s="258">
        <v>71211.366277854977</v>
      </c>
      <c r="S344" s="259">
        <v>78784.814801217901</v>
      </c>
      <c r="U344" s="7" t="s">
        <v>1621</v>
      </c>
    </row>
    <row r="345" spans="1:21" s="65" customFormat="1" ht="16.5" thickBot="1">
      <c r="A345" s="38" t="s">
        <v>31</v>
      </c>
      <c r="B345" s="39">
        <f t="shared" si="18"/>
        <v>75</v>
      </c>
      <c r="C345" s="39" t="s">
        <v>3</v>
      </c>
      <c r="D345" s="39">
        <f t="shared" si="19"/>
        <v>400</v>
      </c>
      <c r="E345" s="39" t="s">
        <v>3</v>
      </c>
      <c r="F345" s="101">
        <f t="shared" si="20"/>
        <v>2100</v>
      </c>
      <c r="G345" s="39" t="s">
        <v>3</v>
      </c>
      <c r="H345" s="39">
        <v>4</v>
      </c>
      <c r="I345" s="40" t="s">
        <v>40</v>
      </c>
      <c r="J345" s="103">
        <v>75</v>
      </c>
      <c r="K345" s="104">
        <v>400</v>
      </c>
      <c r="L345" s="104">
        <v>2100</v>
      </c>
      <c r="M345" s="150">
        <v>25.361173559488947</v>
      </c>
      <c r="N345" s="66">
        <v>1024.3781564183998</v>
      </c>
      <c r="O345" s="111">
        <v>39149.641113841382</v>
      </c>
      <c r="P345" s="111">
        <v>46890.05901677467</v>
      </c>
      <c r="Q345" s="110">
        <v>33725.708538317755</v>
      </c>
      <c r="R345" s="258">
        <v>72875.349652159144</v>
      </c>
      <c r="S345" s="259">
        <v>80615.767555092432</v>
      </c>
      <c r="U345" s="7" t="s">
        <v>1622</v>
      </c>
    </row>
    <row r="346" spans="1:21" s="65" customFormat="1" ht="16.5" thickBot="1">
      <c r="A346" s="41" t="s">
        <v>31</v>
      </c>
      <c r="B346" s="42">
        <f t="shared" si="18"/>
        <v>75</v>
      </c>
      <c r="C346" s="42" t="s">
        <v>3</v>
      </c>
      <c r="D346" s="42">
        <f t="shared" si="19"/>
        <v>400</v>
      </c>
      <c r="E346" s="42" t="s">
        <v>3</v>
      </c>
      <c r="F346" s="101">
        <f t="shared" si="20"/>
        <v>2150</v>
      </c>
      <c r="G346" s="42" t="s">
        <v>3</v>
      </c>
      <c r="H346" s="39">
        <v>4</v>
      </c>
      <c r="I346" s="40" t="s">
        <v>40</v>
      </c>
      <c r="J346" s="103">
        <v>75</v>
      </c>
      <c r="K346" s="104">
        <v>400</v>
      </c>
      <c r="L346" s="104">
        <v>2150</v>
      </c>
      <c r="M346" s="150">
        <v>25.921404516985788</v>
      </c>
      <c r="N346" s="66">
        <v>1053.64610374464</v>
      </c>
      <c r="O346" s="111">
        <v>39905.683553660572</v>
      </c>
      <c r="P346" s="111">
        <v>47813.070683135455</v>
      </c>
      <c r="Q346" s="110">
        <v>34382.315641076493</v>
      </c>
      <c r="R346" s="258">
        <v>74287.999194737058</v>
      </c>
      <c r="S346" s="259">
        <v>82195.386324211955</v>
      </c>
      <c r="U346" s="7" t="s">
        <v>1623</v>
      </c>
    </row>
    <row r="347" spans="1:21" s="65" customFormat="1" ht="16.5" thickBot="1">
      <c r="A347" s="41" t="s">
        <v>31</v>
      </c>
      <c r="B347" s="42">
        <f t="shared" si="18"/>
        <v>75</v>
      </c>
      <c r="C347" s="42" t="s">
        <v>3</v>
      </c>
      <c r="D347" s="42">
        <f t="shared" si="19"/>
        <v>400</v>
      </c>
      <c r="E347" s="42" t="s">
        <v>3</v>
      </c>
      <c r="F347" s="101">
        <f t="shared" si="20"/>
        <v>2200</v>
      </c>
      <c r="G347" s="42" t="s">
        <v>3</v>
      </c>
      <c r="H347" s="39">
        <v>4</v>
      </c>
      <c r="I347" s="40" t="s">
        <v>40</v>
      </c>
      <c r="J347" s="103">
        <v>75</v>
      </c>
      <c r="K347" s="104">
        <v>400</v>
      </c>
      <c r="L347" s="104">
        <v>2200</v>
      </c>
      <c r="M347" s="150">
        <v>26.498675474482631</v>
      </c>
      <c r="N347" s="66">
        <v>1082.9140510708799</v>
      </c>
      <c r="O347" s="111">
        <v>40661.725993479762</v>
      </c>
      <c r="P347" s="111">
        <v>48736.082349496239</v>
      </c>
      <c r="Q347" s="110">
        <v>35290.256728590233</v>
      </c>
      <c r="R347" s="258">
        <v>75951.982722069995</v>
      </c>
      <c r="S347" s="259">
        <v>84026.339078086472</v>
      </c>
      <c r="U347" s="7" t="s">
        <v>1624</v>
      </c>
    </row>
    <row r="348" spans="1:21" s="65" customFormat="1" ht="16.5" thickBot="1">
      <c r="A348" s="41" t="s">
        <v>31</v>
      </c>
      <c r="B348" s="42">
        <f t="shared" si="18"/>
        <v>75</v>
      </c>
      <c r="C348" s="42" t="s">
        <v>3</v>
      </c>
      <c r="D348" s="42">
        <f t="shared" si="19"/>
        <v>400</v>
      </c>
      <c r="E348" s="42" t="s">
        <v>3</v>
      </c>
      <c r="F348" s="101">
        <f t="shared" si="20"/>
        <v>2250</v>
      </c>
      <c r="G348" s="42" t="s">
        <v>3</v>
      </c>
      <c r="H348" s="39">
        <v>4</v>
      </c>
      <c r="I348" s="40" t="s">
        <v>40</v>
      </c>
      <c r="J348" s="103">
        <v>75</v>
      </c>
      <c r="K348" s="104">
        <v>400</v>
      </c>
      <c r="L348" s="104">
        <v>2250</v>
      </c>
      <c r="M348" s="150">
        <v>27.058906431979469</v>
      </c>
      <c r="N348" s="66">
        <v>1112.18199839712</v>
      </c>
      <c r="O348" s="111">
        <v>41417.768280270189</v>
      </c>
      <c r="P348" s="111">
        <v>49659.094168885786</v>
      </c>
      <c r="Q348" s="110">
        <v>35946.863831348819</v>
      </c>
      <c r="R348" s="258">
        <v>77364.632111619008</v>
      </c>
      <c r="S348" s="259">
        <v>85605.958000234605</v>
      </c>
      <c r="U348" s="7" t="s">
        <v>1625</v>
      </c>
    </row>
    <row r="349" spans="1:21" s="65" customFormat="1" ht="16.5" thickBot="1">
      <c r="A349" s="41" t="s">
        <v>31</v>
      </c>
      <c r="B349" s="42">
        <f t="shared" si="18"/>
        <v>75</v>
      </c>
      <c r="C349" s="42" t="s">
        <v>3</v>
      </c>
      <c r="D349" s="42">
        <f t="shared" si="19"/>
        <v>400</v>
      </c>
      <c r="E349" s="42" t="s">
        <v>3</v>
      </c>
      <c r="F349" s="101">
        <f t="shared" si="20"/>
        <v>2300</v>
      </c>
      <c r="G349" s="42" t="s">
        <v>3</v>
      </c>
      <c r="H349" s="39">
        <v>4</v>
      </c>
      <c r="I349" s="40" t="s">
        <v>40</v>
      </c>
      <c r="J349" s="103">
        <v>75</v>
      </c>
      <c r="K349" s="104">
        <v>400</v>
      </c>
      <c r="L349" s="104">
        <v>2300</v>
      </c>
      <c r="M349" s="150">
        <v>27.619137389476315</v>
      </c>
      <c r="N349" s="66">
        <v>1141.4499457233599</v>
      </c>
      <c r="O349" s="111">
        <v>42173.810720089379</v>
      </c>
      <c r="P349" s="111">
        <v>50582.10583524657</v>
      </c>
      <c r="Q349" s="110">
        <v>36603.470781078948</v>
      </c>
      <c r="R349" s="258">
        <v>78777.281501168327</v>
      </c>
      <c r="S349" s="259">
        <v>87185.576616325518</v>
      </c>
      <c r="U349" s="7" t="s">
        <v>1626</v>
      </c>
    </row>
    <row r="350" spans="1:21" s="65" customFormat="1" ht="16.5" thickBot="1">
      <c r="A350" s="41" t="s">
        <v>31</v>
      </c>
      <c r="B350" s="42">
        <f t="shared" si="18"/>
        <v>75</v>
      </c>
      <c r="C350" s="42" t="s">
        <v>3</v>
      </c>
      <c r="D350" s="42">
        <f t="shared" si="19"/>
        <v>400</v>
      </c>
      <c r="E350" s="42" t="s">
        <v>3</v>
      </c>
      <c r="F350" s="101">
        <f t="shared" si="20"/>
        <v>2350</v>
      </c>
      <c r="G350" s="42" t="s">
        <v>3</v>
      </c>
      <c r="H350" s="39">
        <v>4</v>
      </c>
      <c r="I350" s="40" t="s">
        <v>40</v>
      </c>
      <c r="J350" s="103">
        <v>75</v>
      </c>
      <c r="K350" s="104">
        <v>400</v>
      </c>
      <c r="L350" s="104">
        <v>2350</v>
      </c>
      <c r="M350" s="150">
        <v>28.196408346973158</v>
      </c>
      <c r="N350" s="66">
        <v>1170.7178930496</v>
      </c>
      <c r="O350" s="111">
        <v>42929.853006879806</v>
      </c>
      <c r="P350" s="111">
        <v>51505.117501607354</v>
      </c>
      <c r="Q350" s="110">
        <v>37511.412021621458</v>
      </c>
      <c r="R350" s="258">
        <v>80441.265028501264</v>
      </c>
      <c r="S350" s="259">
        <v>89016.529523228819</v>
      </c>
      <c r="U350" s="7" t="s">
        <v>1627</v>
      </c>
    </row>
    <row r="351" spans="1:21" s="65" customFormat="1" ht="16.5" thickBot="1">
      <c r="A351" s="41" t="s">
        <v>31</v>
      </c>
      <c r="B351" s="42">
        <f t="shared" si="18"/>
        <v>75</v>
      </c>
      <c r="C351" s="42" t="s">
        <v>3</v>
      </c>
      <c r="D351" s="42">
        <f t="shared" si="19"/>
        <v>400</v>
      </c>
      <c r="E351" s="42" t="s">
        <v>3</v>
      </c>
      <c r="F351" s="101">
        <f t="shared" si="20"/>
        <v>2400</v>
      </c>
      <c r="G351" s="42" t="s">
        <v>3</v>
      </c>
      <c r="H351" s="39">
        <v>4</v>
      </c>
      <c r="I351" s="40" t="s">
        <v>40</v>
      </c>
      <c r="J351" s="103">
        <v>75</v>
      </c>
      <c r="K351" s="104">
        <v>400</v>
      </c>
      <c r="L351" s="104">
        <v>2400</v>
      </c>
      <c r="M351" s="150">
        <v>28.756639304469999</v>
      </c>
      <c r="N351" s="66">
        <v>1199.9858403758399</v>
      </c>
      <c r="O351" s="111">
        <v>43685.895446698996</v>
      </c>
      <c r="P351" s="111">
        <v>52428.129320996894</v>
      </c>
      <c r="Q351" s="110">
        <v>38168.019124380196</v>
      </c>
      <c r="R351" s="258">
        <v>81853.914571079193</v>
      </c>
      <c r="S351" s="259">
        <v>90596.148445377097</v>
      </c>
      <c r="U351" s="7" t="s">
        <v>1628</v>
      </c>
    </row>
    <row r="352" spans="1:21" s="65" customFormat="1" ht="16.5" thickBot="1">
      <c r="A352" s="41" t="s">
        <v>31</v>
      </c>
      <c r="B352" s="42">
        <f t="shared" si="18"/>
        <v>75</v>
      </c>
      <c r="C352" s="42" t="s">
        <v>3</v>
      </c>
      <c r="D352" s="42">
        <f t="shared" si="19"/>
        <v>400</v>
      </c>
      <c r="E352" s="42" t="s">
        <v>3</v>
      </c>
      <c r="F352" s="101">
        <f t="shared" si="20"/>
        <v>2450</v>
      </c>
      <c r="G352" s="42" t="s">
        <v>3</v>
      </c>
      <c r="H352" s="39">
        <v>4</v>
      </c>
      <c r="I352" s="40" t="s">
        <v>40</v>
      </c>
      <c r="J352" s="103">
        <v>75</v>
      </c>
      <c r="K352" s="104">
        <v>400</v>
      </c>
      <c r="L352" s="104">
        <v>2450</v>
      </c>
      <c r="M352" s="150">
        <v>29.531808805326843</v>
      </c>
      <c r="N352" s="66">
        <v>1229.25378770208</v>
      </c>
      <c r="O352" s="111">
        <v>45325.453440715268</v>
      </c>
      <c r="P352" s="111">
        <v>54159.339609079369</v>
      </c>
      <c r="Q352" s="110">
        <v>39075.960211893937</v>
      </c>
      <c r="R352" s="258">
        <v>84401.413652609204</v>
      </c>
      <c r="S352" s="259">
        <v>93235.299820973305</v>
      </c>
      <c r="U352" s="7" t="s">
        <v>1629</v>
      </c>
    </row>
    <row r="353" spans="1:21" s="65" customFormat="1" ht="16.5" thickBot="1">
      <c r="A353" s="41" t="s">
        <v>31</v>
      </c>
      <c r="B353" s="42">
        <f t="shared" si="18"/>
        <v>75</v>
      </c>
      <c r="C353" s="42" t="s">
        <v>3</v>
      </c>
      <c r="D353" s="42">
        <f t="shared" si="19"/>
        <v>400</v>
      </c>
      <c r="E353" s="42" t="s">
        <v>3</v>
      </c>
      <c r="F353" s="101">
        <f t="shared" si="20"/>
        <v>2500</v>
      </c>
      <c r="G353" s="42" t="s">
        <v>3</v>
      </c>
      <c r="H353" s="39">
        <v>4</v>
      </c>
      <c r="I353" s="40" t="s">
        <v>40</v>
      </c>
      <c r="J353" s="103">
        <v>75</v>
      </c>
      <c r="K353" s="104">
        <v>400</v>
      </c>
      <c r="L353" s="104">
        <v>2500</v>
      </c>
      <c r="M353" s="150">
        <v>30.092039762823685</v>
      </c>
      <c r="N353" s="66">
        <v>1258.5217350283199</v>
      </c>
      <c r="O353" s="111">
        <v>46081.495880534458</v>
      </c>
      <c r="P353" s="111">
        <v>55082.351428468755</v>
      </c>
      <c r="Q353" s="110">
        <v>39732.567314652675</v>
      </c>
      <c r="R353" s="258">
        <v>85814.063195187133</v>
      </c>
      <c r="S353" s="259">
        <v>94814.918743121438</v>
      </c>
      <c r="U353" s="7" t="s">
        <v>1630</v>
      </c>
    </row>
    <row r="354" spans="1:21" s="65" customFormat="1" ht="16.5" thickBot="1">
      <c r="A354" s="41" t="s">
        <v>31</v>
      </c>
      <c r="B354" s="42">
        <f t="shared" si="18"/>
        <v>75</v>
      </c>
      <c r="C354" s="42" t="s">
        <v>3</v>
      </c>
      <c r="D354" s="42">
        <f t="shared" si="19"/>
        <v>400</v>
      </c>
      <c r="E354" s="42" t="s">
        <v>3</v>
      </c>
      <c r="F354" s="101">
        <f t="shared" si="20"/>
        <v>2550</v>
      </c>
      <c r="G354" s="42" t="s">
        <v>3</v>
      </c>
      <c r="H354" s="39">
        <v>4</v>
      </c>
      <c r="I354" s="40" t="s">
        <v>40</v>
      </c>
      <c r="J354" s="103">
        <v>75</v>
      </c>
      <c r="K354" s="104">
        <v>400</v>
      </c>
      <c r="L354" s="104">
        <v>2550</v>
      </c>
      <c r="M354" s="150">
        <v>30.669310720320524</v>
      </c>
      <c r="N354" s="66">
        <v>1287.7896823545598</v>
      </c>
      <c r="O354" s="111">
        <v>46837.538320353655</v>
      </c>
      <c r="P354" s="111">
        <v>56005.363094829692</v>
      </c>
      <c r="Q354" s="110">
        <v>40640.508402166415</v>
      </c>
      <c r="R354" s="258">
        <v>87478.04672252007</v>
      </c>
      <c r="S354" s="259">
        <v>96645.871496996115</v>
      </c>
      <c r="U354" s="7" t="s">
        <v>1631</v>
      </c>
    </row>
    <row r="355" spans="1:21" s="65" customFormat="1" ht="16.5" thickBot="1">
      <c r="A355" s="38" t="s">
        <v>31</v>
      </c>
      <c r="B355" s="39">
        <f t="shared" si="18"/>
        <v>75</v>
      </c>
      <c r="C355" s="39" t="s">
        <v>3</v>
      </c>
      <c r="D355" s="39">
        <f t="shared" si="19"/>
        <v>400</v>
      </c>
      <c r="E355" s="39" t="s">
        <v>3</v>
      </c>
      <c r="F355" s="101">
        <f t="shared" si="20"/>
        <v>2600</v>
      </c>
      <c r="G355" s="39" t="s">
        <v>3</v>
      </c>
      <c r="H355" s="39">
        <v>4</v>
      </c>
      <c r="I355" s="40" t="s">
        <v>40</v>
      </c>
      <c r="J355" s="103">
        <v>75</v>
      </c>
      <c r="K355" s="104">
        <v>400</v>
      </c>
      <c r="L355" s="104">
        <v>2600</v>
      </c>
      <c r="M355" s="150">
        <v>31.22954167781737</v>
      </c>
      <c r="N355" s="66">
        <v>1317.0576296807999</v>
      </c>
      <c r="O355" s="111">
        <v>47593.580607144075</v>
      </c>
      <c r="P355" s="111">
        <v>56928.374761190476</v>
      </c>
      <c r="Q355" s="110">
        <v>41297.115504925154</v>
      </c>
      <c r="R355" s="258">
        <v>88890.696112069229</v>
      </c>
      <c r="S355" s="259">
        <v>98225.490266115637</v>
      </c>
      <c r="U355" s="7" t="s">
        <v>1632</v>
      </c>
    </row>
    <row r="356" spans="1:21" s="65" customFormat="1" ht="16.5" thickBot="1">
      <c r="A356" s="41" t="s">
        <v>31</v>
      </c>
      <c r="B356" s="42">
        <f t="shared" si="18"/>
        <v>75</v>
      </c>
      <c r="C356" s="42" t="s">
        <v>3</v>
      </c>
      <c r="D356" s="42">
        <f t="shared" si="19"/>
        <v>400</v>
      </c>
      <c r="E356" s="42" t="s">
        <v>3</v>
      </c>
      <c r="F356" s="101">
        <f t="shared" si="20"/>
        <v>2650</v>
      </c>
      <c r="G356" s="42" t="s">
        <v>3</v>
      </c>
      <c r="H356" s="39">
        <v>4</v>
      </c>
      <c r="I356" s="40" t="s">
        <v>40</v>
      </c>
      <c r="J356" s="103">
        <v>75</v>
      </c>
      <c r="K356" s="104">
        <v>400</v>
      </c>
      <c r="L356" s="104">
        <v>2650</v>
      </c>
      <c r="M356" s="150">
        <v>31.806812635314216</v>
      </c>
      <c r="N356" s="66">
        <v>1346.32557700704</v>
      </c>
      <c r="O356" s="111">
        <v>48349.623046963265</v>
      </c>
      <c r="P356" s="111">
        <v>57851.386580580031</v>
      </c>
      <c r="Q356" s="110">
        <v>42205.056592438901</v>
      </c>
      <c r="R356" s="258">
        <v>90554.679639402166</v>
      </c>
      <c r="S356" s="259">
        <v>100056.44317301892</v>
      </c>
      <c r="U356" s="7" t="s">
        <v>1633</v>
      </c>
    </row>
    <row r="357" spans="1:21" s="65" customFormat="1" ht="16.5" thickBot="1">
      <c r="A357" s="41" t="s">
        <v>31</v>
      </c>
      <c r="B357" s="42">
        <f t="shared" si="18"/>
        <v>75</v>
      </c>
      <c r="C357" s="42" t="s">
        <v>3</v>
      </c>
      <c r="D357" s="42">
        <f t="shared" si="19"/>
        <v>400</v>
      </c>
      <c r="E357" s="42" t="s">
        <v>3</v>
      </c>
      <c r="F357" s="101">
        <f t="shared" si="20"/>
        <v>2700</v>
      </c>
      <c r="G357" s="42" t="s">
        <v>3</v>
      </c>
      <c r="H357" s="39">
        <v>4</v>
      </c>
      <c r="I357" s="40" t="s">
        <v>40</v>
      </c>
      <c r="J357" s="103">
        <v>75</v>
      </c>
      <c r="K357" s="104">
        <v>400</v>
      </c>
      <c r="L357" s="104">
        <v>2700</v>
      </c>
      <c r="M357" s="150">
        <v>32.445543592811056</v>
      </c>
      <c r="N357" s="66">
        <v>1375.5935243332799</v>
      </c>
      <c r="O357" s="111">
        <v>49189.763668887026</v>
      </c>
      <c r="P357" s="111">
        <v>58855.933197229533</v>
      </c>
      <c r="Q357" s="110">
        <v>42861.66369519764</v>
      </c>
      <c r="R357" s="258">
        <v>92051.427364084666</v>
      </c>
      <c r="S357" s="259">
        <v>101717.59689242717</v>
      </c>
      <c r="U357" s="7" t="s">
        <v>1634</v>
      </c>
    </row>
    <row r="358" spans="1:21" s="65" customFormat="1" ht="16.5" thickBot="1">
      <c r="A358" s="41" t="s">
        <v>31</v>
      </c>
      <c r="B358" s="42">
        <f t="shared" si="18"/>
        <v>75</v>
      </c>
      <c r="C358" s="42" t="s">
        <v>3</v>
      </c>
      <c r="D358" s="42">
        <f t="shared" si="19"/>
        <v>400</v>
      </c>
      <c r="E358" s="42" t="s">
        <v>3</v>
      </c>
      <c r="F358" s="101">
        <f t="shared" si="20"/>
        <v>2750</v>
      </c>
      <c r="G358" s="42" t="s">
        <v>3</v>
      </c>
      <c r="H358" s="39">
        <v>4</v>
      </c>
      <c r="I358" s="40" t="s">
        <v>40</v>
      </c>
      <c r="J358" s="103">
        <v>75</v>
      </c>
      <c r="K358" s="104">
        <v>400</v>
      </c>
      <c r="L358" s="104">
        <v>2750</v>
      </c>
      <c r="M358" s="150">
        <v>33.005774550307898</v>
      </c>
      <c r="N358" s="66">
        <v>1404.86147165952</v>
      </c>
      <c r="O358" s="111">
        <v>49945.806108706209</v>
      </c>
      <c r="P358" s="111">
        <v>59778.94486359031</v>
      </c>
      <c r="Q358" s="110">
        <v>43518.270644927608</v>
      </c>
      <c r="R358" s="258">
        <v>93464.076753633824</v>
      </c>
      <c r="S358" s="259">
        <v>103297.21550851793</v>
      </c>
      <c r="U358" s="7" t="s">
        <v>1635</v>
      </c>
    </row>
    <row r="359" spans="1:21" s="65" customFormat="1" ht="16.5" thickBot="1">
      <c r="A359" s="41" t="s">
        <v>31</v>
      </c>
      <c r="B359" s="42">
        <f t="shared" si="18"/>
        <v>75</v>
      </c>
      <c r="C359" s="42" t="s">
        <v>3</v>
      </c>
      <c r="D359" s="42">
        <f t="shared" si="19"/>
        <v>400</v>
      </c>
      <c r="E359" s="42" t="s">
        <v>3</v>
      </c>
      <c r="F359" s="101">
        <f t="shared" si="20"/>
        <v>2800</v>
      </c>
      <c r="G359" s="42" t="s">
        <v>3</v>
      </c>
      <c r="H359" s="39">
        <v>4</v>
      </c>
      <c r="I359" s="40" t="s">
        <v>40</v>
      </c>
      <c r="J359" s="103">
        <v>75</v>
      </c>
      <c r="K359" s="104">
        <v>400</v>
      </c>
      <c r="L359" s="104">
        <v>2800</v>
      </c>
      <c r="M359" s="150">
        <v>33.583045507804741</v>
      </c>
      <c r="N359" s="66">
        <v>1434.1294189857597</v>
      </c>
      <c r="O359" s="111">
        <v>50701.848395496636</v>
      </c>
      <c r="P359" s="111">
        <v>60701.956529951094</v>
      </c>
      <c r="Q359" s="110">
        <v>44426.211885470118</v>
      </c>
      <c r="R359" s="258">
        <v>95128.060280966747</v>
      </c>
      <c r="S359" s="259">
        <v>105128.16841542121</v>
      </c>
      <c r="U359" s="7" t="s">
        <v>1636</v>
      </c>
    </row>
    <row r="360" spans="1:21" s="65" customFormat="1" ht="16.5" thickBot="1">
      <c r="A360" s="41" t="s">
        <v>31</v>
      </c>
      <c r="B360" s="42">
        <f t="shared" si="18"/>
        <v>75</v>
      </c>
      <c r="C360" s="42" t="s">
        <v>3</v>
      </c>
      <c r="D360" s="42">
        <f t="shared" si="19"/>
        <v>400</v>
      </c>
      <c r="E360" s="42" t="s">
        <v>3</v>
      </c>
      <c r="F360" s="101">
        <f t="shared" si="20"/>
        <v>2850</v>
      </c>
      <c r="G360" s="42" t="s">
        <v>3</v>
      </c>
      <c r="H360" s="39">
        <v>4</v>
      </c>
      <c r="I360" s="40" t="s">
        <v>40</v>
      </c>
      <c r="J360" s="103">
        <v>75</v>
      </c>
      <c r="K360" s="104">
        <v>400</v>
      </c>
      <c r="L360" s="104">
        <v>2850</v>
      </c>
      <c r="M360" s="150">
        <v>34.143276465301582</v>
      </c>
      <c r="N360" s="66">
        <v>1463.3973663119998</v>
      </c>
      <c r="O360" s="111">
        <v>51457.890835315826</v>
      </c>
      <c r="P360" s="111">
        <v>61624.968349340648</v>
      </c>
      <c r="Q360" s="110">
        <v>45082.818835200087</v>
      </c>
      <c r="R360" s="258">
        <v>96540.709670515906</v>
      </c>
      <c r="S360" s="259">
        <v>106707.78718454074</v>
      </c>
      <c r="U360" s="7" t="s">
        <v>1637</v>
      </c>
    </row>
    <row r="361" spans="1:21" s="65" customFormat="1" ht="16.5" thickBot="1">
      <c r="A361" s="41" t="s">
        <v>31</v>
      </c>
      <c r="B361" s="42">
        <f t="shared" si="18"/>
        <v>75</v>
      </c>
      <c r="C361" s="42" t="s">
        <v>3</v>
      </c>
      <c r="D361" s="42">
        <f t="shared" si="19"/>
        <v>400</v>
      </c>
      <c r="E361" s="42" t="s">
        <v>3</v>
      </c>
      <c r="F361" s="101">
        <f t="shared" si="20"/>
        <v>2900</v>
      </c>
      <c r="G361" s="42" t="s">
        <v>3</v>
      </c>
      <c r="H361" s="39">
        <v>4</v>
      </c>
      <c r="I361" s="40" t="s">
        <v>40</v>
      </c>
      <c r="J361" s="103">
        <v>75</v>
      </c>
      <c r="K361" s="104">
        <v>400</v>
      </c>
      <c r="L361" s="104">
        <v>2900</v>
      </c>
      <c r="M361" s="150">
        <v>34.720547422798418</v>
      </c>
      <c r="N361" s="66">
        <v>1492.6653136382397</v>
      </c>
      <c r="O361" s="111">
        <v>52213.933122106253</v>
      </c>
      <c r="P361" s="111">
        <v>62547.980015701432</v>
      </c>
      <c r="Q361" s="110">
        <v>45990.760075742597</v>
      </c>
      <c r="R361" s="258">
        <v>98204.693197848857</v>
      </c>
      <c r="S361" s="259">
        <v>108538.74009144402</v>
      </c>
      <c r="U361" s="7" t="s">
        <v>1638</v>
      </c>
    </row>
    <row r="362" spans="1:21" s="65" customFormat="1" ht="16.5" thickBot="1">
      <c r="A362" s="41" t="s">
        <v>31</v>
      </c>
      <c r="B362" s="42">
        <f t="shared" si="18"/>
        <v>75</v>
      </c>
      <c r="C362" s="42" t="s">
        <v>3</v>
      </c>
      <c r="D362" s="42">
        <f t="shared" si="19"/>
        <v>400</v>
      </c>
      <c r="E362" s="42" t="s">
        <v>3</v>
      </c>
      <c r="F362" s="101">
        <f t="shared" si="20"/>
        <v>2950</v>
      </c>
      <c r="G362" s="42" t="s">
        <v>3</v>
      </c>
      <c r="H362" s="39">
        <v>4</v>
      </c>
      <c r="I362" s="40" t="s">
        <v>40</v>
      </c>
      <c r="J362" s="103">
        <v>75</v>
      </c>
      <c r="K362" s="104">
        <v>400</v>
      </c>
      <c r="L362" s="104">
        <v>2950</v>
      </c>
      <c r="M362" s="150">
        <v>35.28077838029526</v>
      </c>
      <c r="N362" s="66">
        <v>1521.93326096448</v>
      </c>
      <c r="O362" s="111">
        <v>52969.97556192545</v>
      </c>
      <c r="P362" s="111">
        <v>63470.991682062209</v>
      </c>
      <c r="Q362" s="110">
        <v>46647.367025472573</v>
      </c>
      <c r="R362" s="258">
        <v>99617.342587398016</v>
      </c>
      <c r="S362" s="259">
        <v>110118.35870753479</v>
      </c>
      <c r="U362" s="7" t="s">
        <v>1639</v>
      </c>
    </row>
    <row r="363" spans="1:21" s="65" customFormat="1" ht="16.5" thickBot="1">
      <c r="A363" s="43" t="s">
        <v>31</v>
      </c>
      <c r="B363" s="44">
        <f t="shared" si="18"/>
        <v>75</v>
      </c>
      <c r="C363" s="44" t="s">
        <v>3</v>
      </c>
      <c r="D363" s="44">
        <f t="shared" si="19"/>
        <v>400</v>
      </c>
      <c r="E363" s="44" t="s">
        <v>3</v>
      </c>
      <c r="F363" s="102">
        <f t="shared" si="20"/>
        <v>3000</v>
      </c>
      <c r="G363" s="44" t="s">
        <v>3</v>
      </c>
      <c r="H363" s="46">
        <v>4</v>
      </c>
      <c r="I363" s="45" t="s">
        <v>40</v>
      </c>
      <c r="J363" s="125">
        <v>75</v>
      </c>
      <c r="K363" s="134">
        <v>400</v>
      </c>
      <c r="L363" s="134">
        <v>3000</v>
      </c>
      <c r="M363" s="152">
        <v>35.858049337792103</v>
      </c>
      <c r="N363" s="126">
        <v>1551.2012082907199</v>
      </c>
      <c r="O363" s="135">
        <v>53726.01800174464</v>
      </c>
      <c r="P363" s="135">
        <v>64394.003348422993</v>
      </c>
      <c r="Q363" s="136">
        <v>47555.308266015076</v>
      </c>
      <c r="R363" s="260">
        <v>101281.32626775972</v>
      </c>
      <c r="S363" s="261">
        <v>111949.31161443808</v>
      </c>
      <c r="U363" s="7" t="s">
        <v>1640</v>
      </c>
    </row>
    <row r="364" spans="1:21" s="65" customFormat="1" ht="16.5" customHeight="1" thickBot="1">
      <c r="A364" s="2974" t="s">
        <v>114</v>
      </c>
      <c r="B364" s="2975"/>
      <c r="C364" s="2975"/>
      <c r="D364" s="2975"/>
      <c r="E364" s="2975"/>
      <c r="F364" s="2975"/>
      <c r="G364" s="2975"/>
      <c r="H364" s="2975"/>
      <c r="I364" s="2975"/>
      <c r="J364" s="2975"/>
      <c r="K364" s="2975"/>
      <c r="L364" s="2975"/>
      <c r="M364" s="2975"/>
      <c r="N364" s="2975"/>
      <c r="O364" s="2975"/>
      <c r="P364" s="2975"/>
      <c r="Q364" s="2975"/>
      <c r="R364" s="2975"/>
      <c r="S364" s="2976"/>
      <c r="U364" s="7"/>
    </row>
    <row r="365" spans="1:21" s="65" customFormat="1" ht="16.5" thickBot="1">
      <c r="A365" s="38" t="s">
        <v>31</v>
      </c>
      <c r="B365" s="39">
        <f>J365</f>
        <v>75</v>
      </c>
      <c r="C365" s="39" t="s">
        <v>3</v>
      </c>
      <c r="D365" s="39">
        <f>K365</f>
        <v>400</v>
      </c>
      <c r="E365" s="39" t="s">
        <v>3</v>
      </c>
      <c r="F365" s="101">
        <f>L365</f>
        <v>600</v>
      </c>
      <c r="G365" s="39" t="s">
        <v>3</v>
      </c>
      <c r="H365" s="39">
        <v>6</v>
      </c>
      <c r="I365" s="40" t="s">
        <v>40</v>
      </c>
      <c r="J365" s="121">
        <v>75</v>
      </c>
      <c r="K365" s="138">
        <v>400</v>
      </c>
      <c r="L365" s="138">
        <v>600</v>
      </c>
      <c r="M365" s="147">
        <v>8.3708270111386867</v>
      </c>
      <c r="N365" s="122">
        <v>190.608</v>
      </c>
      <c r="O365" s="148">
        <v>17758.630870589688</v>
      </c>
      <c r="P365" s="148">
        <v>20356.550022681851</v>
      </c>
      <c r="Q365" s="139">
        <v>10760.15380676932</v>
      </c>
      <c r="R365" s="256">
        <v>28518.784677359006</v>
      </c>
      <c r="S365" s="257">
        <v>31116.703829451173</v>
      </c>
      <c r="U365" s="7" t="s">
        <v>1641</v>
      </c>
    </row>
    <row r="366" spans="1:21" s="65" customFormat="1" ht="16.5" thickBot="1">
      <c r="A366" s="41" t="s">
        <v>31</v>
      </c>
      <c r="B366" s="42">
        <f t="shared" ref="B366:B413" si="21">J366</f>
        <v>75</v>
      </c>
      <c r="C366" s="42" t="s">
        <v>3</v>
      </c>
      <c r="D366" s="42">
        <f t="shared" ref="D366:D413" si="22">K366</f>
        <v>400</v>
      </c>
      <c r="E366" s="42" t="s">
        <v>3</v>
      </c>
      <c r="F366" s="101">
        <f t="shared" ref="F366:F413" si="23">L366</f>
        <v>650</v>
      </c>
      <c r="G366" s="42" t="s">
        <v>3</v>
      </c>
      <c r="H366" s="39">
        <v>6</v>
      </c>
      <c r="I366" s="40" t="s">
        <v>40</v>
      </c>
      <c r="J366" s="103">
        <v>75</v>
      </c>
      <c r="K366" s="104">
        <v>400</v>
      </c>
      <c r="L366" s="104">
        <v>650</v>
      </c>
      <c r="M366" s="150">
        <v>9.0206310262555256</v>
      </c>
      <c r="N366" s="66">
        <v>228.7296</v>
      </c>
      <c r="O366" s="111">
        <v>18741.2729497992</v>
      </c>
      <c r="P366" s="111">
        <v>21582.923311537426</v>
      </c>
      <c r="Q366" s="110">
        <v>11416.760909528057</v>
      </c>
      <c r="R366" s="258">
        <v>30158.033859327257</v>
      </c>
      <c r="S366" s="259">
        <v>32999.684221065487</v>
      </c>
      <c r="U366" s="7" t="s">
        <v>1642</v>
      </c>
    </row>
    <row r="367" spans="1:21" s="65" customFormat="1" ht="16.5" thickBot="1">
      <c r="A367" s="41" t="s">
        <v>31</v>
      </c>
      <c r="B367" s="42">
        <f t="shared" si="21"/>
        <v>75</v>
      </c>
      <c r="C367" s="42" t="s">
        <v>3</v>
      </c>
      <c r="D367" s="42">
        <f t="shared" si="22"/>
        <v>400</v>
      </c>
      <c r="E367" s="42" t="s">
        <v>3</v>
      </c>
      <c r="F367" s="101">
        <f t="shared" si="23"/>
        <v>700</v>
      </c>
      <c r="G367" s="42" t="s">
        <v>3</v>
      </c>
      <c r="H367" s="39">
        <v>6</v>
      </c>
      <c r="I367" s="40" t="s">
        <v>40</v>
      </c>
      <c r="J367" s="103">
        <v>75</v>
      </c>
      <c r="K367" s="104">
        <v>400</v>
      </c>
      <c r="L367" s="104">
        <v>700</v>
      </c>
      <c r="M367" s="150">
        <v>9.6645243736323678</v>
      </c>
      <c r="N367" s="66">
        <v>266.85120000000001</v>
      </c>
      <c r="O367" s="111">
        <v>19723.914875979946</v>
      </c>
      <c r="P367" s="111">
        <v>22727.626678733443</v>
      </c>
      <c r="Q367" s="110">
        <v>12324.7019970418</v>
      </c>
      <c r="R367" s="258">
        <v>32048.616873021747</v>
      </c>
      <c r="S367" s="259">
        <v>35052.328675775243</v>
      </c>
      <c r="U367" s="7" t="s">
        <v>1643</v>
      </c>
    </row>
    <row r="368" spans="1:21" s="65" customFormat="1" ht="16.5" thickBot="1">
      <c r="A368" s="41" t="s">
        <v>31</v>
      </c>
      <c r="B368" s="42">
        <f t="shared" si="21"/>
        <v>75</v>
      </c>
      <c r="C368" s="42" t="s">
        <v>3</v>
      </c>
      <c r="D368" s="42">
        <f t="shared" si="22"/>
        <v>400</v>
      </c>
      <c r="E368" s="42" t="s">
        <v>3</v>
      </c>
      <c r="F368" s="101">
        <f t="shared" si="23"/>
        <v>750</v>
      </c>
      <c r="G368" s="42" t="s">
        <v>3</v>
      </c>
      <c r="H368" s="39">
        <v>6</v>
      </c>
      <c r="I368" s="40" t="s">
        <v>40</v>
      </c>
      <c r="J368" s="103">
        <v>75</v>
      </c>
      <c r="K368" s="104">
        <v>400</v>
      </c>
      <c r="L368" s="104">
        <v>750</v>
      </c>
      <c r="M368" s="150">
        <v>10.29137772100921</v>
      </c>
      <c r="N368" s="66">
        <v>304.97280000000001</v>
      </c>
      <c r="O368" s="111">
        <v>20706.556802160692</v>
      </c>
      <c r="P368" s="111">
        <v>23872.330198958221</v>
      </c>
      <c r="Q368" s="110">
        <v>12981.309099800537</v>
      </c>
      <c r="R368" s="258">
        <v>33687.865901961231</v>
      </c>
      <c r="S368" s="259">
        <v>36853.639298758761</v>
      </c>
      <c r="U368" s="7" t="s">
        <v>1644</v>
      </c>
    </row>
    <row r="369" spans="1:21" s="65" customFormat="1" ht="16.5" thickBot="1">
      <c r="A369" s="41" t="s">
        <v>31</v>
      </c>
      <c r="B369" s="42">
        <f t="shared" si="21"/>
        <v>75</v>
      </c>
      <c r="C369" s="42" t="s">
        <v>3</v>
      </c>
      <c r="D369" s="42">
        <f t="shared" si="22"/>
        <v>400</v>
      </c>
      <c r="E369" s="42" t="s">
        <v>3</v>
      </c>
      <c r="F369" s="101">
        <f t="shared" si="23"/>
        <v>800</v>
      </c>
      <c r="G369" s="42" t="s">
        <v>3</v>
      </c>
      <c r="H369" s="39">
        <v>6</v>
      </c>
      <c r="I369" s="40" t="s">
        <v>40</v>
      </c>
      <c r="J369" s="103">
        <v>75</v>
      </c>
      <c r="K369" s="104">
        <v>400</v>
      </c>
      <c r="L369" s="104">
        <v>800</v>
      </c>
      <c r="M369" s="150">
        <v>10.918231068386053</v>
      </c>
      <c r="N369" s="66">
        <v>343.09439999999995</v>
      </c>
      <c r="O369" s="111">
        <v>21689.198881370205</v>
      </c>
      <c r="P369" s="111">
        <v>25017.033566154238</v>
      </c>
      <c r="Q369" s="110">
        <v>13637.916049530511</v>
      </c>
      <c r="R369" s="258">
        <v>35327.114930900716</v>
      </c>
      <c r="S369" s="259">
        <v>38654.949615684745</v>
      </c>
      <c r="U369" s="7" t="s">
        <v>1645</v>
      </c>
    </row>
    <row r="370" spans="1:21" s="65" customFormat="1" ht="16.5" thickBot="1">
      <c r="A370" s="41" t="s">
        <v>31</v>
      </c>
      <c r="B370" s="42">
        <f t="shared" si="21"/>
        <v>75</v>
      </c>
      <c r="C370" s="42" t="s">
        <v>3</v>
      </c>
      <c r="D370" s="42">
        <f t="shared" si="22"/>
        <v>400</v>
      </c>
      <c r="E370" s="42" t="s">
        <v>3</v>
      </c>
      <c r="F370" s="101">
        <f t="shared" si="23"/>
        <v>850</v>
      </c>
      <c r="G370" s="42" t="s">
        <v>3</v>
      </c>
      <c r="H370" s="39">
        <v>6</v>
      </c>
      <c r="I370" s="40" t="s">
        <v>40</v>
      </c>
      <c r="J370" s="103">
        <v>75</v>
      </c>
      <c r="K370" s="104">
        <v>400</v>
      </c>
      <c r="L370" s="104">
        <v>850</v>
      </c>
      <c r="M370" s="150">
        <v>11.562124415762895</v>
      </c>
      <c r="N370" s="66">
        <v>381.21600000000001</v>
      </c>
      <c r="O370" s="111">
        <v>22671.840807550951</v>
      </c>
      <c r="P370" s="111">
        <v>26161.737086379017</v>
      </c>
      <c r="Q370" s="110">
        <v>14545.85729007302</v>
      </c>
      <c r="R370" s="258">
        <v>37217.698097623972</v>
      </c>
      <c r="S370" s="259">
        <v>40707.594376452034</v>
      </c>
      <c r="U370" s="7" t="s">
        <v>1646</v>
      </c>
    </row>
    <row r="371" spans="1:21" s="65" customFormat="1" ht="16.5" thickBot="1">
      <c r="A371" s="41" t="s">
        <v>31</v>
      </c>
      <c r="B371" s="42">
        <f t="shared" si="21"/>
        <v>75</v>
      </c>
      <c r="C371" s="42" t="s">
        <v>3</v>
      </c>
      <c r="D371" s="42">
        <f t="shared" si="22"/>
        <v>400</v>
      </c>
      <c r="E371" s="42" t="s">
        <v>3</v>
      </c>
      <c r="F371" s="101">
        <f t="shared" si="23"/>
        <v>900</v>
      </c>
      <c r="G371" s="42" t="s">
        <v>3</v>
      </c>
      <c r="H371" s="39">
        <v>6</v>
      </c>
      <c r="I371" s="40" t="s">
        <v>40</v>
      </c>
      <c r="J371" s="103">
        <v>75</v>
      </c>
      <c r="K371" s="104">
        <v>400</v>
      </c>
      <c r="L371" s="104">
        <v>900</v>
      </c>
      <c r="M371" s="150">
        <v>12.188977763139739</v>
      </c>
      <c r="N371" s="66">
        <v>419.33759999999995</v>
      </c>
      <c r="O371" s="111">
        <v>23654.482733731696</v>
      </c>
      <c r="P371" s="111">
        <v>27306.440453575033</v>
      </c>
      <c r="Q371" s="110">
        <v>15202.464239802994</v>
      </c>
      <c r="R371" s="258">
        <v>38856.946973534694</v>
      </c>
      <c r="S371" s="259">
        <v>42508.904693378026</v>
      </c>
      <c r="U371" s="7" t="s">
        <v>1647</v>
      </c>
    </row>
    <row r="372" spans="1:21" s="65" customFormat="1" ht="16.5" thickBot="1">
      <c r="A372" s="41" t="s">
        <v>31</v>
      </c>
      <c r="B372" s="42">
        <f t="shared" si="21"/>
        <v>75</v>
      </c>
      <c r="C372" s="42" t="s">
        <v>3</v>
      </c>
      <c r="D372" s="42">
        <f t="shared" si="22"/>
        <v>400</v>
      </c>
      <c r="E372" s="42" t="s">
        <v>3</v>
      </c>
      <c r="F372" s="101">
        <f t="shared" si="23"/>
        <v>950</v>
      </c>
      <c r="G372" s="42" t="s">
        <v>3</v>
      </c>
      <c r="H372" s="39">
        <v>6</v>
      </c>
      <c r="I372" s="40" t="s">
        <v>40</v>
      </c>
      <c r="J372" s="103">
        <v>75</v>
      </c>
      <c r="K372" s="104">
        <v>400</v>
      </c>
      <c r="L372" s="104">
        <v>950</v>
      </c>
      <c r="M372" s="150">
        <v>12.832871110516578</v>
      </c>
      <c r="N372" s="66">
        <v>457.45920000000001</v>
      </c>
      <c r="O372" s="111">
        <v>24637.124812941205</v>
      </c>
      <c r="P372" s="111">
        <v>28451.143973799808</v>
      </c>
      <c r="Q372" s="110">
        <v>16110.4054803455</v>
      </c>
      <c r="R372" s="258">
        <v>40747.530293286705</v>
      </c>
      <c r="S372" s="259">
        <v>44561.549454145308</v>
      </c>
      <c r="U372" s="7" t="s">
        <v>1648</v>
      </c>
    </row>
    <row r="373" spans="1:21" s="65" customFormat="1" ht="16.5" thickBot="1">
      <c r="A373" s="41" t="s">
        <v>31</v>
      </c>
      <c r="B373" s="42">
        <f t="shared" si="21"/>
        <v>75</v>
      </c>
      <c r="C373" s="42" t="s">
        <v>3</v>
      </c>
      <c r="D373" s="42">
        <f t="shared" si="22"/>
        <v>400</v>
      </c>
      <c r="E373" s="42" t="s">
        <v>3</v>
      </c>
      <c r="F373" s="101">
        <f t="shared" si="23"/>
        <v>1000</v>
      </c>
      <c r="G373" s="42" t="s">
        <v>3</v>
      </c>
      <c r="H373" s="39">
        <v>6</v>
      </c>
      <c r="I373" s="40" t="s">
        <v>40</v>
      </c>
      <c r="J373" s="103">
        <v>75</v>
      </c>
      <c r="K373" s="104">
        <v>400</v>
      </c>
      <c r="L373" s="104">
        <v>1000</v>
      </c>
      <c r="M373" s="150">
        <v>13.459724457893421</v>
      </c>
      <c r="N373" s="66">
        <v>495.58079999999995</v>
      </c>
      <c r="O373" s="111">
        <v>25619.766739121951</v>
      </c>
      <c r="P373" s="111">
        <v>29595.847340995824</v>
      </c>
      <c r="Q373" s="110">
        <v>16767.012583104239</v>
      </c>
      <c r="R373" s="258">
        <v>42386.77932222619</v>
      </c>
      <c r="S373" s="259">
        <v>46362.859924100063</v>
      </c>
      <c r="U373" s="7" t="s">
        <v>1649</v>
      </c>
    </row>
    <row r="374" spans="1:21" s="65" customFormat="1" ht="16.5" thickBot="1">
      <c r="A374" s="41" t="s">
        <v>31</v>
      </c>
      <c r="B374" s="42">
        <f t="shared" si="21"/>
        <v>75</v>
      </c>
      <c r="C374" s="42" t="s">
        <v>3</v>
      </c>
      <c r="D374" s="42">
        <f t="shared" si="22"/>
        <v>400</v>
      </c>
      <c r="E374" s="42" t="s">
        <v>3</v>
      </c>
      <c r="F374" s="101">
        <f t="shared" si="23"/>
        <v>1050</v>
      </c>
      <c r="G374" s="42" t="s">
        <v>3</v>
      </c>
      <c r="H374" s="39">
        <v>6</v>
      </c>
      <c r="I374" s="40" t="s">
        <v>40</v>
      </c>
      <c r="J374" s="103">
        <v>75</v>
      </c>
      <c r="K374" s="104">
        <v>400</v>
      </c>
      <c r="L374" s="104">
        <v>1050</v>
      </c>
      <c r="M374" s="150">
        <v>14.103617805270261</v>
      </c>
      <c r="N374" s="66">
        <v>533.70240000000001</v>
      </c>
      <c r="O374" s="111">
        <v>26602.408665302697</v>
      </c>
      <c r="P374" s="111">
        <v>30740.550861220603</v>
      </c>
      <c r="Q374" s="110">
        <v>17674.953670617982</v>
      </c>
      <c r="R374" s="258">
        <v>44277.362335920683</v>
      </c>
      <c r="S374" s="259">
        <v>48415.504531838582</v>
      </c>
      <c r="U374" s="7" t="s">
        <v>1650</v>
      </c>
    </row>
    <row r="375" spans="1:21" s="65" customFormat="1" ht="16.5" thickBot="1">
      <c r="A375" s="38" t="s">
        <v>31</v>
      </c>
      <c r="B375" s="39">
        <f t="shared" si="21"/>
        <v>75</v>
      </c>
      <c r="C375" s="39" t="s">
        <v>3</v>
      </c>
      <c r="D375" s="39">
        <f t="shared" si="22"/>
        <v>400</v>
      </c>
      <c r="E375" s="39" t="s">
        <v>3</v>
      </c>
      <c r="F375" s="101">
        <f t="shared" si="23"/>
        <v>1100</v>
      </c>
      <c r="G375" s="39" t="s">
        <v>3</v>
      </c>
      <c r="H375" s="39">
        <v>6</v>
      </c>
      <c r="I375" s="40" t="s">
        <v>40</v>
      </c>
      <c r="J375" s="103">
        <v>75</v>
      </c>
      <c r="K375" s="104">
        <v>400</v>
      </c>
      <c r="L375" s="104">
        <v>1100</v>
      </c>
      <c r="M375" s="150">
        <v>14.730471152647105</v>
      </c>
      <c r="N375" s="66">
        <v>571.82399999999996</v>
      </c>
      <c r="O375" s="111">
        <v>27585.050591483443</v>
      </c>
      <c r="P375" s="111">
        <v>31885.254228416619</v>
      </c>
      <c r="Q375" s="110">
        <v>18331.560773376717</v>
      </c>
      <c r="R375" s="258">
        <v>45916.61136486016</v>
      </c>
      <c r="S375" s="259">
        <v>50216.815001793337</v>
      </c>
      <c r="U375" s="7" t="s">
        <v>1651</v>
      </c>
    </row>
    <row r="376" spans="1:21" s="65" customFormat="1" ht="16.5" thickBot="1">
      <c r="A376" s="41" t="s">
        <v>31</v>
      </c>
      <c r="B376" s="42">
        <f t="shared" si="21"/>
        <v>75</v>
      </c>
      <c r="C376" s="42" t="s">
        <v>3</v>
      </c>
      <c r="D376" s="42">
        <f t="shared" si="22"/>
        <v>400</v>
      </c>
      <c r="E376" s="42" t="s">
        <v>3</v>
      </c>
      <c r="F376" s="101">
        <f t="shared" si="23"/>
        <v>1150</v>
      </c>
      <c r="G376" s="42" t="s">
        <v>3</v>
      </c>
      <c r="H376" s="39">
        <v>6</v>
      </c>
      <c r="I376" s="40" t="s">
        <v>40</v>
      </c>
      <c r="J376" s="103">
        <v>75</v>
      </c>
      <c r="K376" s="104">
        <v>400</v>
      </c>
      <c r="L376" s="104">
        <v>1150</v>
      </c>
      <c r="M376" s="150">
        <v>15.357324500023948</v>
      </c>
      <c r="N376" s="66">
        <v>609.94560000000001</v>
      </c>
      <c r="O376" s="111">
        <v>28567.692670692955</v>
      </c>
      <c r="P376" s="111">
        <v>33029.957748641398</v>
      </c>
      <c r="Q376" s="110">
        <v>18988.167723106693</v>
      </c>
      <c r="R376" s="258">
        <v>47555.860393799652</v>
      </c>
      <c r="S376" s="259">
        <v>52018.125471748092</v>
      </c>
      <c r="U376" s="7" t="s">
        <v>1652</v>
      </c>
    </row>
    <row r="377" spans="1:21" s="65" customFormat="1" ht="16.5" thickBot="1">
      <c r="A377" s="41" t="s">
        <v>31</v>
      </c>
      <c r="B377" s="42">
        <f t="shared" si="21"/>
        <v>75</v>
      </c>
      <c r="C377" s="42" t="s">
        <v>3</v>
      </c>
      <c r="D377" s="42">
        <f t="shared" si="22"/>
        <v>400</v>
      </c>
      <c r="E377" s="42" t="s">
        <v>3</v>
      </c>
      <c r="F377" s="101">
        <f t="shared" si="23"/>
        <v>1200</v>
      </c>
      <c r="G377" s="42" t="s">
        <v>3</v>
      </c>
      <c r="H377" s="39">
        <v>6</v>
      </c>
      <c r="I377" s="40" t="s">
        <v>40</v>
      </c>
      <c r="J377" s="103">
        <v>75</v>
      </c>
      <c r="K377" s="104">
        <v>400</v>
      </c>
      <c r="L377" s="104">
        <v>1200</v>
      </c>
      <c r="M377" s="150">
        <v>16.118967847400789</v>
      </c>
      <c r="N377" s="66">
        <v>648.06720000000007</v>
      </c>
      <c r="O377" s="111">
        <v>29684.433091637678</v>
      </c>
      <c r="P377" s="111">
        <v>34304.672212284902</v>
      </c>
      <c r="Q377" s="110">
        <v>19896.1089636492</v>
      </c>
      <c r="R377" s="258">
        <v>49580.542055286875</v>
      </c>
      <c r="S377" s="259">
        <v>54200.781175934098</v>
      </c>
      <c r="U377" s="7" t="s">
        <v>1653</v>
      </c>
    </row>
    <row r="378" spans="1:21" s="65" customFormat="1" ht="16.5" thickBot="1">
      <c r="A378" s="41" t="s">
        <v>31</v>
      </c>
      <c r="B378" s="42">
        <f t="shared" si="21"/>
        <v>75</v>
      </c>
      <c r="C378" s="42" t="s">
        <v>3</v>
      </c>
      <c r="D378" s="42">
        <f t="shared" si="22"/>
        <v>400</v>
      </c>
      <c r="E378" s="42" t="s">
        <v>3</v>
      </c>
      <c r="F378" s="101">
        <f t="shared" si="23"/>
        <v>1250</v>
      </c>
      <c r="G378" s="42" t="s">
        <v>3</v>
      </c>
      <c r="H378" s="39">
        <v>6</v>
      </c>
      <c r="I378" s="40" t="s">
        <v>40</v>
      </c>
      <c r="J378" s="103">
        <v>75</v>
      </c>
      <c r="K378" s="104">
        <v>400</v>
      </c>
      <c r="L378" s="104">
        <v>1250</v>
      </c>
      <c r="M378" s="150">
        <v>16.745821194777633</v>
      </c>
      <c r="N378" s="66">
        <v>686.1887999999999</v>
      </c>
      <c r="O378" s="111">
        <v>30667.075170847191</v>
      </c>
      <c r="P378" s="111">
        <v>35449.375732509681</v>
      </c>
      <c r="Q378" s="110">
        <v>20552.715913379172</v>
      </c>
      <c r="R378" s="258">
        <v>51219.791084226366</v>
      </c>
      <c r="S378" s="259">
        <v>56002.091645888853</v>
      </c>
      <c r="U378" s="7" t="s">
        <v>1654</v>
      </c>
    </row>
    <row r="379" spans="1:21" s="65" customFormat="1" ht="16.5" thickBot="1">
      <c r="A379" s="41" t="s">
        <v>31</v>
      </c>
      <c r="B379" s="42">
        <f t="shared" si="21"/>
        <v>75</v>
      </c>
      <c r="C379" s="42" t="s">
        <v>3</v>
      </c>
      <c r="D379" s="42">
        <f t="shared" si="22"/>
        <v>400</v>
      </c>
      <c r="E379" s="42" t="s">
        <v>3</v>
      </c>
      <c r="F379" s="101">
        <f t="shared" si="23"/>
        <v>1300</v>
      </c>
      <c r="G379" s="42" t="s">
        <v>3</v>
      </c>
      <c r="H379" s="39">
        <v>6</v>
      </c>
      <c r="I379" s="40" t="s">
        <v>40</v>
      </c>
      <c r="J379" s="103">
        <v>75</v>
      </c>
      <c r="K379" s="104">
        <v>400</v>
      </c>
      <c r="L379" s="104">
        <v>1300</v>
      </c>
      <c r="M379" s="150">
        <v>17.389714542154472</v>
      </c>
      <c r="N379" s="66">
        <v>724.31039999999996</v>
      </c>
      <c r="O379" s="111">
        <v>31649.717097027937</v>
      </c>
      <c r="P379" s="111">
        <v>36594.079099705697</v>
      </c>
      <c r="Q379" s="110">
        <v>21460.657153921682</v>
      </c>
      <c r="R379" s="258">
        <v>53110.374250949622</v>
      </c>
      <c r="S379" s="259">
        <v>58054.736253627379</v>
      </c>
      <c r="U379" s="7" t="s">
        <v>1655</v>
      </c>
    </row>
    <row r="380" spans="1:21" s="65" customFormat="1" ht="16.5" thickBot="1">
      <c r="A380" s="41" t="s">
        <v>31</v>
      </c>
      <c r="B380" s="42">
        <f t="shared" si="21"/>
        <v>75</v>
      </c>
      <c r="C380" s="42" t="s">
        <v>3</v>
      </c>
      <c r="D380" s="42">
        <f t="shared" si="22"/>
        <v>400</v>
      </c>
      <c r="E380" s="42" t="s">
        <v>3</v>
      </c>
      <c r="F380" s="101">
        <f t="shared" si="23"/>
        <v>1350</v>
      </c>
      <c r="G380" s="42" t="s">
        <v>3</v>
      </c>
      <c r="H380" s="39">
        <v>6</v>
      </c>
      <c r="I380" s="40" t="s">
        <v>40</v>
      </c>
      <c r="J380" s="103">
        <v>75</v>
      </c>
      <c r="K380" s="104">
        <v>400</v>
      </c>
      <c r="L380" s="104">
        <v>1350</v>
      </c>
      <c r="M380" s="150">
        <v>18.016567889531316</v>
      </c>
      <c r="N380" s="66">
        <v>762.43200000000002</v>
      </c>
      <c r="O380" s="111">
        <v>32632.359023208683</v>
      </c>
      <c r="P380" s="111">
        <v>37738.782619930476</v>
      </c>
      <c r="Q380" s="110">
        <v>22117.264103651651</v>
      </c>
      <c r="R380" s="258">
        <v>54749.62312686033</v>
      </c>
      <c r="S380" s="259">
        <v>59856.046723582127</v>
      </c>
      <c r="U380" s="7" t="s">
        <v>1656</v>
      </c>
    </row>
    <row r="381" spans="1:21" s="65" customFormat="1" ht="16.5" thickBot="1">
      <c r="A381" s="41" t="s">
        <v>31</v>
      </c>
      <c r="B381" s="42">
        <f t="shared" si="21"/>
        <v>75</v>
      </c>
      <c r="C381" s="42" t="s">
        <v>3</v>
      </c>
      <c r="D381" s="42">
        <f t="shared" si="22"/>
        <v>400</v>
      </c>
      <c r="E381" s="42" t="s">
        <v>3</v>
      </c>
      <c r="F381" s="101">
        <f t="shared" si="23"/>
        <v>1400</v>
      </c>
      <c r="G381" s="42" t="s">
        <v>3</v>
      </c>
      <c r="H381" s="39">
        <v>6</v>
      </c>
      <c r="I381" s="40" t="s">
        <v>40</v>
      </c>
      <c r="J381" s="103">
        <v>75</v>
      </c>
      <c r="K381" s="104">
        <v>400</v>
      </c>
      <c r="L381" s="104">
        <v>1400</v>
      </c>
      <c r="M381" s="150">
        <v>18.660461236908159</v>
      </c>
      <c r="N381" s="66">
        <v>800.55360000000007</v>
      </c>
      <c r="O381" s="111">
        <v>33615.001102418195</v>
      </c>
      <c r="P381" s="111">
        <v>38883.485987126493</v>
      </c>
      <c r="Q381" s="110">
        <v>23025.205344194161</v>
      </c>
      <c r="R381" s="258">
        <v>56640.206446612356</v>
      </c>
      <c r="S381" s="259">
        <v>61908.691331320653</v>
      </c>
      <c r="U381" s="7" t="s">
        <v>1657</v>
      </c>
    </row>
    <row r="382" spans="1:21" s="65" customFormat="1" ht="16.5" thickBot="1">
      <c r="A382" s="41" t="s">
        <v>31</v>
      </c>
      <c r="B382" s="42">
        <f t="shared" si="21"/>
        <v>75</v>
      </c>
      <c r="C382" s="42" t="s">
        <v>3</v>
      </c>
      <c r="D382" s="42">
        <f t="shared" si="22"/>
        <v>400</v>
      </c>
      <c r="E382" s="42" t="s">
        <v>3</v>
      </c>
      <c r="F382" s="101">
        <f t="shared" si="23"/>
        <v>1450</v>
      </c>
      <c r="G382" s="42" t="s">
        <v>3</v>
      </c>
      <c r="H382" s="39">
        <v>6</v>
      </c>
      <c r="I382" s="40" t="s">
        <v>40</v>
      </c>
      <c r="J382" s="103">
        <v>75</v>
      </c>
      <c r="K382" s="104">
        <v>400</v>
      </c>
      <c r="L382" s="104">
        <v>1450</v>
      </c>
      <c r="M382" s="150">
        <v>19.287314584284999</v>
      </c>
      <c r="N382" s="66">
        <v>838.6751999999999</v>
      </c>
      <c r="O382" s="111">
        <v>34597.643028598941</v>
      </c>
      <c r="P382" s="111">
        <v>40028.189507351271</v>
      </c>
      <c r="Q382" s="110">
        <v>23681.812293924133</v>
      </c>
      <c r="R382" s="258">
        <v>58279.455322523077</v>
      </c>
      <c r="S382" s="259">
        <v>63710.001801275401</v>
      </c>
      <c r="U382" s="7" t="s">
        <v>1658</v>
      </c>
    </row>
    <row r="383" spans="1:21" s="65" customFormat="1" ht="16.5" thickBot="1">
      <c r="A383" s="41" t="s">
        <v>31</v>
      </c>
      <c r="B383" s="42">
        <f t="shared" si="21"/>
        <v>75</v>
      </c>
      <c r="C383" s="42" t="s">
        <v>3</v>
      </c>
      <c r="D383" s="42">
        <f t="shared" si="22"/>
        <v>400</v>
      </c>
      <c r="E383" s="42" t="s">
        <v>3</v>
      </c>
      <c r="F383" s="101">
        <f t="shared" si="23"/>
        <v>1500</v>
      </c>
      <c r="G383" s="42" t="s">
        <v>3</v>
      </c>
      <c r="H383" s="39">
        <v>6</v>
      </c>
      <c r="I383" s="40" t="s">
        <v>40</v>
      </c>
      <c r="J383" s="103">
        <v>75</v>
      </c>
      <c r="K383" s="104">
        <v>400</v>
      </c>
      <c r="L383" s="104">
        <v>1500</v>
      </c>
      <c r="M383" s="150">
        <v>20.129106475021842</v>
      </c>
      <c r="N383" s="66">
        <v>876.79679999999996</v>
      </c>
      <c r="O383" s="111">
        <v>36463.800662005531</v>
      </c>
      <c r="P383" s="111">
        <v>41981.091649297734</v>
      </c>
      <c r="Q383" s="110">
        <v>24589.753534466639</v>
      </c>
      <c r="R383" s="258">
        <v>61053.554196472171</v>
      </c>
      <c r="S383" s="259">
        <v>66570.845183764381</v>
      </c>
      <c r="U383" s="7" t="s">
        <v>1659</v>
      </c>
    </row>
    <row r="384" spans="1:21" s="65" customFormat="1" ht="16.5" thickBot="1">
      <c r="A384" s="41" t="s">
        <v>31</v>
      </c>
      <c r="B384" s="42">
        <f t="shared" si="21"/>
        <v>75</v>
      </c>
      <c r="C384" s="42" t="s">
        <v>3</v>
      </c>
      <c r="D384" s="42">
        <f t="shared" si="22"/>
        <v>400</v>
      </c>
      <c r="E384" s="42" t="s">
        <v>3</v>
      </c>
      <c r="F384" s="101">
        <f t="shared" si="23"/>
        <v>1550</v>
      </c>
      <c r="G384" s="42" t="s">
        <v>3</v>
      </c>
      <c r="H384" s="39">
        <v>6</v>
      </c>
      <c r="I384" s="40" t="s">
        <v>40</v>
      </c>
      <c r="J384" s="103">
        <v>75</v>
      </c>
      <c r="K384" s="104">
        <v>400</v>
      </c>
      <c r="L384" s="104">
        <v>1550</v>
      </c>
      <c r="M384" s="150">
        <v>20.755959822398683</v>
      </c>
      <c r="N384" s="66">
        <v>914.91840000000002</v>
      </c>
      <c r="O384" s="111">
        <v>37446.442588186277</v>
      </c>
      <c r="P384" s="111">
        <v>43125.79501649375</v>
      </c>
      <c r="Q384" s="110">
        <v>25246.360484196612</v>
      </c>
      <c r="R384" s="258">
        <v>62692.803072382885</v>
      </c>
      <c r="S384" s="259">
        <v>68372.155500690365</v>
      </c>
      <c r="U384" s="7" t="s">
        <v>1660</v>
      </c>
    </row>
    <row r="385" spans="1:21" s="65" customFormat="1" ht="16.5" thickBot="1">
      <c r="A385" s="38" t="s">
        <v>31</v>
      </c>
      <c r="B385" s="39">
        <f t="shared" si="21"/>
        <v>75</v>
      </c>
      <c r="C385" s="39" t="s">
        <v>3</v>
      </c>
      <c r="D385" s="39">
        <f t="shared" si="22"/>
        <v>400</v>
      </c>
      <c r="E385" s="39" t="s">
        <v>3</v>
      </c>
      <c r="F385" s="101">
        <f t="shared" si="23"/>
        <v>1600</v>
      </c>
      <c r="G385" s="39" t="s">
        <v>3</v>
      </c>
      <c r="H385" s="39">
        <v>6</v>
      </c>
      <c r="I385" s="40" t="s">
        <v>40</v>
      </c>
      <c r="J385" s="103">
        <v>75</v>
      </c>
      <c r="K385" s="104">
        <v>400</v>
      </c>
      <c r="L385" s="104">
        <v>1600</v>
      </c>
      <c r="M385" s="150">
        <v>21.382813169775524</v>
      </c>
      <c r="N385" s="66">
        <v>953.04</v>
      </c>
      <c r="O385" s="111">
        <v>38429.084667395793</v>
      </c>
      <c r="P385" s="111">
        <v>44270.498536718529</v>
      </c>
      <c r="Q385" s="110">
        <v>25902.96758695535</v>
      </c>
      <c r="R385" s="258">
        <v>64332.052254351147</v>
      </c>
      <c r="S385" s="259">
        <v>70173.466123673876</v>
      </c>
      <c r="U385" s="7" t="s">
        <v>1661</v>
      </c>
    </row>
    <row r="386" spans="1:21" s="65" customFormat="1" ht="16.5" thickBot="1">
      <c r="A386" s="41" t="s">
        <v>31</v>
      </c>
      <c r="B386" s="42">
        <f t="shared" si="21"/>
        <v>75</v>
      </c>
      <c r="C386" s="42" t="s">
        <v>3</v>
      </c>
      <c r="D386" s="42">
        <f t="shared" si="22"/>
        <v>400</v>
      </c>
      <c r="E386" s="42" t="s">
        <v>3</v>
      </c>
      <c r="F386" s="101">
        <f t="shared" si="23"/>
        <v>1650</v>
      </c>
      <c r="G386" s="42" t="s">
        <v>3</v>
      </c>
      <c r="H386" s="39">
        <v>6</v>
      </c>
      <c r="I386" s="40" t="s">
        <v>40</v>
      </c>
      <c r="J386" s="103">
        <v>75</v>
      </c>
      <c r="K386" s="104">
        <v>400</v>
      </c>
      <c r="L386" s="104">
        <v>1650</v>
      </c>
      <c r="M386" s="150">
        <v>22.026706517152366</v>
      </c>
      <c r="N386" s="66">
        <v>991.16159999999991</v>
      </c>
      <c r="O386" s="111">
        <v>39411.726593576539</v>
      </c>
      <c r="P386" s="111">
        <v>45415.201903914545</v>
      </c>
      <c r="Q386" s="110">
        <v>26810.908827497857</v>
      </c>
      <c r="R386" s="258">
        <v>66222.635421074403</v>
      </c>
      <c r="S386" s="259">
        <v>72226.110731412395</v>
      </c>
      <c r="U386" s="7" t="s">
        <v>1662</v>
      </c>
    </row>
    <row r="387" spans="1:21" s="65" customFormat="1" ht="16.5" thickBot="1">
      <c r="A387" s="41" t="s">
        <v>31</v>
      </c>
      <c r="B387" s="42">
        <f t="shared" si="21"/>
        <v>75</v>
      </c>
      <c r="C387" s="42" t="s">
        <v>3</v>
      </c>
      <c r="D387" s="42">
        <f t="shared" si="22"/>
        <v>400</v>
      </c>
      <c r="E387" s="42" t="s">
        <v>3</v>
      </c>
      <c r="F387" s="101">
        <f t="shared" si="23"/>
        <v>1700</v>
      </c>
      <c r="G387" s="42" t="s">
        <v>3</v>
      </c>
      <c r="H387" s="39">
        <v>6</v>
      </c>
      <c r="I387" s="40" t="s">
        <v>40</v>
      </c>
      <c r="J387" s="103">
        <v>75</v>
      </c>
      <c r="K387" s="104">
        <v>400</v>
      </c>
      <c r="L387" s="104">
        <v>1700</v>
      </c>
      <c r="M387" s="150">
        <v>22.65355986452921</v>
      </c>
      <c r="N387" s="66">
        <v>1029.2831999999999</v>
      </c>
      <c r="O387" s="111">
        <v>40394.368519757285</v>
      </c>
      <c r="P387" s="111">
        <v>46559.905424139324</v>
      </c>
      <c r="Q387" s="110">
        <v>27467.515777227836</v>
      </c>
      <c r="R387" s="258">
        <v>67861.884296985125</v>
      </c>
      <c r="S387" s="259">
        <v>74027.421201367164</v>
      </c>
      <c r="U387" s="7" t="s">
        <v>1663</v>
      </c>
    </row>
    <row r="388" spans="1:21" s="65" customFormat="1" ht="16.5" thickBot="1">
      <c r="A388" s="41" t="s">
        <v>31</v>
      </c>
      <c r="B388" s="42">
        <f t="shared" si="21"/>
        <v>75</v>
      </c>
      <c r="C388" s="42" t="s">
        <v>3</v>
      </c>
      <c r="D388" s="42">
        <f t="shared" si="22"/>
        <v>400</v>
      </c>
      <c r="E388" s="42" t="s">
        <v>3</v>
      </c>
      <c r="F388" s="101">
        <f t="shared" si="23"/>
        <v>1750</v>
      </c>
      <c r="G388" s="42" t="s">
        <v>3</v>
      </c>
      <c r="H388" s="39">
        <v>6</v>
      </c>
      <c r="I388" s="40" t="s">
        <v>40</v>
      </c>
      <c r="J388" s="103">
        <v>75</v>
      </c>
      <c r="K388" s="104">
        <v>400</v>
      </c>
      <c r="L388" s="104">
        <v>1750</v>
      </c>
      <c r="M388" s="150">
        <v>23.297453211906053</v>
      </c>
      <c r="N388" s="66">
        <v>1067.4048</v>
      </c>
      <c r="O388" s="111">
        <v>41377.010598966794</v>
      </c>
      <c r="P388" s="111">
        <v>47704.608791335333</v>
      </c>
      <c r="Q388" s="110">
        <v>28375.457017770343</v>
      </c>
      <c r="R388" s="258">
        <v>69752.467616737136</v>
      </c>
      <c r="S388" s="259">
        <v>76080.065809105668</v>
      </c>
      <c r="U388" s="7" t="s">
        <v>1664</v>
      </c>
    </row>
    <row r="389" spans="1:21" s="65" customFormat="1" ht="16.5" thickBot="1">
      <c r="A389" s="41" t="s">
        <v>31</v>
      </c>
      <c r="B389" s="42">
        <f t="shared" si="21"/>
        <v>75</v>
      </c>
      <c r="C389" s="42" t="s">
        <v>3</v>
      </c>
      <c r="D389" s="42">
        <f t="shared" si="22"/>
        <v>400</v>
      </c>
      <c r="E389" s="42" t="s">
        <v>3</v>
      </c>
      <c r="F389" s="101">
        <f t="shared" si="23"/>
        <v>1800</v>
      </c>
      <c r="G389" s="42" t="s">
        <v>3</v>
      </c>
      <c r="H389" s="39">
        <v>6</v>
      </c>
      <c r="I389" s="40" t="s">
        <v>40</v>
      </c>
      <c r="J389" s="103">
        <v>75</v>
      </c>
      <c r="K389" s="104">
        <v>400</v>
      </c>
      <c r="L389" s="104">
        <v>1800</v>
      </c>
      <c r="M389" s="150">
        <v>23.92430655928289</v>
      </c>
      <c r="N389" s="66">
        <v>1105.5264</v>
      </c>
      <c r="O389" s="111">
        <v>42359.65252514754</v>
      </c>
      <c r="P389" s="111">
        <v>48849.312158531349</v>
      </c>
      <c r="Q389" s="110">
        <v>29032.063967500315</v>
      </c>
      <c r="R389" s="258">
        <v>71391.716492647858</v>
      </c>
      <c r="S389" s="259">
        <v>77881.376126031668</v>
      </c>
      <c r="U389" s="7" t="s">
        <v>1665</v>
      </c>
    </row>
    <row r="390" spans="1:21" s="65" customFormat="1" ht="16.5" thickBot="1">
      <c r="A390" s="41" t="s">
        <v>31</v>
      </c>
      <c r="B390" s="42">
        <f t="shared" si="21"/>
        <v>75</v>
      </c>
      <c r="C390" s="42" t="s">
        <v>3</v>
      </c>
      <c r="D390" s="42">
        <f t="shared" si="22"/>
        <v>400</v>
      </c>
      <c r="E390" s="42" t="s">
        <v>3</v>
      </c>
      <c r="F390" s="101">
        <f t="shared" si="23"/>
        <v>1850</v>
      </c>
      <c r="G390" s="42" t="s">
        <v>3</v>
      </c>
      <c r="H390" s="39">
        <v>6</v>
      </c>
      <c r="I390" s="40" t="s">
        <v>40</v>
      </c>
      <c r="J390" s="103">
        <v>75</v>
      </c>
      <c r="K390" s="104">
        <v>400</v>
      </c>
      <c r="L390" s="104">
        <v>1850</v>
      </c>
      <c r="M390" s="150">
        <v>24.568199906659743</v>
      </c>
      <c r="N390" s="66">
        <v>1143.6479999999999</v>
      </c>
      <c r="O390" s="111">
        <v>43342.294451328286</v>
      </c>
      <c r="P390" s="111">
        <v>49994.015678756128</v>
      </c>
      <c r="Q390" s="110">
        <v>29940.005208042821</v>
      </c>
      <c r="R390" s="258">
        <v>73282.299659371114</v>
      </c>
      <c r="S390" s="259">
        <v>79934.020886798942</v>
      </c>
      <c r="U390" s="7" t="s">
        <v>1666</v>
      </c>
    </row>
    <row r="391" spans="1:21" s="65" customFormat="1" ht="16.5" thickBot="1">
      <c r="A391" s="41" t="s">
        <v>31</v>
      </c>
      <c r="B391" s="42">
        <f t="shared" si="21"/>
        <v>75</v>
      </c>
      <c r="C391" s="42" t="s">
        <v>3</v>
      </c>
      <c r="D391" s="42">
        <f t="shared" si="22"/>
        <v>400</v>
      </c>
      <c r="E391" s="42" t="s">
        <v>3</v>
      </c>
      <c r="F391" s="101">
        <f t="shared" si="23"/>
        <v>1900</v>
      </c>
      <c r="G391" s="42" t="s">
        <v>3</v>
      </c>
      <c r="H391" s="39">
        <v>6</v>
      </c>
      <c r="I391" s="40" t="s">
        <v>40</v>
      </c>
      <c r="J391" s="103">
        <v>75</v>
      </c>
      <c r="K391" s="104">
        <v>400</v>
      </c>
      <c r="L391" s="104">
        <v>1900</v>
      </c>
      <c r="M391" s="150">
        <v>25.19505325403658</v>
      </c>
      <c r="N391" s="66">
        <v>1181.7695999999999</v>
      </c>
      <c r="O391" s="111">
        <v>44324.936530537801</v>
      </c>
      <c r="P391" s="111">
        <v>51138.719045952144</v>
      </c>
      <c r="Q391" s="110">
        <v>30596.612157772794</v>
      </c>
      <c r="R391" s="258">
        <v>74921.548688310591</v>
      </c>
      <c r="S391" s="259">
        <v>81735.331203724942</v>
      </c>
      <c r="U391" s="7" t="s">
        <v>1667</v>
      </c>
    </row>
    <row r="392" spans="1:21" s="65" customFormat="1" ht="16.5" thickBot="1">
      <c r="A392" s="41" t="s">
        <v>31</v>
      </c>
      <c r="B392" s="42">
        <f t="shared" si="21"/>
        <v>75</v>
      </c>
      <c r="C392" s="42" t="s">
        <v>3</v>
      </c>
      <c r="D392" s="42">
        <f t="shared" si="22"/>
        <v>400</v>
      </c>
      <c r="E392" s="42" t="s">
        <v>3</v>
      </c>
      <c r="F392" s="101">
        <f t="shared" si="23"/>
        <v>1950</v>
      </c>
      <c r="G392" s="42" t="s">
        <v>3</v>
      </c>
      <c r="H392" s="39">
        <v>6</v>
      </c>
      <c r="I392" s="40" t="s">
        <v>40</v>
      </c>
      <c r="J392" s="103">
        <v>75</v>
      </c>
      <c r="K392" s="104">
        <v>400</v>
      </c>
      <c r="L392" s="104">
        <v>1950</v>
      </c>
      <c r="M392" s="150">
        <v>25.939656601413425</v>
      </c>
      <c r="N392" s="66">
        <v>1219.8912</v>
      </c>
      <c r="O392" s="111">
        <v>45441.676951482521</v>
      </c>
      <c r="P392" s="111">
        <v>52413.433662624411</v>
      </c>
      <c r="Q392" s="110">
        <v>31253.219260531532</v>
      </c>
      <c r="R392" s="258">
        <v>76694.89621201405</v>
      </c>
      <c r="S392" s="259">
        <v>83666.65292315594</v>
      </c>
      <c r="U392" s="7" t="s">
        <v>1668</v>
      </c>
    </row>
    <row r="393" spans="1:21" s="65" customFormat="1" ht="16.5" thickBot="1">
      <c r="A393" s="41" t="s">
        <v>31</v>
      </c>
      <c r="B393" s="42">
        <f t="shared" si="21"/>
        <v>75</v>
      </c>
      <c r="C393" s="42" t="s">
        <v>3</v>
      </c>
      <c r="D393" s="42">
        <f t="shared" si="22"/>
        <v>400</v>
      </c>
      <c r="E393" s="42" t="s">
        <v>3</v>
      </c>
      <c r="F393" s="101">
        <f t="shared" si="23"/>
        <v>2000</v>
      </c>
      <c r="G393" s="42" t="s">
        <v>3</v>
      </c>
      <c r="H393" s="39">
        <v>6</v>
      </c>
      <c r="I393" s="40" t="s">
        <v>40</v>
      </c>
      <c r="J393" s="103">
        <v>75</v>
      </c>
      <c r="K393" s="104">
        <v>400</v>
      </c>
      <c r="L393" s="104">
        <v>2000</v>
      </c>
      <c r="M393" s="150">
        <v>26.675112348790265</v>
      </c>
      <c r="N393" s="66">
        <v>1258.0128</v>
      </c>
      <c r="O393" s="111">
        <v>46675.610779507864</v>
      </c>
      <c r="P393" s="111">
        <v>53886.565682215289</v>
      </c>
      <c r="Q393" s="110">
        <v>32161.160348045276</v>
      </c>
      <c r="R393" s="258">
        <v>78836.771127553133</v>
      </c>
      <c r="S393" s="259">
        <v>86047.726030260557</v>
      </c>
      <c r="U393" s="7" t="s">
        <v>1669</v>
      </c>
    </row>
    <row r="394" spans="1:21" s="65" customFormat="1" ht="16.5" thickBot="1">
      <c r="A394" s="41" t="s">
        <v>31</v>
      </c>
      <c r="B394" s="42">
        <f t="shared" si="21"/>
        <v>75</v>
      </c>
      <c r="C394" s="42" t="s">
        <v>3</v>
      </c>
      <c r="D394" s="42">
        <f t="shared" si="22"/>
        <v>400</v>
      </c>
      <c r="E394" s="42" t="s">
        <v>3</v>
      </c>
      <c r="F394" s="101">
        <f t="shared" si="23"/>
        <v>2050</v>
      </c>
      <c r="G394" s="42" t="s">
        <v>3</v>
      </c>
      <c r="H394" s="39">
        <v>6</v>
      </c>
      <c r="I394" s="40" t="s">
        <v>40</v>
      </c>
      <c r="J394" s="103">
        <v>75</v>
      </c>
      <c r="K394" s="104">
        <v>400</v>
      </c>
      <c r="L394" s="104">
        <v>2050</v>
      </c>
      <c r="M394" s="150">
        <v>27.301965696167102</v>
      </c>
      <c r="N394" s="66">
        <v>1296.1344000000001</v>
      </c>
      <c r="O394" s="111">
        <v>47658.252858717373</v>
      </c>
      <c r="P394" s="111">
        <v>55031.269049411305</v>
      </c>
      <c r="Q394" s="110">
        <v>32817.767450804015</v>
      </c>
      <c r="R394" s="258">
        <v>80476.02030952138</v>
      </c>
      <c r="S394" s="259">
        <v>87849.036500215327</v>
      </c>
      <c r="U394" s="7" t="s">
        <v>1670</v>
      </c>
    </row>
    <row r="395" spans="1:21" s="65" customFormat="1" ht="16.5" thickBot="1">
      <c r="A395" s="38" t="s">
        <v>31</v>
      </c>
      <c r="B395" s="39">
        <f t="shared" si="21"/>
        <v>75</v>
      </c>
      <c r="C395" s="39" t="s">
        <v>3</v>
      </c>
      <c r="D395" s="39">
        <f t="shared" si="22"/>
        <v>400</v>
      </c>
      <c r="E395" s="39" t="s">
        <v>3</v>
      </c>
      <c r="F395" s="101">
        <f t="shared" si="23"/>
        <v>2100</v>
      </c>
      <c r="G395" s="39" t="s">
        <v>3</v>
      </c>
      <c r="H395" s="39">
        <v>6</v>
      </c>
      <c r="I395" s="40" t="s">
        <v>40</v>
      </c>
      <c r="J395" s="103">
        <v>75</v>
      </c>
      <c r="K395" s="104">
        <v>400</v>
      </c>
      <c r="L395" s="104">
        <v>2100</v>
      </c>
      <c r="M395" s="150">
        <v>27.945859043543944</v>
      </c>
      <c r="N395" s="66">
        <v>1334.2560000000001</v>
      </c>
      <c r="O395" s="111">
        <v>48640.894784898126</v>
      </c>
      <c r="P395" s="111">
        <v>56175.972416607321</v>
      </c>
      <c r="Q395" s="110">
        <v>33725.708538317755</v>
      </c>
      <c r="R395" s="258">
        <v>82366.603323215881</v>
      </c>
      <c r="S395" s="259">
        <v>89901.680954925076</v>
      </c>
      <c r="U395" s="7" t="s">
        <v>1671</v>
      </c>
    </row>
    <row r="396" spans="1:21" s="65" customFormat="1" ht="16.5" thickBot="1">
      <c r="A396" s="41" t="s">
        <v>31</v>
      </c>
      <c r="B396" s="42">
        <f t="shared" si="21"/>
        <v>75</v>
      </c>
      <c r="C396" s="42" t="s">
        <v>3</v>
      </c>
      <c r="D396" s="42">
        <f t="shared" si="22"/>
        <v>400</v>
      </c>
      <c r="E396" s="42" t="s">
        <v>3</v>
      </c>
      <c r="F396" s="101">
        <f t="shared" si="23"/>
        <v>2150</v>
      </c>
      <c r="G396" s="42" t="s">
        <v>3</v>
      </c>
      <c r="H396" s="39">
        <v>6</v>
      </c>
      <c r="I396" s="40" t="s">
        <v>40</v>
      </c>
      <c r="J396" s="103">
        <v>75</v>
      </c>
      <c r="K396" s="104">
        <v>400</v>
      </c>
      <c r="L396" s="104">
        <v>2150</v>
      </c>
      <c r="M396" s="150">
        <v>28.572712390920792</v>
      </c>
      <c r="N396" s="66">
        <v>1372.3775999999998</v>
      </c>
      <c r="O396" s="111">
        <v>49623.536711078872</v>
      </c>
      <c r="P396" s="111">
        <v>57320.6759368321</v>
      </c>
      <c r="Q396" s="110">
        <v>34382.315641076493</v>
      </c>
      <c r="R396" s="258">
        <v>84005.852352155373</v>
      </c>
      <c r="S396" s="259">
        <v>91702.9915779086</v>
      </c>
      <c r="U396" s="7" t="s">
        <v>1672</v>
      </c>
    </row>
    <row r="397" spans="1:21" s="65" customFormat="1" ht="16.5" thickBot="1">
      <c r="A397" s="41" t="s">
        <v>31</v>
      </c>
      <c r="B397" s="42">
        <f t="shared" si="21"/>
        <v>75</v>
      </c>
      <c r="C397" s="42" t="s">
        <v>3</v>
      </c>
      <c r="D397" s="42">
        <f t="shared" si="22"/>
        <v>400</v>
      </c>
      <c r="E397" s="42" t="s">
        <v>3</v>
      </c>
      <c r="F397" s="101">
        <f t="shared" si="23"/>
        <v>2200</v>
      </c>
      <c r="G397" s="42" t="s">
        <v>3</v>
      </c>
      <c r="H397" s="39">
        <v>6</v>
      </c>
      <c r="I397" s="40" t="s">
        <v>40</v>
      </c>
      <c r="J397" s="103">
        <v>75</v>
      </c>
      <c r="K397" s="104">
        <v>400</v>
      </c>
      <c r="L397" s="104">
        <v>2200</v>
      </c>
      <c r="M397" s="150">
        <v>29.216605738297631</v>
      </c>
      <c r="N397" s="66">
        <v>1410.4992</v>
      </c>
      <c r="O397" s="111">
        <v>50606.178637259611</v>
      </c>
      <c r="P397" s="111">
        <v>58465.379304028109</v>
      </c>
      <c r="Q397" s="110">
        <v>35290.256728590233</v>
      </c>
      <c r="R397" s="258">
        <v>85896.435365849844</v>
      </c>
      <c r="S397" s="259">
        <v>93755.636032618349</v>
      </c>
      <c r="U397" s="7" t="s">
        <v>1673</v>
      </c>
    </row>
    <row r="398" spans="1:21" s="65" customFormat="1" ht="16.5" thickBot="1">
      <c r="A398" s="41" t="s">
        <v>31</v>
      </c>
      <c r="B398" s="42">
        <f t="shared" si="21"/>
        <v>75</v>
      </c>
      <c r="C398" s="42" t="s">
        <v>3</v>
      </c>
      <c r="D398" s="42">
        <f t="shared" si="22"/>
        <v>400</v>
      </c>
      <c r="E398" s="42" t="s">
        <v>3</v>
      </c>
      <c r="F398" s="101">
        <f t="shared" si="23"/>
        <v>2250</v>
      </c>
      <c r="G398" s="42" t="s">
        <v>3</v>
      </c>
      <c r="H398" s="39">
        <v>6</v>
      </c>
      <c r="I398" s="40" t="s">
        <v>40</v>
      </c>
      <c r="J398" s="103">
        <v>75</v>
      </c>
      <c r="K398" s="104">
        <v>400</v>
      </c>
      <c r="L398" s="104">
        <v>2250</v>
      </c>
      <c r="M398" s="150">
        <v>29.843459085674468</v>
      </c>
      <c r="N398" s="66">
        <v>1448.6207999999999</v>
      </c>
      <c r="O398" s="111">
        <v>51588.820716469127</v>
      </c>
      <c r="P398" s="111">
        <v>59610.082824252895</v>
      </c>
      <c r="Q398" s="110">
        <v>35946.863831348819</v>
      </c>
      <c r="R398" s="258">
        <v>87535.684547817946</v>
      </c>
      <c r="S398" s="259">
        <v>95556.946655601714</v>
      </c>
      <c r="U398" s="7" t="s">
        <v>1674</v>
      </c>
    </row>
    <row r="399" spans="1:21" s="65" customFormat="1" ht="16.5" thickBot="1">
      <c r="A399" s="41" t="s">
        <v>31</v>
      </c>
      <c r="B399" s="42">
        <f t="shared" si="21"/>
        <v>75</v>
      </c>
      <c r="C399" s="42" t="s">
        <v>3</v>
      </c>
      <c r="D399" s="42">
        <f t="shared" si="22"/>
        <v>400</v>
      </c>
      <c r="E399" s="42" t="s">
        <v>3</v>
      </c>
      <c r="F399" s="101">
        <f t="shared" si="23"/>
        <v>2300</v>
      </c>
      <c r="G399" s="42" t="s">
        <v>3</v>
      </c>
      <c r="H399" s="39">
        <v>6</v>
      </c>
      <c r="I399" s="40" t="s">
        <v>40</v>
      </c>
      <c r="J399" s="103">
        <v>75</v>
      </c>
      <c r="K399" s="104">
        <v>400</v>
      </c>
      <c r="L399" s="104">
        <v>2300</v>
      </c>
      <c r="M399" s="150">
        <v>30.470312433051312</v>
      </c>
      <c r="N399" s="66">
        <v>1486.7423999999999</v>
      </c>
      <c r="O399" s="111">
        <v>52571.46264264988</v>
      </c>
      <c r="P399" s="111">
        <v>60754.786191448904</v>
      </c>
      <c r="Q399" s="110">
        <v>36603.470781078948</v>
      </c>
      <c r="R399" s="258">
        <v>89174.933423728828</v>
      </c>
      <c r="S399" s="259">
        <v>97358.256972527859</v>
      </c>
      <c r="U399" s="7" t="s">
        <v>1675</v>
      </c>
    </row>
    <row r="400" spans="1:21" s="65" customFormat="1" ht="16.5" thickBot="1">
      <c r="A400" s="41" t="s">
        <v>31</v>
      </c>
      <c r="B400" s="42">
        <f t="shared" si="21"/>
        <v>75</v>
      </c>
      <c r="C400" s="42" t="s">
        <v>3</v>
      </c>
      <c r="D400" s="42">
        <f t="shared" si="22"/>
        <v>400</v>
      </c>
      <c r="E400" s="42" t="s">
        <v>3</v>
      </c>
      <c r="F400" s="101">
        <f t="shared" si="23"/>
        <v>2350</v>
      </c>
      <c r="G400" s="42" t="s">
        <v>3</v>
      </c>
      <c r="H400" s="39">
        <v>6</v>
      </c>
      <c r="I400" s="40" t="s">
        <v>40</v>
      </c>
      <c r="J400" s="103">
        <v>75</v>
      </c>
      <c r="K400" s="104">
        <v>400</v>
      </c>
      <c r="L400" s="104">
        <v>2350</v>
      </c>
      <c r="M400" s="150">
        <v>31.114205780428158</v>
      </c>
      <c r="N400" s="66">
        <v>1524.864</v>
      </c>
      <c r="O400" s="111">
        <v>53554.104568830619</v>
      </c>
      <c r="P400" s="111">
        <v>61899.48971167369</v>
      </c>
      <c r="Q400" s="110">
        <v>37511.412021621458</v>
      </c>
      <c r="R400" s="258">
        <v>91065.516590452084</v>
      </c>
      <c r="S400" s="259">
        <v>99410.901733295148</v>
      </c>
      <c r="U400" s="7" t="s">
        <v>1676</v>
      </c>
    </row>
    <row r="401" spans="1:21" s="65" customFormat="1" ht="16.5" thickBot="1">
      <c r="A401" s="41" t="s">
        <v>31</v>
      </c>
      <c r="B401" s="42">
        <f t="shared" si="21"/>
        <v>75</v>
      </c>
      <c r="C401" s="42" t="s">
        <v>3</v>
      </c>
      <c r="D401" s="42">
        <f t="shared" si="22"/>
        <v>400</v>
      </c>
      <c r="E401" s="42" t="s">
        <v>3</v>
      </c>
      <c r="F401" s="101">
        <f t="shared" si="23"/>
        <v>2400</v>
      </c>
      <c r="G401" s="42" t="s">
        <v>3</v>
      </c>
      <c r="H401" s="39">
        <v>6</v>
      </c>
      <c r="I401" s="40" t="s">
        <v>40</v>
      </c>
      <c r="J401" s="103">
        <v>75</v>
      </c>
      <c r="K401" s="104">
        <v>400</v>
      </c>
      <c r="L401" s="104">
        <v>2400</v>
      </c>
      <c r="M401" s="150">
        <v>31.741059127804998</v>
      </c>
      <c r="N401" s="66">
        <v>1562.9856</v>
      </c>
      <c r="O401" s="111">
        <v>54536.746648040127</v>
      </c>
      <c r="P401" s="111">
        <v>63044.193078869699</v>
      </c>
      <c r="Q401" s="110">
        <v>38168.019124380196</v>
      </c>
      <c r="R401" s="258">
        <v>92704.765772420331</v>
      </c>
      <c r="S401" s="259">
        <v>101212.21220324989</v>
      </c>
      <c r="U401" s="7" t="s">
        <v>1677</v>
      </c>
    </row>
    <row r="402" spans="1:21" s="65" customFormat="1" ht="16.5" thickBot="1">
      <c r="A402" s="41" t="s">
        <v>31</v>
      </c>
      <c r="B402" s="42">
        <f t="shared" si="21"/>
        <v>75</v>
      </c>
      <c r="C402" s="42" t="s">
        <v>3</v>
      </c>
      <c r="D402" s="42">
        <f t="shared" si="22"/>
        <v>400</v>
      </c>
      <c r="E402" s="42" t="s">
        <v>3</v>
      </c>
      <c r="F402" s="101">
        <f t="shared" si="23"/>
        <v>2450</v>
      </c>
      <c r="G402" s="42" t="s">
        <v>3</v>
      </c>
      <c r="H402" s="39">
        <v>6</v>
      </c>
      <c r="I402" s="40" t="s">
        <v>40</v>
      </c>
      <c r="J402" s="103">
        <v>75</v>
      </c>
      <c r="K402" s="104">
        <v>400</v>
      </c>
      <c r="L402" s="104">
        <v>2450</v>
      </c>
      <c r="M402" s="150">
        <v>32.582851018541845</v>
      </c>
      <c r="N402" s="66">
        <v>1601.1072000000001</v>
      </c>
      <c r="O402" s="111">
        <v>56402.904281446718</v>
      </c>
      <c r="P402" s="111">
        <v>64997.095220816162</v>
      </c>
      <c r="Q402" s="110">
        <v>39075.960211893937</v>
      </c>
      <c r="R402" s="258">
        <v>95478.864493340661</v>
      </c>
      <c r="S402" s="259">
        <v>104073.0554327101</v>
      </c>
      <c r="U402" s="7" t="s">
        <v>1678</v>
      </c>
    </row>
    <row r="403" spans="1:21" s="65" customFormat="1" ht="16.5" thickBot="1">
      <c r="A403" s="41" t="s">
        <v>31</v>
      </c>
      <c r="B403" s="42">
        <f t="shared" si="21"/>
        <v>75</v>
      </c>
      <c r="C403" s="42" t="s">
        <v>3</v>
      </c>
      <c r="D403" s="42">
        <f t="shared" si="22"/>
        <v>400</v>
      </c>
      <c r="E403" s="42" t="s">
        <v>3</v>
      </c>
      <c r="F403" s="101">
        <f t="shared" si="23"/>
        <v>2500</v>
      </c>
      <c r="G403" s="42" t="s">
        <v>3</v>
      </c>
      <c r="H403" s="39">
        <v>6</v>
      </c>
      <c r="I403" s="40" t="s">
        <v>40</v>
      </c>
      <c r="J403" s="103">
        <v>75</v>
      </c>
      <c r="K403" s="104">
        <v>400</v>
      </c>
      <c r="L403" s="104">
        <v>2500</v>
      </c>
      <c r="M403" s="150">
        <v>33.209704365918682</v>
      </c>
      <c r="N403" s="66">
        <v>1639.2287999999999</v>
      </c>
      <c r="O403" s="111">
        <v>57385.546207627471</v>
      </c>
      <c r="P403" s="111">
        <v>66141.798741040941</v>
      </c>
      <c r="Q403" s="110">
        <v>39732.567314652675</v>
      </c>
      <c r="R403" s="258">
        <v>97118.113522280153</v>
      </c>
      <c r="S403" s="259">
        <v>105874.36605569362</v>
      </c>
      <c r="U403" s="7" t="s">
        <v>1679</v>
      </c>
    </row>
    <row r="404" spans="1:21" s="65" customFormat="1" ht="16.5" thickBot="1">
      <c r="A404" s="41" t="s">
        <v>31</v>
      </c>
      <c r="B404" s="42">
        <f t="shared" si="21"/>
        <v>75</v>
      </c>
      <c r="C404" s="42" t="s">
        <v>3</v>
      </c>
      <c r="D404" s="42">
        <f t="shared" si="22"/>
        <v>400</v>
      </c>
      <c r="E404" s="42" t="s">
        <v>3</v>
      </c>
      <c r="F404" s="101">
        <f t="shared" si="23"/>
        <v>2550</v>
      </c>
      <c r="G404" s="42" t="s">
        <v>3</v>
      </c>
      <c r="H404" s="39">
        <v>6</v>
      </c>
      <c r="I404" s="40" t="s">
        <v>40</v>
      </c>
      <c r="J404" s="103">
        <v>75</v>
      </c>
      <c r="K404" s="104">
        <v>400</v>
      </c>
      <c r="L404" s="104">
        <v>2550</v>
      </c>
      <c r="M404" s="150">
        <v>33.853597713295528</v>
      </c>
      <c r="N404" s="66">
        <v>1677.3503999999998</v>
      </c>
      <c r="O404" s="111">
        <v>58368.188286836987</v>
      </c>
      <c r="P404" s="111">
        <v>67286.502108236964</v>
      </c>
      <c r="Q404" s="110">
        <v>40640.508402166415</v>
      </c>
      <c r="R404" s="258">
        <v>99008.696689003409</v>
      </c>
      <c r="S404" s="259">
        <v>107927.01051040337</v>
      </c>
      <c r="U404" s="7" t="s">
        <v>1680</v>
      </c>
    </row>
    <row r="405" spans="1:21" s="65" customFormat="1" ht="16.5" thickBot="1">
      <c r="A405" s="38" t="s">
        <v>31</v>
      </c>
      <c r="B405" s="39">
        <f t="shared" si="21"/>
        <v>75</v>
      </c>
      <c r="C405" s="39" t="s">
        <v>3</v>
      </c>
      <c r="D405" s="39">
        <f t="shared" si="22"/>
        <v>400</v>
      </c>
      <c r="E405" s="39" t="s">
        <v>3</v>
      </c>
      <c r="F405" s="101">
        <f t="shared" si="23"/>
        <v>2600</v>
      </c>
      <c r="G405" s="39" t="s">
        <v>3</v>
      </c>
      <c r="H405" s="39">
        <v>6</v>
      </c>
      <c r="I405" s="40" t="s">
        <v>40</v>
      </c>
      <c r="J405" s="103">
        <v>75</v>
      </c>
      <c r="K405" s="104">
        <v>400</v>
      </c>
      <c r="L405" s="104">
        <v>2600</v>
      </c>
      <c r="M405" s="150">
        <v>34.480451060672365</v>
      </c>
      <c r="N405" s="66">
        <v>1715.472</v>
      </c>
      <c r="O405" s="111">
        <v>59350.830213017725</v>
      </c>
      <c r="P405" s="111">
        <v>68431.205628461743</v>
      </c>
      <c r="Q405" s="110">
        <v>41297.115504925154</v>
      </c>
      <c r="R405" s="258">
        <v>100647.94571794287</v>
      </c>
      <c r="S405" s="259">
        <v>109728.3211333869</v>
      </c>
      <c r="U405" s="7" t="s">
        <v>1681</v>
      </c>
    </row>
    <row r="406" spans="1:21" s="65" customFormat="1" ht="16.5" thickBot="1">
      <c r="A406" s="41" t="s">
        <v>31</v>
      </c>
      <c r="B406" s="42">
        <f t="shared" si="21"/>
        <v>75</v>
      </c>
      <c r="C406" s="42" t="s">
        <v>3</v>
      </c>
      <c r="D406" s="42">
        <f t="shared" si="22"/>
        <v>400</v>
      </c>
      <c r="E406" s="42" t="s">
        <v>3</v>
      </c>
      <c r="F406" s="101">
        <f t="shared" si="23"/>
        <v>2650</v>
      </c>
      <c r="G406" s="42" t="s">
        <v>3</v>
      </c>
      <c r="H406" s="39">
        <v>6</v>
      </c>
      <c r="I406" s="40" t="s">
        <v>40</v>
      </c>
      <c r="J406" s="103">
        <v>75</v>
      </c>
      <c r="K406" s="104">
        <v>400</v>
      </c>
      <c r="L406" s="104">
        <v>2650</v>
      </c>
      <c r="M406" s="150">
        <v>35.124344408049218</v>
      </c>
      <c r="N406" s="66">
        <v>1753.5935999999999</v>
      </c>
      <c r="O406" s="111">
        <v>60333.472139198479</v>
      </c>
      <c r="P406" s="111">
        <v>69575.908995657752</v>
      </c>
      <c r="Q406" s="110">
        <v>42205.056592438901</v>
      </c>
      <c r="R406" s="258">
        <v>102538.52873163737</v>
      </c>
      <c r="S406" s="259">
        <v>111780.96558809665</v>
      </c>
      <c r="U406" s="7" t="s">
        <v>1682</v>
      </c>
    </row>
    <row r="407" spans="1:21" s="65" customFormat="1" ht="16.5" thickBot="1">
      <c r="A407" s="41" t="s">
        <v>31</v>
      </c>
      <c r="B407" s="42">
        <f t="shared" si="21"/>
        <v>75</v>
      </c>
      <c r="C407" s="42" t="s">
        <v>3</v>
      </c>
      <c r="D407" s="42">
        <f t="shared" si="22"/>
        <v>400</v>
      </c>
      <c r="E407" s="42" t="s">
        <v>3</v>
      </c>
      <c r="F407" s="101">
        <f t="shared" si="23"/>
        <v>2700</v>
      </c>
      <c r="G407" s="42" t="s">
        <v>3</v>
      </c>
      <c r="H407" s="39">
        <v>6</v>
      </c>
      <c r="I407" s="40" t="s">
        <v>40</v>
      </c>
      <c r="J407" s="103">
        <v>75</v>
      </c>
      <c r="K407" s="104">
        <v>400</v>
      </c>
      <c r="L407" s="104">
        <v>2700</v>
      </c>
      <c r="M407" s="150">
        <v>35.868947755426056</v>
      </c>
      <c r="N407" s="66">
        <v>1791.7151999999999</v>
      </c>
      <c r="O407" s="111">
        <v>61450.212713171968</v>
      </c>
      <c r="P407" s="111">
        <v>70850.623612330019</v>
      </c>
      <c r="Q407" s="110">
        <v>42861.66369519764</v>
      </c>
      <c r="R407" s="258">
        <v>104311.8764083696</v>
      </c>
      <c r="S407" s="259">
        <v>113712.28730752766</v>
      </c>
      <c r="U407" s="7" t="s">
        <v>1683</v>
      </c>
    </row>
    <row r="408" spans="1:21" s="65" customFormat="1" ht="16.5" thickBot="1">
      <c r="A408" s="41" t="s">
        <v>31</v>
      </c>
      <c r="B408" s="42">
        <f t="shared" si="21"/>
        <v>75</v>
      </c>
      <c r="C408" s="42" t="s">
        <v>3</v>
      </c>
      <c r="D408" s="42">
        <f t="shared" si="22"/>
        <v>400</v>
      </c>
      <c r="E408" s="42" t="s">
        <v>3</v>
      </c>
      <c r="F408" s="101">
        <f t="shared" si="23"/>
        <v>2750</v>
      </c>
      <c r="G408" s="42" t="s">
        <v>3</v>
      </c>
      <c r="H408" s="39">
        <v>6</v>
      </c>
      <c r="I408" s="40" t="s">
        <v>40</v>
      </c>
      <c r="J408" s="103">
        <v>75</v>
      </c>
      <c r="K408" s="104">
        <v>400</v>
      </c>
      <c r="L408" s="104">
        <v>2750</v>
      </c>
      <c r="M408" s="150">
        <v>36.495801102802901</v>
      </c>
      <c r="N408" s="66">
        <v>1829.8368</v>
      </c>
      <c r="O408" s="111">
        <v>62432.854639352707</v>
      </c>
      <c r="P408" s="111">
        <v>71995.326979526028</v>
      </c>
      <c r="Q408" s="110">
        <v>43518.270644927608</v>
      </c>
      <c r="R408" s="258">
        <v>105951.12528428031</v>
      </c>
      <c r="S408" s="259">
        <v>115513.59762445363</v>
      </c>
      <c r="U408" s="7" t="s">
        <v>1684</v>
      </c>
    </row>
    <row r="409" spans="1:21" s="65" customFormat="1" ht="16.5" thickBot="1">
      <c r="A409" s="41" t="s">
        <v>31</v>
      </c>
      <c r="B409" s="42">
        <f t="shared" si="21"/>
        <v>75</v>
      </c>
      <c r="C409" s="42" t="s">
        <v>3</v>
      </c>
      <c r="D409" s="42">
        <f t="shared" si="22"/>
        <v>400</v>
      </c>
      <c r="E409" s="42" t="s">
        <v>3</v>
      </c>
      <c r="F409" s="101">
        <f t="shared" si="23"/>
        <v>2800</v>
      </c>
      <c r="G409" s="42" t="s">
        <v>3</v>
      </c>
      <c r="H409" s="39">
        <v>6</v>
      </c>
      <c r="I409" s="40" t="s">
        <v>40</v>
      </c>
      <c r="J409" s="103">
        <v>75</v>
      </c>
      <c r="K409" s="104">
        <v>400</v>
      </c>
      <c r="L409" s="104">
        <v>2800</v>
      </c>
      <c r="M409" s="150">
        <v>37.139694450179739</v>
      </c>
      <c r="N409" s="66">
        <v>1867.9584</v>
      </c>
      <c r="O409" s="111">
        <v>63415.49656553346</v>
      </c>
      <c r="P409" s="111">
        <v>73140.030499750806</v>
      </c>
      <c r="Q409" s="110">
        <v>44426.211885470118</v>
      </c>
      <c r="R409" s="258">
        <v>107841.70845100358</v>
      </c>
      <c r="S409" s="259">
        <v>117566.24238522092</v>
      </c>
      <c r="U409" s="7" t="s">
        <v>1685</v>
      </c>
    </row>
    <row r="410" spans="1:21" s="65" customFormat="1" ht="16.5" thickBot="1">
      <c r="A410" s="41" t="s">
        <v>31</v>
      </c>
      <c r="B410" s="42">
        <f t="shared" si="21"/>
        <v>75</v>
      </c>
      <c r="C410" s="42" t="s">
        <v>3</v>
      </c>
      <c r="D410" s="42">
        <f t="shared" si="22"/>
        <v>400</v>
      </c>
      <c r="E410" s="42" t="s">
        <v>3</v>
      </c>
      <c r="F410" s="101">
        <f t="shared" si="23"/>
        <v>2850</v>
      </c>
      <c r="G410" s="42" t="s">
        <v>3</v>
      </c>
      <c r="H410" s="39">
        <v>6</v>
      </c>
      <c r="I410" s="40" t="s">
        <v>40</v>
      </c>
      <c r="J410" s="103">
        <v>75</v>
      </c>
      <c r="K410" s="104">
        <v>400</v>
      </c>
      <c r="L410" s="104">
        <v>2850</v>
      </c>
      <c r="M410" s="150">
        <v>37.766547797556584</v>
      </c>
      <c r="N410" s="66">
        <v>1906.08</v>
      </c>
      <c r="O410" s="111">
        <v>64398.138644742969</v>
      </c>
      <c r="P410" s="111">
        <v>74284.73386694683</v>
      </c>
      <c r="Q410" s="110">
        <v>45082.818835200087</v>
      </c>
      <c r="R410" s="258">
        <v>109480.95747994306</v>
      </c>
      <c r="S410" s="259">
        <v>119367.55270214692</v>
      </c>
      <c r="U410" s="7" t="s">
        <v>1686</v>
      </c>
    </row>
    <row r="411" spans="1:21" s="65" customFormat="1" ht="16.5" thickBot="1">
      <c r="A411" s="41" t="s">
        <v>31</v>
      </c>
      <c r="B411" s="42">
        <f t="shared" si="21"/>
        <v>75</v>
      </c>
      <c r="C411" s="42" t="s">
        <v>3</v>
      </c>
      <c r="D411" s="42">
        <f t="shared" si="22"/>
        <v>400</v>
      </c>
      <c r="E411" s="42" t="s">
        <v>3</v>
      </c>
      <c r="F411" s="101">
        <f t="shared" si="23"/>
        <v>2900</v>
      </c>
      <c r="G411" s="42" t="s">
        <v>3</v>
      </c>
      <c r="H411" s="39">
        <v>6</v>
      </c>
      <c r="I411" s="40" t="s">
        <v>40</v>
      </c>
      <c r="J411" s="103">
        <v>75</v>
      </c>
      <c r="K411" s="104">
        <v>400</v>
      </c>
      <c r="L411" s="104">
        <v>2900</v>
      </c>
      <c r="M411" s="150">
        <v>38.410441144933422</v>
      </c>
      <c r="N411" s="66">
        <v>1944.2015999999999</v>
      </c>
      <c r="O411" s="111">
        <v>65380.780570923715</v>
      </c>
      <c r="P411" s="111">
        <v>75429.437387171609</v>
      </c>
      <c r="Q411" s="110">
        <v>45990.760075742597</v>
      </c>
      <c r="R411" s="258">
        <v>111371.54064666631</v>
      </c>
      <c r="S411" s="259">
        <v>121420.19746291421</v>
      </c>
      <c r="U411" s="7" t="s">
        <v>1687</v>
      </c>
    </row>
    <row r="412" spans="1:21" s="65" customFormat="1" ht="16.5" thickBot="1">
      <c r="A412" s="41" t="s">
        <v>31</v>
      </c>
      <c r="B412" s="42">
        <f t="shared" si="21"/>
        <v>75</v>
      </c>
      <c r="C412" s="42" t="s">
        <v>3</v>
      </c>
      <c r="D412" s="42">
        <f t="shared" si="22"/>
        <v>400</v>
      </c>
      <c r="E412" s="42" t="s">
        <v>3</v>
      </c>
      <c r="F412" s="101">
        <f t="shared" si="23"/>
        <v>2950</v>
      </c>
      <c r="G412" s="42" t="s">
        <v>3</v>
      </c>
      <c r="H412" s="39">
        <v>6</v>
      </c>
      <c r="I412" s="40" t="s">
        <v>40</v>
      </c>
      <c r="J412" s="103">
        <v>75</v>
      </c>
      <c r="K412" s="104">
        <v>400</v>
      </c>
      <c r="L412" s="104">
        <v>2950</v>
      </c>
      <c r="M412" s="150">
        <v>39.037294492310266</v>
      </c>
      <c r="N412" s="66">
        <v>1982.3231999999998</v>
      </c>
      <c r="O412" s="111">
        <v>66363.42249710446</v>
      </c>
      <c r="P412" s="111">
        <v>76574.140754367632</v>
      </c>
      <c r="Q412" s="110">
        <v>46647.367025472573</v>
      </c>
      <c r="R412" s="258">
        <v>113010.78952257703</v>
      </c>
      <c r="S412" s="259">
        <v>123221.50777984021</v>
      </c>
      <c r="U412" s="7" t="s">
        <v>1688</v>
      </c>
    </row>
    <row r="413" spans="1:21" s="65" customFormat="1" ht="16.5" thickBot="1">
      <c r="A413" s="41" t="s">
        <v>31</v>
      </c>
      <c r="B413" s="42">
        <f t="shared" si="21"/>
        <v>75</v>
      </c>
      <c r="C413" s="42" t="s">
        <v>3</v>
      </c>
      <c r="D413" s="42">
        <f t="shared" si="22"/>
        <v>400</v>
      </c>
      <c r="E413" s="42" t="s">
        <v>3</v>
      </c>
      <c r="F413" s="101">
        <f t="shared" si="23"/>
        <v>3000</v>
      </c>
      <c r="G413" s="42" t="s">
        <v>3</v>
      </c>
      <c r="H413" s="39">
        <v>6</v>
      </c>
      <c r="I413" s="40" t="s">
        <v>40</v>
      </c>
      <c r="J413" s="125">
        <v>75</v>
      </c>
      <c r="K413" s="134">
        <v>400</v>
      </c>
      <c r="L413" s="134">
        <v>3000</v>
      </c>
      <c r="M413" s="152">
        <v>39.681187839687098</v>
      </c>
      <c r="N413" s="126">
        <v>2020.4447999999998</v>
      </c>
      <c r="O413" s="135">
        <v>67346.064576313976</v>
      </c>
      <c r="P413" s="135">
        <v>77718.844274592397</v>
      </c>
      <c r="Q413" s="136">
        <v>47555.308266015076</v>
      </c>
      <c r="R413" s="260">
        <v>114901.37284232906</v>
      </c>
      <c r="S413" s="261">
        <v>125274.15254060747</v>
      </c>
      <c r="U413" s="7" t="s">
        <v>1689</v>
      </c>
    </row>
  </sheetData>
  <mergeCells count="24">
    <mergeCell ref="Q4:Q5"/>
    <mergeCell ref="R4:R5"/>
    <mergeCell ref="S4:S5"/>
    <mergeCell ref="O6:S6"/>
    <mergeCell ref="A4:I6"/>
    <mergeCell ref="J4:M5"/>
    <mergeCell ref="N4:N6"/>
    <mergeCell ref="O4:O5"/>
    <mergeCell ref="P4:P5"/>
    <mergeCell ref="A364:S364"/>
    <mergeCell ref="A212:S212"/>
    <mergeCell ref="A262:S262"/>
    <mergeCell ref="A263:S263"/>
    <mergeCell ref="A313:S313"/>
    <mergeCell ref="A314:S314"/>
    <mergeCell ref="A110:S110"/>
    <mergeCell ref="A111:S111"/>
    <mergeCell ref="A161:S161"/>
    <mergeCell ref="A162:S162"/>
    <mergeCell ref="A7:S7"/>
    <mergeCell ref="A8:S8"/>
    <mergeCell ref="A9:S9"/>
    <mergeCell ref="A59:S59"/>
    <mergeCell ref="A60:S60"/>
  </mergeCells>
  <hyperlinks>
    <hyperlink ref="A1:I1" location="Главная!A1" display="Вернуться на главную страницу" xr:uid="{00000000-0004-0000-1200-000000000000}"/>
    <hyperlink ref="A2" location="'Калькулятор теплоотдач ВК'!R1C1" display="Вернуться Калькулятор теплоотдач ВК" xr:uid="{00000000-0004-0000-1200-000001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21">
    <tabColor rgb="FFFFC000"/>
  </sheetPr>
  <dimension ref="A1:U413"/>
  <sheetViews>
    <sheetView zoomScale="70" zoomScaleNormal="70" workbookViewId="0">
      <pane ySplit="6" topLeftCell="A7" activePane="bottomLeft" state="frozen"/>
      <selection pane="bottomLeft" activeCell="Z9" sqref="Z9"/>
    </sheetView>
  </sheetViews>
  <sheetFormatPr defaultRowHeight="15"/>
  <cols>
    <col min="1" max="1" width="3.7109375" style="65" customWidth="1"/>
    <col min="2" max="2" width="6" style="65" customWidth="1"/>
    <col min="3" max="3" width="3" style="65" customWidth="1"/>
    <col min="4" max="4" width="6" style="65" customWidth="1"/>
    <col min="5" max="5" width="3" style="65" customWidth="1"/>
    <col min="6" max="6" width="7.7109375" style="65" customWidth="1"/>
    <col min="7" max="7" width="3" style="65" customWidth="1"/>
    <col min="8" max="8" width="6" style="65" customWidth="1"/>
    <col min="9" max="9" width="4.5703125" style="65" customWidth="1"/>
    <col min="10" max="12" width="11.28515625" style="65" customWidth="1"/>
    <col min="13" max="13" width="15.5703125" style="65" customWidth="1"/>
    <col min="14" max="14" width="19.140625" style="65" customWidth="1"/>
    <col min="15" max="16" width="27.7109375" style="65" customWidth="1"/>
    <col min="17" max="17" width="26.28515625" style="65" customWidth="1"/>
    <col min="18" max="19" width="27.7109375" style="65" customWidth="1"/>
    <col min="21" max="21" width="22.42578125" customWidth="1"/>
  </cols>
  <sheetData>
    <row r="1" spans="1:21" s="65" customFormat="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s="65" customFormat="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142</v>
      </c>
      <c r="P4" s="3008" t="s">
        <v>138</v>
      </c>
      <c r="Q4" s="3045" t="s">
        <v>143</v>
      </c>
      <c r="R4" s="3020" t="s">
        <v>420</v>
      </c>
      <c r="S4" s="2981" t="s">
        <v>421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s="65" customFormat="1" ht="22.5" customHeight="1" thickBot="1">
      <c r="A7" s="2968" t="s">
        <v>472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s="65" customFormat="1" ht="22.5" customHeight="1" thickBot="1">
      <c r="A8" s="2971" t="s">
        <v>62</v>
      </c>
      <c r="B8" s="2972"/>
      <c r="C8" s="2972"/>
      <c r="D8" s="2972"/>
      <c r="E8" s="2972"/>
      <c r="F8" s="2972"/>
      <c r="G8" s="2972"/>
      <c r="H8" s="2972"/>
      <c r="I8" s="2972"/>
      <c r="J8" s="2972"/>
      <c r="K8" s="2972"/>
      <c r="L8" s="2972"/>
      <c r="M8" s="2972"/>
      <c r="N8" s="2972"/>
      <c r="O8" s="2972"/>
      <c r="P8" s="2972"/>
      <c r="Q8" s="2972"/>
      <c r="R8" s="2972"/>
      <c r="S8" s="2973"/>
    </row>
    <row r="9" spans="1:21" s="65" customFormat="1" ht="16.5" customHeight="1" thickBot="1">
      <c r="A9" s="2974" t="s">
        <v>112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5"/>
      <c r="R9" s="3022"/>
      <c r="S9" s="3023"/>
    </row>
    <row r="10" spans="1:21" s="65" customFormat="1" ht="16.5" customHeight="1" thickBot="1">
      <c r="A10" s="38" t="s">
        <v>31</v>
      </c>
      <c r="B10" s="39">
        <f>J10</f>
        <v>80</v>
      </c>
      <c r="C10" s="39" t="s">
        <v>3</v>
      </c>
      <c r="D10" s="39">
        <f>K10</f>
        <v>160</v>
      </c>
      <c r="E10" s="39" t="s">
        <v>3</v>
      </c>
      <c r="F10" s="101">
        <f>L10</f>
        <v>600</v>
      </c>
      <c r="G10" s="39" t="s">
        <v>3</v>
      </c>
      <c r="H10" s="39">
        <v>2</v>
      </c>
      <c r="I10" s="40" t="s">
        <v>40</v>
      </c>
      <c r="J10" s="146">
        <v>80</v>
      </c>
      <c r="K10" s="138">
        <v>160</v>
      </c>
      <c r="L10" s="138">
        <v>600</v>
      </c>
      <c r="M10" s="147">
        <v>4.3521141819602631</v>
      </c>
      <c r="N10" s="123">
        <v>78.747192819503994</v>
      </c>
      <c r="O10" s="153">
        <v>10311.084621330638</v>
      </c>
      <c r="P10" s="148">
        <v>11916.463487627476</v>
      </c>
      <c r="Q10" s="253">
        <v>6395.7962266903232</v>
      </c>
      <c r="R10" s="256">
        <v>16706.880848020963</v>
      </c>
      <c r="S10" s="257">
        <v>18312.259714317799</v>
      </c>
      <c r="U10" s="7" t="s">
        <v>1690</v>
      </c>
    </row>
    <row r="11" spans="1:21" s="65" customFormat="1" ht="16.5" customHeight="1" thickBot="1">
      <c r="A11" s="41" t="s">
        <v>31</v>
      </c>
      <c r="B11" s="42">
        <f t="shared" ref="B11:B58" si="0">J11</f>
        <v>80</v>
      </c>
      <c r="C11" s="42" t="s">
        <v>3</v>
      </c>
      <c r="D11" s="42">
        <f t="shared" ref="D11:D58" si="1">K11</f>
        <v>160</v>
      </c>
      <c r="E11" s="42" t="s">
        <v>3</v>
      </c>
      <c r="F11" s="101">
        <f t="shared" ref="F11:F58" si="2">L11</f>
        <v>650</v>
      </c>
      <c r="G11" s="42" t="s">
        <v>3</v>
      </c>
      <c r="H11" s="39">
        <v>2</v>
      </c>
      <c r="I11" s="40" t="s">
        <v>40</v>
      </c>
      <c r="J11" s="149">
        <v>80</v>
      </c>
      <c r="K11" s="104">
        <v>160</v>
      </c>
      <c r="L11" s="104">
        <v>650</v>
      </c>
      <c r="M11" s="150">
        <v>4.6700721118402635</v>
      </c>
      <c r="N11" s="78">
        <v>94.49663138340479</v>
      </c>
      <c r="O11" s="109">
        <v>10738.36189850046</v>
      </c>
      <c r="P11" s="111">
        <v>12440.099764592442</v>
      </c>
      <c r="Q11" s="254">
        <v>6733.286477412059</v>
      </c>
      <c r="R11" s="258">
        <v>17471.648375912519</v>
      </c>
      <c r="S11" s="259">
        <v>19173.386242004501</v>
      </c>
      <c r="U11" s="7" t="s">
        <v>1691</v>
      </c>
    </row>
    <row r="12" spans="1:21" s="65" customFormat="1" ht="16.5" customHeight="1" thickBot="1">
      <c r="A12" s="41" t="s">
        <v>31</v>
      </c>
      <c r="B12" s="42">
        <f t="shared" si="0"/>
        <v>80</v>
      </c>
      <c r="C12" s="42" t="s">
        <v>3</v>
      </c>
      <c r="D12" s="42">
        <f t="shared" si="1"/>
        <v>160</v>
      </c>
      <c r="E12" s="42" t="s">
        <v>3</v>
      </c>
      <c r="F12" s="101">
        <f t="shared" si="2"/>
        <v>700</v>
      </c>
      <c r="G12" s="42" t="s">
        <v>3</v>
      </c>
      <c r="H12" s="39">
        <v>2</v>
      </c>
      <c r="I12" s="40" t="s">
        <v>40</v>
      </c>
      <c r="J12" s="149">
        <v>80</v>
      </c>
      <c r="K12" s="104">
        <v>160</v>
      </c>
      <c r="L12" s="104">
        <v>700</v>
      </c>
      <c r="M12" s="150">
        <v>4.988030041720263</v>
      </c>
      <c r="N12" s="78">
        <v>110.24606994730559</v>
      </c>
      <c r="O12" s="109">
        <v>11165.639022641517</v>
      </c>
      <c r="P12" s="111">
        <v>12963.736194586174</v>
      </c>
      <c r="Q12" s="254">
        <v>7322.1107128887988</v>
      </c>
      <c r="R12" s="258">
        <v>18487.749735530317</v>
      </c>
      <c r="S12" s="259">
        <v>20285.846907474974</v>
      </c>
      <c r="U12" s="7" t="s">
        <v>1692</v>
      </c>
    </row>
    <row r="13" spans="1:21" s="65" customFormat="1" ht="16.5" customHeight="1" thickBot="1">
      <c r="A13" s="41" t="s">
        <v>31</v>
      </c>
      <c r="B13" s="42">
        <f t="shared" si="0"/>
        <v>80</v>
      </c>
      <c r="C13" s="42" t="s">
        <v>3</v>
      </c>
      <c r="D13" s="42">
        <f t="shared" si="1"/>
        <v>160</v>
      </c>
      <c r="E13" s="42" t="s">
        <v>3</v>
      </c>
      <c r="F13" s="101">
        <f t="shared" si="2"/>
        <v>750</v>
      </c>
      <c r="G13" s="42" t="s">
        <v>3</v>
      </c>
      <c r="H13" s="39">
        <v>2</v>
      </c>
      <c r="I13" s="40" t="s">
        <v>40</v>
      </c>
      <c r="J13" s="149">
        <v>80</v>
      </c>
      <c r="K13" s="104">
        <v>160</v>
      </c>
      <c r="L13" s="104">
        <v>750</v>
      </c>
      <c r="M13" s="150">
        <v>5.3059879716002634</v>
      </c>
      <c r="N13" s="78">
        <v>125.9955085112064</v>
      </c>
      <c r="O13" s="109">
        <v>11592.916146782574</v>
      </c>
      <c r="P13" s="111">
        <v>13487.372624579906</v>
      </c>
      <c r="Q13" s="254">
        <v>7659.6009636105346</v>
      </c>
      <c r="R13" s="258">
        <v>19252.51711039311</v>
      </c>
      <c r="S13" s="259">
        <v>21146.973588190442</v>
      </c>
      <c r="U13" s="7" t="s">
        <v>1693</v>
      </c>
    </row>
    <row r="14" spans="1:21" s="65" customFormat="1" ht="16.5" customHeight="1" thickBot="1">
      <c r="A14" s="41" t="s">
        <v>31</v>
      </c>
      <c r="B14" s="42">
        <f t="shared" si="0"/>
        <v>80</v>
      </c>
      <c r="C14" s="42" t="s">
        <v>3</v>
      </c>
      <c r="D14" s="42">
        <f t="shared" si="1"/>
        <v>160</v>
      </c>
      <c r="E14" s="42" t="s">
        <v>3</v>
      </c>
      <c r="F14" s="101">
        <f t="shared" si="2"/>
        <v>800</v>
      </c>
      <c r="G14" s="42" t="s">
        <v>3</v>
      </c>
      <c r="H14" s="39">
        <v>2</v>
      </c>
      <c r="I14" s="40" t="s">
        <v>40</v>
      </c>
      <c r="J14" s="149">
        <v>80</v>
      </c>
      <c r="K14" s="104">
        <v>160</v>
      </c>
      <c r="L14" s="104">
        <v>800</v>
      </c>
      <c r="M14" s="150">
        <v>5.6239459014802637</v>
      </c>
      <c r="N14" s="78">
        <v>141.74494707510721</v>
      </c>
      <c r="O14" s="109">
        <v>12020.193423952396</v>
      </c>
      <c r="P14" s="111">
        <v>14011.00905457364</v>
      </c>
      <c r="Q14" s="254">
        <v>7997.0912143322694</v>
      </c>
      <c r="R14" s="258">
        <v>20017.284638284666</v>
      </c>
      <c r="S14" s="259">
        <v>22008.10026890591</v>
      </c>
      <c r="U14" s="7" t="s">
        <v>1694</v>
      </c>
    </row>
    <row r="15" spans="1:21" s="65" customFormat="1" ht="16.5" customHeight="1" thickBot="1">
      <c r="A15" s="41" t="s">
        <v>31</v>
      </c>
      <c r="B15" s="42">
        <f t="shared" si="0"/>
        <v>80</v>
      </c>
      <c r="C15" s="42" t="s">
        <v>3</v>
      </c>
      <c r="D15" s="42">
        <f t="shared" si="1"/>
        <v>160</v>
      </c>
      <c r="E15" s="42" t="s">
        <v>3</v>
      </c>
      <c r="F15" s="101">
        <f t="shared" si="2"/>
        <v>850</v>
      </c>
      <c r="G15" s="42" t="s">
        <v>3</v>
      </c>
      <c r="H15" s="39">
        <v>2</v>
      </c>
      <c r="I15" s="40" t="s">
        <v>40</v>
      </c>
      <c r="J15" s="149">
        <v>80</v>
      </c>
      <c r="K15" s="104">
        <v>160</v>
      </c>
      <c r="L15" s="104">
        <v>850</v>
      </c>
      <c r="M15" s="150">
        <v>5.9419038313602641</v>
      </c>
      <c r="N15" s="78">
        <v>157.49438563900799</v>
      </c>
      <c r="O15" s="109">
        <v>12447.470548093454</v>
      </c>
      <c r="P15" s="111">
        <v>14534.645484567371</v>
      </c>
      <c r="Q15" s="254">
        <v>8585.9156028377747</v>
      </c>
      <c r="R15" s="258">
        <v>21033.386150931226</v>
      </c>
      <c r="S15" s="259">
        <v>23120.561087405145</v>
      </c>
      <c r="U15" s="7" t="s">
        <v>1695</v>
      </c>
    </row>
    <row r="16" spans="1:21" s="65" customFormat="1" ht="16.5" customHeight="1" thickBot="1">
      <c r="A16" s="41" t="s">
        <v>31</v>
      </c>
      <c r="B16" s="42">
        <f t="shared" si="0"/>
        <v>80</v>
      </c>
      <c r="C16" s="42" t="s">
        <v>3</v>
      </c>
      <c r="D16" s="42">
        <f t="shared" si="1"/>
        <v>160</v>
      </c>
      <c r="E16" s="42" t="s">
        <v>3</v>
      </c>
      <c r="F16" s="101">
        <f t="shared" si="2"/>
        <v>900</v>
      </c>
      <c r="G16" s="42" t="s">
        <v>3</v>
      </c>
      <c r="H16" s="39">
        <v>2</v>
      </c>
      <c r="I16" s="40" t="s">
        <v>40</v>
      </c>
      <c r="J16" s="149">
        <v>80</v>
      </c>
      <c r="K16" s="104">
        <v>160</v>
      </c>
      <c r="L16" s="104">
        <v>900</v>
      </c>
      <c r="M16" s="150">
        <v>6.2598617612402627</v>
      </c>
      <c r="N16" s="78">
        <v>173.2438242029088</v>
      </c>
      <c r="O16" s="109">
        <v>12874.747672234511</v>
      </c>
      <c r="P16" s="111">
        <v>15058.281914561105</v>
      </c>
      <c r="Q16" s="254">
        <v>8923.4057005307459</v>
      </c>
      <c r="R16" s="258">
        <v>21798.153372765257</v>
      </c>
      <c r="S16" s="259">
        <v>23981.687615091851</v>
      </c>
      <c r="U16" s="7" t="s">
        <v>1696</v>
      </c>
    </row>
    <row r="17" spans="1:21" s="65" customFormat="1" ht="16.5" customHeight="1" thickBot="1">
      <c r="A17" s="41" t="s">
        <v>31</v>
      </c>
      <c r="B17" s="42">
        <f t="shared" si="0"/>
        <v>80</v>
      </c>
      <c r="C17" s="42" t="s">
        <v>3</v>
      </c>
      <c r="D17" s="42">
        <f t="shared" si="1"/>
        <v>160</v>
      </c>
      <c r="E17" s="42" t="s">
        <v>3</v>
      </c>
      <c r="F17" s="101">
        <f t="shared" si="2"/>
        <v>950</v>
      </c>
      <c r="G17" s="42" t="s">
        <v>3</v>
      </c>
      <c r="H17" s="39">
        <v>2</v>
      </c>
      <c r="I17" s="40" t="s">
        <v>40</v>
      </c>
      <c r="J17" s="149">
        <v>80</v>
      </c>
      <c r="K17" s="104">
        <v>160</v>
      </c>
      <c r="L17" s="104">
        <v>950</v>
      </c>
      <c r="M17" s="150">
        <v>6.5778196911202631</v>
      </c>
      <c r="N17" s="78">
        <v>188.99326276680958</v>
      </c>
      <c r="O17" s="109">
        <v>13302.024796375566</v>
      </c>
      <c r="P17" s="111">
        <v>15581.918344554835</v>
      </c>
      <c r="Q17" s="254">
        <v>9512.2300890362512</v>
      </c>
      <c r="R17" s="258">
        <v>22814.254885411818</v>
      </c>
      <c r="S17" s="259">
        <v>25094.148433591086</v>
      </c>
      <c r="U17" s="7" t="s">
        <v>1697</v>
      </c>
    </row>
    <row r="18" spans="1:21" s="65" customFormat="1" ht="16.5" customHeight="1" thickBot="1">
      <c r="A18" s="41" t="s">
        <v>31</v>
      </c>
      <c r="B18" s="42">
        <f t="shared" si="0"/>
        <v>80</v>
      </c>
      <c r="C18" s="42" t="s">
        <v>3</v>
      </c>
      <c r="D18" s="42">
        <f t="shared" si="1"/>
        <v>160</v>
      </c>
      <c r="E18" s="42" t="s">
        <v>3</v>
      </c>
      <c r="F18" s="101">
        <f t="shared" si="2"/>
        <v>1000</v>
      </c>
      <c r="G18" s="42" t="s">
        <v>3</v>
      </c>
      <c r="H18" s="39">
        <v>2</v>
      </c>
      <c r="I18" s="40" t="s">
        <v>40</v>
      </c>
      <c r="J18" s="149">
        <v>80</v>
      </c>
      <c r="K18" s="104">
        <v>160</v>
      </c>
      <c r="L18" s="104">
        <v>1000</v>
      </c>
      <c r="M18" s="150">
        <v>6.8957776210002635</v>
      </c>
      <c r="N18" s="78">
        <v>204.74270133071039</v>
      </c>
      <c r="O18" s="109">
        <v>13729.302073545388</v>
      </c>
      <c r="P18" s="111">
        <v>16105.554621519803</v>
      </c>
      <c r="Q18" s="254">
        <v>9849.7203397579869</v>
      </c>
      <c r="R18" s="258">
        <v>23579.022413303377</v>
      </c>
      <c r="S18" s="259">
        <v>25955.274961277792</v>
      </c>
      <c r="U18" s="7" t="s">
        <v>1698</v>
      </c>
    </row>
    <row r="19" spans="1:21" s="65" customFormat="1" ht="16.5" customHeight="1" thickBot="1">
      <c r="A19" s="41" t="s">
        <v>31</v>
      </c>
      <c r="B19" s="42">
        <f t="shared" si="0"/>
        <v>80</v>
      </c>
      <c r="C19" s="42" t="s">
        <v>3</v>
      </c>
      <c r="D19" s="42">
        <f t="shared" si="1"/>
        <v>160</v>
      </c>
      <c r="E19" s="42" t="s">
        <v>3</v>
      </c>
      <c r="F19" s="101">
        <f t="shared" si="2"/>
        <v>1050</v>
      </c>
      <c r="G19" s="42" t="s">
        <v>3</v>
      </c>
      <c r="H19" s="39">
        <v>2</v>
      </c>
      <c r="I19" s="40" t="s">
        <v>40</v>
      </c>
      <c r="J19" s="149">
        <v>80</v>
      </c>
      <c r="K19" s="104">
        <v>160</v>
      </c>
      <c r="L19" s="104">
        <v>1050</v>
      </c>
      <c r="M19" s="150">
        <v>7.2137355508802621</v>
      </c>
      <c r="N19" s="78">
        <v>220.49213989461117</v>
      </c>
      <c r="O19" s="109">
        <v>14156.579197686448</v>
      </c>
      <c r="P19" s="111">
        <v>16629.191051513535</v>
      </c>
      <c r="Q19" s="254">
        <v>10438.544728263492</v>
      </c>
      <c r="R19" s="258">
        <v>24595.123925949942</v>
      </c>
      <c r="S19" s="259">
        <v>27067.735779777027</v>
      </c>
      <c r="U19" s="7" t="s">
        <v>1699</v>
      </c>
    </row>
    <row r="20" spans="1:21" s="65" customFormat="1" ht="16.5" customHeight="1" thickBot="1">
      <c r="A20" s="38" t="s">
        <v>31</v>
      </c>
      <c r="B20" s="39">
        <f t="shared" si="0"/>
        <v>80</v>
      </c>
      <c r="C20" s="39" t="s">
        <v>3</v>
      </c>
      <c r="D20" s="39">
        <f t="shared" si="1"/>
        <v>160</v>
      </c>
      <c r="E20" s="39" t="s">
        <v>3</v>
      </c>
      <c r="F20" s="101">
        <f t="shared" si="2"/>
        <v>1100</v>
      </c>
      <c r="G20" s="39" t="s">
        <v>3</v>
      </c>
      <c r="H20" s="39">
        <v>2</v>
      </c>
      <c r="I20" s="40" t="s">
        <v>40</v>
      </c>
      <c r="J20" s="149">
        <v>80</v>
      </c>
      <c r="K20" s="104">
        <v>160</v>
      </c>
      <c r="L20" s="104">
        <v>1100</v>
      </c>
      <c r="M20" s="150">
        <v>7.5316934807602625</v>
      </c>
      <c r="N20" s="78">
        <v>236.24157845851198</v>
      </c>
      <c r="O20" s="109">
        <v>14583.856321827503</v>
      </c>
      <c r="P20" s="111">
        <v>17152.827481507265</v>
      </c>
      <c r="Q20" s="254">
        <v>10776.034825956463</v>
      </c>
      <c r="R20" s="258">
        <v>25359.891147783965</v>
      </c>
      <c r="S20" s="259">
        <v>27928.862307463729</v>
      </c>
      <c r="U20" s="7" t="s">
        <v>1700</v>
      </c>
    </row>
    <row r="21" spans="1:21" s="65" customFormat="1" ht="16.5" customHeight="1" thickBot="1">
      <c r="A21" s="41" t="s">
        <v>31</v>
      </c>
      <c r="B21" s="42">
        <f t="shared" si="0"/>
        <v>80</v>
      </c>
      <c r="C21" s="42" t="s">
        <v>3</v>
      </c>
      <c r="D21" s="42">
        <f t="shared" si="1"/>
        <v>160</v>
      </c>
      <c r="E21" s="42" t="s">
        <v>3</v>
      </c>
      <c r="F21" s="101">
        <f t="shared" si="2"/>
        <v>1150</v>
      </c>
      <c r="G21" s="42" t="s">
        <v>3</v>
      </c>
      <c r="H21" s="39">
        <v>2</v>
      </c>
      <c r="I21" s="40" t="s">
        <v>40</v>
      </c>
      <c r="J21" s="149">
        <v>80</v>
      </c>
      <c r="K21" s="104">
        <v>160</v>
      </c>
      <c r="L21" s="104">
        <v>1150</v>
      </c>
      <c r="M21" s="150">
        <v>7.8496514106402628</v>
      </c>
      <c r="N21" s="78">
        <v>251.99101702241279</v>
      </c>
      <c r="O21" s="109">
        <v>15011.133445968562</v>
      </c>
      <c r="P21" s="111">
        <v>17676.463911501</v>
      </c>
      <c r="Q21" s="254">
        <v>11113.525076678199</v>
      </c>
      <c r="R21" s="258">
        <v>26124.658522646761</v>
      </c>
      <c r="S21" s="259">
        <v>28789.988988179197</v>
      </c>
      <c r="U21" s="7" t="s">
        <v>1701</v>
      </c>
    </row>
    <row r="22" spans="1:21" s="65" customFormat="1" ht="16.5" customHeight="1" thickBot="1">
      <c r="A22" s="41" t="s">
        <v>31</v>
      </c>
      <c r="B22" s="42">
        <f t="shared" si="0"/>
        <v>80</v>
      </c>
      <c r="C22" s="42" t="s">
        <v>3</v>
      </c>
      <c r="D22" s="42">
        <f t="shared" si="1"/>
        <v>160</v>
      </c>
      <c r="E22" s="42" t="s">
        <v>3</v>
      </c>
      <c r="F22" s="101">
        <f t="shared" si="2"/>
        <v>1200</v>
      </c>
      <c r="G22" s="42" t="s">
        <v>3</v>
      </c>
      <c r="H22" s="39">
        <v>2</v>
      </c>
      <c r="I22" s="40" t="s">
        <v>40</v>
      </c>
      <c r="J22" s="149">
        <v>80</v>
      </c>
      <c r="K22" s="104">
        <v>160</v>
      </c>
      <c r="L22" s="104">
        <v>1200</v>
      </c>
      <c r="M22" s="150">
        <v>8.2068593405202641</v>
      </c>
      <c r="N22" s="78">
        <v>267.74045558631354</v>
      </c>
      <c r="O22" s="109">
        <v>15488.410882769031</v>
      </c>
      <c r="P22" s="111">
        <v>18248.576487653499</v>
      </c>
      <c r="Q22" s="254">
        <v>11702.349465183703</v>
      </c>
      <c r="R22" s="258">
        <v>27190.760347952732</v>
      </c>
      <c r="S22" s="259">
        <v>29950.925952837202</v>
      </c>
      <c r="U22" s="7" t="s">
        <v>1702</v>
      </c>
    </row>
    <row r="23" spans="1:21" s="65" customFormat="1" ht="16.5" customHeight="1" thickBot="1">
      <c r="A23" s="41" t="s">
        <v>31</v>
      </c>
      <c r="B23" s="42">
        <f t="shared" si="0"/>
        <v>80</v>
      </c>
      <c r="C23" s="42" t="s">
        <v>3</v>
      </c>
      <c r="D23" s="42">
        <f t="shared" si="1"/>
        <v>160</v>
      </c>
      <c r="E23" s="42" t="s">
        <v>3</v>
      </c>
      <c r="F23" s="101">
        <f t="shared" si="2"/>
        <v>1250</v>
      </c>
      <c r="G23" s="42" t="s">
        <v>3</v>
      </c>
      <c r="H23" s="39">
        <v>2</v>
      </c>
      <c r="I23" s="40" t="s">
        <v>40</v>
      </c>
      <c r="J23" s="149">
        <v>80</v>
      </c>
      <c r="K23" s="104">
        <v>160</v>
      </c>
      <c r="L23" s="104">
        <v>1250</v>
      </c>
      <c r="M23" s="150">
        <v>8.5248172704002627</v>
      </c>
      <c r="N23" s="78">
        <v>283.48989415021441</v>
      </c>
      <c r="O23" s="109">
        <v>15915.688006910086</v>
      </c>
      <c r="P23" s="111">
        <v>18772.212917647234</v>
      </c>
      <c r="Q23" s="254">
        <v>12039.83971590544</v>
      </c>
      <c r="R23" s="258">
        <v>27955.527722815525</v>
      </c>
      <c r="S23" s="259">
        <v>30812.052633552674</v>
      </c>
      <c r="U23" s="7" t="s">
        <v>1703</v>
      </c>
    </row>
    <row r="24" spans="1:21" s="65" customFormat="1" ht="16.5" customHeight="1" thickBot="1">
      <c r="A24" s="41" t="s">
        <v>31</v>
      </c>
      <c r="B24" s="42">
        <f t="shared" si="0"/>
        <v>80</v>
      </c>
      <c r="C24" s="42" t="s">
        <v>3</v>
      </c>
      <c r="D24" s="42">
        <f t="shared" si="1"/>
        <v>160</v>
      </c>
      <c r="E24" s="42" t="s">
        <v>3</v>
      </c>
      <c r="F24" s="101">
        <f t="shared" si="2"/>
        <v>1300</v>
      </c>
      <c r="G24" s="42" t="s">
        <v>3</v>
      </c>
      <c r="H24" s="39">
        <v>2</v>
      </c>
      <c r="I24" s="40" t="s">
        <v>40</v>
      </c>
      <c r="J24" s="149">
        <v>80</v>
      </c>
      <c r="K24" s="104">
        <v>160</v>
      </c>
      <c r="L24" s="104">
        <v>1300</v>
      </c>
      <c r="M24" s="150">
        <v>8.8427752002802631</v>
      </c>
      <c r="N24" s="78">
        <v>299.23933271411516</v>
      </c>
      <c r="O24" s="109">
        <v>16342.965284079908</v>
      </c>
      <c r="P24" s="111">
        <v>19295.849347640964</v>
      </c>
      <c r="Q24" s="254">
        <v>12628.663951382177</v>
      </c>
      <c r="R24" s="258">
        <v>28971.629235462085</v>
      </c>
      <c r="S24" s="259">
        <v>31924.513299023143</v>
      </c>
      <c r="U24" s="7" t="s">
        <v>1704</v>
      </c>
    </row>
    <row r="25" spans="1:21" s="65" customFormat="1" ht="16.5" customHeight="1" thickBot="1">
      <c r="A25" s="41" t="s">
        <v>31</v>
      </c>
      <c r="B25" s="42">
        <f t="shared" si="0"/>
        <v>80</v>
      </c>
      <c r="C25" s="42" t="s">
        <v>3</v>
      </c>
      <c r="D25" s="42">
        <f t="shared" si="1"/>
        <v>160</v>
      </c>
      <c r="E25" s="42" t="s">
        <v>3</v>
      </c>
      <c r="F25" s="101">
        <f t="shared" si="2"/>
        <v>1350</v>
      </c>
      <c r="G25" s="42" t="s">
        <v>3</v>
      </c>
      <c r="H25" s="39">
        <v>2</v>
      </c>
      <c r="I25" s="40" t="s">
        <v>40</v>
      </c>
      <c r="J25" s="149">
        <v>80</v>
      </c>
      <c r="K25" s="104">
        <v>160</v>
      </c>
      <c r="L25" s="104">
        <v>1350</v>
      </c>
      <c r="M25" s="150">
        <v>9.1607331301602635</v>
      </c>
      <c r="N25" s="78">
        <v>314.98877127801597</v>
      </c>
      <c r="O25" s="109">
        <v>16770.242408220965</v>
      </c>
      <c r="P25" s="111">
        <v>19819.485777634698</v>
      </c>
      <c r="Q25" s="254">
        <v>12966.154202103913</v>
      </c>
      <c r="R25" s="258">
        <v>29736.396610324879</v>
      </c>
      <c r="S25" s="259">
        <v>32785.639979738611</v>
      </c>
      <c r="U25" s="7" t="s">
        <v>1705</v>
      </c>
    </row>
    <row r="26" spans="1:21" s="65" customFormat="1" ht="16.5" customHeight="1" thickBot="1">
      <c r="A26" s="41" t="s">
        <v>31</v>
      </c>
      <c r="B26" s="42">
        <f t="shared" si="0"/>
        <v>80</v>
      </c>
      <c r="C26" s="42" t="s">
        <v>3</v>
      </c>
      <c r="D26" s="42">
        <f t="shared" si="1"/>
        <v>160</v>
      </c>
      <c r="E26" s="42" t="s">
        <v>3</v>
      </c>
      <c r="F26" s="101">
        <f t="shared" si="2"/>
        <v>1400</v>
      </c>
      <c r="G26" s="42" t="s">
        <v>3</v>
      </c>
      <c r="H26" s="39">
        <v>2</v>
      </c>
      <c r="I26" s="40" t="s">
        <v>40</v>
      </c>
      <c r="J26" s="149">
        <v>80</v>
      </c>
      <c r="K26" s="104">
        <v>160</v>
      </c>
      <c r="L26" s="104">
        <v>1400</v>
      </c>
      <c r="M26" s="150">
        <v>9.4786910600402638</v>
      </c>
      <c r="N26" s="78">
        <v>330.73820984191678</v>
      </c>
      <c r="O26" s="109">
        <v>17197.519532362025</v>
      </c>
      <c r="P26" s="111">
        <v>20343.122207628428</v>
      </c>
      <c r="Q26" s="254">
        <v>13554.97859060942</v>
      </c>
      <c r="R26" s="258">
        <v>30752.498122971447</v>
      </c>
      <c r="S26" s="259">
        <v>33898.100798237851</v>
      </c>
      <c r="U26" s="7" t="s">
        <v>1706</v>
      </c>
    </row>
    <row r="27" spans="1:21" s="65" customFormat="1" ht="16.5" customHeight="1" thickBot="1">
      <c r="A27" s="41" t="s">
        <v>31</v>
      </c>
      <c r="B27" s="42">
        <f t="shared" si="0"/>
        <v>80</v>
      </c>
      <c r="C27" s="42" t="s">
        <v>3</v>
      </c>
      <c r="D27" s="42">
        <f t="shared" si="1"/>
        <v>160</v>
      </c>
      <c r="E27" s="42" t="s">
        <v>3</v>
      </c>
      <c r="F27" s="101">
        <f t="shared" si="2"/>
        <v>1450</v>
      </c>
      <c r="G27" s="42" t="s">
        <v>3</v>
      </c>
      <c r="H27" s="39">
        <v>2</v>
      </c>
      <c r="I27" s="40" t="s">
        <v>40</v>
      </c>
      <c r="J27" s="149">
        <v>80</v>
      </c>
      <c r="K27" s="104">
        <v>160</v>
      </c>
      <c r="L27" s="104">
        <v>1450</v>
      </c>
      <c r="M27" s="150">
        <v>9.7966489899202625</v>
      </c>
      <c r="N27" s="78">
        <v>346.48764840581759</v>
      </c>
      <c r="O27" s="109">
        <v>17624.79665650308</v>
      </c>
      <c r="P27" s="111">
        <v>20866.758484593396</v>
      </c>
      <c r="Q27" s="254">
        <v>13892.468841331156</v>
      </c>
      <c r="R27" s="258">
        <v>31517.265497834236</v>
      </c>
      <c r="S27" s="259">
        <v>34759.227325924556</v>
      </c>
      <c r="U27" s="7" t="s">
        <v>1707</v>
      </c>
    </row>
    <row r="28" spans="1:21" s="65" customFormat="1" ht="16.5" customHeight="1" thickBot="1">
      <c r="A28" s="41" t="s">
        <v>31</v>
      </c>
      <c r="B28" s="42">
        <f t="shared" si="0"/>
        <v>80</v>
      </c>
      <c r="C28" s="42" t="s">
        <v>3</v>
      </c>
      <c r="D28" s="42">
        <f t="shared" si="1"/>
        <v>160</v>
      </c>
      <c r="E28" s="42" t="s">
        <v>3</v>
      </c>
      <c r="F28" s="101">
        <f t="shared" si="2"/>
        <v>1500</v>
      </c>
      <c r="G28" s="42" t="s">
        <v>3</v>
      </c>
      <c r="H28" s="39">
        <v>2</v>
      </c>
      <c r="I28" s="40" t="s">
        <v>40</v>
      </c>
      <c r="J28" s="149">
        <v>80</v>
      </c>
      <c r="K28" s="104">
        <v>160</v>
      </c>
      <c r="L28" s="104">
        <v>1500</v>
      </c>
      <c r="M28" s="150">
        <v>10.186369348600262</v>
      </c>
      <c r="N28" s="78">
        <v>362.23708696971835</v>
      </c>
      <c r="O28" s="109">
        <v>18640.058194257872</v>
      </c>
      <c r="P28" s="111">
        <v>21878.158647517786</v>
      </c>
      <c r="Q28" s="254">
        <v>14481.293076807897</v>
      </c>
      <c r="R28" s="258">
        <v>33121.351271065767</v>
      </c>
      <c r="S28" s="259">
        <v>36359.451724325685</v>
      </c>
      <c r="U28" s="7" t="s">
        <v>1708</v>
      </c>
    </row>
    <row r="29" spans="1:21" s="65" customFormat="1" ht="16.5" customHeight="1" thickBot="1">
      <c r="A29" s="41" t="s">
        <v>31</v>
      </c>
      <c r="B29" s="42">
        <f t="shared" si="0"/>
        <v>80</v>
      </c>
      <c r="C29" s="42" t="s">
        <v>3</v>
      </c>
      <c r="D29" s="42">
        <f t="shared" si="1"/>
        <v>160</v>
      </c>
      <c r="E29" s="42" t="s">
        <v>3</v>
      </c>
      <c r="F29" s="101">
        <f t="shared" si="2"/>
        <v>1550</v>
      </c>
      <c r="G29" s="42" t="s">
        <v>3</v>
      </c>
      <c r="H29" s="39">
        <v>2</v>
      </c>
      <c r="I29" s="40" t="s">
        <v>40</v>
      </c>
      <c r="J29" s="149">
        <v>80</v>
      </c>
      <c r="K29" s="104">
        <v>160</v>
      </c>
      <c r="L29" s="104">
        <v>1550</v>
      </c>
      <c r="M29" s="150">
        <v>10.504327278480263</v>
      </c>
      <c r="N29" s="78">
        <v>377.98652553361916</v>
      </c>
      <c r="O29" s="109">
        <v>19067.335318398927</v>
      </c>
      <c r="P29" s="111">
        <v>22401.795077511521</v>
      </c>
      <c r="Q29" s="254">
        <v>14818.783327529631</v>
      </c>
      <c r="R29" s="258">
        <v>33886.11864592856</v>
      </c>
      <c r="S29" s="259">
        <v>37220.578405041153</v>
      </c>
      <c r="U29" s="7" t="s">
        <v>1709</v>
      </c>
    </row>
    <row r="30" spans="1:21" s="65" customFormat="1" ht="16.5" customHeight="1" thickBot="1">
      <c r="A30" s="38" t="s">
        <v>31</v>
      </c>
      <c r="B30" s="39">
        <f t="shared" si="0"/>
        <v>80</v>
      </c>
      <c r="C30" s="39" t="s">
        <v>3</v>
      </c>
      <c r="D30" s="39">
        <f t="shared" si="1"/>
        <v>160</v>
      </c>
      <c r="E30" s="39" t="s">
        <v>3</v>
      </c>
      <c r="F30" s="101">
        <f t="shared" si="2"/>
        <v>1600</v>
      </c>
      <c r="G30" s="39" t="s">
        <v>3</v>
      </c>
      <c r="H30" s="39">
        <v>2</v>
      </c>
      <c r="I30" s="40" t="s">
        <v>40</v>
      </c>
      <c r="J30" s="149">
        <v>80</v>
      </c>
      <c r="K30" s="104">
        <v>160</v>
      </c>
      <c r="L30" s="104">
        <v>1600</v>
      </c>
      <c r="M30" s="150">
        <v>10.822285208360261</v>
      </c>
      <c r="N30" s="78">
        <v>393.73596409751997</v>
      </c>
      <c r="O30" s="109">
        <v>19494.612442539987</v>
      </c>
      <c r="P30" s="111">
        <v>22925.431507505251</v>
      </c>
      <c r="Q30" s="254">
        <v>15156.273578251366</v>
      </c>
      <c r="R30" s="258">
        <v>34650.886020791353</v>
      </c>
      <c r="S30" s="259">
        <v>38081.705085756621</v>
      </c>
      <c r="U30" s="7" t="s">
        <v>1710</v>
      </c>
    </row>
    <row r="31" spans="1:21" s="65" customFormat="1" ht="16.5" customHeight="1" thickBot="1">
      <c r="A31" s="41" t="s">
        <v>31</v>
      </c>
      <c r="B31" s="42">
        <f t="shared" si="0"/>
        <v>80</v>
      </c>
      <c r="C31" s="42" t="s">
        <v>3</v>
      </c>
      <c r="D31" s="42">
        <f t="shared" si="1"/>
        <v>160</v>
      </c>
      <c r="E31" s="42" t="s">
        <v>3</v>
      </c>
      <c r="F31" s="101">
        <f t="shared" si="2"/>
        <v>1650</v>
      </c>
      <c r="G31" s="42" t="s">
        <v>3</v>
      </c>
      <c r="H31" s="39">
        <v>2</v>
      </c>
      <c r="I31" s="40" t="s">
        <v>40</v>
      </c>
      <c r="J31" s="149">
        <v>80</v>
      </c>
      <c r="K31" s="104">
        <v>160</v>
      </c>
      <c r="L31" s="104">
        <v>1650</v>
      </c>
      <c r="M31" s="150">
        <v>11.140243138240262</v>
      </c>
      <c r="N31" s="78">
        <v>409.48540266142078</v>
      </c>
      <c r="O31" s="109">
        <v>19921.889566681042</v>
      </c>
      <c r="P31" s="111">
        <v>23449.067937498985</v>
      </c>
      <c r="Q31" s="254">
        <v>15745.097966756874</v>
      </c>
      <c r="R31" s="258">
        <v>35666.987533437918</v>
      </c>
      <c r="S31" s="259">
        <v>39194.16590425586</v>
      </c>
      <c r="U31" s="7" t="s">
        <v>1711</v>
      </c>
    </row>
    <row r="32" spans="1:21" s="65" customFormat="1" ht="16.5" customHeight="1" thickBot="1">
      <c r="A32" s="41" t="s">
        <v>31</v>
      </c>
      <c r="B32" s="42">
        <f t="shared" si="0"/>
        <v>80</v>
      </c>
      <c r="C32" s="42" t="s">
        <v>3</v>
      </c>
      <c r="D32" s="42">
        <f t="shared" si="1"/>
        <v>160</v>
      </c>
      <c r="E32" s="42" t="s">
        <v>3</v>
      </c>
      <c r="F32" s="101">
        <f t="shared" si="2"/>
        <v>1700</v>
      </c>
      <c r="G32" s="42" t="s">
        <v>3</v>
      </c>
      <c r="H32" s="39">
        <v>2</v>
      </c>
      <c r="I32" s="40" t="s">
        <v>40</v>
      </c>
      <c r="J32" s="149">
        <v>80</v>
      </c>
      <c r="K32" s="104">
        <v>160</v>
      </c>
      <c r="L32" s="104">
        <v>1700</v>
      </c>
      <c r="M32" s="150">
        <v>11.458201068120262</v>
      </c>
      <c r="N32" s="78">
        <v>425.23484122532159</v>
      </c>
      <c r="O32" s="109">
        <v>20349.166843850868</v>
      </c>
      <c r="P32" s="111">
        <v>23972.704214463953</v>
      </c>
      <c r="Q32" s="254">
        <v>16082.58806444969</v>
      </c>
      <c r="R32" s="258">
        <v>36431.754908300558</v>
      </c>
      <c r="S32" s="259">
        <v>40055.292278913643</v>
      </c>
      <c r="U32" s="7" t="s">
        <v>1712</v>
      </c>
    </row>
    <row r="33" spans="1:21" s="65" customFormat="1" ht="16.5" customHeight="1" thickBot="1">
      <c r="A33" s="41" t="s">
        <v>31</v>
      </c>
      <c r="B33" s="42">
        <f t="shared" si="0"/>
        <v>80</v>
      </c>
      <c r="C33" s="42" t="s">
        <v>3</v>
      </c>
      <c r="D33" s="42">
        <f t="shared" si="1"/>
        <v>160</v>
      </c>
      <c r="E33" s="42" t="s">
        <v>3</v>
      </c>
      <c r="F33" s="101">
        <f t="shared" si="2"/>
        <v>1750</v>
      </c>
      <c r="G33" s="42" t="s">
        <v>3</v>
      </c>
      <c r="H33" s="39">
        <v>2</v>
      </c>
      <c r="I33" s="40" t="s">
        <v>40</v>
      </c>
      <c r="J33" s="149">
        <v>80</v>
      </c>
      <c r="K33" s="104">
        <v>160</v>
      </c>
      <c r="L33" s="104">
        <v>1750</v>
      </c>
      <c r="M33" s="150">
        <v>11.776158998000263</v>
      </c>
      <c r="N33" s="78">
        <v>440.98427978922234</v>
      </c>
      <c r="O33" s="109">
        <v>20776.443967991923</v>
      </c>
      <c r="P33" s="111">
        <v>24496.340644457683</v>
      </c>
      <c r="Q33" s="254">
        <v>16671.412452955348</v>
      </c>
      <c r="R33" s="258">
        <v>37447.856420947268</v>
      </c>
      <c r="S33" s="259">
        <v>41167.753097413035</v>
      </c>
      <c r="U33" s="7" t="s">
        <v>1713</v>
      </c>
    </row>
    <row r="34" spans="1:21" s="65" customFormat="1" ht="16.5" customHeight="1" thickBot="1">
      <c r="A34" s="41" t="s">
        <v>31</v>
      </c>
      <c r="B34" s="42">
        <f t="shared" si="0"/>
        <v>80</v>
      </c>
      <c r="C34" s="42" t="s">
        <v>3</v>
      </c>
      <c r="D34" s="42">
        <f t="shared" si="1"/>
        <v>160</v>
      </c>
      <c r="E34" s="42" t="s">
        <v>3</v>
      </c>
      <c r="F34" s="101">
        <f t="shared" si="2"/>
        <v>1800</v>
      </c>
      <c r="G34" s="42" t="s">
        <v>3</v>
      </c>
      <c r="H34" s="39">
        <v>2</v>
      </c>
      <c r="I34" s="40" t="s">
        <v>40</v>
      </c>
      <c r="J34" s="149">
        <v>80</v>
      </c>
      <c r="K34" s="104">
        <v>160</v>
      </c>
      <c r="L34" s="104">
        <v>1800</v>
      </c>
      <c r="M34" s="150">
        <v>12.094116927880261</v>
      </c>
      <c r="N34" s="78">
        <v>456.73371835312315</v>
      </c>
      <c r="O34" s="109">
        <v>21203.721092132979</v>
      </c>
      <c r="P34" s="111">
        <v>25019.977074451417</v>
      </c>
      <c r="Q34" s="254">
        <v>17008.902703677086</v>
      </c>
      <c r="R34" s="258">
        <v>38212.623795810068</v>
      </c>
      <c r="S34" s="259">
        <v>42028.879778128503</v>
      </c>
      <c r="U34" s="7" t="s">
        <v>1714</v>
      </c>
    </row>
    <row r="35" spans="1:21" s="65" customFormat="1" ht="16.5" customHeight="1" thickBot="1">
      <c r="A35" s="41" t="s">
        <v>31</v>
      </c>
      <c r="B35" s="42">
        <f t="shared" si="0"/>
        <v>80</v>
      </c>
      <c r="C35" s="42" t="s">
        <v>3</v>
      </c>
      <c r="D35" s="42">
        <f t="shared" si="1"/>
        <v>160</v>
      </c>
      <c r="E35" s="42" t="s">
        <v>3</v>
      </c>
      <c r="F35" s="101">
        <f t="shared" si="2"/>
        <v>1850</v>
      </c>
      <c r="G35" s="42" t="s">
        <v>3</v>
      </c>
      <c r="H35" s="39">
        <v>2</v>
      </c>
      <c r="I35" s="40" t="s">
        <v>40</v>
      </c>
      <c r="J35" s="149">
        <v>80</v>
      </c>
      <c r="K35" s="104">
        <v>160</v>
      </c>
      <c r="L35" s="104">
        <v>1850</v>
      </c>
      <c r="M35" s="150">
        <v>12.412074857760263</v>
      </c>
      <c r="N35" s="78">
        <v>472.48315691702396</v>
      </c>
      <c r="O35" s="109">
        <v>21630.998369302804</v>
      </c>
      <c r="P35" s="111">
        <v>25543.613504445148</v>
      </c>
      <c r="Q35" s="254">
        <v>17597.727092182588</v>
      </c>
      <c r="R35" s="258">
        <v>39228.725461485388</v>
      </c>
      <c r="S35" s="259">
        <v>43141.340596627735</v>
      </c>
      <c r="U35" s="7" t="s">
        <v>1715</v>
      </c>
    </row>
    <row r="36" spans="1:21" s="65" customFormat="1" ht="16.5" customHeight="1" thickBot="1">
      <c r="A36" s="41" t="s">
        <v>31</v>
      </c>
      <c r="B36" s="42">
        <f t="shared" si="0"/>
        <v>80</v>
      </c>
      <c r="C36" s="42" t="s">
        <v>3</v>
      </c>
      <c r="D36" s="42">
        <f t="shared" si="1"/>
        <v>160</v>
      </c>
      <c r="E36" s="42" t="s">
        <v>3</v>
      </c>
      <c r="F36" s="101">
        <f t="shared" si="2"/>
        <v>1900</v>
      </c>
      <c r="G36" s="42" t="s">
        <v>3</v>
      </c>
      <c r="H36" s="39">
        <v>2</v>
      </c>
      <c r="I36" s="40" t="s">
        <v>40</v>
      </c>
      <c r="J36" s="149">
        <v>80</v>
      </c>
      <c r="K36" s="104">
        <v>160</v>
      </c>
      <c r="L36" s="104">
        <v>1900</v>
      </c>
      <c r="M36" s="150">
        <v>12.730032787640262</v>
      </c>
      <c r="N36" s="78">
        <v>488.23259548092477</v>
      </c>
      <c r="O36" s="109">
        <v>22058.27549344386</v>
      </c>
      <c r="P36" s="111">
        <v>26067.249934438882</v>
      </c>
      <c r="Q36" s="254">
        <v>17935.217189875559</v>
      </c>
      <c r="R36" s="258">
        <v>39993.492683319419</v>
      </c>
      <c r="S36" s="259">
        <v>44002.46712431444</v>
      </c>
      <c r="U36" s="7" t="s">
        <v>1716</v>
      </c>
    </row>
    <row r="37" spans="1:21" s="65" customFormat="1" ht="16.5" customHeight="1" thickBot="1">
      <c r="A37" s="41" t="s">
        <v>31</v>
      </c>
      <c r="B37" s="42">
        <f t="shared" si="0"/>
        <v>80</v>
      </c>
      <c r="C37" s="42" t="s">
        <v>3</v>
      </c>
      <c r="D37" s="42">
        <f t="shared" si="1"/>
        <v>160</v>
      </c>
      <c r="E37" s="42" t="s">
        <v>3</v>
      </c>
      <c r="F37" s="101">
        <f t="shared" si="2"/>
        <v>1950</v>
      </c>
      <c r="G37" s="42" t="s">
        <v>3</v>
      </c>
      <c r="H37" s="39">
        <v>2</v>
      </c>
      <c r="I37" s="40" t="s">
        <v>40</v>
      </c>
      <c r="J37" s="149">
        <v>80</v>
      </c>
      <c r="K37" s="104">
        <v>160</v>
      </c>
      <c r="L37" s="104">
        <v>1950</v>
      </c>
      <c r="M37" s="150">
        <v>13.087240717520263</v>
      </c>
      <c r="N37" s="78">
        <v>503.98203404482558</v>
      </c>
      <c r="O37" s="109">
        <v>22535.552930244328</v>
      </c>
      <c r="P37" s="111">
        <v>26639.362510591378</v>
      </c>
      <c r="Q37" s="254">
        <v>18272.707440597296</v>
      </c>
      <c r="R37" s="258">
        <v>40808.260370841628</v>
      </c>
      <c r="S37" s="259">
        <v>44912.069951188678</v>
      </c>
      <c r="U37" s="7" t="s">
        <v>1717</v>
      </c>
    </row>
    <row r="38" spans="1:21" s="65" customFormat="1" ht="16.5" customHeight="1" thickBot="1">
      <c r="A38" s="41" t="s">
        <v>31</v>
      </c>
      <c r="B38" s="42">
        <f t="shared" si="0"/>
        <v>80</v>
      </c>
      <c r="C38" s="42" t="s">
        <v>3</v>
      </c>
      <c r="D38" s="42">
        <f t="shared" si="1"/>
        <v>160</v>
      </c>
      <c r="E38" s="42" t="s">
        <v>3</v>
      </c>
      <c r="F38" s="101">
        <f t="shared" si="2"/>
        <v>2000</v>
      </c>
      <c r="G38" s="42" t="s">
        <v>3</v>
      </c>
      <c r="H38" s="39">
        <v>2</v>
      </c>
      <c r="I38" s="40" t="s">
        <v>40</v>
      </c>
      <c r="J38" s="149">
        <v>80</v>
      </c>
      <c r="K38" s="104">
        <v>160</v>
      </c>
      <c r="L38" s="104">
        <v>2000</v>
      </c>
      <c r="M38" s="150">
        <v>13.496761047400263</v>
      </c>
      <c r="N38" s="78">
        <v>519.73147260872634</v>
      </c>
      <c r="O38" s="109">
        <v>23214.121956229981</v>
      </c>
      <c r="P38" s="111">
        <v>27491.427439951207</v>
      </c>
      <c r="Q38" s="254">
        <v>18861.531829102802</v>
      </c>
      <c r="R38" s="258">
        <v>42075.653785332783</v>
      </c>
      <c r="S38" s="259">
        <v>46352.959269054008</v>
      </c>
      <c r="U38" s="7" t="s">
        <v>1718</v>
      </c>
    </row>
    <row r="39" spans="1:21" s="65" customFormat="1" ht="16.5" customHeight="1" thickBot="1">
      <c r="A39" s="41" t="s">
        <v>31</v>
      </c>
      <c r="B39" s="42">
        <f t="shared" si="0"/>
        <v>80</v>
      </c>
      <c r="C39" s="42" t="s">
        <v>3</v>
      </c>
      <c r="D39" s="42">
        <f t="shared" si="1"/>
        <v>160</v>
      </c>
      <c r="E39" s="42" t="s">
        <v>3</v>
      </c>
      <c r="F39" s="101">
        <f t="shared" si="2"/>
        <v>2050</v>
      </c>
      <c r="G39" s="42" t="s">
        <v>3</v>
      </c>
      <c r="H39" s="39">
        <v>2</v>
      </c>
      <c r="I39" s="40" t="s">
        <v>40</v>
      </c>
      <c r="J39" s="149">
        <v>80</v>
      </c>
      <c r="K39" s="104">
        <v>160</v>
      </c>
      <c r="L39" s="104">
        <v>2050</v>
      </c>
      <c r="M39" s="150">
        <v>13.814718977280261</v>
      </c>
      <c r="N39" s="78">
        <v>535.48091117262709</v>
      </c>
      <c r="O39" s="109">
        <v>23641.399080371037</v>
      </c>
      <c r="P39" s="111">
        <v>28015.063869944941</v>
      </c>
      <c r="Q39" s="254">
        <v>19199.022079824535</v>
      </c>
      <c r="R39" s="258">
        <v>42840.421160195576</v>
      </c>
      <c r="S39" s="259">
        <v>47214.085949769476</v>
      </c>
      <c r="U39" s="7" t="s">
        <v>1719</v>
      </c>
    </row>
    <row r="40" spans="1:21" s="65" customFormat="1" ht="16.5" customHeight="1" thickBot="1">
      <c r="A40" s="38" t="s">
        <v>31</v>
      </c>
      <c r="B40" s="39">
        <f t="shared" si="0"/>
        <v>80</v>
      </c>
      <c r="C40" s="39" t="s">
        <v>3</v>
      </c>
      <c r="D40" s="39">
        <f t="shared" si="1"/>
        <v>160</v>
      </c>
      <c r="E40" s="39" t="s">
        <v>3</v>
      </c>
      <c r="F40" s="101">
        <f t="shared" si="2"/>
        <v>2100</v>
      </c>
      <c r="G40" s="39" t="s">
        <v>3</v>
      </c>
      <c r="H40" s="39">
        <v>2</v>
      </c>
      <c r="I40" s="40" t="s">
        <v>40</v>
      </c>
      <c r="J40" s="149">
        <v>80</v>
      </c>
      <c r="K40" s="104">
        <v>160</v>
      </c>
      <c r="L40" s="104">
        <v>2100</v>
      </c>
      <c r="M40" s="150">
        <v>14.132676907160262</v>
      </c>
      <c r="N40" s="78">
        <v>551.23034973652796</v>
      </c>
      <c r="O40" s="109">
        <v>24068.676204512096</v>
      </c>
      <c r="P40" s="111">
        <v>28538.700299938668</v>
      </c>
      <c r="Q40" s="254">
        <v>19787.846468330041</v>
      </c>
      <c r="R40" s="258">
        <v>43856.52267284214</v>
      </c>
      <c r="S40" s="259">
        <v>48326.546768268709</v>
      </c>
      <c r="U40" s="7" t="s">
        <v>1720</v>
      </c>
    </row>
    <row r="41" spans="1:21" s="65" customFormat="1" ht="16.5" customHeight="1" thickBot="1">
      <c r="A41" s="41" t="s">
        <v>31</v>
      </c>
      <c r="B41" s="42">
        <f t="shared" si="0"/>
        <v>80</v>
      </c>
      <c r="C41" s="42" t="s">
        <v>3</v>
      </c>
      <c r="D41" s="42">
        <f t="shared" si="1"/>
        <v>160</v>
      </c>
      <c r="E41" s="42" t="s">
        <v>3</v>
      </c>
      <c r="F41" s="101">
        <f t="shared" si="2"/>
        <v>2150</v>
      </c>
      <c r="G41" s="42" t="s">
        <v>3</v>
      </c>
      <c r="H41" s="39">
        <v>2</v>
      </c>
      <c r="I41" s="40" t="s">
        <v>40</v>
      </c>
      <c r="J41" s="149">
        <v>80</v>
      </c>
      <c r="K41" s="104">
        <v>160</v>
      </c>
      <c r="L41" s="104">
        <v>2150</v>
      </c>
      <c r="M41" s="150">
        <v>14.450634837040264</v>
      </c>
      <c r="N41" s="78">
        <v>566.97978830042882</v>
      </c>
      <c r="O41" s="109">
        <v>24495.953328653151</v>
      </c>
      <c r="P41" s="111">
        <v>29062.336576903635</v>
      </c>
      <c r="Q41" s="254">
        <v>20125.336566023012</v>
      </c>
      <c r="R41" s="258">
        <v>44621.289894676163</v>
      </c>
      <c r="S41" s="259">
        <v>49187.673142926651</v>
      </c>
      <c r="U41" s="7" t="s">
        <v>1721</v>
      </c>
    </row>
    <row r="42" spans="1:21" s="65" customFormat="1" ht="16.5" customHeight="1" thickBot="1">
      <c r="A42" s="41" t="s">
        <v>31</v>
      </c>
      <c r="B42" s="42">
        <f t="shared" si="0"/>
        <v>80</v>
      </c>
      <c r="C42" s="42" t="s">
        <v>3</v>
      </c>
      <c r="D42" s="42">
        <f t="shared" si="1"/>
        <v>160</v>
      </c>
      <c r="E42" s="42" t="s">
        <v>3</v>
      </c>
      <c r="F42" s="101">
        <f t="shared" si="2"/>
        <v>2200</v>
      </c>
      <c r="G42" s="42" t="s">
        <v>3</v>
      </c>
      <c r="H42" s="39">
        <v>2</v>
      </c>
      <c r="I42" s="40" t="s">
        <v>40</v>
      </c>
      <c r="J42" s="149">
        <v>80</v>
      </c>
      <c r="K42" s="104">
        <v>160</v>
      </c>
      <c r="L42" s="104">
        <v>2200</v>
      </c>
      <c r="M42" s="150">
        <v>14.768592766920261</v>
      </c>
      <c r="N42" s="78">
        <v>582.72922686432958</v>
      </c>
      <c r="O42" s="109">
        <v>24923.230605822973</v>
      </c>
      <c r="P42" s="111">
        <v>29585.973006897369</v>
      </c>
      <c r="Q42" s="254">
        <v>20714.160954528517</v>
      </c>
      <c r="R42" s="258">
        <v>45637.391560351491</v>
      </c>
      <c r="S42" s="259">
        <v>50300.13396142589</v>
      </c>
      <c r="U42" s="7" t="s">
        <v>1722</v>
      </c>
    </row>
    <row r="43" spans="1:21" s="65" customFormat="1" ht="16.5" customHeight="1" thickBot="1">
      <c r="A43" s="41" t="s">
        <v>31</v>
      </c>
      <c r="B43" s="42">
        <f t="shared" si="0"/>
        <v>80</v>
      </c>
      <c r="C43" s="42" t="s">
        <v>3</v>
      </c>
      <c r="D43" s="42">
        <f t="shared" si="1"/>
        <v>160</v>
      </c>
      <c r="E43" s="42" t="s">
        <v>3</v>
      </c>
      <c r="F43" s="101">
        <f t="shared" si="2"/>
        <v>2250</v>
      </c>
      <c r="G43" s="42" t="s">
        <v>3</v>
      </c>
      <c r="H43" s="39">
        <v>2</v>
      </c>
      <c r="I43" s="40" t="s">
        <v>40</v>
      </c>
      <c r="J43" s="149">
        <v>80</v>
      </c>
      <c r="K43" s="104">
        <v>160</v>
      </c>
      <c r="L43" s="104">
        <v>2250</v>
      </c>
      <c r="M43" s="150">
        <v>15.086550696800263</v>
      </c>
      <c r="N43" s="78">
        <v>598.47866542823033</v>
      </c>
      <c r="O43" s="109">
        <v>25350.507729964029</v>
      </c>
      <c r="P43" s="111">
        <v>30109.609436891104</v>
      </c>
      <c r="Q43" s="254">
        <v>21051.651205250255</v>
      </c>
      <c r="R43" s="258">
        <v>46402.158935214284</v>
      </c>
      <c r="S43" s="259">
        <v>51161.260642141358</v>
      </c>
      <c r="U43" s="7" t="s">
        <v>1723</v>
      </c>
    </row>
    <row r="44" spans="1:21" s="65" customFormat="1" ht="16.5" customHeight="1" thickBot="1">
      <c r="A44" s="41" t="s">
        <v>31</v>
      </c>
      <c r="B44" s="42">
        <f t="shared" si="0"/>
        <v>80</v>
      </c>
      <c r="C44" s="42" t="s">
        <v>3</v>
      </c>
      <c r="D44" s="42">
        <f t="shared" si="1"/>
        <v>160</v>
      </c>
      <c r="E44" s="42" t="s">
        <v>3</v>
      </c>
      <c r="F44" s="101">
        <f t="shared" si="2"/>
        <v>2300</v>
      </c>
      <c r="G44" s="42" t="s">
        <v>3</v>
      </c>
      <c r="H44" s="39">
        <v>2</v>
      </c>
      <c r="I44" s="40" t="s">
        <v>40</v>
      </c>
      <c r="J44" s="149">
        <v>80</v>
      </c>
      <c r="K44" s="104">
        <v>160</v>
      </c>
      <c r="L44" s="104">
        <v>2300</v>
      </c>
      <c r="M44" s="150">
        <v>15.404508626680261</v>
      </c>
      <c r="N44" s="78">
        <v>614.22810399213108</v>
      </c>
      <c r="O44" s="109">
        <v>25777.784854105092</v>
      </c>
      <c r="P44" s="111">
        <v>30633.245866884838</v>
      </c>
      <c r="Q44" s="254">
        <v>21389.141302943226</v>
      </c>
      <c r="R44" s="258">
        <v>47166.926157048321</v>
      </c>
      <c r="S44" s="259">
        <v>52022.387169828064</v>
      </c>
      <c r="U44" s="7" t="s">
        <v>1724</v>
      </c>
    </row>
    <row r="45" spans="1:21" s="65" customFormat="1" ht="16.5" customHeight="1" thickBot="1">
      <c r="A45" s="41" t="s">
        <v>31</v>
      </c>
      <c r="B45" s="42">
        <f t="shared" si="0"/>
        <v>80</v>
      </c>
      <c r="C45" s="42" t="s">
        <v>3</v>
      </c>
      <c r="D45" s="42">
        <f t="shared" si="1"/>
        <v>160</v>
      </c>
      <c r="E45" s="42" t="s">
        <v>3</v>
      </c>
      <c r="F45" s="101">
        <f t="shared" si="2"/>
        <v>2350</v>
      </c>
      <c r="G45" s="42" t="s">
        <v>3</v>
      </c>
      <c r="H45" s="39">
        <v>2</v>
      </c>
      <c r="I45" s="40" t="s">
        <v>40</v>
      </c>
      <c r="J45" s="149">
        <v>80</v>
      </c>
      <c r="K45" s="104">
        <v>160</v>
      </c>
      <c r="L45" s="104">
        <v>2350</v>
      </c>
      <c r="M45" s="150">
        <v>15.722466556560263</v>
      </c>
      <c r="N45" s="78">
        <v>629.97754255603195</v>
      </c>
      <c r="O45" s="109">
        <v>26205.061978246147</v>
      </c>
      <c r="P45" s="111">
        <v>31156.882296878564</v>
      </c>
      <c r="Q45" s="254">
        <v>21977.965691448728</v>
      </c>
      <c r="R45" s="258">
        <v>48183.027669694871</v>
      </c>
      <c r="S45" s="259">
        <v>53134.847988327296</v>
      </c>
      <c r="U45" s="7" t="s">
        <v>1725</v>
      </c>
    </row>
    <row r="46" spans="1:21" s="65" customFormat="1" ht="16.5" customHeight="1" thickBot="1">
      <c r="A46" s="41" t="s">
        <v>31</v>
      </c>
      <c r="B46" s="42">
        <f t="shared" si="0"/>
        <v>80</v>
      </c>
      <c r="C46" s="42" t="s">
        <v>3</v>
      </c>
      <c r="D46" s="42">
        <f t="shared" si="1"/>
        <v>160</v>
      </c>
      <c r="E46" s="42" t="s">
        <v>3</v>
      </c>
      <c r="F46" s="101">
        <f t="shared" si="2"/>
        <v>2400</v>
      </c>
      <c r="G46" s="42" t="s">
        <v>3</v>
      </c>
      <c r="H46" s="39">
        <v>2</v>
      </c>
      <c r="I46" s="40" t="s">
        <v>40</v>
      </c>
      <c r="J46" s="149">
        <v>80</v>
      </c>
      <c r="K46" s="104">
        <v>160</v>
      </c>
      <c r="L46" s="104">
        <v>2400</v>
      </c>
      <c r="M46" s="150">
        <v>16.040424486440262</v>
      </c>
      <c r="N46" s="78">
        <v>645.7269811199327</v>
      </c>
      <c r="O46" s="109">
        <v>26632.339255415969</v>
      </c>
      <c r="P46" s="111">
        <v>31680.518726872298</v>
      </c>
      <c r="Q46" s="254">
        <v>22315.455942170465</v>
      </c>
      <c r="R46" s="258">
        <v>48947.795197586434</v>
      </c>
      <c r="S46" s="259">
        <v>53995.974669042764</v>
      </c>
      <c r="U46" s="7" t="s">
        <v>1726</v>
      </c>
    </row>
    <row r="47" spans="1:21" s="65" customFormat="1" ht="16.5" customHeight="1" thickBot="1">
      <c r="A47" s="41" t="s">
        <v>31</v>
      </c>
      <c r="B47" s="42">
        <f t="shared" si="0"/>
        <v>80</v>
      </c>
      <c r="C47" s="42" t="s">
        <v>3</v>
      </c>
      <c r="D47" s="42">
        <f t="shared" si="1"/>
        <v>160</v>
      </c>
      <c r="E47" s="42" t="s">
        <v>3</v>
      </c>
      <c r="F47" s="101">
        <f t="shared" si="2"/>
        <v>2450</v>
      </c>
      <c r="G47" s="42" t="s">
        <v>3</v>
      </c>
      <c r="H47" s="39">
        <v>2</v>
      </c>
      <c r="I47" s="40" t="s">
        <v>40</v>
      </c>
      <c r="J47" s="149">
        <v>80</v>
      </c>
      <c r="K47" s="104">
        <v>160</v>
      </c>
      <c r="L47" s="104">
        <v>2450</v>
      </c>
      <c r="M47" s="150">
        <v>16.43014484512026</v>
      </c>
      <c r="N47" s="78">
        <v>661.47641968383357</v>
      </c>
      <c r="O47" s="109">
        <v>27647.600640141991</v>
      </c>
      <c r="P47" s="111">
        <v>32691.918736767926</v>
      </c>
      <c r="Q47" s="254">
        <v>22904.280330675971</v>
      </c>
      <c r="R47" s="258">
        <v>50551.880970817961</v>
      </c>
      <c r="S47" s="259">
        <v>55596.1990674439</v>
      </c>
      <c r="U47" s="7" t="s">
        <v>1727</v>
      </c>
    </row>
    <row r="48" spans="1:21" s="65" customFormat="1" ht="16.5" customHeight="1" thickBot="1">
      <c r="A48" s="41" t="s">
        <v>31</v>
      </c>
      <c r="B48" s="42">
        <f t="shared" si="0"/>
        <v>80</v>
      </c>
      <c r="C48" s="42" t="s">
        <v>3</v>
      </c>
      <c r="D48" s="42">
        <f t="shared" si="1"/>
        <v>160</v>
      </c>
      <c r="E48" s="42" t="s">
        <v>3</v>
      </c>
      <c r="F48" s="101">
        <f t="shared" si="2"/>
        <v>2500</v>
      </c>
      <c r="G48" s="42" t="s">
        <v>3</v>
      </c>
      <c r="H48" s="39">
        <v>2</v>
      </c>
      <c r="I48" s="40" t="s">
        <v>40</v>
      </c>
      <c r="J48" s="149">
        <v>80</v>
      </c>
      <c r="K48" s="104">
        <v>160</v>
      </c>
      <c r="L48" s="104">
        <v>2500</v>
      </c>
      <c r="M48" s="150">
        <v>16.748102775000262</v>
      </c>
      <c r="N48" s="78">
        <v>677.22585824773432</v>
      </c>
      <c r="O48" s="109">
        <v>28074.877764283054</v>
      </c>
      <c r="P48" s="111">
        <v>33215.55516676166</v>
      </c>
      <c r="Q48" s="254">
        <v>23241.770581397705</v>
      </c>
      <c r="R48" s="258">
        <v>51316.648345680762</v>
      </c>
      <c r="S48" s="259">
        <v>56457.325748159361</v>
      </c>
      <c r="U48" s="7" t="s">
        <v>1728</v>
      </c>
    </row>
    <row r="49" spans="1:21" s="65" customFormat="1" ht="16.5" customHeight="1" thickBot="1">
      <c r="A49" s="41" t="s">
        <v>31</v>
      </c>
      <c r="B49" s="42">
        <f t="shared" si="0"/>
        <v>80</v>
      </c>
      <c r="C49" s="42" t="s">
        <v>3</v>
      </c>
      <c r="D49" s="42">
        <f t="shared" si="1"/>
        <v>160</v>
      </c>
      <c r="E49" s="42" t="s">
        <v>3</v>
      </c>
      <c r="F49" s="101">
        <f t="shared" si="2"/>
        <v>2550</v>
      </c>
      <c r="G49" s="42" t="s">
        <v>3</v>
      </c>
      <c r="H49" s="39">
        <v>2</v>
      </c>
      <c r="I49" s="40" t="s">
        <v>40</v>
      </c>
      <c r="J49" s="149">
        <v>80</v>
      </c>
      <c r="K49" s="104">
        <v>160</v>
      </c>
      <c r="L49" s="104">
        <v>2550</v>
      </c>
      <c r="M49" s="150">
        <v>17.066060704880261</v>
      </c>
      <c r="N49" s="78">
        <v>692.97529681163519</v>
      </c>
      <c r="O49" s="109">
        <v>28502.154888424109</v>
      </c>
      <c r="P49" s="111">
        <v>33739.191596755387</v>
      </c>
      <c r="Q49" s="254">
        <v>23830.594816874447</v>
      </c>
      <c r="R49" s="258">
        <v>52332.749705298556</v>
      </c>
      <c r="S49" s="259">
        <v>57569.78641362983</v>
      </c>
      <c r="U49" s="7" t="s">
        <v>1729</v>
      </c>
    </row>
    <row r="50" spans="1:21" s="65" customFormat="1" ht="16.5" customHeight="1" thickBot="1">
      <c r="A50" s="38" t="s">
        <v>31</v>
      </c>
      <c r="B50" s="39">
        <f t="shared" si="0"/>
        <v>80</v>
      </c>
      <c r="C50" s="39" t="s">
        <v>3</v>
      </c>
      <c r="D50" s="39">
        <f t="shared" si="1"/>
        <v>160</v>
      </c>
      <c r="E50" s="39" t="s">
        <v>3</v>
      </c>
      <c r="F50" s="101">
        <f t="shared" si="2"/>
        <v>2600</v>
      </c>
      <c r="G50" s="39" t="s">
        <v>3</v>
      </c>
      <c r="H50" s="39">
        <v>2</v>
      </c>
      <c r="I50" s="40" t="s">
        <v>40</v>
      </c>
      <c r="J50" s="149">
        <v>80</v>
      </c>
      <c r="K50" s="104">
        <v>160</v>
      </c>
      <c r="L50" s="104">
        <v>2600</v>
      </c>
      <c r="M50" s="150">
        <v>17.384018634760267</v>
      </c>
      <c r="N50" s="78">
        <v>708.72473537553594</v>
      </c>
      <c r="O50" s="109">
        <v>28929.432165593931</v>
      </c>
      <c r="P50" s="111">
        <v>34262.828026749121</v>
      </c>
      <c r="Q50" s="254">
        <v>24168.085067596181</v>
      </c>
      <c r="R50" s="258">
        <v>53097.517233190112</v>
      </c>
      <c r="S50" s="259">
        <v>58430.913094345306</v>
      </c>
      <c r="U50" s="7" t="s">
        <v>1730</v>
      </c>
    </row>
    <row r="51" spans="1:21" s="65" customFormat="1" ht="16.5" customHeight="1" thickBot="1">
      <c r="A51" s="41" t="s">
        <v>31</v>
      </c>
      <c r="B51" s="42">
        <f t="shared" si="0"/>
        <v>80</v>
      </c>
      <c r="C51" s="42" t="s">
        <v>3</v>
      </c>
      <c r="D51" s="42">
        <f t="shared" si="1"/>
        <v>160</v>
      </c>
      <c r="E51" s="42" t="s">
        <v>3</v>
      </c>
      <c r="F51" s="101">
        <f t="shared" si="2"/>
        <v>2650</v>
      </c>
      <c r="G51" s="42" t="s">
        <v>3</v>
      </c>
      <c r="H51" s="39">
        <v>2</v>
      </c>
      <c r="I51" s="40" t="s">
        <v>40</v>
      </c>
      <c r="J51" s="149">
        <v>80</v>
      </c>
      <c r="K51" s="104">
        <v>160</v>
      </c>
      <c r="L51" s="104">
        <v>2650</v>
      </c>
      <c r="M51" s="150">
        <v>17.701976564640262</v>
      </c>
      <c r="N51" s="78">
        <v>724.4741739394367</v>
      </c>
      <c r="O51" s="109">
        <v>29356.709289734987</v>
      </c>
      <c r="P51" s="111">
        <v>34786.464456742855</v>
      </c>
      <c r="Q51" s="254">
        <v>24756.909456101686</v>
      </c>
      <c r="R51" s="258">
        <v>54113.618745836677</v>
      </c>
      <c r="S51" s="259">
        <v>59543.373912844545</v>
      </c>
      <c r="U51" s="7" t="s">
        <v>1731</v>
      </c>
    </row>
    <row r="52" spans="1:21" s="65" customFormat="1" ht="16.5" customHeight="1" thickBot="1">
      <c r="A52" s="41" t="s">
        <v>31</v>
      </c>
      <c r="B52" s="42">
        <f t="shared" si="0"/>
        <v>80</v>
      </c>
      <c r="C52" s="42" t="s">
        <v>3</v>
      </c>
      <c r="D52" s="42">
        <f t="shared" si="1"/>
        <v>160</v>
      </c>
      <c r="E52" s="42" t="s">
        <v>3</v>
      </c>
      <c r="F52" s="101">
        <f t="shared" si="2"/>
        <v>2700</v>
      </c>
      <c r="G52" s="42" t="s">
        <v>3</v>
      </c>
      <c r="H52" s="39">
        <v>2</v>
      </c>
      <c r="I52" s="40" t="s">
        <v>40</v>
      </c>
      <c r="J52" s="149">
        <v>80</v>
      </c>
      <c r="K52" s="104">
        <v>160</v>
      </c>
      <c r="L52" s="104">
        <v>2700</v>
      </c>
      <c r="M52" s="150">
        <v>18.059184494520267</v>
      </c>
      <c r="N52" s="78">
        <v>740.22361250333756</v>
      </c>
      <c r="O52" s="109">
        <v>29833.986726535455</v>
      </c>
      <c r="P52" s="111">
        <v>35358.577032895351</v>
      </c>
      <c r="Q52" s="254">
        <v>25094.399706823424</v>
      </c>
      <c r="R52" s="258">
        <v>54928.386433358879</v>
      </c>
      <c r="S52" s="259">
        <v>60452.976739718775</v>
      </c>
      <c r="U52" s="7" t="s">
        <v>1732</v>
      </c>
    </row>
    <row r="53" spans="1:21" s="65" customFormat="1" ht="16.5" customHeight="1" thickBot="1">
      <c r="A53" s="41" t="s">
        <v>31</v>
      </c>
      <c r="B53" s="42">
        <f t="shared" si="0"/>
        <v>80</v>
      </c>
      <c r="C53" s="42" t="s">
        <v>3</v>
      </c>
      <c r="D53" s="42">
        <f t="shared" si="1"/>
        <v>160</v>
      </c>
      <c r="E53" s="42" t="s">
        <v>3</v>
      </c>
      <c r="F53" s="101">
        <f t="shared" si="2"/>
        <v>2750</v>
      </c>
      <c r="G53" s="42" t="s">
        <v>3</v>
      </c>
      <c r="H53" s="39">
        <v>2</v>
      </c>
      <c r="I53" s="40" t="s">
        <v>40</v>
      </c>
      <c r="J53" s="149">
        <v>80</v>
      </c>
      <c r="K53" s="104">
        <v>160</v>
      </c>
      <c r="L53" s="104">
        <v>2750</v>
      </c>
      <c r="M53" s="150">
        <v>18.377142424400262</v>
      </c>
      <c r="N53" s="78">
        <v>755.97305106723832</v>
      </c>
      <c r="O53" s="109">
        <v>30261.263850676511</v>
      </c>
      <c r="P53" s="111">
        <v>35882.213462889085</v>
      </c>
      <c r="Q53" s="254">
        <v>25431.889804516391</v>
      </c>
      <c r="R53" s="258">
        <v>55693.153655192902</v>
      </c>
      <c r="S53" s="259">
        <v>61314.103267405473</v>
      </c>
      <c r="U53" s="7" t="s">
        <v>1733</v>
      </c>
    </row>
    <row r="54" spans="1:21" s="65" customFormat="1" ht="16.5" customHeight="1" thickBot="1">
      <c r="A54" s="41" t="s">
        <v>31</v>
      </c>
      <c r="B54" s="42">
        <f t="shared" si="0"/>
        <v>80</v>
      </c>
      <c r="C54" s="42" t="s">
        <v>3</v>
      </c>
      <c r="D54" s="42">
        <f t="shared" si="1"/>
        <v>160</v>
      </c>
      <c r="E54" s="42" t="s">
        <v>3</v>
      </c>
      <c r="F54" s="101">
        <f t="shared" si="2"/>
        <v>2800</v>
      </c>
      <c r="G54" s="42" t="s">
        <v>3</v>
      </c>
      <c r="H54" s="39">
        <v>2</v>
      </c>
      <c r="I54" s="40" t="s">
        <v>40</v>
      </c>
      <c r="J54" s="149">
        <v>80</v>
      </c>
      <c r="K54" s="104">
        <v>160</v>
      </c>
      <c r="L54" s="104">
        <v>2800</v>
      </c>
      <c r="M54" s="150">
        <v>18.695100354280264</v>
      </c>
      <c r="N54" s="78">
        <v>771.72248963113918</v>
      </c>
      <c r="O54" s="109">
        <v>30688.540974817573</v>
      </c>
      <c r="P54" s="111">
        <v>36405.849892882819</v>
      </c>
      <c r="Q54" s="254">
        <v>26020.714193021897</v>
      </c>
      <c r="R54" s="258">
        <v>56709.255167839467</v>
      </c>
      <c r="S54" s="259">
        <v>62426.564085904713</v>
      </c>
      <c r="U54" s="7" t="s">
        <v>1734</v>
      </c>
    </row>
    <row r="55" spans="1:21" s="65" customFormat="1" ht="16.5" customHeight="1" thickBot="1">
      <c r="A55" s="41" t="s">
        <v>31</v>
      </c>
      <c r="B55" s="42">
        <f t="shared" si="0"/>
        <v>80</v>
      </c>
      <c r="C55" s="42" t="s">
        <v>3</v>
      </c>
      <c r="D55" s="42">
        <f t="shared" si="1"/>
        <v>160</v>
      </c>
      <c r="E55" s="42" t="s">
        <v>3</v>
      </c>
      <c r="F55" s="101">
        <f t="shared" si="2"/>
        <v>2850</v>
      </c>
      <c r="G55" s="42" t="s">
        <v>3</v>
      </c>
      <c r="H55" s="39">
        <v>2</v>
      </c>
      <c r="I55" s="40" t="s">
        <v>40</v>
      </c>
      <c r="J55" s="149">
        <v>80</v>
      </c>
      <c r="K55" s="104">
        <v>160</v>
      </c>
      <c r="L55" s="104">
        <v>2850</v>
      </c>
      <c r="M55" s="150">
        <v>19.013058284160262</v>
      </c>
      <c r="N55" s="78">
        <v>787.47192819503994</v>
      </c>
      <c r="O55" s="109">
        <v>31115.818251987395</v>
      </c>
      <c r="P55" s="111">
        <v>36929.486169847791</v>
      </c>
      <c r="Q55" s="254">
        <v>26358.204443743634</v>
      </c>
      <c r="R55" s="258">
        <v>57474.02269573103</v>
      </c>
      <c r="S55" s="259">
        <v>63287.690613591425</v>
      </c>
      <c r="U55" s="7" t="s">
        <v>1735</v>
      </c>
    </row>
    <row r="56" spans="1:21" s="65" customFormat="1" ht="16.5" customHeight="1" thickBot="1">
      <c r="A56" s="41" t="s">
        <v>31</v>
      </c>
      <c r="B56" s="42">
        <f t="shared" si="0"/>
        <v>80</v>
      </c>
      <c r="C56" s="42" t="s">
        <v>3</v>
      </c>
      <c r="D56" s="42">
        <f t="shared" si="1"/>
        <v>160</v>
      </c>
      <c r="E56" s="42" t="s">
        <v>3</v>
      </c>
      <c r="F56" s="101">
        <f t="shared" si="2"/>
        <v>2900</v>
      </c>
      <c r="G56" s="42" t="s">
        <v>3</v>
      </c>
      <c r="H56" s="39">
        <v>2</v>
      </c>
      <c r="I56" s="40" t="s">
        <v>40</v>
      </c>
      <c r="J56" s="149">
        <v>80</v>
      </c>
      <c r="K56" s="104">
        <v>160</v>
      </c>
      <c r="L56" s="104">
        <v>2900</v>
      </c>
      <c r="M56" s="150">
        <v>19.331016214040265</v>
      </c>
      <c r="N56" s="78">
        <v>803.22136675894069</v>
      </c>
      <c r="O56" s="109">
        <v>31543.095376128451</v>
      </c>
      <c r="P56" s="111">
        <v>37453.122599841518</v>
      </c>
      <c r="Q56" s="254">
        <v>26947.028832249136</v>
      </c>
      <c r="R56" s="258">
        <v>58490.124208377587</v>
      </c>
      <c r="S56" s="259">
        <v>64400.151432090657</v>
      </c>
      <c r="U56" s="7" t="s">
        <v>1736</v>
      </c>
    </row>
    <row r="57" spans="1:21" s="65" customFormat="1" ht="16.5" customHeight="1" thickBot="1">
      <c r="A57" s="41" t="s">
        <v>31</v>
      </c>
      <c r="B57" s="42">
        <f t="shared" si="0"/>
        <v>80</v>
      </c>
      <c r="C57" s="42" t="s">
        <v>3</v>
      </c>
      <c r="D57" s="42">
        <f t="shared" si="1"/>
        <v>160</v>
      </c>
      <c r="E57" s="42" t="s">
        <v>3</v>
      </c>
      <c r="F57" s="101">
        <f t="shared" si="2"/>
        <v>2950</v>
      </c>
      <c r="G57" s="42" t="s">
        <v>3</v>
      </c>
      <c r="H57" s="39">
        <v>2</v>
      </c>
      <c r="I57" s="40" t="s">
        <v>40</v>
      </c>
      <c r="J57" s="149">
        <v>80</v>
      </c>
      <c r="K57" s="104">
        <v>160</v>
      </c>
      <c r="L57" s="104">
        <v>2950</v>
      </c>
      <c r="M57" s="150">
        <v>19.648974143920263</v>
      </c>
      <c r="N57" s="78">
        <v>818.97080532284156</v>
      </c>
      <c r="O57" s="109">
        <v>31970.372500269506</v>
      </c>
      <c r="P57" s="111">
        <v>37976.759029835252</v>
      </c>
      <c r="Q57" s="254">
        <v>27284.518929942107</v>
      </c>
      <c r="R57" s="258">
        <v>59254.891430211617</v>
      </c>
      <c r="S57" s="259">
        <v>65261.277959777362</v>
      </c>
      <c r="U57" s="7" t="s">
        <v>1737</v>
      </c>
    </row>
    <row r="58" spans="1:21" s="65" customFormat="1" ht="16.5" customHeight="1" thickBot="1">
      <c r="A58" s="43" t="s">
        <v>31</v>
      </c>
      <c r="B58" s="44">
        <f t="shared" si="0"/>
        <v>80</v>
      </c>
      <c r="C58" s="44" t="s">
        <v>3</v>
      </c>
      <c r="D58" s="44">
        <f t="shared" si="1"/>
        <v>160</v>
      </c>
      <c r="E58" s="44" t="s">
        <v>3</v>
      </c>
      <c r="F58" s="102">
        <f t="shared" si="2"/>
        <v>3000</v>
      </c>
      <c r="G58" s="44" t="s">
        <v>3</v>
      </c>
      <c r="H58" s="46">
        <v>2</v>
      </c>
      <c r="I58" s="45" t="s">
        <v>40</v>
      </c>
      <c r="J58" s="149">
        <v>80</v>
      </c>
      <c r="K58" s="134">
        <v>160</v>
      </c>
      <c r="L58" s="134">
        <v>3000</v>
      </c>
      <c r="M58" s="152">
        <v>19.966932073800262</v>
      </c>
      <c r="N58" s="127">
        <v>834.72024388674231</v>
      </c>
      <c r="O58" s="154">
        <v>32397.649624410562</v>
      </c>
      <c r="P58" s="135">
        <v>38500.395459828986</v>
      </c>
      <c r="Q58" s="255">
        <v>27873.343318447616</v>
      </c>
      <c r="R58" s="260">
        <v>60270.992942858182</v>
      </c>
      <c r="S58" s="261">
        <v>66373.738778276602</v>
      </c>
      <c r="U58" s="7" t="s">
        <v>1738</v>
      </c>
    </row>
    <row r="59" spans="1:21" s="65" customFormat="1" ht="23.25" customHeight="1" thickBot="1">
      <c r="A59" s="3010" t="s">
        <v>46</v>
      </c>
      <c r="B59" s="3011"/>
      <c r="C59" s="3011"/>
      <c r="D59" s="3011"/>
      <c r="E59" s="3011"/>
      <c r="F59" s="3011"/>
      <c r="G59" s="3011"/>
      <c r="H59" s="3011"/>
      <c r="I59" s="3011"/>
      <c r="J59" s="3011"/>
      <c r="K59" s="3011"/>
      <c r="L59" s="3011"/>
      <c r="M59" s="3011"/>
      <c r="N59" s="3011"/>
      <c r="O59" s="3011"/>
      <c r="P59" s="3011"/>
      <c r="Q59" s="3011"/>
      <c r="R59" s="3047"/>
      <c r="S59" s="3048"/>
      <c r="U59" s="7"/>
    </row>
    <row r="60" spans="1:21" s="65" customFormat="1" ht="17.25" customHeight="1" thickBot="1">
      <c r="A60" s="2974" t="s">
        <v>112</v>
      </c>
      <c r="B60" s="2975"/>
      <c r="C60" s="2975"/>
      <c r="D60" s="2975"/>
      <c r="E60" s="2975"/>
      <c r="F60" s="2975"/>
      <c r="G60" s="2975"/>
      <c r="H60" s="2975"/>
      <c r="I60" s="2975"/>
      <c r="J60" s="2975"/>
      <c r="K60" s="2975"/>
      <c r="L60" s="2975"/>
      <c r="M60" s="2975"/>
      <c r="N60" s="2975"/>
      <c r="O60" s="2975"/>
      <c r="P60" s="2975"/>
      <c r="Q60" s="2975"/>
      <c r="R60" s="2975"/>
      <c r="S60" s="2976"/>
      <c r="U60" s="7"/>
    </row>
    <row r="61" spans="1:21" s="65" customFormat="1" ht="16.5" customHeight="1" thickBot="1">
      <c r="A61" s="38" t="s">
        <v>31</v>
      </c>
      <c r="B61" s="39">
        <f>J61</f>
        <v>80</v>
      </c>
      <c r="C61" s="39" t="s">
        <v>3</v>
      </c>
      <c r="D61" s="39">
        <f>K61</f>
        <v>200</v>
      </c>
      <c r="E61" s="39" t="s">
        <v>3</v>
      </c>
      <c r="F61" s="101">
        <f>L61</f>
        <v>600</v>
      </c>
      <c r="G61" s="39" t="s">
        <v>3</v>
      </c>
      <c r="H61" s="39">
        <v>2</v>
      </c>
      <c r="I61" s="40" t="s">
        <v>40</v>
      </c>
      <c r="J61" s="146">
        <v>80</v>
      </c>
      <c r="K61" s="138">
        <v>200</v>
      </c>
      <c r="L61" s="138">
        <v>600</v>
      </c>
      <c r="M61" s="147">
        <v>4.886854405328684</v>
      </c>
      <c r="N61" s="123">
        <v>89.485446385799989</v>
      </c>
      <c r="O61" s="148">
        <v>10580.423358475189</v>
      </c>
      <c r="P61" s="153">
        <v>11924.909145174724</v>
      </c>
      <c r="Q61" s="139">
        <v>7123.1890801891068</v>
      </c>
      <c r="R61" s="256">
        <v>17703.612438664295</v>
      </c>
      <c r="S61" s="257">
        <v>19048.098225363832</v>
      </c>
      <c r="U61" s="7" t="s">
        <v>1739</v>
      </c>
    </row>
    <row r="62" spans="1:21" s="65" customFormat="1" ht="16.5" customHeight="1" thickBot="1">
      <c r="A62" s="41" t="s">
        <v>31</v>
      </c>
      <c r="B62" s="42">
        <f t="shared" ref="B62:B109" si="3">J62</f>
        <v>80</v>
      </c>
      <c r="C62" s="42" t="s">
        <v>3</v>
      </c>
      <c r="D62" s="42">
        <f t="shared" ref="D62:D109" si="4">K62</f>
        <v>200</v>
      </c>
      <c r="E62" s="42" t="s">
        <v>3</v>
      </c>
      <c r="F62" s="101">
        <f t="shared" ref="F62:F109" si="5">L62</f>
        <v>650</v>
      </c>
      <c r="G62" s="42" t="s">
        <v>3</v>
      </c>
      <c r="H62" s="39">
        <v>2</v>
      </c>
      <c r="I62" s="40" t="s">
        <v>40</v>
      </c>
      <c r="J62" s="149">
        <v>80</v>
      </c>
      <c r="K62" s="104">
        <v>200</v>
      </c>
      <c r="L62" s="104">
        <v>650</v>
      </c>
      <c r="M62" s="150">
        <v>5.2375586746823686</v>
      </c>
      <c r="N62" s="78">
        <v>107.38253566295998</v>
      </c>
      <c r="O62" s="111">
        <v>11007.354637607063</v>
      </c>
      <c r="P62" s="109">
        <v>12448.880861192845</v>
      </c>
      <c r="Q62" s="110">
        <v>7513.8655494313916</v>
      </c>
      <c r="R62" s="258">
        <v>18521.220187038452</v>
      </c>
      <c r="S62" s="259">
        <v>19962.746410624237</v>
      </c>
      <c r="U62" s="7" t="s">
        <v>1740</v>
      </c>
    </row>
    <row r="63" spans="1:21" s="65" customFormat="1" ht="16.5" customHeight="1" thickBot="1">
      <c r="A63" s="41" t="s">
        <v>31</v>
      </c>
      <c r="B63" s="42">
        <f t="shared" si="3"/>
        <v>80</v>
      </c>
      <c r="C63" s="42" t="s">
        <v>3</v>
      </c>
      <c r="D63" s="42">
        <f t="shared" si="4"/>
        <v>200</v>
      </c>
      <c r="E63" s="42" t="s">
        <v>3</v>
      </c>
      <c r="F63" s="101">
        <f t="shared" si="5"/>
        <v>700</v>
      </c>
      <c r="G63" s="42" t="s">
        <v>3</v>
      </c>
      <c r="H63" s="39">
        <v>2</v>
      </c>
      <c r="I63" s="40" t="s">
        <v>40</v>
      </c>
      <c r="J63" s="149">
        <v>80</v>
      </c>
      <c r="K63" s="104">
        <v>200</v>
      </c>
      <c r="L63" s="104">
        <v>700</v>
      </c>
      <c r="M63" s="150">
        <v>5.5882629440360523</v>
      </c>
      <c r="N63" s="78">
        <v>125.27962494011997</v>
      </c>
      <c r="O63" s="111">
        <v>11434.285916738938</v>
      </c>
      <c r="P63" s="109">
        <v>12972.852577210966</v>
      </c>
      <c r="Q63" s="110">
        <v>8155.8760034286815</v>
      </c>
      <c r="R63" s="258">
        <v>19590.161920167619</v>
      </c>
      <c r="S63" s="259">
        <v>21128.728580639647</v>
      </c>
      <c r="U63" s="7" t="s">
        <v>1741</v>
      </c>
    </row>
    <row r="64" spans="1:21" s="65" customFormat="1" ht="16.5" customHeight="1" thickBot="1">
      <c r="A64" s="41" t="s">
        <v>31</v>
      </c>
      <c r="B64" s="42">
        <f t="shared" si="3"/>
        <v>80</v>
      </c>
      <c r="C64" s="42" t="s">
        <v>3</v>
      </c>
      <c r="D64" s="42">
        <f t="shared" si="4"/>
        <v>200</v>
      </c>
      <c r="E64" s="42" t="s">
        <v>3</v>
      </c>
      <c r="F64" s="101">
        <f t="shared" si="5"/>
        <v>750</v>
      </c>
      <c r="G64" s="42" t="s">
        <v>3</v>
      </c>
      <c r="H64" s="39">
        <v>2</v>
      </c>
      <c r="I64" s="40" t="s">
        <v>40</v>
      </c>
      <c r="J64" s="149">
        <v>80</v>
      </c>
      <c r="K64" s="104">
        <v>200</v>
      </c>
      <c r="L64" s="104">
        <v>750</v>
      </c>
      <c r="M64" s="150">
        <v>5.9389672133897378</v>
      </c>
      <c r="N64" s="78">
        <v>143.17671421727999</v>
      </c>
      <c r="O64" s="111">
        <v>11861.217195870813</v>
      </c>
      <c r="P64" s="109">
        <v>13496.824293229087</v>
      </c>
      <c r="Q64" s="110">
        <v>8546.5523196422018</v>
      </c>
      <c r="R64" s="258">
        <v>20407.769515513013</v>
      </c>
      <c r="S64" s="259">
        <v>22043.376612871289</v>
      </c>
      <c r="U64" s="7" t="s">
        <v>1742</v>
      </c>
    </row>
    <row r="65" spans="1:21" s="65" customFormat="1" ht="16.5" customHeight="1" thickBot="1">
      <c r="A65" s="41" t="s">
        <v>31</v>
      </c>
      <c r="B65" s="42">
        <f t="shared" si="3"/>
        <v>80</v>
      </c>
      <c r="C65" s="42" t="s">
        <v>3</v>
      </c>
      <c r="D65" s="42">
        <f t="shared" si="4"/>
        <v>200</v>
      </c>
      <c r="E65" s="42" t="s">
        <v>3</v>
      </c>
      <c r="F65" s="101">
        <f t="shared" si="5"/>
        <v>800</v>
      </c>
      <c r="G65" s="42" t="s">
        <v>3</v>
      </c>
      <c r="H65" s="39">
        <v>2</v>
      </c>
      <c r="I65" s="40" t="s">
        <v>40</v>
      </c>
      <c r="J65" s="149">
        <v>80</v>
      </c>
      <c r="K65" s="104">
        <v>200</v>
      </c>
      <c r="L65" s="104">
        <v>800</v>
      </c>
      <c r="M65" s="150">
        <v>6.2896714827434206</v>
      </c>
      <c r="N65" s="78">
        <v>161.07380349443997</v>
      </c>
      <c r="O65" s="111">
        <v>12288.148475002687</v>
      </c>
      <c r="P65" s="109">
        <v>14020.796009247209</v>
      </c>
      <c r="Q65" s="110">
        <v>8937.2286358557212</v>
      </c>
      <c r="R65" s="258">
        <v>21225.377110858408</v>
      </c>
      <c r="S65" s="259">
        <v>22958.024645102931</v>
      </c>
      <c r="U65" s="7" t="s">
        <v>1743</v>
      </c>
    </row>
    <row r="66" spans="1:21" s="65" customFormat="1" ht="16.5" customHeight="1" thickBot="1">
      <c r="A66" s="41" t="s">
        <v>31</v>
      </c>
      <c r="B66" s="42">
        <f t="shared" si="3"/>
        <v>80</v>
      </c>
      <c r="C66" s="42" t="s">
        <v>3</v>
      </c>
      <c r="D66" s="42">
        <f t="shared" si="4"/>
        <v>200</v>
      </c>
      <c r="E66" s="42" t="s">
        <v>3</v>
      </c>
      <c r="F66" s="101">
        <f t="shared" si="5"/>
        <v>850</v>
      </c>
      <c r="G66" s="42" t="s">
        <v>3</v>
      </c>
      <c r="H66" s="39">
        <v>2</v>
      </c>
      <c r="I66" s="40" t="s">
        <v>40</v>
      </c>
      <c r="J66" s="149">
        <v>80</v>
      </c>
      <c r="K66" s="104">
        <v>200</v>
      </c>
      <c r="L66" s="104">
        <v>850</v>
      </c>
      <c r="M66" s="150">
        <v>6.6403757520971052</v>
      </c>
      <c r="N66" s="78">
        <v>178.97089277159998</v>
      </c>
      <c r="O66" s="111">
        <v>12715.079754134562</v>
      </c>
      <c r="P66" s="109">
        <v>14544.767878294095</v>
      </c>
      <c r="Q66" s="110">
        <v>9579.239089853012</v>
      </c>
      <c r="R66" s="258">
        <v>22294.318843987574</v>
      </c>
      <c r="S66" s="259">
        <v>24124.006968147107</v>
      </c>
      <c r="U66" s="7" t="s">
        <v>1744</v>
      </c>
    </row>
    <row r="67" spans="1:21" s="65" customFormat="1" ht="16.5" customHeight="1" thickBot="1">
      <c r="A67" s="41" t="s">
        <v>31</v>
      </c>
      <c r="B67" s="42">
        <f t="shared" si="3"/>
        <v>80</v>
      </c>
      <c r="C67" s="42" t="s">
        <v>3</v>
      </c>
      <c r="D67" s="42">
        <f t="shared" si="4"/>
        <v>200</v>
      </c>
      <c r="E67" s="42" t="s">
        <v>3</v>
      </c>
      <c r="F67" s="101">
        <f t="shared" si="5"/>
        <v>900</v>
      </c>
      <c r="G67" s="42" t="s">
        <v>3</v>
      </c>
      <c r="H67" s="39">
        <v>2</v>
      </c>
      <c r="I67" s="40" t="s">
        <v>40</v>
      </c>
      <c r="J67" s="149">
        <v>80</v>
      </c>
      <c r="K67" s="104">
        <v>200</v>
      </c>
      <c r="L67" s="104">
        <v>900</v>
      </c>
      <c r="M67" s="150">
        <v>6.9910800214507898</v>
      </c>
      <c r="N67" s="78">
        <v>196.86798204875998</v>
      </c>
      <c r="O67" s="111">
        <v>13142.011033266437</v>
      </c>
      <c r="P67" s="109">
        <v>15068.739594312217</v>
      </c>
      <c r="Q67" s="110">
        <v>9969.915559095296</v>
      </c>
      <c r="R67" s="258">
        <v>23111.926592361735</v>
      </c>
      <c r="S67" s="259">
        <v>25038.655153407512</v>
      </c>
      <c r="U67" s="7" t="s">
        <v>1745</v>
      </c>
    </row>
    <row r="68" spans="1:21" s="65" customFormat="1" ht="16.5" customHeight="1" thickBot="1">
      <c r="A68" s="41" t="s">
        <v>31</v>
      </c>
      <c r="B68" s="42">
        <f t="shared" si="3"/>
        <v>80</v>
      </c>
      <c r="C68" s="42" t="s">
        <v>3</v>
      </c>
      <c r="D68" s="42">
        <f t="shared" si="4"/>
        <v>200</v>
      </c>
      <c r="E68" s="42" t="s">
        <v>3</v>
      </c>
      <c r="F68" s="101">
        <f t="shared" si="5"/>
        <v>950</v>
      </c>
      <c r="G68" s="42" t="s">
        <v>3</v>
      </c>
      <c r="H68" s="39">
        <v>2</v>
      </c>
      <c r="I68" s="40" t="s">
        <v>40</v>
      </c>
      <c r="J68" s="149">
        <v>80</v>
      </c>
      <c r="K68" s="104">
        <v>200</v>
      </c>
      <c r="L68" s="104">
        <v>950</v>
      </c>
      <c r="M68" s="150">
        <v>7.3417842908044735</v>
      </c>
      <c r="N68" s="78">
        <v>214.76507132591996</v>
      </c>
      <c r="O68" s="111">
        <v>13568.942312398311</v>
      </c>
      <c r="P68" s="109">
        <v>15592.711310330336</v>
      </c>
      <c r="Q68" s="110">
        <v>10611.926013092587</v>
      </c>
      <c r="R68" s="258">
        <v>24180.868325490897</v>
      </c>
      <c r="S68" s="259">
        <v>26204.637323422925</v>
      </c>
      <c r="U68" s="7" t="s">
        <v>1746</v>
      </c>
    </row>
    <row r="69" spans="1:21" s="65" customFormat="1" ht="16.5" customHeight="1" thickBot="1">
      <c r="A69" s="41" t="s">
        <v>31</v>
      </c>
      <c r="B69" s="42">
        <f t="shared" si="3"/>
        <v>80</v>
      </c>
      <c r="C69" s="42" t="s">
        <v>3</v>
      </c>
      <c r="D69" s="42">
        <f t="shared" si="4"/>
        <v>200</v>
      </c>
      <c r="E69" s="42" t="s">
        <v>3</v>
      </c>
      <c r="F69" s="101">
        <f t="shared" si="5"/>
        <v>1000</v>
      </c>
      <c r="G69" s="42" t="s">
        <v>3</v>
      </c>
      <c r="H69" s="39">
        <v>2</v>
      </c>
      <c r="I69" s="40" t="s">
        <v>40</v>
      </c>
      <c r="J69" s="149">
        <v>80</v>
      </c>
      <c r="K69" s="104">
        <v>200</v>
      </c>
      <c r="L69" s="104">
        <v>1000</v>
      </c>
      <c r="M69" s="150">
        <v>7.6924885601581572</v>
      </c>
      <c r="N69" s="78">
        <v>232.66216060307997</v>
      </c>
      <c r="O69" s="111">
        <v>13995.873591530186</v>
      </c>
      <c r="P69" s="109">
        <v>16116.683026348457</v>
      </c>
      <c r="Q69" s="110">
        <v>11002.602329306106</v>
      </c>
      <c r="R69" s="258">
        <v>24998.475920836292</v>
      </c>
      <c r="S69" s="259">
        <v>27119.285355654563</v>
      </c>
      <c r="U69" s="7" t="s">
        <v>1747</v>
      </c>
    </row>
    <row r="70" spans="1:21" s="65" customFormat="1" ht="16.5" customHeight="1" thickBot="1">
      <c r="A70" s="41" t="s">
        <v>31</v>
      </c>
      <c r="B70" s="42">
        <f t="shared" si="3"/>
        <v>80</v>
      </c>
      <c r="C70" s="42" t="s">
        <v>3</v>
      </c>
      <c r="D70" s="42">
        <f t="shared" si="4"/>
        <v>200</v>
      </c>
      <c r="E70" s="42" t="s">
        <v>3</v>
      </c>
      <c r="F70" s="101">
        <f t="shared" si="5"/>
        <v>1050</v>
      </c>
      <c r="G70" s="42" t="s">
        <v>3</v>
      </c>
      <c r="H70" s="39">
        <v>2</v>
      </c>
      <c r="I70" s="40" t="s">
        <v>40</v>
      </c>
      <c r="J70" s="149">
        <v>80</v>
      </c>
      <c r="K70" s="104">
        <v>200</v>
      </c>
      <c r="L70" s="104">
        <v>1050</v>
      </c>
      <c r="M70" s="150">
        <v>8.0431928295118418</v>
      </c>
      <c r="N70" s="78">
        <v>250.55924988023995</v>
      </c>
      <c r="O70" s="111">
        <v>14422.804870662061</v>
      </c>
      <c r="P70" s="109">
        <v>16640.65474236658</v>
      </c>
      <c r="Q70" s="110">
        <v>11644.612783303395</v>
      </c>
      <c r="R70" s="258">
        <v>26067.417653965458</v>
      </c>
      <c r="S70" s="259">
        <v>28285.267525669973</v>
      </c>
      <c r="U70" s="7" t="s">
        <v>1748</v>
      </c>
    </row>
    <row r="71" spans="1:21" s="65" customFormat="1" ht="16.5" customHeight="1" thickBot="1">
      <c r="A71" s="38" t="s">
        <v>31</v>
      </c>
      <c r="B71" s="39">
        <f t="shared" si="3"/>
        <v>80</v>
      </c>
      <c r="C71" s="39" t="s">
        <v>3</v>
      </c>
      <c r="D71" s="39">
        <f t="shared" si="4"/>
        <v>200</v>
      </c>
      <c r="E71" s="39" t="s">
        <v>3</v>
      </c>
      <c r="F71" s="101">
        <f t="shared" si="5"/>
        <v>1100</v>
      </c>
      <c r="G71" s="39" t="s">
        <v>3</v>
      </c>
      <c r="H71" s="39">
        <v>2</v>
      </c>
      <c r="I71" s="40" t="s">
        <v>40</v>
      </c>
      <c r="J71" s="149">
        <v>80</v>
      </c>
      <c r="K71" s="104">
        <v>200</v>
      </c>
      <c r="L71" s="104">
        <v>1100</v>
      </c>
      <c r="M71" s="150">
        <v>8.3938970988655264</v>
      </c>
      <c r="N71" s="78">
        <v>268.45633915739995</v>
      </c>
      <c r="O71" s="111">
        <v>14849.736149793936</v>
      </c>
      <c r="P71" s="109">
        <v>17164.626458384701</v>
      </c>
      <c r="Q71" s="110">
        <v>12035.289252545683</v>
      </c>
      <c r="R71" s="258">
        <v>26885.025402339619</v>
      </c>
      <c r="S71" s="259">
        <v>29199.915710930385</v>
      </c>
      <c r="U71" s="7" t="s">
        <v>1749</v>
      </c>
    </row>
    <row r="72" spans="1:21" s="65" customFormat="1" ht="16.5" customHeight="1" thickBot="1">
      <c r="A72" s="41" t="s">
        <v>31</v>
      </c>
      <c r="B72" s="42">
        <f t="shared" si="3"/>
        <v>80</v>
      </c>
      <c r="C72" s="42" t="s">
        <v>3</v>
      </c>
      <c r="D72" s="42">
        <f t="shared" si="4"/>
        <v>200</v>
      </c>
      <c r="E72" s="42" t="s">
        <v>3</v>
      </c>
      <c r="F72" s="101">
        <f t="shared" si="5"/>
        <v>1150</v>
      </c>
      <c r="G72" s="42" t="s">
        <v>3</v>
      </c>
      <c r="H72" s="39">
        <v>2</v>
      </c>
      <c r="I72" s="40" t="s">
        <v>40</v>
      </c>
      <c r="J72" s="149">
        <v>80</v>
      </c>
      <c r="K72" s="104">
        <v>200</v>
      </c>
      <c r="L72" s="104">
        <v>1150</v>
      </c>
      <c r="M72" s="150">
        <v>8.744601368219211</v>
      </c>
      <c r="N72" s="78">
        <v>286.35342843455999</v>
      </c>
      <c r="O72" s="111">
        <v>15276.667581954574</v>
      </c>
      <c r="P72" s="109">
        <v>17688.598174402821</v>
      </c>
      <c r="Q72" s="110">
        <v>12425.965568759202</v>
      </c>
      <c r="R72" s="258">
        <v>27702.633150713777</v>
      </c>
      <c r="S72" s="259">
        <v>30114.563743162023</v>
      </c>
      <c r="U72" s="7" t="s">
        <v>1750</v>
      </c>
    </row>
    <row r="73" spans="1:21" s="65" customFormat="1" ht="16.5" customHeight="1" thickBot="1">
      <c r="A73" s="41" t="s">
        <v>31</v>
      </c>
      <c r="B73" s="42">
        <f t="shared" si="3"/>
        <v>80</v>
      </c>
      <c r="C73" s="42" t="s">
        <v>3</v>
      </c>
      <c r="D73" s="42">
        <f t="shared" si="4"/>
        <v>200</v>
      </c>
      <c r="E73" s="42" t="s">
        <v>3</v>
      </c>
      <c r="F73" s="101">
        <f t="shared" si="5"/>
        <v>1200</v>
      </c>
      <c r="G73" s="42" t="s">
        <v>3</v>
      </c>
      <c r="H73" s="39">
        <v>2</v>
      </c>
      <c r="I73" s="40" t="s">
        <v>40</v>
      </c>
      <c r="J73" s="149">
        <v>80</v>
      </c>
      <c r="K73" s="104">
        <v>200</v>
      </c>
      <c r="L73" s="104">
        <v>1200</v>
      </c>
      <c r="M73" s="150">
        <v>9.1345556375728947</v>
      </c>
      <c r="N73" s="78">
        <v>304.25051771171997</v>
      </c>
      <c r="O73" s="111">
        <v>15753.599020717096</v>
      </c>
      <c r="P73" s="109">
        <v>18261.046189608474</v>
      </c>
      <c r="Q73" s="110">
        <v>13067.976022756491</v>
      </c>
      <c r="R73" s="258">
        <v>28821.575043473589</v>
      </c>
      <c r="S73" s="259">
        <v>31329.022212364966</v>
      </c>
      <c r="U73" s="7" t="s">
        <v>1751</v>
      </c>
    </row>
    <row r="74" spans="1:21" s="65" customFormat="1" ht="16.5" customHeight="1" thickBot="1">
      <c r="A74" s="41" t="s">
        <v>31</v>
      </c>
      <c r="B74" s="42">
        <f t="shared" si="3"/>
        <v>80</v>
      </c>
      <c r="C74" s="42" t="s">
        <v>3</v>
      </c>
      <c r="D74" s="42">
        <f t="shared" si="4"/>
        <v>200</v>
      </c>
      <c r="E74" s="42" t="s">
        <v>3</v>
      </c>
      <c r="F74" s="101">
        <f t="shared" si="5"/>
        <v>1250</v>
      </c>
      <c r="G74" s="42" t="s">
        <v>3</v>
      </c>
      <c r="H74" s="39">
        <v>2</v>
      </c>
      <c r="I74" s="40" t="s">
        <v>40</v>
      </c>
      <c r="J74" s="149">
        <v>80</v>
      </c>
      <c r="K74" s="104">
        <v>200</v>
      </c>
      <c r="L74" s="104">
        <v>1250</v>
      </c>
      <c r="M74" s="150">
        <v>9.4852599069265793</v>
      </c>
      <c r="N74" s="78">
        <v>322.14760698887994</v>
      </c>
      <c r="O74" s="111">
        <v>16180.530299848971</v>
      </c>
      <c r="P74" s="109">
        <v>18785.017905626595</v>
      </c>
      <c r="Q74" s="110">
        <v>13458.652338970012</v>
      </c>
      <c r="R74" s="258">
        <v>29639.182638818984</v>
      </c>
      <c r="S74" s="259">
        <v>32243.670244596608</v>
      </c>
      <c r="U74" s="7" t="s">
        <v>1752</v>
      </c>
    </row>
    <row r="75" spans="1:21" s="65" customFormat="1" ht="16.5" customHeight="1" thickBot="1">
      <c r="A75" s="41" t="s">
        <v>31</v>
      </c>
      <c r="B75" s="42">
        <f t="shared" si="3"/>
        <v>80</v>
      </c>
      <c r="C75" s="42" t="s">
        <v>3</v>
      </c>
      <c r="D75" s="42">
        <f t="shared" si="4"/>
        <v>200</v>
      </c>
      <c r="E75" s="42" t="s">
        <v>3</v>
      </c>
      <c r="F75" s="101">
        <f t="shared" si="5"/>
        <v>1300</v>
      </c>
      <c r="G75" s="42" t="s">
        <v>3</v>
      </c>
      <c r="H75" s="39">
        <v>2</v>
      </c>
      <c r="I75" s="40" t="s">
        <v>40</v>
      </c>
      <c r="J75" s="149">
        <v>80</v>
      </c>
      <c r="K75" s="104">
        <v>200</v>
      </c>
      <c r="L75" s="104">
        <v>1300</v>
      </c>
      <c r="M75" s="150">
        <v>9.8359641762802621</v>
      </c>
      <c r="N75" s="78">
        <v>340.04469626603992</v>
      </c>
      <c r="O75" s="111">
        <v>16607.461578980845</v>
      </c>
      <c r="P75" s="109">
        <v>19308.989621644716</v>
      </c>
      <c r="Q75" s="110">
        <v>14100.662792967301</v>
      </c>
      <c r="R75" s="258">
        <v>30708.124371948146</v>
      </c>
      <c r="S75" s="259">
        <v>33409.652414612021</v>
      </c>
      <c r="U75" s="7" t="s">
        <v>1753</v>
      </c>
    </row>
    <row r="76" spans="1:21" s="65" customFormat="1" ht="16.5" customHeight="1" thickBot="1">
      <c r="A76" s="41" t="s">
        <v>31</v>
      </c>
      <c r="B76" s="42">
        <f t="shared" si="3"/>
        <v>80</v>
      </c>
      <c r="C76" s="42" t="s">
        <v>3</v>
      </c>
      <c r="D76" s="42">
        <f t="shared" si="4"/>
        <v>200</v>
      </c>
      <c r="E76" s="42" t="s">
        <v>3</v>
      </c>
      <c r="F76" s="101">
        <f t="shared" si="5"/>
        <v>1350</v>
      </c>
      <c r="G76" s="42" t="s">
        <v>3</v>
      </c>
      <c r="H76" s="39">
        <v>2</v>
      </c>
      <c r="I76" s="40" t="s">
        <v>40</v>
      </c>
      <c r="J76" s="149">
        <v>80</v>
      </c>
      <c r="K76" s="104">
        <v>200</v>
      </c>
      <c r="L76" s="104">
        <v>1350</v>
      </c>
      <c r="M76" s="150">
        <v>10.186668445633947</v>
      </c>
      <c r="N76" s="78">
        <v>357.94178554319996</v>
      </c>
      <c r="O76" s="111">
        <v>17034.392858112722</v>
      </c>
      <c r="P76" s="109">
        <v>19832.961337662837</v>
      </c>
      <c r="Q76" s="110">
        <v>14491.339262209587</v>
      </c>
      <c r="R76" s="258">
        <v>31525.732120322311</v>
      </c>
      <c r="S76" s="259">
        <v>34324.300599872426</v>
      </c>
      <c r="U76" s="7" t="s">
        <v>1754</v>
      </c>
    </row>
    <row r="77" spans="1:21" s="65" customFormat="1" ht="16.5" customHeight="1" thickBot="1">
      <c r="A77" s="41" t="s">
        <v>31</v>
      </c>
      <c r="B77" s="42">
        <f t="shared" si="3"/>
        <v>80</v>
      </c>
      <c r="C77" s="42" t="s">
        <v>3</v>
      </c>
      <c r="D77" s="42">
        <f t="shared" si="4"/>
        <v>200</v>
      </c>
      <c r="E77" s="42" t="s">
        <v>3</v>
      </c>
      <c r="F77" s="101">
        <f t="shared" si="5"/>
        <v>1400</v>
      </c>
      <c r="G77" s="42" t="s">
        <v>3</v>
      </c>
      <c r="H77" s="39">
        <v>2</v>
      </c>
      <c r="I77" s="40" t="s">
        <v>40</v>
      </c>
      <c r="J77" s="149">
        <v>80</v>
      </c>
      <c r="K77" s="104">
        <v>200</v>
      </c>
      <c r="L77" s="104">
        <v>1400</v>
      </c>
      <c r="M77" s="150">
        <v>10.537372714987631</v>
      </c>
      <c r="N77" s="78">
        <v>375.83887482035999</v>
      </c>
      <c r="O77" s="111">
        <v>17461.324137244595</v>
      </c>
      <c r="P77" s="109">
        <v>20356.933053680958</v>
      </c>
      <c r="Q77" s="110">
        <v>15133.349716206876</v>
      </c>
      <c r="R77" s="258">
        <v>32594.673853451473</v>
      </c>
      <c r="S77" s="259">
        <v>35490.282769887832</v>
      </c>
      <c r="U77" s="7" t="s">
        <v>1755</v>
      </c>
    </row>
    <row r="78" spans="1:21" s="65" customFormat="1" ht="16.5" customHeight="1" thickBot="1">
      <c r="A78" s="41" t="s">
        <v>31</v>
      </c>
      <c r="B78" s="42">
        <f t="shared" si="3"/>
        <v>80</v>
      </c>
      <c r="C78" s="42" t="s">
        <v>3</v>
      </c>
      <c r="D78" s="42">
        <f t="shared" si="4"/>
        <v>200</v>
      </c>
      <c r="E78" s="42" t="s">
        <v>3</v>
      </c>
      <c r="F78" s="101">
        <f t="shared" si="5"/>
        <v>1450</v>
      </c>
      <c r="G78" s="42" t="s">
        <v>3</v>
      </c>
      <c r="H78" s="39">
        <v>2</v>
      </c>
      <c r="I78" s="40" t="s">
        <v>40</v>
      </c>
      <c r="J78" s="149">
        <v>80</v>
      </c>
      <c r="K78" s="104">
        <v>200</v>
      </c>
      <c r="L78" s="104">
        <v>1450</v>
      </c>
      <c r="M78" s="150">
        <v>10.888076984341316</v>
      </c>
      <c r="N78" s="78">
        <v>393.73596409751997</v>
      </c>
      <c r="O78" s="111">
        <v>17888.255569405232</v>
      </c>
      <c r="P78" s="109">
        <v>20880.904922727845</v>
      </c>
      <c r="Q78" s="110">
        <v>15524.026032420395</v>
      </c>
      <c r="R78" s="258">
        <v>33412.281601825627</v>
      </c>
      <c r="S78" s="259">
        <v>36404.930955148244</v>
      </c>
      <c r="U78" s="7" t="s">
        <v>1756</v>
      </c>
    </row>
    <row r="79" spans="1:21" s="65" customFormat="1" ht="16.5" customHeight="1" thickBot="1">
      <c r="A79" s="41" t="s">
        <v>31</v>
      </c>
      <c r="B79" s="42">
        <f t="shared" si="3"/>
        <v>80</v>
      </c>
      <c r="C79" s="42" t="s">
        <v>3</v>
      </c>
      <c r="D79" s="42">
        <f t="shared" si="4"/>
        <v>200</v>
      </c>
      <c r="E79" s="42" t="s">
        <v>3</v>
      </c>
      <c r="F79" s="101">
        <f t="shared" si="5"/>
        <v>1500</v>
      </c>
      <c r="G79" s="42" t="s">
        <v>3</v>
      </c>
      <c r="H79" s="39">
        <v>2</v>
      </c>
      <c r="I79" s="40" t="s">
        <v>40</v>
      </c>
      <c r="J79" s="149">
        <v>80</v>
      </c>
      <c r="K79" s="104">
        <v>200</v>
      </c>
      <c r="L79" s="104">
        <v>1500</v>
      </c>
      <c r="M79" s="150">
        <v>11.331344386494999</v>
      </c>
      <c r="N79" s="78">
        <v>411.63305337467989</v>
      </c>
      <c r="O79" s="111">
        <v>18903.171109122079</v>
      </c>
      <c r="P79" s="109">
        <v>21892.640218647863</v>
      </c>
      <c r="Q79" s="110">
        <v>16166.036486417688</v>
      </c>
      <c r="R79" s="258">
        <v>35069.207595539767</v>
      </c>
      <c r="S79" s="259">
        <v>38058.676705065547</v>
      </c>
      <c r="U79" s="7" t="s">
        <v>1757</v>
      </c>
    </row>
    <row r="80" spans="1:21" s="65" customFormat="1" ht="16.5" customHeight="1" thickBot="1">
      <c r="A80" s="41" t="s">
        <v>31</v>
      </c>
      <c r="B80" s="42">
        <f t="shared" si="3"/>
        <v>80</v>
      </c>
      <c r="C80" s="42" t="s">
        <v>3</v>
      </c>
      <c r="D80" s="42">
        <f t="shared" si="4"/>
        <v>200</v>
      </c>
      <c r="E80" s="42" t="s">
        <v>3</v>
      </c>
      <c r="F80" s="101">
        <f t="shared" si="5"/>
        <v>1550</v>
      </c>
      <c r="G80" s="42" t="s">
        <v>3</v>
      </c>
      <c r="H80" s="39">
        <v>2</v>
      </c>
      <c r="I80" s="40" t="s">
        <v>40</v>
      </c>
      <c r="J80" s="149">
        <v>80</v>
      </c>
      <c r="K80" s="104">
        <v>200</v>
      </c>
      <c r="L80" s="104">
        <v>1550</v>
      </c>
      <c r="M80" s="150">
        <v>11.682048655848686</v>
      </c>
      <c r="N80" s="78">
        <v>429.53014265183992</v>
      </c>
      <c r="O80" s="111">
        <v>19330.102388253952</v>
      </c>
      <c r="P80" s="109">
        <v>22416.612087694746</v>
      </c>
      <c r="Q80" s="110">
        <v>16556.712955659972</v>
      </c>
      <c r="R80" s="258">
        <v>35886.815343913928</v>
      </c>
      <c r="S80" s="259">
        <v>38973.325043354722</v>
      </c>
      <c r="U80" s="7" t="s">
        <v>1758</v>
      </c>
    </row>
    <row r="81" spans="1:21" s="65" customFormat="1" ht="16.5" customHeight="1" thickBot="1">
      <c r="A81" s="38" t="s">
        <v>31</v>
      </c>
      <c r="B81" s="39">
        <f t="shared" si="3"/>
        <v>80</v>
      </c>
      <c r="C81" s="39" t="s">
        <v>3</v>
      </c>
      <c r="D81" s="39">
        <f t="shared" si="4"/>
        <v>200</v>
      </c>
      <c r="E81" s="39" t="s">
        <v>3</v>
      </c>
      <c r="F81" s="101">
        <f t="shared" si="5"/>
        <v>1600</v>
      </c>
      <c r="G81" s="39" t="s">
        <v>3</v>
      </c>
      <c r="H81" s="39">
        <v>2</v>
      </c>
      <c r="I81" s="40" t="s">
        <v>40</v>
      </c>
      <c r="J81" s="149">
        <v>80</v>
      </c>
      <c r="K81" s="104">
        <v>200</v>
      </c>
      <c r="L81" s="104">
        <v>1600</v>
      </c>
      <c r="M81" s="150">
        <v>12.032752925202367</v>
      </c>
      <c r="N81" s="78">
        <v>447.42723192899996</v>
      </c>
      <c r="O81" s="111">
        <v>19757.033667385829</v>
      </c>
      <c r="P81" s="109">
        <v>22940.583803712871</v>
      </c>
      <c r="Q81" s="110">
        <v>16947.389271873493</v>
      </c>
      <c r="R81" s="258">
        <v>36704.422939259326</v>
      </c>
      <c r="S81" s="259">
        <v>39887.973075586364</v>
      </c>
      <c r="U81" s="7" t="s">
        <v>1759</v>
      </c>
    </row>
    <row r="82" spans="1:21" s="65" customFormat="1" ht="16.5" customHeight="1" thickBot="1">
      <c r="A82" s="41" t="s">
        <v>31</v>
      </c>
      <c r="B82" s="42">
        <f t="shared" si="3"/>
        <v>80</v>
      </c>
      <c r="C82" s="42" t="s">
        <v>3</v>
      </c>
      <c r="D82" s="42">
        <f t="shared" si="4"/>
        <v>200</v>
      </c>
      <c r="E82" s="42" t="s">
        <v>3</v>
      </c>
      <c r="F82" s="101">
        <f t="shared" si="5"/>
        <v>1650</v>
      </c>
      <c r="G82" s="42" t="s">
        <v>3</v>
      </c>
      <c r="H82" s="39">
        <v>2</v>
      </c>
      <c r="I82" s="40" t="s">
        <v>40</v>
      </c>
      <c r="J82" s="149">
        <v>80</v>
      </c>
      <c r="K82" s="104">
        <v>200</v>
      </c>
      <c r="L82" s="104">
        <v>1650</v>
      </c>
      <c r="M82" s="150">
        <v>12.383457194556051</v>
      </c>
      <c r="N82" s="78">
        <v>465.32432120615994</v>
      </c>
      <c r="O82" s="111">
        <v>20183.964946517703</v>
      </c>
      <c r="P82" s="109">
        <v>23464.555519730991</v>
      </c>
      <c r="Q82" s="110">
        <v>17589.399725870782</v>
      </c>
      <c r="R82" s="258">
        <v>37773.364672388489</v>
      </c>
      <c r="S82" s="259">
        <v>41053.95524560177</v>
      </c>
      <c r="U82" s="7" t="s">
        <v>1760</v>
      </c>
    </row>
    <row r="83" spans="1:21" s="65" customFormat="1" ht="16.5" customHeight="1" thickBot="1">
      <c r="A83" s="41" t="s">
        <v>31</v>
      </c>
      <c r="B83" s="42">
        <f t="shared" si="3"/>
        <v>80</v>
      </c>
      <c r="C83" s="42" t="s">
        <v>3</v>
      </c>
      <c r="D83" s="42">
        <f t="shared" si="4"/>
        <v>200</v>
      </c>
      <c r="E83" s="42" t="s">
        <v>3</v>
      </c>
      <c r="F83" s="101">
        <f t="shared" si="5"/>
        <v>1700</v>
      </c>
      <c r="G83" s="42" t="s">
        <v>3</v>
      </c>
      <c r="H83" s="39">
        <v>2</v>
      </c>
      <c r="I83" s="40" t="s">
        <v>40</v>
      </c>
      <c r="J83" s="149">
        <v>80</v>
      </c>
      <c r="K83" s="104">
        <v>200</v>
      </c>
      <c r="L83" s="104">
        <v>1700</v>
      </c>
      <c r="M83" s="150">
        <v>12.734161463909736</v>
      </c>
      <c r="N83" s="78">
        <v>483.22141048331997</v>
      </c>
      <c r="O83" s="111">
        <v>20610.896225649576</v>
      </c>
      <c r="P83" s="109">
        <v>23988.527235749109</v>
      </c>
      <c r="Q83" s="110">
        <v>17980.076042084303</v>
      </c>
      <c r="R83" s="258">
        <v>38590.97226773388</v>
      </c>
      <c r="S83" s="259">
        <v>41968.603277833412</v>
      </c>
      <c r="U83" s="7" t="s">
        <v>1761</v>
      </c>
    </row>
    <row r="84" spans="1:21" s="65" customFormat="1" ht="16.5" customHeight="1" thickBot="1">
      <c r="A84" s="41" t="s">
        <v>31</v>
      </c>
      <c r="B84" s="42">
        <f t="shared" si="3"/>
        <v>80</v>
      </c>
      <c r="C84" s="42" t="s">
        <v>3</v>
      </c>
      <c r="D84" s="42">
        <f t="shared" si="4"/>
        <v>200</v>
      </c>
      <c r="E84" s="42" t="s">
        <v>3</v>
      </c>
      <c r="F84" s="101">
        <f t="shared" si="5"/>
        <v>1750</v>
      </c>
      <c r="G84" s="42" t="s">
        <v>3</v>
      </c>
      <c r="H84" s="39">
        <v>2</v>
      </c>
      <c r="I84" s="40" t="s">
        <v>40</v>
      </c>
      <c r="J84" s="149">
        <v>80</v>
      </c>
      <c r="K84" s="104">
        <v>200</v>
      </c>
      <c r="L84" s="104">
        <v>1750</v>
      </c>
      <c r="M84" s="150">
        <v>13.08486573326342</v>
      </c>
      <c r="N84" s="78">
        <v>501.11849976047989</v>
      </c>
      <c r="O84" s="111">
        <v>21037.82750478145</v>
      </c>
      <c r="P84" s="109">
        <v>24512.498951767233</v>
      </c>
      <c r="Q84" s="110">
        <v>18622.086496081592</v>
      </c>
      <c r="R84" s="258">
        <v>39659.914000863042</v>
      </c>
      <c r="S84" s="259">
        <v>43134.585447848825</v>
      </c>
      <c r="U84" s="7" t="s">
        <v>1762</v>
      </c>
    </row>
    <row r="85" spans="1:21" s="65" customFormat="1" ht="16.5" customHeight="1" thickBot="1">
      <c r="A85" s="41" t="s">
        <v>31</v>
      </c>
      <c r="B85" s="42">
        <f t="shared" si="3"/>
        <v>80</v>
      </c>
      <c r="C85" s="42" t="s">
        <v>3</v>
      </c>
      <c r="D85" s="42">
        <f t="shared" si="4"/>
        <v>200</v>
      </c>
      <c r="E85" s="42" t="s">
        <v>3</v>
      </c>
      <c r="F85" s="101">
        <f t="shared" si="5"/>
        <v>1800</v>
      </c>
      <c r="G85" s="42" t="s">
        <v>3</v>
      </c>
      <c r="H85" s="39">
        <v>2</v>
      </c>
      <c r="I85" s="40" t="s">
        <v>40</v>
      </c>
      <c r="J85" s="149">
        <v>80</v>
      </c>
      <c r="K85" s="104">
        <v>200</v>
      </c>
      <c r="L85" s="104">
        <v>1800</v>
      </c>
      <c r="M85" s="150">
        <v>13.435570002617101</v>
      </c>
      <c r="N85" s="78">
        <v>519.01558903763987</v>
      </c>
      <c r="O85" s="111">
        <v>21464.758783913327</v>
      </c>
      <c r="P85" s="109">
        <v>25036.470667785354</v>
      </c>
      <c r="Q85" s="110">
        <v>19012.762965323876</v>
      </c>
      <c r="R85" s="258">
        <v>40477.521749237203</v>
      </c>
      <c r="S85" s="259">
        <v>44049.23363310923</v>
      </c>
      <c r="U85" s="7" t="s">
        <v>1763</v>
      </c>
    </row>
    <row r="86" spans="1:21" s="65" customFormat="1" ht="16.5" customHeight="1" thickBot="1">
      <c r="A86" s="41" t="s">
        <v>31</v>
      </c>
      <c r="B86" s="42">
        <f t="shared" si="3"/>
        <v>80</v>
      </c>
      <c r="C86" s="42" t="s">
        <v>3</v>
      </c>
      <c r="D86" s="42">
        <f t="shared" si="4"/>
        <v>200</v>
      </c>
      <c r="E86" s="42" t="s">
        <v>3</v>
      </c>
      <c r="F86" s="101">
        <f t="shared" si="5"/>
        <v>1850</v>
      </c>
      <c r="G86" s="42" t="s">
        <v>3</v>
      </c>
      <c r="H86" s="39">
        <v>2</v>
      </c>
      <c r="I86" s="40" t="s">
        <v>40</v>
      </c>
      <c r="J86" s="149">
        <v>80</v>
      </c>
      <c r="K86" s="104">
        <v>200</v>
      </c>
      <c r="L86" s="104">
        <v>1850</v>
      </c>
      <c r="M86" s="150">
        <v>13.78627427197079</v>
      </c>
      <c r="N86" s="78">
        <v>536.9126783147999</v>
      </c>
      <c r="O86" s="111">
        <v>21891.6900630452</v>
      </c>
      <c r="P86" s="109">
        <v>25560.442383803478</v>
      </c>
      <c r="Q86" s="110">
        <v>19654.773419321165</v>
      </c>
      <c r="R86" s="258">
        <v>41546.463482366365</v>
      </c>
      <c r="S86" s="259">
        <v>45215.215803124644</v>
      </c>
      <c r="U86" s="7" t="s">
        <v>1764</v>
      </c>
    </row>
    <row r="87" spans="1:21" s="65" customFormat="1" ht="16.5" customHeight="1" thickBot="1">
      <c r="A87" s="41" t="s">
        <v>31</v>
      </c>
      <c r="B87" s="42">
        <f t="shared" si="3"/>
        <v>80</v>
      </c>
      <c r="C87" s="42" t="s">
        <v>3</v>
      </c>
      <c r="D87" s="42">
        <f t="shared" si="4"/>
        <v>200</v>
      </c>
      <c r="E87" s="42" t="s">
        <v>3</v>
      </c>
      <c r="F87" s="101">
        <f t="shared" si="5"/>
        <v>1900</v>
      </c>
      <c r="G87" s="42" t="s">
        <v>3</v>
      </c>
      <c r="H87" s="39">
        <v>2</v>
      </c>
      <c r="I87" s="40" t="s">
        <v>40</v>
      </c>
      <c r="J87" s="149">
        <v>80</v>
      </c>
      <c r="K87" s="104">
        <v>200</v>
      </c>
      <c r="L87" s="104">
        <v>1900</v>
      </c>
      <c r="M87" s="150">
        <v>14.136978541324471</v>
      </c>
      <c r="N87" s="78">
        <v>554.80976759195994</v>
      </c>
      <c r="O87" s="111">
        <v>22318.621342177074</v>
      </c>
      <c r="P87" s="109">
        <v>26084.414252850362</v>
      </c>
      <c r="Q87" s="110">
        <v>20045.449735534687</v>
      </c>
      <c r="R87" s="258">
        <v>42364.071077711764</v>
      </c>
      <c r="S87" s="259">
        <v>46129.863988385048</v>
      </c>
      <c r="U87" s="7" t="s">
        <v>1765</v>
      </c>
    </row>
    <row r="88" spans="1:21" s="65" customFormat="1" ht="16.5" customHeight="1" thickBot="1">
      <c r="A88" s="41" t="s">
        <v>31</v>
      </c>
      <c r="B88" s="42">
        <f t="shared" si="3"/>
        <v>80</v>
      </c>
      <c r="C88" s="42" t="s">
        <v>3</v>
      </c>
      <c r="D88" s="42">
        <f t="shared" si="4"/>
        <v>200</v>
      </c>
      <c r="E88" s="42" t="s">
        <v>3</v>
      </c>
      <c r="F88" s="101">
        <f t="shared" si="5"/>
        <v>1950</v>
      </c>
      <c r="G88" s="42" t="s">
        <v>3</v>
      </c>
      <c r="H88" s="39">
        <v>2</v>
      </c>
      <c r="I88" s="40" t="s">
        <v>40</v>
      </c>
      <c r="J88" s="149">
        <v>80</v>
      </c>
      <c r="K88" s="104">
        <v>200</v>
      </c>
      <c r="L88" s="104">
        <v>1950</v>
      </c>
      <c r="M88" s="150">
        <v>14.526932810678158</v>
      </c>
      <c r="N88" s="78">
        <v>572.70685686911997</v>
      </c>
      <c r="O88" s="111">
        <v>22795.552933968364</v>
      </c>
      <c r="P88" s="109">
        <v>26656.862115027248</v>
      </c>
      <c r="Q88" s="110">
        <v>20436.126051748208</v>
      </c>
      <c r="R88" s="258">
        <v>43231.678985716571</v>
      </c>
      <c r="S88" s="259">
        <v>47092.988166775453</v>
      </c>
      <c r="U88" s="7" t="s">
        <v>1766</v>
      </c>
    </row>
    <row r="89" spans="1:21" s="65" customFormat="1" ht="16.5" customHeight="1" thickBot="1">
      <c r="A89" s="41" t="s">
        <v>31</v>
      </c>
      <c r="B89" s="42">
        <f t="shared" si="3"/>
        <v>80</v>
      </c>
      <c r="C89" s="42" t="s">
        <v>3</v>
      </c>
      <c r="D89" s="42">
        <f t="shared" si="4"/>
        <v>200</v>
      </c>
      <c r="E89" s="42" t="s">
        <v>3</v>
      </c>
      <c r="F89" s="101">
        <f t="shared" si="5"/>
        <v>2000</v>
      </c>
      <c r="G89" s="42" t="s">
        <v>3</v>
      </c>
      <c r="H89" s="39">
        <v>2</v>
      </c>
      <c r="I89" s="40" t="s">
        <v>40</v>
      </c>
      <c r="J89" s="149">
        <v>80</v>
      </c>
      <c r="K89" s="104">
        <v>200</v>
      </c>
      <c r="L89" s="104">
        <v>2000</v>
      </c>
      <c r="M89" s="150">
        <v>14.96919948003184</v>
      </c>
      <c r="N89" s="78">
        <v>590.6039461462799</v>
      </c>
      <c r="O89" s="111">
        <v>23473.776114944831</v>
      </c>
      <c r="P89" s="109">
        <v>27509.26233041146</v>
      </c>
      <c r="Q89" s="110">
        <v>21078.136658774263</v>
      </c>
      <c r="R89" s="258">
        <v>44551.912773719094</v>
      </c>
      <c r="S89" s="259">
        <v>48587.39898918572</v>
      </c>
      <c r="U89" s="7" t="s">
        <v>1767</v>
      </c>
    </row>
    <row r="90" spans="1:21" s="65" customFormat="1" ht="16.5" customHeight="1" thickBot="1">
      <c r="A90" s="41" t="s">
        <v>31</v>
      </c>
      <c r="B90" s="42">
        <f t="shared" si="3"/>
        <v>80</v>
      </c>
      <c r="C90" s="42" t="s">
        <v>3</v>
      </c>
      <c r="D90" s="42">
        <f t="shared" si="4"/>
        <v>200</v>
      </c>
      <c r="E90" s="42" t="s">
        <v>3</v>
      </c>
      <c r="F90" s="101">
        <f t="shared" si="5"/>
        <v>2050</v>
      </c>
      <c r="G90" s="42" t="s">
        <v>3</v>
      </c>
      <c r="H90" s="39">
        <v>2</v>
      </c>
      <c r="I90" s="40" t="s">
        <v>40</v>
      </c>
      <c r="J90" s="149">
        <v>80</v>
      </c>
      <c r="K90" s="104">
        <v>200</v>
      </c>
      <c r="L90" s="104">
        <v>2050</v>
      </c>
      <c r="M90" s="150">
        <v>15.319903749385524</v>
      </c>
      <c r="N90" s="78">
        <v>608.50103542343993</v>
      </c>
      <c r="O90" s="111">
        <v>23900.707394076708</v>
      </c>
      <c r="P90" s="109">
        <v>28033.234046429588</v>
      </c>
      <c r="Q90" s="110">
        <v>21468.812974987781</v>
      </c>
      <c r="R90" s="258">
        <v>45369.520369064485</v>
      </c>
      <c r="S90" s="259">
        <v>49502.047021417369</v>
      </c>
      <c r="U90" s="7" t="s">
        <v>1768</v>
      </c>
    </row>
    <row r="91" spans="1:21" s="65" customFormat="1" ht="16.5" customHeight="1" thickBot="1">
      <c r="A91" s="38" t="s">
        <v>31</v>
      </c>
      <c r="B91" s="39">
        <f t="shared" si="3"/>
        <v>80</v>
      </c>
      <c r="C91" s="39" t="s">
        <v>3</v>
      </c>
      <c r="D91" s="39">
        <f t="shared" si="4"/>
        <v>200</v>
      </c>
      <c r="E91" s="39" t="s">
        <v>3</v>
      </c>
      <c r="F91" s="101">
        <f t="shared" si="5"/>
        <v>2100</v>
      </c>
      <c r="G91" s="39" t="s">
        <v>3</v>
      </c>
      <c r="H91" s="39">
        <v>2</v>
      </c>
      <c r="I91" s="40" t="s">
        <v>40</v>
      </c>
      <c r="J91" s="149">
        <v>80</v>
      </c>
      <c r="K91" s="104">
        <v>200</v>
      </c>
      <c r="L91" s="104">
        <v>2100</v>
      </c>
      <c r="M91" s="150">
        <v>15.670608018739207</v>
      </c>
      <c r="N91" s="78">
        <v>626.39812470059996</v>
      </c>
      <c r="O91" s="111">
        <v>24327.638673208581</v>
      </c>
      <c r="P91" s="109">
        <v>28557.205762447709</v>
      </c>
      <c r="Q91" s="110">
        <v>22110.823428985073</v>
      </c>
      <c r="R91" s="258">
        <v>46438.462102193655</v>
      </c>
      <c r="S91" s="259">
        <v>50668.029191432783</v>
      </c>
      <c r="U91" s="7" t="s">
        <v>1769</v>
      </c>
    </row>
    <row r="92" spans="1:21" s="65" customFormat="1" ht="16.5" customHeight="1" thickBot="1">
      <c r="A92" s="41" t="s">
        <v>31</v>
      </c>
      <c r="B92" s="42">
        <f t="shared" si="3"/>
        <v>80</v>
      </c>
      <c r="C92" s="42" t="s">
        <v>3</v>
      </c>
      <c r="D92" s="42">
        <f t="shared" si="4"/>
        <v>200</v>
      </c>
      <c r="E92" s="42" t="s">
        <v>3</v>
      </c>
      <c r="F92" s="101">
        <f t="shared" si="5"/>
        <v>2150</v>
      </c>
      <c r="G92" s="42" t="s">
        <v>3</v>
      </c>
      <c r="H92" s="39">
        <v>2</v>
      </c>
      <c r="I92" s="40" t="s">
        <v>40</v>
      </c>
      <c r="J92" s="149">
        <v>80</v>
      </c>
      <c r="K92" s="104">
        <v>200</v>
      </c>
      <c r="L92" s="104">
        <v>2150</v>
      </c>
      <c r="M92" s="150">
        <v>16.021312288092894</v>
      </c>
      <c r="N92" s="78">
        <v>644.29521397775989</v>
      </c>
      <c r="O92" s="111">
        <v>24754.569952340455</v>
      </c>
      <c r="P92" s="109">
        <v>29081.177631494593</v>
      </c>
      <c r="Q92" s="110">
        <v>22501.499745198591</v>
      </c>
      <c r="R92" s="258">
        <v>47256.069697539046</v>
      </c>
      <c r="S92" s="259">
        <v>51582.677376693187</v>
      </c>
      <c r="U92" s="7" t="s">
        <v>1770</v>
      </c>
    </row>
    <row r="93" spans="1:21" s="65" customFormat="1" ht="16.5" customHeight="1" thickBot="1">
      <c r="A93" s="41" t="s">
        <v>31</v>
      </c>
      <c r="B93" s="42">
        <f t="shared" si="3"/>
        <v>80</v>
      </c>
      <c r="C93" s="42" t="s">
        <v>3</v>
      </c>
      <c r="D93" s="42">
        <f t="shared" si="4"/>
        <v>200</v>
      </c>
      <c r="E93" s="42" t="s">
        <v>3</v>
      </c>
      <c r="F93" s="101">
        <f t="shared" si="5"/>
        <v>2200</v>
      </c>
      <c r="G93" s="42" t="s">
        <v>3</v>
      </c>
      <c r="H93" s="39">
        <v>2</v>
      </c>
      <c r="I93" s="40" t="s">
        <v>40</v>
      </c>
      <c r="J93" s="149">
        <v>80</v>
      </c>
      <c r="K93" s="104">
        <v>200</v>
      </c>
      <c r="L93" s="104">
        <v>2200</v>
      </c>
      <c r="M93" s="150">
        <v>16.372016557446578</v>
      </c>
      <c r="N93" s="78">
        <v>662.19230325491992</v>
      </c>
      <c r="O93" s="111">
        <v>25181.501231472332</v>
      </c>
      <c r="P93" s="109">
        <v>29605.149347512714</v>
      </c>
      <c r="Q93" s="110">
        <v>23143.510199195884</v>
      </c>
      <c r="R93" s="258">
        <v>48325.011430668215</v>
      </c>
      <c r="S93" s="259">
        <v>52748.659546708601</v>
      </c>
      <c r="U93" s="7" t="s">
        <v>1771</v>
      </c>
    </row>
    <row r="94" spans="1:21" s="65" customFormat="1" ht="16.5" customHeight="1" thickBot="1">
      <c r="A94" s="41" t="s">
        <v>31</v>
      </c>
      <c r="B94" s="42">
        <f t="shared" si="3"/>
        <v>80</v>
      </c>
      <c r="C94" s="42" t="s">
        <v>3</v>
      </c>
      <c r="D94" s="42">
        <f t="shared" si="4"/>
        <v>200</v>
      </c>
      <c r="E94" s="42" t="s">
        <v>3</v>
      </c>
      <c r="F94" s="101">
        <f t="shared" si="5"/>
        <v>2250</v>
      </c>
      <c r="G94" s="42" t="s">
        <v>3</v>
      </c>
      <c r="H94" s="39">
        <v>2</v>
      </c>
      <c r="I94" s="40" t="s">
        <v>40</v>
      </c>
      <c r="J94" s="149">
        <v>80</v>
      </c>
      <c r="K94" s="104">
        <v>200</v>
      </c>
      <c r="L94" s="104">
        <v>2250</v>
      </c>
      <c r="M94" s="150">
        <v>16.722720826800263</v>
      </c>
      <c r="N94" s="78">
        <v>680.08939253207984</v>
      </c>
      <c r="O94" s="111">
        <v>25608.432510604205</v>
      </c>
      <c r="P94" s="109">
        <v>30129.121063530834</v>
      </c>
      <c r="Q94" s="110">
        <v>23534.186668438168</v>
      </c>
      <c r="R94" s="258">
        <v>49142.619179042376</v>
      </c>
      <c r="S94" s="259">
        <v>53663.307731969006</v>
      </c>
      <c r="U94" s="7" t="s">
        <v>1772</v>
      </c>
    </row>
    <row r="95" spans="1:21" s="65" customFormat="1" ht="16.5" customHeight="1" thickBot="1">
      <c r="A95" s="41" t="s">
        <v>31</v>
      </c>
      <c r="B95" s="42">
        <f t="shared" si="3"/>
        <v>80</v>
      </c>
      <c r="C95" s="42" t="s">
        <v>3</v>
      </c>
      <c r="D95" s="42">
        <f t="shared" si="4"/>
        <v>200</v>
      </c>
      <c r="E95" s="42" t="s">
        <v>3</v>
      </c>
      <c r="F95" s="101">
        <f t="shared" si="5"/>
        <v>2300</v>
      </c>
      <c r="G95" s="42" t="s">
        <v>3</v>
      </c>
      <c r="H95" s="39">
        <v>2</v>
      </c>
      <c r="I95" s="40" t="s">
        <v>40</v>
      </c>
      <c r="J95" s="149">
        <v>80</v>
      </c>
      <c r="K95" s="104">
        <v>200</v>
      </c>
      <c r="L95" s="104">
        <v>2300</v>
      </c>
      <c r="M95" s="150">
        <v>17.073425096153947</v>
      </c>
      <c r="N95" s="78">
        <v>697.98648180923988</v>
      </c>
      <c r="O95" s="111">
        <v>26035.363789736082</v>
      </c>
      <c r="P95" s="109">
        <v>30653.092779548955</v>
      </c>
      <c r="Q95" s="110">
        <v>23924.862984651689</v>
      </c>
      <c r="R95" s="258">
        <v>49960.226774387775</v>
      </c>
      <c r="S95" s="259">
        <v>54577.95576420064</v>
      </c>
      <c r="U95" s="7" t="s">
        <v>1773</v>
      </c>
    </row>
    <row r="96" spans="1:21" s="65" customFormat="1" ht="16.5" customHeight="1" thickBot="1">
      <c r="A96" s="41" t="s">
        <v>31</v>
      </c>
      <c r="B96" s="42">
        <f t="shared" si="3"/>
        <v>80</v>
      </c>
      <c r="C96" s="42" t="s">
        <v>3</v>
      </c>
      <c r="D96" s="42">
        <f t="shared" si="4"/>
        <v>200</v>
      </c>
      <c r="E96" s="42" t="s">
        <v>3</v>
      </c>
      <c r="F96" s="101">
        <f t="shared" si="5"/>
        <v>2350</v>
      </c>
      <c r="G96" s="42" t="s">
        <v>3</v>
      </c>
      <c r="H96" s="39">
        <v>2</v>
      </c>
      <c r="I96" s="40" t="s">
        <v>40</v>
      </c>
      <c r="J96" s="149">
        <v>80</v>
      </c>
      <c r="K96" s="104">
        <v>200</v>
      </c>
      <c r="L96" s="104">
        <v>2350</v>
      </c>
      <c r="M96" s="150">
        <v>17.424129365507632</v>
      </c>
      <c r="N96" s="78">
        <v>715.88357108639991</v>
      </c>
      <c r="O96" s="111">
        <v>26462.295068867956</v>
      </c>
      <c r="P96" s="109">
        <v>31177.064495567076</v>
      </c>
      <c r="Q96" s="110">
        <v>24566.873438648978</v>
      </c>
      <c r="R96" s="258">
        <v>51029.168507516937</v>
      </c>
      <c r="S96" s="259">
        <v>55743.937934216054</v>
      </c>
      <c r="U96" s="7" t="s">
        <v>1774</v>
      </c>
    </row>
    <row r="97" spans="1:21" s="65" customFormat="1" ht="16.5" customHeight="1" thickBot="1">
      <c r="A97" s="41" t="s">
        <v>31</v>
      </c>
      <c r="B97" s="42">
        <f t="shared" si="3"/>
        <v>80</v>
      </c>
      <c r="C97" s="42" t="s">
        <v>3</v>
      </c>
      <c r="D97" s="42">
        <f t="shared" si="4"/>
        <v>200</v>
      </c>
      <c r="E97" s="42" t="s">
        <v>3</v>
      </c>
      <c r="F97" s="101">
        <f t="shared" si="5"/>
        <v>2400</v>
      </c>
      <c r="G97" s="42" t="s">
        <v>3</v>
      </c>
      <c r="H97" s="39">
        <v>2</v>
      </c>
      <c r="I97" s="40" t="s">
        <v>40</v>
      </c>
      <c r="J97" s="149">
        <v>80</v>
      </c>
      <c r="K97" s="104">
        <v>200</v>
      </c>
      <c r="L97" s="104">
        <v>2400</v>
      </c>
      <c r="M97" s="150">
        <v>17.774833634861313</v>
      </c>
      <c r="N97" s="78">
        <v>733.78066036355983</v>
      </c>
      <c r="O97" s="111">
        <v>26889.226347999829</v>
      </c>
      <c r="P97" s="109">
        <v>31701.036211585197</v>
      </c>
      <c r="Q97" s="110">
        <v>24957.549754862499</v>
      </c>
      <c r="R97" s="258">
        <v>51846.776102862328</v>
      </c>
      <c r="S97" s="259">
        <v>56658.585966447696</v>
      </c>
      <c r="U97" s="7" t="s">
        <v>1775</v>
      </c>
    </row>
    <row r="98" spans="1:21" s="65" customFormat="1" ht="16.5" customHeight="1" thickBot="1">
      <c r="A98" s="41" t="s">
        <v>31</v>
      </c>
      <c r="B98" s="42">
        <f t="shared" si="3"/>
        <v>80</v>
      </c>
      <c r="C98" s="42" t="s">
        <v>3</v>
      </c>
      <c r="D98" s="42">
        <f t="shared" si="4"/>
        <v>200</v>
      </c>
      <c r="E98" s="42" t="s">
        <v>3</v>
      </c>
      <c r="F98" s="101">
        <f t="shared" si="5"/>
        <v>2450</v>
      </c>
      <c r="G98" s="42" t="s">
        <v>3</v>
      </c>
      <c r="H98" s="39">
        <v>2</v>
      </c>
      <c r="I98" s="40" t="s">
        <v>40</v>
      </c>
      <c r="J98" s="149">
        <v>80</v>
      </c>
      <c r="K98" s="104">
        <v>200</v>
      </c>
      <c r="L98" s="104">
        <v>2450</v>
      </c>
      <c r="M98" s="150">
        <v>18.218101037015</v>
      </c>
      <c r="N98" s="78">
        <v>751.67774964071998</v>
      </c>
      <c r="O98" s="111">
        <v>27904.141887716672</v>
      </c>
      <c r="P98" s="109">
        <v>32712.771660533977</v>
      </c>
      <c r="Q98" s="110">
        <v>25599.560361888554</v>
      </c>
      <c r="R98" s="258">
        <v>53503.702249605223</v>
      </c>
      <c r="S98" s="259">
        <v>58312.332022422532</v>
      </c>
      <c r="U98" s="7" t="s">
        <v>1776</v>
      </c>
    </row>
    <row r="99" spans="1:21" s="65" customFormat="1" ht="16.5" customHeight="1" thickBot="1">
      <c r="A99" s="41" t="s">
        <v>31</v>
      </c>
      <c r="B99" s="42">
        <f t="shared" si="3"/>
        <v>80</v>
      </c>
      <c r="C99" s="42" t="s">
        <v>3</v>
      </c>
      <c r="D99" s="42">
        <f t="shared" si="4"/>
        <v>200</v>
      </c>
      <c r="E99" s="42" t="s">
        <v>3</v>
      </c>
      <c r="F99" s="101">
        <f t="shared" si="5"/>
        <v>2500</v>
      </c>
      <c r="G99" s="42" t="s">
        <v>3</v>
      </c>
      <c r="H99" s="39">
        <v>2</v>
      </c>
      <c r="I99" s="40" t="s">
        <v>40</v>
      </c>
      <c r="J99" s="149">
        <v>80</v>
      </c>
      <c r="K99" s="104">
        <v>200</v>
      </c>
      <c r="L99" s="104">
        <v>2500</v>
      </c>
      <c r="M99" s="150">
        <v>18.568805306368684</v>
      </c>
      <c r="N99" s="78">
        <v>769.5748389178799</v>
      </c>
      <c r="O99" s="111">
        <v>28331.073319877316</v>
      </c>
      <c r="P99" s="109">
        <v>33236.743376552105</v>
      </c>
      <c r="Q99" s="110">
        <v>25990.236678102072</v>
      </c>
      <c r="R99" s="258">
        <v>54321.309997979391</v>
      </c>
      <c r="S99" s="259">
        <v>59226.980054654181</v>
      </c>
      <c r="U99" s="7" t="s">
        <v>1777</v>
      </c>
    </row>
    <row r="100" spans="1:21" s="65" customFormat="1" ht="16.5" customHeight="1" thickBot="1">
      <c r="A100" s="41" t="s">
        <v>31</v>
      </c>
      <c r="B100" s="42">
        <f t="shared" si="3"/>
        <v>80</v>
      </c>
      <c r="C100" s="42" t="s">
        <v>3</v>
      </c>
      <c r="D100" s="42">
        <f t="shared" si="4"/>
        <v>200</v>
      </c>
      <c r="E100" s="42" t="s">
        <v>3</v>
      </c>
      <c r="F100" s="101">
        <f t="shared" si="5"/>
        <v>2550</v>
      </c>
      <c r="G100" s="42" t="s">
        <v>3</v>
      </c>
      <c r="H100" s="39">
        <v>2</v>
      </c>
      <c r="I100" s="40" t="s">
        <v>40</v>
      </c>
      <c r="J100" s="149">
        <v>80</v>
      </c>
      <c r="K100" s="104">
        <v>200</v>
      </c>
      <c r="L100" s="104">
        <v>2550</v>
      </c>
      <c r="M100" s="150">
        <v>18.919509575722365</v>
      </c>
      <c r="N100" s="78">
        <v>787.47192819503994</v>
      </c>
      <c r="O100" s="111">
        <v>28758.004599009186</v>
      </c>
      <c r="P100" s="109">
        <v>33760.715092570223</v>
      </c>
      <c r="Q100" s="110">
        <v>26632.247132099365</v>
      </c>
      <c r="R100" s="258">
        <v>55390.251731108554</v>
      </c>
      <c r="S100" s="259">
        <v>60392.962224669587</v>
      </c>
      <c r="U100" s="7" t="s">
        <v>1778</v>
      </c>
    </row>
    <row r="101" spans="1:21" s="65" customFormat="1" ht="16.5" customHeight="1" thickBot="1">
      <c r="A101" s="38" t="s">
        <v>31</v>
      </c>
      <c r="B101" s="39">
        <f t="shared" si="3"/>
        <v>80</v>
      </c>
      <c r="C101" s="39" t="s">
        <v>3</v>
      </c>
      <c r="D101" s="39">
        <f t="shared" si="4"/>
        <v>200</v>
      </c>
      <c r="E101" s="39" t="s">
        <v>3</v>
      </c>
      <c r="F101" s="101">
        <f t="shared" si="5"/>
        <v>2600</v>
      </c>
      <c r="G101" s="39" t="s">
        <v>3</v>
      </c>
      <c r="H101" s="39">
        <v>2</v>
      </c>
      <c r="I101" s="40" t="s">
        <v>40</v>
      </c>
      <c r="J101" s="149">
        <v>80</v>
      </c>
      <c r="K101" s="104">
        <v>200</v>
      </c>
      <c r="L101" s="104">
        <v>2600</v>
      </c>
      <c r="M101" s="150">
        <v>19.27021384507605</v>
      </c>
      <c r="N101" s="78">
        <v>805.36901747219986</v>
      </c>
      <c r="O101" s="111">
        <v>29184.935878141059</v>
      </c>
      <c r="P101" s="109">
        <v>34284.68696161711</v>
      </c>
      <c r="Q101" s="110">
        <v>27022.923448312882</v>
      </c>
      <c r="R101" s="258">
        <v>56207.859326453938</v>
      </c>
      <c r="S101" s="259">
        <v>61307.610409929992</v>
      </c>
      <c r="U101" s="7" t="s">
        <v>1779</v>
      </c>
    </row>
    <row r="102" spans="1:21" s="65" customFormat="1" ht="16.5" customHeight="1" thickBot="1">
      <c r="A102" s="41" t="s">
        <v>31</v>
      </c>
      <c r="B102" s="42">
        <f t="shared" si="3"/>
        <v>80</v>
      </c>
      <c r="C102" s="42" t="s">
        <v>3</v>
      </c>
      <c r="D102" s="42">
        <f t="shared" si="4"/>
        <v>200</v>
      </c>
      <c r="E102" s="42" t="s">
        <v>3</v>
      </c>
      <c r="F102" s="101">
        <f t="shared" si="5"/>
        <v>2650</v>
      </c>
      <c r="G102" s="42" t="s">
        <v>3</v>
      </c>
      <c r="H102" s="39">
        <v>2</v>
      </c>
      <c r="I102" s="40" t="s">
        <v>40</v>
      </c>
      <c r="J102" s="149">
        <v>80</v>
      </c>
      <c r="K102" s="104">
        <v>200</v>
      </c>
      <c r="L102" s="104">
        <v>2650</v>
      </c>
      <c r="M102" s="150">
        <v>19.620918114429735</v>
      </c>
      <c r="N102" s="78">
        <v>823.26610674935978</v>
      </c>
      <c r="O102" s="111">
        <v>29611.867157272936</v>
      </c>
      <c r="P102" s="109">
        <v>34808.658677635227</v>
      </c>
      <c r="Q102" s="110">
        <v>27664.933902310175</v>
      </c>
      <c r="R102" s="258">
        <v>57276.801059583115</v>
      </c>
      <c r="S102" s="259">
        <v>62473.592579945398</v>
      </c>
      <c r="U102" s="7" t="s">
        <v>1780</v>
      </c>
    </row>
    <row r="103" spans="1:21" s="65" customFormat="1" ht="16.5" customHeight="1" thickBot="1">
      <c r="A103" s="41" t="s">
        <v>31</v>
      </c>
      <c r="B103" s="42">
        <f t="shared" si="3"/>
        <v>80</v>
      </c>
      <c r="C103" s="42" t="s">
        <v>3</v>
      </c>
      <c r="D103" s="42">
        <f t="shared" si="4"/>
        <v>200</v>
      </c>
      <c r="E103" s="42" t="s">
        <v>3</v>
      </c>
      <c r="F103" s="101">
        <f t="shared" si="5"/>
        <v>2700</v>
      </c>
      <c r="G103" s="42" t="s">
        <v>3</v>
      </c>
      <c r="H103" s="39">
        <v>2</v>
      </c>
      <c r="I103" s="40" t="s">
        <v>40</v>
      </c>
      <c r="J103" s="149">
        <v>80</v>
      </c>
      <c r="K103" s="104">
        <v>200</v>
      </c>
      <c r="L103" s="104">
        <v>2700</v>
      </c>
      <c r="M103" s="150">
        <v>20.010872383783422</v>
      </c>
      <c r="N103" s="78">
        <v>841.16319602651993</v>
      </c>
      <c r="O103" s="111">
        <v>30088.798596035456</v>
      </c>
      <c r="P103" s="109">
        <v>35381.106539812114</v>
      </c>
      <c r="Q103" s="110">
        <v>28055.610371552459</v>
      </c>
      <c r="R103" s="258">
        <v>58144.408967587915</v>
      </c>
      <c r="S103" s="259">
        <v>63436.716911364572</v>
      </c>
      <c r="U103" s="7" t="s">
        <v>1781</v>
      </c>
    </row>
    <row r="104" spans="1:21" s="65" customFormat="1" ht="16.5" customHeight="1" thickBot="1">
      <c r="A104" s="41" t="s">
        <v>31</v>
      </c>
      <c r="B104" s="42">
        <f t="shared" si="3"/>
        <v>80</v>
      </c>
      <c r="C104" s="42" t="s">
        <v>3</v>
      </c>
      <c r="D104" s="42">
        <f t="shared" si="4"/>
        <v>200</v>
      </c>
      <c r="E104" s="42" t="s">
        <v>3</v>
      </c>
      <c r="F104" s="101">
        <f t="shared" si="5"/>
        <v>2750</v>
      </c>
      <c r="G104" s="42" t="s">
        <v>3</v>
      </c>
      <c r="H104" s="39">
        <v>2</v>
      </c>
      <c r="I104" s="40" t="s">
        <v>40</v>
      </c>
      <c r="J104" s="149">
        <v>80</v>
      </c>
      <c r="K104" s="104">
        <v>200</v>
      </c>
      <c r="L104" s="104">
        <v>2750</v>
      </c>
      <c r="M104" s="150">
        <v>20.361576653137107</v>
      </c>
      <c r="N104" s="78">
        <v>859.06028530367985</v>
      </c>
      <c r="O104" s="111">
        <v>30515.72987516733</v>
      </c>
      <c r="P104" s="109">
        <v>35905.078255830238</v>
      </c>
      <c r="Q104" s="110">
        <v>28446.286687765976</v>
      </c>
      <c r="R104" s="258">
        <v>58962.016562933306</v>
      </c>
      <c r="S104" s="259">
        <v>64351.364943596214</v>
      </c>
      <c r="U104" s="7" t="s">
        <v>1782</v>
      </c>
    </row>
    <row r="105" spans="1:21" s="65" customFormat="1" ht="16.5" customHeight="1" thickBot="1">
      <c r="A105" s="41" t="s">
        <v>31</v>
      </c>
      <c r="B105" s="42">
        <f t="shared" si="3"/>
        <v>80</v>
      </c>
      <c r="C105" s="42" t="s">
        <v>3</v>
      </c>
      <c r="D105" s="42">
        <f t="shared" si="4"/>
        <v>200</v>
      </c>
      <c r="E105" s="42" t="s">
        <v>3</v>
      </c>
      <c r="F105" s="101">
        <f t="shared" si="5"/>
        <v>2800</v>
      </c>
      <c r="G105" s="42" t="s">
        <v>3</v>
      </c>
      <c r="H105" s="39">
        <v>2</v>
      </c>
      <c r="I105" s="40" t="s">
        <v>40</v>
      </c>
      <c r="J105" s="149">
        <v>80</v>
      </c>
      <c r="K105" s="104">
        <v>200</v>
      </c>
      <c r="L105" s="104">
        <v>2800</v>
      </c>
      <c r="M105" s="150">
        <v>20.712280922490788</v>
      </c>
      <c r="N105" s="78">
        <v>876.95737458084</v>
      </c>
      <c r="O105" s="111">
        <v>30942.661307327973</v>
      </c>
      <c r="P105" s="109">
        <v>36429.050124877118</v>
      </c>
      <c r="Q105" s="110">
        <v>29088.297141763269</v>
      </c>
      <c r="R105" s="258">
        <v>60030.958449091238</v>
      </c>
      <c r="S105" s="259">
        <v>65517.347266640383</v>
      </c>
      <c r="U105" s="7" t="s">
        <v>1783</v>
      </c>
    </row>
    <row r="106" spans="1:21" s="65" customFormat="1" ht="16.5" customHeight="1" thickBot="1">
      <c r="A106" s="41" t="s">
        <v>31</v>
      </c>
      <c r="B106" s="42">
        <f t="shared" si="3"/>
        <v>80</v>
      </c>
      <c r="C106" s="42" t="s">
        <v>3</v>
      </c>
      <c r="D106" s="42">
        <f t="shared" si="4"/>
        <v>200</v>
      </c>
      <c r="E106" s="42" t="s">
        <v>3</v>
      </c>
      <c r="F106" s="101">
        <f t="shared" si="5"/>
        <v>2850</v>
      </c>
      <c r="G106" s="42" t="s">
        <v>3</v>
      </c>
      <c r="H106" s="39">
        <v>2</v>
      </c>
      <c r="I106" s="40" t="s">
        <v>40</v>
      </c>
      <c r="J106" s="149">
        <v>80</v>
      </c>
      <c r="K106" s="104">
        <v>200</v>
      </c>
      <c r="L106" s="104">
        <v>2850</v>
      </c>
      <c r="M106" s="150">
        <v>21.062985191844472</v>
      </c>
      <c r="N106" s="78">
        <v>894.85446385799992</v>
      </c>
      <c r="O106" s="111">
        <v>31369.592586459847</v>
      </c>
      <c r="P106" s="109">
        <v>36953.02184089525</v>
      </c>
      <c r="Q106" s="110">
        <v>29478.973457976786</v>
      </c>
      <c r="R106" s="258">
        <v>60848.566044436637</v>
      </c>
      <c r="S106" s="259">
        <v>66431.995298872032</v>
      </c>
      <c r="U106" s="7" t="s">
        <v>1784</v>
      </c>
    </row>
    <row r="107" spans="1:21" s="65" customFormat="1" ht="16.5" customHeight="1" thickBot="1">
      <c r="A107" s="41" t="s">
        <v>31</v>
      </c>
      <c r="B107" s="42">
        <f t="shared" si="3"/>
        <v>80</v>
      </c>
      <c r="C107" s="42" t="s">
        <v>3</v>
      </c>
      <c r="D107" s="42">
        <f t="shared" si="4"/>
        <v>200</v>
      </c>
      <c r="E107" s="42" t="s">
        <v>3</v>
      </c>
      <c r="F107" s="101">
        <f t="shared" si="5"/>
        <v>2900</v>
      </c>
      <c r="G107" s="42" t="s">
        <v>3</v>
      </c>
      <c r="H107" s="39">
        <v>2</v>
      </c>
      <c r="I107" s="40" t="s">
        <v>40</v>
      </c>
      <c r="J107" s="149">
        <v>80</v>
      </c>
      <c r="K107" s="104">
        <v>200</v>
      </c>
      <c r="L107" s="104">
        <v>2900</v>
      </c>
      <c r="M107" s="150">
        <v>21.413689461198157</v>
      </c>
      <c r="N107" s="78">
        <v>912.75155313515984</v>
      </c>
      <c r="O107" s="111">
        <v>31796.523865591724</v>
      </c>
      <c r="P107" s="109">
        <v>37476.993556913367</v>
      </c>
      <c r="Q107" s="110">
        <v>30120.983911974079</v>
      </c>
      <c r="R107" s="258">
        <v>61917.507777565799</v>
      </c>
      <c r="S107" s="259">
        <v>67597.977468887446</v>
      </c>
      <c r="U107" s="7" t="s">
        <v>1785</v>
      </c>
    </row>
    <row r="108" spans="1:21" s="65" customFormat="1" ht="16.5" customHeight="1" thickBot="1">
      <c r="A108" s="41" t="s">
        <v>31</v>
      </c>
      <c r="B108" s="42">
        <f t="shared" si="3"/>
        <v>80</v>
      </c>
      <c r="C108" s="42" t="s">
        <v>3</v>
      </c>
      <c r="D108" s="42">
        <f t="shared" si="4"/>
        <v>200</v>
      </c>
      <c r="E108" s="42" t="s">
        <v>3</v>
      </c>
      <c r="F108" s="101">
        <f t="shared" si="5"/>
        <v>2950</v>
      </c>
      <c r="G108" s="42" t="s">
        <v>3</v>
      </c>
      <c r="H108" s="39">
        <v>2</v>
      </c>
      <c r="I108" s="40" t="s">
        <v>40</v>
      </c>
      <c r="J108" s="149">
        <v>80</v>
      </c>
      <c r="K108" s="104">
        <v>200</v>
      </c>
      <c r="L108" s="104">
        <v>2950</v>
      </c>
      <c r="M108" s="150">
        <v>21.764393730551841</v>
      </c>
      <c r="N108" s="78">
        <v>930.64864241231987</v>
      </c>
      <c r="O108" s="111">
        <v>32223.455144723594</v>
      </c>
      <c r="P108" s="109">
        <v>38000.965272931491</v>
      </c>
      <c r="Q108" s="110">
        <v>30511.660381216363</v>
      </c>
      <c r="R108" s="258">
        <v>62735.115525939953</v>
      </c>
      <c r="S108" s="259">
        <v>68512.625654147851</v>
      </c>
      <c r="U108" s="7" t="s">
        <v>1786</v>
      </c>
    </row>
    <row r="109" spans="1:21" s="65" customFormat="1" ht="16.5" customHeight="1" thickBot="1">
      <c r="A109" s="43" t="s">
        <v>31</v>
      </c>
      <c r="B109" s="44">
        <f t="shared" si="3"/>
        <v>80</v>
      </c>
      <c r="C109" s="44" t="s">
        <v>3</v>
      </c>
      <c r="D109" s="44">
        <f t="shared" si="4"/>
        <v>200</v>
      </c>
      <c r="E109" s="44" t="s">
        <v>3</v>
      </c>
      <c r="F109" s="102">
        <f t="shared" si="5"/>
        <v>3000</v>
      </c>
      <c r="G109" s="44" t="s">
        <v>3</v>
      </c>
      <c r="H109" s="46">
        <v>2</v>
      </c>
      <c r="I109" s="45" t="s">
        <v>40</v>
      </c>
      <c r="J109" s="149">
        <v>80</v>
      </c>
      <c r="K109" s="134">
        <v>200</v>
      </c>
      <c r="L109" s="134">
        <v>3000</v>
      </c>
      <c r="M109" s="152">
        <v>22.115097999905526</v>
      </c>
      <c r="N109" s="127">
        <v>948.54573168947979</v>
      </c>
      <c r="O109" s="135">
        <v>33931.307887241208</v>
      </c>
      <c r="P109" s="154">
        <v>38524.936988949608</v>
      </c>
      <c r="Q109" s="136">
        <v>31153.670835213656</v>
      </c>
      <c r="R109" s="260">
        <v>65084.978722454864</v>
      </c>
      <c r="S109" s="261">
        <v>69678.607824163264</v>
      </c>
      <c r="U109" s="7" t="s">
        <v>1787</v>
      </c>
    </row>
    <row r="110" spans="1:21" s="65" customFormat="1" ht="21.75" customHeight="1" thickBot="1">
      <c r="A110" s="3010" t="s">
        <v>45</v>
      </c>
      <c r="B110" s="3011"/>
      <c r="C110" s="3011"/>
      <c r="D110" s="3011"/>
      <c r="E110" s="3011"/>
      <c r="F110" s="3011"/>
      <c r="G110" s="3011"/>
      <c r="H110" s="3011"/>
      <c r="I110" s="3011"/>
      <c r="J110" s="3011"/>
      <c r="K110" s="3011"/>
      <c r="L110" s="3011"/>
      <c r="M110" s="3011"/>
      <c r="N110" s="3011"/>
      <c r="O110" s="3011"/>
      <c r="P110" s="3011"/>
      <c r="Q110" s="3011"/>
      <c r="R110" s="3011"/>
      <c r="S110" s="3012"/>
      <c r="U110" s="7"/>
    </row>
    <row r="111" spans="1:21" s="65" customFormat="1" ht="16.5" customHeight="1" thickBot="1">
      <c r="A111" s="2974" t="s">
        <v>112</v>
      </c>
      <c r="B111" s="2975"/>
      <c r="C111" s="2975"/>
      <c r="D111" s="2975"/>
      <c r="E111" s="2975"/>
      <c r="F111" s="2975"/>
      <c r="G111" s="2975"/>
      <c r="H111" s="2975"/>
      <c r="I111" s="2975"/>
      <c r="J111" s="2975"/>
      <c r="K111" s="2975"/>
      <c r="L111" s="2975"/>
      <c r="M111" s="2975"/>
      <c r="N111" s="2975"/>
      <c r="O111" s="2975"/>
      <c r="P111" s="2975"/>
      <c r="Q111" s="2975"/>
      <c r="R111" s="2975"/>
      <c r="S111" s="2976"/>
      <c r="U111" s="7"/>
    </row>
    <row r="112" spans="1:21" s="65" customFormat="1" ht="16.5" thickBot="1">
      <c r="A112" s="38" t="s">
        <v>31</v>
      </c>
      <c r="B112" s="39">
        <f>J112</f>
        <v>80</v>
      </c>
      <c r="C112" s="39" t="s">
        <v>3</v>
      </c>
      <c r="D112" s="39">
        <f>K112</f>
        <v>260</v>
      </c>
      <c r="E112" s="39" t="s">
        <v>3</v>
      </c>
      <c r="F112" s="101">
        <f>L112</f>
        <v>600</v>
      </c>
      <c r="G112" s="39" t="s">
        <v>3</v>
      </c>
      <c r="H112" s="39">
        <v>2</v>
      </c>
      <c r="I112" s="40" t="s">
        <v>40</v>
      </c>
      <c r="J112" s="146">
        <v>80</v>
      </c>
      <c r="K112" s="138">
        <v>260</v>
      </c>
      <c r="L112" s="138">
        <v>600</v>
      </c>
      <c r="M112" s="147">
        <v>5.6889647403813157</v>
      </c>
      <c r="N112" s="122">
        <v>113.06720065802681</v>
      </c>
      <c r="O112" s="153">
        <v>10941.682802139965</v>
      </c>
      <c r="P112" s="153">
        <v>12907.424516566713</v>
      </c>
      <c r="Q112" s="139">
        <v>8214.2785134660462</v>
      </c>
      <c r="R112" s="256">
        <v>19155.961315606011</v>
      </c>
      <c r="S112" s="257">
        <v>21121.703030032761</v>
      </c>
      <c r="U112" s="7" t="s">
        <v>1788</v>
      </c>
    </row>
    <row r="113" spans="1:21" s="65" customFormat="1" ht="16.5" thickBot="1">
      <c r="A113" s="41" t="s">
        <v>31</v>
      </c>
      <c r="B113" s="42">
        <f t="shared" ref="B113:B160" si="6">J113</f>
        <v>80</v>
      </c>
      <c r="C113" s="42" t="s">
        <v>3</v>
      </c>
      <c r="D113" s="42">
        <f t="shared" ref="D113:D160" si="7">K113</f>
        <v>260</v>
      </c>
      <c r="E113" s="42" t="s">
        <v>3</v>
      </c>
      <c r="F113" s="101">
        <f t="shared" ref="F113:F160" si="8">L113</f>
        <v>650</v>
      </c>
      <c r="G113" s="42" t="s">
        <v>3</v>
      </c>
      <c r="H113" s="39">
        <v>2</v>
      </c>
      <c r="I113" s="40" t="s">
        <v>40</v>
      </c>
      <c r="J113" s="149">
        <v>80</v>
      </c>
      <c r="K113" s="104">
        <v>260</v>
      </c>
      <c r="L113" s="104">
        <v>650</v>
      </c>
      <c r="M113" s="150">
        <v>6.0887885189455258</v>
      </c>
      <c r="N113" s="66">
        <v>135.68064078963215</v>
      </c>
      <c r="O113" s="109">
        <v>11399.609751590378</v>
      </c>
      <c r="P113" s="109">
        <v>13483.125617261392</v>
      </c>
      <c r="Q113" s="110">
        <v>8684.7340809460093</v>
      </c>
      <c r="R113" s="258">
        <v>20084.34383253639</v>
      </c>
      <c r="S113" s="259">
        <v>22167.859698207401</v>
      </c>
      <c r="U113" s="7" t="s">
        <v>1789</v>
      </c>
    </row>
    <row r="114" spans="1:21" s="65" customFormat="1" ht="16.5" thickBot="1">
      <c r="A114" s="41" t="s">
        <v>31</v>
      </c>
      <c r="B114" s="42">
        <f t="shared" si="6"/>
        <v>80</v>
      </c>
      <c r="C114" s="42" t="s">
        <v>3</v>
      </c>
      <c r="D114" s="42">
        <f t="shared" si="7"/>
        <v>260</v>
      </c>
      <c r="E114" s="42" t="s">
        <v>3</v>
      </c>
      <c r="F114" s="101">
        <f t="shared" si="8"/>
        <v>700</v>
      </c>
      <c r="G114" s="42" t="s">
        <v>3</v>
      </c>
      <c r="H114" s="39">
        <v>2</v>
      </c>
      <c r="I114" s="40" t="s">
        <v>40</v>
      </c>
      <c r="J114" s="149">
        <v>80</v>
      </c>
      <c r="K114" s="104">
        <v>260</v>
      </c>
      <c r="L114" s="104">
        <v>700</v>
      </c>
      <c r="M114" s="150">
        <v>6.4886122975097376</v>
      </c>
      <c r="N114" s="66">
        <v>158.29408092123751</v>
      </c>
      <c r="O114" s="109">
        <v>11857.536548012027</v>
      </c>
      <c r="P114" s="109">
        <v>14058.826564927309</v>
      </c>
      <c r="Q114" s="110">
        <v>9406.5237862097401</v>
      </c>
      <c r="R114" s="258">
        <v>21264.060334221766</v>
      </c>
      <c r="S114" s="259">
        <v>23465.350351137051</v>
      </c>
      <c r="U114" s="7" t="s">
        <v>1790</v>
      </c>
    </row>
    <row r="115" spans="1:21" s="65" customFormat="1" ht="16.5" thickBot="1">
      <c r="A115" s="41" t="s">
        <v>31</v>
      </c>
      <c r="B115" s="42">
        <f t="shared" si="6"/>
        <v>80</v>
      </c>
      <c r="C115" s="42" t="s">
        <v>3</v>
      </c>
      <c r="D115" s="42">
        <f t="shared" si="7"/>
        <v>260</v>
      </c>
      <c r="E115" s="42" t="s">
        <v>3</v>
      </c>
      <c r="F115" s="101">
        <f t="shared" si="8"/>
        <v>750</v>
      </c>
      <c r="G115" s="42" t="s">
        <v>3</v>
      </c>
      <c r="H115" s="39">
        <v>2</v>
      </c>
      <c r="I115" s="40" t="s">
        <v>40</v>
      </c>
      <c r="J115" s="149">
        <v>80</v>
      </c>
      <c r="K115" s="104">
        <v>260</v>
      </c>
      <c r="L115" s="104">
        <v>750</v>
      </c>
      <c r="M115" s="150">
        <v>6.8884360760739476</v>
      </c>
      <c r="N115" s="66">
        <v>180.9075210528429</v>
      </c>
      <c r="O115" s="109">
        <v>12315.463344433674</v>
      </c>
      <c r="P115" s="109">
        <v>14634.527512593222</v>
      </c>
      <c r="Q115" s="110">
        <v>9876.9793536897032</v>
      </c>
      <c r="R115" s="258">
        <v>22192.442698123377</v>
      </c>
      <c r="S115" s="259">
        <v>24511.506866282925</v>
      </c>
      <c r="U115" s="7" t="s">
        <v>1791</v>
      </c>
    </row>
    <row r="116" spans="1:21" s="65" customFormat="1" ht="16.5" thickBot="1">
      <c r="A116" s="41" t="s">
        <v>31</v>
      </c>
      <c r="B116" s="42">
        <f t="shared" si="6"/>
        <v>80</v>
      </c>
      <c r="C116" s="42" t="s">
        <v>3</v>
      </c>
      <c r="D116" s="42">
        <f t="shared" si="7"/>
        <v>260</v>
      </c>
      <c r="E116" s="42" t="s">
        <v>3</v>
      </c>
      <c r="F116" s="101">
        <f t="shared" si="8"/>
        <v>800</v>
      </c>
      <c r="G116" s="42" t="s">
        <v>3</v>
      </c>
      <c r="H116" s="39">
        <v>2</v>
      </c>
      <c r="I116" s="40" t="s">
        <v>40</v>
      </c>
      <c r="J116" s="149">
        <v>80</v>
      </c>
      <c r="K116" s="104">
        <v>260</v>
      </c>
      <c r="L116" s="104">
        <v>800</v>
      </c>
      <c r="M116" s="150">
        <v>7.2882598546381576</v>
      </c>
      <c r="N116" s="66">
        <v>203.52096118444825</v>
      </c>
      <c r="O116" s="109">
        <v>12773.390293884086</v>
      </c>
      <c r="P116" s="109">
        <v>15210.228460259124</v>
      </c>
      <c r="Q116" s="110">
        <v>10347.434921169664</v>
      </c>
      <c r="R116" s="258">
        <v>23120.825215053752</v>
      </c>
      <c r="S116" s="259">
        <v>25557.663381428789</v>
      </c>
      <c r="U116" s="7" t="s">
        <v>1792</v>
      </c>
    </row>
    <row r="117" spans="1:21" s="65" customFormat="1" ht="16.5" thickBot="1">
      <c r="A117" s="41" t="s">
        <v>31</v>
      </c>
      <c r="B117" s="42">
        <f t="shared" si="6"/>
        <v>80</v>
      </c>
      <c r="C117" s="42" t="s">
        <v>3</v>
      </c>
      <c r="D117" s="42">
        <f t="shared" si="7"/>
        <v>260</v>
      </c>
      <c r="E117" s="42" t="s">
        <v>3</v>
      </c>
      <c r="F117" s="101">
        <f t="shared" si="8"/>
        <v>850</v>
      </c>
      <c r="G117" s="42" t="s">
        <v>3</v>
      </c>
      <c r="H117" s="39">
        <v>2</v>
      </c>
      <c r="I117" s="40" t="s">
        <v>40</v>
      </c>
      <c r="J117" s="149">
        <v>80</v>
      </c>
      <c r="K117" s="104">
        <v>260</v>
      </c>
      <c r="L117" s="104">
        <v>850</v>
      </c>
      <c r="M117" s="150">
        <v>7.6880836332023677</v>
      </c>
      <c r="N117" s="66">
        <v>226.13440131605361</v>
      </c>
      <c r="O117" s="109">
        <v>13231.317090305734</v>
      </c>
      <c r="P117" s="109">
        <v>15785.92956095382</v>
      </c>
      <c r="Q117" s="110">
        <v>11069.224626433395</v>
      </c>
      <c r="R117" s="258">
        <v>24300.541716739128</v>
      </c>
      <c r="S117" s="259">
        <v>26855.154187387216</v>
      </c>
      <c r="U117" s="7" t="s">
        <v>1793</v>
      </c>
    </row>
    <row r="118" spans="1:21" s="65" customFormat="1" ht="16.5" thickBot="1">
      <c r="A118" s="41" t="s">
        <v>31</v>
      </c>
      <c r="B118" s="42">
        <f t="shared" si="6"/>
        <v>80</v>
      </c>
      <c r="C118" s="42" t="s">
        <v>3</v>
      </c>
      <c r="D118" s="42">
        <f t="shared" si="7"/>
        <v>260</v>
      </c>
      <c r="E118" s="42" t="s">
        <v>3</v>
      </c>
      <c r="F118" s="101">
        <f t="shared" si="8"/>
        <v>900</v>
      </c>
      <c r="G118" s="42" t="s">
        <v>3</v>
      </c>
      <c r="H118" s="39">
        <v>2</v>
      </c>
      <c r="I118" s="40" t="s">
        <v>40</v>
      </c>
      <c r="J118" s="149">
        <v>80</v>
      </c>
      <c r="K118" s="104">
        <v>260</v>
      </c>
      <c r="L118" s="104">
        <v>900</v>
      </c>
      <c r="M118" s="150">
        <v>8.0879074117665795</v>
      </c>
      <c r="N118" s="66">
        <v>248.747841447659</v>
      </c>
      <c r="O118" s="109">
        <v>13689.243886727385</v>
      </c>
      <c r="P118" s="109">
        <v>16361.630508619735</v>
      </c>
      <c r="Q118" s="110">
        <v>11539.680193913358</v>
      </c>
      <c r="R118" s="258">
        <v>25228.924080640743</v>
      </c>
      <c r="S118" s="259">
        <v>27901.310702533094</v>
      </c>
      <c r="U118" s="7" t="s">
        <v>1794</v>
      </c>
    </row>
    <row r="119" spans="1:21" s="65" customFormat="1" ht="16.5" thickBot="1">
      <c r="A119" s="41" t="s">
        <v>31</v>
      </c>
      <c r="B119" s="42">
        <f t="shared" si="6"/>
        <v>80</v>
      </c>
      <c r="C119" s="42" t="s">
        <v>3</v>
      </c>
      <c r="D119" s="42">
        <f t="shared" si="7"/>
        <v>260</v>
      </c>
      <c r="E119" s="42" t="s">
        <v>3</v>
      </c>
      <c r="F119" s="101">
        <f t="shared" si="8"/>
        <v>950</v>
      </c>
      <c r="G119" s="42" t="s">
        <v>3</v>
      </c>
      <c r="H119" s="39">
        <v>2</v>
      </c>
      <c r="I119" s="40" t="s">
        <v>40</v>
      </c>
      <c r="J119" s="149">
        <v>80</v>
      </c>
      <c r="K119" s="104">
        <v>260</v>
      </c>
      <c r="L119" s="104">
        <v>950</v>
      </c>
      <c r="M119" s="150">
        <v>8.4877311903307895</v>
      </c>
      <c r="N119" s="66">
        <v>271.3612815792643</v>
      </c>
      <c r="O119" s="109">
        <v>14147.170836177796</v>
      </c>
      <c r="P119" s="109">
        <v>16937.331456285654</v>
      </c>
      <c r="Q119" s="110">
        <v>12261.469899177091</v>
      </c>
      <c r="R119" s="258">
        <v>26408.640735354886</v>
      </c>
      <c r="S119" s="259">
        <v>29198.801355462747</v>
      </c>
      <c r="U119" s="7" t="s">
        <v>1795</v>
      </c>
    </row>
    <row r="120" spans="1:21" s="65" customFormat="1" ht="16.5" thickBot="1">
      <c r="A120" s="41" t="s">
        <v>31</v>
      </c>
      <c r="B120" s="42">
        <f t="shared" si="6"/>
        <v>80</v>
      </c>
      <c r="C120" s="42" t="s">
        <v>3</v>
      </c>
      <c r="D120" s="42">
        <f t="shared" si="7"/>
        <v>260</v>
      </c>
      <c r="E120" s="42" t="s">
        <v>3</v>
      </c>
      <c r="F120" s="101">
        <f t="shared" si="8"/>
        <v>1000</v>
      </c>
      <c r="G120" s="42" t="s">
        <v>3</v>
      </c>
      <c r="H120" s="39">
        <v>2</v>
      </c>
      <c r="I120" s="40" t="s">
        <v>40</v>
      </c>
      <c r="J120" s="149">
        <v>80</v>
      </c>
      <c r="K120" s="104">
        <v>260</v>
      </c>
      <c r="L120" s="104">
        <v>1000</v>
      </c>
      <c r="M120" s="150">
        <v>8.8875549688949995</v>
      </c>
      <c r="N120" s="66">
        <v>293.97472171086969</v>
      </c>
      <c r="O120" s="109">
        <v>14605.097632599445</v>
      </c>
      <c r="P120" s="109">
        <v>17513.032403951565</v>
      </c>
      <c r="Q120" s="110">
        <v>12731.925466657052</v>
      </c>
      <c r="R120" s="258">
        <v>27337.023099256498</v>
      </c>
      <c r="S120" s="259">
        <v>30244.957870608618</v>
      </c>
      <c r="U120" s="7" t="s">
        <v>1796</v>
      </c>
    </row>
    <row r="121" spans="1:21" s="65" customFormat="1" ht="16.5" thickBot="1">
      <c r="A121" s="41" t="s">
        <v>31</v>
      </c>
      <c r="B121" s="42">
        <f t="shared" si="6"/>
        <v>80</v>
      </c>
      <c r="C121" s="42" t="s">
        <v>3</v>
      </c>
      <c r="D121" s="42">
        <f t="shared" si="7"/>
        <v>260</v>
      </c>
      <c r="E121" s="42" t="s">
        <v>3</v>
      </c>
      <c r="F121" s="101">
        <f t="shared" si="8"/>
        <v>1050</v>
      </c>
      <c r="G121" s="42" t="s">
        <v>3</v>
      </c>
      <c r="H121" s="39">
        <v>2</v>
      </c>
      <c r="I121" s="40" t="s">
        <v>40</v>
      </c>
      <c r="J121" s="149">
        <v>80</v>
      </c>
      <c r="K121" s="104">
        <v>260</v>
      </c>
      <c r="L121" s="104">
        <v>1050</v>
      </c>
      <c r="M121" s="150">
        <v>9.2873787474592095</v>
      </c>
      <c r="N121" s="66">
        <v>316.58816184247502</v>
      </c>
      <c r="O121" s="109">
        <v>15063.024582049857</v>
      </c>
      <c r="P121" s="109">
        <v>18088.73350464625</v>
      </c>
      <c r="Q121" s="110">
        <v>13453.71501889202</v>
      </c>
      <c r="R121" s="258">
        <v>28516.739600941877</v>
      </c>
      <c r="S121" s="259">
        <v>31542.448523538271</v>
      </c>
      <c r="U121" s="7" t="s">
        <v>1797</v>
      </c>
    </row>
    <row r="122" spans="1:21" s="65" customFormat="1" ht="16.5" thickBot="1">
      <c r="A122" s="38" t="s">
        <v>31</v>
      </c>
      <c r="B122" s="39">
        <f t="shared" si="6"/>
        <v>80</v>
      </c>
      <c r="C122" s="39" t="s">
        <v>3</v>
      </c>
      <c r="D122" s="39">
        <f t="shared" si="7"/>
        <v>260</v>
      </c>
      <c r="E122" s="39" t="s">
        <v>3</v>
      </c>
      <c r="F122" s="101">
        <f t="shared" si="8"/>
        <v>1100</v>
      </c>
      <c r="G122" s="39" t="s">
        <v>3</v>
      </c>
      <c r="H122" s="39">
        <v>2</v>
      </c>
      <c r="I122" s="40" t="s">
        <v>40</v>
      </c>
      <c r="J122" s="149">
        <v>80</v>
      </c>
      <c r="K122" s="104">
        <v>260</v>
      </c>
      <c r="L122" s="104">
        <v>1100</v>
      </c>
      <c r="M122" s="150">
        <v>9.6872025260234214</v>
      </c>
      <c r="N122" s="66">
        <v>339.2016019740804</v>
      </c>
      <c r="O122" s="109">
        <v>15520.951378471507</v>
      </c>
      <c r="P122" s="109">
        <v>18664.434452312162</v>
      </c>
      <c r="Q122" s="110">
        <v>13924.170586371982</v>
      </c>
      <c r="R122" s="258">
        <v>29445.121964843489</v>
      </c>
      <c r="S122" s="259">
        <v>32588.605038684145</v>
      </c>
      <c r="U122" s="7" t="s">
        <v>1798</v>
      </c>
    </row>
    <row r="123" spans="1:21" s="65" customFormat="1" ht="16.5" thickBot="1">
      <c r="A123" s="41" t="s">
        <v>31</v>
      </c>
      <c r="B123" s="42">
        <f t="shared" si="6"/>
        <v>80</v>
      </c>
      <c r="C123" s="42" t="s">
        <v>3</v>
      </c>
      <c r="D123" s="42">
        <f t="shared" si="7"/>
        <v>260</v>
      </c>
      <c r="E123" s="42" t="s">
        <v>3</v>
      </c>
      <c r="F123" s="101">
        <f t="shared" si="8"/>
        <v>1150</v>
      </c>
      <c r="G123" s="42" t="s">
        <v>3</v>
      </c>
      <c r="H123" s="39">
        <v>2</v>
      </c>
      <c r="I123" s="40" t="s">
        <v>40</v>
      </c>
      <c r="J123" s="149">
        <v>80</v>
      </c>
      <c r="K123" s="104">
        <v>260</v>
      </c>
      <c r="L123" s="104">
        <v>1150</v>
      </c>
      <c r="M123" s="150">
        <v>10.087026304587631</v>
      </c>
      <c r="N123" s="66">
        <v>361.81504210568579</v>
      </c>
      <c r="O123" s="109">
        <v>15978.878174893154</v>
      </c>
      <c r="P123" s="109">
        <v>19240.13539997808</v>
      </c>
      <c r="Q123" s="110">
        <v>14394.626153851941</v>
      </c>
      <c r="R123" s="258">
        <v>30373.504328745097</v>
      </c>
      <c r="S123" s="259">
        <v>33634.761553830023</v>
      </c>
      <c r="U123" s="7" t="s">
        <v>1799</v>
      </c>
    </row>
    <row r="124" spans="1:21" s="65" customFormat="1" ht="16.5" thickBot="1">
      <c r="A124" s="41" t="s">
        <v>31</v>
      </c>
      <c r="B124" s="42">
        <f t="shared" si="6"/>
        <v>80</v>
      </c>
      <c r="C124" s="42" t="s">
        <v>3</v>
      </c>
      <c r="D124" s="42">
        <f t="shared" si="7"/>
        <v>260</v>
      </c>
      <c r="E124" s="42" t="s">
        <v>3</v>
      </c>
      <c r="F124" s="101">
        <f t="shared" si="8"/>
        <v>1200</v>
      </c>
      <c r="G124" s="42" t="s">
        <v>3</v>
      </c>
      <c r="H124" s="39">
        <v>2</v>
      </c>
      <c r="I124" s="40" t="s">
        <v>40</v>
      </c>
      <c r="J124" s="149">
        <v>80</v>
      </c>
      <c r="K124" s="104">
        <v>260</v>
      </c>
      <c r="L124" s="104">
        <v>1200</v>
      </c>
      <c r="M124" s="150">
        <v>10.526100083151842</v>
      </c>
      <c r="N124" s="66">
        <v>384.42848223729112</v>
      </c>
      <c r="O124" s="109">
        <v>16486.805283974059</v>
      </c>
      <c r="P124" s="109">
        <v>19864.312646831528</v>
      </c>
      <c r="Q124" s="110">
        <v>15116.415859115676</v>
      </c>
      <c r="R124" s="258">
        <v>31603.221143089737</v>
      </c>
      <c r="S124" s="259">
        <v>34980.728505947205</v>
      </c>
      <c r="U124" s="7" t="s">
        <v>1800</v>
      </c>
    </row>
    <row r="125" spans="1:21" s="65" customFormat="1" ht="16.5" thickBot="1">
      <c r="A125" s="41" t="s">
        <v>31</v>
      </c>
      <c r="B125" s="42">
        <f t="shared" si="6"/>
        <v>80</v>
      </c>
      <c r="C125" s="42" t="s">
        <v>3</v>
      </c>
      <c r="D125" s="42">
        <f t="shared" si="7"/>
        <v>260</v>
      </c>
      <c r="E125" s="42" t="s">
        <v>3</v>
      </c>
      <c r="F125" s="101">
        <f t="shared" si="8"/>
        <v>1250</v>
      </c>
      <c r="G125" s="42" t="s">
        <v>3</v>
      </c>
      <c r="H125" s="39">
        <v>2</v>
      </c>
      <c r="I125" s="40" t="s">
        <v>40</v>
      </c>
      <c r="J125" s="149">
        <v>80</v>
      </c>
      <c r="K125" s="104">
        <v>260</v>
      </c>
      <c r="L125" s="104">
        <v>1250</v>
      </c>
      <c r="M125" s="150">
        <v>10.925923861716052</v>
      </c>
      <c r="N125" s="66">
        <v>407.04192236889651</v>
      </c>
      <c r="O125" s="109">
        <v>16944.732080395861</v>
      </c>
      <c r="P125" s="109">
        <v>20440.013594497443</v>
      </c>
      <c r="Q125" s="110">
        <v>15586.871426595639</v>
      </c>
      <c r="R125" s="258">
        <v>32531.603506991501</v>
      </c>
      <c r="S125" s="259">
        <v>36026.885021093083</v>
      </c>
      <c r="U125" s="7" t="s">
        <v>1801</v>
      </c>
    </row>
    <row r="126" spans="1:21" s="65" customFormat="1" ht="16.5" thickBot="1">
      <c r="A126" s="41" t="s">
        <v>31</v>
      </c>
      <c r="B126" s="42">
        <f t="shared" si="6"/>
        <v>80</v>
      </c>
      <c r="C126" s="42" t="s">
        <v>3</v>
      </c>
      <c r="D126" s="42">
        <f t="shared" si="7"/>
        <v>260</v>
      </c>
      <c r="E126" s="42" t="s">
        <v>3</v>
      </c>
      <c r="F126" s="101">
        <f t="shared" si="8"/>
        <v>1300</v>
      </c>
      <c r="G126" s="42" t="s">
        <v>3</v>
      </c>
      <c r="H126" s="39">
        <v>2</v>
      </c>
      <c r="I126" s="40" t="s">
        <v>40</v>
      </c>
      <c r="J126" s="149">
        <v>80</v>
      </c>
      <c r="K126" s="104">
        <v>260</v>
      </c>
      <c r="L126" s="104">
        <v>1300</v>
      </c>
      <c r="M126" s="150">
        <v>11.325747640280262</v>
      </c>
      <c r="N126" s="66">
        <v>429.65536250050184</v>
      </c>
      <c r="O126" s="109">
        <v>17402.659029846276</v>
      </c>
      <c r="P126" s="109">
        <v>21015.714542163358</v>
      </c>
      <c r="Q126" s="110">
        <v>16308.66113185937</v>
      </c>
      <c r="R126" s="258">
        <v>33711.320161705647</v>
      </c>
      <c r="S126" s="259">
        <v>37324.375674022725</v>
      </c>
      <c r="U126" s="7" t="s">
        <v>1802</v>
      </c>
    </row>
    <row r="127" spans="1:21" s="65" customFormat="1" ht="16.5" thickBot="1">
      <c r="A127" s="41" t="s">
        <v>31</v>
      </c>
      <c r="B127" s="42">
        <f t="shared" si="6"/>
        <v>80</v>
      </c>
      <c r="C127" s="42" t="s">
        <v>3</v>
      </c>
      <c r="D127" s="42">
        <f t="shared" si="7"/>
        <v>260</v>
      </c>
      <c r="E127" s="42" t="s">
        <v>3</v>
      </c>
      <c r="F127" s="101">
        <f t="shared" si="8"/>
        <v>1350</v>
      </c>
      <c r="G127" s="42" t="s">
        <v>3</v>
      </c>
      <c r="H127" s="39">
        <v>2</v>
      </c>
      <c r="I127" s="40" t="s">
        <v>40</v>
      </c>
      <c r="J127" s="149">
        <v>80</v>
      </c>
      <c r="K127" s="104">
        <v>260</v>
      </c>
      <c r="L127" s="104">
        <v>1350</v>
      </c>
      <c r="M127" s="150">
        <v>11.725571418844472</v>
      </c>
      <c r="N127" s="66">
        <v>452.26880263210722</v>
      </c>
      <c r="O127" s="109">
        <v>17860.585826267921</v>
      </c>
      <c r="P127" s="109">
        <v>21591.415489829273</v>
      </c>
      <c r="Q127" s="110">
        <v>16779.116699339331</v>
      </c>
      <c r="R127" s="258">
        <v>34639.702525607252</v>
      </c>
      <c r="S127" s="259">
        <v>38370.532189168604</v>
      </c>
      <c r="U127" s="7" t="s">
        <v>1803</v>
      </c>
    </row>
    <row r="128" spans="1:21" s="65" customFormat="1" ht="16.5" thickBot="1">
      <c r="A128" s="41" t="s">
        <v>31</v>
      </c>
      <c r="B128" s="42">
        <f t="shared" si="6"/>
        <v>80</v>
      </c>
      <c r="C128" s="42" t="s">
        <v>3</v>
      </c>
      <c r="D128" s="42">
        <f t="shared" si="7"/>
        <v>260</v>
      </c>
      <c r="E128" s="42" t="s">
        <v>3</v>
      </c>
      <c r="F128" s="101">
        <f t="shared" si="8"/>
        <v>1400</v>
      </c>
      <c r="G128" s="42" t="s">
        <v>3</v>
      </c>
      <c r="H128" s="39">
        <v>2</v>
      </c>
      <c r="I128" s="40" t="s">
        <v>40</v>
      </c>
      <c r="J128" s="149">
        <v>80</v>
      </c>
      <c r="K128" s="104">
        <v>260</v>
      </c>
      <c r="L128" s="104">
        <v>1400</v>
      </c>
      <c r="M128" s="150">
        <v>12.125395197408682</v>
      </c>
      <c r="N128" s="66">
        <v>474.88224276371261</v>
      </c>
      <c r="O128" s="109">
        <v>18318.51262268957</v>
      </c>
      <c r="P128" s="109">
        <v>22167.116590523958</v>
      </c>
      <c r="Q128" s="110">
        <v>17500.906404603062</v>
      </c>
      <c r="R128" s="258">
        <v>35819.419027292635</v>
      </c>
      <c r="S128" s="259">
        <v>39668.022995127016</v>
      </c>
      <c r="U128" s="7" t="s">
        <v>1804</v>
      </c>
    </row>
    <row r="129" spans="1:21" s="65" customFormat="1" ht="16.5" thickBot="1">
      <c r="A129" s="41" t="s">
        <v>31</v>
      </c>
      <c r="B129" s="42">
        <f t="shared" si="6"/>
        <v>80</v>
      </c>
      <c r="C129" s="42" t="s">
        <v>3</v>
      </c>
      <c r="D129" s="42">
        <f t="shared" si="7"/>
        <v>260</v>
      </c>
      <c r="E129" s="42" t="s">
        <v>3</v>
      </c>
      <c r="F129" s="101">
        <f t="shared" si="8"/>
        <v>1450</v>
      </c>
      <c r="G129" s="42" t="s">
        <v>3</v>
      </c>
      <c r="H129" s="39">
        <v>2</v>
      </c>
      <c r="I129" s="40" t="s">
        <v>40</v>
      </c>
      <c r="J129" s="149">
        <v>80</v>
      </c>
      <c r="K129" s="104">
        <v>260</v>
      </c>
      <c r="L129" s="104">
        <v>1450</v>
      </c>
      <c r="M129" s="150">
        <v>12.525218975972894</v>
      </c>
      <c r="N129" s="66">
        <v>497.495682895318</v>
      </c>
      <c r="O129" s="109">
        <v>18776.439572139981</v>
      </c>
      <c r="P129" s="109">
        <v>22742.817538189869</v>
      </c>
      <c r="Q129" s="110">
        <v>17971.361972083025</v>
      </c>
      <c r="R129" s="258">
        <v>36747.80154422301</v>
      </c>
      <c r="S129" s="259">
        <v>40714.179510272894</v>
      </c>
      <c r="U129" s="7" t="s">
        <v>1805</v>
      </c>
    </row>
    <row r="130" spans="1:21" s="65" customFormat="1" ht="16.5" thickBot="1">
      <c r="A130" s="41" t="s">
        <v>31</v>
      </c>
      <c r="B130" s="42">
        <f t="shared" si="6"/>
        <v>80</v>
      </c>
      <c r="C130" s="42" t="s">
        <v>3</v>
      </c>
      <c r="D130" s="42">
        <f t="shared" si="7"/>
        <v>260</v>
      </c>
      <c r="E130" s="42" t="s">
        <v>3</v>
      </c>
      <c r="F130" s="101">
        <f t="shared" si="8"/>
        <v>1500</v>
      </c>
      <c r="G130" s="42" t="s">
        <v>3</v>
      </c>
      <c r="H130" s="39">
        <v>2</v>
      </c>
      <c r="I130" s="40" t="s">
        <v>40</v>
      </c>
      <c r="J130" s="149">
        <v>80</v>
      </c>
      <c r="K130" s="104">
        <v>260</v>
      </c>
      <c r="L130" s="104">
        <v>1500</v>
      </c>
      <c r="M130" s="150">
        <v>13.048806943337105</v>
      </c>
      <c r="N130" s="66">
        <v>520.10912302692327</v>
      </c>
      <c r="O130" s="109">
        <v>19876.820299920251</v>
      </c>
      <c r="P130" s="109">
        <v>23881.102266861482</v>
      </c>
      <c r="Q130" s="110">
        <v>18693.151677346756</v>
      </c>
      <c r="R130" s="258">
        <v>38569.971977267007</v>
      </c>
      <c r="S130" s="259">
        <v>42574.253944208234</v>
      </c>
      <c r="U130" s="7" t="s">
        <v>1806</v>
      </c>
    </row>
    <row r="131" spans="1:21" s="65" customFormat="1" ht="16.5" thickBot="1">
      <c r="A131" s="41" t="s">
        <v>31</v>
      </c>
      <c r="B131" s="42">
        <f t="shared" si="6"/>
        <v>80</v>
      </c>
      <c r="C131" s="42" t="s">
        <v>3</v>
      </c>
      <c r="D131" s="42">
        <f t="shared" si="7"/>
        <v>260</v>
      </c>
      <c r="E131" s="42" t="s">
        <v>3</v>
      </c>
      <c r="F131" s="101">
        <f t="shared" si="8"/>
        <v>1550</v>
      </c>
      <c r="G131" s="42" t="s">
        <v>3</v>
      </c>
      <c r="H131" s="39">
        <v>2</v>
      </c>
      <c r="I131" s="40" t="s">
        <v>40</v>
      </c>
      <c r="J131" s="149">
        <v>80</v>
      </c>
      <c r="K131" s="104">
        <v>260</v>
      </c>
      <c r="L131" s="104">
        <v>1550</v>
      </c>
      <c r="M131" s="150">
        <v>13.448630721901313</v>
      </c>
      <c r="N131" s="66">
        <v>542.7225631585286</v>
      </c>
      <c r="O131" s="109">
        <v>20334.747249370666</v>
      </c>
      <c r="P131" s="109">
        <v>24456.803214527397</v>
      </c>
      <c r="Q131" s="110">
        <v>19163.607244826719</v>
      </c>
      <c r="R131" s="258">
        <v>39498.354494197381</v>
      </c>
      <c r="S131" s="259">
        <v>43620.410459354112</v>
      </c>
      <c r="U131" s="7" t="s">
        <v>1807</v>
      </c>
    </row>
    <row r="132" spans="1:21" s="65" customFormat="1" ht="16.5" thickBot="1">
      <c r="A132" s="38" t="s">
        <v>31</v>
      </c>
      <c r="B132" s="39">
        <f t="shared" si="6"/>
        <v>80</v>
      </c>
      <c r="C132" s="39" t="s">
        <v>3</v>
      </c>
      <c r="D132" s="39">
        <f t="shared" si="7"/>
        <v>260</v>
      </c>
      <c r="E132" s="39" t="s">
        <v>3</v>
      </c>
      <c r="F132" s="101">
        <f t="shared" si="8"/>
        <v>1600</v>
      </c>
      <c r="G132" s="39" t="s">
        <v>3</v>
      </c>
      <c r="H132" s="39">
        <v>2</v>
      </c>
      <c r="I132" s="40" t="s">
        <v>40</v>
      </c>
      <c r="J132" s="149">
        <v>80</v>
      </c>
      <c r="K132" s="104">
        <v>260</v>
      </c>
      <c r="L132" s="104">
        <v>1600</v>
      </c>
      <c r="M132" s="150">
        <v>13.848454500465525</v>
      </c>
      <c r="N132" s="66">
        <v>565.33600329013404</v>
      </c>
      <c r="O132" s="109">
        <v>20792.674045792315</v>
      </c>
      <c r="P132" s="109">
        <v>25032.504315222079</v>
      </c>
      <c r="Q132" s="110">
        <v>19634.062812306682</v>
      </c>
      <c r="R132" s="258">
        <v>40426.736858099001</v>
      </c>
      <c r="S132" s="259">
        <v>44666.56712752876</v>
      </c>
      <c r="U132" s="7" t="s">
        <v>1808</v>
      </c>
    </row>
    <row r="133" spans="1:21" s="65" customFormat="1" ht="16.5" thickBot="1">
      <c r="A133" s="41" t="s">
        <v>31</v>
      </c>
      <c r="B133" s="42">
        <f t="shared" si="6"/>
        <v>80</v>
      </c>
      <c r="C133" s="42" t="s">
        <v>3</v>
      </c>
      <c r="D133" s="42">
        <f t="shared" si="7"/>
        <v>260</v>
      </c>
      <c r="E133" s="42" t="s">
        <v>3</v>
      </c>
      <c r="F133" s="101">
        <f t="shared" si="8"/>
        <v>1650</v>
      </c>
      <c r="G133" s="42" t="s">
        <v>3</v>
      </c>
      <c r="H133" s="39">
        <v>2</v>
      </c>
      <c r="I133" s="40" t="s">
        <v>40</v>
      </c>
      <c r="J133" s="149">
        <v>80</v>
      </c>
      <c r="K133" s="104">
        <v>260</v>
      </c>
      <c r="L133" s="104">
        <v>1650</v>
      </c>
      <c r="M133" s="150">
        <v>14.248278279029735</v>
      </c>
      <c r="N133" s="66">
        <v>587.94944342173937</v>
      </c>
      <c r="O133" s="109">
        <v>21250.600842213964</v>
      </c>
      <c r="P133" s="109">
        <v>25608.205262887997</v>
      </c>
      <c r="Q133" s="110">
        <v>20355.852364541646</v>
      </c>
      <c r="R133" s="258">
        <v>41606.453206755614</v>
      </c>
      <c r="S133" s="259">
        <v>45964.057627429647</v>
      </c>
      <c r="U133" s="7" t="s">
        <v>1809</v>
      </c>
    </row>
    <row r="134" spans="1:21" s="65" customFormat="1" ht="16.5" thickBot="1">
      <c r="A134" s="41" t="s">
        <v>31</v>
      </c>
      <c r="B134" s="42">
        <f t="shared" si="6"/>
        <v>80</v>
      </c>
      <c r="C134" s="42" t="s">
        <v>3</v>
      </c>
      <c r="D134" s="42">
        <f t="shared" si="7"/>
        <v>260</v>
      </c>
      <c r="E134" s="42" t="s">
        <v>3</v>
      </c>
      <c r="F134" s="101">
        <f t="shared" si="8"/>
        <v>1700</v>
      </c>
      <c r="G134" s="42" t="s">
        <v>3</v>
      </c>
      <c r="H134" s="39">
        <v>2</v>
      </c>
      <c r="I134" s="40" t="s">
        <v>40</v>
      </c>
      <c r="J134" s="149">
        <v>80</v>
      </c>
      <c r="K134" s="104">
        <v>260</v>
      </c>
      <c r="L134" s="104">
        <v>1700</v>
      </c>
      <c r="M134" s="150">
        <v>14.648102057593945</v>
      </c>
      <c r="N134" s="66">
        <v>610.56288355334482</v>
      </c>
      <c r="O134" s="109">
        <v>21708.527791664379</v>
      </c>
      <c r="P134" s="109">
        <v>26183.906210553909</v>
      </c>
      <c r="Q134" s="110">
        <v>20826.307932021609</v>
      </c>
      <c r="R134" s="258">
        <v>42534.835723685988</v>
      </c>
      <c r="S134" s="259">
        <v>47010.214142575518</v>
      </c>
      <c r="U134" s="7" t="s">
        <v>1810</v>
      </c>
    </row>
    <row r="135" spans="1:21" s="65" customFormat="1" ht="16.5" thickBot="1">
      <c r="A135" s="41" t="s">
        <v>31</v>
      </c>
      <c r="B135" s="42">
        <f t="shared" si="6"/>
        <v>80</v>
      </c>
      <c r="C135" s="42" t="s">
        <v>3</v>
      </c>
      <c r="D135" s="42">
        <f t="shared" si="7"/>
        <v>260</v>
      </c>
      <c r="E135" s="42" t="s">
        <v>3</v>
      </c>
      <c r="F135" s="101">
        <f t="shared" si="8"/>
        <v>1750</v>
      </c>
      <c r="G135" s="42" t="s">
        <v>3</v>
      </c>
      <c r="H135" s="39">
        <v>2</v>
      </c>
      <c r="I135" s="40" t="s">
        <v>40</v>
      </c>
      <c r="J135" s="149">
        <v>80</v>
      </c>
      <c r="K135" s="104">
        <v>260</v>
      </c>
      <c r="L135" s="104">
        <v>1750</v>
      </c>
      <c r="M135" s="150">
        <v>15.047925836158157</v>
      </c>
      <c r="N135" s="66">
        <v>633.17632368495003</v>
      </c>
      <c r="O135" s="109">
        <v>22166.454588086024</v>
      </c>
      <c r="P135" s="109">
        <v>26759.607158219824</v>
      </c>
      <c r="Q135" s="110">
        <v>21548.09763728534</v>
      </c>
      <c r="R135" s="258">
        <v>43714.552225371364</v>
      </c>
      <c r="S135" s="259">
        <v>48307.704795505168</v>
      </c>
      <c r="U135" s="7" t="s">
        <v>1811</v>
      </c>
    </row>
    <row r="136" spans="1:21" s="65" customFormat="1" ht="16.5" thickBot="1">
      <c r="A136" s="41" t="s">
        <v>31</v>
      </c>
      <c r="B136" s="42">
        <f t="shared" si="6"/>
        <v>80</v>
      </c>
      <c r="C136" s="42" t="s">
        <v>3</v>
      </c>
      <c r="D136" s="42">
        <f t="shared" si="7"/>
        <v>260</v>
      </c>
      <c r="E136" s="42" t="s">
        <v>3</v>
      </c>
      <c r="F136" s="101">
        <f t="shared" si="8"/>
        <v>1800</v>
      </c>
      <c r="G136" s="42" t="s">
        <v>3</v>
      </c>
      <c r="H136" s="39">
        <v>2</v>
      </c>
      <c r="I136" s="40" t="s">
        <v>40</v>
      </c>
      <c r="J136" s="149">
        <v>80</v>
      </c>
      <c r="K136" s="104">
        <v>260</v>
      </c>
      <c r="L136" s="104">
        <v>1800</v>
      </c>
      <c r="M136" s="150">
        <v>15.447749614722367</v>
      </c>
      <c r="N136" s="66">
        <v>655.78976381655548</v>
      </c>
      <c r="O136" s="109">
        <v>22624.381384507673</v>
      </c>
      <c r="P136" s="109">
        <v>27335.308258914505</v>
      </c>
      <c r="Q136" s="110">
        <v>22018.553204765303</v>
      </c>
      <c r="R136" s="258">
        <v>44642.934589272976</v>
      </c>
      <c r="S136" s="259">
        <v>49353.861463679808</v>
      </c>
      <c r="U136" s="7" t="s">
        <v>1812</v>
      </c>
    </row>
    <row r="137" spans="1:21" s="65" customFormat="1" ht="16.5" thickBot="1">
      <c r="A137" s="41" t="s">
        <v>31</v>
      </c>
      <c r="B137" s="42">
        <f t="shared" si="6"/>
        <v>80</v>
      </c>
      <c r="C137" s="42" t="s">
        <v>3</v>
      </c>
      <c r="D137" s="42">
        <f t="shared" si="7"/>
        <v>260</v>
      </c>
      <c r="E137" s="42" t="s">
        <v>3</v>
      </c>
      <c r="F137" s="101">
        <f t="shared" si="8"/>
        <v>1850</v>
      </c>
      <c r="G137" s="42" t="s">
        <v>3</v>
      </c>
      <c r="H137" s="39">
        <v>2</v>
      </c>
      <c r="I137" s="40" t="s">
        <v>40</v>
      </c>
      <c r="J137" s="149">
        <v>80</v>
      </c>
      <c r="K137" s="104">
        <v>260</v>
      </c>
      <c r="L137" s="104">
        <v>1850</v>
      </c>
      <c r="M137" s="150">
        <v>15.847573393286577</v>
      </c>
      <c r="N137" s="66">
        <v>678.40320394816081</v>
      </c>
      <c r="O137" s="109">
        <v>23082.308333958084</v>
      </c>
      <c r="P137" s="109">
        <v>27911.009206580424</v>
      </c>
      <c r="Q137" s="110">
        <v>22740.342910029034</v>
      </c>
      <c r="R137" s="258">
        <v>45822.651243987115</v>
      </c>
      <c r="S137" s="259">
        <v>50651.352116609458</v>
      </c>
      <c r="U137" s="7" t="s">
        <v>1813</v>
      </c>
    </row>
    <row r="138" spans="1:21" s="65" customFormat="1" ht="16.5" thickBot="1">
      <c r="A138" s="41" t="s">
        <v>31</v>
      </c>
      <c r="B138" s="42">
        <f t="shared" si="6"/>
        <v>80</v>
      </c>
      <c r="C138" s="42" t="s">
        <v>3</v>
      </c>
      <c r="D138" s="42">
        <f t="shared" si="7"/>
        <v>260</v>
      </c>
      <c r="E138" s="42" t="s">
        <v>3</v>
      </c>
      <c r="F138" s="101">
        <f t="shared" si="8"/>
        <v>1900</v>
      </c>
      <c r="G138" s="42" t="s">
        <v>3</v>
      </c>
      <c r="H138" s="39">
        <v>2</v>
      </c>
      <c r="I138" s="40" t="s">
        <v>40</v>
      </c>
      <c r="J138" s="149">
        <v>80</v>
      </c>
      <c r="K138" s="104">
        <v>260</v>
      </c>
      <c r="L138" s="104">
        <v>1900</v>
      </c>
      <c r="M138" s="150">
        <v>16.247397171850789</v>
      </c>
      <c r="N138" s="66">
        <v>701.01664407976625</v>
      </c>
      <c r="O138" s="109">
        <v>23540.235130379733</v>
      </c>
      <c r="P138" s="109">
        <v>28486.710154246335</v>
      </c>
      <c r="Q138" s="110">
        <v>23210.798477508997</v>
      </c>
      <c r="R138" s="258">
        <v>46751.033607888734</v>
      </c>
      <c r="S138" s="259">
        <v>51697.508631755336</v>
      </c>
      <c r="U138" s="7" t="s">
        <v>1814</v>
      </c>
    </row>
    <row r="139" spans="1:21" s="65" customFormat="1" ht="16.5" thickBot="1">
      <c r="A139" s="41" t="s">
        <v>31</v>
      </c>
      <c r="B139" s="42">
        <f t="shared" si="6"/>
        <v>80</v>
      </c>
      <c r="C139" s="42" t="s">
        <v>3</v>
      </c>
      <c r="D139" s="42">
        <f t="shared" si="7"/>
        <v>260</v>
      </c>
      <c r="E139" s="42" t="s">
        <v>3</v>
      </c>
      <c r="F139" s="101">
        <f t="shared" si="8"/>
        <v>1950</v>
      </c>
      <c r="G139" s="42" t="s">
        <v>3</v>
      </c>
      <c r="H139" s="39">
        <v>2</v>
      </c>
      <c r="I139" s="40" t="s">
        <v>40</v>
      </c>
      <c r="J139" s="149">
        <v>80</v>
      </c>
      <c r="K139" s="104">
        <v>260</v>
      </c>
      <c r="L139" s="104">
        <v>1950</v>
      </c>
      <c r="M139" s="150">
        <v>16.686470950415</v>
      </c>
      <c r="N139" s="66">
        <v>723.63008421137158</v>
      </c>
      <c r="O139" s="109">
        <v>24048.162239460795</v>
      </c>
      <c r="P139" s="109">
        <v>29110.887401099786</v>
      </c>
      <c r="Q139" s="110">
        <v>23681.25404498896</v>
      </c>
      <c r="R139" s="258">
        <v>47729.416284449755</v>
      </c>
      <c r="S139" s="259">
        <v>52792.141446088746</v>
      </c>
      <c r="U139" s="7" t="s">
        <v>1815</v>
      </c>
    </row>
    <row r="140" spans="1:21" s="65" customFormat="1" ht="16.5" thickBot="1">
      <c r="A140" s="41" t="s">
        <v>31</v>
      </c>
      <c r="B140" s="42">
        <f t="shared" si="6"/>
        <v>80</v>
      </c>
      <c r="C140" s="42" t="s">
        <v>3</v>
      </c>
      <c r="D140" s="42">
        <f t="shared" si="7"/>
        <v>260</v>
      </c>
      <c r="E140" s="42" t="s">
        <v>3</v>
      </c>
      <c r="F140" s="101">
        <f t="shared" si="8"/>
        <v>2000</v>
      </c>
      <c r="G140" s="42" t="s">
        <v>3</v>
      </c>
      <c r="H140" s="39">
        <v>2</v>
      </c>
      <c r="I140" s="40" t="s">
        <v>40</v>
      </c>
      <c r="J140" s="149">
        <v>80</v>
      </c>
      <c r="K140" s="104">
        <v>260</v>
      </c>
      <c r="L140" s="104">
        <v>2000</v>
      </c>
      <c r="M140" s="150">
        <v>17.177857128979209</v>
      </c>
      <c r="N140" s="66">
        <v>746.24352434297691</v>
      </c>
      <c r="O140" s="109">
        <v>24757.380937727037</v>
      </c>
      <c r="P140" s="109">
        <v>30015.016848131792</v>
      </c>
      <c r="Q140" s="110">
        <v>24403.043750252691</v>
      </c>
      <c r="R140" s="258">
        <v>49160.424687979728</v>
      </c>
      <c r="S140" s="259">
        <v>54418.060598384487</v>
      </c>
      <c r="U140" s="7" t="s">
        <v>1816</v>
      </c>
    </row>
    <row r="141" spans="1:21" s="65" customFormat="1" ht="16.5" thickBot="1">
      <c r="A141" s="41" t="s">
        <v>31</v>
      </c>
      <c r="B141" s="42">
        <f t="shared" si="6"/>
        <v>80</v>
      </c>
      <c r="C141" s="42" t="s">
        <v>3</v>
      </c>
      <c r="D141" s="42">
        <f t="shared" si="7"/>
        <v>260</v>
      </c>
      <c r="E141" s="42" t="s">
        <v>3</v>
      </c>
      <c r="F141" s="101">
        <f t="shared" si="8"/>
        <v>2050</v>
      </c>
      <c r="G141" s="42" t="s">
        <v>3</v>
      </c>
      <c r="H141" s="39">
        <v>2</v>
      </c>
      <c r="I141" s="40" t="s">
        <v>40</v>
      </c>
      <c r="J141" s="149">
        <v>80</v>
      </c>
      <c r="K141" s="104">
        <v>260</v>
      </c>
      <c r="L141" s="104">
        <v>2050</v>
      </c>
      <c r="M141" s="150">
        <v>17.577680907543417</v>
      </c>
      <c r="N141" s="66">
        <v>768.85696447458224</v>
      </c>
      <c r="O141" s="109">
        <v>25215.307887177452</v>
      </c>
      <c r="P141" s="109">
        <v>30590.717795797715</v>
      </c>
      <c r="Q141" s="110">
        <v>24873.499317732651</v>
      </c>
      <c r="R141" s="258">
        <v>50088.807204910103</v>
      </c>
      <c r="S141" s="259">
        <v>55464.217113530365</v>
      </c>
      <c r="U141" s="7" t="s">
        <v>1817</v>
      </c>
    </row>
    <row r="142" spans="1:21" s="65" customFormat="1" ht="16.5" thickBot="1">
      <c r="A142" s="38" t="s">
        <v>31</v>
      </c>
      <c r="B142" s="39">
        <f t="shared" si="6"/>
        <v>80</v>
      </c>
      <c r="C142" s="39" t="s">
        <v>3</v>
      </c>
      <c r="D142" s="39">
        <f t="shared" si="7"/>
        <v>260</v>
      </c>
      <c r="E142" s="39" t="s">
        <v>3</v>
      </c>
      <c r="F142" s="101">
        <f t="shared" si="8"/>
        <v>2100</v>
      </c>
      <c r="G142" s="39" t="s">
        <v>3</v>
      </c>
      <c r="H142" s="39">
        <v>2</v>
      </c>
      <c r="I142" s="40" t="s">
        <v>40</v>
      </c>
      <c r="J142" s="149">
        <v>80</v>
      </c>
      <c r="K142" s="104">
        <v>260</v>
      </c>
      <c r="L142" s="104">
        <v>2100</v>
      </c>
      <c r="M142" s="150">
        <v>17.977504686107629</v>
      </c>
      <c r="N142" s="66">
        <v>791.47040460618769</v>
      </c>
      <c r="O142" s="109">
        <v>25673.234683599097</v>
      </c>
      <c r="P142" s="109">
        <v>31166.418743463626</v>
      </c>
      <c r="Q142" s="110">
        <v>25595.289022996385</v>
      </c>
      <c r="R142" s="258">
        <v>51268.523706595486</v>
      </c>
      <c r="S142" s="259">
        <v>56761.707766460007</v>
      </c>
      <c r="U142" s="7" t="s">
        <v>1818</v>
      </c>
    </row>
    <row r="143" spans="1:21" s="65" customFormat="1" ht="16.5" thickBot="1">
      <c r="A143" s="41" t="s">
        <v>31</v>
      </c>
      <c r="B143" s="42">
        <f t="shared" si="6"/>
        <v>80</v>
      </c>
      <c r="C143" s="42" t="s">
        <v>3</v>
      </c>
      <c r="D143" s="42">
        <f t="shared" si="7"/>
        <v>260</v>
      </c>
      <c r="E143" s="42" t="s">
        <v>3</v>
      </c>
      <c r="F143" s="101">
        <f t="shared" si="8"/>
        <v>2150</v>
      </c>
      <c r="G143" s="42" t="s">
        <v>3</v>
      </c>
      <c r="H143" s="39">
        <v>2</v>
      </c>
      <c r="I143" s="40" t="s">
        <v>40</v>
      </c>
      <c r="J143" s="149">
        <v>80</v>
      </c>
      <c r="K143" s="104">
        <v>260</v>
      </c>
      <c r="L143" s="104">
        <v>2150</v>
      </c>
      <c r="M143" s="150">
        <v>18.377328464671841</v>
      </c>
      <c r="N143" s="66">
        <v>814.08384473779302</v>
      </c>
      <c r="O143" s="109">
        <v>26131.161480020746</v>
      </c>
      <c r="P143" s="109">
        <v>31742.119844158307</v>
      </c>
      <c r="Q143" s="110">
        <v>26065.744590476344</v>
      </c>
      <c r="R143" s="258">
        <v>52196.906070497091</v>
      </c>
      <c r="S143" s="259">
        <v>57807.864434634655</v>
      </c>
      <c r="U143" s="7" t="s">
        <v>1819</v>
      </c>
    </row>
    <row r="144" spans="1:21" s="65" customFormat="1" ht="16.5" thickBot="1">
      <c r="A144" s="41" t="s">
        <v>31</v>
      </c>
      <c r="B144" s="42">
        <f t="shared" si="6"/>
        <v>80</v>
      </c>
      <c r="C144" s="42" t="s">
        <v>3</v>
      </c>
      <c r="D144" s="42">
        <f t="shared" si="7"/>
        <v>260</v>
      </c>
      <c r="E144" s="42" t="s">
        <v>3</v>
      </c>
      <c r="F144" s="101">
        <f t="shared" si="8"/>
        <v>2200</v>
      </c>
      <c r="G144" s="42" t="s">
        <v>3</v>
      </c>
      <c r="H144" s="39">
        <v>2</v>
      </c>
      <c r="I144" s="40" t="s">
        <v>40</v>
      </c>
      <c r="J144" s="149">
        <v>80</v>
      </c>
      <c r="K144" s="104">
        <v>260</v>
      </c>
      <c r="L144" s="104">
        <v>2200</v>
      </c>
      <c r="M144" s="150">
        <v>18.777152243236049</v>
      </c>
      <c r="N144" s="66">
        <v>836.69728486939846</v>
      </c>
      <c r="O144" s="109">
        <v>26589.088429471158</v>
      </c>
      <c r="P144" s="109">
        <v>32317.820791824222</v>
      </c>
      <c r="Q144" s="110">
        <v>26787.534295740079</v>
      </c>
      <c r="R144" s="258">
        <v>53376.622725211237</v>
      </c>
      <c r="S144" s="259">
        <v>59105.355087564298</v>
      </c>
      <c r="U144" s="7" t="s">
        <v>1820</v>
      </c>
    </row>
    <row r="145" spans="1:21" s="65" customFormat="1" ht="16.5" thickBot="1">
      <c r="A145" s="41" t="s">
        <v>31</v>
      </c>
      <c r="B145" s="42">
        <f t="shared" si="6"/>
        <v>80</v>
      </c>
      <c r="C145" s="42" t="s">
        <v>3</v>
      </c>
      <c r="D145" s="42">
        <f t="shared" si="7"/>
        <v>260</v>
      </c>
      <c r="E145" s="42" t="s">
        <v>3</v>
      </c>
      <c r="F145" s="101">
        <f t="shared" si="8"/>
        <v>2250</v>
      </c>
      <c r="G145" s="42" t="s">
        <v>3</v>
      </c>
      <c r="H145" s="39">
        <v>2</v>
      </c>
      <c r="I145" s="40" t="s">
        <v>40</v>
      </c>
      <c r="J145" s="149">
        <v>80</v>
      </c>
      <c r="K145" s="104">
        <v>260</v>
      </c>
      <c r="L145" s="104">
        <v>2250</v>
      </c>
      <c r="M145" s="150">
        <v>19.176976021800257</v>
      </c>
      <c r="N145" s="66">
        <v>859.31072500100368</v>
      </c>
      <c r="O145" s="109">
        <v>27047.01522589281</v>
      </c>
      <c r="P145" s="109">
        <v>32893.521739490141</v>
      </c>
      <c r="Q145" s="110">
        <v>27257.989710191272</v>
      </c>
      <c r="R145" s="258">
        <v>54305.004936084079</v>
      </c>
      <c r="S145" s="259">
        <v>60151.511449681413</v>
      </c>
      <c r="U145" s="7" t="s">
        <v>1821</v>
      </c>
    </row>
    <row r="146" spans="1:21" s="65" customFormat="1" ht="16.5" thickBot="1">
      <c r="A146" s="41" t="s">
        <v>31</v>
      </c>
      <c r="B146" s="42">
        <f t="shared" si="6"/>
        <v>80</v>
      </c>
      <c r="C146" s="42" t="s">
        <v>3</v>
      </c>
      <c r="D146" s="42">
        <f t="shared" si="7"/>
        <v>260</v>
      </c>
      <c r="E146" s="42" t="s">
        <v>3</v>
      </c>
      <c r="F146" s="101">
        <f t="shared" si="8"/>
        <v>2300</v>
      </c>
      <c r="G146" s="42" t="s">
        <v>3</v>
      </c>
      <c r="H146" s="39">
        <v>2</v>
      </c>
      <c r="I146" s="40" t="s">
        <v>40</v>
      </c>
      <c r="J146" s="149">
        <v>80</v>
      </c>
      <c r="K146" s="104">
        <v>260</v>
      </c>
      <c r="L146" s="104">
        <v>2300</v>
      </c>
      <c r="M146" s="150">
        <v>19.576799800364473</v>
      </c>
      <c r="N146" s="66">
        <v>881.92416513260912</v>
      </c>
      <c r="O146" s="109">
        <v>27504.942022314302</v>
      </c>
      <c r="P146" s="109">
        <v>33469.222840184819</v>
      </c>
      <c r="Q146" s="110">
        <v>27728.445277671239</v>
      </c>
      <c r="R146" s="258">
        <v>55233.387299985538</v>
      </c>
      <c r="S146" s="259">
        <v>61197.668117856054</v>
      </c>
      <c r="U146" s="7" t="s">
        <v>1822</v>
      </c>
    </row>
    <row r="147" spans="1:21" s="65" customFormat="1" ht="16.5" thickBot="1">
      <c r="A147" s="41" t="s">
        <v>31</v>
      </c>
      <c r="B147" s="42">
        <f t="shared" si="6"/>
        <v>80</v>
      </c>
      <c r="C147" s="42" t="s">
        <v>3</v>
      </c>
      <c r="D147" s="42">
        <f t="shared" si="7"/>
        <v>260</v>
      </c>
      <c r="E147" s="42" t="s">
        <v>3</v>
      </c>
      <c r="F147" s="101">
        <f t="shared" si="8"/>
        <v>2350</v>
      </c>
      <c r="G147" s="42" t="s">
        <v>3</v>
      </c>
      <c r="H147" s="39">
        <v>2</v>
      </c>
      <c r="I147" s="40" t="s">
        <v>40</v>
      </c>
      <c r="J147" s="149">
        <v>80</v>
      </c>
      <c r="K147" s="104">
        <v>260</v>
      </c>
      <c r="L147" s="104">
        <v>2350</v>
      </c>
      <c r="M147" s="150">
        <v>19.976623578928681</v>
      </c>
      <c r="N147" s="66">
        <v>904.53760526421445</v>
      </c>
      <c r="O147" s="109">
        <v>27962.868971764867</v>
      </c>
      <c r="P147" s="109">
        <v>34044.923787850734</v>
      </c>
      <c r="Q147" s="110">
        <v>28450.234982934966</v>
      </c>
      <c r="R147" s="258">
        <v>56413.103954699836</v>
      </c>
      <c r="S147" s="259">
        <v>62495.158770785696</v>
      </c>
      <c r="U147" s="7" t="s">
        <v>1823</v>
      </c>
    </row>
    <row r="148" spans="1:21" s="65" customFormat="1" ht="16.5" thickBot="1">
      <c r="A148" s="41" t="s">
        <v>31</v>
      </c>
      <c r="B148" s="42">
        <f t="shared" si="6"/>
        <v>80</v>
      </c>
      <c r="C148" s="42" t="s">
        <v>3</v>
      </c>
      <c r="D148" s="42">
        <f t="shared" si="7"/>
        <v>260</v>
      </c>
      <c r="E148" s="42" t="s">
        <v>3</v>
      </c>
      <c r="F148" s="101">
        <f t="shared" si="8"/>
        <v>2400</v>
      </c>
      <c r="G148" s="42" t="s">
        <v>3</v>
      </c>
      <c r="H148" s="39">
        <v>2</v>
      </c>
      <c r="I148" s="40" t="s">
        <v>40</v>
      </c>
      <c r="J148" s="149">
        <v>80</v>
      </c>
      <c r="K148" s="104">
        <v>260</v>
      </c>
      <c r="L148" s="104">
        <v>2400</v>
      </c>
      <c r="M148" s="150">
        <v>20.376447357492893</v>
      </c>
      <c r="N148" s="66">
        <v>927.15104539581978</v>
      </c>
      <c r="O148" s="109">
        <v>28420.795768186515</v>
      </c>
      <c r="P148" s="109">
        <v>34620.624735516649</v>
      </c>
      <c r="Q148" s="110">
        <v>28920.690550414929</v>
      </c>
      <c r="R148" s="258">
        <v>57341.486318601441</v>
      </c>
      <c r="S148" s="259">
        <v>63541.315285931574</v>
      </c>
      <c r="U148" s="7" t="s">
        <v>1824</v>
      </c>
    </row>
    <row r="149" spans="1:21" s="65" customFormat="1" ht="16.5" thickBot="1">
      <c r="A149" s="41" t="s">
        <v>31</v>
      </c>
      <c r="B149" s="42">
        <f t="shared" si="6"/>
        <v>80</v>
      </c>
      <c r="C149" s="42" t="s">
        <v>3</v>
      </c>
      <c r="D149" s="42">
        <f t="shared" si="7"/>
        <v>260</v>
      </c>
      <c r="E149" s="42" t="s">
        <v>3</v>
      </c>
      <c r="F149" s="101">
        <f t="shared" si="8"/>
        <v>2450</v>
      </c>
      <c r="G149" s="42" t="s">
        <v>3</v>
      </c>
      <c r="H149" s="39">
        <v>2</v>
      </c>
      <c r="I149" s="40" t="s">
        <v>40</v>
      </c>
      <c r="J149" s="149">
        <v>80</v>
      </c>
      <c r="K149" s="104">
        <v>260</v>
      </c>
      <c r="L149" s="104">
        <v>2450</v>
      </c>
      <c r="M149" s="150">
        <v>20.9000353248571</v>
      </c>
      <c r="N149" s="66">
        <v>949.76448552742522</v>
      </c>
      <c r="O149" s="109">
        <v>29521.176648995552</v>
      </c>
      <c r="P149" s="109">
        <v>35758.909464188262</v>
      </c>
      <c r="Q149" s="110">
        <v>29642.480255678664</v>
      </c>
      <c r="R149" s="258">
        <v>59163.656904674215</v>
      </c>
      <c r="S149" s="259">
        <v>65401.389719866929</v>
      </c>
      <c r="U149" s="7" t="s">
        <v>1825</v>
      </c>
    </row>
    <row r="150" spans="1:21" s="65" customFormat="1" ht="16.5" thickBot="1">
      <c r="A150" s="41" t="s">
        <v>31</v>
      </c>
      <c r="B150" s="42">
        <f t="shared" si="6"/>
        <v>80</v>
      </c>
      <c r="C150" s="42" t="s">
        <v>3</v>
      </c>
      <c r="D150" s="42">
        <f t="shared" si="7"/>
        <v>260</v>
      </c>
      <c r="E150" s="42" t="s">
        <v>3</v>
      </c>
      <c r="F150" s="101">
        <f t="shared" si="8"/>
        <v>2500</v>
      </c>
      <c r="G150" s="42" t="s">
        <v>3</v>
      </c>
      <c r="H150" s="39">
        <v>2</v>
      </c>
      <c r="I150" s="40" t="s">
        <v>40</v>
      </c>
      <c r="J150" s="149">
        <v>80</v>
      </c>
      <c r="K150" s="104">
        <v>260</v>
      </c>
      <c r="L150" s="104">
        <v>2500</v>
      </c>
      <c r="M150" s="150">
        <v>21.299859103421312</v>
      </c>
      <c r="N150" s="66">
        <v>972.37792565903044</v>
      </c>
      <c r="O150" s="109">
        <v>29979.1034454172</v>
      </c>
      <c r="P150" s="109">
        <v>36334.610411854177</v>
      </c>
      <c r="Q150" s="110">
        <v>30112.935823158623</v>
      </c>
      <c r="R150" s="258">
        <v>60092.039268575827</v>
      </c>
      <c r="S150" s="259">
        <v>66447.546235012793</v>
      </c>
      <c r="U150" s="7" t="s">
        <v>1826</v>
      </c>
    </row>
    <row r="151" spans="1:21" s="65" customFormat="1" ht="16.5" thickBot="1">
      <c r="A151" s="41" t="s">
        <v>31</v>
      </c>
      <c r="B151" s="42">
        <f t="shared" si="6"/>
        <v>80</v>
      </c>
      <c r="C151" s="42" t="s">
        <v>3</v>
      </c>
      <c r="D151" s="42">
        <f t="shared" si="7"/>
        <v>260</v>
      </c>
      <c r="E151" s="42" t="s">
        <v>3</v>
      </c>
      <c r="F151" s="101">
        <f t="shared" si="8"/>
        <v>2550</v>
      </c>
      <c r="G151" s="42" t="s">
        <v>3</v>
      </c>
      <c r="H151" s="39">
        <v>2</v>
      </c>
      <c r="I151" s="40" t="s">
        <v>40</v>
      </c>
      <c r="J151" s="149">
        <v>80</v>
      </c>
      <c r="K151" s="104">
        <v>260</v>
      </c>
      <c r="L151" s="104">
        <v>2550</v>
      </c>
      <c r="M151" s="150">
        <v>21.699682881985524</v>
      </c>
      <c r="N151" s="66">
        <v>994.991365790636</v>
      </c>
      <c r="O151" s="109">
        <v>30437.030241838846</v>
      </c>
      <c r="P151" s="109">
        <v>36910.311512548862</v>
      </c>
      <c r="Q151" s="110">
        <v>30834.725528422357</v>
      </c>
      <c r="R151" s="258">
        <v>61271.755770261203</v>
      </c>
      <c r="S151" s="259">
        <v>67745.03704097122</v>
      </c>
      <c r="U151" s="7" t="s">
        <v>1827</v>
      </c>
    </row>
    <row r="152" spans="1:21" s="65" customFormat="1" ht="16.5" thickBot="1">
      <c r="A152" s="38" t="s">
        <v>31</v>
      </c>
      <c r="B152" s="39">
        <f t="shared" si="6"/>
        <v>80</v>
      </c>
      <c r="C152" s="39" t="s">
        <v>3</v>
      </c>
      <c r="D152" s="39">
        <f t="shared" si="7"/>
        <v>260</v>
      </c>
      <c r="E152" s="39" t="s">
        <v>3</v>
      </c>
      <c r="F152" s="101">
        <f t="shared" si="8"/>
        <v>2600</v>
      </c>
      <c r="G152" s="39" t="s">
        <v>3</v>
      </c>
      <c r="H152" s="39">
        <v>2</v>
      </c>
      <c r="I152" s="40" t="s">
        <v>40</v>
      </c>
      <c r="J152" s="149">
        <v>80</v>
      </c>
      <c r="K152" s="104">
        <v>260</v>
      </c>
      <c r="L152" s="104">
        <v>2600</v>
      </c>
      <c r="M152" s="150">
        <v>22.099506660549736</v>
      </c>
      <c r="N152" s="66">
        <v>1017.6048059222412</v>
      </c>
      <c r="O152" s="109">
        <v>30894.957191289257</v>
      </c>
      <c r="P152" s="109">
        <v>37486.012460214777</v>
      </c>
      <c r="Q152" s="110">
        <v>31305.181095902317</v>
      </c>
      <c r="R152" s="258">
        <v>62200.13828719157</v>
      </c>
      <c r="S152" s="259">
        <v>68791.193556117098</v>
      </c>
      <c r="U152" s="7" t="s">
        <v>1828</v>
      </c>
    </row>
    <row r="153" spans="1:21" s="65" customFormat="1" ht="16.5" thickBot="1">
      <c r="A153" s="41" t="s">
        <v>31</v>
      </c>
      <c r="B153" s="42">
        <f t="shared" si="6"/>
        <v>80</v>
      </c>
      <c r="C153" s="42" t="s">
        <v>3</v>
      </c>
      <c r="D153" s="42">
        <f t="shared" si="7"/>
        <v>260</v>
      </c>
      <c r="E153" s="42" t="s">
        <v>3</v>
      </c>
      <c r="F153" s="101">
        <f t="shared" si="8"/>
        <v>2650</v>
      </c>
      <c r="G153" s="42" t="s">
        <v>3</v>
      </c>
      <c r="H153" s="39">
        <v>2</v>
      </c>
      <c r="I153" s="40" t="s">
        <v>40</v>
      </c>
      <c r="J153" s="149">
        <v>80</v>
      </c>
      <c r="K153" s="104">
        <v>260</v>
      </c>
      <c r="L153" s="104">
        <v>2650</v>
      </c>
      <c r="M153" s="150">
        <v>22.499330439113947</v>
      </c>
      <c r="N153" s="66">
        <v>1040.2182460538465</v>
      </c>
      <c r="O153" s="109">
        <v>31352.883987710909</v>
      </c>
      <c r="P153" s="109">
        <v>38061.713407880685</v>
      </c>
      <c r="Q153" s="110">
        <v>32026.970801166051</v>
      </c>
      <c r="R153" s="258">
        <v>63379.854788876961</v>
      </c>
      <c r="S153" s="259">
        <v>70088.68420904674</v>
      </c>
      <c r="U153" s="7" t="s">
        <v>1829</v>
      </c>
    </row>
    <row r="154" spans="1:21" s="65" customFormat="1" ht="16.5" thickBot="1">
      <c r="A154" s="41" t="s">
        <v>31</v>
      </c>
      <c r="B154" s="42">
        <f t="shared" si="6"/>
        <v>80</v>
      </c>
      <c r="C154" s="42" t="s">
        <v>3</v>
      </c>
      <c r="D154" s="42">
        <f t="shared" si="7"/>
        <v>260</v>
      </c>
      <c r="E154" s="42" t="s">
        <v>3</v>
      </c>
      <c r="F154" s="101">
        <f t="shared" si="8"/>
        <v>2700</v>
      </c>
      <c r="G154" s="42" t="s">
        <v>3</v>
      </c>
      <c r="H154" s="39">
        <v>2</v>
      </c>
      <c r="I154" s="40" t="s">
        <v>40</v>
      </c>
      <c r="J154" s="149">
        <v>80</v>
      </c>
      <c r="K154" s="104">
        <v>260</v>
      </c>
      <c r="L154" s="104">
        <v>2700</v>
      </c>
      <c r="M154" s="150">
        <v>22.938404217678162</v>
      </c>
      <c r="N154" s="66">
        <v>1062.8316861854521</v>
      </c>
      <c r="O154" s="109">
        <v>31860.811096791967</v>
      </c>
      <c r="P154" s="109">
        <v>38685.890654734139</v>
      </c>
      <c r="Q154" s="110">
        <v>32497.426368646011</v>
      </c>
      <c r="R154" s="258">
        <v>64358.237465437982</v>
      </c>
      <c r="S154" s="259">
        <v>71183.31702338015</v>
      </c>
      <c r="U154" s="7" t="s">
        <v>1830</v>
      </c>
    </row>
    <row r="155" spans="1:21" s="65" customFormat="1" ht="16.5" thickBot="1">
      <c r="A155" s="41" t="s">
        <v>31</v>
      </c>
      <c r="B155" s="42">
        <f t="shared" si="6"/>
        <v>80</v>
      </c>
      <c r="C155" s="42" t="s">
        <v>3</v>
      </c>
      <c r="D155" s="42">
        <f t="shared" si="7"/>
        <v>260</v>
      </c>
      <c r="E155" s="42" t="s">
        <v>3</v>
      </c>
      <c r="F155" s="101">
        <f t="shared" si="8"/>
        <v>2750</v>
      </c>
      <c r="G155" s="42" t="s">
        <v>3</v>
      </c>
      <c r="H155" s="39">
        <v>2</v>
      </c>
      <c r="I155" s="40" t="s">
        <v>40</v>
      </c>
      <c r="J155" s="149">
        <v>80</v>
      </c>
      <c r="K155" s="104">
        <v>260</v>
      </c>
      <c r="L155" s="104">
        <v>2750</v>
      </c>
      <c r="M155" s="150">
        <v>23.33822799624237</v>
      </c>
      <c r="N155" s="66">
        <v>1085.4451263170572</v>
      </c>
      <c r="O155" s="109">
        <v>32318.737893213616</v>
      </c>
      <c r="P155" s="109">
        <v>39261.591602400047</v>
      </c>
      <c r="Q155" s="110">
        <v>32967.881936125974</v>
      </c>
      <c r="R155" s="258">
        <v>65286.619829339586</v>
      </c>
      <c r="S155" s="259">
        <v>72229.473538526014</v>
      </c>
      <c r="U155" s="7" t="s">
        <v>1831</v>
      </c>
    </row>
    <row r="156" spans="1:21" s="65" customFormat="1" ht="16.5" thickBot="1">
      <c r="A156" s="41" t="s">
        <v>31</v>
      </c>
      <c r="B156" s="42">
        <f t="shared" si="6"/>
        <v>80</v>
      </c>
      <c r="C156" s="42" t="s">
        <v>3</v>
      </c>
      <c r="D156" s="42">
        <f t="shared" si="7"/>
        <v>260</v>
      </c>
      <c r="E156" s="42" t="s">
        <v>3</v>
      </c>
      <c r="F156" s="101">
        <f t="shared" si="8"/>
        <v>2800</v>
      </c>
      <c r="G156" s="42" t="s">
        <v>3</v>
      </c>
      <c r="H156" s="39">
        <v>2</v>
      </c>
      <c r="I156" s="40" t="s">
        <v>40</v>
      </c>
      <c r="J156" s="149">
        <v>80</v>
      </c>
      <c r="K156" s="104">
        <v>260</v>
      </c>
      <c r="L156" s="104">
        <v>2800</v>
      </c>
      <c r="M156" s="150">
        <v>23.738051774806578</v>
      </c>
      <c r="N156" s="66">
        <v>1108.0585664486628</v>
      </c>
      <c r="O156" s="109">
        <v>32776.664689635261</v>
      </c>
      <c r="P156" s="109">
        <v>39837.292550065969</v>
      </c>
      <c r="Q156" s="110">
        <v>33689.671488360938</v>
      </c>
      <c r="R156" s="258">
        <v>66466.3361779962</v>
      </c>
      <c r="S156" s="259">
        <v>73526.964038426901</v>
      </c>
      <c r="U156" s="7" t="s">
        <v>1832</v>
      </c>
    </row>
    <row r="157" spans="1:21" s="65" customFormat="1" ht="16.5" thickBot="1">
      <c r="A157" s="41" t="s">
        <v>31</v>
      </c>
      <c r="B157" s="42">
        <f t="shared" si="6"/>
        <v>80</v>
      </c>
      <c r="C157" s="42" t="s">
        <v>3</v>
      </c>
      <c r="D157" s="42">
        <f t="shared" si="7"/>
        <v>260</v>
      </c>
      <c r="E157" s="42" t="s">
        <v>3</v>
      </c>
      <c r="F157" s="101">
        <f t="shared" si="8"/>
        <v>2850</v>
      </c>
      <c r="G157" s="42" t="s">
        <v>3</v>
      </c>
      <c r="H157" s="39">
        <v>2</v>
      </c>
      <c r="I157" s="40" t="s">
        <v>40</v>
      </c>
      <c r="J157" s="149">
        <v>80</v>
      </c>
      <c r="K157" s="104">
        <v>260</v>
      </c>
      <c r="L157" s="104">
        <v>2850</v>
      </c>
      <c r="M157" s="150">
        <v>24.13787555337079</v>
      </c>
      <c r="N157" s="66">
        <v>1130.6720065802681</v>
      </c>
      <c r="O157" s="109">
        <v>33234.59163908568</v>
      </c>
      <c r="P157" s="109">
        <v>40412.993650760647</v>
      </c>
      <c r="Q157" s="110">
        <v>34160.127055840901</v>
      </c>
      <c r="R157" s="258">
        <v>67394.718694926589</v>
      </c>
      <c r="S157" s="259">
        <v>74573.120706601549</v>
      </c>
      <c r="U157" s="7" t="s">
        <v>1833</v>
      </c>
    </row>
    <row r="158" spans="1:21" s="65" customFormat="1" ht="16.5" thickBot="1">
      <c r="A158" s="41" t="s">
        <v>31</v>
      </c>
      <c r="B158" s="42">
        <f t="shared" si="6"/>
        <v>80</v>
      </c>
      <c r="C158" s="42" t="s">
        <v>3</v>
      </c>
      <c r="D158" s="42">
        <f t="shared" si="7"/>
        <v>260</v>
      </c>
      <c r="E158" s="42" t="s">
        <v>3</v>
      </c>
      <c r="F158" s="101">
        <f t="shared" si="8"/>
        <v>2900</v>
      </c>
      <c r="G158" s="42" t="s">
        <v>3</v>
      </c>
      <c r="H158" s="39">
        <v>2</v>
      </c>
      <c r="I158" s="40" t="s">
        <v>40</v>
      </c>
      <c r="J158" s="149">
        <v>80</v>
      </c>
      <c r="K158" s="104">
        <v>260</v>
      </c>
      <c r="L158" s="104">
        <v>2900</v>
      </c>
      <c r="M158" s="150">
        <v>24.537699331935002</v>
      </c>
      <c r="N158" s="66">
        <v>1153.2854467118734</v>
      </c>
      <c r="O158" s="109">
        <v>33692.518435507322</v>
      </c>
      <c r="P158" s="109">
        <v>40988.694598426562</v>
      </c>
      <c r="Q158" s="110">
        <v>34881.916761104636</v>
      </c>
      <c r="R158" s="258">
        <v>68574.435196611958</v>
      </c>
      <c r="S158" s="259">
        <v>75870.611359531205</v>
      </c>
      <c r="U158" s="7" t="s">
        <v>1834</v>
      </c>
    </row>
    <row r="159" spans="1:21" s="65" customFormat="1" ht="16.5" thickBot="1">
      <c r="A159" s="41" t="s">
        <v>31</v>
      </c>
      <c r="B159" s="42">
        <f t="shared" si="6"/>
        <v>80</v>
      </c>
      <c r="C159" s="42" t="s">
        <v>3</v>
      </c>
      <c r="D159" s="42">
        <f t="shared" si="7"/>
        <v>260</v>
      </c>
      <c r="E159" s="42" t="s">
        <v>3</v>
      </c>
      <c r="F159" s="101">
        <f t="shared" si="8"/>
        <v>2950</v>
      </c>
      <c r="G159" s="42" t="s">
        <v>3</v>
      </c>
      <c r="H159" s="39">
        <v>2</v>
      </c>
      <c r="I159" s="40" t="s">
        <v>40</v>
      </c>
      <c r="J159" s="149">
        <v>80</v>
      </c>
      <c r="K159" s="104">
        <v>260</v>
      </c>
      <c r="L159" s="104">
        <v>2950</v>
      </c>
      <c r="M159" s="150">
        <v>24.93752311049921</v>
      </c>
      <c r="N159" s="66">
        <v>1175.8988868434787</v>
      </c>
      <c r="O159" s="109">
        <v>34150.445231928978</v>
      </c>
      <c r="P159" s="109">
        <v>41564.395546092477</v>
      </c>
      <c r="Q159" s="110">
        <v>35352.372328584599</v>
      </c>
      <c r="R159" s="258">
        <v>69502.817560513577</v>
      </c>
      <c r="S159" s="259">
        <v>76916.767874677083</v>
      </c>
      <c r="U159" s="7" t="s">
        <v>1835</v>
      </c>
    </row>
    <row r="160" spans="1:21" s="65" customFormat="1" ht="16.5" thickBot="1">
      <c r="A160" s="43" t="s">
        <v>31</v>
      </c>
      <c r="B160" s="44">
        <f t="shared" si="6"/>
        <v>80</v>
      </c>
      <c r="C160" s="44" t="s">
        <v>3</v>
      </c>
      <c r="D160" s="44">
        <f t="shared" si="7"/>
        <v>260</v>
      </c>
      <c r="E160" s="44" t="s">
        <v>3</v>
      </c>
      <c r="F160" s="102">
        <f t="shared" si="8"/>
        <v>3000</v>
      </c>
      <c r="G160" s="44" t="s">
        <v>3</v>
      </c>
      <c r="H160" s="46">
        <v>2</v>
      </c>
      <c r="I160" s="45" t="s">
        <v>40</v>
      </c>
      <c r="J160" s="149">
        <v>80</v>
      </c>
      <c r="K160" s="134">
        <v>260</v>
      </c>
      <c r="L160" s="134">
        <v>3000</v>
      </c>
      <c r="M160" s="152">
        <v>25.337346889063426</v>
      </c>
      <c r="N160" s="126">
        <v>1198.5123269750841</v>
      </c>
      <c r="O160" s="154">
        <v>34608.372181379389</v>
      </c>
      <c r="P160" s="154">
        <v>42140.096493758399</v>
      </c>
      <c r="Q160" s="136">
        <v>36074.162033848326</v>
      </c>
      <c r="R160" s="260">
        <v>70682.534215227715</v>
      </c>
      <c r="S160" s="261">
        <v>78214.258527606726</v>
      </c>
      <c r="U160" s="7" t="s">
        <v>1836</v>
      </c>
    </row>
    <row r="161" spans="1:21" s="65" customFormat="1" ht="22.5" customHeight="1" thickBot="1">
      <c r="A161" s="3010" t="s">
        <v>43</v>
      </c>
      <c r="B161" s="3011"/>
      <c r="C161" s="3011"/>
      <c r="D161" s="3011"/>
      <c r="E161" s="3011"/>
      <c r="F161" s="3011"/>
      <c r="G161" s="3011"/>
      <c r="H161" s="3011"/>
      <c r="I161" s="3011"/>
      <c r="J161" s="3011"/>
      <c r="K161" s="3011"/>
      <c r="L161" s="3011"/>
      <c r="M161" s="3011"/>
      <c r="N161" s="3011"/>
      <c r="O161" s="3011"/>
      <c r="P161" s="3011"/>
      <c r="Q161" s="3011"/>
      <c r="R161" s="3011"/>
      <c r="S161" s="3012"/>
      <c r="U161" s="7"/>
    </row>
    <row r="162" spans="1:21" s="65" customFormat="1" ht="16.5" thickBot="1">
      <c r="A162" s="2974" t="s">
        <v>112</v>
      </c>
      <c r="B162" s="2975"/>
      <c r="C162" s="2975"/>
      <c r="D162" s="2975"/>
      <c r="E162" s="2975"/>
      <c r="F162" s="2975"/>
      <c r="G162" s="2975"/>
      <c r="H162" s="2975"/>
      <c r="I162" s="2975"/>
      <c r="J162" s="2975"/>
      <c r="K162" s="2975"/>
      <c r="L162" s="2975"/>
      <c r="M162" s="2975"/>
      <c r="N162" s="2975"/>
      <c r="O162" s="2975"/>
      <c r="P162" s="2975"/>
      <c r="Q162" s="2975"/>
      <c r="R162" s="2975"/>
      <c r="S162" s="2976"/>
      <c r="U162" s="7"/>
    </row>
    <row r="163" spans="1:21" s="65" customFormat="1" ht="16.5" thickBot="1">
      <c r="A163" s="38" t="s">
        <v>31</v>
      </c>
      <c r="B163" s="39">
        <f>J163</f>
        <v>80</v>
      </c>
      <c r="C163" s="39" t="s">
        <v>3</v>
      </c>
      <c r="D163" s="39">
        <f>K163</f>
        <v>300</v>
      </c>
      <c r="E163" s="39" t="s">
        <v>3</v>
      </c>
      <c r="F163" s="101">
        <f>L163</f>
        <v>600</v>
      </c>
      <c r="G163" s="39" t="s">
        <v>3</v>
      </c>
      <c r="H163" s="39">
        <v>2</v>
      </c>
      <c r="I163" s="40" t="s">
        <v>40</v>
      </c>
      <c r="J163" s="146">
        <v>80</v>
      </c>
      <c r="K163" s="138">
        <v>300</v>
      </c>
      <c r="L163" s="138">
        <v>600</v>
      </c>
      <c r="M163" s="147">
        <v>6.2237049637497366</v>
      </c>
      <c r="N163" s="122">
        <v>121.11039540158848</v>
      </c>
      <c r="O163" s="148">
        <v>11465.44593995122</v>
      </c>
      <c r="P163" s="148">
        <v>13622.56297958305</v>
      </c>
      <c r="Q163" s="139">
        <v>8941.6715199935952</v>
      </c>
      <c r="R163" s="256">
        <v>20407.117459944813</v>
      </c>
      <c r="S163" s="257">
        <v>22564.234499576647</v>
      </c>
      <c r="U163" s="7" t="s">
        <v>1837</v>
      </c>
    </row>
    <row r="164" spans="1:21" s="65" customFormat="1" ht="16.5" thickBot="1">
      <c r="A164" s="41" t="s">
        <v>31</v>
      </c>
      <c r="B164" s="42">
        <f t="shared" ref="B164:B211" si="9">J164</f>
        <v>80</v>
      </c>
      <c r="C164" s="42" t="s">
        <v>3</v>
      </c>
      <c r="D164" s="42">
        <f t="shared" ref="D164:D211" si="10">K164</f>
        <v>300</v>
      </c>
      <c r="E164" s="42" t="s">
        <v>3</v>
      </c>
      <c r="F164" s="101">
        <f t="shared" ref="F164:F211" si="11">L164</f>
        <v>650</v>
      </c>
      <c r="G164" s="42" t="s">
        <v>3</v>
      </c>
      <c r="H164" s="39">
        <v>2</v>
      </c>
      <c r="I164" s="40" t="s">
        <v>40</v>
      </c>
      <c r="J164" s="149">
        <v>80</v>
      </c>
      <c r="K164" s="104">
        <v>300</v>
      </c>
      <c r="L164" s="104">
        <v>650</v>
      </c>
      <c r="M164" s="150">
        <v>6.6562750817876308</v>
      </c>
      <c r="N164" s="66">
        <v>145.33247448190616</v>
      </c>
      <c r="O164" s="111">
        <v>11943.805902236185</v>
      </c>
      <c r="P164" s="111">
        <v>14232.750183700005</v>
      </c>
      <c r="Q164" s="110">
        <v>9465.3131529653438</v>
      </c>
      <c r="R164" s="258">
        <v>21409.119055201529</v>
      </c>
      <c r="S164" s="259">
        <v>23698.063336665349</v>
      </c>
      <c r="U164" s="7" t="s">
        <v>1838</v>
      </c>
    </row>
    <row r="165" spans="1:21" s="65" customFormat="1" ht="16.5" thickBot="1">
      <c r="A165" s="41" t="s">
        <v>31</v>
      </c>
      <c r="B165" s="42">
        <f t="shared" si="9"/>
        <v>80</v>
      </c>
      <c r="C165" s="42" t="s">
        <v>3</v>
      </c>
      <c r="D165" s="42">
        <f t="shared" si="10"/>
        <v>300</v>
      </c>
      <c r="E165" s="42" t="s">
        <v>3</v>
      </c>
      <c r="F165" s="101">
        <f t="shared" si="11"/>
        <v>700</v>
      </c>
      <c r="G165" s="42" t="s">
        <v>3</v>
      </c>
      <c r="H165" s="39">
        <v>2</v>
      </c>
      <c r="I165" s="40" t="s">
        <v>40</v>
      </c>
      <c r="J165" s="149">
        <v>80</v>
      </c>
      <c r="K165" s="104">
        <v>300</v>
      </c>
      <c r="L165" s="104">
        <v>700</v>
      </c>
      <c r="M165" s="150">
        <v>7.088845199825526</v>
      </c>
      <c r="N165" s="66">
        <v>169.55455356222384</v>
      </c>
      <c r="O165" s="111">
        <v>12422.165864521148</v>
      </c>
      <c r="P165" s="111">
        <v>14842.937387816961</v>
      </c>
      <c r="Q165" s="110">
        <v>10240.289076749623</v>
      </c>
      <c r="R165" s="258">
        <v>22662.454941270771</v>
      </c>
      <c r="S165" s="259">
        <v>25083.226464566585</v>
      </c>
      <c r="U165" s="7" t="s">
        <v>1839</v>
      </c>
    </row>
    <row r="166" spans="1:21" s="65" customFormat="1" ht="16.5" thickBot="1">
      <c r="A166" s="41" t="s">
        <v>31</v>
      </c>
      <c r="B166" s="42">
        <f t="shared" si="9"/>
        <v>80</v>
      </c>
      <c r="C166" s="42" t="s">
        <v>3</v>
      </c>
      <c r="D166" s="42">
        <f t="shared" si="10"/>
        <v>300</v>
      </c>
      <c r="E166" s="42" t="s">
        <v>3</v>
      </c>
      <c r="F166" s="101">
        <f t="shared" si="11"/>
        <v>750</v>
      </c>
      <c r="G166" s="42" t="s">
        <v>3</v>
      </c>
      <c r="H166" s="39">
        <v>2</v>
      </c>
      <c r="I166" s="40" t="s">
        <v>40</v>
      </c>
      <c r="J166" s="149">
        <v>80</v>
      </c>
      <c r="K166" s="104">
        <v>300</v>
      </c>
      <c r="L166" s="104">
        <v>750</v>
      </c>
      <c r="M166" s="150">
        <v>7.5214153178634202</v>
      </c>
      <c r="N166" s="66">
        <v>193.77663264254159</v>
      </c>
      <c r="O166" s="111">
        <v>12900.52582680611</v>
      </c>
      <c r="P166" s="111">
        <v>15453.124438905152</v>
      </c>
      <c r="Q166" s="110">
        <v>10763.930709721371</v>
      </c>
      <c r="R166" s="258">
        <v>23664.456536527483</v>
      </c>
      <c r="S166" s="259">
        <v>26217.055148626525</v>
      </c>
      <c r="U166" s="7" t="s">
        <v>1840</v>
      </c>
    </row>
    <row r="167" spans="1:21" s="65" customFormat="1" ht="16.5" thickBot="1">
      <c r="A167" s="41" t="s">
        <v>31</v>
      </c>
      <c r="B167" s="42">
        <f t="shared" si="9"/>
        <v>80</v>
      </c>
      <c r="C167" s="42" t="s">
        <v>3</v>
      </c>
      <c r="D167" s="42">
        <f t="shared" si="10"/>
        <v>300</v>
      </c>
      <c r="E167" s="42" t="s">
        <v>3</v>
      </c>
      <c r="F167" s="101">
        <f t="shared" si="11"/>
        <v>800</v>
      </c>
      <c r="G167" s="42" t="s">
        <v>3</v>
      </c>
      <c r="H167" s="39">
        <v>2</v>
      </c>
      <c r="I167" s="40" t="s">
        <v>40</v>
      </c>
      <c r="J167" s="149">
        <v>80</v>
      </c>
      <c r="K167" s="104">
        <v>300</v>
      </c>
      <c r="L167" s="104">
        <v>800</v>
      </c>
      <c r="M167" s="150">
        <v>7.9539854359013162</v>
      </c>
      <c r="N167" s="66">
        <v>217.99871172285927</v>
      </c>
      <c r="O167" s="111">
        <v>13378.885789091075</v>
      </c>
      <c r="P167" s="111">
        <v>16063.311643022109</v>
      </c>
      <c r="Q167" s="110">
        <v>11287.572342693116</v>
      </c>
      <c r="R167" s="258">
        <v>24666.458131784191</v>
      </c>
      <c r="S167" s="259">
        <v>27350.883985715227</v>
      </c>
      <c r="U167" s="7" t="s">
        <v>1841</v>
      </c>
    </row>
    <row r="168" spans="1:21" s="65" customFormat="1" ht="16.5" thickBot="1">
      <c r="A168" s="41" t="s">
        <v>31</v>
      </c>
      <c r="B168" s="42">
        <f t="shared" si="9"/>
        <v>80</v>
      </c>
      <c r="C168" s="42" t="s">
        <v>3</v>
      </c>
      <c r="D168" s="42">
        <f t="shared" si="10"/>
        <v>300</v>
      </c>
      <c r="E168" s="42" t="s">
        <v>3</v>
      </c>
      <c r="F168" s="101">
        <f t="shared" si="11"/>
        <v>850</v>
      </c>
      <c r="G168" s="42" t="s">
        <v>3</v>
      </c>
      <c r="H168" s="39">
        <v>2</v>
      </c>
      <c r="I168" s="40" t="s">
        <v>40</v>
      </c>
      <c r="J168" s="149">
        <v>80</v>
      </c>
      <c r="K168" s="104">
        <v>300</v>
      </c>
      <c r="L168" s="104">
        <v>850</v>
      </c>
      <c r="M168" s="150">
        <v>8.3865555539392105</v>
      </c>
      <c r="N168" s="66">
        <v>242.22079080317695</v>
      </c>
      <c r="O168" s="111">
        <v>13857.24575137604</v>
      </c>
      <c r="P168" s="111">
        <v>16673.498847139064</v>
      </c>
      <c r="Q168" s="110">
        <v>12062.548266477399</v>
      </c>
      <c r="R168" s="258">
        <v>25919.794017853441</v>
      </c>
      <c r="S168" s="259">
        <v>28736.047113616463</v>
      </c>
      <c r="U168" s="7" t="s">
        <v>1842</v>
      </c>
    </row>
    <row r="169" spans="1:21" s="65" customFormat="1" ht="16.5" thickBot="1">
      <c r="A169" s="41" t="s">
        <v>31</v>
      </c>
      <c r="B169" s="42">
        <f t="shared" si="9"/>
        <v>80</v>
      </c>
      <c r="C169" s="42" t="s">
        <v>3</v>
      </c>
      <c r="D169" s="42">
        <f t="shared" si="10"/>
        <v>300</v>
      </c>
      <c r="E169" s="42" t="s">
        <v>3</v>
      </c>
      <c r="F169" s="101">
        <f t="shared" si="11"/>
        <v>900</v>
      </c>
      <c r="G169" s="42" t="s">
        <v>3</v>
      </c>
      <c r="H169" s="39">
        <v>2</v>
      </c>
      <c r="I169" s="40" t="s">
        <v>40</v>
      </c>
      <c r="J169" s="149">
        <v>80</v>
      </c>
      <c r="K169" s="104">
        <v>300</v>
      </c>
      <c r="L169" s="104">
        <v>900</v>
      </c>
      <c r="M169" s="150">
        <v>8.8191256719771047</v>
      </c>
      <c r="N169" s="66">
        <v>266.44286988349467</v>
      </c>
      <c r="O169" s="111">
        <v>14335.605713661002</v>
      </c>
      <c r="P169" s="111">
        <v>17283.685898227253</v>
      </c>
      <c r="Q169" s="110">
        <v>12586.189899449146</v>
      </c>
      <c r="R169" s="258">
        <v>26921.795613110145</v>
      </c>
      <c r="S169" s="259">
        <v>29869.875797676399</v>
      </c>
      <c r="U169" s="7" t="s">
        <v>1843</v>
      </c>
    </row>
    <row r="170" spans="1:21" s="65" customFormat="1" ht="16.5" thickBot="1">
      <c r="A170" s="41" t="s">
        <v>31</v>
      </c>
      <c r="B170" s="42">
        <f t="shared" si="9"/>
        <v>80</v>
      </c>
      <c r="C170" s="42" t="s">
        <v>3</v>
      </c>
      <c r="D170" s="42">
        <f t="shared" si="10"/>
        <v>300</v>
      </c>
      <c r="E170" s="42" t="s">
        <v>3</v>
      </c>
      <c r="F170" s="101">
        <f t="shared" si="11"/>
        <v>950</v>
      </c>
      <c r="G170" s="42" t="s">
        <v>3</v>
      </c>
      <c r="H170" s="39">
        <v>2</v>
      </c>
      <c r="I170" s="40" t="s">
        <v>40</v>
      </c>
      <c r="J170" s="149">
        <v>80</v>
      </c>
      <c r="K170" s="104">
        <v>300</v>
      </c>
      <c r="L170" s="104">
        <v>950</v>
      </c>
      <c r="M170" s="150">
        <v>9.251695790014999</v>
      </c>
      <c r="N170" s="66">
        <v>290.66494896381232</v>
      </c>
      <c r="O170" s="111">
        <v>14813.965675945967</v>
      </c>
      <c r="P170" s="111">
        <v>17893.873102344209</v>
      </c>
      <c r="Q170" s="110">
        <v>13361.165670204662</v>
      </c>
      <c r="R170" s="258">
        <v>28175.131346150629</v>
      </c>
      <c r="S170" s="259">
        <v>31255.038772548869</v>
      </c>
      <c r="U170" s="7" t="s">
        <v>1844</v>
      </c>
    </row>
    <row r="171" spans="1:21" s="65" customFormat="1" ht="16.5" thickBot="1">
      <c r="A171" s="41" t="s">
        <v>31</v>
      </c>
      <c r="B171" s="42">
        <f t="shared" si="9"/>
        <v>80</v>
      </c>
      <c r="C171" s="42" t="s">
        <v>3</v>
      </c>
      <c r="D171" s="42">
        <f t="shared" si="10"/>
        <v>300</v>
      </c>
      <c r="E171" s="42" t="s">
        <v>3</v>
      </c>
      <c r="F171" s="101">
        <f t="shared" si="11"/>
        <v>1000</v>
      </c>
      <c r="G171" s="42" t="s">
        <v>3</v>
      </c>
      <c r="H171" s="39">
        <v>2</v>
      </c>
      <c r="I171" s="40" t="s">
        <v>40</v>
      </c>
      <c r="J171" s="149">
        <v>80</v>
      </c>
      <c r="K171" s="104">
        <v>300</v>
      </c>
      <c r="L171" s="104">
        <v>1000</v>
      </c>
      <c r="M171" s="150">
        <v>9.684265908052895</v>
      </c>
      <c r="N171" s="66">
        <v>314.88702804413003</v>
      </c>
      <c r="O171" s="111">
        <v>15292.325638230928</v>
      </c>
      <c r="P171" s="111">
        <v>18504.060306461164</v>
      </c>
      <c r="Q171" s="110">
        <v>13884.807456205173</v>
      </c>
      <c r="R171" s="258">
        <v>29177.133094436103</v>
      </c>
      <c r="S171" s="259">
        <v>32388.867762666338</v>
      </c>
      <c r="U171" s="7" t="s">
        <v>1845</v>
      </c>
    </row>
    <row r="172" spans="1:21" s="65" customFormat="1" ht="16.5" thickBot="1">
      <c r="A172" s="41" t="s">
        <v>31</v>
      </c>
      <c r="B172" s="42">
        <f t="shared" si="9"/>
        <v>80</v>
      </c>
      <c r="C172" s="42" t="s">
        <v>3</v>
      </c>
      <c r="D172" s="42">
        <f t="shared" si="10"/>
        <v>300</v>
      </c>
      <c r="E172" s="42" t="s">
        <v>3</v>
      </c>
      <c r="F172" s="101">
        <f t="shared" si="11"/>
        <v>1050</v>
      </c>
      <c r="G172" s="42" t="s">
        <v>3</v>
      </c>
      <c r="H172" s="39">
        <v>2</v>
      </c>
      <c r="I172" s="40" t="s">
        <v>40</v>
      </c>
      <c r="J172" s="149">
        <v>80</v>
      </c>
      <c r="K172" s="104">
        <v>300</v>
      </c>
      <c r="L172" s="104">
        <v>1050</v>
      </c>
      <c r="M172" s="150">
        <v>10.116836026090789</v>
      </c>
      <c r="N172" s="66">
        <v>339.10910712444769</v>
      </c>
      <c r="O172" s="111">
        <v>15770.685600515893</v>
      </c>
      <c r="P172" s="111">
        <v>19114.247357549353</v>
      </c>
      <c r="Q172" s="110">
        <v>14659.78322696069</v>
      </c>
      <c r="R172" s="258">
        <v>30430.468827476583</v>
      </c>
      <c r="S172" s="259">
        <v>33774.030584510045</v>
      </c>
      <c r="U172" s="7" t="s">
        <v>1846</v>
      </c>
    </row>
    <row r="173" spans="1:21" s="65" customFormat="1" ht="16.5" thickBot="1">
      <c r="A173" s="38" t="s">
        <v>31</v>
      </c>
      <c r="B173" s="39">
        <f t="shared" si="9"/>
        <v>80</v>
      </c>
      <c r="C173" s="39" t="s">
        <v>3</v>
      </c>
      <c r="D173" s="39">
        <f t="shared" si="10"/>
        <v>300</v>
      </c>
      <c r="E173" s="39" t="s">
        <v>3</v>
      </c>
      <c r="F173" s="101">
        <f t="shared" si="11"/>
        <v>1100</v>
      </c>
      <c r="G173" s="39" t="s">
        <v>3</v>
      </c>
      <c r="H173" s="39">
        <v>2</v>
      </c>
      <c r="I173" s="40" t="s">
        <v>40</v>
      </c>
      <c r="J173" s="149">
        <v>80</v>
      </c>
      <c r="K173" s="104">
        <v>300</v>
      </c>
      <c r="L173" s="104">
        <v>1100</v>
      </c>
      <c r="M173" s="150">
        <v>10.549406144128683</v>
      </c>
      <c r="N173" s="66">
        <v>363.33118620476546</v>
      </c>
      <c r="O173" s="111">
        <v>16249.045562800859</v>
      </c>
      <c r="P173" s="111">
        <v>19724.434561666309</v>
      </c>
      <c r="Q173" s="110">
        <v>15183.425012961201</v>
      </c>
      <c r="R173" s="258">
        <v>31432.470575762061</v>
      </c>
      <c r="S173" s="259">
        <v>34907.85957462751</v>
      </c>
      <c r="U173" s="7" t="s">
        <v>1847</v>
      </c>
    </row>
    <row r="174" spans="1:21" s="65" customFormat="1" ht="16.5" thickBot="1">
      <c r="A174" s="41" t="s">
        <v>31</v>
      </c>
      <c r="B174" s="42">
        <f t="shared" si="9"/>
        <v>80</v>
      </c>
      <c r="C174" s="42" t="s">
        <v>3</v>
      </c>
      <c r="D174" s="42">
        <f t="shared" si="10"/>
        <v>300</v>
      </c>
      <c r="E174" s="42" t="s">
        <v>3</v>
      </c>
      <c r="F174" s="101">
        <f t="shared" si="11"/>
        <v>1150</v>
      </c>
      <c r="G174" s="42" t="s">
        <v>3</v>
      </c>
      <c r="H174" s="39">
        <v>2</v>
      </c>
      <c r="I174" s="40" t="s">
        <v>40</v>
      </c>
      <c r="J174" s="149">
        <v>80</v>
      </c>
      <c r="K174" s="104">
        <v>300</v>
      </c>
      <c r="L174" s="104">
        <v>1150</v>
      </c>
      <c r="M174" s="150">
        <v>10.98197626216658</v>
      </c>
      <c r="N174" s="66">
        <v>387.55326528508317</v>
      </c>
      <c r="O174" s="111">
        <v>16727.405525085822</v>
      </c>
      <c r="P174" s="111">
        <v>20334.621765783264</v>
      </c>
      <c r="Q174" s="110">
        <v>15707.066645932946</v>
      </c>
      <c r="R174" s="258">
        <v>32434.472171018766</v>
      </c>
      <c r="S174" s="259">
        <v>36041.688411716212</v>
      </c>
      <c r="U174" s="7" t="s">
        <v>1848</v>
      </c>
    </row>
    <row r="175" spans="1:21" s="65" customFormat="1" ht="16.5" thickBot="1">
      <c r="A175" s="41" t="s">
        <v>31</v>
      </c>
      <c r="B175" s="42">
        <f t="shared" si="9"/>
        <v>80</v>
      </c>
      <c r="C175" s="42" t="s">
        <v>3</v>
      </c>
      <c r="D175" s="42">
        <f t="shared" si="10"/>
        <v>300</v>
      </c>
      <c r="E175" s="42" t="s">
        <v>3</v>
      </c>
      <c r="F175" s="101">
        <f t="shared" si="11"/>
        <v>1200</v>
      </c>
      <c r="G175" s="42" t="s">
        <v>3</v>
      </c>
      <c r="H175" s="39">
        <v>2</v>
      </c>
      <c r="I175" s="40" t="s">
        <v>40</v>
      </c>
      <c r="J175" s="149">
        <v>80</v>
      </c>
      <c r="K175" s="104">
        <v>300</v>
      </c>
      <c r="L175" s="104">
        <v>1200</v>
      </c>
      <c r="M175" s="150">
        <v>11.453796380204473</v>
      </c>
      <c r="N175" s="66">
        <v>411.77534436540083</v>
      </c>
      <c r="O175" s="111">
        <v>17255.765800030196</v>
      </c>
      <c r="P175" s="111">
        <v>20993.285116058985</v>
      </c>
      <c r="Q175" s="110">
        <v>16482.042416688462</v>
      </c>
      <c r="R175" s="258">
        <v>33737.808216718659</v>
      </c>
      <c r="S175" s="259">
        <v>37475.327532747448</v>
      </c>
      <c r="U175" s="7" t="s">
        <v>1849</v>
      </c>
    </row>
    <row r="176" spans="1:21" s="65" customFormat="1" ht="16.5" thickBot="1">
      <c r="A176" s="41" t="s">
        <v>31</v>
      </c>
      <c r="B176" s="42">
        <f t="shared" si="9"/>
        <v>80</v>
      </c>
      <c r="C176" s="42" t="s">
        <v>3</v>
      </c>
      <c r="D176" s="42">
        <f t="shared" si="10"/>
        <v>300</v>
      </c>
      <c r="E176" s="42" t="s">
        <v>3</v>
      </c>
      <c r="F176" s="101">
        <f t="shared" si="11"/>
        <v>1250</v>
      </c>
      <c r="G176" s="42" t="s">
        <v>3</v>
      </c>
      <c r="H176" s="39">
        <v>2</v>
      </c>
      <c r="I176" s="40" t="s">
        <v>40</v>
      </c>
      <c r="J176" s="149">
        <v>80</v>
      </c>
      <c r="K176" s="104">
        <v>300</v>
      </c>
      <c r="L176" s="104">
        <v>1250</v>
      </c>
      <c r="M176" s="150">
        <v>11.886366498242367</v>
      </c>
      <c r="N176" s="66">
        <v>435.99742344571854</v>
      </c>
      <c r="O176" s="111">
        <v>17734.125762315161</v>
      </c>
      <c r="P176" s="111">
        <v>21603.472167147178</v>
      </c>
      <c r="Q176" s="110">
        <v>17005.684202688975</v>
      </c>
      <c r="R176" s="258">
        <v>34739.80996500414</v>
      </c>
      <c r="S176" s="259">
        <v>38609.156369836157</v>
      </c>
      <c r="U176" s="7" t="s">
        <v>1850</v>
      </c>
    </row>
    <row r="177" spans="1:21" s="65" customFormat="1" ht="16.5" thickBot="1">
      <c r="A177" s="41" t="s">
        <v>31</v>
      </c>
      <c r="B177" s="42">
        <f t="shared" si="9"/>
        <v>80</v>
      </c>
      <c r="C177" s="42" t="s">
        <v>3</v>
      </c>
      <c r="D177" s="42">
        <f t="shared" si="10"/>
        <v>300</v>
      </c>
      <c r="E177" s="42" t="s">
        <v>3</v>
      </c>
      <c r="F177" s="101">
        <f t="shared" si="11"/>
        <v>1300</v>
      </c>
      <c r="G177" s="42" t="s">
        <v>3</v>
      </c>
      <c r="H177" s="39">
        <v>2</v>
      </c>
      <c r="I177" s="40" t="s">
        <v>40</v>
      </c>
      <c r="J177" s="149">
        <v>80</v>
      </c>
      <c r="K177" s="104">
        <v>300</v>
      </c>
      <c r="L177" s="104">
        <v>1300</v>
      </c>
      <c r="M177" s="150">
        <v>12.318936616280261</v>
      </c>
      <c r="N177" s="66">
        <v>460.21950252603619</v>
      </c>
      <c r="O177" s="111">
        <v>18212.485724600127</v>
      </c>
      <c r="P177" s="111">
        <v>22213.659371264133</v>
      </c>
      <c r="Q177" s="110">
        <v>17780.65997344449</v>
      </c>
      <c r="R177" s="258">
        <v>35993.145698044616</v>
      </c>
      <c r="S177" s="259">
        <v>39994.319344708623</v>
      </c>
      <c r="U177" s="7" t="s">
        <v>1851</v>
      </c>
    </row>
    <row r="178" spans="1:21" s="65" customFormat="1" ht="16.5" thickBot="1">
      <c r="A178" s="41" t="s">
        <v>31</v>
      </c>
      <c r="B178" s="42">
        <f t="shared" si="9"/>
        <v>80</v>
      </c>
      <c r="C178" s="42" t="s">
        <v>3</v>
      </c>
      <c r="D178" s="42">
        <f t="shared" si="10"/>
        <v>300</v>
      </c>
      <c r="E178" s="42" t="s">
        <v>3</v>
      </c>
      <c r="F178" s="101">
        <f t="shared" si="11"/>
        <v>1350</v>
      </c>
      <c r="G178" s="42" t="s">
        <v>3</v>
      </c>
      <c r="H178" s="39">
        <v>2</v>
      </c>
      <c r="I178" s="40" t="s">
        <v>40</v>
      </c>
      <c r="J178" s="149">
        <v>80</v>
      </c>
      <c r="K178" s="104">
        <v>300</v>
      </c>
      <c r="L178" s="104">
        <v>1350</v>
      </c>
      <c r="M178" s="150">
        <v>12.751506734318159</v>
      </c>
      <c r="N178" s="66">
        <v>484.44158160635391</v>
      </c>
      <c r="O178" s="111">
        <v>18690.845686885088</v>
      </c>
      <c r="P178" s="111">
        <v>22823.846575381089</v>
      </c>
      <c r="Q178" s="110">
        <v>18304.301606416237</v>
      </c>
      <c r="R178" s="258">
        <v>36995.147293301328</v>
      </c>
      <c r="S178" s="259">
        <v>41128.148181797325</v>
      </c>
      <c r="U178" s="7" t="s">
        <v>1852</v>
      </c>
    </row>
    <row r="179" spans="1:21" s="65" customFormat="1" ht="16.5" thickBot="1">
      <c r="A179" s="41" t="s">
        <v>31</v>
      </c>
      <c r="B179" s="42">
        <f t="shared" si="9"/>
        <v>80</v>
      </c>
      <c r="C179" s="42" t="s">
        <v>3</v>
      </c>
      <c r="D179" s="42">
        <f t="shared" si="10"/>
        <v>300</v>
      </c>
      <c r="E179" s="42" t="s">
        <v>3</v>
      </c>
      <c r="F179" s="101">
        <f t="shared" si="11"/>
        <v>1400</v>
      </c>
      <c r="G179" s="42" t="s">
        <v>3</v>
      </c>
      <c r="H179" s="39">
        <v>2</v>
      </c>
      <c r="I179" s="40" t="s">
        <v>40</v>
      </c>
      <c r="J179" s="149">
        <v>80</v>
      </c>
      <c r="K179" s="104">
        <v>300</v>
      </c>
      <c r="L179" s="104">
        <v>1400</v>
      </c>
      <c r="M179" s="150">
        <v>13.184076852356052</v>
      </c>
      <c r="N179" s="66">
        <v>508.66366068667162</v>
      </c>
      <c r="O179" s="111">
        <v>19169.205649170053</v>
      </c>
      <c r="P179" s="111">
        <v>23434.033626469278</v>
      </c>
      <c r="Q179" s="110">
        <v>19079.277530200521</v>
      </c>
      <c r="R179" s="258">
        <v>38248.483179370574</v>
      </c>
      <c r="S179" s="259">
        <v>42513.311156669799</v>
      </c>
      <c r="U179" s="7" t="s">
        <v>1853</v>
      </c>
    </row>
    <row r="180" spans="1:21" s="65" customFormat="1" ht="16.5" thickBot="1">
      <c r="A180" s="41" t="s">
        <v>31</v>
      </c>
      <c r="B180" s="42">
        <f t="shared" si="9"/>
        <v>80</v>
      </c>
      <c r="C180" s="42" t="s">
        <v>3</v>
      </c>
      <c r="D180" s="42">
        <f t="shared" si="10"/>
        <v>300</v>
      </c>
      <c r="E180" s="42" t="s">
        <v>3</v>
      </c>
      <c r="F180" s="101">
        <f t="shared" si="11"/>
        <v>1450</v>
      </c>
      <c r="G180" s="42" t="s">
        <v>3</v>
      </c>
      <c r="H180" s="39">
        <v>2</v>
      </c>
      <c r="I180" s="40" t="s">
        <v>40</v>
      </c>
      <c r="J180" s="149">
        <v>80</v>
      </c>
      <c r="K180" s="104">
        <v>300</v>
      </c>
      <c r="L180" s="104">
        <v>1450</v>
      </c>
      <c r="M180" s="150">
        <v>13.616646970393948</v>
      </c>
      <c r="N180" s="66">
        <v>532.88573976698933</v>
      </c>
      <c r="O180" s="111">
        <v>19647.565611455015</v>
      </c>
      <c r="P180" s="111">
        <v>24044.220830586233</v>
      </c>
      <c r="Q180" s="110">
        <v>19602.919163172111</v>
      </c>
      <c r="R180" s="258">
        <v>39250.484774627126</v>
      </c>
      <c r="S180" s="259">
        <v>43647.139993758348</v>
      </c>
      <c r="U180" s="7" t="s">
        <v>1854</v>
      </c>
    </row>
    <row r="181" spans="1:21" s="65" customFormat="1" ht="16.5" thickBot="1">
      <c r="A181" s="41" t="s">
        <v>31</v>
      </c>
      <c r="B181" s="42">
        <f t="shared" si="9"/>
        <v>80</v>
      </c>
      <c r="C181" s="42" t="s">
        <v>3</v>
      </c>
      <c r="D181" s="42">
        <f t="shared" si="10"/>
        <v>300</v>
      </c>
      <c r="E181" s="42" t="s">
        <v>3</v>
      </c>
      <c r="F181" s="101">
        <f t="shared" si="11"/>
        <v>1500</v>
      </c>
      <c r="G181" s="42" t="s">
        <v>3</v>
      </c>
      <c r="H181" s="39">
        <v>2</v>
      </c>
      <c r="I181" s="40" t="s">
        <v>40</v>
      </c>
      <c r="J181" s="149">
        <v>80</v>
      </c>
      <c r="K181" s="104">
        <v>300</v>
      </c>
      <c r="L181" s="104">
        <v>1500</v>
      </c>
      <c r="M181" s="150">
        <v>14.19378198123184</v>
      </c>
      <c r="N181" s="66">
        <v>557.10781884730693</v>
      </c>
      <c r="O181" s="111">
        <v>20865.651168448952</v>
      </c>
      <c r="P181" s="111">
        <v>25302.331979271206</v>
      </c>
      <c r="Q181" s="110">
        <v>20377.895086956549</v>
      </c>
      <c r="R181" s="258">
        <v>41243.546255405498</v>
      </c>
      <c r="S181" s="259">
        <v>45680.227066227759</v>
      </c>
      <c r="U181" s="7" t="s">
        <v>1855</v>
      </c>
    </row>
    <row r="182" spans="1:21" s="65" customFormat="1" ht="16.5" thickBot="1">
      <c r="A182" s="41" t="s">
        <v>31</v>
      </c>
      <c r="B182" s="42">
        <f t="shared" si="9"/>
        <v>80</v>
      </c>
      <c r="C182" s="42" t="s">
        <v>3</v>
      </c>
      <c r="D182" s="42">
        <f t="shared" si="10"/>
        <v>300</v>
      </c>
      <c r="E182" s="42" t="s">
        <v>3</v>
      </c>
      <c r="F182" s="101">
        <f t="shared" si="11"/>
        <v>1550</v>
      </c>
      <c r="G182" s="42" t="s">
        <v>3</v>
      </c>
      <c r="H182" s="39">
        <v>2</v>
      </c>
      <c r="I182" s="40" t="s">
        <v>40</v>
      </c>
      <c r="J182" s="149">
        <v>80</v>
      </c>
      <c r="K182" s="104">
        <v>300</v>
      </c>
      <c r="L182" s="104">
        <v>1550</v>
      </c>
      <c r="M182" s="150">
        <v>14.626352099269738</v>
      </c>
      <c r="N182" s="66">
        <v>581.32989792762464</v>
      </c>
      <c r="O182" s="111">
        <v>21344.011130733914</v>
      </c>
      <c r="P182" s="111">
        <v>25912.519183388162</v>
      </c>
      <c r="Q182" s="110">
        <v>20901.536719928292</v>
      </c>
      <c r="R182" s="258">
        <v>42245.547850662202</v>
      </c>
      <c r="S182" s="259">
        <v>46814.055903316454</v>
      </c>
      <c r="U182" s="7" t="s">
        <v>1856</v>
      </c>
    </row>
    <row r="183" spans="1:21" s="65" customFormat="1" ht="16.5" thickBot="1">
      <c r="A183" s="38" t="s">
        <v>31</v>
      </c>
      <c r="B183" s="39">
        <f t="shared" si="9"/>
        <v>80</v>
      </c>
      <c r="C183" s="39" t="s">
        <v>3</v>
      </c>
      <c r="D183" s="39">
        <f t="shared" si="10"/>
        <v>300</v>
      </c>
      <c r="E183" s="39" t="s">
        <v>3</v>
      </c>
      <c r="F183" s="101">
        <f t="shared" si="11"/>
        <v>1600</v>
      </c>
      <c r="G183" s="39" t="s">
        <v>3</v>
      </c>
      <c r="H183" s="39">
        <v>2</v>
      </c>
      <c r="I183" s="40" t="s">
        <v>40</v>
      </c>
      <c r="J183" s="149">
        <v>80</v>
      </c>
      <c r="K183" s="104">
        <v>300</v>
      </c>
      <c r="L183" s="104">
        <v>1600</v>
      </c>
      <c r="M183" s="150">
        <v>15.058922217307632</v>
      </c>
      <c r="N183" s="66">
        <v>605.55197700794236</v>
      </c>
      <c r="O183" s="111">
        <v>21822.371093018879</v>
      </c>
      <c r="P183" s="111">
        <v>26522.706387505117</v>
      </c>
      <c r="Q183" s="110">
        <v>21425.178352900039</v>
      </c>
      <c r="R183" s="258">
        <v>43247.549445918921</v>
      </c>
      <c r="S183" s="259">
        <v>47947.884740405156</v>
      </c>
      <c r="U183" s="7" t="s">
        <v>1857</v>
      </c>
    </row>
    <row r="184" spans="1:21" s="65" customFormat="1" ht="16.5" thickBot="1">
      <c r="A184" s="41" t="s">
        <v>31</v>
      </c>
      <c r="B184" s="42">
        <f t="shared" si="9"/>
        <v>80</v>
      </c>
      <c r="C184" s="42" t="s">
        <v>3</v>
      </c>
      <c r="D184" s="42">
        <f t="shared" si="10"/>
        <v>300</v>
      </c>
      <c r="E184" s="42" t="s">
        <v>3</v>
      </c>
      <c r="F184" s="101">
        <f t="shared" si="11"/>
        <v>1650</v>
      </c>
      <c r="G184" s="42" t="s">
        <v>3</v>
      </c>
      <c r="H184" s="39">
        <v>2</v>
      </c>
      <c r="I184" s="40" t="s">
        <v>40</v>
      </c>
      <c r="J184" s="149">
        <v>80</v>
      </c>
      <c r="K184" s="104">
        <v>300</v>
      </c>
      <c r="L184" s="104">
        <v>1650</v>
      </c>
      <c r="M184" s="150">
        <v>15.491492335345526</v>
      </c>
      <c r="N184" s="66">
        <v>629.77405608826007</v>
      </c>
      <c r="O184" s="111">
        <v>22300.731055303844</v>
      </c>
      <c r="P184" s="111">
        <v>27132.893438593306</v>
      </c>
      <c r="Q184" s="110">
        <v>22200.154276684319</v>
      </c>
      <c r="R184" s="258">
        <v>44500.88533198816</v>
      </c>
      <c r="S184" s="259">
        <v>49333.047715277629</v>
      </c>
      <c r="U184" s="7" t="s">
        <v>1858</v>
      </c>
    </row>
    <row r="185" spans="1:21" s="65" customFormat="1" ht="16.5" thickBot="1">
      <c r="A185" s="41" t="s">
        <v>31</v>
      </c>
      <c r="B185" s="42">
        <f t="shared" si="9"/>
        <v>80</v>
      </c>
      <c r="C185" s="42" t="s">
        <v>3</v>
      </c>
      <c r="D185" s="42">
        <f t="shared" si="10"/>
        <v>300</v>
      </c>
      <c r="E185" s="42" t="s">
        <v>3</v>
      </c>
      <c r="F185" s="101">
        <f t="shared" si="11"/>
        <v>1700</v>
      </c>
      <c r="G185" s="42" t="s">
        <v>3</v>
      </c>
      <c r="H185" s="39">
        <v>2</v>
      </c>
      <c r="I185" s="40" t="s">
        <v>40</v>
      </c>
      <c r="J185" s="149">
        <v>80</v>
      </c>
      <c r="K185" s="104">
        <v>300</v>
      </c>
      <c r="L185" s="104">
        <v>1700</v>
      </c>
      <c r="M185" s="150">
        <v>15.924062453383421</v>
      </c>
      <c r="N185" s="66">
        <v>653.99613516857778</v>
      </c>
      <c r="O185" s="111">
        <v>22779.091017588806</v>
      </c>
      <c r="P185" s="111">
        <v>27743.080642710262</v>
      </c>
      <c r="Q185" s="110">
        <v>22723.795909656066</v>
      </c>
      <c r="R185" s="258">
        <v>45502.886927244872</v>
      </c>
      <c r="S185" s="259">
        <v>50466.876552366331</v>
      </c>
      <c r="U185" s="7" t="s">
        <v>1859</v>
      </c>
    </row>
    <row r="186" spans="1:21" s="65" customFormat="1" ht="16.5" thickBot="1">
      <c r="A186" s="41" t="s">
        <v>31</v>
      </c>
      <c r="B186" s="42">
        <f t="shared" si="9"/>
        <v>80</v>
      </c>
      <c r="C186" s="42" t="s">
        <v>3</v>
      </c>
      <c r="D186" s="42">
        <f t="shared" si="10"/>
        <v>300</v>
      </c>
      <c r="E186" s="42" t="s">
        <v>3</v>
      </c>
      <c r="F186" s="101">
        <f t="shared" si="11"/>
        <v>1750</v>
      </c>
      <c r="G186" s="42" t="s">
        <v>3</v>
      </c>
      <c r="H186" s="39">
        <v>2</v>
      </c>
      <c r="I186" s="40" t="s">
        <v>40</v>
      </c>
      <c r="J186" s="149">
        <v>80</v>
      </c>
      <c r="K186" s="104">
        <v>300</v>
      </c>
      <c r="L186" s="104">
        <v>1750</v>
      </c>
      <c r="M186" s="150">
        <v>16.356632571421315</v>
      </c>
      <c r="N186" s="66">
        <v>678.21821424889538</v>
      </c>
      <c r="O186" s="111">
        <v>23257.450979873771</v>
      </c>
      <c r="P186" s="111">
        <v>28353.267846827217</v>
      </c>
      <c r="Q186" s="110">
        <v>23498.771833440347</v>
      </c>
      <c r="R186" s="258">
        <v>46756.222813314118</v>
      </c>
      <c r="S186" s="259">
        <v>51852.039680267568</v>
      </c>
      <c r="U186" s="7" t="s">
        <v>1860</v>
      </c>
    </row>
    <row r="187" spans="1:21" s="65" customFormat="1" ht="16.5" thickBot="1">
      <c r="A187" s="41" t="s">
        <v>31</v>
      </c>
      <c r="B187" s="42">
        <f t="shared" si="9"/>
        <v>80</v>
      </c>
      <c r="C187" s="42" t="s">
        <v>3</v>
      </c>
      <c r="D187" s="42">
        <f t="shared" si="10"/>
        <v>300</v>
      </c>
      <c r="E187" s="42" t="s">
        <v>3</v>
      </c>
      <c r="F187" s="101">
        <f t="shared" si="11"/>
        <v>1800</v>
      </c>
      <c r="G187" s="42" t="s">
        <v>3</v>
      </c>
      <c r="H187" s="39">
        <v>2</v>
      </c>
      <c r="I187" s="40" t="s">
        <v>40</v>
      </c>
      <c r="J187" s="149">
        <v>80</v>
      </c>
      <c r="K187" s="104">
        <v>300</v>
      </c>
      <c r="L187" s="104">
        <v>1800</v>
      </c>
      <c r="M187" s="150">
        <v>16.789202689459209</v>
      </c>
      <c r="N187" s="66">
        <v>702.44029332921309</v>
      </c>
      <c r="O187" s="111">
        <v>23735.810942158732</v>
      </c>
      <c r="P187" s="111">
        <v>28963.454897915406</v>
      </c>
      <c r="Q187" s="110">
        <v>24022.413466412094</v>
      </c>
      <c r="R187" s="258">
        <v>47758.224408570823</v>
      </c>
      <c r="S187" s="259">
        <v>52985.8683643275</v>
      </c>
      <c r="U187" s="7" t="s">
        <v>1861</v>
      </c>
    </row>
    <row r="188" spans="1:21" s="65" customFormat="1" ht="16.5" thickBot="1">
      <c r="A188" s="41" t="s">
        <v>31</v>
      </c>
      <c r="B188" s="42">
        <f t="shared" si="9"/>
        <v>80</v>
      </c>
      <c r="C188" s="42" t="s">
        <v>3</v>
      </c>
      <c r="D188" s="42">
        <f t="shared" si="10"/>
        <v>300</v>
      </c>
      <c r="E188" s="42" t="s">
        <v>3</v>
      </c>
      <c r="F188" s="101">
        <f t="shared" si="11"/>
        <v>1850</v>
      </c>
      <c r="G188" s="42" t="s">
        <v>3</v>
      </c>
      <c r="H188" s="39">
        <v>2</v>
      </c>
      <c r="I188" s="40" t="s">
        <v>40</v>
      </c>
      <c r="J188" s="149">
        <v>80</v>
      </c>
      <c r="K188" s="104">
        <v>300</v>
      </c>
      <c r="L188" s="104">
        <v>1850</v>
      </c>
      <c r="M188" s="150">
        <v>17.221772807497103</v>
      </c>
      <c r="N188" s="66">
        <v>726.66237240953092</v>
      </c>
      <c r="O188" s="111">
        <v>24214.170904443698</v>
      </c>
      <c r="P188" s="111">
        <v>29573.642102032361</v>
      </c>
      <c r="Q188" s="110">
        <v>24797.389237167612</v>
      </c>
      <c r="R188" s="258">
        <v>49011.560141611306</v>
      </c>
      <c r="S188" s="259">
        <v>54371.031339199973</v>
      </c>
      <c r="U188" s="7" t="s">
        <v>1862</v>
      </c>
    </row>
    <row r="189" spans="1:21" s="65" customFormat="1" ht="16.5" thickBot="1">
      <c r="A189" s="41" t="s">
        <v>31</v>
      </c>
      <c r="B189" s="42">
        <f t="shared" si="9"/>
        <v>80</v>
      </c>
      <c r="C189" s="42" t="s">
        <v>3</v>
      </c>
      <c r="D189" s="42">
        <f t="shared" si="10"/>
        <v>300</v>
      </c>
      <c r="E189" s="42" t="s">
        <v>3</v>
      </c>
      <c r="F189" s="101">
        <f t="shared" si="11"/>
        <v>1900</v>
      </c>
      <c r="G189" s="42" t="s">
        <v>3</v>
      </c>
      <c r="H189" s="39">
        <v>2</v>
      </c>
      <c r="I189" s="40" t="s">
        <v>40</v>
      </c>
      <c r="J189" s="149">
        <v>80</v>
      </c>
      <c r="K189" s="104">
        <v>300</v>
      </c>
      <c r="L189" s="104">
        <v>1900</v>
      </c>
      <c r="M189" s="150">
        <v>17.654342925535001</v>
      </c>
      <c r="N189" s="66">
        <v>750.88445148984863</v>
      </c>
      <c r="O189" s="111">
        <v>24692.530866728659</v>
      </c>
      <c r="P189" s="111">
        <v>30183.829306149317</v>
      </c>
      <c r="Q189" s="110">
        <v>25321.031023168125</v>
      </c>
      <c r="R189" s="258">
        <v>50013.56188989678</v>
      </c>
      <c r="S189" s="259">
        <v>55504.860329317438</v>
      </c>
      <c r="U189" s="7" t="s">
        <v>1863</v>
      </c>
    </row>
    <row r="190" spans="1:21" s="65" customFormat="1" ht="16.5" thickBot="1">
      <c r="A190" s="41" t="s">
        <v>31</v>
      </c>
      <c r="B190" s="42">
        <f t="shared" si="9"/>
        <v>80</v>
      </c>
      <c r="C190" s="42" t="s">
        <v>3</v>
      </c>
      <c r="D190" s="42">
        <f t="shared" si="10"/>
        <v>300</v>
      </c>
      <c r="E190" s="42" t="s">
        <v>3</v>
      </c>
      <c r="F190" s="101">
        <f t="shared" si="11"/>
        <v>1950</v>
      </c>
      <c r="G190" s="42" t="s">
        <v>3</v>
      </c>
      <c r="H190" s="39">
        <v>2</v>
      </c>
      <c r="I190" s="40" t="s">
        <v>40</v>
      </c>
      <c r="J190" s="149">
        <v>80</v>
      </c>
      <c r="K190" s="104">
        <v>300</v>
      </c>
      <c r="L190" s="104">
        <v>1950</v>
      </c>
      <c r="M190" s="150">
        <v>18.126163043572895</v>
      </c>
      <c r="N190" s="66">
        <v>775.10653057016634</v>
      </c>
      <c r="O190" s="111">
        <v>25220.891141673037</v>
      </c>
      <c r="P190" s="111">
        <v>30842.492656425042</v>
      </c>
      <c r="Q190" s="110">
        <v>25844.672656139872</v>
      </c>
      <c r="R190" s="258">
        <v>51065.563797812909</v>
      </c>
      <c r="S190" s="259">
        <v>56687.165312564917</v>
      </c>
      <c r="U190" s="7" t="s">
        <v>1864</v>
      </c>
    </row>
    <row r="191" spans="1:21" s="65" customFormat="1" ht="16.5" thickBot="1">
      <c r="A191" s="41" t="s">
        <v>31</v>
      </c>
      <c r="B191" s="42">
        <f t="shared" si="9"/>
        <v>80</v>
      </c>
      <c r="C191" s="42" t="s">
        <v>3</v>
      </c>
      <c r="D191" s="42">
        <f t="shared" si="10"/>
        <v>300</v>
      </c>
      <c r="E191" s="42" t="s">
        <v>3</v>
      </c>
      <c r="F191" s="101">
        <f t="shared" si="11"/>
        <v>2000</v>
      </c>
      <c r="G191" s="42" t="s">
        <v>3</v>
      </c>
      <c r="H191" s="39">
        <v>2</v>
      </c>
      <c r="I191" s="40" t="s">
        <v>40</v>
      </c>
      <c r="J191" s="149">
        <v>80</v>
      </c>
      <c r="K191" s="104">
        <v>300</v>
      </c>
      <c r="L191" s="104">
        <v>2000</v>
      </c>
      <c r="M191" s="150">
        <v>18.65029556161079</v>
      </c>
      <c r="N191" s="66">
        <v>799.32860965048394</v>
      </c>
      <c r="O191" s="111">
        <v>25950.543005802596</v>
      </c>
      <c r="P191" s="111">
        <v>31781.108206879326</v>
      </c>
      <c r="Q191" s="110">
        <v>26619.648426895383</v>
      </c>
      <c r="R191" s="258">
        <v>52570.191432697975</v>
      </c>
      <c r="S191" s="259">
        <v>58400.756633774712</v>
      </c>
      <c r="U191" s="7" t="s">
        <v>1865</v>
      </c>
    </row>
    <row r="192" spans="1:21" s="65" customFormat="1" ht="16.5" thickBot="1">
      <c r="A192" s="41" t="s">
        <v>31</v>
      </c>
      <c r="B192" s="42">
        <f t="shared" si="9"/>
        <v>80</v>
      </c>
      <c r="C192" s="42" t="s">
        <v>3</v>
      </c>
      <c r="D192" s="42">
        <f t="shared" si="10"/>
        <v>300</v>
      </c>
      <c r="E192" s="42" t="s">
        <v>3</v>
      </c>
      <c r="F192" s="101">
        <f t="shared" si="11"/>
        <v>2050</v>
      </c>
      <c r="G192" s="42" t="s">
        <v>3</v>
      </c>
      <c r="H192" s="39">
        <v>2</v>
      </c>
      <c r="I192" s="40" t="s">
        <v>40</v>
      </c>
      <c r="J192" s="149">
        <v>80</v>
      </c>
      <c r="K192" s="104">
        <v>300</v>
      </c>
      <c r="L192" s="104">
        <v>2050</v>
      </c>
      <c r="M192" s="150">
        <v>19.082865679648684</v>
      </c>
      <c r="N192" s="66">
        <v>823.55068873080165</v>
      </c>
      <c r="O192" s="111">
        <v>26428.902968087557</v>
      </c>
      <c r="P192" s="111">
        <v>32391.295410996281</v>
      </c>
      <c r="Q192" s="110">
        <v>27143.290212895896</v>
      </c>
      <c r="R192" s="258">
        <v>53572.19318098345</v>
      </c>
      <c r="S192" s="259">
        <v>59534.585623892177</v>
      </c>
      <c r="U192" s="7" t="s">
        <v>1866</v>
      </c>
    </row>
    <row r="193" spans="1:21" s="65" customFormat="1" ht="16.5" thickBot="1">
      <c r="A193" s="38" t="s">
        <v>31</v>
      </c>
      <c r="B193" s="39">
        <f t="shared" si="9"/>
        <v>80</v>
      </c>
      <c r="C193" s="39" t="s">
        <v>3</v>
      </c>
      <c r="D193" s="39">
        <f t="shared" si="10"/>
        <v>300</v>
      </c>
      <c r="E193" s="39" t="s">
        <v>3</v>
      </c>
      <c r="F193" s="101">
        <f t="shared" si="11"/>
        <v>2100</v>
      </c>
      <c r="G193" s="39" t="s">
        <v>3</v>
      </c>
      <c r="H193" s="39">
        <v>2</v>
      </c>
      <c r="I193" s="40" t="s">
        <v>40</v>
      </c>
      <c r="J193" s="149">
        <v>80</v>
      </c>
      <c r="K193" s="104">
        <v>300</v>
      </c>
      <c r="L193" s="104">
        <v>2100</v>
      </c>
      <c r="M193" s="150">
        <v>19.515435797686578</v>
      </c>
      <c r="N193" s="66">
        <v>847.77276781111937</v>
      </c>
      <c r="O193" s="111">
        <v>26907.262930372519</v>
      </c>
      <c r="P193" s="111">
        <v>33001.482615113237</v>
      </c>
      <c r="Q193" s="110">
        <v>27918.265983651414</v>
      </c>
      <c r="R193" s="258">
        <v>54825.528914023933</v>
      </c>
      <c r="S193" s="259">
        <v>60919.748598764651</v>
      </c>
      <c r="U193" s="7" t="s">
        <v>1867</v>
      </c>
    </row>
    <row r="194" spans="1:21" s="65" customFormat="1" ht="16.5" thickBot="1">
      <c r="A194" s="41" t="s">
        <v>31</v>
      </c>
      <c r="B194" s="42">
        <f t="shared" si="9"/>
        <v>80</v>
      </c>
      <c r="C194" s="42" t="s">
        <v>3</v>
      </c>
      <c r="D194" s="42">
        <f t="shared" si="10"/>
        <v>300</v>
      </c>
      <c r="E194" s="42" t="s">
        <v>3</v>
      </c>
      <c r="F194" s="101">
        <f t="shared" si="11"/>
        <v>2150</v>
      </c>
      <c r="G194" s="42" t="s">
        <v>3</v>
      </c>
      <c r="H194" s="39">
        <v>2</v>
      </c>
      <c r="I194" s="40" t="s">
        <v>40</v>
      </c>
      <c r="J194" s="149">
        <v>80</v>
      </c>
      <c r="K194" s="104">
        <v>300</v>
      </c>
      <c r="L194" s="104">
        <v>2150</v>
      </c>
      <c r="M194" s="150">
        <v>19.948005915724472</v>
      </c>
      <c r="N194" s="66">
        <v>871.99484689143708</v>
      </c>
      <c r="O194" s="111">
        <v>27385.622892657488</v>
      </c>
      <c r="P194" s="111">
        <v>33611.669666201422</v>
      </c>
      <c r="Q194" s="110">
        <v>28441.907769651927</v>
      </c>
      <c r="R194" s="258">
        <v>55827.530662309415</v>
      </c>
      <c r="S194" s="259">
        <v>62053.577435853353</v>
      </c>
      <c r="U194" s="7" t="s">
        <v>1868</v>
      </c>
    </row>
    <row r="195" spans="1:21" s="65" customFormat="1" ht="16.5" thickBot="1">
      <c r="A195" s="41" t="s">
        <v>31</v>
      </c>
      <c r="B195" s="42">
        <f t="shared" si="9"/>
        <v>80</v>
      </c>
      <c r="C195" s="42" t="s">
        <v>3</v>
      </c>
      <c r="D195" s="42">
        <f t="shared" si="10"/>
        <v>300</v>
      </c>
      <c r="E195" s="42" t="s">
        <v>3</v>
      </c>
      <c r="F195" s="101">
        <f t="shared" si="11"/>
        <v>2200</v>
      </c>
      <c r="G195" s="42" t="s">
        <v>3</v>
      </c>
      <c r="H195" s="39">
        <v>2</v>
      </c>
      <c r="I195" s="40" t="s">
        <v>40</v>
      </c>
      <c r="J195" s="149">
        <v>80</v>
      </c>
      <c r="K195" s="104">
        <v>300</v>
      </c>
      <c r="L195" s="104">
        <v>2200</v>
      </c>
      <c r="M195" s="150">
        <v>20.380576033762367</v>
      </c>
      <c r="N195" s="66">
        <v>896.21692597175479</v>
      </c>
      <c r="O195" s="111">
        <v>27863.982854942449</v>
      </c>
      <c r="P195" s="111">
        <v>34221.856870318377</v>
      </c>
      <c r="Q195" s="110">
        <v>29216.883540407438</v>
      </c>
      <c r="R195" s="258">
        <v>57080.866395349891</v>
      </c>
      <c r="S195" s="259">
        <v>63438.740410725819</v>
      </c>
      <c r="U195" s="7" t="s">
        <v>1869</v>
      </c>
    </row>
    <row r="196" spans="1:21" s="65" customFormat="1" ht="16.5" thickBot="1">
      <c r="A196" s="41" t="s">
        <v>31</v>
      </c>
      <c r="B196" s="42">
        <f t="shared" si="9"/>
        <v>80</v>
      </c>
      <c r="C196" s="42" t="s">
        <v>3</v>
      </c>
      <c r="D196" s="42">
        <f t="shared" si="10"/>
        <v>300</v>
      </c>
      <c r="E196" s="42" t="s">
        <v>3</v>
      </c>
      <c r="F196" s="101">
        <f t="shared" si="11"/>
        <v>2250</v>
      </c>
      <c r="G196" s="42" t="s">
        <v>3</v>
      </c>
      <c r="H196" s="39">
        <v>2</v>
      </c>
      <c r="I196" s="40" t="s">
        <v>40</v>
      </c>
      <c r="J196" s="149">
        <v>80</v>
      </c>
      <c r="K196" s="104">
        <v>300</v>
      </c>
      <c r="L196" s="104">
        <v>2250</v>
      </c>
      <c r="M196" s="150">
        <v>20.813146151800265</v>
      </c>
      <c r="N196" s="66">
        <v>920.43900505207239</v>
      </c>
      <c r="O196" s="111">
        <v>28342.342817227411</v>
      </c>
      <c r="P196" s="111">
        <v>34832.04392140657</v>
      </c>
      <c r="Q196" s="110">
        <v>29740.525173379188</v>
      </c>
      <c r="R196" s="258">
        <v>58082.867990606595</v>
      </c>
      <c r="S196" s="259">
        <v>64572.569094785758</v>
      </c>
      <c r="U196" s="7" t="s">
        <v>1870</v>
      </c>
    </row>
    <row r="197" spans="1:21" s="65" customFormat="1" ht="16.5" thickBot="1">
      <c r="A197" s="41" t="s">
        <v>31</v>
      </c>
      <c r="B197" s="42">
        <f t="shared" si="9"/>
        <v>80</v>
      </c>
      <c r="C197" s="42" t="s">
        <v>3</v>
      </c>
      <c r="D197" s="42">
        <f t="shared" si="10"/>
        <v>300</v>
      </c>
      <c r="E197" s="42" t="s">
        <v>3</v>
      </c>
      <c r="F197" s="101">
        <f t="shared" si="11"/>
        <v>2300</v>
      </c>
      <c r="G197" s="42" t="s">
        <v>3</v>
      </c>
      <c r="H197" s="39">
        <v>2</v>
      </c>
      <c r="I197" s="40" t="s">
        <v>40</v>
      </c>
      <c r="J197" s="149">
        <v>80</v>
      </c>
      <c r="K197" s="104">
        <v>300</v>
      </c>
      <c r="L197" s="104">
        <v>2300</v>
      </c>
      <c r="M197" s="150">
        <v>21.245716269838159</v>
      </c>
      <c r="N197" s="66">
        <v>944.6610841323901</v>
      </c>
      <c r="O197" s="111">
        <v>28820.702779512372</v>
      </c>
      <c r="P197" s="111">
        <v>35442.231125523525</v>
      </c>
      <c r="Q197" s="110">
        <v>30264.166959379701</v>
      </c>
      <c r="R197" s="258">
        <v>59084.86973889207</v>
      </c>
      <c r="S197" s="259">
        <v>65706.398084903223</v>
      </c>
      <c r="U197" s="7" t="s">
        <v>1871</v>
      </c>
    </row>
    <row r="198" spans="1:21" s="65" customFormat="1" ht="16.5" thickBot="1">
      <c r="A198" s="41" t="s">
        <v>31</v>
      </c>
      <c r="B198" s="42">
        <f t="shared" si="9"/>
        <v>80</v>
      </c>
      <c r="C198" s="42" t="s">
        <v>3</v>
      </c>
      <c r="D198" s="42">
        <f t="shared" si="10"/>
        <v>300</v>
      </c>
      <c r="E198" s="42" t="s">
        <v>3</v>
      </c>
      <c r="F198" s="101">
        <f t="shared" si="11"/>
        <v>2350</v>
      </c>
      <c r="G198" s="42" t="s">
        <v>3</v>
      </c>
      <c r="H198" s="39">
        <v>2</v>
      </c>
      <c r="I198" s="40" t="s">
        <v>40</v>
      </c>
      <c r="J198" s="149">
        <v>80</v>
      </c>
      <c r="K198" s="104">
        <v>300</v>
      </c>
      <c r="L198" s="104">
        <v>2350</v>
      </c>
      <c r="M198" s="150">
        <v>21.678286387876049</v>
      </c>
      <c r="N198" s="66">
        <v>968.88316321270781</v>
      </c>
      <c r="O198" s="111">
        <v>29299.062741797341</v>
      </c>
      <c r="P198" s="111">
        <v>36052.418329640481</v>
      </c>
      <c r="Q198" s="110">
        <v>31039.142730135216</v>
      </c>
      <c r="R198" s="258">
        <v>60338.205471932553</v>
      </c>
      <c r="S198" s="259">
        <v>67091.561059775704</v>
      </c>
      <c r="U198" s="7" t="s">
        <v>1872</v>
      </c>
    </row>
    <row r="199" spans="1:21" s="65" customFormat="1" ht="16.5" thickBot="1">
      <c r="A199" s="41" t="s">
        <v>31</v>
      </c>
      <c r="B199" s="42">
        <f t="shared" si="9"/>
        <v>80</v>
      </c>
      <c r="C199" s="42" t="s">
        <v>3</v>
      </c>
      <c r="D199" s="42">
        <f t="shared" si="10"/>
        <v>300</v>
      </c>
      <c r="E199" s="42" t="s">
        <v>3</v>
      </c>
      <c r="F199" s="101">
        <f t="shared" si="11"/>
        <v>2400</v>
      </c>
      <c r="G199" s="42" t="s">
        <v>3</v>
      </c>
      <c r="H199" s="39">
        <v>2</v>
      </c>
      <c r="I199" s="40" t="s">
        <v>40</v>
      </c>
      <c r="J199" s="149">
        <v>80</v>
      </c>
      <c r="K199" s="104">
        <v>300</v>
      </c>
      <c r="L199" s="104">
        <v>2400</v>
      </c>
      <c r="M199" s="150">
        <v>22.110856505913944</v>
      </c>
      <c r="N199" s="66">
        <v>993.10524229302541</v>
      </c>
      <c r="O199" s="111">
        <v>29777.422704082303</v>
      </c>
      <c r="P199" s="111">
        <v>36662.605380728673</v>
      </c>
      <c r="Q199" s="110">
        <v>31562.784363106966</v>
      </c>
      <c r="R199" s="258">
        <v>61340.207067189272</v>
      </c>
      <c r="S199" s="259">
        <v>68225.389743835636</v>
      </c>
      <c r="U199" s="7" t="s">
        <v>1873</v>
      </c>
    </row>
    <row r="200" spans="1:21" s="65" customFormat="1" ht="16.5" thickBot="1">
      <c r="A200" s="41" t="s">
        <v>31</v>
      </c>
      <c r="B200" s="42">
        <f t="shared" si="9"/>
        <v>80</v>
      </c>
      <c r="C200" s="42" t="s">
        <v>3</v>
      </c>
      <c r="D200" s="42">
        <f t="shared" si="10"/>
        <v>300</v>
      </c>
      <c r="E200" s="42" t="s">
        <v>3</v>
      </c>
      <c r="F200" s="101">
        <f t="shared" si="11"/>
        <v>2450</v>
      </c>
      <c r="G200" s="42" t="s">
        <v>3</v>
      </c>
      <c r="H200" s="39">
        <v>2</v>
      </c>
      <c r="I200" s="40" t="s">
        <v>40</v>
      </c>
      <c r="J200" s="149">
        <v>80</v>
      </c>
      <c r="K200" s="104">
        <v>300</v>
      </c>
      <c r="L200" s="104">
        <v>2450</v>
      </c>
      <c r="M200" s="150">
        <v>22.68799151675184</v>
      </c>
      <c r="N200" s="66">
        <v>1017.3273213733432</v>
      </c>
      <c r="O200" s="111">
        <v>30995.50826107624</v>
      </c>
      <c r="P200" s="111">
        <v>37920.716682442406</v>
      </c>
      <c r="Q200" s="110">
        <v>32337.760286891244</v>
      </c>
      <c r="R200" s="258">
        <v>63333.268547967484</v>
      </c>
      <c r="S200" s="259">
        <v>70258.476969333657</v>
      </c>
      <c r="U200" s="7" t="s">
        <v>1874</v>
      </c>
    </row>
    <row r="201" spans="1:21" s="65" customFormat="1" ht="16.5" thickBot="1">
      <c r="A201" s="41" t="s">
        <v>31</v>
      </c>
      <c r="B201" s="42">
        <f t="shared" si="9"/>
        <v>80</v>
      </c>
      <c r="C201" s="42" t="s">
        <v>3</v>
      </c>
      <c r="D201" s="42">
        <f t="shared" si="10"/>
        <v>300</v>
      </c>
      <c r="E201" s="42" t="s">
        <v>3</v>
      </c>
      <c r="F201" s="101">
        <f t="shared" si="11"/>
        <v>2500</v>
      </c>
      <c r="G201" s="42" t="s">
        <v>3</v>
      </c>
      <c r="H201" s="39">
        <v>2</v>
      </c>
      <c r="I201" s="40" t="s">
        <v>40</v>
      </c>
      <c r="J201" s="149">
        <v>80</v>
      </c>
      <c r="K201" s="104">
        <v>300</v>
      </c>
      <c r="L201" s="104">
        <v>2500</v>
      </c>
      <c r="M201" s="150">
        <v>23.120561634789738</v>
      </c>
      <c r="N201" s="66">
        <v>1041.5494004536608</v>
      </c>
      <c r="O201" s="111">
        <v>31473.868223361202</v>
      </c>
      <c r="P201" s="111">
        <v>38530.903733530598</v>
      </c>
      <c r="Q201" s="110">
        <v>32861.40191986299</v>
      </c>
      <c r="R201" s="258">
        <v>64335.270143224188</v>
      </c>
      <c r="S201" s="259">
        <v>71392.305653393589</v>
      </c>
      <c r="U201" s="7" t="s">
        <v>1875</v>
      </c>
    </row>
    <row r="202" spans="1:21" s="65" customFormat="1" ht="16.5" thickBot="1">
      <c r="A202" s="41" t="s">
        <v>31</v>
      </c>
      <c r="B202" s="42">
        <f t="shared" si="9"/>
        <v>80</v>
      </c>
      <c r="C202" s="42" t="s">
        <v>3</v>
      </c>
      <c r="D202" s="42">
        <f t="shared" si="10"/>
        <v>300</v>
      </c>
      <c r="E202" s="42" t="s">
        <v>3</v>
      </c>
      <c r="F202" s="101">
        <f t="shared" si="11"/>
        <v>2550</v>
      </c>
      <c r="G202" s="42" t="s">
        <v>3</v>
      </c>
      <c r="H202" s="39">
        <v>2</v>
      </c>
      <c r="I202" s="40" t="s">
        <v>40</v>
      </c>
      <c r="J202" s="149">
        <v>80</v>
      </c>
      <c r="K202" s="104">
        <v>300</v>
      </c>
      <c r="L202" s="104">
        <v>2550</v>
      </c>
      <c r="M202" s="150">
        <v>23.553131752827632</v>
      </c>
      <c r="N202" s="66">
        <v>1065.7714795339787</v>
      </c>
      <c r="O202" s="111">
        <v>31952.228185646163</v>
      </c>
      <c r="P202" s="111">
        <v>39141.090937647554</v>
      </c>
      <c r="Q202" s="110">
        <v>33636.377843647271</v>
      </c>
      <c r="R202" s="258">
        <v>65588.606029293442</v>
      </c>
      <c r="S202" s="259">
        <v>72777.468781294825</v>
      </c>
      <c r="U202" s="7" t="s">
        <v>1876</v>
      </c>
    </row>
    <row r="203" spans="1:21" s="65" customFormat="1" ht="16.5" thickBot="1">
      <c r="A203" s="38" t="s">
        <v>31</v>
      </c>
      <c r="B203" s="39">
        <f t="shared" si="9"/>
        <v>80</v>
      </c>
      <c r="C203" s="39" t="s">
        <v>3</v>
      </c>
      <c r="D203" s="39">
        <f t="shared" si="10"/>
        <v>300</v>
      </c>
      <c r="E203" s="39" t="s">
        <v>3</v>
      </c>
      <c r="F203" s="101">
        <f t="shared" si="11"/>
        <v>2600</v>
      </c>
      <c r="G203" s="39" t="s">
        <v>3</v>
      </c>
      <c r="H203" s="39">
        <v>2</v>
      </c>
      <c r="I203" s="40" t="s">
        <v>40</v>
      </c>
      <c r="J203" s="149">
        <v>80</v>
      </c>
      <c r="K203" s="104">
        <v>300</v>
      </c>
      <c r="L203" s="104">
        <v>2600</v>
      </c>
      <c r="M203" s="150">
        <v>23.985701870865526</v>
      </c>
      <c r="N203" s="66">
        <v>1089.9935586142963</v>
      </c>
      <c r="O203" s="111">
        <v>32430.588147931132</v>
      </c>
      <c r="P203" s="111">
        <v>39751.278141764509</v>
      </c>
      <c r="Q203" s="110">
        <v>34160.019476619018</v>
      </c>
      <c r="R203" s="258">
        <v>66590.607624550146</v>
      </c>
      <c r="S203" s="259">
        <v>73911.297618383527</v>
      </c>
      <c r="U203" s="7" t="s">
        <v>1877</v>
      </c>
    </row>
    <row r="204" spans="1:21" s="65" customFormat="1" ht="16.5" thickBot="1">
      <c r="A204" s="41" t="s">
        <v>31</v>
      </c>
      <c r="B204" s="42">
        <f t="shared" si="9"/>
        <v>80</v>
      </c>
      <c r="C204" s="42" t="s">
        <v>3</v>
      </c>
      <c r="D204" s="42">
        <f t="shared" si="10"/>
        <v>300</v>
      </c>
      <c r="E204" s="42" t="s">
        <v>3</v>
      </c>
      <c r="F204" s="101">
        <f t="shared" si="11"/>
        <v>2650</v>
      </c>
      <c r="G204" s="42" t="s">
        <v>3</v>
      </c>
      <c r="H204" s="39">
        <v>2</v>
      </c>
      <c r="I204" s="40" t="s">
        <v>40</v>
      </c>
      <c r="J204" s="149">
        <v>80</v>
      </c>
      <c r="K204" s="104">
        <v>300</v>
      </c>
      <c r="L204" s="104">
        <v>2650</v>
      </c>
      <c r="M204" s="150">
        <v>24.41827198890342</v>
      </c>
      <c r="N204" s="66">
        <v>1114.2156376946139</v>
      </c>
      <c r="O204" s="111">
        <v>32908.948110216093</v>
      </c>
      <c r="P204" s="111">
        <v>40361.465192852702</v>
      </c>
      <c r="Q204" s="110">
        <v>34934.995247374536</v>
      </c>
      <c r="R204" s="258">
        <v>67843.94335759063</v>
      </c>
      <c r="S204" s="259">
        <v>75296.460440227238</v>
      </c>
      <c r="U204" s="7" t="s">
        <v>1878</v>
      </c>
    </row>
    <row r="205" spans="1:21" s="65" customFormat="1" ht="16.5" thickBot="1">
      <c r="A205" s="41" t="s">
        <v>31</v>
      </c>
      <c r="B205" s="42">
        <f t="shared" si="9"/>
        <v>80</v>
      </c>
      <c r="C205" s="42" t="s">
        <v>3</v>
      </c>
      <c r="D205" s="42">
        <f t="shared" si="10"/>
        <v>300</v>
      </c>
      <c r="E205" s="42" t="s">
        <v>3</v>
      </c>
      <c r="F205" s="101">
        <f t="shared" si="11"/>
        <v>2700</v>
      </c>
      <c r="G205" s="42" t="s">
        <v>3</v>
      </c>
      <c r="H205" s="39">
        <v>2</v>
      </c>
      <c r="I205" s="40" t="s">
        <v>40</v>
      </c>
      <c r="J205" s="149">
        <v>80</v>
      </c>
      <c r="K205" s="104">
        <v>300</v>
      </c>
      <c r="L205" s="104">
        <v>2700</v>
      </c>
      <c r="M205" s="150">
        <v>24.890092106941317</v>
      </c>
      <c r="N205" s="66">
        <v>1138.4377167749317</v>
      </c>
      <c r="O205" s="111">
        <v>33437.308385160468</v>
      </c>
      <c r="P205" s="111">
        <v>41020.12854312842</v>
      </c>
      <c r="Q205" s="110">
        <v>35458.637033375046</v>
      </c>
      <c r="R205" s="258">
        <v>68895.945418535513</v>
      </c>
      <c r="S205" s="259">
        <v>76478.765576503472</v>
      </c>
      <c r="U205" s="7" t="s">
        <v>1879</v>
      </c>
    </row>
    <row r="206" spans="1:21" s="65" customFormat="1" ht="16.5" thickBot="1">
      <c r="A206" s="41" t="s">
        <v>31</v>
      </c>
      <c r="B206" s="42">
        <f t="shared" si="9"/>
        <v>80</v>
      </c>
      <c r="C206" s="42" t="s">
        <v>3</v>
      </c>
      <c r="D206" s="42">
        <f t="shared" si="10"/>
        <v>300</v>
      </c>
      <c r="E206" s="42" t="s">
        <v>3</v>
      </c>
      <c r="F206" s="101">
        <f t="shared" si="11"/>
        <v>2750</v>
      </c>
      <c r="G206" s="42" t="s">
        <v>3</v>
      </c>
      <c r="H206" s="39">
        <v>2</v>
      </c>
      <c r="I206" s="40" t="s">
        <v>40</v>
      </c>
      <c r="J206" s="149">
        <v>80</v>
      </c>
      <c r="K206" s="104">
        <v>300</v>
      </c>
      <c r="L206" s="104">
        <v>2750</v>
      </c>
      <c r="M206" s="150">
        <v>25.322662224979211</v>
      </c>
      <c r="N206" s="66">
        <v>1162.6597958552493</v>
      </c>
      <c r="O206" s="111">
        <v>33915.668347445433</v>
      </c>
      <c r="P206" s="111">
        <v>41630.315747245375</v>
      </c>
      <c r="Q206" s="110">
        <v>35982.278666346792</v>
      </c>
      <c r="R206" s="258">
        <v>69897.947013792233</v>
      </c>
      <c r="S206" s="259">
        <v>77612.59441359216</v>
      </c>
      <c r="U206" s="7" t="s">
        <v>1880</v>
      </c>
    </row>
    <row r="207" spans="1:21" s="65" customFormat="1" ht="16.5" thickBot="1">
      <c r="A207" s="41" t="s">
        <v>31</v>
      </c>
      <c r="B207" s="42">
        <f t="shared" si="9"/>
        <v>80</v>
      </c>
      <c r="C207" s="42" t="s">
        <v>3</v>
      </c>
      <c r="D207" s="42">
        <f t="shared" si="10"/>
        <v>300</v>
      </c>
      <c r="E207" s="42" t="s">
        <v>3</v>
      </c>
      <c r="F207" s="101">
        <f t="shared" si="11"/>
        <v>2800</v>
      </c>
      <c r="G207" s="42" t="s">
        <v>3</v>
      </c>
      <c r="H207" s="39">
        <v>2</v>
      </c>
      <c r="I207" s="40" t="s">
        <v>40</v>
      </c>
      <c r="J207" s="149">
        <v>80</v>
      </c>
      <c r="K207" s="104">
        <v>300</v>
      </c>
      <c r="L207" s="104">
        <v>2800</v>
      </c>
      <c r="M207" s="150">
        <v>25.755232343017106</v>
      </c>
      <c r="N207" s="66">
        <v>1186.8818749355671</v>
      </c>
      <c r="O207" s="111">
        <v>34394.028309730398</v>
      </c>
      <c r="P207" s="111">
        <v>42240.50295136233</v>
      </c>
      <c r="Q207" s="110">
        <v>36757.25443710231</v>
      </c>
      <c r="R207" s="258">
        <v>71151.282746832701</v>
      </c>
      <c r="S207" s="259">
        <v>78997.757388464641</v>
      </c>
      <c r="U207" s="7" t="s">
        <v>1881</v>
      </c>
    </row>
    <row r="208" spans="1:21" s="65" customFormat="1" ht="16.5" thickBot="1">
      <c r="A208" s="41" t="s">
        <v>31</v>
      </c>
      <c r="B208" s="42">
        <f t="shared" si="9"/>
        <v>80</v>
      </c>
      <c r="C208" s="42" t="s">
        <v>3</v>
      </c>
      <c r="D208" s="42">
        <f t="shared" si="10"/>
        <v>300</v>
      </c>
      <c r="E208" s="42" t="s">
        <v>3</v>
      </c>
      <c r="F208" s="101">
        <f t="shared" si="11"/>
        <v>2850</v>
      </c>
      <c r="G208" s="42" t="s">
        <v>3</v>
      </c>
      <c r="H208" s="39">
        <v>2</v>
      </c>
      <c r="I208" s="40" t="s">
        <v>40</v>
      </c>
      <c r="J208" s="149">
        <v>80</v>
      </c>
      <c r="K208" s="104">
        <v>300</v>
      </c>
      <c r="L208" s="104">
        <v>2850</v>
      </c>
      <c r="M208" s="150">
        <v>26.187802461055</v>
      </c>
      <c r="N208" s="66">
        <v>1211.1039540158847</v>
      </c>
      <c r="O208" s="111">
        <v>34872.388272015363</v>
      </c>
      <c r="P208" s="111">
        <v>42850.690002450523</v>
      </c>
      <c r="Q208" s="110">
        <v>37280.89622310282</v>
      </c>
      <c r="R208" s="258">
        <v>72153.284495118191</v>
      </c>
      <c r="S208" s="259">
        <v>80131.586225553343</v>
      </c>
      <c r="U208" s="7" t="s">
        <v>1882</v>
      </c>
    </row>
    <row r="209" spans="1:21" s="65" customFormat="1" ht="16.5" thickBot="1">
      <c r="A209" s="41" t="s">
        <v>31</v>
      </c>
      <c r="B209" s="42">
        <f t="shared" si="9"/>
        <v>80</v>
      </c>
      <c r="C209" s="42" t="s">
        <v>3</v>
      </c>
      <c r="D209" s="42">
        <f t="shared" si="10"/>
        <v>300</v>
      </c>
      <c r="E209" s="42" t="s">
        <v>3</v>
      </c>
      <c r="F209" s="101">
        <f t="shared" si="11"/>
        <v>2900</v>
      </c>
      <c r="G209" s="42" t="s">
        <v>3</v>
      </c>
      <c r="H209" s="39">
        <v>2</v>
      </c>
      <c r="I209" s="40" t="s">
        <v>40</v>
      </c>
      <c r="J209" s="149">
        <v>80</v>
      </c>
      <c r="K209" s="104">
        <v>300</v>
      </c>
      <c r="L209" s="104">
        <v>2900</v>
      </c>
      <c r="M209" s="150">
        <v>26.620372579092898</v>
      </c>
      <c r="N209" s="66">
        <v>1235.3260330962023</v>
      </c>
      <c r="O209" s="111">
        <v>35350.748234300321</v>
      </c>
      <c r="P209" s="111">
        <v>43460.877206567478</v>
      </c>
      <c r="Q209" s="110">
        <v>38055.871993858338</v>
      </c>
      <c r="R209" s="258">
        <v>73406.620228158659</v>
      </c>
      <c r="S209" s="259">
        <v>81516.749200425809</v>
      </c>
      <c r="U209" s="7" t="s">
        <v>1883</v>
      </c>
    </row>
    <row r="210" spans="1:21" s="65" customFormat="1" ht="16.5" thickBot="1">
      <c r="A210" s="41" t="s">
        <v>31</v>
      </c>
      <c r="B210" s="42">
        <f t="shared" si="9"/>
        <v>80</v>
      </c>
      <c r="C210" s="42" t="s">
        <v>3</v>
      </c>
      <c r="D210" s="42">
        <f t="shared" si="10"/>
        <v>300</v>
      </c>
      <c r="E210" s="42" t="s">
        <v>3</v>
      </c>
      <c r="F210" s="101">
        <f t="shared" si="11"/>
        <v>2950</v>
      </c>
      <c r="G210" s="42" t="s">
        <v>3</v>
      </c>
      <c r="H210" s="39">
        <v>2</v>
      </c>
      <c r="I210" s="40" t="s">
        <v>40</v>
      </c>
      <c r="J210" s="149">
        <v>80</v>
      </c>
      <c r="K210" s="104">
        <v>300</v>
      </c>
      <c r="L210" s="104">
        <v>2950</v>
      </c>
      <c r="M210" s="150">
        <v>27.052942697130788</v>
      </c>
      <c r="N210" s="66">
        <v>1259.5481121765201</v>
      </c>
      <c r="O210" s="111">
        <v>35829.108196585286</v>
      </c>
      <c r="P210" s="111">
        <v>44071.064410684434</v>
      </c>
      <c r="Q210" s="110">
        <v>38579.513779858848</v>
      </c>
      <c r="R210" s="258">
        <v>74408.621976444134</v>
      </c>
      <c r="S210" s="259">
        <v>82650.578190543281</v>
      </c>
      <c r="U210" s="7" t="s">
        <v>1884</v>
      </c>
    </row>
    <row r="211" spans="1:21" s="65" customFormat="1" ht="16.5" thickBot="1">
      <c r="A211" s="43" t="s">
        <v>31</v>
      </c>
      <c r="B211" s="44">
        <f t="shared" si="9"/>
        <v>80</v>
      </c>
      <c r="C211" s="44" t="s">
        <v>3</v>
      </c>
      <c r="D211" s="44">
        <f t="shared" si="10"/>
        <v>300</v>
      </c>
      <c r="E211" s="44" t="s">
        <v>3</v>
      </c>
      <c r="F211" s="102">
        <f t="shared" si="11"/>
        <v>3000</v>
      </c>
      <c r="G211" s="44" t="s">
        <v>3</v>
      </c>
      <c r="H211" s="46">
        <v>2</v>
      </c>
      <c r="I211" s="45" t="s">
        <v>40</v>
      </c>
      <c r="J211" s="149">
        <v>80</v>
      </c>
      <c r="K211" s="134">
        <v>300</v>
      </c>
      <c r="L211" s="134">
        <v>3000</v>
      </c>
      <c r="M211" s="152">
        <v>27.485512815168683</v>
      </c>
      <c r="N211" s="126">
        <v>1283.7701912568377</v>
      </c>
      <c r="O211" s="135">
        <v>36307.468158870252</v>
      </c>
      <c r="P211" s="135">
        <v>44681.251461772619</v>
      </c>
      <c r="Q211" s="136">
        <v>39354.489550614366</v>
      </c>
      <c r="R211" s="260">
        <v>75661.957709484617</v>
      </c>
      <c r="S211" s="261">
        <v>84035.741012386978</v>
      </c>
      <c r="U211" s="7" t="s">
        <v>1885</v>
      </c>
    </row>
    <row r="212" spans="1:21" s="65" customFormat="1" ht="16.5" thickBot="1">
      <c r="A212" s="2974" t="s">
        <v>113</v>
      </c>
      <c r="B212" s="2975"/>
      <c r="C212" s="2975"/>
      <c r="D212" s="2975"/>
      <c r="E212" s="2975"/>
      <c r="F212" s="2975"/>
      <c r="G212" s="2975"/>
      <c r="H212" s="2975"/>
      <c r="I212" s="2975"/>
      <c r="J212" s="2975"/>
      <c r="K212" s="2975"/>
      <c r="L212" s="2975"/>
      <c r="M212" s="2975"/>
      <c r="N212" s="2975"/>
      <c r="O212" s="2975"/>
      <c r="P212" s="2975"/>
      <c r="Q212" s="2975"/>
      <c r="R212" s="2975"/>
      <c r="S212" s="2976"/>
      <c r="U212" s="7"/>
    </row>
    <row r="213" spans="1:21" s="65" customFormat="1" ht="16.5" thickBot="1">
      <c r="A213" s="38" t="s">
        <v>31</v>
      </c>
      <c r="B213" s="39">
        <f>J213</f>
        <v>80</v>
      </c>
      <c r="C213" s="39" t="s">
        <v>3</v>
      </c>
      <c r="D213" s="39">
        <f>K213</f>
        <v>300</v>
      </c>
      <c r="E213" s="39" t="s">
        <v>3</v>
      </c>
      <c r="F213" s="101">
        <f>L213</f>
        <v>600</v>
      </c>
      <c r="G213" s="39" t="s">
        <v>3</v>
      </c>
      <c r="H213" s="39">
        <v>4</v>
      </c>
      <c r="I213" s="40" t="s">
        <v>40</v>
      </c>
      <c r="J213" s="146">
        <v>80</v>
      </c>
      <c r="K213" s="138">
        <v>300</v>
      </c>
      <c r="L213" s="138">
        <v>600</v>
      </c>
      <c r="M213" s="147">
        <v>6.7312187514047368</v>
      </c>
      <c r="N213" s="122">
        <v>154.04846737559998</v>
      </c>
      <c r="O213" s="148">
        <v>14026.906753896179</v>
      </c>
      <c r="P213" s="148">
        <v>16129.937306782229</v>
      </c>
      <c r="Q213" s="139">
        <v>8941.6715199935952</v>
      </c>
      <c r="R213" s="256">
        <v>22968.578273889776</v>
      </c>
      <c r="S213" s="257">
        <v>25071.608826775824</v>
      </c>
      <c r="U213" s="7" t="s">
        <v>1886</v>
      </c>
    </row>
    <row r="214" spans="1:21" s="65" customFormat="1" ht="16.5" thickBot="1">
      <c r="A214" s="41" t="s">
        <v>31</v>
      </c>
      <c r="B214" s="42">
        <f t="shared" ref="B214:B261" si="12">J214</f>
        <v>80</v>
      </c>
      <c r="C214" s="42" t="s">
        <v>3</v>
      </c>
      <c r="D214" s="42">
        <f t="shared" ref="D214:D261" si="13">K214</f>
        <v>300</v>
      </c>
      <c r="E214" s="42" t="s">
        <v>3</v>
      </c>
      <c r="F214" s="101">
        <f t="shared" ref="F214:F261" si="14">L214</f>
        <v>650</v>
      </c>
      <c r="G214" s="42" t="s">
        <v>3</v>
      </c>
      <c r="H214" s="39">
        <v>4</v>
      </c>
      <c r="I214" s="40" t="s">
        <v>40</v>
      </c>
      <c r="J214" s="149">
        <v>80</v>
      </c>
      <c r="K214" s="104">
        <v>300</v>
      </c>
      <c r="L214" s="104">
        <v>650</v>
      </c>
      <c r="M214" s="150">
        <v>7.2304112593226302</v>
      </c>
      <c r="N214" s="66">
        <v>184.85816085071997</v>
      </c>
      <c r="O214" s="111">
        <v>14731.866355571463</v>
      </c>
      <c r="P214" s="111">
        <v>16961.816211734418</v>
      </c>
      <c r="Q214" s="110">
        <v>9465.3131529653438</v>
      </c>
      <c r="R214" s="258">
        <v>24197.179508536807</v>
      </c>
      <c r="S214" s="259">
        <v>26427.129364699762</v>
      </c>
      <c r="U214" s="7" t="s">
        <v>1887</v>
      </c>
    </row>
    <row r="215" spans="1:21" s="65" customFormat="1" ht="16.5" thickBot="1">
      <c r="A215" s="41" t="s">
        <v>31</v>
      </c>
      <c r="B215" s="42">
        <f t="shared" si="12"/>
        <v>80</v>
      </c>
      <c r="C215" s="42" t="s">
        <v>3</v>
      </c>
      <c r="D215" s="42">
        <f t="shared" si="13"/>
        <v>300</v>
      </c>
      <c r="E215" s="42" t="s">
        <v>3</v>
      </c>
      <c r="F215" s="101">
        <f t="shared" si="14"/>
        <v>700</v>
      </c>
      <c r="G215" s="42" t="s">
        <v>3</v>
      </c>
      <c r="H215" s="39">
        <v>4</v>
      </c>
      <c r="I215" s="40" t="s">
        <v>40</v>
      </c>
      <c r="J215" s="149">
        <v>80</v>
      </c>
      <c r="K215" s="104">
        <v>300</v>
      </c>
      <c r="L215" s="104">
        <v>700</v>
      </c>
      <c r="M215" s="150">
        <v>7.7296037672405253</v>
      </c>
      <c r="N215" s="66">
        <v>215.66785432583995</v>
      </c>
      <c r="O215" s="111">
        <v>15436.825804217984</v>
      </c>
      <c r="P215" s="111">
        <v>17793.695116686606</v>
      </c>
      <c r="Q215" s="110">
        <v>10240.289076749623</v>
      </c>
      <c r="R215" s="258">
        <v>25677.114880967609</v>
      </c>
      <c r="S215" s="259">
        <v>28033.984193436227</v>
      </c>
      <c r="U215" s="7" t="s">
        <v>1888</v>
      </c>
    </row>
    <row r="216" spans="1:21" s="65" customFormat="1" ht="16.5" thickBot="1">
      <c r="A216" s="41" t="s">
        <v>31</v>
      </c>
      <c r="B216" s="42">
        <f t="shared" si="12"/>
        <v>80</v>
      </c>
      <c r="C216" s="42" t="s">
        <v>3</v>
      </c>
      <c r="D216" s="42">
        <f t="shared" si="13"/>
        <v>300</v>
      </c>
      <c r="E216" s="42" t="s">
        <v>3</v>
      </c>
      <c r="F216" s="101">
        <f t="shared" si="14"/>
        <v>750</v>
      </c>
      <c r="G216" s="42" t="s">
        <v>3</v>
      </c>
      <c r="H216" s="39">
        <v>4</v>
      </c>
      <c r="I216" s="40" t="s">
        <v>40</v>
      </c>
      <c r="J216" s="149">
        <v>80</v>
      </c>
      <c r="K216" s="104">
        <v>300</v>
      </c>
      <c r="L216" s="104">
        <v>750</v>
      </c>
      <c r="M216" s="150">
        <v>8.2287962751584196</v>
      </c>
      <c r="N216" s="66">
        <v>246.47754780096</v>
      </c>
      <c r="O216" s="111">
        <v>16141.785405893268</v>
      </c>
      <c r="P216" s="111">
        <v>18625.573868610027</v>
      </c>
      <c r="Q216" s="110">
        <v>10763.930709721371</v>
      </c>
      <c r="R216" s="258">
        <v>26905.716115614639</v>
      </c>
      <c r="S216" s="259">
        <v>29389.504578331398</v>
      </c>
      <c r="U216" s="7" t="s">
        <v>1889</v>
      </c>
    </row>
    <row r="217" spans="1:21" s="65" customFormat="1" ht="16.5" thickBot="1">
      <c r="A217" s="41" t="s">
        <v>31</v>
      </c>
      <c r="B217" s="42">
        <f t="shared" si="12"/>
        <v>80</v>
      </c>
      <c r="C217" s="42" t="s">
        <v>3</v>
      </c>
      <c r="D217" s="42">
        <f t="shared" si="13"/>
        <v>300</v>
      </c>
      <c r="E217" s="42" t="s">
        <v>3</v>
      </c>
      <c r="F217" s="101">
        <f t="shared" si="14"/>
        <v>800</v>
      </c>
      <c r="G217" s="42" t="s">
        <v>3</v>
      </c>
      <c r="H217" s="39">
        <v>4</v>
      </c>
      <c r="I217" s="40" t="s">
        <v>40</v>
      </c>
      <c r="J217" s="149">
        <v>80</v>
      </c>
      <c r="K217" s="104">
        <v>300</v>
      </c>
      <c r="L217" s="104">
        <v>800</v>
      </c>
      <c r="M217" s="150">
        <v>8.7279887830763148</v>
      </c>
      <c r="N217" s="66">
        <v>277.28724127607995</v>
      </c>
      <c r="O217" s="111">
        <v>16846.745007568552</v>
      </c>
      <c r="P217" s="111">
        <v>19457.452773562214</v>
      </c>
      <c r="Q217" s="110">
        <v>11287.572342693116</v>
      </c>
      <c r="R217" s="258">
        <v>28134.31735026167</v>
      </c>
      <c r="S217" s="259">
        <v>30745.025116255332</v>
      </c>
      <c r="U217" s="7" t="s">
        <v>1890</v>
      </c>
    </row>
    <row r="218" spans="1:21" s="65" customFormat="1" ht="16.5" thickBot="1">
      <c r="A218" s="41" t="s">
        <v>31</v>
      </c>
      <c r="B218" s="42">
        <f t="shared" si="12"/>
        <v>80</v>
      </c>
      <c r="C218" s="42" t="s">
        <v>3</v>
      </c>
      <c r="D218" s="42">
        <f t="shared" si="13"/>
        <v>300</v>
      </c>
      <c r="E218" s="42" t="s">
        <v>3</v>
      </c>
      <c r="F218" s="101">
        <f t="shared" si="14"/>
        <v>850</v>
      </c>
      <c r="G218" s="42" t="s">
        <v>3</v>
      </c>
      <c r="H218" s="39">
        <v>4</v>
      </c>
      <c r="I218" s="40" t="s">
        <v>40</v>
      </c>
      <c r="J218" s="149">
        <v>80</v>
      </c>
      <c r="K218" s="104">
        <v>300</v>
      </c>
      <c r="L218" s="104">
        <v>850</v>
      </c>
      <c r="M218" s="150">
        <v>9.2271812909942099</v>
      </c>
      <c r="N218" s="66">
        <v>308.09693475119997</v>
      </c>
      <c r="O218" s="111">
        <v>17551.704609243836</v>
      </c>
      <c r="P218" s="111">
        <v>20289.331678514402</v>
      </c>
      <c r="Q218" s="110">
        <v>12062.548266477399</v>
      </c>
      <c r="R218" s="258">
        <v>29614.252875721235</v>
      </c>
      <c r="S218" s="259">
        <v>32351.879944991801</v>
      </c>
      <c r="U218" s="7" t="s">
        <v>1891</v>
      </c>
    </row>
    <row r="219" spans="1:21" s="65" customFormat="1" ht="16.5" thickBot="1">
      <c r="A219" s="41" t="s">
        <v>31</v>
      </c>
      <c r="B219" s="42">
        <f t="shared" si="12"/>
        <v>80</v>
      </c>
      <c r="C219" s="42" t="s">
        <v>3</v>
      </c>
      <c r="D219" s="42">
        <f t="shared" si="13"/>
        <v>300</v>
      </c>
      <c r="E219" s="42" t="s">
        <v>3</v>
      </c>
      <c r="F219" s="101">
        <f t="shared" si="14"/>
        <v>900</v>
      </c>
      <c r="G219" s="42" t="s">
        <v>3</v>
      </c>
      <c r="H219" s="39">
        <v>4</v>
      </c>
      <c r="I219" s="40" t="s">
        <v>40</v>
      </c>
      <c r="J219" s="149">
        <v>80</v>
      </c>
      <c r="K219" s="104">
        <v>300</v>
      </c>
      <c r="L219" s="104">
        <v>900</v>
      </c>
      <c r="M219" s="150">
        <v>9.7263737989121051</v>
      </c>
      <c r="N219" s="66">
        <v>338.90662822631998</v>
      </c>
      <c r="O219" s="111">
        <v>18256.664057890353</v>
      </c>
      <c r="P219" s="111">
        <v>21121.210583466585</v>
      </c>
      <c r="Q219" s="110">
        <v>12586.189899449146</v>
      </c>
      <c r="R219" s="258">
        <v>30842.853957339499</v>
      </c>
      <c r="S219" s="259">
        <v>33707.400482915735</v>
      </c>
      <c r="U219" s="7" t="s">
        <v>1892</v>
      </c>
    </row>
    <row r="220" spans="1:21" s="65" customFormat="1" ht="16.5" thickBot="1">
      <c r="A220" s="41" t="s">
        <v>31</v>
      </c>
      <c r="B220" s="42">
        <f t="shared" si="12"/>
        <v>80</v>
      </c>
      <c r="C220" s="42" t="s">
        <v>3</v>
      </c>
      <c r="D220" s="42">
        <f t="shared" si="13"/>
        <v>300</v>
      </c>
      <c r="E220" s="42" t="s">
        <v>3</v>
      </c>
      <c r="F220" s="101">
        <f t="shared" si="14"/>
        <v>950</v>
      </c>
      <c r="G220" s="42" t="s">
        <v>3</v>
      </c>
      <c r="H220" s="39">
        <v>4</v>
      </c>
      <c r="I220" s="40" t="s">
        <v>40</v>
      </c>
      <c r="J220" s="149">
        <v>80</v>
      </c>
      <c r="K220" s="104">
        <v>300</v>
      </c>
      <c r="L220" s="104">
        <v>950</v>
      </c>
      <c r="M220" s="150">
        <v>10.225566306829998</v>
      </c>
      <c r="N220" s="66">
        <v>369.71632170143994</v>
      </c>
      <c r="O220" s="111">
        <v>18961.623659565637</v>
      </c>
      <c r="P220" s="111">
        <v>21953.089488418773</v>
      </c>
      <c r="Q220" s="110">
        <v>13361.165670204662</v>
      </c>
      <c r="R220" s="258">
        <v>32322.789329770298</v>
      </c>
      <c r="S220" s="259">
        <v>35314.255158623433</v>
      </c>
      <c r="U220" s="7" t="s">
        <v>1893</v>
      </c>
    </row>
    <row r="221" spans="1:21" s="65" customFormat="1" ht="16.5" thickBot="1">
      <c r="A221" s="41" t="s">
        <v>31</v>
      </c>
      <c r="B221" s="42">
        <f t="shared" si="12"/>
        <v>80</v>
      </c>
      <c r="C221" s="42" t="s">
        <v>3</v>
      </c>
      <c r="D221" s="42">
        <f t="shared" si="13"/>
        <v>300</v>
      </c>
      <c r="E221" s="42" t="s">
        <v>3</v>
      </c>
      <c r="F221" s="101">
        <f t="shared" si="14"/>
        <v>1000</v>
      </c>
      <c r="G221" s="42" t="s">
        <v>3</v>
      </c>
      <c r="H221" s="39">
        <v>4</v>
      </c>
      <c r="I221" s="40" t="s">
        <v>40</v>
      </c>
      <c r="J221" s="149">
        <v>80</v>
      </c>
      <c r="K221" s="104">
        <v>300</v>
      </c>
      <c r="L221" s="104">
        <v>1000</v>
      </c>
      <c r="M221" s="150">
        <v>10.724758814747894</v>
      </c>
      <c r="N221" s="66">
        <v>400.52601517655995</v>
      </c>
      <c r="O221" s="111">
        <v>19666.583261240925</v>
      </c>
      <c r="P221" s="111">
        <v>22784.96839337096</v>
      </c>
      <c r="Q221" s="110">
        <v>13884.807456205173</v>
      </c>
      <c r="R221" s="258">
        <v>33551.390717446098</v>
      </c>
      <c r="S221" s="259">
        <v>36669.775849576137</v>
      </c>
      <c r="U221" s="7" t="s">
        <v>1894</v>
      </c>
    </row>
    <row r="222" spans="1:21" s="65" customFormat="1" ht="16.5" thickBot="1">
      <c r="A222" s="41" t="s">
        <v>31</v>
      </c>
      <c r="B222" s="42">
        <f t="shared" si="12"/>
        <v>80</v>
      </c>
      <c r="C222" s="42" t="s">
        <v>3</v>
      </c>
      <c r="D222" s="42">
        <f t="shared" si="13"/>
        <v>300</v>
      </c>
      <c r="E222" s="42" t="s">
        <v>3</v>
      </c>
      <c r="F222" s="101">
        <f t="shared" si="14"/>
        <v>1050</v>
      </c>
      <c r="G222" s="42" t="s">
        <v>3</v>
      </c>
      <c r="H222" s="39">
        <v>4</v>
      </c>
      <c r="I222" s="40" t="s">
        <v>40</v>
      </c>
      <c r="J222" s="149">
        <v>80</v>
      </c>
      <c r="K222" s="104">
        <v>300</v>
      </c>
      <c r="L222" s="104">
        <v>1050</v>
      </c>
      <c r="M222" s="150">
        <v>11.223951322665787</v>
      </c>
      <c r="N222" s="66">
        <v>431.33570865167991</v>
      </c>
      <c r="O222" s="111">
        <v>20371.542862916209</v>
      </c>
      <c r="P222" s="111">
        <v>23616.847298323148</v>
      </c>
      <c r="Q222" s="110">
        <v>14659.78322696069</v>
      </c>
      <c r="R222" s="258">
        <v>35031.3260898769</v>
      </c>
      <c r="S222" s="259">
        <v>38276.630525283836</v>
      </c>
      <c r="U222" s="7" t="s">
        <v>1895</v>
      </c>
    </row>
    <row r="223" spans="1:21" s="65" customFormat="1" ht="16.5" thickBot="1">
      <c r="A223" s="38" t="s">
        <v>31</v>
      </c>
      <c r="B223" s="39">
        <f t="shared" si="12"/>
        <v>80</v>
      </c>
      <c r="C223" s="39" t="s">
        <v>3</v>
      </c>
      <c r="D223" s="39">
        <f t="shared" si="13"/>
        <v>300</v>
      </c>
      <c r="E223" s="39" t="s">
        <v>3</v>
      </c>
      <c r="F223" s="101">
        <f t="shared" si="14"/>
        <v>1100</v>
      </c>
      <c r="G223" s="39" t="s">
        <v>3</v>
      </c>
      <c r="H223" s="39">
        <v>4</v>
      </c>
      <c r="I223" s="40" t="s">
        <v>40</v>
      </c>
      <c r="J223" s="149">
        <v>80</v>
      </c>
      <c r="K223" s="104">
        <v>300</v>
      </c>
      <c r="L223" s="104">
        <v>1100</v>
      </c>
      <c r="M223" s="150">
        <v>11.723143830583684</v>
      </c>
      <c r="N223" s="66">
        <v>462.14540212679992</v>
      </c>
      <c r="O223" s="111">
        <v>21076.502464591493</v>
      </c>
      <c r="P223" s="111">
        <v>24448.726050246569</v>
      </c>
      <c r="Q223" s="110">
        <v>15183.425012961201</v>
      </c>
      <c r="R223" s="258">
        <v>36259.927477552694</v>
      </c>
      <c r="S223" s="259">
        <v>39632.15106320777</v>
      </c>
      <c r="U223" s="7" t="s">
        <v>1896</v>
      </c>
    </row>
    <row r="224" spans="1:21" s="65" customFormat="1" ht="16.5" thickBot="1">
      <c r="A224" s="41" t="s">
        <v>31</v>
      </c>
      <c r="B224" s="42">
        <f t="shared" si="12"/>
        <v>80</v>
      </c>
      <c r="C224" s="42" t="s">
        <v>3</v>
      </c>
      <c r="D224" s="42">
        <f t="shared" si="13"/>
        <v>300</v>
      </c>
      <c r="E224" s="42" t="s">
        <v>3</v>
      </c>
      <c r="F224" s="101">
        <f t="shared" si="14"/>
        <v>1150</v>
      </c>
      <c r="G224" s="42" t="s">
        <v>3</v>
      </c>
      <c r="H224" s="39">
        <v>4</v>
      </c>
      <c r="I224" s="40" t="s">
        <v>40</v>
      </c>
      <c r="J224" s="149">
        <v>80</v>
      </c>
      <c r="K224" s="104">
        <v>300</v>
      </c>
      <c r="L224" s="104">
        <v>1150</v>
      </c>
      <c r="M224" s="150">
        <v>12.222336338501581</v>
      </c>
      <c r="N224" s="66">
        <v>492.95509560191999</v>
      </c>
      <c r="O224" s="111">
        <v>21781.46191323801</v>
      </c>
      <c r="P224" s="111">
        <v>25280.604955198756</v>
      </c>
      <c r="Q224" s="110">
        <v>15707.066645932946</v>
      </c>
      <c r="R224" s="258">
        <v>37488.528559170954</v>
      </c>
      <c r="S224" s="259">
        <v>40987.671601131704</v>
      </c>
      <c r="U224" s="7" t="s">
        <v>1897</v>
      </c>
    </row>
    <row r="225" spans="1:21" s="65" customFormat="1" ht="16.5" thickBot="1">
      <c r="A225" s="41" t="s">
        <v>31</v>
      </c>
      <c r="B225" s="42">
        <f t="shared" si="12"/>
        <v>80</v>
      </c>
      <c r="C225" s="42" t="s">
        <v>3</v>
      </c>
      <c r="D225" s="42">
        <f t="shared" si="13"/>
        <v>300</v>
      </c>
      <c r="E225" s="42" t="s">
        <v>3</v>
      </c>
      <c r="F225" s="101">
        <f t="shared" si="14"/>
        <v>1200</v>
      </c>
      <c r="G225" s="42" t="s">
        <v>3</v>
      </c>
      <c r="H225" s="39">
        <v>4</v>
      </c>
      <c r="I225" s="40" t="s">
        <v>40</v>
      </c>
      <c r="J225" s="149">
        <v>80</v>
      </c>
      <c r="K225" s="104">
        <v>300</v>
      </c>
      <c r="L225" s="104">
        <v>1200</v>
      </c>
      <c r="M225" s="150">
        <v>12.800028846419474</v>
      </c>
      <c r="N225" s="66">
        <v>523.76478907703995</v>
      </c>
      <c r="O225" s="111">
        <v>22570.519850046625</v>
      </c>
      <c r="P225" s="111">
        <v>26194.018810439666</v>
      </c>
      <c r="Q225" s="110">
        <v>16482.042416688462</v>
      </c>
      <c r="R225" s="258">
        <v>39052.562266735084</v>
      </c>
      <c r="S225" s="259">
        <v>42676.061227128128</v>
      </c>
      <c r="U225" s="7" t="s">
        <v>1898</v>
      </c>
    </row>
    <row r="226" spans="1:21" s="65" customFormat="1" ht="16.5" thickBot="1">
      <c r="A226" s="41" t="s">
        <v>31</v>
      </c>
      <c r="B226" s="42">
        <f t="shared" si="12"/>
        <v>80</v>
      </c>
      <c r="C226" s="42" t="s">
        <v>3</v>
      </c>
      <c r="D226" s="42">
        <f t="shared" si="13"/>
        <v>300</v>
      </c>
      <c r="E226" s="42" t="s">
        <v>3</v>
      </c>
      <c r="F226" s="101">
        <f t="shared" si="14"/>
        <v>1250</v>
      </c>
      <c r="G226" s="42" t="s">
        <v>3</v>
      </c>
      <c r="H226" s="39">
        <v>4</v>
      </c>
      <c r="I226" s="40" t="s">
        <v>40</v>
      </c>
      <c r="J226" s="149">
        <v>80</v>
      </c>
      <c r="K226" s="104">
        <v>300</v>
      </c>
      <c r="L226" s="104">
        <v>1250</v>
      </c>
      <c r="M226" s="150">
        <v>13.299221354337368</v>
      </c>
      <c r="N226" s="66">
        <v>554.57448255215991</v>
      </c>
      <c r="O226" s="111">
        <v>23275.479451721912</v>
      </c>
      <c r="P226" s="111">
        <v>27025.897715391849</v>
      </c>
      <c r="Q226" s="110">
        <v>17005.684202688975</v>
      </c>
      <c r="R226" s="258">
        <v>40281.163654410891</v>
      </c>
      <c r="S226" s="259">
        <v>44031.581918080825</v>
      </c>
      <c r="U226" s="7" t="s">
        <v>1899</v>
      </c>
    </row>
    <row r="227" spans="1:21" s="65" customFormat="1" ht="16.5" thickBot="1">
      <c r="A227" s="41" t="s">
        <v>31</v>
      </c>
      <c r="B227" s="42">
        <f t="shared" si="12"/>
        <v>80</v>
      </c>
      <c r="C227" s="42" t="s">
        <v>3</v>
      </c>
      <c r="D227" s="42">
        <f t="shared" si="13"/>
        <v>300</v>
      </c>
      <c r="E227" s="42" t="s">
        <v>3</v>
      </c>
      <c r="F227" s="101">
        <f t="shared" si="14"/>
        <v>1300</v>
      </c>
      <c r="G227" s="42" t="s">
        <v>3</v>
      </c>
      <c r="H227" s="39">
        <v>4</v>
      </c>
      <c r="I227" s="40" t="s">
        <v>40</v>
      </c>
      <c r="J227" s="149">
        <v>80</v>
      </c>
      <c r="K227" s="104">
        <v>300</v>
      </c>
      <c r="L227" s="104">
        <v>1300</v>
      </c>
      <c r="M227" s="150">
        <v>13.798413862255263</v>
      </c>
      <c r="N227" s="66">
        <v>585.38417602727986</v>
      </c>
      <c r="O227" s="111">
        <v>23980.43890036843</v>
      </c>
      <c r="P227" s="111">
        <v>27857.776467315274</v>
      </c>
      <c r="Q227" s="110">
        <v>17780.65997344449</v>
      </c>
      <c r="R227" s="258">
        <v>41761.098873812924</v>
      </c>
      <c r="S227" s="259">
        <v>45638.43644075976</v>
      </c>
      <c r="U227" s="7" t="s">
        <v>1900</v>
      </c>
    </row>
    <row r="228" spans="1:21" s="65" customFormat="1" ht="16.5" thickBot="1">
      <c r="A228" s="41" t="s">
        <v>31</v>
      </c>
      <c r="B228" s="42">
        <f t="shared" si="12"/>
        <v>80</v>
      </c>
      <c r="C228" s="42" t="s">
        <v>3</v>
      </c>
      <c r="D228" s="42">
        <f t="shared" si="13"/>
        <v>300</v>
      </c>
      <c r="E228" s="42" t="s">
        <v>3</v>
      </c>
      <c r="F228" s="101">
        <f t="shared" si="14"/>
        <v>1350</v>
      </c>
      <c r="G228" s="42" t="s">
        <v>3</v>
      </c>
      <c r="H228" s="39">
        <v>4</v>
      </c>
      <c r="I228" s="40" t="s">
        <v>40</v>
      </c>
      <c r="J228" s="149">
        <v>80</v>
      </c>
      <c r="K228" s="104">
        <v>300</v>
      </c>
      <c r="L228" s="104">
        <v>1350</v>
      </c>
      <c r="M228" s="150">
        <v>14.297606370173156</v>
      </c>
      <c r="N228" s="66">
        <v>616.19386950239993</v>
      </c>
      <c r="O228" s="111">
        <v>24685.398502043714</v>
      </c>
      <c r="P228" s="111">
        <v>28689.655372267458</v>
      </c>
      <c r="Q228" s="110">
        <v>18304.301606416237</v>
      </c>
      <c r="R228" s="258">
        <v>42989.700108459947</v>
      </c>
      <c r="S228" s="259">
        <v>46993.956978683695</v>
      </c>
      <c r="U228" s="7" t="s">
        <v>1901</v>
      </c>
    </row>
    <row r="229" spans="1:21" s="65" customFormat="1" ht="16.5" thickBot="1">
      <c r="A229" s="41" t="s">
        <v>31</v>
      </c>
      <c r="B229" s="42">
        <f t="shared" si="12"/>
        <v>80</v>
      </c>
      <c r="C229" s="42" t="s">
        <v>3</v>
      </c>
      <c r="D229" s="42">
        <f t="shared" si="13"/>
        <v>300</v>
      </c>
      <c r="E229" s="42" t="s">
        <v>3</v>
      </c>
      <c r="F229" s="101">
        <f t="shared" si="14"/>
        <v>1400</v>
      </c>
      <c r="G229" s="42" t="s">
        <v>3</v>
      </c>
      <c r="H229" s="39">
        <v>4</v>
      </c>
      <c r="I229" s="40" t="s">
        <v>40</v>
      </c>
      <c r="J229" s="149">
        <v>80</v>
      </c>
      <c r="K229" s="104">
        <v>300</v>
      </c>
      <c r="L229" s="104">
        <v>1400</v>
      </c>
      <c r="M229" s="150">
        <v>14.796798878091051</v>
      </c>
      <c r="N229" s="66">
        <v>647.00356297752001</v>
      </c>
      <c r="O229" s="111">
        <v>25390.358103718998</v>
      </c>
      <c r="P229" s="111">
        <v>29521.534277219649</v>
      </c>
      <c r="Q229" s="110">
        <v>19079.277530200521</v>
      </c>
      <c r="R229" s="258">
        <v>44469.635633919519</v>
      </c>
      <c r="S229" s="259">
        <v>48600.81180742017</v>
      </c>
      <c r="U229" s="7" t="s">
        <v>1902</v>
      </c>
    </row>
    <row r="230" spans="1:21" s="65" customFormat="1" ht="16.5" thickBot="1">
      <c r="A230" s="41" t="s">
        <v>31</v>
      </c>
      <c r="B230" s="42">
        <f t="shared" si="12"/>
        <v>80</v>
      </c>
      <c r="C230" s="42" t="s">
        <v>3</v>
      </c>
      <c r="D230" s="42">
        <f t="shared" si="13"/>
        <v>300</v>
      </c>
      <c r="E230" s="42" t="s">
        <v>3</v>
      </c>
      <c r="F230" s="101">
        <f t="shared" si="14"/>
        <v>1450</v>
      </c>
      <c r="G230" s="42" t="s">
        <v>3</v>
      </c>
      <c r="H230" s="39">
        <v>4</v>
      </c>
      <c r="I230" s="40" t="s">
        <v>40</v>
      </c>
      <c r="J230" s="149">
        <v>80</v>
      </c>
      <c r="K230" s="104">
        <v>300</v>
      </c>
      <c r="L230" s="104">
        <v>1450</v>
      </c>
      <c r="M230" s="150">
        <v>15.295991386008948</v>
      </c>
      <c r="N230" s="66">
        <v>677.81325645263996</v>
      </c>
      <c r="O230" s="111">
        <v>26095.317705394282</v>
      </c>
      <c r="P230" s="111">
        <v>30353.413182171833</v>
      </c>
      <c r="Q230" s="110">
        <v>19602.919163172111</v>
      </c>
      <c r="R230" s="258">
        <v>45698.236868566397</v>
      </c>
      <c r="S230" s="259">
        <v>49956.332345343944</v>
      </c>
      <c r="U230" s="7" t="s">
        <v>1903</v>
      </c>
    </row>
    <row r="231" spans="1:21" s="65" customFormat="1" ht="16.5" thickBot="1">
      <c r="A231" s="41" t="s">
        <v>31</v>
      </c>
      <c r="B231" s="42">
        <f t="shared" si="12"/>
        <v>80</v>
      </c>
      <c r="C231" s="42" t="s">
        <v>3</v>
      </c>
      <c r="D231" s="42">
        <f t="shared" si="13"/>
        <v>300</v>
      </c>
      <c r="E231" s="42" t="s">
        <v>3</v>
      </c>
      <c r="F231" s="101">
        <f t="shared" si="14"/>
        <v>1500</v>
      </c>
      <c r="G231" s="42" t="s">
        <v>3</v>
      </c>
      <c r="H231" s="39">
        <v>4</v>
      </c>
      <c r="I231" s="40" t="s">
        <v>40</v>
      </c>
      <c r="J231" s="149">
        <v>80</v>
      </c>
      <c r="K231" s="104">
        <v>300</v>
      </c>
      <c r="L231" s="104">
        <v>1500</v>
      </c>
      <c r="M231" s="150">
        <v>15.939748786726842</v>
      </c>
      <c r="N231" s="66">
        <v>708.62294992775992</v>
      </c>
      <c r="O231" s="111">
        <v>27540.002748749772</v>
      </c>
      <c r="P231" s="111">
        <v>31833.216184720804</v>
      </c>
      <c r="Q231" s="110">
        <v>20377.895086956549</v>
      </c>
      <c r="R231" s="258">
        <v>47917.897835706317</v>
      </c>
      <c r="S231" s="259">
        <v>52211.11127167735</v>
      </c>
      <c r="U231" s="7" t="s">
        <v>1904</v>
      </c>
    </row>
    <row r="232" spans="1:21" s="65" customFormat="1" ht="16.5" thickBot="1">
      <c r="A232" s="41" t="s">
        <v>31</v>
      </c>
      <c r="B232" s="42">
        <f t="shared" si="12"/>
        <v>80</v>
      </c>
      <c r="C232" s="42" t="s">
        <v>3</v>
      </c>
      <c r="D232" s="42">
        <f t="shared" si="13"/>
        <v>300</v>
      </c>
      <c r="E232" s="42" t="s">
        <v>3</v>
      </c>
      <c r="F232" s="101">
        <f t="shared" si="14"/>
        <v>1550</v>
      </c>
      <c r="G232" s="42" t="s">
        <v>3</v>
      </c>
      <c r="H232" s="39">
        <v>4</v>
      </c>
      <c r="I232" s="40" t="s">
        <v>40</v>
      </c>
      <c r="J232" s="149">
        <v>80</v>
      </c>
      <c r="K232" s="104">
        <v>300</v>
      </c>
      <c r="L232" s="104">
        <v>1550</v>
      </c>
      <c r="M232" s="150">
        <v>16.438941294644735</v>
      </c>
      <c r="N232" s="66">
        <v>739.43264340287988</v>
      </c>
      <c r="O232" s="111">
        <v>28244.962350425059</v>
      </c>
      <c r="P232" s="111">
        <v>32665.094936644222</v>
      </c>
      <c r="Q232" s="110">
        <v>20901.536719928292</v>
      </c>
      <c r="R232" s="258">
        <v>49146.499070353355</v>
      </c>
      <c r="S232" s="259">
        <v>53566.631656572514</v>
      </c>
      <c r="U232" s="7" t="s">
        <v>1905</v>
      </c>
    </row>
    <row r="233" spans="1:21" s="65" customFormat="1" ht="16.5" thickBot="1">
      <c r="A233" s="38" t="s">
        <v>31</v>
      </c>
      <c r="B233" s="39">
        <f t="shared" si="12"/>
        <v>80</v>
      </c>
      <c r="C233" s="39" t="s">
        <v>3</v>
      </c>
      <c r="D233" s="39">
        <f t="shared" si="13"/>
        <v>300</v>
      </c>
      <c r="E233" s="39" t="s">
        <v>3</v>
      </c>
      <c r="F233" s="101">
        <f t="shared" si="14"/>
        <v>1600</v>
      </c>
      <c r="G233" s="39" t="s">
        <v>3</v>
      </c>
      <c r="H233" s="39">
        <v>4</v>
      </c>
      <c r="I233" s="40" t="s">
        <v>40</v>
      </c>
      <c r="J233" s="149">
        <v>80</v>
      </c>
      <c r="K233" s="104">
        <v>300</v>
      </c>
      <c r="L233" s="104">
        <v>1600</v>
      </c>
      <c r="M233" s="150">
        <v>16.938133802562632</v>
      </c>
      <c r="N233" s="66">
        <v>770.24233687799995</v>
      </c>
      <c r="O233" s="111">
        <v>28949.92195210034</v>
      </c>
      <c r="P233" s="111">
        <v>33496.973841596417</v>
      </c>
      <c r="Q233" s="110">
        <v>21425.178352900039</v>
      </c>
      <c r="R233" s="258">
        <v>50375.100305000378</v>
      </c>
      <c r="S233" s="259">
        <v>54922.152194496455</v>
      </c>
      <c r="U233" s="7" t="s">
        <v>1906</v>
      </c>
    </row>
    <row r="234" spans="1:21" s="65" customFormat="1" ht="16.5" thickBot="1">
      <c r="A234" s="41" t="s">
        <v>31</v>
      </c>
      <c r="B234" s="42">
        <f t="shared" si="12"/>
        <v>80</v>
      </c>
      <c r="C234" s="42" t="s">
        <v>3</v>
      </c>
      <c r="D234" s="42">
        <f t="shared" si="13"/>
        <v>300</v>
      </c>
      <c r="E234" s="42" t="s">
        <v>3</v>
      </c>
      <c r="F234" s="101">
        <f t="shared" si="14"/>
        <v>1650</v>
      </c>
      <c r="G234" s="42" t="s">
        <v>3</v>
      </c>
      <c r="H234" s="39">
        <v>4</v>
      </c>
      <c r="I234" s="40" t="s">
        <v>40</v>
      </c>
      <c r="J234" s="149">
        <v>80</v>
      </c>
      <c r="K234" s="104">
        <v>300</v>
      </c>
      <c r="L234" s="104">
        <v>1650</v>
      </c>
      <c r="M234" s="150">
        <v>17.437326310480525</v>
      </c>
      <c r="N234" s="66">
        <v>801.0520303531199</v>
      </c>
      <c r="O234" s="111">
        <v>29654.881400746861</v>
      </c>
      <c r="P234" s="111">
        <v>34328.852746548597</v>
      </c>
      <c r="Q234" s="110">
        <v>22200.154276684319</v>
      </c>
      <c r="R234" s="258">
        <v>51855.03567743118</v>
      </c>
      <c r="S234" s="259">
        <v>56529.007023232916</v>
      </c>
      <c r="U234" s="7" t="s">
        <v>1907</v>
      </c>
    </row>
    <row r="235" spans="1:21" s="65" customFormat="1" ht="16.5" thickBot="1">
      <c r="A235" s="41" t="s">
        <v>31</v>
      </c>
      <c r="B235" s="42">
        <f t="shared" si="12"/>
        <v>80</v>
      </c>
      <c r="C235" s="42" t="s">
        <v>3</v>
      </c>
      <c r="D235" s="42">
        <f t="shared" si="13"/>
        <v>300</v>
      </c>
      <c r="E235" s="42" t="s">
        <v>3</v>
      </c>
      <c r="F235" s="101">
        <f t="shared" si="14"/>
        <v>1700</v>
      </c>
      <c r="G235" s="42" t="s">
        <v>3</v>
      </c>
      <c r="H235" s="39">
        <v>4</v>
      </c>
      <c r="I235" s="40" t="s">
        <v>40</v>
      </c>
      <c r="J235" s="149">
        <v>80</v>
      </c>
      <c r="K235" s="104">
        <v>300</v>
      </c>
      <c r="L235" s="104">
        <v>1700</v>
      </c>
      <c r="M235" s="150">
        <v>17.936518818398422</v>
      </c>
      <c r="N235" s="66">
        <v>831.86172382823997</v>
      </c>
      <c r="O235" s="111">
        <v>30359.841002422148</v>
      </c>
      <c r="P235" s="111">
        <v>35160.731651500784</v>
      </c>
      <c r="Q235" s="110">
        <v>22723.795909656066</v>
      </c>
      <c r="R235" s="258">
        <v>53083.636912078218</v>
      </c>
      <c r="S235" s="259">
        <v>57884.52756115685</v>
      </c>
      <c r="U235" s="7" t="s">
        <v>1908</v>
      </c>
    </row>
    <row r="236" spans="1:21" s="65" customFormat="1" ht="16.5" thickBot="1">
      <c r="A236" s="41" t="s">
        <v>31</v>
      </c>
      <c r="B236" s="42">
        <f t="shared" si="12"/>
        <v>80</v>
      </c>
      <c r="C236" s="42" t="s">
        <v>3</v>
      </c>
      <c r="D236" s="42">
        <f t="shared" si="13"/>
        <v>300</v>
      </c>
      <c r="E236" s="42" t="s">
        <v>3</v>
      </c>
      <c r="F236" s="101">
        <f t="shared" si="14"/>
        <v>1750</v>
      </c>
      <c r="G236" s="42" t="s">
        <v>3</v>
      </c>
      <c r="H236" s="39">
        <v>4</v>
      </c>
      <c r="I236" s="40" t="s">
        <v>40</v>
      </c>
      <c r="J236" s="149">
        <v>80</v>
      </c>
      <c r="K236" s="104">
        <v>300</v>
      </c>
      <c r="L236" s="104">
        <v>1750</v>
      </c>
      <c r="M236" s="150">
        <v>18.435711326316316</v>
      </c>
      <c r="N236" s="66">
        <v>862.67141730335982</v>
      </c>
      <c r="O236" s="111">
        <v>31064.800604097429</v>
      </c>
      <c r="P236" s="111">
        <v>35992.610556452972</v>
      </c>
      <c r="Q236" s="110">
        <v>23498.771833440347</v>
      </c>
      <c r="R236" s="258">
        <v>54563.572437537776</v>
      </c>
      <c r="S236" s="259">
        <v>59491.382389893319</v>
      </c>
      <c r="U236" s="7" t="s">
        <v>1909</v>
      </c>
    </row>
    <row r="237" spans="1:21" s="65" customFormat="1" ht="16.5" thickBot="1">
      <c r="A237" s="41" t="s">
        <v>31</v>
      </c>
      <c r="B237" s="42">
        <f t="shared" si="12"/>
        <v>80</v>
      </c>
      <c r="C237" s="42" t="s">
        <v>3</v>
      </c>
      <c r="D237" s="42">
        <f t="shared" si="13"/>
        <v>300</v>
      </c>
      <c r="E237" s="42" t="s">
        <v>3</v>
      </c>
      <c r="F237" s="101">
        <f t="shared" si="14"/>
        <v>1800</v>
      </c>
      <c r="G237" s="42" t="s">
        <v>3</v>
      </c>
      <c r="H237" s="39">
        <v>4</v>
      </c>
      <c r="I237" s="40" t="s">
        <v>40</v>
      </c>
      <c r="J237" s="149">
        <v>80</v>
      </c>
      <c r="K237" s="104">
        <v>300</v>
      </c>
      <c r="L237" s="104">
        <v>1800</v>
      </c>
      <c r="M237" s="150">
        <v>18.934903834234209</v>
      </c>
      <c r="N237" s="66">
        <v>893.48111077847989</v>
      </c>
      <c r="O237" s="111">
        <v>31769.760205772716</v>
      </c>
      <c r="P237" s="111">
        <v>36824.489461405006</v>
      </c>
      <c r="Q237" s="110">
        <v>24022.413466412094</v>
      </c>
      <c r="R237" s="258">
        <v>55792.173672184814</v>
      </c>
      <c r="S237" s="259">
        <v>60846.9029278171</v>
      </c>
      <c r="U237" s="7" t="s">
        <v>1910</v>
      </c>
    </row>
    <row r="238" spans="1:21" s="65" customFormat="1" ht="16.5" thickBot="1">
      <c r="A238" s="41" t="s">
        <v>31</v>
      </c>
      <c r="B238" s="42">
        <f t="shared" si="12"/>
        <v>80</v>
      </c>
      <c r="C238" s="42" t="s">
        <v>3</v>
      </c>
      <c r="D238" s="42">
        <f t="shared" si="13"/>
        <v>300</v>
      </c>
      <c r="E238" s="42" t="s">
        <v>3</v>
      </c>
      <c r="F238" s="101">
        <f t="shared" si="14"/>
        <v>1850</v>
      </c>
      <c r="G238" s="42" t="s">
        <v>3</v>
      </c>
      <c r="H238" s="39">
        <v>4</v>
      </c>
      <c r="I238" s="40" t="s">
        <v>40</v>
      </c>
      <c r="J238" s="149">
        <v>80</v>
      </c>
      <c r="K238" s="104">
        <v>300</v>
      </c>
      <c r="L238" s="104">
        <v>1850</v>
      </c>
      <c r="M238" s="150">
        <v>19.434096342152106</v>
      </c>
      <c r="N238" s="66">
        <v>924.29080425359984</v>
      </c>
      <c r="O238" s="111">
        <v>32474.719807447997</v>
      </c>
      <c r="P238" s="111">
        <v>37656.368213328584</v>
      </c>
      <c r="Q238" s="110">
        <v>24797.389237167612</v>
      </c>
      <c r="R238" s="258">
        <v>57272.109044615609</v>
      </c>
      <c r="S238" s="259">
        <v>62453.757450496196</v>
      </c>
      <c r="U238" s="7" t="s">
        <v>1911</v>
      </c>
    </row>
    <row r="239" spans="1:21" s="65" customFormat="1" ht="16.5" thickBot="1">
      <c r="A239" s="41" t="s">
        <v>31</v>
      </c>
      <c r="B239" s="42">
        <f t="shared" si="12"/>
        <v>80</v>
      </c>
      <c r="C239" s="42" t="s">
        <v>3</v>
      </c>
      <c r="D239" s="42">
        <f t="shared" si="13"/>
        <v>300</v>
      </c>
      <c r="E239" s="42" t="s">
        <v>3</v>
      </c>
      <c r="F239" s="101">
        <f t="shared" si="14"/>
        <v>1900</v>
      </c>
      <c r="G239" s="42" t="s">
        <v>3</v>
      </c>
      <c r="H239" s="39">
        <v>4</v>
      </c>
      <c r="I239" s="40" t="s">
        <v>40</v>
      </c>
      <c r="J239" s="149">
        <v>80</v>
      </c>
      <c r="K239" s="104">
        <v>300</v>
      </c>
      <c r="L239" s="104">
        <v>1900</v>
      </c>
      <c r="M239" s="150">
        <v>19.933288850069999</v>
      </c>
      <c r="N239" s="66">
        <v>955.10049772871992</v>
      </c>
      <c r="O239" s="111">
        <v>33179.679256094518</v>
      </c>
      <c r="P239" s="111">
        <v>38488.247118280771</v>
      </c>
      <c r="Q239" s="110">
        <v>25321.031023168125</v>
      </c>
      <c r="R239" s="258">
        <v>58500.710279262639</v>
      </c>
      <c r="S239" s="259">
        <v>63809.2781414489</v>
      </c>
      <c r="U239" s="7" t="s">
        <v>1912</v>
      </c>
    </row>
    <row r="240" spans="1:21" s="65" customFormat="1" ht="16.5" thickBot="1">
      <c r="A240" s="41" t="s">
        <v>31</v>
      </c>
      <c r="B240" s="42">
        <f t="shared" si="12"/>
        <v>80</v>
      </c>
      <c r="C240" s="42" t="s">
        <v>3</v>
      </c>
      <c r="D240" s="42">
        <f t="shared" si="13"/>
        <v>300</v>
      </c>
      <c r="E240" s="42" t="s">
        <v>3</v>
      </c>
      <c r="F240" s="101">
        <f t="shared" si="14"/>
        <v>1950</v>
      </c>
      <c r="G240" s="42" t="s">
        <v>3</v>
      </c>
      <c r="H240" s="39">
        <v>4</v>
      </c>
      <c r="I240" s="40" t="s">
        <v>40</v>
      </c>
      <c r="J240" s="149">
        <v>80</v>
      </c>
      <c r="K240" s="104">
        <v>300</v>
      </c>
      <c r="L240" s="104">
        <v>1950</v>
      </c>
      <c r="M240" s="150">
        <v>20.510981357987895</v>
      </c>
      <c r="N240" s="66">
        <v>985.91019120383999</v>
      </c>
      <c r="O240" s="111">
        <v>33968.737192903129</v>
      </c>
      <c r="P240" s="111">
        <v>39401.660973521677</v>
      </c>
      <c r="Q240" s="110">
        <v>25844.672656139872</v>
      </c>
      <c r="R240" s="258">
        <v>59813.409849043004</v>
      </c>
      <c r="S240" s="259">
        <v>65246.333629661545</v>
      </c>
      <c r="U240" s="7" t="s">
        <v>1913</v>
      </c>
    </row>
    <row r="241" spans="1:21" s="65" customFormat="1" ht="16.5" thickBot="1">
      <c r="A241" s="41" t="s">
        <v>31</v>
      </c>
      <c r="B241" s="42">
        <f t="shared" si="12"/>
        <v>80</v>
      </c>
      <c r="C241" s="42" t="s">
        <v>3</v>
      </c>
      <c r="D241" s="42">
        <f t="shared" si="13"/>
        <v>300</v>
      </c>
      <c r="E241" s="42" t="s">
        <v>3</v>
      </c>
      <c r="F241" s="101">
        <f t="shared" si="14"/>
        <v>2000</v>
      </c>
      <c r="G241" s="42" t="s">
        <v>3</v>
      </c>
      <c r="H241" s="39">
        <v>4</v>
      </c>
      <c r="I241" s="40" t="s">
        <v>40</v>
      </c>
      <c r="J241" s="149">
        <v>80</v>
      </c>
      <c r="K241" s="104">
        <v>300</v>
      </c>
      <c r="L241" s="104">
        <v>2000</v>
      </c>
      <c r="M241" s="150">
        <v>21.101736265905789</v>
      </c>
      <c r="N241" s="66">
        <v>1016.7198846789598</v>
      </c>
      <c r="O241" s="111">
        <v>34924.988543394247</v>
      </c>
      <c r="P241" s="111">
        <v>40561.968377839956</v>
      </c>
      <c r="Q241" s="110">
        <v>26619.648426895383</v>
      </c>
      <c r="R241" s="258">
        <v>61544.636970289634</v>
      </c>
      <c r="S241" s="259">
        <v>67181.616804735342</v>
      </c>
      <c r="U241" s="7" t="s">
        <v>1914</v>
      </c>
    </row>
    <row r="242" spans="1:21" s="65" customFormat="1" ht="16.5" thickBot="1">
      <c r="A242" s="41" t="s">
        <v>31</v>
      </c>
      <c r="B242" s="42">
        <f t="shared" si="12"/>
        <v>80</v>
      </c>
      <c r="C242" s="42" t="s">
        <v>3</v>
      </c>
      <c r="D242" s="42">
        <f t="shared" si="13"/>
        <v>300</v>
      </c>
      <c r="E242" s="42" t="s">
        <v>3</v>
      </c>
      <c r="F242" s="101">
        <f t="shared" si="14"/>
        <v>2050</v>
      </c>
      <c r="G242" s="42" t="s">
        <v>3</v>
      </c>
      <c r="H242" s="39">
        <v>4</v>
      </c>
      <c r="I242" s="40" t="s">
        <v>40</v>
      </c>
      <c r="J242" s="149">
        <v>80</v>
      </c>
      <c r="K242" s="104">
        <v>300</v>
      </c>
      <c r="L242" s="104">
        <v>2050</v>
      </c>
      <c r="M242" s="150">
        <v>21.600928773823682</v>
      </c>
      <c r="N242" s="66">
        <v>1047.5295781540799</v>
      </c>
      <c r="O242" s="111">
        <v>35629.948145069531</v>
      </c>
      <c r="P242" s="111">
        <v>41393.847282792143</v>
      </c>
      <c r="Q242" s="110">
        <v>27143.290212895896</v>
      </c>
      <c r="R242" s="258">
        <v>62773.238357965427</v>
      </c>
      <c r="S242" s="259">
        <v>68537.137495688046</v>
      </c>
      <c r="U242" s="7" t="s">
        <v>1915</v>
      </c>
    </row>
    <row r="243" spans="1:21" s="65" customFormat="1" ht="16.5" thickBot="1">
      <c r="A243" s="38" t="s">
        <v>31</v>
      </c>
      <c r="B243" s="39">
        <f t="shared" si="12"/>
        <v>80</v>
      </c>
      <c r="C243" s="39" t="s">
        <v>3</v>
      </c>
      <c r="D243" s="39">
        <f t="shared" si="13"/>
        <v>300</v>
      </c>
      <c r="E243" s="39" t="s">
        <v>3</v>
      </c>
      <c r="F243" s="101">
        <f t="shared" si="14"/>
        <v>2100</v>
      </c>
      <c r="G243" s="39" t="s">
        <v>3</v>
      </c>
      <c r="H243" s="39">
        <v>4</v>
      </c>
      <c r="I243" s="40" t="s">
        <v>40</v>
      </c>
      <c r="J243" s="149">
        <v>80</v>
      </c>
      <c r="K243" s="104">
        <v>300</v>
      </c>
      <c r="L243" s="104">
        <v>2100</v>
      </c>
      <c r="M243" s="150">
        <v>22.100121281741576</v>
      </c>
      <c r="N243" s="66">
        <v>1078.3392716291999</v>
      </c>
      <c r="O243" s="111">
        <v>36334.907746744815</v>
      </c>
      <c r="P243" s="111">
        <v>42225.726034715568</v>
      </c>
      <c r="Q243" s="110">
        <v>27918.265983651414</v>
      </c>
      <c r="R243" s="258">
        <v>64253.173730396229</v>
      </c>
      <c r="S243" s="259">
        <v>70143.992018366989</v>
      </c>
      <c r="U243" s="7" t="s">
        <v>1916</v>
      </c>
    </row>
    <row r="244" spans="1:21" s="65" customFormat="1" ht="16.5" thickBot="1">
      <c r="A244" s="41" t="s">
        <v>31</v>
      </c>
      <c r="B244" s="42">
        <f t="shared" si="12"/>
        <v>80</v>
      </c>
      <c r="C244" s="42" t="s">
        <v>3</v>
      </c>
      <c r="D244" s="42">
        <f t="shared" si="13"/>
        <v>300</v>
      </c>
      <c r="E244" s="42" t="s">
        <v>3</v>
      </c>
      <c r="F244" s="101">
        <f t="shared" si="14"/>
        <v>2150</v>
      </c>
      <c r="G244" s="42" t="s">
        <v>3</v>
      </c>
      <c r="H244" s="39">
        <v>4</v>
      </c>
      <c r="I244" s="40" t="s">
        <v>40</v>
      </c>
      <c r="J244" s="149">
        <v>80</v>
      </c>
      <c r="K244" s="104">
        <v>300</v>
      </c>
      <c r="L244" s="104">
        <v>2150</v>
      </c>
      <c r="M244" s="150">
        <v>22.599313789659472</v>
      </c>
      <c r="N244" s="66">
        <v>1109.1489651043198</v>
      </c>
      <c r="O244" s="111">
        <v>37039.867348420099</v>
      </c>
      <c r="P244" s="111">
        <v>43057.604939667755</v>
      </c>
      <c r="Q244" s="110">
        <v>28441.907769651927</v>
      </c>
      <c r="R244" s="258">
        <v>65481.775118072022</v>
      </c>
      <c r="S244" s="259">
        <v>71499.512709319679</v>
      </c>
      <c r="U244" s="7" t="s">
        <v>1917</v>
      </c>
    </row>
    <row r="245" spans="1:21" s="65" customFormat="1" ht="16.5" thickBot="1">
      <c r="A245" s="41" t="s">
        <v>31</v>
      </c>
      <c r="B245" s="42">
        <f t="shared" si="12"/>
        <v>80</v>
      </c>
      <c r="C245" s="42" t="s">
        <v>3</v>
      </c>
      <c r="D245" s="42">
        <f t="shared" si="13"/>
        <v>300</v>
      </c>
      <c r="E245" s="42" t="s">
        <v>3</v>
      </c>
      <c r="F245" s="101">
        <f t="shared" si="14"/>
        <v>2200</v>
      </c>
      <c r="G245" s="42" t="s">
        <v>3</v>
      </c>
      <c r="H245" s="39">
        <v>4</v>
      </c>
      <c r="I245" s="40" t="s">
        <v>40</v>
      </c>
      <c r="J245" s="149">
        <v>80</v>
      </c>
      <c r="K245" s="104">
        <v>300</v>
      </c>
      <c r="L245" s="104">
        <v>2200</v>
      </c>
      <c r="M245" s="150">
        <v>23.098506297577369</v>
      </c>
      <c r="N245" s="66">
        <v>1139.95865857944</v>
      </c>
      <c r="O245" s="111">
        <v>37744.826950095383</v>
      </c>
      <c r="P245" s="111">
        <v>43889.483844619936</v>
      </c>
      <c r="Q245" s="110">
        <v>29216.883540407438</v>
      </c>
      <c r="R245" s="258">
        <v>66961.710490502825</v>
      </c>
      <c r="S245" s="259">
        <v>73106.367385027377</v>
      </c>
      <c r="U245" s="7" t="s">
        <v>1918</v>
      </c>
    </row>
    <row r="246" spans="1:21" s="65" customFormat="1" ht="16.5" thickBot="1">
      <c r="A246" s="41" t="s">
        <v>31</v>
      </c>
      <c r="B246" s="42">
        <f t="shared" si="12"/>
        <v>80</v>
      </c>
      <c r="C246" s="42" t="s">
        <v>3</v>
      </c>
      <c r="D246" s="42">
        <f t="shared" si="13"/>
        <v>300</v>
      </c>
      <c r="E246" s="42" t="s">
        <v>3</v>
      </c>
      <c r="F246" s="101">
        <f t="shared" si="14"/>
        <v>2250</v>
      </c>
      <c r="G246" s="42" t="s">
        <v>3</v>
      </c>
      <c r="H246" s="39">
        <v>4</v>
      </c>
      <c r="I246" s="40" t="s">
        <v>40</v>
      </c>
      <c r="J246" s="149">
        <v>80</v>
      </c>
      <c r="K246" s="104">
        <v>300</v>
      </c>
      <c r="L246" s="104">
        <v>2250</v>
      </c>
      <c r="M246" s="150">
        <v>23.597698805495263</v>
      </c>
      <c r="N246" s="66">
        <v>1170.7683520545597</v>
      </c>
      <c r="O246" s="111">
        <v>38449.786398741904</v>
      </c>
      <c r="P246" s="111">
        <v>44721.36274957213</v>
      </c>
      <c r="Q246" s="110">
        <v>29740.525173379188</v>
      </c>
      <c r="R246" s="258">
        <v>68190.311572121092</v>
      </c>
      <c r="S246" s="259">
        <v>74461.887922951311</v>
      </c>
      <c r="U246" s="7" t="s">
        <v>1919</v>
      </c>
    </row>
    <row r="247" spans="1:21" s="65" customFormat="1" ht="16.5" thickBot="1">
      <c r="A247" s="41" t="s">
        <v>31</v>
      </c>
      <c r="B247" s="42">
        <f t="shared" si="12"/>
        <v>80</v>
      </c>
      <c r="C247" s="42" t="s">
        <v>3</v>
      </c>
      <c r="D247" s="42">
        <f t="shared" si="13"/>
        <v>300</v>
      </c>
      <c r="E247" s="42" t="s">
        <v>3</v>
      </c>
      <c r="F247" s="101">
        <f t="shared" si="14"/>
        <v>2300</v>
      </c>
      <c r="G247" s="42" t="s">
        <v>3</v>
      </c>
      <c r="H247" s="39">
        <v>4</v>
      </c>
      <c r="I247" s="40" t="s">
        <v>40</v>
      </c>
      <c r="J247" s="149">
        <v>80</v>
      </c>
      <c r="K247" s="104">
        <v>300</v>
      </c>
      <c r="L247" s="104">
        <v>2300</v>
      </c>
      <c r="M247" s="150">
        <v>24.09689131341316</v>
      </c>
      <c r="N247" s="66">
        <v>1201.5780455296799</v>
      </c>
      <c r="O247" s="111">
        <v>39154.746000417188</v>
      </c>
      <c r="P247" s="111">
        <v>45553.24165452431</v>
      </c>
      <c r="Q247" s="110">
        <v>30264.166959379701</v>
      </c>
      <c r="R247" s="258">
        <v>69418.912959796886</v>
      </c>
      <c r="S247" s="259">
        <v>75817.408613904016</v>
      </c>
      <c r="U247" s="7" t="s">
        <v>1920</v>
      </c>
    </row>
    <row r="248" spans="1:21" s="65" customFormat="1" ht="16.5" thickBot="1">
      <c r="A248" s="41" t="s">
        <v>31</v>
      </c>
      <c r="B248" s="42">
        <f t="shared" si="12"/>
        <v>80</v>
      </c>
      <c r="C248" s="42" t="s">
        <v>3</v>
      </c>
      <c r="D248" s="42">
        <f t="shared" si="13"/>
        <v>300</v>
      </c>
      <c r="E248" s="42" t="s">
        <v>3</v>
      </c>
      <c r="F248" s="101">
        <f t="shared" si="14"/>
        <v>2350</v>
      </c>
      <c r="G248" s="42" t="s">
        <v>3</v>
      </c>
      <c r="H248" s="39">
        <v>4</v>
      </c>
      <c r="I248" s="40" t="s">
        <v>40</v>
      </c>
      <c r="J248" s="149">
        <v>80</v>
      </c>
      <c r="K248" s="104">
        <v>300</v>
      </c>
      <c r="L248" s="104">
        <v>2350</v>
      </c>
      <c r="M248" s="150">
        <v>24.596083821331057</v>
      </c>
      <c r="N248" s="66">
        <v>1232.3877390047999</v>
      </c>
      <c r="O248" s="111">
        <v>39859.705602092472</v>
      </c>
      <c r="P248" s="111">
        <v>46385.120559476505</v>
      </c>
      <c r="Q248" s="110">
        <v>31039.142730135216</v>
      </c>
      <c r="R248" s="258">
        <v>70898.848332227688</v>
      </c>
      <c r="S248" s="259">
        <v>77424.263289611728</v>
      </c>
      <c r="U248" s="7" t="s">
        <v>1921</v>
      </c>
    </row>
    <row r="249" spans="1:21" s="65" customFormat="1" ht="16.5" thickBot="1">
      <c r="A249" s="41" t="s">
        <v>31</v>
      </c>
      <c r="B249" s="42">
        <f t="shared" si="12"/>
        <v>80</v>
      </c>
      <c r="C249" s="42" t="s">
        <v>3</v>
      </c>
      <c r="D249" s="42">
        <f t="shared" si="13"/>
        <v>300</v>
      </c>
      <c r="E249" s="42" t="s">
        <v>3</v>
      </c>
      <c r="F249" s="101">
        <f t="shared" si="14"/>
        <v>2400</v>
      </c>
      <c r="G249" s="42" t="s">
        <v>3</v>
      </c>
      <c r="H249" s="39">
        <v>4</v>
      </c>
      <c r="I249" s="40" t="s">
        <v>40</v>
      </c>
      <c r="J249" s="149">
        <v>80</v>
      </c>
      <c r="K249" s="104">
        <v>300</v>
      </c>
      <c r="L249" s="104">
        <v>2400</v>
      </c>
      <c r="M249" s="150">
        <v>25.095276329248946</v>
      </c>
      <c r="N249" s="66">
        <v>1263.1974324799198</v>
      </c>
      <c r="O249" s="111">
        <v>40564.665203767756</v>
      </c>
      <c r="P249" s="111">
        <v>47216.999311399923</v>
      </c>
      <c r="Q249" s="110">
        <v>31562.784363106966</v>
      </c>
      <c r="R249" s="258">
        <v>72127.449566874726</v>
      </c>
      <c r="S249" s="259">
        <v>78779.783674506893</v>
      </c>
      <c r="U249" s="7" t="s">
        <v>1922</v>
      </c>
    </row>
    <row r="250" spans="1:21" s="65" customFormat="1" ht="16.5" thickBot="1">
      <c r="A250" s="41" t="s">
        <v>31</v>
      </c>
      <c r="B250" s="42">
        <f t="shared" si="12"/>
        <v>80</v>
      </c>
      <c r="C250" s="42" t="s">
        <v>3</v>
      </c>
      <c r="D250" s="42">
        <f t="shared" si="13"/>
        <v>300</v>
      </c>
      <c r="E250" s="42" t="s">
        <v>3</v>
      </c>
      <c r="F250" s="101">
        <f t="shared" si="14"/>
        <v>2450</v>
      </c>
      <c r="G250" s="42" t="s">
        <v>3</v>
      </c>
      <c r="H250" s="39">
        <v>4</v>
      </c>
      <c r="I250" s="40" t="s">
        <v>40</v>
      </c>
      <c r="J250" s="149">
        <v>80</v>
      </c>
      <c r="K250" s="104">
        <v>300</v>
      </c>
      <c r="L250" s="104">
        <v>2450</v>
      </c>
      <c r="M250" s="150">
        <v>25.739033729966842</v>
      </c>
      <c r="N250" s="66">
        <v>1294.00712595504</v>
      </c>
      <c r="O250" s="111">
        <v>42009.350247123242</v>
      </c>
      <c r="P250" s="111">
        <v>48696.802313948894</v>
      </c>
      <c r="Q250" s="110">
        <v>32337.760286891244</v>
      </c>
      <c r="R250" s="258">
        <v>74347.110534014486</v>
      </c>
      <c r="S250" s="259">
        <v>81034.562600840145</v>
      </c>
      <c r="U250" s="7" t="s">
        <v>1923</v>
      </c>
    </row>
    <row r="251" spans="1:21" s="65" customFormat="1" ht="16.5" thickBot="1">
      <c r="A251" s="41" t="s">
        <v>31</v>
      </c>
      <c r="B251" s="42">
        <f t="shared" si="12"/>
        <v>80</v>
      </c>
      <c r="C251" s="42" t="s">
        <v>3</v>
      </c>
      <c r="D251" s="42">
        <f t="shared" si="13"/>
        <v>300</v>
      </c>
      <c r="E251" s="42" t="s">
        <v>3</v>
      </c>
      <c r="F251" s="101">
        <f t="shared" si="14"/>
        <v>2500</v>
      </c>
      <c r="G251" s="42" t="s">
        <v>3</v>
      </c>
      <c r="H251" s="39">
        <v>4</v>
      </c>
      <c r="I251" s="40" t="s">
        <v>40</v>
      </c>
      <c r="J251" s="149">
        <v>80</v>
      </c>
      <c r="K251" s="104">
        <v>300</v>
      </c>
      <c r="L251" s="104">
        <v>2500</v>
      </c>
      <c r="M251" s="150">
        <v>26.238226237884735</v>
      </c>
      <c r="N251" s="66">
        <v>1324.8168194301597</v>
      </c>
      <c r="O251" s="111">
        <v>42714.309848798533</v>
      </c>
      <c r="P251" s="111">
        <v>49528.681218901082</v>
      </c>
      <c r="Q251" s="110">
        <v>32861.40191986299</v>
      </c>
      <c r="R251" s="258">
        <v>75575.711768661524</v>
      </c>
      <c r="S251" s="259">
        <v>82390.083138764079</v>
      </c>
      <c r="U251" s="7" t="s">
        <v>1924</v>
      </c>
    </row>
    <row r="252" spans="1:21" s="65" customFormat="1" ht="16.5" thickBot="1">
      <c r="A252" s="41" t="s">
        <v>31</v>
      </c>
      <c r="B252" s="42">
        <f t="shared" si="12"/>
        <v>80</v>
      </c>
      <c r="C252" s="42" t="s">
        <v>3</v>
      </c>
      <c r="D252" s="42">
        <f t="shared" si="13"/>
        <v>300</v>
      </c>
      <c r="E252" s="42" t="s">
        <v>3</v>
      </c>
      <c r="F252" s="101">
        <f t="shared" si="14"/>
        <v>2550</v>
      </c>
      <c r="G252" s="42" t="s">
        <v>3</v>
      </c>
      <c r="H252" s="39">
        <v>4</v>
      </c>
      <c r="I252" s="40" t="s">
        <v>40</v>
      </c>
      <c r="J252" s="149">
        <v>80</v>
      </c>
      <c r="K252" s="104">
        <v>300</v>
      </c>
      <c r="L252" s="104">
        <v>2550</v>
      </c>
      <c r="M252" s="150">
        <v>26.737418745802628</v>
      </c>
      <c r="N252" s="66">
        <v>1355.6265129052799</v>
      </c>
      <c r="O252" s="111">
        <v>43419.26945047381</v>
      </c>
      <c r="P252" s="111">
        <v>50360.560123853269</v>
      </c>
      <c r="Q252" s="110">
        <v>33636.377843647271</v>
      </c>
      <c r="R252" s="258">
        <v>77055.647294121081</v>
      </c>
      <c r="S252" s="259">
        <v>83996.937967500533</v>
      </c>
      <c r="U252" s="7" t="s">
        <v>1925</v>
      </c>
    </row>
    <row r="253" spans="1:21" s="65" customFormat="1" ht="16.5" thickBot="1">
      <c r="A253" s="38" t="s">
        <v>31</v>
      </c>
      <c r="B253" s="39">
        <f t="shared" si="12"/>
        <v>80</v>
      </c>
      <c r="C253" s="39" t="s">
        <v>3</v>
      </c>
      <c r="D253" s="39">
        <f t="shared" si="13"/>
        <v>300</v>
      </c>
      <c r="E253" s="39" t="s">
        <v>3</v>
      </c>
      <c r="F253" s="101">
        <f t="shared" si="14"/>
        <v>2600</v>
      </c>
      <c r="G253" s="39" t="s">
        <v>3</v>
      </c>
      <c r="H253" s="39">
        <v>4</v>
      </c>
      <c r="I253" s="40" t="s">
        <v>40</v>
      </c>
      <c r="J253" s="149">
        <v>80</v>
      </c>
      <c r="K253" s="104">
        <v>300</v>
      </c>
      <c r="L253" s="104">
        <v>2600</v>
      </c>
      <c r="M253" s="150">
        <v>27.236611253720525</v>
      </c>
      <c r="N253" s="66">
        <v>1386.4362063803999</v>
      </c>
      <c r="O253" s="111">
        <v>44124.228899120331</v>
      </c>
      <c r="P253" s="111">
        <v>51192.439028805456</v>
      </c>
      <c r="Q253" s="110">
        <v>34160.019476619018</v>
      </c>
      <c r="R253" s="258">
        <v>78284.248375739349</v>
      </c>
      <c r="S253" s="259">
        <v>85352.458505424467</v>
      </c>
      <c r="U253" s="7" t="s">
        <v>1926</v>
      </c>
    </row>
    <row r="254" spans="1:21" s="65" customFormat="1" ht="16.5" thickBot="1">
      <c r="A254" s="41" t="s">
        <v>31</v>
      </c>
      <c r="B254" s="42">
        <f t="shared" si="12"/>
        <v>80</v>
      </c>
      <c r="C254" s="42" t="s">
        <v>3</v>
      </c>
      <c r="D254" s="42">
        <f t="shared" si="13"/>
        <v>300</v>
      </c>
      <c r="E254" s="42" t="s">
        <v>3</v>
      </c>
      <c r="F254" s="101">
        <f t="shared" si="14"/>
        <v>2650</v>
      </c>
      <c r="G254" s="42" t="s">
        <v>3</v>
      </c>
      <c r="H254" s="39">
        <v>4</v>
      </c>
      <c r="I254" s="40" t="s">
        <v>40</v>
      </c>
      <c r="J254" s="149">
        <v>80</v>
      </c>
      <c r="K254" s="104">
        <v>300</v>
      </c>
      <c r="L254" s="104">
        <v>2650</v>
      </c>
      <c r="M254" s="150">
        <v>27.735803761638422</v>
      </c>
      <c r="N254" s="66">
        <v>1417.2458998555198</v>
      </c>
      <c r="O254" s="111">
        <v>44829.188500795623</v>
      </c>
      <c r="P254" s="111">
        <v>52024.317780728874</v>
      </c>
      <c r="Q254" s="110">
        <v>34934.995247374536</v>
      </c>
      <c r="R254" s="258">
        <v>79764.183748170151</v>
      </c>
      <c r="S254" s="259">
        <v>86959.31302810341</v>
      </c>
      <c r="U254" s="7" t="s">
        <v>1927</v>
      </c>
    </row>
    <row r="255" spans="1:21" s="65" customFormat="1" ht="16.5" thickBot="1">
      <c r="A255" s="41" t="s">
        <v>31</v>
      </c>
      <c r="B255" s="42">
        <f t="shared" si="12"/>
        <v>80</v>
      </c>
      <c r="C255" s="42" t="s">
        <v>3</v>
      </c>
      <c r="D255" s="42">
        <f t="shared" si="13"/>
        <v>300</v>
      </c>
      <c r="E255" s="42" t="s">
        <v>3</v>
      </c>
      <c r="F255" s="101">
        <f t="shared" si="14"/>
        <v>2700</v>
      </c>
      <c r="G255" s="42" t="s">
        <v>3</v>
      </c>
      <c r="H255" s="39">
        <v>4</v>
      </c>
      <c r="I255" s="40" t="s">
        <v>40</v>
      </c>
      <c r="J255" s="149">
        <v>80</v>
      </c>
      <c r="K255" s="104">
        <v>300</v>
      </c>
      <c r="L255" s="104">
        <v>2700</v>
      </c>
      <c r="M255" s="150">
        <v>28.313496269556317</v>
      </c>
      <c r="N255" s="66">
        <v>1448.0555933306398</v>
      </c>
      <c r="O255" s="111">
        <v>45618.246437604234</v>
      </c>
      <c r="P255" s="111">
        <v>52937.731635969787</v>
      </c>
      <c r="Q255" s="110">
        <v>35458.637033375046</v>
      </c>
      <c r="R255" s="258">
        <v>81076.883470979286</v>
      </c>
      <c r="S255" s="259">
        <v>88396.36866934484</v>
      </c>
      <c r="U255" s="7" t="s">
        <v>1928</v>
      </c>
    </row>
    <row r="256" spans="1:21" s="65" customFormat="1" ht="16.5" thickBot="1">
      <c r="A256" s="41" t="s">
        <v>31</v>
      </c>
      <c r="B256" s="42">
        <f t="shared" si="12"/>
        <v>80</v>
      </c>
      <c r="C256" s="42" t="s">
        <v>3</v>
      </c>
      <c r="D256" s="42">
        <f t="shared" si="13"/>
        <v>300</v>
      </c>
      <c r="E256" s="42" t="s">
        <v>3</v>
      </c>
      <c r="F256" s="101">
        <f t="shared" si="14"/>
        <v>2750</v>
      </c>
      <c r="G256" s="42" t="s">
        <v>3</v>
      </c>
      <c r="H256" s="39">
        <v>4</v>
      </c>
      <c r="I256" s="40" t="s">
        <v>40</v>
      </c>
      <c r="J256" s="149">
        <v>80</v>
      </c>
      <c r="K256" s="104">
        <v>300</v>
      </c>
      <c r="L256" s="104">
        <v>2750</v>
      </c>
      <c r="M256" s="150">
        <v>28.812688777474211</v>
      </c>
      <c r="N256" s="66">
        <v>1478.8652868057598</v>
      </c>
      <c r="O256" s="111">
        <v>46323.205886250755</v>
      </c>
      <c r="P256" s="111">
        <v>53769.610540921967</v>
      </c>
      <c r="Q256" s="110">
        <v>35982.278666346792</v>
      </c>
      <c r="R256" s="258">
        <v>82305.48455259754</v>
      </c>
      <c r="S256" s="259">
        <v>89751.889207268759</v>
      </c>
      <c r="U256" s="7" t="s">
        <v>1929</v>
      </c>
    </row>
    <row r="257" spans="1:21" s="65" customFormat="1" ht="16.5" thickBot="1">
      <c r="A257" s="41" t="s">
        <v>31</v>
      </c>
      <c r="B257" s="42">
        <f t="shared" si="12"/>
        <v>80</v>
      </c>
      <c r="C257" s="42" t="s">
        <v>3</v>
      </c>
      <c r="D257" s="42">
        <f t="shared" si="13"/>
        <v>300</v>
      </c>
      <c r="E257" s="42" t="s">
        <v>3</v>
      </c>
      <c r="F257" s="101">
        <f t="shared" si="14"/>
        <v>2800</v>
      </c>
      <c r="G257" s="42" t="s">
        <v>3</v>
      </c>
      <c r="H257" s="39">
        <v>4</v>
      </c>
      <c r="I257" s="40" t="s">
        <v>40</v>
      </c>
      <c r="J257" s="149">
        <v>80</v>
      </c>
      <c r="K257" s="104">
        <v>300</v>
      </c>
      <c r="L257" s="104">
        <v>2800</v>
      </c>
      <c r="M257" s="150">
        <v>29.311881285392104</v>
      </c>
      <c r="N257" s="66">
        <v>1509.6749802808799</v>
      </c>
      <c r="O257" s="111">
        <v>47028.165487926031</v>
      </c>
      <c r="P257" s="111">
        <v>54601.489445874155</v>
      </c>
      <c r="Q257" s="110">
        <v>36757.25443710231</v>
      </c>
      <c r="R257" s="258">
        <v>83785.419925028342</v>
      </c>
      <c r="S257" s="259">
        <v>91358.743882976472</v>
      </c>
      <c r="U257" s="7" t="s">
        <v>1930</v>
      </c>
    </row>
    <row r="258" spans="1:21" s="65" customFormat="1" ht="16.5" thickBot="1">
      <c r="A258" s="41" t="s">
        <v>31</v>
      </c>
      <c r="B258" s="42">
        <f t="shared" si="12"/>
        <v>80</v>
      </c>
      <c r="C258" s="42" t="s">
        <v>3</v>
      </c>
      <c r="D258" s="42">
        <f t="shared" si="13"/>
        <v>300</v>
      </c>
      <c r="E258" s="42" t="s">
        <v>3</v>
      </c>
      <c r="F258" s="101">
        <f t="shared" si="14"/>
        <v>2850</v>
      </c>
      <c r="G258" s="42" t="s">
        <v>3</v>
      </c>
      <c r="H258" s="39">
        <v>4</v>
      </c>
      <c r="I258" s="40" t="s">
        <v>40</v>
      </c>
      <c r="J258" s="149">
        <v>80</v>
      </c>
      <c r="K258" s="104">
        <v>300</v>
      </c>
      <c r="L258" s="104">
        <v>2850</v>
      </c>
      <c r="M258" s="150">
        <v>29.811073793310001</v>
      </c>
      <c r="N258" s="66">
        <v>1540.4846737559999</v>
      </c>
      <c r="O258" s="111">
        <v>47733.125089601323</v>
      </c>
      <c r="P258" s="111">
        <v>55433.368350826342</v>
      </c>
      <c r="Q258" s="110">
        <v>37280.89622310282</v>
      </c>
      <c r="R258" s="258">
        <v>85014.021312704135</v>
      </c>
      <c r="S258" s="259">
        <v>92714.264573929162</v>
      </c>
      <c r="U258" s="7" t="s">
        <v>1931</v>
      </c>
    </row>
    <row r="259" spans="1:21" s="65" customFormat="1" ht="16.5" thickBot="1">
      <c r="A259" s="41" t="s">
        <v>31</v>
      </c>
      <c r="B259" s="42">
        <f t="shared" si="12"/>
        <v>80</v>
      </c>
      <c r="C259" s="42" t="s">
        <v>3</v>
      </c>
      <c r="D259" s="42">
        <f t="shared" si="13"/>
        <v>300</v>
      </c>
      <c r="E259" s="42" t="s">
        <v>3</v>
      </c>
      <c r="F259" s="101">
        <f t="shared" si="14"/>
        <v>2900</v>
      </c>
      <c r="G259" s="42" t="s">
        <v>3</v>
      </c>
      <c r="H259" s="39">
        <v>4</v>
      </c>
      <c r="I259" s="40" t="s">
        <v>40</v>
      </c>
      <c r="J259" s="149">
        <v>80</v>
      </c>
      <c r="K259" s="104">
        <v>300</v>
      </c>
      <c r="L259" s="104">
        <v>2900</v>
      </c>
      <c r="M259" s="150">
        <v>30.310266301227895</v>
      </c>
      <c r="N259" s="66">
        <v>1571.2943672311196</v>
      </c>
      <c r="O259" s="111">
        <v>48438.084691276606</v>
      </c>
      <c r="P259" s="111">
        <v>56265.24710274976</v>
      </c>
      <c r="Q259" s="110">
        <v>38055.871993858338</v>
      </c>
      <c r="R259" s="258">
        <v>86493.956685134937</v>
      </c>
      <c r="S259" s="259">
        <v>94321.119096608105</v>
      </c>
      <c r="U259" s="7" t="s">
        <v>1932</v>
      </c>
    </row>
    <row r="260" spans="1:21" s="65" customFormat="1" ht="16.5" thickBot="1">
      <c r="A260" s="41" t="s">
        <v>31</v>
      </c>
      <c r="B260" s="42">
        <f t="shared" si="12"/>
        <v>80</v>
      </c>
      <c r="C260" s="42" t="s">
        <v>3</v>
      </c>
      <c r="D260" s="42">
        <f t="shared" si="13"/>
        <v>300</v>
      </c>
      <c r="E260" s="42" t="s">
        <v>3</v>
      </c>
      <c r="F260" s="101">
        <f t="shared" si="14"/>
        <v>2950</v>
      </c>
      <c r="G260" s="42" t="s">
        <v>3</v>
      </c>
      <c r="H260" s="39">
        <v>4</v>
      </c>
      <c r="I260" s="40" t="s">
        <v>40</v>
      </c>
      <c r="J260" s="149">
        <v>80</v>
      </c>
      <c r="K260" s="104">
        <v>300</v>
      </c>
      <c r="L260" s="104">
        <v>2950</v>
      </c>
      <c r="M260" s="150">
        <v>30.809458809145788</v>
      </c>
      <c r="N260" s="66">
        <v>1602.1040607062398</v>
      </c>
      <c r="O260" s="111">
        <v>49143.04429295189</v>
      </c>
      <c r="P260" s="111">
        <v>57097.126007701947</v>
      </c>
      <c r="Q260" s="110">
        <v>38579.513779858848</v>
      </c>
      <c r="R260" s="258">
        <v>87722.558072810731</v>
      </c>
      <c r="S260" s="259">
        <v>95676.639787560795</v>
      </c>
      <c r="U260" s="7" t="s">
        <v>1933</v>
      </c>
    </row>
    <row r="261" spans="1:21" s="65" customFormat="1" ht="16.5" thickBot="1">
      <c r="A261" s="43" t="s">
        <v>31</v>
      </c>
      <c r="B261" s="44">
        <f t="shared" si="12"/>
        <v>80</v>
      </c>
      <c r="C261" s="44" t="s">
        <v>3</v>
      </c>
      <c r="D261" s="44">
        <f t="shared" si="13"/>
        <v>300</v>
      </c>
      <c r="E261" s="44" t="s">
        <v>3</v>
      </c>
      <c r="F261" s="102">
        <f t="shared" si="14"/>
        <v>3000</v>
      </c>
      <c r="G261" s="44" t="s">
        <v>3</v>
      </c>
      <c r="H261" s="46">
        <v>4</v>
      </c>
      <c r="I261" s="45" t="s">
        <v>40</v>
      </c>
      <c r="J261" s="149">
        <v>80</v>
      </c>
      <c r="K261" s="134">
        <v>300</v>
      </c>
      <c r="L261" s="134">
        <v>3000</v>
      </c>
      <c r="M261" s="152">
        <v>31.308651317063681</v>
      </c>
      <c r="N261" s="126">
        <v>1632.9137541813598</v>
      </c>
      <c r="O261" s="135">
        <v>49848.003741598412</v>
      </c>
      <c r="P261" s="135">
        <v>57929.004912654142</v>
      </c>
      <c r="Q261" s="136">
        <v>39354.489550614366</v>
      </c>
      <c r="R261" s="260">
        <v>89202.493292212777</v>
      </c>
      <c r="S261" s="261">
        <v>97283.494463268507</v>
      </c>
      <c r="U261" s="7" t="s">
        <v>1934</v>
      </c>
    </row>
    <row r="262" spans="1:21" s="65" customFormat="1" ht="22.5" customHeight="1" thickBot="1">
      <c r="A262" s="3010" t="s">
        <v>44</v>
      </c>
      <c r="B262" s="3011"/>
      <c r="C262" s="3011"/>
      <c r="D262" s="3011"/>
      <c r="E262" s="3011"/>
      <c r="F262" s="3011"/>
      <c r="G262" s="3011"/>
      <c r="H262" s="3011"/>
      <c r="I262" s="3011"/>
      <c r="J262" s="3011"/>
      <c r="K262" s="3011"/>
      <c r="L262" s="3011"/>
      <c r="M262" s="3011"/>
      <c r="N262" s="3011"/>
      <c r="O262" s="3011"/>
      <c r="P262" s="3011"/>
      <c r="Q262" s="3011"/>
      <c r="R262" s="3011"/>
      <c r="S262" s="3012"/>
      <c r="U262" s="7"/>
    </row>
    <row r="263" spans="1:21" s="65" customFormat="1" ht="16.5" thickBot="1">
      <c r="A263" s="2974" t="s">
        <v>113</v>
      </c>
      <c r="B263" s="2975"/>
      <c r="C263" s="2975"/>
      <c r="D263" s="2975"/>
      <c r="E263" s="2975"/>
      <c r="F263" s="2975"/>
      <c r="G263" s="2975"/>
      <c r="H263" s="2975"/>
      <c r="I263" s="2975"/>
      <c r="J263" s="2975"/>
      <c r="K263" s="2975"/>
      <c r="L263" s="2975"/>
      <c r="M263" s="2975"/>
      <c r="N263" s="2975"/>
      <c r="O263" s="2975"/>
      <c r="P263" s="2975"/>
      <c r="Q263" s="2975"/>
      <c r="R263" s="2975"/>
      <c r="S263" s="2976"/>
      <c r="U263" s="7"/>
    </row>
    <row r="264" spans="1:21" s="65" customFormat="1" ht="16.5" thickBot="1">
      <c r="A264" s="38" t="s">
        <v>31</v>
      </c>
      <c r="B264" s="39">
        <f>J264</f>
        <v>80</v>
      </c>
      <c r="C264" s="39" t="s">
        <v>3</v>
      </c>
      <c r="D264" s="39">
        <f>K264</f>
        <v>360</v>
      </c>
      <c r="E264" s="39" t="s">
        <v>3</v>
      </c>
      <c r="F264" s="101">
        <f>L264</f>
        <v>600</v>
      </c>
      <c r="G264" s="39" t="s">
        <v>3</v>
      </c>
      <c r="H264" s="39">
        <v>4</v>
      </c>
      <c r="I264" s="40" t="s">
        <v>40</v>
      </c>
      <c r="J264" s="146">
        <v>80</v>
      </c>
      <c r="K264" s="138">
        <v>360</v>
      </c>
      <c r="L264" s="138">
        <v>600</v>
      </c>
      <c r="M264" s="147">
        <v>7.5753954654047373</v>
      </c>
      <c r="N264" s="122">
        <v>167.33778474144597</v>
      </c>
      <c r="O264" s="148">
        <v>14641.602644520013</v>
      </c>
      <c r="P264" s="148">
        <v>17103.202242351177</v>
      </c>
      <c r="Q264" s="139">
        <v>10032.760953270536</v>
      </c>
      <c r="R264" s="256">
        <v>24674.363597790551</v>
      </c>
      <c r="S264" s="257">
        <v>27135.963195621713</v>
      </c>
      <c r="U264" s="7" t="s">
        <v>1935</v>
      </c>
    </row>
    <row r="265" spans="1:21" s="65" customFormat="1" ht="16.5" thickBot="1">
      <c r="A265" s="41" t="s">
        <v>31</v>
      </c>
      <c r="B265" s="42">
        <f t="shared" ref="B265:B312" si="15">J265</f>
        <v>80</v>
      </c>
      <c r="C265" s="42" t="s">
        <v>3</v>
      </c>
      <c r="D265" s="42">
        <f t="shared" ref="D265:D312" si="16">K265</f>
        <v>360</v>
      </c>
      <c r="E265" s="42" t="s">
        <v>3</v>
      </c>
      <c r="F265" s="101">
        <f t="shared" ref="F265:F312" si="17">L265</f>
        <v>650</v>
      </c>
      <c r="G265" s="42" t="s">
        <v>3</v>
      </c>
      <c r="H265" s="39">
        <v>4</v>
      </c>
      <c r="I265" s="40" t="s">
        <v>40</v>
      </c>
      <c r="J265" s="149">
        <v>80</v>
      </c>
      <c r="K265" s="104">
        <v>360</v>
      </c>
      <c r="L265" s="104">
        <v>650</v>
      </c>
      <c r="M265" s="150">
        <v>8.1272130141121064</v>
      </c>
      <c r="N265" s="66">
        <v>200.80534168973517</v>
      </c>
      <c r="O265" s="111">
        <v>15377.211918475889</v>
      </c>
      <c r="P265" s="111">
        <v>18065.905897695022</v>
      </c>
      <c r="Q265" s="110">
        <v>10636.181837508726</v>
      </c>
      <c r="R265" s="258">
        <v>26013.393755984616</v>
      </c>
      <c r="S265" s="259">
        <v>28702.08773520375</v>
      </c>
      <c r="U265" s="7" t="s">
        <v>1936</v>
      </c>
    </row>
    <row r="266" spans="1:21" s="65" customFormat="1" ht="16.5" thickBot="1">
      <c r="A266" s="41" t="s">
        <v>31</v>
      </c>
      <c r="B266" s="42">
        <f t="shared" si="15"/>
        <v>80</v>
      </c>
      <c r="C266" s="42" t="s">
        <v>3</v>
      </c>
      <c r="D266" s="42">
        <f t="shared" si="16"/>
        <v>360</v>
      </c>
      <c r="E266" s="42" t="s">
        <v>3</v>
      </c>
      <c r="F266" s="101">
        <f t="shared" si="17"/>
        <v>700</v>
      </c>
      <c r="G266" s="42" t="s">
        <v>3</v>
      </c>
      <c r="H266" s="39">
        <v>4</v>
      </c>
      <c r="I266" s="40" t="s">
        <v>40</v>
      </c>
      <c r="J266" s="149">
        <v>80</v>
      </c>
      <c r="K266" s="104">
        <v>360</v>
      </c>
      <c r="L266" s="104">
        <v>700</v>
      </c>
      <c r="M266" s="150">
        <v>8.6790305628194737</v>
      </c>
      <c r="N266" s="66">
        <v>234.27289863802434</v>
      </c>
      <c r="O266" s="111">
        <v>16112.821192431762</v>
      </c>
      <c r="P266" s="111">
        <v>18954.039706994809</v>
      </c>
      <c r="Q266" s="110">
        <v>11490.936859530682</v>
      </c>
      <c r="R266" s="258">
        <v>27603.758051962446</v>
      </c>
      <c r="S266" s="259">
        <v>30444.976566525489</v>
      </c>
      <c r="U266" s="7" t="s">
        <v>1937</v>
      </c>
    </row>
    <row r="267" spans="1:21" s="65" customFormat="1" ht="16.5" thickBot="1">
      <c r="A267" s="41" t="s">
        <v>31</v>
      </c>
      <c r="B267" s="42">
        <f t="shared" si="15"/>
        <v>80</v>
      </c>
      <c r="C267" s="42" t="s">
        <v>3</v>
      </c>
      <c r="D267" s="42">
        <f t="shared" si="16"/>
        <v>360</v>
      </c>
      <c r="E267" s="42" t="s">
        <v>3</v>
      </c>
      <c r="F267" s="101">
        <f t="shared" si="17"/>
        <v>750</v>
      </c>
      <c r="G267" s="42" t="s">
        <v>3</v>
      </c>
      <c r="H267" s="39">
        <v>4</v>
      </c>
      <c r="I267" s="40" t="s">
        <v>40</v>
      </c>
      <c r="J267" s="149">
        <v>80</v>
      </c>
      <c r="K267" s="104">
        <v>360</v>
      </c>
      <c r="L267" s="104">
        <v>750</v>
      </c>
      <c r="M267" s="150">
        <v>9.230848111526841</v>
      </c>
      <c r="N267" s="66">
        <v>267.74045558631354</v>
      </c>
      <c r="O267" s="111">
        <v>16848.430466387639</v>
      </c>
      <c r="P267" s="111">
        <v>19842.173363265832</v>
      </c>
      <c r="Q267" s="110">
        <v>12094.357743768871</v>
      </c>
      <c r="R267" s="258">
        <v>28942.788210156512</v>
      </c>
      <c r="S267" s="259">
        <v>31936.531107034702</v>
      </c>
      <c r="U267" s="7" t="s">
        <v>1938</v>
      </c>
    </row>
    <row r="268" spans="1:21" s="65" customFormat="1" ht="16.5" thickBot="1">
      <c r="A268" s="41" t="s">
        <v>31</v>
      </c>
      <c r="B268" s="42">
        <f t="shared" si="15"/>
        <v>80</v>
      </c>
      <c r="C268" s="42" t="s">
        <v>3</v>
      </c>
      <c r="D268" s="42">
        <f t="shared" si="16"/>
        <v>360</v>
      </c>
      <c r="E268" s="42" t="s">
        <v>3</v>
      </c>
      <c r="F268" s="101">
        <f t="shared" si="17"/>
        <v>800</v>
      </c>
      <c r="G268" s="42" t="s">
        <v>3</v>
      </c>
      <c r="H268" s="39">
        <v>4</v>
      </c>
      <c r="I268" s="40" t="s">
        <v>40</v>
      </c>
      <c r="J268" s="149">
        <v>80</v>
      </c>
      <c r="K268" s="104">
        <v>360</v>
      </c>
      <c r="L268" s="104">
        <v>800</v>
      </c>
      <c r="M268" s="150">
        <v>9.7826656602342119</v>
      </c>
      <c r="N268" s="66">
        <v>301.20801253460274</v>
      </c>
      <c r="O268" s="111">
        <v>17584.039740343516</v>
      </c>
      <c r="P268" s="111">
        <v>20730.307172565623</v>
      </c>
      <c r="Q268" s="110">
        <v>12697.77862800706</v>
      </c>
      <c r="R268" s="258">
        <v>30281.818368350578</v>
      </c>
      <c r="S268" s="259">
        <v>33428.085800572684</v>
      </c>
      <c r="U268" s="7" t="s">
        <v>1939</v>
      </c>
    </row>
    <row r="269" spans="1:21" s="65" customFormat="1" ht="16.5" thickBot="1">
      <c r="A269" s="41" t="s">
        <v>31</v>
      </c>
      <c r="B269" s="42">
        <f t="shared" si="15"/>
        <v>80</v>
      </c>
      <c r="C269" s="42" t="s">
        <v>3</v>
      </c>
      <c r="D269" s="42">
        <f t="shared" si="16"/>
        <v>360</v>
      </c>
      <c r="E269" s="42" t="s">
        <v>3</v>
      </c>
      <c r="F269" s="101">
        <f t="shared" si="17"/>
        <v>850</v>
      </c>
      <c r="G269" s="42" t="s">
        <v>3</v>
      </c>
      <c r="H269" s="39">
        <v>4</v>
      </c>
      <c r="I269" s="40" t="s">
        <v>40</v>
      </c>
      <c r="J269" s="149">
        <v>80</v>
      </c>
      <c r="K269" s="104">
        <v>360</v>
      </c>
      <c r="L269" s="104">
        <v>850</v>
      </c>
      <c r="M269" s="150">
        <v>10.334483208941579</v>
      </c>
      <c r="N269" s="66">
        <v>334.67556948289194</v>
      </c>
      <c r="O269" s="111">
        <v>18319.64901429939</v>
      </c>
      <c r="P269" s="111">
        <v>21618.440828836647</v>
      </c>
      <c r="Q269" s="110">
        <v>13552.533650029018</v>
      </c>
      <c r="R269" s="258">
        <v>31872.182664328408</v>
      </c>
      <c r="S269" s="259">
        <v>35170.974478865668</v>
      </c>
      <c r="U269" s="7" t="s">
        <v>1940</v>
      </c>
    </row>
    <row r="270" spans="1:21" s="65" customFormat="1" ht="16.5" thickBot="1">
      <c r="A270" s="41" t="s">
        <v>31</v>
      </c>
      <c r="B270" s="42">
        <f t="shared" si="15"/>
        <v>80</v>
      </c>
      <c r="C270" s="42" t="s">
        <v>3</v>
      </c>
      <c r="D270" s="42">
        <f t="shared" si="16"/>
        <v>360</v>
      </c>
      <c r="E270" s="42" t="s">
        <v>3</v>
      </c>
      <c r="F270" s="101">
        <f t="shared" si="17"/>
        <v>900</v>
      </c>
      <c r="G270" s="42" t="s">
        <v>3</v>
      </c>
      <c r="H270" s="39">
        <v>4</v>
      </c>
      <c r="I270" s="40" t="s">
        <v>40</v>
      </c>
      <c r="J270" s="149">
        <v>80</v>
      </c>
      <c r="K270" s="104">
        <v>360</v>
      </c>
      <c r="L270" s="104">
        <v>900</v>
      </c>
      <c r="M270" s="150">
        <v>10.88630075764895</v>
      </c>
      <c r="N270" s="66">
        <v>368.14312643118114</v>
      </c>
      <c r="O270" s="111">
        <v>19055.258288255263</v>
      </c>
      <c r="P270" s="111">
        <v>22506.574638136433</v>
      </c>
      <c r="Q270" s="110">
        <v>14155.954534267206</v>
      </c>
      <c r="R270" s="258">
        <v>33211.212822522473</v>
      </c>
      <c r="S270" s="259">
        <v>36662.529172403636</v>
      </c>
      <c r="U270" s="7" t="s">
        <v>1941</v>
      </c>
    </row>
    <row r="271" spans="1:21" s="65" customFormat="1" ht="16.5" thickBot="1">
      <c r="A271" s="41" t="s">
        <v>31</v>
      </c>
      <c r="B271" s="42">
        <f t="shared" si="15"/>
        <v>80</v>
      </c>
      <c r="C271" s="42" t="s">
        <v>3</v>
      </c>
      <c r="D271" s="42">
        <f t="shared" si="16"/>
        <v>360</v>
      </c>
      <c r="E271" s="42" t="s">
        <v>3</v>
      </c>
      <c r="F271" s="101">
        <f t="shared" si="17"/>
        <v>950</v>
      </c>
      <c r="G271" s="42" t="s">
        <v>3</v>
      </c>
      <c r="H271" s="39">
        <v>4</v>
      </c>
      <c r="I271" s="40" t="s">
        <v>40</v>
      </c>
      <c r="J271" s="149">
        <v>80</v>
      </c>
      <c r="K271" s="104">
        <v>360</v>
      </c>
      <c r="L271" s="104">
        <v>950</v>
      </c>
      <c r="M271" s="150">
        <v>11.438118306356316</v>
      </c>
      <c r="N271" s="66">
        <v>401.61068337947034</v>
      </c>
      <c r="O271" s="111">
        <v>19790.867409182374</v>
      </c>
      <c r="P271" s="111">
        <v>23394.708294407454</v>
      </c>
      <c r="Q271" s="110">
        <v>15010.709556289165</v>
      </c>
      <c r="R271" s="258">
        <v>34801.57696547154</v>
      </c>
      <c r="S271" s="259">
        <v>38405.41785069662</v>
      </c>
      <c r="U271" s="7" t="s">
        <v>1942</v>
      </c>
    </row>
    <row r="272" spans="1:21" s="65" customFormat="1" ht="16.5" thickBot="1">
      <c r="A272" s="41" t="s">
        <v>31</v>
      </c>
      <c r="B272" s="42">
        <f t="shared" si="15"/>
        <v>80</v>
      </c>
      <c r="C272" s="42" t="s">
        <v>3</v>
      </c>
      <c r="D272" s="42">
        <f t="shared" si="16"/>
        <v>360</v>
      </c>
      <c r="E272" s="42" t="s">
        <v>3</v>
      </c>
      <c r="F272" s="101">
        <f t="shared" si="17"/>
        <v>1000</v>
      </c>
      <c r="G272" s="42" t="s">
        <v>3</v>
      </c>
      <c r="H272" s="39">
        <v>4</v>
      </c>
      <c r="I272" s="40" t="s">
        <v>40</v>
      </c>
      <c r="J272" s="149">
        <v>80</v>
      </c>
      <c r="K272" s="104">
        <v>360</v>
      </c>
      <c r="L272" s="104">
        <v>1000</v>
      </c>
      <c r="M272" s="150">
        <v>11.989935855063685</v>
      </c>
      <c r="N272" s="66">
        <v>435.07824032775954</v>
      </c>
      <c r="O272" s="111">
        <v>20526.476683138251</v>
      </c>
      <c r="P272" s="111">
        <v>24282.841950678478</v>
      </c>
      <c r="Q272" s="110">
        <v>15614.130440527351</v>
      </c>
      <c r="R272" s="258">
        <v>36140.607123665599</v>
      </c>
      <c r="S272" s="259">
        <v>39896.972391205825</v>
      </c>
      <c r="U272" s="7" t="s">
        <v>1943</v>
      </c>
    </row>
    <row r="273" spans="1:21" s="65" customFormat="1" ht="16.5" thickBot="1">
      <c r="A273" s="41" t="s">
        <v>31</v>
      </c>
      <c r="B273" s="42">
        <f t="shared" si="15"/>
        <v>80</v>
      </c>
      <c r="C273" s="42" t="s">
        <v>3</v>
      </c>
      <c r="D273" s="42">
        <f t="shared" si="16"/>
        <v>360</v>
      </c>
      <c r="E273" s="42" t="s">
        <v>3</v>
      </c>
      <c r="F273" s="101">
        <f t="shared" si="17"/>
        <v>1050</v>
      </c>
      <c r="G273" s="42" t="s">
        <v>3</v>
      </c>
      <c r="H273" s="39">
        <v>4</v>
      </c>
      <c r="I273" s="40" t="s">
        <v>40</v>
      </c>
      <c r="J273" s="149">
        <v>80</v>
      </c>
      <c r="K273" s="104">
        <v>360</v>
      </c>
      <c r="L273" s="104">
        <v>1050</v>
      </c>
      <c r="M273" s="150">
        <v>12.54175340377105</v>
      </c>
      <c r="N273" s="66">
        <v>468.54579727604869</v>
      </c>
      <c r="O273" s="111">
        <v>21262.085957094125</v>
      </c>
      <c r="P273" s="111">
        <v>25170.975759978264</v>
      </c>
      <c r="Q273" s="110">
        <v>16468.885462549311</v>
      </c>
      <c r="R273" s="258">
        <v>37730.971419643436</v>
      </c>
      <c r="S273" s="259">
        <v>41639.861222527572</v>
      </c>
      <c r="U273" s="7" t="s">
        <v>1944</v>
      </c>
    </row>
    <row r="274" spans="1:21" s="65" customFormat="1" ht="16.5" thickBot="1">
      <c r="A274" s="38" t="s">
        <v>31</v>
      </c>
      <c r="B274" s="39">
        <f t="shared" si="15"/>
        <v>80</v>
      </c>
      <c r="C274" s="39" t="s">
        <v>3</v>
      </c>
      <c r="D274" s="39">
        <f t="shared" si="16"/>
        <v>360</v>
      </c>
      <c r="E274" s="39" t="s">
        <v>3</v>
      </c>
      <c r="F274" s="101">
        <f t="shared" si="17"/>
        <v>1100</v>
      </c>
      <c r="G274" s="39" t="s">
        <v>3</v>
      </c>
      <c r="H274" s="39">
        <v>4</v>
      </c>
      <c r="I274" s="40" t="s">
        <v>40</v>
      </c>
      <c r="J274" s="149">
        <v>80</v>
      </c>
      <c r="K274" s="104">
        <v>360</v>
      </c>
      <c r="L274" s="104">
        <v>1100</v>
      </c>
      <c r="M274" s="150">
        <v>13.093570952478419</v>
      </c>
      <c r="N274" s="66">
        <v>502.01335422433795</v>
      </c>
      <c r="O274" s="111">
        <v>21997.695231049998</v>
      </c>
      <c r="P274" s="111">
        <v>26059.109416249292</v>
      </c>
      <c r="Q274" s="110">
        <v>17072.3063467875</v>
      </c>
      <c r="R274" s="258">
        <v>39070.001577837495</v>
      </c>
      <c r="S274" s="259">
        <v>43131.415763036792</v>
      </c>
      <c r="U274" s="7" t="s">
        <v>1945</v>
      </c>
    </row>
    <row r="275" spans="1:21" s="65" customFormat="1" ht="16.5" thickBot="1">
      <c r="A275" s="41" t="s">
        <v>31</v>
      </c>
      <c r="B275" s="42">
        <f t="shared" si="15"/>
        <v>80</v>
      </c>
      <c r="C275" s="42" t="s">
        <v>3</v>
      </c>
      <c r="D275" s="42">
        <f t="shared" si="16"/>
        <v>360</v>
      </c>
      <c r="E275" s="42" t="s">
        <v>3</v>
      </c>
      <c r="F275" s="101">
        <f t="shared" si="17"/>
        <v>1150</v>
      </c>
      <c r="G275" s="42" t="s">
        <v>3</v>
      </c>
      <c r="H275" s="39">
        <v>4</v>
      </c>
      <c r="I275" s="40" t="s">
        <v>40</v>
      </c>
      <c r="J275" s="149">
        <v>80</v>
      </c>
      <c r="K275" s="104">
        <v>360</v>
      </c>
      <c r="L275" s="104">
        <v>1150</v>
      </c>
      <c r="M275" s="150">
        <v>13.645388501185788</v>
      </c>
      <c r="N275" s="66">
        <v>535.48091117262709</v>
      </c>
      <c r="O275" s="111">
        <v>22733.304505005872</v>
      </c>
      <c r="P275" s="111">
        <v>26947.243225549078</v>
      </c>
      <c r="Q275" s="110">
        <v>17675.727231025689</v>
      </c>
      <c r="R275" s="258">
        <v>40409.03173603156</v>
      </c>
      <c r="S275" s="259">
        <v>44622.970456574767</v>
      </c>
      <c r="U275" s="7" t="s">
        <v>1946</v>
      </c>
    </row>
    <row r="276" spans="1:21" s="65" customFormat="1" ht="16.5" thickBot="1">
      <c r="A276" s="41" t="s">
        <v>31</v>
      </c>
      <c r="B276" s="42">
        <f t="shared" si="15"/>
        <v>80</v>
      </c>
      <c r="C276" s="42" t="s">
        <v>3</v>
      </c>
      <c r="D276" s="42">
        <f t="shared" si="16"/>
        <v>360</v>
      </c>
      <c r="E276" s="42" t="s">
        <v>3</v>
      </c>
      <c r="F276" s="101">
        <f t="shared" si="17"/>
        <v>1200</v>
      </c>
      <c r="G276" s="42" t="s">
        <v>3</v>
      </c>
      <c r="H276" s="39">
        <v>4</v>
      </c>
      <c r="I276" s="40" t="s">
        <v>40</v>
      </c>
      <c r="J276" s="149">
        <v>80</v>
      </c>
      <c r="K276" s="104">
        <v>360</v>
      </c>
      <c r="L276" s="104">
        <v>1200</v>
      </c>
      <c r="M276" s="150">
        <v>14.275706049893156</v>
      </c>
      <c r="N276" s="66">
        <v>568.94846812091635</v>
      </c>
      <c r="O276" s="111">
        <v>23553.011961066313</v>
      </c>
      <c r="P276" s="111">
        <v>27916.911832108821</v>
      </c>
      <c r="Q276" s="110">
        <v>18530.482406076411</v>
      </c>
      <c r="R276" s="258">
        <v>42083.494367142725</v>
      </c>
      <c r="S276" s="259">
        <v>46447.394238185232</v>
      </c>
      <c r="U276" s="7" t="s">
        <v>1947</v>
      </c>
    </row>
    <row r="277" spans="1:21" s="65" customFormat="1" ht="16.5" thickBot="1">
      <c r="A277" s="41" t="s">
        <v>31</v>
      </c>
      <c r="B277" s="42">
        <f t="shared" si="15"/>
        <v>80</v>
      </c>
      <c r="C277" s="42" t="s">
        <v>3</v>
      </c>
      <c r="D277" s="42">
        <f t="shared" si="16"/>
        <v>360</v>
      </c>
      <c r="E277" s="42" t="s">
        <v>3</v>
      </c>
      <c r="F277" s="101">
        <f t="shared" si="17"/>
        <v>1250</v>
      </c>
      <c r="G277" s="42" t="s">
        <v>3</v>
      </c>
      <c r="H277" s="39">
        <v>4</v>
      </c>
      <c r="I277" s="40" t="s">
        <v>40</v>
      </c>
      <c r="J277" s="149">
        <v>80</v>
      </c>
      <c r="K277" s="104">
        <v>360</v>
      </c>
      <c r="L277" s="104">
        <v>1250</v>
      </c>
      <c r="M277" s="150">
        <v>14.827523598600527</v>
      </c>
      <c r="N277" s="66">
        <v>602.41602506920549</v>
      </c>
      <c r="O277" s="111">
        <v>24288.62123502219</v>
      </c>
      <c r="P277" s="111">
        <v>28805.045488379845</v>
      </c>
      <c r="Q277" s="110">
        <v>19133.9032903146</v>
      </c>
      <c r="R277" s="258">
        <v>43422.52452533679</v>
      </c>
      <c r="S277" s="259">
        <v>47938.948778694445</v>
      </c>
      <c r="U277" s="7" t="s">
        <v>1948</v>
      </c>
    </row>
    <row r="278" spans="1:21" s="65" customFormat="1" ht="16.5" thickBot="1">
      <c r="A278" s="41" t="s">
        <v>31</v>
      </c>
      <c r="B278" s="42">
        <f t="shared" si="15"/>
        <v>80</v>
      </c>
      <c r="C278" s="42" t="s">
        <v>3</v>
      </c>
      <c r="D278" s="42">
        <f t="shared" si="16"/>
        <v>360</v>
      </c>
      <c r="E278" s="42" t="s">
        <v>3</v>
      </c>
      <c r="F278" s="101">
        <f t="shared" si="17"/>
        <v>1300</v>
      </c>
      <c r="G278" s="42" t="s">
        <v>3</v>
      </c>
      <c r="H278" s="39">
        <v>4</v>
      </c>
      <c r="I278" s="40" t="s">
        <v>40</v>
      </c>
      <c r="J278" s="149">
        <v>80</v>
      </c>
      <c r="K278" s="104">
        <v>360</v>
      </c>
      <c r="L278" s="104">
        <v>1300</v>
      </c>
      <c r="M278" s="150">
        <v>15.379341147307894</v>
      </c>
      <c r="N278" s="66">
        <v>635.88358201749463</v>
      </c>
      <c r="O278" s="111">
        <v>25024.230508978064</v>
      </c>
      <c r="P278" s="111">
        <v>29693.179297679635</v>
      </c>
      <c r="Q278" s="110">
        <v>19988.658312336556</v>
      </c>
      <c r="R278" s="258">
        <v>45012.88882131462</v>
      </c>
      <c r="S278" s="259">
        <v>49681.837610016191</v>
      </c>
      <c r="U278" s="7" t="s">
        <v>1949</v>
      </c>
    </row>
    <row r="279" spans="1:21" s="65" customFormat="1" ht="16.5" thickBot="1">
      <c r="A279" s="41" t="s">
        <v>31</v>
      </c>
      <c r="B279" s="42">
        <f t="shared" si="15"/>
        <v>80</v>
      </c>
      <c r="C279" s="42" t="s">
        <v>3</v>
      </c>
      <c r="D279" s="42">
        <f t="shared" si="16"/>
        <v>360</v>
      </c>
      <c r="E279" s="42" t="s">
        <v>3</v>
      </c>
      <c r="F279" s="101">
        <f t="shared" si="17"/>
        <v>1350</v>
      </c>
      <c r="G279" s="42" t="s">
        <v>3</v>
      </c>
      <c r="H279" s="39">
        <v>4</v>
      </c>
      <c r="I279" s="40" t="s">
        <v>40</v>
      </c>
      <c r="J279" s="149">
        <v>80</v>
      </c>
      <c r="K279" s="104">
        <v>360</v>
      </c>
      <c r="L279" s="104">
        <v>1350</v>
      </c>
      <c r="M279" s="150">
        <v>15.931158696015263</v>
      </c>
      <c r="N279" s="66">
        <v>669.35113896578389</v>
      </c>
      <c r="O279" s="111">
        <v>25759.839782933941</v>
      </c>
      <c r="P279" s="111">
        <v>30581.312953950659</v>
      </c>
      <c r="Q279" s="110">
        <v>20592.079196574745</v>
      </c>
      <c r="R279" s="258">
        <v>46351.918979508686</v>
      </c>
      <c r="S279" s="259">
        <v>51173.392150525404</v>
      </c>
      <c r="U279" s="7" t="s">
        <v>1950</v>
      </c>
    </row>
    <row r="280" spans="1:21" s="65" customFormat="1" ht="16.5" thickBot="1">
      <c r="A280" s="41" t="s">
        <v>31</v>
      </c>
      <c r="B280" s="42">
        <f t="shared" si="15"/>
        <v>80</v>
      </c>
      <c r="C280" s="42" t="s">
        <v>3</v>
      </c>
      <c r="D280" s="42">
        <f t="shared" si="16"/>
        <v>360</v>
      </c>
      <c r="E280" s="42" t="s">
        <v>3</v>
      </c>
      <c r="F280" s="101">
        <f t="shared" si="17"/>
        <v>1400</v>
      </c>
      <c r="G280" s="42" t="s">
        <v>3</v>
      </c>
      <c r="H280" s="39">
        <v>4</v>
      </c>
      <c r="I280" s="40" t="s">
        <v>40</v>
      </c>
      <c r="J280" s="149">
        <v>80</v>
      </c>
      <c r="K280" s="104">
        <v>360</v>
      </c>
      <c r="L280" s="104">
        <v>1400</v>
      </c>
      <c r="M280" s="150">
        <v>16.482976244722632</v>
      </c>
      <c r="N280" s="66">
        <v>702.81869591407315</v>
      </c>
      <c r="O280" s="111">
        <v>26495.449056889818</v>
      </c>
      <c r="P280" s="111">
        <v>31469.446610221679</v>
      </c>
      <c r="Q280" s="110">
        <v>21446.834218596705</v>
      </c>
      <c r="R280" s="258">
        <v>47942.283275486523</v>
      </c>
      <c r="S280" s="259">
        <v>52916.280828818388</v>
      </c>
      <c r="U280" s="7" t="s">
        <v>1951</v>
      </c>
    </row>
    <row r="281" spans="1:21" s="65" customFormat="1" ht="16.5" thickBot="1">
      <c r="A281" s="41" t="s">
        <v>31</v>
      </c>
      <c r="B281" s="42">
        <f t="shared" si="15"/>
        <v>80</v>
      </c>
      <c r="C281" s="42" t="s">
        <v>3</v>
      </c>
      <c r="D281" s="42">
        <f t="shared" si="16"/>
        <v>360</v>
      </c>
      <c r="E281" s="42" t="s">
        <v>3</v>
      </c>
      <c r="F281" s="101">
        <f t="shared" si="17"/>
        <v>1450</v>
      </c>
      <c r="G281" s="42" t="s">
        <v>3</v>
      </c>
      <c r="H281" s="39">
        <v>4</v>
      </c>
      <c r="I281" s="40" t="s">
        <v>40</v>
      </c>
      <c r="J281" s="149">
        <v>80</v>
      </c>
      <c r="K281" s="104">
        <v>360</v>
      </c>
      <c r="L281" s="104">
        <v>1450</v>
      </c>
      <c r="M281" s="150">
        <v>17.034793793429998</v>
      </c>
      <c r="N281" s="66">
        <v>736.28625286236229</v>
      </c>
      <c r="O281" s="111">
        <v>27231.058330845692</v>
      </c>
      <c r="P281" s="111">
        <v>32357.58041952147</v>
      </c>
      <c r="Q281" s="110">
        <v>22050.255102834893</v>
      </c>
      <c r="R281" s="258">
        <v>49281.313433680582</v>
      </c>
      <c r="S281" s="259">
        <v>54407.835522356363</v>
      </c>
      <c r="U281" s="7" t="s">
        <v>1952</v>
      </c>
    </row>
    <row r="282" spans="1:21" s="65" customFormat="1" ht="16.5" thickBot="1">
      <c r="A282" s="41" t="s">
        <v>31</v>
      </c>
      <c r="B282" s="42">
        <f t="shared" si="15"/>
        <v>80</v>
      </c>
      <c r="C282" s="42" t="s">
        <v>3</v>
      </c>
      <c r="D282" s="42">
        <f t="shared" si="16"/>
        <v>360</v>
      </c>
      <c r="E282" s="42" t="s">
        <v>3</v>
      </c>
      <c r="F282" s="101">
        <f t="shared" si="17"/>
        <v>1500</v>
      </c>
      <c r="G282" s="42" t="s">
        <v>3</v>
      </c>
      <c r="H282" s="39">
        <v>4</v>
      </c>
      <c r="I282" s="40" t="s">
        <v>40</v>
      </c>
      <c r="J282" s="149">
        <v>80</v>
      </c>
      <c r="K282" s="104">
        <v>360</v>
      </c>
      <c r="L282" s="104">
        <v>1500</v>
      </c>
      <c r="M282" s="150">
        <v>17.762377290937369</v>
      </c>
      <c r="N282" s="66">
        <v>769.75380981065143</v>
      </c>
      <c r="O282" s="111">
        <v>28752.911648677062</v>
      </c>
      <c r="P282" s="111">
        <v>33968.071058688547</v>
      </c>
      <c r="Q282" s="110">
        <v>22905.01012485685</v>
      </c>
      <c r="R282" s="258">
        <v>51657.921773533912</v>
      </c>
      <c r="S282" s="259">
        <v>56873.081183545393</v>
      </c>
      <c r="U282" s="7" t="s">
        <v>1953</v>
      </c>
    </row>
    <row r="283" spans="1:21" s="65" customFormat="1" ht="16.5" thickBot="1">
      <c r="A283" s="41" t="s">
        <v>31</v>
      </c>
      <c r="B283" s="42">
        <f t="shared" si="15"/>
        <v>80</v>
      </c>
      <c r="C283" s="42" t="s">
        <v>3</v>
      </c>
      <c r="D283" s="42">
        <f t="shared" si="16"/>
        <v>360</v>
      </c>
      <c r="E283" s="42" t="s">
        <v>3</v>
      </c>
      <c r="F283" s="101">
        <f t="shared" si="17"/>
        <v>1550</v>
      </c>
      <c r="G283" s="42" t="s">
        <v>3</v>
      </c>
      <c r="H283" s="39">
        <v>4</v>
      </c>
      <c r="I283" s="40" t="s">
        <v>40</v>
      </c>
      <c r="J283" s="149">
        <v>80</v>
      </c>
      <c r="K283" s="104">
        <v>360</v>
      </c>
      <c r="L283" s="104">
        <v>1550</v>
      </c>
      <c r="M283" s="150">
        <v>18.314194839644735</v>
      </c>
      <c r="N283" s="66">
        <v>803.22136675894069</v>
      </c>
      <c r="O283" s="111">
        <v>29488.520922632939</v>
      </c>
      <c r="P283" s="111">
        <v>34856.204714959567</v>
      </c>
      <c r="Q283" s="110">
        <v>23508.431009095038</v>
      </c>
      <c r="R283" s="258">
        <v>52996.951931727977</v>
      </c>
      <c r="S283" s="259">
        <v>58364.635724054606</v>
      </c>
      <c r="U283" s="7" t="s">
        <v>1954</v>
      </c>
    </row>
    <row r="284" spans="1:21" s="65" customFormat="1" ht="16.5" thickBot="1">
      <c r="A284" s="38" t="s">
        <v>31</v>
      </c>
      <c r="B284" s="39">
        <f t="shared" si="15"/>
        <v>80</v>
      </c>
      <c r="C284" s="39" t="s">
        <v>3</v>
      </c>
      <c r="D284" s="39">
        <f t="shared" si="16"/>
        <v>360</v>
      </c>
      <c r="E284" s="39" t="s">
        <v>3</v>
      </c>
      <c r="F284" s="101">
        <f t="shared" si="17"/>
        <v>1600</v>
      </c>
      <c r="G284" s="39" t="s">
        <v>3</v>
      </c>
      <c r="H284" s="39">
        <v>4</v>
      </c>
      <c r="I284" s="40" t="s">
        <v>40</v>
      </c>
      <c r="J284" s="149">
        <v>80</v>
      </c>
      <c r="K284" s="104">
        <v>360</v>
      </c>
      <c r="L284" s="104">
        <v>1600</v>
      </c>
      <c r="M284" s="150">
        <v>18.866012388352104</v>
      </c>
      <c r="N284" s="66">
        <v>836.68892370722983</v>
      </c>
      <c r="O284" s="111">
        <v>30224.130196588812</v>
      </c>
      <c r="P284" s="111">
        <v>35744.338524259358</v>
      </c>
      <c r="Q284" s="110">
        <v>24111.851893333227</v>
      </c>
      <c r="R284" s="258">
        <v>54335.982089922036</v>
      </c>
      <c r="S284" s="259">
        <v>59856.190417592588</v>
      </c>
      <c r="U284" s="7" t="s">
        <v>1955</v>
      </c>
    </row>
    <row r="285" spans="1:21" s="65" customFormat="1" ht="16.5" thickBot="1">
      <c r="A285" s="41" t="s">
        <v>31</v>
      </c>
      <c r="B285" s="42">
        <f t="shared" si="15"/>
        <v>80</v>
      </c>
      <c r="C285" s="42" t="s">
        <v>3</v>
      </c>
      <c r="D285" s="42">
        <f t="shared" si="16"/>
        <v>360</v>
      </c>
      <c r="E285" s="42" t="s">
        <v>3</v>
      </c>
      <c r="F285" s="101">
        <f t="shared" si="17"/>
        <v>1650</v>
      </c>
      <c r="G285" s="42" t="s">
        <v>3</v>
      </c>
      <c r="H285" s="39">
        <v>4</v>
      </c>
      <c r="I285" s="40" t="s">
        <v>40</v>
      </c>
      <c r="J285" s="149">
        <v>80</v>
      </c>
      <c r="K285" s="104">
        <v>360</v>
      </c>
      <c r="L285" s="104">
        <v>1650</v>
      </c>
      <c r="M285" s="150">
        <v>19.417829937059473</v>
      </c>
      <c r="N285" s="66">
        <v>870.15648065551909</v>
      </c>
      <c r="O285" s="111">
        <v>30959.739470544686</v>
      </c>
      <c r="P285" s="111">
        <v>36632.472180530378</v>
      </c>
      <c r="Q285" s="110">
        <v>24966.606915355183</v>
      </c>
      <c r="R285" s="258">
        <v>55926.346385899873</v>
      </c>
      <c r="S285" s="259">
        <v>61599.079095885565</v>
      </c>
      <c r="U285" s="7" t="s">
        <v>1956</v>
      </c>
    </row>
    <row r="286" spans="1:21" s="65" customFormat="1" ht="16.5" thickBot="1">
      <c r="A286" s="41" t="s">
        <v>31</v>
      </c>
      <c r="B286" s="42">
        <f t="shared" si="15"/>
        <v>80</v>
      </c>
      <c r="C286" s="42" t="s">
        <v>3</v>
      </c>
      <c r="D286" s="42">
        <f t="shared" si="16"/>
        <v>360</v>
      </c>
      <c r="E286" s="42" t="s">
        <v>3</v>
      </c>
      <c r="F286" s="101">
        <f t="shared" si="17"/>
        <v>1700</v>
      </c>
      <c r="G286" s="42" t="s">
        <v>3</v>
      </c>
      <c r="H286" s="39">
        <v>4</v>
      </c>
      <c r="I286" s="40" t="s">
        <v>40</v>
      </c>
      <c r="J286" s="149">
        <v>80</v>
      </c>
      <c r="K286" s="104">
        <v>360</v>
      </c>
      <c r="L286" s="104">
        <v>1700</v>
      </c>
      <c r="M286" s="150">
        <v>19.969647485766842</v>
      </c>
      <c r="N286" s="66">
        <v>903.62403760380835</v>
      </c>
      <c r="O286" s="111">
        <v>31695.348744500559</v>
      </c>
      <c r="P286" s="111">
        <v>37520.605836801406</v>
      </c>
      <c r="Q286" s="110">
        <v>25570.027799593372</v>
      </c>
      <c r="R286" s="258">
        <v>57265.376544093931</v>
      </c>
      <c r="S286" s="259">
        <v>63090.633636394778</v>
      </c>
      <c r="U286" s="7" t="s">
        <v>1957</v>
      </c>
    </row>
    <row r="287" spans="1:21" s="65" customFormat="1" ht="16.5" thickBot="1">
      <c r="A287" s="41" t="s">
        <v>31</v>
      </c>
      <c r="B287" s="42">
        <f t="shared" si="15"/>
        <v>80</v>
      </c>
      <c r="C287" s="42" t="s">
        <v>3</v>
      </c>
      <c r="D287" s="42">
        <f t="shared" si="16"/>
        <v>360</v>
      </c>
      <c r="E287" s="42" t="s">
        <v>3</v>
      </c>
      <c r="F287" s="101">
        <f t="shared" si="17"/>
        <v>1750</v>
      </c>
      <c r="G287" s="42" t="s">
        <v>3</v>
      </c>
      <c r="H287" s="39">
        <v>4</v>
      </c>
      <c r="I287" s="40" t="s">
        <v>40</v>
      </c>
      <c r="J287" s="149">
        <v>80</v>
      </c>
      <c r="K287" s="104">
        <v>360</v>
      </c>
      <c r="L287" s="104">
        <v>1750</v>
      </c>
      <c r="M287" s="150">
        <v>20.521465034474208</v>
      </c>
      <c r="N287" s="66">
        <v>937.09159455209738</v>
      </c>
      <c r="O287" s="111">
        <v>32430.958018456437</v>
      </c>
      <c r="P287" s="111">
        <v>38408.739646101189</v>
      </c>
      <c r="Q287" s="110">
        <v>26424.782821615332</v>
      </c>
      <c r="R287" s="258">
        <v>58855.740840071769</v>
      </c>
      <c r="S287" s="259">
        <v>64833.522467716524</v>
      </c>
      <c r="U287" s="7" t="s">
        <v>1958</v>
      </c>
    </row>
    <row r="288" spans="1:21" s="65" customFormat="1" ht="16.5" thickBot="1">
      <c r="A288" s="41" t="s">
        <v>31</v>
      </c>
      <c r="B288" s="42">
        <f t="shared" si="15"/>
        <v>80</v>
      </c>
      <c r="C288" s="42" t="s">
        <v>3</v>
      </c>
      <c r="D288" s="42">
        <f t="shared" si="16"/>
        <v>360</v>
      </c>
      <c r="E288" s="42" t="s">
        <v>3</v>
      </c>
      <c r="F288" s="101">
        <f t="shared" si="17"/>
        <v>1800</v>
      </c>
      <c r="G288" s="42" t="s">
        <v>3</v>
      </c>
      <c r="H288" s="39">
        <v>4</v>
      </c>
      <c r="I288" s="40" t="s">
        <v>40</v>
      </c>
      <c r="J288" s="149">
        <v>80</v>
      </c>
      <c r="K288" s="104">
        <v>360</v>
      </c>
      <c r="L288" s="104">
        <v>1800</v>
      </c>
      <c r="M288" s="150">
        <v>21.07328258318158</v>
      </c>
      <c r="N288" s="66">
        <v>970.55915150038663</v>
      </c>
      <c r="O288" s="111">
        <v>33166.567139383544</v>
      </c>
      <c r="P288" s="111">
        <v>39296.873302372209</v>
      </c>
      <c r="Q288" s="110">
        <v>27028.203705853517</v>
      </c>
      <c r="R288" s="258">
        <v>60194.770845237057</v>
      </c>
      <c r="S288" s="259">
        <v>66325.077008225722</v>
      </c>
      <c r="U288" s="7" t="s">
        <v>1959</v>
      </c>
    </row>
    <row r="289" spans="1:21" s="65" customFormat="1" ht="16.5" thickBot="1">
      <c r="A289" s="41" t="s">
        <v>31</v>
      </c>
      <c r="B289" s="42">
        <f t="shared" si="15"/>
        <v>80</v>
      </c>
      <c r="C289" s="42" t="s">
        <v>3</v>
      </c>
      <c r="D289" s="42">
        <f t="shared" si="16"/>
        <v>360</v>
      </c>
      <c r="E289" s="42" t="s">
        <v>3</v>
      </c>
      <c r="F289" s="101">
        <f t="shared" si="17"/>
        <v>1850</v>
      </c>
      <c r="G289" s="42" t="s">
        <v>3</v>
      </c>
      <c r="H289" s="39">
        <v>4</v>
      </c>
      <c r="I289" s="40" t="s">
        <v>40</v>
      </c>
      <c r="J289" s="149">
        <v>80</v>
      </c>
      <c r="K289" s="104">
        <v>360</v>
      </c>
      <c r="L289" s="104">
        <v>1850</v>
      </c>
      <c r="M289" s="150">
        <v>21.625100131888949</v>
      </c>
      <c r="N289" s="66">
        <v>1004.0267084486759</v>
      </c>
      <c r="O289" s="111">
        <v>33902.176413339424</v>
      </c>
      <c r="P289" s="111">
        <v>40185.007111671999</v>
      </c>
      <c r="Q289" s="110">
        <v>27882.958880904247</v>
      </c>
      <c r="R289" s="258">
        <v>61785.135294243672</v>
      </c>
      <c r="S289" s="259">
        <v>68067.965992576239</v>
      </c>
      <c r="U289" s="7" t="s">
        <v>1960</v>
      </c>
    </row>
    <row r="290" spans="1:21" s="65" customFormat="1" ht="16.5" thickBot="1">
      <c r="A290" s="41" t="s">
        <v>31</v>
      </c>
      <c r="B290" s="42">
        <f t="shared" si="15"/>
        <v>80</v>
      </c>
      <c r="C290" s="42" t="s">
        <v>3</v>
      </c>
      <c r="D290" s="42">
        <f t="shared" si="16"/>
        <v>360</v>
      </c>
      <c r="E290" s="42" t="s">
        <v>3</v>
      </c>
      <c r="F290" s="101">
        <f t="shared" si="17"/>
        <v>1900</v>
      </c>
      <c r="G290" s="42" t="s">
        <v>3</v>
      </c>
      <c r="H290" s="39">
        <v>4</v>
      </c>
      <c r="I290" s="40" t="s">
        <v>40</v>
      </c>
      <c r="J290" s="149">
        <v>80</v>
      </c>
      <c r="K290" s="104">
        <v>360</v>
      </c>
      <c r="L290" s="104">
        <v>1900</v>
      </c>
      <c r="M290" s="150">
        <v>22.176917680596315</v>
      </c>
      <c r="N290" s="66">
        <v>1037.4942653969651</v>
      </c>
      <c r="O290" s="111">
        <v>34637.785687295298</v>
      </c>
      <c r="P290" s="111">
        <v>41073.140767943019</v>
      </c>
      <c r="Q290" s="110">
        <v>28486.379765142432</v>
      </c>
      <c r="R290" s="258">
        <v>63124.16545243773</v>
      </c>
      <c r="S290" s="259">
        <v>69559.520533085451</v>
      </c>
      <c r="U290" s="7" t="s">
        <v>1961</v>
      </c>
    </row>
    <row r="291" spans="1:21" s="65" customFormat="1" ht="16.5" thickBot="1">
      <c r="A291" s="41" t="s">
        <v>31</v>
      </c>
      <c r="B291" s="42">
        <f t="shared" si="15"/>
        <v>80</v>
      </c>
      <c r="C291" s="42" t="s">
        <v>3</v>
      </c>
      <c r="D291" s="42">
        <f t="shared" si="16"/>
        <v>360</v>
      </c>
      <c r="E291" s="42" t="s">
        <v>3</v>
      </c>
      <c r="F291" s="101">
        <f t="shared" si="17"/>
        <v>1950</v>
      </c>
      <c r="G291" s="42" t="s">
        <v>3</v>
      </c>
      <c r="H291" s="39">
        <v>4</v>
      </c>
      <c r="I291" s="40" t="s">
        <v>40</v>
      </c>
      <c r="J291" s="149">
        <v>80</v>
      </c>
      <c r="K291" s="104">
        <v>360</v>
      </c>
      <c r="L291" s="104">
        <v>1950</v>
      </c>
      <c r="M291" s="150">
        <v>22.807235229303686</v>
      </c>
      <c r="N291" s="66">
        <v>1070.9618223452542</v>
      </c>
      <c r="O291" s="111">
        <v>35457.493296384499</v>
      </c>
      <c r="P291" s="111">
        <v>42042.809374502765</v>
      </c>
      <c r="Q291" s="110">
        <v>29089.800649380621</v>
      </c>
      <c r="R291" s="258">
        <v>64547.293945765123</v>
      </c>
      <c r="S291" s="259">
        <v>71132.61002388339</v>
      </c>
      <c r="U291" s="7" t="s">
        <v>1962</v>
      </c>
    </row>
    <row r="292" spans="1:21" s="65" customFormat="1" ht="16.5" thickBot="1">
      <c r="A292" s="41" t="s">
        <v>31</v>
      </c>
      <c r="B292" s="42">
        <f t="shared" si="15"/>
        <v>80</v>
      </c>
      <c r="C292" s="42" t="s">
        <v>3</v>
      </c>
      <c r="D292" s="42">
        <f t="shared" si="16"/>
        <v>360</v>
      </c>
      <c r="E292" s="42" t="s">
        <v>3</v>
      </c>
      <c r="F292" s="101">
        <f t="shared" si="17"/>
        <v>2000</v>
      </c>
      <c r="G292" s="42" t="s">
        <v>3</v>
      </c>
      <c r="H292" s="39">
        <v>4</v>
      </c>
      <c r="I292" s="40" t="s">
        <v>40</v>
      </c>
      <c r="J292" s="149">
        <v>80</v>
      </c>
      <c r="K292" s="104">
        <v>360</v>
      </c>
      <c r="L292" s="104">
        <v>2000</v>
      </c>
      <c r="M292" s="150">
        <v>23.450615178011049</v>
      </c>
      <c r="N292" s="66">
        <v>1104.4293792935434</v>
      </c>
      <c r="O292" s="111">
        <v>36444.394319156207</v>
      </c>
      <c r="P292" s="111">
        <v>43259.371683168647</v>
      </c>
      <c r="Q292" s="110">
        <v>29944.555671402581</v>
      </c>
      <c r="R292" s="258">
        <v>66388.949990558787</v>
      </c>
      <c r="S292" s="259">
        <v>73203.927354571235</v>
      </c>
      <c r="U292" s="7" t="s">
        <v>1963</v>
      </c>
    </row>
    <row r="293" spans="1:21" s="65" customFormat="1" ht="16.5" thickBot="1">
      <c r="A293" s="41" t="s">
        <v>31</v>
      </c>
      <c r="B293" s="42">
        <f t="shared" si="15"/>
        <v>80</v>
      </c>
      <c r="C293" s="42" t="s">
        <v>3</v>
      </c>
      <c r="D293" s="42">
        <f t="shared" si="16"/>
        <v>360</v>
      </c>
      <c r="E293" s="42" t="s">
        <v>3</v>
      </c>
      <c r="F293" s="101">
        <f t="shared" si="17"/>
        <v>2050</v>
      </c>
      <c r="G293" s="42" t="s">
        <v>3</v>
      </c>
      <c r="H293" s="39">
        <v>4</v>
      </c>
      <c r="I293" s="40" t="s">
        <v>40</v>
      </c>
      <c r="J293" s="149">
        <v>80</v>
      </c>
      <c r="K293" s="104">
        <v>360</v>
      </c>
      <c r="L293" s="104">
        <v>2050</v>
      </c>
      <c r="M293" s="150">
        <v>24.002432726718418</v>
      </c>
      <c r="N293" s="66">
        <v>1137.8969362418327</v>
      </c>
      <c r="O293" s="111">
        <v>37180.003593112087</v>
      </c>
      <c r="P293" s="111">
        <v>44147.505339439675</v>
      </c>
      <c r="Q293" s="110">
        <v>30547.976555640766</v>
      </c>
      <c r="R293" s="258">
        <v>67727.98014875286</v>
      </c>
      <c r="S293" s="259">
        <v>74695.481895080447</v>
      </c>
      <c r="U293" s="7" t="s">
        <v>1964</v>
      </c>
    </row>
    <row r="294" spans="1:21" s="65" customFormat="1" ht="16.5" thickBot="1">
      <c r="A294" s="38" t="s">
        <v>31</v>
      </c>
      <c r="B294" s="39">
        <f t="shared" si="15"/>
        <v>80</v>
      </c>
      <c r="C294" s="39" t="s">
        <v>3</v>
      </c>
      <c r="D294" s="39">
        <f t="shared" si="16"/>
        <v>360</v>
      </c>
      <c r="E294" s="39" t="s">
        <v>3</v>
      </c>
      <c r="F294" s="101">
        <f t="shared" si="17"/>
        <v>2100</v>
      </c>
      <c r="G294" s="39" t="s">
        <v>3</v>
      </c>
      <c r="H294" s="39">
        <v>4</v>
      </c>
      <c r="I294" s="40" t="s">
        <v>40</v>
      </c>
      <c r="J294" s="149">
        <v>80</v>
      </c>
      <c r="K294" s="104">
        <v>360</v>
      </c>
      <c r="L294" s="104">
        <v>2100</v>
      </c>
      <c r="M294" s="150">
        <v>24.554250275425787</v>
      </c>
      <c r="N294" s="66">
        <v>1171.3644931901217</v>
      </c>
      <c r="O294" s="111">
        <v>37915.612867067961</v>
      </c>
      <c r="P294" s="111">
        <v>45035.638995710695</v>
      </c>
      <c r="Q294" s="110">
        <v>31402.731577662726</v>
      </c>
      <c r="R294" s="258">
        <v>69318.344444730683</v>
      </c>
      <c r="S294" s="259">
        <v>76438.370573373424</v>
      </c>
      <c r="U294" s="7" t="s">
        <v>1965</v>
      </c>
    </row>
    <row r="295" spans="1:21" s="65" customFormat="1" ht="16.5" thickBot="1">
      <c r="A295" s="41" t="s">
        <v>31</v>
      </c>
      <c r="B295" s="42">
        <f t="shared" si="15"/>
        <v>80</v>
      </c>
      <c r="C295" s="42" t="s">
        <v>3</v>
      </c>
      <c r="D295" s="42">
        <f t="shared" si="16"/>
        <v>360</v>
      </c>
      <c r="E295" s="42" t="s">
        <v>3</v>
      </c>
      <c r="F295" s="101">
        <f t="shared" si="17"/>
        <v>2150</v>
      </c>
      <c r="G295" s="42" t="s">
        <v>3</v>
      </c>
      <c r="H295" s="39">
        <v>4</v>
      </c>
      <c r="I295" s="40" t="s">
        <v>40</v>
      </c>
      <c r="J295" s="149">
        <v>80</v>
      </c>
      <c r="K295" s="104">
        <v>360</v>
      </c>
      <c r="L295" s="104">
        <v>2150</v>
      </c>
      <c r="M295" s="150">
        <v>25.106067824133156</v>
      </c>
      <c r="N295" s="66">
        <v>1204.832050138411</v>
      </c>
      <c r="O295" s="111">
        <v>38651.222141023834</v>
      </c>
      <c r="P295" s="111">
        <v>45923.772805010485</v>
      </c>
      <c r="Q295" s="110">
        <v>32006.152461900914</v>
      </c>
      <c r="R295" s="258">
        <v>70657.374602924741</v>
      </c>
      <c r="S295" s="259">
        <v>77929.925266911392</v>
      </c>
      <c r="U295" s="7" t="s">
        <v>1966</v>
      </c>
    </row>
    <row r="296" spans="1:21" s="65" customFormat="1" ht="16.5" thickBot="1">
      <c r="A296" s="41" t="s">
        <v>31</v>
      </c>
      <c r="B296" s="42">
        <f t="shared" si="15"/>
        <v>80</v>
      </c>
      <c r="C296" s="42" t="s">
        <v>3</v>
      </c>
      <c r="D296" s="42">
        <f t="shared" si="16"/>
        <v>360</v>
      </c>
      <c r="E296" s="42" t="s">
        <v>3</v>
      </c>
      <c r="F296" s="101">
        <f t="shared" si="17"/>
        <v>2200</v>
      </c>
      <c r="G296" s="42" t="s">
        <v>3</v>
      </c>
      <c r="H296" s="39">
        <v>4</v>
      </c>
      <c r="I296" s="40" t="s">
        <v>40</v>
      </c>
      <c r="J296" s="149">
        <v>80</v>
      </c>
      <c r="K296" s="104">
        <v>360</v>
      </c>
      <c r="L296" s="104">
        <v>2200</v>
      </c>
      <c r="M296" s="150">
        <v>25.657885372840525</v>
      </c>
      <c r="N296" s="66">
        <v>1238.2996070867002</v>
      </c>
      <c r="O296" s="111">
        <v>39386.831414979708</v>
      </c>
      <c r="P296" s="111">
        <v>46811.906461281505</v>
      </c>
      <c r="Q296" s="110">
        <v>32860.907483922878</v>
      </c>
      <c r="R296" s="258">
        <v>72247.738898902579</v>
      </c>
      <c r="S296" s="259">
        <v>79672.813945204383</v>
      </c>
      <c r="U296" s="7" t="s">
        <v>1967</v>
      </c>
    </row>
    <row r="297" spans="1:21" s="65" customFormat="1" ht="16.5" thickBot="1">
      <c r="A297" s="41" t="s">
        <v>31</v>
      </c>
      <c r="B297" s="42">
        <f t="shared" si="15"/>
        <v>80</v>
      </c>
      <c r="C297" s="42" t="s">
        <v>3</v>
      </c>
      <c r="D297" s="42">
        <f t="shared" si="16"/>
        <v>360</v>
      </c>
      <c r="E297" s="42" t="s">
        <v>3</v>
      </c>
      <c r="F297" s="101">
        <f t="shared" si="17"/>
        <v>2250</v>
      </c>
      <c r="G297" s="42" t="s">
        <v>3</v>
      </c>
      <c r="H297" s="39">
        <v>4</v>
      </c>
      <c r="I297" s="40" t="s">
        <v>40</v>
      </c>
      <c r="J297" s="149">
        <v>80</v>
      </c>
      <c r="K297" s="104">
        <v>360</v>
      </c>
      <c r="L297" s="104">
        <v>2250</v>
      </c>
      <c r="M297" s="150">
        <v>26.209702921547894</v>
      </c>
      <c r="N297" s="66">
        <v>1271.7671640349893</v>
      </c>
      <c r="O297" s="111">
        <v>40122.440688935581</v>
      </c>
      <c r="P297" s="111">
        <v>47700.040270581296</v>
      </c>
      <c r="Q297" s="110">
        <v>33464.328368161063</v>
      </c>
      <c r="R297" s="258">
        <v>73586.769057096652</v>
      </c>
      <c r="S297" s="259">
        <v>81164.368638742366</v>
      </c>
      <c r="U297" s="7" t="s">
        <v>1968</v>
      </c>
    </row>
    <row r="298" spans="1:21" s="65" customFormat="1" ht="16.5" thickBot="1">
      <c r="A298" s="41" t="s">
        <v>31</v>
      </c>
      <c r="B298" s="42">
        <f t="shared" si="15"/>
        <v>80</v>
      </c>
      <c r="C298" s="42" t="s">
        <v>3</v>
      </c>
      <c r="D298" s="42">
        <f t="shared" si="16"/>
        <v>360</v>
      </c>
      <c r="E298" s="42" t="s">
        <v>3</v>
      </c>
      <c r="F298" s="101">
        <f t="shared" si="17"/>
        <v>2300</v>
      </c>
      <c r="G298" s="42" t="s">
        <v>3</v>
      </c>
      <c r="H298" s="39">
        <v>4</v>
      </c>
      <c r="I298" s="40" t="s">
        <v>40</v>
      </c>
      <c r="J298" s="149">
        <v>80</v>
      </c>
      <c r="K298" s="104">
        <v>360</v>
      </c>
      <c r="L298" s="104">
        <v>2300</v>
      </c>
      <c r="M298" s="150">
        <v>26.761520470255263</v>
      </c>
      <c r="N298" s="66">
        <v>1305.2347209832785</v>
      </c>
      <c r="O298" s="111">
        <v>40858.049962891462</v>
      </c>
      <c r="P298" s="111">
        <v>48588.173926852323</v>
      </c>
      <c r="Q298" s="110">
        <v>34067.749252399248</v>
      </c>
      <c r="R298" s="258">
        <v>74925.79921529071</v>
      </c>
      <c r="S298" s="259">
        <v>82655.923179251578</v>
      </c>
      <c r="U298" s="7" t="s">
        <v>1969</v>
      </c>
    </row>
    <row r="299" spans="1:21" s="65" customFormat="1" ht="16.5" thickBot="1">
      <c r="A299" s="41" t="s">
        <v>31</v>
      </c>
      <c r="B299" s="42">
        <f t="shared" si="15"/>
        <v>80</v>
      </c>
      <c r="C299" s="42" t="s">
        <v>3</v>
      </c>
      <c r="D299" s="42">
        <f t="shared" si="16"/>
        <v>360</v>
      </c>
      <c r="E299" s="42" t="s">
        <v>3</v>
      </c>
      <c r="F299" s="101">
        <f t="shared" si="17"/>
        <v>2350</v>
      </c>
      <c r="G299" s="42" t="s">
        <v>3</v>
      </c>
      <c r="H299" s="39">
        <v>4</v>
      </c>
      <c r="I299" s="40" t="s">
        <v>40</v>
      </c>
      <c r="J299" s="149">
        <v>80</v>
      </c>
      <c r="K299" s="104">
        <v>360</v>
      </c>
      <c r="L299" s="104">
        <v>2350</v>
      </c>
      <c r="M299" s="150">
        <v>27.313338018962632</v>
      </c>
      <c r="N299" s="66">
        <v>1338.7022779315678</v>
      </c>
      <c r="O299" s="111">
        <v>41593.659236847336</v>
      </c>
      <c r="P299" s="111">
        <v>49476.307736152106</v>
      </c>
      <c r="Q299" s="110">
        <v>34922.504274421211</v>
      </c>
      <c r="R299" s="258">
        <v>76516.163511268547</v>
      </c>
      <c r="S299" s="259">
        <v>84398.812010573311</v>
      </c>
      <c r="U299" s="7" t="s">
        <v>1970</v>
      </c>
    </row>
    <row r="300" spans="1:21" s="65" customFormat="1" ht="16.5" thickBot="1">
      <c r="A300" s="41" t="s">
        <v>31</v>
      </c>
      <c r="B300" s="42">
        <f t="shared" si="15"/>
        <v>80</v>
      </c>
      <c r="C300" s="42" t="s">
        <v>3</v>
      </c>
      <c r="D300" s="42">
        <f t="shared" si="16"/>
        <v>360</v>
      </c>
      <c r="E300" s="42" t="s">
        <v>3</v>
      </c>
      <c r="F300" s="101">
        <f t="shared" si="17"/>
        <v>2400</v>
      </c>
      <c r="G300" s="42" t="s">
        <v>3</v>
      </c>
      <c r="H300" s="39">
        <v>4</v>
      </c>
      <c r="I300" s="40" t="s">
        <v>40</v>
      </c>
      <c r="J300" s="149">
        <v>80</v>
      </c>
      <c r="K300" s="104">
        <v>360</v>
      </c>
      <c r="L300" s="104">
        <v>2400</v>
      </c>
      <c r="M300" s="150">
        <v>27.865155567669994</v>
      </c>
      <c r="N300" s="66">
        <v>1372.1698348798568</v>
      </c>
      <c r="O300" s="111">
        <v>42329.268357774446</v>
      </c>
      <c r="P300" s="111">
        <v>50364.441392423134</v>
      </c>
      <c r="Q300" s="110">
        <v>35525.925158659396</v>
      </c>
      <c r="R300" s="258">
        <v>77855.19351643385</v>
      </c>
      <c r="S300" s="259">
        <v>85890.366551082523</v>
      </c>
      <c r="U300" s="7" t="s">
        <v>1971</v>
      </c>
    </row>
    <row r="301" spans="1:21" s="65" customFormat="1" ht="16.5" thickBot="1">
      <c r="A301" s="41" t="s">
        <v>31</v>
      </c>
      <c r="B301" s="42">
        <f t="shared" si="15"/>
        <v>80</v>
      </c>
      <c r="C301" s="42" t="s">
        <v>3</v>
      </c>
      <c r="D301" s="42">
        <f t="shared" si="16"/>
        <v>360</v>
      </c>
      <c r="E301" s="42" t="s">
        <v>3</v>
      </c>
      <c r="F301" s="101">
        <f t="shared" si="17"/>
        <v>2450</v>
      </c>
      <c r="G301" s="42" t="s">
        <v>3</v>
      </c>
      <c r="H301" s="39">
        <v>4</v>
      </c>
      <c r="I301" s="40" t="s">
        <v>40</v>
      </c>
      <c r="J301" s="149">
        <v>80</v>
      </c>
      <c r="K301" s="104">
        <v>360</v>
      </c>
      <c r="L301" s="104">
        <v>2450</v>
      </c>
      <c r="M301" s="150">
        <v>28.592739065177362</v>
      </c>
      <c r="N301" s="66">
        <v>1405.6373918281463</v>
      </c>
      <c r="O301" s="111">
        <v>43851.121828634583</v>
      </c>
      <c r="P301" s="111">
        <v>51974.932031590208</v>
      </c>
      <c r="Q301" s="110">
        <v>36380.680180681353</v>
      </c>
      <c r="R301" s="258">
        <v>80231.802009315928</v>
      </c>
      <c r="S301" s="259">
        <v>88355.612212271561</v>
      </c>
      <c r="U301" s="7" t="s">
        <v>1972</v>
      </c>
    </row>
    <row r="302" spans="1:21" s="65" customFormat="1" ht="16.5" thickBot="1">
      <c r="A302" s="41" t="s">
        <v>31</v>
      </c>
      <c r="B302" s="42">
        <f t="shared" si="15"/>
        <v>80</v>
      </c>
      <c r="C302" s="42" t="s">
        <v>3</v>
      </c>
      <c r="D302" s="42">
        <f t="shared" si="16"/>
        <v>360</v>
      </c>
      <c r="E302" s="42" t="s">
        <v>3</v>
      </c>
      <c r="F302" s="101">
        <f t="shared" si="17"/>
        <v>2500</v>
      </c>
      <c r="G302" s="42" t="s">
        <v>3</v>
      </c>
      <c r="H302" s="39">
        <v>4</v>
      </c>
      <c r="I302" s="40" t="s">
        <v>40</v>
      </c>
      <c r="J302" s="149">
        <v>80</v>
      </c>
      <c r="K302" s="104">
        <v>360</v>
      </c>
      <c r="L302" s="104">
        <v>2500</v>
      </c>
      <c r="M302" s="150">
        <v>29.144556613884731</v>
      </c>
      <c r="N302" s="66">
        <v>1439.1049487764353</v>
      </c>
      <c r="O302" s="111">
        <v>44586.731102590456</v>
      </c>
      <c r="P302" s="111">
        <v>52863.065687861228</v>
      </c>
      <c r="Q302" s="110">
        <v>36984.101064919538</v>
      </c>
      <c r="R302" s="258">
        <v>81570.832167510001</v>
      </c>
      <c r="S302" s="259">
        <v>89847.166752780759</v>
      </c>
      <c r="U302" s="7" t="s">
        <v>1973</v>
      </c>
    </row>
    <row r="303" spans="1:21" s="65" customFormat="1" ht="16.5" thickBot="1">
      <c r="A303" s="41" t="s">
        <v>31</v>
      </c>
      <c r="B303" s="42">
        <f t="shared" si="15"/>
        <v>80</v>
      </c>
      <c r="C303" s="42" t="s">
        <v>3</v>
      </c>
      <c r="D303" s="42">
        <f t="shared" si="16"/>
        <v>360</v>
      </c>
      <c r="E303" s="42" t="s">
        <v>3</v>
      </c>
      <c r="F303" s="101">
        <f t="shared" si="17"/>
        <v>2550</v>
      </c>
      <c r="G303" s="42" t="s">
        <v>3</v>
      </c>
      <c r="H303" s="39">
        <v>4</v>
      </c>
      <c r="I303" s="40" t="s">
        <v>40</v>
      </c>
      <c r="J303" s="149">
        <v>80</v>
      </c>
      <c r="K303" s="104">
        <v>360</v>
      </c>
      <c r="L303" s="104">
        <v>2550</v>
      </c>
      <c r="M303" s="150">
        <v>29.6963741625921</v>
      </c>
      <c r="N303" s="66">
        <v>1472.5725057247246</v>
      </c>
      <c r="O303" s="111">
        <v>45322.34037654633</v>
      </c>
      <c r="P303" s="111">
        <v>53751.199497161018</v>
      </c>
      <c r="Q303" s="110">
        <v>37838.856239970264</v>
      </c>
      <c r="R303" s="258">
        <v>83161.196616516594</v>
      </c>
      <c r="S303" s="259">
        <v>91590.055737131275</v>
      </c>
      <c r="U303" s="7" t="s">
        <v>1974</v>
      </c>
    </row>
    <row r="304" spans="1:21" s="65" customFormat="1" ht="16.5" thickBot="1">
      <c r="A304" s="38" t="s">
        <v>31</v>
      </c>
      <c r="B304" s="39">
        <f t="shared" si="15"/>
        <v>80</v>
      </c>
      <c r="C304" s="39" t="s">
        <v>3</v>
      </c>
      <c r="D304" s="39">
        <f t="shared" si="16"/>
        <v>360</v>
      </c>
      <c r="E304" s="39" t="s">
        <v>3</v>
      </c>
      <c r="F304" s="101">
        <f t="shared" si="17"/>
        <v>2600</v>
      </c>
      <c r="G304" s="39" t="s">
        <v>3</v>
      </c>
      <c r="H304" s="39">
        <v>4</v>
      </c>
      <c r="I304" s="40" t="s">
        <v>40</v>
      </c>
      <c r="J304" s="149">
        <v>80</v>
      </c>
      <c r="K304" s="104">
        <v>360</v>
      </c>
      <c r="L304" s="104">
        <v>2600</v>
      </c>
      <c r="M304" s="150">
        <v>30.248191711299476</v>
      </c>
      <c r="N304" s="66">
        <v>1506.0400626730138</v>
      </c>
      <c r="O304" s="111">
        <v>46057.949650502203</v>
      </c>
      <c r="P304" s="111">
        <v>54639.333153431879</v>
      </c>
      <c r="Q304" s="110">
        <v>38442.277124208456</v>
      </c>
      <c r="R304" s="258">
        <v>84500.226774710667</v>
      </c>
      <c r="S304" s="259">
        <v>93081.610277640342</v>
      </c>
      <c r="U304" s="7" t="s">
        <v>1975</v>
      </c>
    </row>
    <row r="305" spans="1:21" s="65" customFormat="1" ht="16.5" thickBot="1">
      <c r="A305" s="41" t="s">
        <v>31</v>
      </c>
      <c r="B305" s="42">
        <f t="shared" si="15"/>
        <v>80</v>
      </c>
      <c r="C305" s="42" t="s">
        <v>3</v>
      </c>
      <c r="D305" s="42">
        <f t="shared" si="16"/>
        <v>360</v>
      </c>
      <c r="E305" s="42" t="s">
        <v>3</v>
      </c>
      <c r="F305" s="101">
        <f t="shared" si="17"/>
        <v>2650</v>
      </c>
      <c r="G305" s="42" t="s">
        <v>3</v>
      </c>
      <c r="H305" s="39">
        <v>4</v>
      </c>
      <c r="I305" s="40" t="s">
        <v>40</v>
      </c>
      <c r="J305" s="149">
        <v>80</v>
      </c>
      <c r="K305" s="104">
        <v>360</v>
      </c>
      <c r="L305" s="104">
        <v>2650</v>
      </c>
      <c r="M305" s="150">
        <v>30.800009260006838</v>
      </c>
      <c r="N305" s="66">
        <v>1539.5076196213029</v>
      </c>
      <c r="O305" s="111">
        <v>46793.558771429314</v>
      </c>
      <c r="P305" s="111">
        <v>55527.466809703059</v>
      </c>
      <c r="Q305" s="110">
        <v>39297.032146230413</v>
      </c>
      <c r="R305" s="258">
        <v>86090.59091765972</v>
      </c>
      <c r="S305" s="259">
        <v>94824.498955933464</v>
      </c>
      <c r="U305" s="7" t="s">
        <v>1976</v>
      </c>
    </row>
    <row r="306" spans="1:21" s="65" customFormat="1" ht="16.5" thickBot="1">
      <c r="A306" s="41" t="s">
        <v>31</v>
      </c>
      <c r="B306" s="42">
        <f t="shared" si="15"/>
        <v>80</v>
      </c>
      <c r="C306" s="42" t="s">
        <v>3</v>
      </c>
      <c r="D306" s="42">
        <f t="shared" si="16"/>
        <v>360</v>
      </c>
      <c r="E306" s="42" t="s">
        <v>3</v>
      </c>
      <c r="F306" s="101">
        <f t="shared" si="17"/>
        <v>2700</v>
      </c>
      <c r="G306" s="42" t="s">
        <v>3</v>
      </c>
      <c r="H306" s="39">
        <v>4</v>
      </c>
      <c r="I306" s="40" t="s">
        <v>40</v>
      </c>
      <c r="J306" s="149">
        <v>80</v>
      </c>
      <c r="K306" s="104">
        <v>360</v>
      </c>
      <c r="L306" s="104">
        <v>2700</v>
      </c>
      <c r="M306" s="150">
        <v>31.430326808714209</v>
      </c>
      <c r="N306" s="66">
        <v>1572.9751765695921</v>
      </c>
      <c r="O306" s="111">
        <v>47613.266380518522</v>
      </c>
      <c r="P306" s="111">
        <v>56497.135569291568</v>
      </c>
      <c r="Q306" s="110">
        <v>39900.453030468605</v>
      </c>
      <c r="R306" s="258">
        <v>87513.719410987134</v>
      </c>
      <c r="S306" s="259">
        <v>96397.588599760173</v>
      </c>
      <c r="U306" s="7" t="s">
        <v>1977</v>
      </c>
    </row>
    <row r="307" spans="1:21" s="65" customFormat="1" ht="16.5" thickBot="1">
      <c r="A307" s="41" t="s">
        <v>31</v>
      </c>
      <c r="B307" s="42">
        <f t="shared" si="15"/>
        <v>80</v>
      </c>
      <c r="C307" s="42" t="s">
        <v>3</v>
      </c>
      <c r="D307" s="42">
        <f t="shared" si="16"/>
        <v>360</v>
      </c>
      <c r="E307" s="42" t="s">
        <v>3</v>
      </c>
      <c r="F307" s="101">
        <f t="shared" si="17"/>
        <v>2750</v>
      </c>
      <c r="G307" s="42" t="s">
        <v>3</v>
      </c>
      <c r="H307" s="39">
        <v>4</v>
      </c>
      <c r="I307" s="40" t="s">
        <v>40</v>
      </c>
      <c r="J307" s="149">
        <v>80</v>
      </c>
      <c r="K307" s="104">
        <v>360</v>
      </c>
      <c r="L307" s="104">
        <v>2750</v>
      </c>
      <c r="M307" s="150">
        <v>31.982144357421582</v>
      </c>
      <c r="N307" s="66">
        <v>1606.4427335178814</v>
      </c>
      <c r="O307" s="111">
        <v>48348.875654474396</v>
      </c>
      <c r="P307" s="111">
        <v>57385.269225562588</v>
      </c>
      <c r="Q307" s="110">
        <v>40503.87391470679</v>
      </c>
      <c r="R307" s="258">
        <v>88852.749569181178</v>
      </c>
      <c r="S307" s="259">
        <v>97889.143140269385</v>
      </c>
      <c r="U307" s="7" t="s">
        <v>1978</v>
      </c>
    </row>
    <row r="308" spans="1:21" s="65" customFormat="1" ht="16.5" thickBot="1">
      <c r="A308" s="41" t="s">
        <v>31</v>
      </c>
      <c r="B308" s="42">
        <f t="shared" si="15"/>
        <v>80</v>
      </c>
      <c r="C308" s="42" t="s">
        <v>3</v>
      </c>
      <c r="D308" s="42">
        <f t="shared" si="16"/>
        <v>360</v>
      </c>
      <c r="E308" s="42" t="s">
        <v>3</v>
      </c>
      <c r="F308" s="101">
        <f t="shared" si="17"/>
        <v>2800</v>
      </c>
      <c r="G308" s="42" t="s">
        <v>3</v>
      </c>
      <c r="H308" s="39">
        <v>4</v>
      </c>
      <c r="I308" s="40" t="s">
        <v>40</v>
      </c>
      <c r="J308" s="149">
        <v>80</v>
      </c>
      <c r="K308" s="104">
        <v>360</v>
      </c>
      <c r="L308" s="104">
        <v>2800</v>
      </c>
      <c r="M308" s="150">
        <v>32.533961906128937</v>
      </c>
      <c r="N308" s="66">
        <v>1639.9102904661706</v>
      </c>
      <c r="O308" s="111">
        <v>49084.484928430269</v>
      </c>
      <c r="P308" s="111">
        <v>58273.402881833616</v>
      </c>
      <c r="Q308" s="110">
        <v>41358.628936728746</v>
      </c>
      <c r="R308" s="258">
        <v>90443.113865159015</v>
      </c>
      <c r="S308" s="259">
        <v>99632.031818562362</v>
      </c>
      <c r="U308" s="7" t="s">
        <v>1979</v>
      </c>
    </row>
    <row r="309" spans="1:21" s="65" customFormat="1" ht="16.5" thickBot="1">
      <c r="A309" s="41" t="s">
        <v>31</v>
      </c>
      <c r="B309" s="42">
        <f t="shared" si="15"/>
        <v>80</v>
      </c>
      <c r="C309" s="42" t="s">
        <v>3</v>
      </c>
      <c r="D309" s="42">
        <f t="shared" si="16"/>
        <v>360</v>
      </c>
      <c r="E309" s="42" t="s">
        <v>3</v>
      </c>
      <c r="F309" s="101">
        <f t="shared" si="17"/>
        <v>2850</v>
      </c>
      <c r="G309" s="42" t="s">
        <v>3</v>
      </c>
      <c r="H309" s="39">
        <v>4</v>
      </c>
      <c r="I309" s="40" t="s">
        <v>40</v>
      </c>
      <c r="J309" s="149">
        <v>80</v>
      </c>
      <c r="K309" s="104">
        <v>360</v>
      </c>
      <c r="L309" s="104">
        <v>2850</v>
      </c>
      <c r="M309" s="150">
        <v>33.085779454836313</v>
      </c>
      <c r="N309" s="66">
        <v>1673.3778474144597</v>
      </c>
      <c r="O309" s="111">
        <v>49820.094202386143</v>
      </c>
      <c r="P309" s="111">
        <v>59161.536691133406</v>
      </c>
      <c r="Q309" s="110">
        <v>41962.049820966939</v>
      </c>
      <c r="R309" s="258">
        <v>91782.144023353088</v>
      </c>
      <c r="S309" s="259">
        <v>101123.58651210034</v>
      </c>
      <c r="U309" s="7" t="s">
        <v>1980</v>
      </c>
    </row>
    <row r="310" spans="1:21" s="65" customFormat="1" ht="16.5" thickBot="1">
      <c r="A310" s="41" t="s">
        <v>31</v>
      </c>
      <c r="B310" s="42">
        <f t="shared" si="15"/>
        <v>80</v>
      </c>
      <c r="C310" s="42" t="s">
        <v>3</v>
      </c>
      <c r="D310" s="42">
        <f t="shared" si="16"/>
        <v>360</v>
      </c>
      <c r="E310" s="42" t="s">
        <v>3</v>
      </c>
      <c r="F310" s="101">
        <f t="shared" si="17"/>
        <v>2900</v>
      </c>
      <c r="G310" s="42" t="s">
        <v>3</v>
      </c>
      <c r="H310" s="39">
        <v>4</v>
      </c>
      <c r="I310" s="40" t="s">
        <v>40</v>
      </c>
      <c r="J310" s="149">
        <v>80</v>
      </c>
      <c r="K310" s="104">
        <v>360</v>
      </c>
      <c r="L310" s="104">
        <v>2900</v>
      </c>
      <c r="M310" s="150">
        <v>33.637597003543682</v>
      </c>
      <c r="N310" s="66">
        <v>1706.8454043627487</v>
      </c>
      <c r="O310" s="111">
        <v>50555.703323313253</v>
      </c>
      <c r="P310" s="111">
        <v>60049.670347404433</v>
      </c>
      <c r="Q310" s="110">
        <v>42816.804842988895</v>
      </c>
      <c r="R310" s="258">
        <v>93372.508166302141</v>
      </c>
      <c r="S310" s="259">
        <v>102866.47519039334</v>
      </c>
      <c r="U310" s="7" t="s">
        <v>1981</v>
      </c>
    </row>
    <row r="311" spans="1:21" s="65" customFormat="1" ht="16.5" thickBot="1">
      <c r="A311" s="41" t="s">
        <v>31</v>
      </c>
      <c r="B311" s="42">
        <f t="shared" si="15"/>
        <v>80</v>
      </c>
      <c r="C311" s="42" t="s">
        <v>3</v>
      </c>
      <c r="D311" s="42">
        <f t="shared" si="16"/>
        <v>360</v>
      </c>
      <c r="E311" s="42" t="s">
        <v>3</v>
      </c>
      <c r="F311" s="101">
        <f t="shared" si="17"/>
        <v>2950</v>
      </c>
      <c r="G311" s="42" t="s">
        <v>3</v>
      </c>
      <c r="H311" s="39">
        <v>4</v>
      </c>
      <c r="I311" s="40" t="s">
        <v>40</v>
      </c>
      <c r="J311" s="149">
        <v>80</v>
      </c>
      <c r="K311" s="104">
        <v>360</v>
      </c>
      <c r="L311" s="104">
        <v>2950</v>
      </c>
      <c r="M311" s="150">
        <v>34.189414552251051</v>
      </c>
      <c r="N311" s="66">
        <v>1740.3129613110382</v>
      </c>
      <c r="O311" s="111">
        <v>51291.312597269134</v>
      </c>
      <c r="P311" s="111">
        <v>60937.804156704216</v>
      </c>
      <c r="Q311" s="110">
        <v>43420.22572722708</v>
      </c>
      <c r="R311" s="258">
        <v>94711.538324496214</v>
      </c>
      <c r="S311" s="259">
        <v>104358.0298839313</v>
      </c>
      <c r="U311" s="7" t="s">
        <v>1982</v>
      </c>
    </row>
    <row r="312" spans="1:21" s="65" customFormat="1" ht="16.5" thickBot="1">
      <c r="A312" s="43" t="s">
        <v>31</v>
      </c>
      <c r="B312" s="44">
        <f t="shared" si="15"/>
        <v>80</v>
      </c>
      <c r="C312" s="44" t="s">
        <v>3</v>
      </c>
      <c r="D312" s="44">
        <f t="shared" si="16"/>
        <v>360</v>
      </c>
      <c r="E312" s="44" t="s">
        <v>3</v>
      </c>
      <c r="F312" s="102">
        <f t="shared" si="17"/>
        <v>3000</v>
      </c>
      <c r="G312" s="44" t="s">
        <v>3</v>
      </c>
      <c r="H312" s="46">
        <v>4</v>
      </c>
      <c r="I312" s="45" t="s">
        <v>40</v>
      </c>
      <c r="J312" s="149">
        <v>80</v>
      </c>
      <c r="K312" s="134">
        <v>360</v>
      </c>
      <c r="L312" s="134">
        <v>3000</v>
      </c>
      <c r="M312" s="152">
        <v>34.74123210095842</v>
      </c>
      <c r="N312" s="126">
        <v>1773.7805182593272</v>
      </c>
      <c r="O312" s="135">
        <v>52026.921871225008</v>
      </c>
      <c r="P312" s="135">
        <v>61825.937812975237</v>
      </c>
      <c r="Q312" s="136">
        <v>44274.980749249036</v>
      </c>
      <c r="R312" s="260">
        <v>96301.902620474051</v>
      </c>
      <c r="S312" s="261">
        <v>106100.91856222428</v>
      </c>
      <c r="U312" s="7" t="s">
        <v>1983</v>
      </c>
    </row>
    <row r="313" spans="1:21" s="65" customFormat="1" ht="22.5" customHeight="1" thickBot="1">
      <c r="A313" s="3010" t="s">
        <v>60</v>
      </c>
      <c r="B313" s="3011"/>
      <c r="C313" s="3011"/>
      <c r="D313" s="3011"/>
      <c r="E313" s="3011"/>
      <c r="F313" s="3011"/>
      <c r="G313" s="3011"/>
      <c r="H313" s="3011"/>
      <c r="I313" s="3011"/>
      <c r="J313" s="3011"/>
      <c r="K313" s="3011"/>
      <c r="L313" s="3011"/>
      <c r="M313" s="3011"/>
      <c r="N313" s="3011"/>
      <c r="O313" s="3011"/>
      <c r="P313" s="3011"/>
      <c r="Q313" s="3011"/>
      <c r="R313" s="3011"/>
      <c r="S313" s="3012"/>
      <c r="U313" s="7"/>
    </row>
    <row r="314" spans="1:21" s="65" customFormat="1" ht="16.5" thickBot="1">
      <c r="A314" s="2974" t="s">
        <v>113</v>
      </c>
      <c r="B314" s="2975"/>
      <c r="C314" s="2975"/>
      <c r="D314" s="2975"/>
      <c r="E314" s="2975"/>
      <c r="F314" s="2975"/>
      <c r="G314" s="2975"/>
      <c r="H314" s="2975"/>
      <c r="I314" s="2975"/>
      <c r="J314" s="2975"/>
      <c r="K314" s="2975"/>
      <c r="L314" s="2975"/>
      <c r="M314" s="2975"/>
      <c r="N314" s="2975"/>
      <c r="O314" s="2975"/>
      <c r="P314" s="2975"/>
      <c r="Q314" s="2975"/>
      <c r="R314" s="2975"/>
      <c r="S314" s="2976"/>
      <c r="U314" s="7"/>
    </row>
    <row r="315" spans="1:21" s="65" customFormat="1" ht="16.5" thickBot="1">
      <c r="A315" s="38" t="s">
        <v>31</v>
      </c>
      <c r="B315" s="39">
        <f>J315</f>
        <v>80</v>
      </c>
      <c r="C315" s="39" t="s">
        <v>3</v>
      </c>
      <c r="D315" s="39">
        <f>K315</f>
        <v>400</v>
      </c>
      <c r="E315" s="39" t="s">
        <v>3</v>
      </c>
      <c r="F315" s="101">
        <f>L315</f>
        <v>600</v>
      </c>
      <c r="G315" s="39" t="s">
        <v>3</v>
      </c>
      <c r="H315" s="39">
        <v>4</v>
      </c>
      <c r="I315" s="40" t="s">
        <v>40</v>
      </c>
      <c r="J315" s="146">
        <v>80</v>
      </c>
      <c r="K315" s="138">
        <v>400</v>
      </c>
      <c r="L315" s="138">
        <v>600</v>
      </c>
      <c r="M315" s="147">
        <v>8.110135688773159</v>
      </c>
      <c r="N315" s="122">
        <v>174.98195461418246</v>
      </c>
      <c r="O315" s="148">
        <v>15165.36578233127</v>
      </c>
      <c r="P315" s="148">
        <v>17818.340705367515</v>
      </c>
      <c r="Q315" s="139">
        <v>10760.15380676932</v>
      </c>
      <c r="R315" s="256">
        <v>25925.51958910059</v>
      </c>
      <c r="S315" s="257">
        <v>28578.494512136836</v>
      </c>
      <c r="U315" s="7" t="s">
        <v>1984</v>
      </c>
    </row>
    <row r="316" spans="1:21" s="65" customFormat="1" ht="16.5" thickBot="1">
      <c r="A316" s="41" t="s">
        <v>31</v>
      </c>
      <c r="B316" s="42">
        <f t="shared" ref="B316:B363" si="18">J316</f>
        <v>80</v>
      </c>
      <c r="C316" s="42" t="s">
        <v>3</v>
      </c>
      <c r="D316" s="42">
        <f t="shared" ref="D316:D363" si="19">K316</f>
        <v>400</v>
      </c>
      <c r="E316" s="42" t="s">
        <v>3</v>
      </c>
      <c r="F316" s="101">
        <f t="shared" ref="F316:F363" si="20">L316</f>
        <v>650</v>
      </c>
      <c r="G316" s="42" t="s">
        <v>3</v>
      </c>
      <c r="H316" s="39">
        <v>4</v>
      </c>
      <c r="I316" s="40" t="s">
        <v>40</v>
      </c>
      <c r="J316" s="149">
        <v>80</v>
      </c>
      <c r="K316" s="104">
        <v>400</v>
      </c>
      <c r="L316" s="104">
        <v>650</v>
      </c>
      <c r="M316" s="150">
        <v>8.6946995769542106</v>
      </c>
      <c r="N316" s="66">
        <v>209.97834553701895</v>
      </c>
      <c r="O316" s="111">
        <v>15921.408069121693</v>
      </c>
      <c r="P316" s="111">
        <v>18823.022293387858</v>
      </c>
      <c r="Q316" s="110">
        <v>11416.760909528057</v>
      </c>
      <c r="R316" s="258">
        <v>27338.168978649752</v>
      </c>
      <c r="S316" s="259">
        <v>30239.783202915914</v>
      </c>
      <c r="U316" s="7" t="s">
        <v>1985</v>
      </c>
    </row>
    <row r="317" spans="1:21" s="65" customFormat="1" ht="16.5" thickBot="1">
      <c r="A317" s="41" t="s">
        <v>31</v>
      </c>
      <c r="B317" s="42">
        <f t="shared" si="18"/>
        <v>80</v>
      </c>
      <c r="C317" s="42" t="s">
        <v>3</v>
      </c>
      <c r="D317" s="42">
        <f t="shared" si="19"/>
        <v>400</v>
      </c>
      <c r="E317" s="42" t="s">
        <v>3</v>
      </c>
      <c r="F317" s="101">
        <f t="shared" si="20"/>
        <v>700</v>
      </c>
      <c r="G317" s="42" t="s">
        <v>3</v>
      </c>
      <c r="H317" s="39">
        <v>4</v>
      </c>
      <c r="I317" s="40" t="s">
        <v>40</v>
      </c>
      <c r="J317" s="149">
        <v>80</v>
      </c>
      <c r="K317" s="104">
        <v>400</v>
      </c>
      <c r="L317" s="104">
        <v>700</v>
      </c>
      <c r="M317" s="150">
        <v>9.2792634651352639</v>
      </c>
      <c r="N317" s="66">
        <v>244.97473645985542</v>
      </c>
      <c r="O317" s="111">
        <v>16677.450508940889</v>
      </c>
      <c r="P317" s="111">
        <v>19746.034112777408</v>
      </c>
      <c r="Q317" s="110">
        <v>12324.7019970418</v>
      </c>
      <c r="R317" s="258">
        <v>29002.152505982689</v>
      </c>
      <c r="S317" s="259">
        <v>32070.736109819209</v>
      </c>
      <c r="U317" s="7" t="s">
        <v>1986</v>
      </c>
    </row>
    <row r="318" spans="1:21" s="65" customFormat="1" ht="16.5" thickBot="1">
      <c r="A318" s="41" t="s">
        <v>31</v>
      </c>
      <c r="B318" s="42">
        <f t="shared" si="18"/>
        <v>80</v>
      </c>
      <c r="C318" s="42" t="s">
        <v>3</v>
      </c>
      <c r="D318" s="42">
        <f t="shared" si="19"/>
        <v>400</v>
      </c>
      <c r="E318" s="42" t="s">
        <v>3</v>
      </c>
      <c r="F318" s="101">
        <f t="shared" si="20"/>
        <v>750</v>
      </c>
      <c r="G318" s="42" t="s">
        <v>3</v>
      </c>
      <c r="H318" s="39">
        <v>4</v>
      </c>
      <c r="I318" s="40" t="s">
        <v>40</v>
      </c>
      <c r="J318" s="149">
        <v>80</v>
      </c>
      <c r="K318" s="104">
        <v>400</v>
      </c>
      <c r="L318" s="104">
        <v>750</v>
      </c>
      <c r="M318" s="150">
        <v>9.8638273533163154</v>
      </c>
      <c r="N318" s="66">
        <v>279.97112738269192</v>
      </c>
      <c r="O318" s="111">
        <v>17433.492795731312</v>
      </c>
      <c r="P318" s="111">
        <v>20669.045779138192</v>
      </c>
      <c r="Q318" s="110">
        <v>12981.309099800537</v>
      </c>
      <c r="R318" s="258">
        <v>30414.801895531848</v>
      </c>
      <c r="S318" s="259">
        <v>33650.354878938728</v>
      </c>
      <c r="U318" s="7" t="s">
        <v>1987</v>
      </c>
    </row>
    <row r="319" spans="1:21" s="65" customFormat="1" ht="16.5" thickBot="1">
      <c r="A319" s="41" t="s">
        <v>31</v>
      </c>
      <c r="B319" s="42">
        <f t="shared" si="18"/>
        <v>80</v>
      </c>
      <c r="C319" s="42" t="s">
        <v>3</v>
      </c>
      <c r="D319" s="42">
        <f t="shared" si="19"/>
        <v>400</v>
      </c>
      <c r="E319" s="42" t="s">
        <v>3</v>
      </c>
      <c r="F319" s="101">
        <f t="shared" si="20"/>
        <v>800</v>
      </c>
      <c r="G319" s="42" t="s">
        <v>3</v>
      </c>
      <c r="H319" s="39">
        <v>4</v>
      </c>
      <c r="I319" s="40" t="s">
        <v>40</v>
      </c>
      <c r="J319" s="149">
        <v>80</v>
      </c>
      <c r="K319" s="104">
        <v>400</v>
      </c>
      <c r="L319" s="104">
        <v>800</v>
      </c>
      <c r="M319" s="150">
        <v>10.448391241497369</v>
      </c>
      <c r="N319" s="66">
        <v>314.96751830552842</v>
      </c>
      <c r="O319" s="111">
        <v>18189.535235550502</v>
      </c>
      <c r="P319" s="111">
        <v>21592.057445498973</v>
      </c>
      <c r="Q319" s="110">
        <v>13637.916049530511</v>
      </c>
      <c r="R319" s="258">
        <v>31827.451285081013</v>
      </c>
      <c r="S319" s="259">
        <v>35229.973495029481</v>
      </c>
      <c r="U319" s="7" t="s">
        <v>1988</v>
      </c>
    </row>
    <row r="320" spans="1:21" s="65" customFormat="1" ht="16.5" thickBot="1">
      <c r="A320" s="41" t="s">
        <v>31</v>
      </c>
      <c r="B320" s="42">
        <f t="shared" si="18"/>
        <v>80</v>
      </c>
      <c r="C320" s="42" t="s">
        <v>3</v>
      </c>
      <c r="D320" s="42">
        <f t="shared" si="19"/>
        <v>400</v>
      </c>
      <c r="E320" s="42" t="s">
        <v>3</v>
      </c>
      <c r="F320" s="101">
        <f t="shared" si="20"/>
        <v>850</v>
      </c>
      <c r="G320" s="42" t="s">
        <v>3</v>
      </c>
      <c r="H320" s="39">
        <v>4</v>
      </c>
      <c r="I320" s="40" t="s">
        <v>40</v>
      </c>
      <c r="J320" s="149">
        <v>80</v>
      </c>
      <c r="K320" s="104">
        <v>400</v>
      </c>
      <c r="L320" s="104">
        <v>850</v>
      </c>
      <c r="M320" s="150">
        <v>11.03295512967842</v>
      </c>
      <c r="N320" s="66">
        <v>349.96390922836491</v>
      </c>
      <c r="O320" s="111">
        <v>18945.577675369692</v>
      </c>
      <c r="P320" s="111">
        <v>22515.069111859757</v>
      </c>
      <c r="Q320" s="110">
        <v>14545.85729007302</v>
      </c>
      <c r="R320" s="258">
        <v>33491.434965442713</v>
      </c>
      <c r="S320" s="259">
        <v>37060.926401932775</v>
      </c>
      <c r="U320" s="7" t="s">
        <v>1989</v>
      </c>
    </row>
    <row r="321" spans="1:21" s="65" customFormat="1" ht="16.5" thickBot="1">
      <c r="A321" s="41" t="s">
        <v>31</v>
      </c>
      <c r="B321" s="42">
        <f t="shared" si="18"/>
        <v>80</v>
      </c>
      <c r="C321" s="42" t="s">
        <v>3</v>
      </c>
      <c r="D321" s="42">
        <f t="shared" si="19"/>
        <v>400</v>
      </c>
      <c r="E321" s="42" t="s">
        <v>3</v>
      </c>
      <c r="F321" s="101">
        <f t="shared" si="20"/>
        <v>900</v>
      </c>
      <c r="G321" s="42" t="s">
        <v>3</v>
      </c>
      <c r="H321" s="39">
        <v>4</v>
      </c>
      <c r="I321" s="40" t="s">
        <v>40</v>
      </c>
      <c r="J321" s="149">
        <v>80</v>
      </c>
      <c r="K321" s="104">
        <v>400</v>
      </c>
      <c r="L321" s="104">
        <v>900</v>
      </c>
      <c r="M321" s="150">
        <v>11.617519017859474</v>
      </c>
      <c r="N321" s="66">
        <v>384.96030015120141</v>
      </c>
      <c r="O321" s="111">
        <v>19701.619962160119</v>
      </c>
      <c r="P321" s="111">
        <v>23438.080931249304</v>
      </c>
      <c r="Q321" s="110">
        <v>15202.464239802994</v>
      </c>
      <c r="R321" s="258">
        <v>34904.084201963109</v>
      </c>
      <c r="S321" s="259">
        <v>38640.545171052298</v>
      </c>
      <c r="U321" s="7" t="s">
        <v>1990</v>
      </c>
    </row>
    <row r="322" spans="1:21" s="65" customFormat="1" ht="16.5" thickBot="1">
      <c r="A322" s="41" t="s">
        <v>31</v>
      </c>
      <c r="B322" s="42">
        <f t="shared" si="18"/>
        <v>80</v>
      </c>
      <c r="C322" s="42" t="s">
        <v>3</v>
      </c>
      <c r="D322" s="42">
        <f t="shared" si="19"/>
        <v>400</v>
      </c>
      <c r="E322" s="42" t="s">
        <v>3</v>
      </c>
      <c r="F322" s="101">
        <f t="shared" si="20"/>
        <v>950</v>
      </c>
      <c r="G322" s="42" t="s">
        <v>3</v>
      </c>
      <c r="H322" s="39">
        <v>4</v>
      </c>
      <c r="I322" s="40" t="s">
        <v>40</v>
      </c>
      <c r="J322" s="149">
        <v>80</v>
      </c>
      <c r="K322" s="104">
        <v>400</v>
      </c>
      <c r="L322" s="104">
        <v>950</v>
      </c>
      <c r="M322" s="150">
        <v>12.202082906040525</v>
      </c>
      <c r="N322" s="66">
        <v>419.95669107403791</v>
      </c>
      <c r="O322" s="111">
        <v>20457.662401979309</v>
      </c>
      <c r="P322" s="111">
        <v>24361.092597610088</v>
      </c>
      <c r="Q322" s="110">
        <v>16110.4054803455</v>
      </c>
      <c r="R322" s="258">
        <v>36568.067882324809</v>
      </c>
      <c r="S322" s="259">
        <v>40471.498077955592</v>
      </c>
      <c r="U322" s="7" t="s">
        <v>1991</v>
      </c>
    </row>
    <row r="323" spans="1:21" s="65" customFormat="1" ht="16.5" thickBot="1">
      <c r="A323" s="41" t="s">
        <v>31</v>
      </c>
      <c r="B323" s="42">
        <f t="shared" si="18"/>
        <v>80</v>
      </c>
      <c r="C323" s="42" t="s">
        <v>3</v>
      </c>
      <c r="D323" s="42">
        <f t="shared" si="19"/>
        <v>400</v>
      </c>
      <c r="E323" s="42" t="s">
        <v>3</v>
      </c>
      <c r="F323" s="101">
        <f t="shared" si="20"/>
        <v>1000</v>
      </c>
      <c r="G323" s="42" t="s">
        <v>3</v>
      </c>
      <c r="H323" s="39">
        <v>4</v>
      </c>
      <c r="I323" s="40" t="s">
        <v>40</v>
      </c>
      <c r="J323" s="149">
        <v>80</v>
      </c>
      <c r="K323" s="104">
        <v>400</v>
      </c>
      <c r="L323" s="104">
        <v>1000</v>
      </c>
      <c r="M323" s="150">
        <v>12.786646794221578</v>
      </c>
      <c r="N323" s="66">
        <v>454.9530819968744</v>
      </c>
      <c r="O323" s="111">
        <v>21213.704688769736</v>
      </c>
      <c r="P323" s="111">
        <v>25284.104263970872</v>
      </c>
      <c r="Q323" s="110">
        <v>16767.012583104239</v>
      </c>
      <c r="R323" s="258">
        <v>37980.717271873975</v>
      </c>
      <c r="S323" s="259">
        <v>42051.116847075114</v>
      </c>
      <c r="U323" s="7" t="s">
        <v>1992</v>
      </c>
    </row>
    <row r="324" spans="1:21" s="65" customFormat="1" ht="16.5" thickBot="1">
      <c r="A324" s="41" t="s">
        <v>31</v>
      </c>
      <c r="B324" s="42">
        <f t="shared" si="18"/>
        <v>80</v>
      </c>
      <c r="C324" s="42" t="s">
        <v>3</v>
      </c>
      <c r="D324" s="42">
        <f t="shared" si="19"/>
        <v>400</v>
      </c>
      <c r="E324" s="42" t="s">
        <v>3</v>
      </c>
      <c r="F324" s="101">
        <f t="shared" si="20"/>
        <v>1050</v>
      </c>
      <c r="G324" s="42" t="s">
        <v>3</v>
      </c>
      <c r="H324" s="39">
        <v>4</v>
      </c>
      <c r="I324" s="40" t="s">
        <v>40</v>
      </c>
      <c r="J324" s="149">
        <v>80</v>
      </c>
      <c r="K324" s="104">
        <v>400</v>
      </c>
      <c r="L324" s="104">
        <v>1050</v>
      </c>
      <c r="M324" s="150">
        <v>13.371210682402632</v>
      </c>
      <c r="N324" s="66">
        <v>489.94947291971084</v>
      </c>
      <c r="O324" s="111">
        <v>21969.747128588926</v>
      </c>
      <c r="P324" s="111">
        <v>26207.116083360419</v>
      </c>
      <c r="Q324" s="110">
        <v>17674.953670617982</v>
      </c>
      <c r="R324" s="258">
        <v>39644.700799206912</v>
      </c>
      <c r="S324" s="259">
        <v>43882.069753978401</v>
      </c>
      <c r="U324" s="7" t="s">
        <v>1993</v>
      </c>
    </row>
    <row r="325" spans="1:21" s="65" customFormat="1" ht="16.5" thickBot="1">
      <c r="A325" s="38" t="s">
        <v>31</v>
      </c>
      <c r="B325" s="39">
        <f t="shared" si="18"/>
        <v>80</v>
      </c>
      <c r="C325" s="39" t="s">
        <v>3</v>
      </c>
      <c r="D325" s="39">
        <f t="shared" si="19"/>
        <v>400</v>
      </c>
      <c r="E325" s="39" t="s">
        <v>3</v>
      </c>
      <c r="F325" s="101">
        <f t="shared" si="20"/>
        <v>1100</v>
      </c>
      <c r="G325" s="39" t="s">
        <v>3</v>
      </c>
      <c r="H325" s="39">
        <v>4</v>
      </c>
      <c r="I325" s="40" t="s">
        <v>40</v>
      </c>
      <c r="J325" s="149">
        <v>80</v>
      </c>
      <c r="K325" s="104">
        <v>400</v>
      </c>
      <c r="L325" s="104">
        <v>1100</v>
      </c>
      <c r="M325" s="150">
        <v>13.955774570583685</v>
      </c>
      <c r="N325" s="66">
        <v>524.9458638425474</v>
      </c>
      <c r="O325" s="111">
        <v>22725.789568408116</v>
      </c>
      <c r="P325" s="111">
        <v>27130.1277497212</v>
      </c>
      <c r="Q325" s="110">
        <v>18331.560773376717</v>
      </c>
      <c r="R325" s="258">
        <v>41057.350341784833</v>
      </c>
      <c r="S325" s="259">
        <v>45461.688523097917</v>
      </c>
      <c r="U325" s="7" t="s">
        <v>1994</v>
      </c>
    </row>
    <row r="326" spans="1:21" s="65" customFormat="1" ht="16.5" thickBot="1">
      <c r="A326" s="41" t="s">
        <v>31</v>
      </c>
      <c r="B326" s="42">
        <f t="shared" si="18"/>
        <v>80</v>
      </c>
      <c r="C326" s="42" t="s">
        <v>3</v>
      </c>
      <c r="D326" s="42">
        <f t="shared" si="19"/>
        <v>400</v>
      </c>
      <c r="E326" s="42" t="s">
        <v>3</v>
      </c>
      <c r="F326" s="101">
        <f t="shared" si="20"/>
        <v>1150</v>
      </c>
      <c r="G326" s="42" t="s">
        <v>3</v>
      </c>
      <c r="H326" s="39">
        <v>4</v>
      </c>
      <c r="I326" s="40" t="s">
        <v>40</v>
      </c>
      <c r="J326" s="149">
        <v>80</v>
      </c>
      <c r="K326" s="104">
        <v>400</v>
      </c>
      <c r="L326" s="104">
        <v>1150</v>
      </c>
      <c r="M326" s="150">
        <v>14.540338458764737</v>
      </c>
      <c r="N326" s="66">
        <v>559.94225476538384</v>
      </c>
      <c r="O326" s="111">
        <v>23481.831855198543</v>
      </c>
      <c r="P326" s="111">
        <v>28053.139416081984</v>
      </c>
      <c r="Q326" s="110">
        <v>18988.167723106693</v>
      </c>
      <c r="R326" s="258">
        <v>42469.999578305236</v>
      </c>
      <c r="S326" s="259">
        <v>47041.307139188677</v>
      </c>
      <c r="U326" s="7" t="s">
        <v>1995</v>
      </c>
    </row>
    <row r="327" spans="1:21" s="65" customFormat="1" ht="16.5" thickBot="1">
      <c r="A327" s="41" t="s">
        <v>31</v>
      </c>
      <c r="B327" s="42">
        <f t="shared" si="18"/>
        <v>80</v>
      </c>
      <c r="C327" s="42" t="s">
        <v>3</v>
      </c>
      <c r="D327" s="42">
        <f t="shared" si="19"/>
        <v>400</v>
      </c>
      <c r="E327" s="42" t="s">
        <v>3</v>
      </c>
      <c r="F327" s="101">
        <f t="shared" si="20"/>
        <v>1200</v>
      </c>
      <c r="G327" s="42" t="s">
        <v>3</v>
      </c>
      <c r="H327" s="39">
        <v>4</v>
      </c>
      <c r="I327" s="40" t="s">
        <v>40</v>
      </c>
      <c r="J327" s="149">
        <v>80</v>
      </c>
      <c r="K327" s="104">
        <v>400</v>
      </c>
      <c r="L327" s="104">
        <v>1200</v>
      </c>
      <c r="M327" s="150">
        <v>15.203402346945788</v>
      </c>
      <c r="N327" s="66">
        <v>594.93864568822039</v>
      </c>
      <c r="O327" s="111">
        <v>24321.972477122297</v>
      </c>
      <c r="P327" s="111">
        <v>29057.68603273149</v>
      </c>
      <c r="Q327" s="110">
        <v>19896.1089636492</v>
      </c>
      <c r="R327" s="258">
        <v>44218.081440771493</v>
      </c>
      <c r="S327" s="259">
        <v>48953.79499638069</v>
      </c>
      <c r="U327" s="7" t="s">
        <v>1996</v>
      </c>
    </row>
    <row r="328" spans="1:21" s="65" customFormat="1" ht="16.5" thickBot="1">
      <c r="A328" s="41" t="s">
        <v>31</v>
      </c>
      <c r="B328" s="42">
        <f t="shared" si="18"/>
        <v>80</v>
      </c>
      <c r="C328" s="42" t="s">
        <v>3</v>
      </c>
      <c r="D328" s="42">
        <f t="shared" si="19"/>
        <v>400</v>
      </c>
      <c r="E328" s="42" t="s">
        <v>3</v>
      </c>
      <c r="F328" s="101">
        <f t="shared" si="20"/>
        <v>1250</v>
      </c>
      <c r="G328" s="42" t="s">
        <v>3</v>
      </c>
      <c r="H328" s="39">
        <v>4</v>
      </c>
      <c r="I328" s="40" t="s">
        <v>40</v>
      </c>
      <c r="J328" s="149">
        <v>80</v>
      </c>
      <c r="K328" s="104">
        <v>400</v>
      </c>
      <c r="L328" s="104">
        <v>1250</v>
      </c>
      <c r="M328" s="150">
        <v>15.787966235126841</v>
      </c>
      <c r="N328" s="66">
        <v>629.93503661105683</v>
      </c>
      <c r="O328" s="111">
        <v>25078.014916941487</v>
      </c>
      <c r="P328" s="111">
        <v>29980.69785212104</v>
      </c>
      <c r="Q328" s="110">
        <v>20552.715913379172</v>
      </c>
      <c r="R328" s="258">
        <v>45630.730830320659</v>
      </c>
      <c r="S328" s="259">
        <v>50533.413765500212</v>
      </c>
      <c r="U328" s="7" t="s">
        <v>1997</v>
      </c>
    </row>
    <row r="329" spans="1:21" s="65" customFormat="1" ht="16.5" thickBot="1">
      <c r="A329" s="41" t="s">
        <v>31</v>
      </c>
      <c r="B329" s="42">
        <f t="shared" si="18"/>
        <v>80</v>
      </c>
      <c r="C329" s="42" t="s">
        <v>3</v>
      </c>
      <c r="D329" s="42">
        <f t="shared" si="19"/>
        <v>400</v>
      </c>
      <c r="E329" s="42" t="s">
        <v>3</v>
      </c>
      <c r="F329" s="101">
        <f t="shared" si="20"/>
        <v>1300</v>
      </c>
      <c r="G329" s="42" t="s">
        <v>3</v>
      </c>
      <c r="H329" s="39">
        <v>4</v>
      </c>
      <c r="I329" s="40" t="s">
        <v>40</v>
      </c>
      <c r="J329" s="149">
        <v>80</v>
      </c>
      <c r="K329" s="104">
        <v>400</v>
      </c>
      <c r="L329" s="104">
        <v>1300</v>
      </c>
      <c r="M329" s="150">
        <v>16.372530123307897</v>
      </c>
      <c r="N329" s="66">
        <v>664.93142753389327</v>
      </c>
      <c r="O329" s="111">
        <v>25834.057356760681</v>
      </c>
      <c r="P329" s="111">
        <v>30903.709518481821</v>
      </c>
      <c r="Q329" s="110">
        <v>21460.657153921682</v>
      </c>
      <c r="R329" s="258">
        <v>47294.714510682359</v>
      </c>
      <c r="S329" s="259">
        <v>52364.366672403499</v>
      </c>
      <c r="U329" s="7" t="s">
        <v>1998</v>
      </c>
    </row>
    <row r="330" spans="1:21" s="65" customFormat="1" ht="16.5" thickBot="1">
      <c r="A330" s="41" t="s">
        <v>31</v>
      </c>
      <c r="B330" s="42">
        <f t="shared" si="18"/>
        <v>80</v>
      </c>
      <c r="C330" s="42" t="s">
        <v>3</v>
      </c>
      <c r="D330" s="42">
        <f t="shared" si="19"/>
        <v>400</v>
      </c>
      <c r="E330" s="42" t="s">
        <v>3</v>
      </c>
      <c r="F330" s="101">
        <f t="shared" si="20"/>
        <v>1350</v>
      </c>
      <c r="G330" s="42" t="s">
        <v>3</v>
      </c>
      <c r="H330" s="39">
        <v>4</v>
      </c>
      <c r="I330" s="40" t="s">
        <v>40</v>
      </c>
      <c r="J330" s="149">
        <v>80</v>
      </c>
      <c r="K330" s="104">
        <v>400</v>
      </c>
      <c r="L330" s="104">
        <v>1350</v>
      </c>
      <c r="M330" s="150">
        <v>16.957094011488945</v>
      </c>
      <c r="N330" s="66">
        <v>699.92781845672982</v>
      </c>
      <c r="O330" s="111">
        <v>26590.099643551108</v>
      </c>
      <c r="P330" s="111">
        <v>31826.721184842601</v>
      </c>
      <c r="Q330" s="110">
        <v>22117.264103651651</v>
      </c>
      <c r="R330" s="258">
        <v>48707.363747202762</v>
      </c>
      <c r="S330" s="259">
        <v>53943.985288494252</v>
      </c>
      <c r="U330" s="7" t="s">
        <v>1999</v>
      </c>
    </row>
    <row r="331" spans="1:21" s="65" customFormat="1" ht="16.5" thickBot="1">
      <c r="A331" s="41" t="s">
        <v>31</v>
      </c>
      <c r="B331" s="42">
        <f t="shared" si="18"/>
        <v>80</v>
      </c>
      <c r="C331" s="42" t="s">
        <v>3</v>
      </c>
      <c r="D331" s="42">
        <f t="shared" si="19"/>
        <v>400</v>
      </c>
      <c r="E331" s="42" t="s">
        <v>3</v>
      </c>
      <c r="F331" s="101">
        <f t="shared" si="20"/>
        <v>1400</v>
      </c>
      <c r="G331" s="42" t="s">
        <v>3</v>
      </c>
      <c r="H331" s="39">
        <v>4</v>
      </c>
      <c r="I331" s="40" t="s">
        <v>40</v>
      </c>
      <c r="J331" s="149">
        <v>80</v>
      </c>
      <c r="K331" s="104">
        <v>400</v>
      </c>
      <c r="L331" s="104">
        <v>1400</v>
      </c>
      <c r="M331" s="150">
        <v>17.54165789967</v>
      </c>
      <c r="N331" s="66">
        <v>734.92420937956638</v>
      </c>
      <c r="O331" s="111">
        <v>27346.142083370294</v>
      </c>
      <c r="P331" s="111">
        <v>32749.732851203382</v>
      </c>
      <c r="Q331" s="110">
        <v>23025.205344194161</v>
      </c>
      <c r="R331" s="258">
        <v>50371.347427564455</v>
      </c>
      <c r="S331" s="259">
        <v>55774.938195397539</v>
      </c>
      <c r="U331" s="7" t="s">
        <v>2000</v>
      </c>
    </row>
    <row r="332" spans="1:21" s="65" customFormat="1" ht="16.5" thickBot="1">
      <c r="A332" s="41" t="s">
        <v>31</v>
      </c>
      <c r="B332" s="42">
        <f t="shared" si="18"/>
        <v>80</v>
      </c>
      <c r="C332" s="42" t="s">
        <v>3</v>
      </c>
      <c r="D332" s="42">
        <f t="shared" si="19"/>
        <v>400</v>
      </c>
      <c r="E332" s="42" t="s">
        <v>3</v>
      </c>
      <c r="F332" s="101">
        <f t="shared" si="20"/>
        <v>1450</v>
      </c>
      <c r="G332" s="42" t="s">
        <v>3</v>
      </c>
      <c r="H332" s="39">
        <v>4</v>
      </c>
      <c r="I332" s="40" t="s">
        <v>40</v>
      </c>
      <c r="J332" s="149">
        <v>80</v>
      </c>
      <c r="K332" s="104">
        <v>400</v>
      </c>
      <c r="L332" s="104">
        <v>1450</v>
      </c>
      <c r="M332" s="150">
        <v>18.126221787851055</v>
      </c>
      <c r="N332" s="66">
        <v>769.92060030240282</v>
      </c>
      <c r="O332" s="111">
        <v>28102.184370160721</v>
      </c>
      <c r="P332" s="111">
        <v>33672.744670592932</v>
      </c>
      <c r="Q332" s="110">
        <v>23681.812293924133</v>
      </c>
      <c r="R332" s="258">
        <v>51783.996664084858</v>
      </c>
      <c r="S332" s="259">
        <v>57354.556964517062</v>
      </c>
      <c r="U332" s="7" t="s">
        <v>2001</v>
      </c>
    </row>
    <row r="333" spans="1:21" s="65" customFormat="1" ht="16.5" thickBot="1">
      <c r="A333" s="41" t="s">
        <v>31</v>
      </c>
      <c r="B333" s="42">
        <f t="shared" si="18"/>
        <v>80</v>
      </c>
      <c r="C333" s="42" t="s">
        <v>3</v>
      </c>
      <c r="D333" s="42">
        <f t="shared" si="19"/>
        <v>400</v>
      </c>
      <c r="E333" s="42" t="s">
        <v>3</v>
      </c>
      <c r="F333" s="101">
        <f t="shared" si="20"/>
        <v>1500</v>
      </c>
      <c r="G333" s="42" t="s">
        <v>3</v>
      </c>
      <c r="H333" s="39">
        <v>4</v>
      </c>
      <c r="I333" s="40" t="s">
        <v>40</v>
      </c>
      <c r="J333" s="149">
        <v>80</v>
      </c>
      <c r="K333" s="104">
        <v>400</v>
      </c>
      <c r="L333" s="104">
        <v>1500</v>
      </c>
      <c r="M333" s="150">
        <v>18.907352328832104</v>
      </c>
      <c r="N333" s="66">
        <v>804.91699122523926</v>
      </c>
      <c r="O333" s="111">
        <v>29741.742517205759</v>
      </c>
      <c r="P333" s="111">
        <v>35403.95511170417</v>
      </c>
      <c r="Q333" s="110">
        <v>24589.753534466639</v>
      </c>
      <c r="R333" s="258">
        <v>54331.496051672395</v>
      </c>
      <c r="S333" s="259">
        <v>59993.70864617081</v>
      </c>
      <c r="U333" s="7" t="s">
        <v>2002</v>
      </c>
    </row>
    <row r="334" spans="1:21" s="65" customFormat="1" ht="16.5" thickBot="1">
      <c r="A334" s="41" t="s">
        <v>31</v>
      </c>
      <c r="B334" s="42">
        <f t="shared" si="18"/>
        <v>80</v>
      </c>
      <c r="C334" s="42" t="s">
        <v>3</v>
      </c>
      <c r="D334" s="42">
        <f t="shared" si="19"/>
        <v>400</v>
      </c>
      <c r="E334" s="42" t="s">
        <v>3</v>
      </c>
      <c r="F334" s="101">
        <f t="shared" si="20"/>
        <v>1550</v>
      </c>
      <c r="G334" s="42" t="s">
        <v>3</v>
      </c>
      <c r="H334" s="39">
        <v>4</v>
      </c>
      <c r="I334" s="40" t="s">
        <v>40</v>
      </c>
      <c r="J334" s="149">
        <v>80</v>
      </c>
      <c r="K334" s="104">
        <v>400</v>
      </c>
      <c r="L334" s="104">
        <v>1550</v>
      </c>
      <c r="M334" s="150">
        <v>19.491916217013156</v>
      </c>
      <c r="N334" s="66">
        <v>839.91338214807581</v>
      </c>
      <c r="O334" s="111">
        <v>30497.784803996186</v>
      </c>
      <c r="P334" s="111">
        <v>36326.966778064947</v>
      </c>
      <c r="Q334" s="110">
        <v>25246.360484196612</v>
      </c>
      <c r="R334" s="258">
        <v>55744.145288192798</v>
      </c>
      <c r="S334" s="259">
        <v>61573.327262261562</v>
      </c>
      <c r="U334" s="7" t="s">
        <v>2003</v>
      </c>
    </row>
    <row r="335" spans="1:21" s="65" customFormat="1" ht="16.5" thickBot="1">
      <c r="A335" s="38" t="s">
        <v>31</v>
      </c>
      <c r="B335" s="39">
        <f t="shared" si="18"/>
        <v>80</v>
      </c>
      <c r="C335" s="39" t="s">
        <v>3</v>
      </c>
      <c r="D335" s="39">
        <f t="shared" si="19"/>
        <v>400</v>
      </c>
      <c r="E335" s="39" t="s">
        <v>3</v>
      </c>
      <c r="F335" s="101">
        <f t="shared" si="20"/>
        <v>1600</v>
      </c>
      <c r="G335" s="39" t="s">
        <v>3</v>
      </c>
      <c r="H335" s="39">
        <v>4</v>
      </c>
      <c r="I335" s="40" t="s">
        <v>40</v>
      </c>
      <c r="J335" s="149">
        <v>80</v>
      </c>
      <c r="K335" s="104">
        <v>400</v>
      </c>
      <c r="L335" s="104">
        <v>1600</v>
      </c>
      <c r="M335" s="150">
        <v>20.076480105194211</v>
      </c>
      <c r="N335" s="66">
        <v>874.90977307091225</v>
      </c>
      <c r="O335" s="111">
        <v>31253.827243815373</v>
      </c>
      <c r="P335" s="111">
        <v>37249.978444425731</v>
      </c>
      <c r="Q335" s="110">
        <v>25902.96758695535</v>
      </c>
      <c r="R335" s="258">
        <v>57156.794830770727</v>
      </c>
      <c r="S335" s="259">
        <v>63152.946031381085</v>
      </c>
      <c r="U335" s="7" t="s">
        <v>2004</v>
      </c>
    </row>
    <row r="336" spans="1:21" s="65" customFormat="1" ht="16.5" thickBot="1">
      <c r="A336" s="41" t="s">
        <v>31</v>
      </c>
      <c r="B336" s="42">
        <f t="shared" si="18"/>
        <v>80</v>
      </c>
      <c r="C336" s="42" t="s">
        <v>3</v>
      </c>
      <c r="D336" s="42">
        <f t="shared" si="19"/>
        <v>400</v>
      </c>
      <c r="E336" s="42" t="s">
        <v>3</v>
      </c>
      <c r="F336" s="101">
        <f t="shared" si="20"/>
        <v>1650</v>
      </c>
      <c r="G336" s="42" t="s">
        <v>3</v>
      </c>
      <c r="H336" s="39">
        <v>4</v>
      </c>
      <c r="I336" s="40" t="s">
        <v>40</v>
      </c>
      <c r="J336" s="149">
        <v>80</v>
      </c>
      <c r="K336" s="104">
        <v>400</v>
      </c>
      <c r="L336" s="104">
        <v>1650</v>
      </c>
      <c r="M336" s="150">
        <v>20.661043993375262</v>
      </c>
      <c r="N336" s="66">
        <v>909.90616399374881</v>
      </c>
      <c r="O336" s="111">
        <v>32009.869683634566</v>
      </c>
      <c r="P336" s="111">
        <v>38172.990110786515</v>
      </c>
      <c r="Q336" s="110">
        <v>26810.908827497857</v>
      </c>
      <c r="R336" s="258">
        <v>58820.778511132419</v>
      </c>
      <c r="S336" s="259">
        <v>64983.898938284372</v>
      </c>
      <c r="U336" s="7" t="s">
        <v>2005</v>
      </c>
    </row>
    <row r="337" spans="1:21" s="65" customFormat="1" ht="16.5" thickBot="1">
      <c r="A337" s="41" t="s">
        <v>31</v>
      </c>
      <c r="B337" s="42">
        <f t="shared" si="18"/>
        <v>80</v>
      </c>
      <c r="C337" s="42" t="s">
        <v>3</v>
      </c>
      <c r="D337" s="42">
        <f t="shared" si="19"/>
        <v>400</v>
      </c>
      <c r="E337" s="42" t="s">
        <v>3</v>
      </c>
      <c r="F337" s="101">
        <f t="shared" si="20"/>
        <v>1700</v>
      </c>
      <c r="G337" s="42" t="s">
        <v>3</v>
      </c>
      <c r="H337" s="39">
        <v>4</v>
      </c>
      <c r="I337" s="40" t="s">
        <v>40</v>
      </c>
      <c r="J337" s="149">
        <v>80</v>
      </c>
      <c r="K337" s="104">
        <v>400</v>
      </c>
      <c r="L337" s="104">
        <v>1700</v>
      </c>
      <c r="M337" s="150">
        <v>21.245607881556317</v>
      </c>
      <c r="N337" s="66">
        <v>944.90255491658536</v>
      </c>
      <c r="O337" s="111">
        <v>32765.911970424993</v>
      </c>
      <c r="P337" s="111">
        <v>39096.001930176062</v>
      </c>
      <c r="Q337" s="110">
        <v>27467.515777227836</v>
      </c>
      <c r="R337" s="258">
        <v>60233.42774765283</v>
      </c>
      <c r="S337" s="259">
        <v>66563.517707403895</v>
      </c>
      <c r="U337" s="7" t="s">
        <v>2006</v>
      </c>
    </row>
    <row r="338" spans="1:21" s="65" customFormat="1" ht="16.5" thickBot="1">
      <c r="A338" s="41" t="s">
        <v>31</v>
      </c>
      <c r="B338" s="42">
        <f t="shared" si="18"/>
        <v>80</v>
      </c>
      <c r="C338" s="42" t="s">
        <v>3</v>
      </c>
      <c r="D338" s="42">
        <f t="shared" si="19"/>
        <v>400</v>
      </c>
      <c r="E338" s="42" t="s">
        <v>3</v>
      </c>
      <c r="F338" s="101">
        <f t="shared" si="20"/>
        <v>1750</v>
      </c>
      <c r="G338" s="42" t="s">
        <v>3</v>
      </c>
      <c r="H338" s="39">
        <v>4</v>
      </c>
      <c r="I338" s="40" t="s">
        <v>40</v>
      </c>
      <c r="J338" s="149">
        <v>80</v>
      </c>
      <c r="K338" s="104">
        <v>400</v>
      </c>
      <c r="L338" s="104">
        <v>1750</v>
      </c>
      <c r="M338" s="150">
        <v>21.830171769737369</v>
      </c>
      <c r="N338" s="66">
        <v>979.89894583942169</v>
      </c>
      <c r="O338" s="111">
        <v>33521.95441024418</v>
      </c>
      <c r="P338" s="111">
        <v>40019.013596536846</v>
      </c>
      <c r="Q338" s="110">
        <v>28375.457017770343</v>
      </c>
      <c r="R338" s="258">
        <v>61897.411428014522</v>
      </c>
      <c r="S338" s="259">
        <v>68394.470614307182</v>
      </c>
      <c r="U338" s="7" t="s">
        <v>2007</v>
      </c>
    </row>
    <row r="339" spans="1:21" s="65" customFormat="1" ht="16.5" thickBot="1">
      <c r="A339" s="41" t="s">
        <v>31</v>
      </c>
      <c r="B339" s="42">
        <f t="shared" si="18"/>
        <v>80</v>
      </c>
      <c r="C339" s="42" t="s">
        <v>3</v>
      </c>
      <c r="D339" s="42">
        <f t="shared" si="19"/>
        <v>400</v>
      </c>
      <c r="E339" s="42" t="s">
        <v>3</v>
      </c>
      <c r="F339" s="101">
        <f t="shared" si="20"/>
        <v>1800</v>
      </c>
      <c r="G339" s="42" t="s">
        <v>3</v>
      </c>
      <c r="H339" s="39">
        <v>4</v>
      </c>
      <c r="I339" s="40" t="s">
        <v>40</v>
      </c>
      <c r="J339" s="149">
        <v>80</v>
      </c>
      <c r="K339" s="104">
        <v>400</v>
      </c>
      <c r="L339" s="104">
        <v>1800</v>
      </c>
      <c r="M339" s="150">
        <v>22.41473565791842</v>
      </c>
      <c r="N339" s="66">
        <v>1014.8953367622582</v>
      </c>
      <c r="O339" s="111">
        <v>34277.996697034607</v>
      </c>
      <c r="P339" s="111">
        <v>40942.02526289763</v>
      </c>
      <c r="Q339" s="110">
        <v>29032.063967500315</v>
      </c>
      <c r="R339" s="258">
        <v>63310.060664534918</v>
      </c>
      <c r="S339" s="259">
        <v>69974.089230397949</v>
      </c>
      <c r="U339" s="7" t="s">
        <v>2008</v>
      </c>
    </row>
    <row r="340" spans="1:21" s="65" customFormat="1" ht="16.5" thickBot="1">
      <c r="A340" s="41" t="s">
        <v>31</v>
      </c>
      <c r="B340" s="42">
        <f t="shared" si="18"/>
        <v>80</v>
      </c>
      <c r="C340" s="42" t="s">
        <v>3</v>
      </c>
      <c r="D340" s="42">
        <f t="shared" si="19"/>
        <v>400</v>
      </c>
      <c r="E340" s="42" t="s">
        <v>3</v>
      </c>
      <c r="F340" s="101">
        <f t="shared" si="20"/>
        <v>1850</v>
      </c>
      <c r="G340" s="42" t="s">
        <v>3</v>
      </c>
      <c r="H340" s="39">
        <v>4</v>
      </c>
      <c r="I340" s="40" t="s">
        <v>40</v>
      </c>
      <c r="J340" s="149">
        <v>80</v>
      </c>
      <c r="K340" s="104">
        <v>400</v>
      </c>
      <c r="L340" s="104">
        <v>1850</v>
      </c>
      <c r="M340" s="150">
        <v>22.999299546099472</v>
      </c>
      <c r="N340" s="66">
        <v>1049.8917276850948</v>
      </c>
      <c r="O340" s="111">
        <v>35034.039136853804</v>
      </c>
      <c r="P340" s="111">
        <v>41865.037082287177</v>
      </c>
      <c r="Q340" s="110">
        <v>29940.005208042821</v>
      </c>
      <c r="R340" s="258">
        <v>64974.044344896625</v>
      </c>
      <c r="S340" s="259">
        <v>71805.042290329991</v>
      </c>
      <c r="U340" s="7" t="s">
        <v>2009</v>
      </c>
    </row>
    <row r="341" spans="1:21" s="65" customFormat="1" ht="16.5" thickBot="1">
      <c r="A341" s="41" t="s">
        <v>31</v>
      </c>
      <c r="B341" s="42">
        <f t="shared" si="18"/>
        <v>80</v>
      </c>
      <c r="C341" s="42" t="s">
        <v>3</v>
      </c>
      <c r="D341" s="42">
        <f t="shared" si="19"/>
        <v>400</v>
      </c>
      <c r="E341" s="42" t="s">
        <v>3</v>
      </c>
      <c r="F341" s="101">
        <f t="shared" si="20"/>
        <v>1900</v>
      </c>
      <c r="G341" s="42" t="s">
        <v>3</v>
      </c>
      <c r="H341" s="39">
        <v>4</v>
      </c>
      <c r="I341" s="40" t="s">
        <v>40</v>
      </c>
      <c r="J341" s="149">
        <v>80</v>
      </c>
      <c r="K341" s="104">
        <v>400</v>
      </c>
      <c r="L341" s="104">
        <v>1900</v>
      </c>
      <c r="M341" s="150">
        <v>23.583863434280524</v>
      </c>
      <c r="N341" s="66">
        <v>1084.8881186079313</v>
      </c>
      <c r="O341" s="111">
        <v>35790.081423644224</v>
      </c>
      <c r="P341" s="111">
        <v>42788.048748647961</v>
      </c>
      <c r="Q341" s="110">
        <v>30596.612157772794</v>
      </c>
      <c r="R341" s="258">
        <v>66386.693581417014</v>
      </c>
      <c r="S341" s="259">
        <v>73384.660906420759</v>
      </c>
      <c r="U341" s="7" t="s">
        <v>2010</v>
      </c>
    </row>
    <row r="342" spans="1:21" s="65" customFormat="1" ht="16.5" thickBot="1">
      <c r="A342" s="41" t="s">
        <v>31</v>
      </c>
      <c r="B342" s="42">
        <f t="shared" si="18"/>
        <v>80</v>
      </c>
      <c r="C342" s="42" t="s">
        <v>3</v>
      </c>
      <c r="D342" s="42">
        <f t="shared" si="19"/>
        <v>400</v>
      </c>
      <c r="E342" s="42" t="s">
        <v>3</v>
      </c>
      <c r="F342" s="101">
        <f t="shared" si="20"/>
        <v>1950</v>
      </c>
      <c r="G342" s="42" t="s">
        <v>3</v>
      </c>
      <c r="H342" s="39">
        <v>4</v>
      </c>
      <c r="I342" s="40" t="s">
        <v>40</v>
      </c>
      <c r="J342" s="149">
        <v>80</v>
      </c>
      <c r="K342" s="104">
        <v>400</v>
      </c>
      <c r="L342" s="104">
        <v>1950</v>
      </c>
      <c r="M342" s="150">
        <v>24.24692732246158</v>
      </c>
      <c r="N342" s="66">
        <v>1119.8845095307677</v>
      </c>
      <c r="O342" s="111">
        <v>36630.222198596748</v>
      </c>
      <c r="P342" s="111">
        <v>43792.595365297464</v>
      </c>
      <c r="Q342" s="110">
        <v>31253.219260531532</v>
      </c>
      <c r="R342" s="258">
        <v>67883.441459128284</v>
      </c>
      <c r="S342" s="259">
        <v>75045.814625828993</v>
      </c>
      <c r="U342" s="7" t="s">
        <v>2011</v>
      </c>
    </row>
    <row r="343" spans="1:21" s="65" customFormat="1" ht="16.5" thickBot="1">
      <c r="A343" s="41" t="s">
        <v>31</v>
      </c>
      <c r="B343" s="42">
        <f t="shared" si="18"/>
        <v>80</v>
      </c>
      <c r="C343" s="42" t="s">
        <v>3</v>
      </c>
      <c r="D343" s="42">
        <f t="shared" si="19"/>
        <v>400</v>
      </c>
      <c r="E343" s="42" t="s">
        <v>3</v>
      </c>
      <c r="F343" s="101">
        <f t="shared" si="20"/>
        <v>2000</v>
      </c>
      <c r="G343" s="42" t="s">
        <v>3</v>
      </c>
      <c r="H343" s="39">
        <v>4</v>
      </c>
      <c r="I343" s="40" t="s">
        <v>40</v>
      </c>
      <c r="J343" s="149">
        <v>80</v>
      </c>
      <c r="K343" s="104">
        <v>400</v>
      </c>
      <c r="L343" s="104">
        <v>2000</v>
      </c>
      <c r="M343" s="150">
        <v>24.923053610642629</v>
      </c>
      <c r="N343" s="66">
        <v>1154.8809004536042</v>
      </c>
      <c r="O343" s="111">
        <v>37637.556387231765</v>
      </c>
      <c r="P343" s="111">
        <v>45044.035531024339</v>
      </c>
      <c r="Q343" s="110">
        <v>32161.160348045276</v>
      </c>
      <c r="R343" s="258">
        <v>69798.716735277034</v>
      </c>
      <c r="S343" s="259">
        <v>77205.195879069623</v>
      </c>
      <c r="U343" s="7" t="s">
        <v>2012</v>
      </c>
    </row>
    <row r="344" spans="1:21" s="65" customFormat="1" ht="16.5" thickBot="1">
      <c r="A344" s="41" t="s">
        <v>31</v>
      </c>
      <c r="B344" s="42">
        <f t="shared" si="18"/>
        <v>80</v>
      </c>
      <c r="C344" s="42" t="s">
        <v>3</v>
      </c>
      <c r="D344" s="42">
        <f t="shared" si="19"/>
        <v>400</v>
      </c>
      <c r="E344" s="42" t="s">
        <v>3</v>
      </c>
      <c r="F344" s="101">
        <f t="shared" si="20"/>
        <v>2050</v>
      </c>
      <c r="G344" s="42" t="s">
        <v>3</v>
      </c>
      <c r="H344" s="39">
        <v>4</v>
      </c>
      <c r="I344" s="40" t="s">
        <v>40</v>
      </c>
      <c r="J344" s="149">
        <v>80</v>
      </c>
      <c r="K344" s="104">
        <v>400</v>
      </c>
      <c r="L344" s="104">
        <v>2050</v>
      </c>
      <c r="M344" s="150">
        <v>25.507617498823684</v>
      </c>
      <c r="N344" s="66">
        <v>1189.8772913764408</v>
      </c>
      <c r="O344" s="111">
        <v>38393.598827050955</v>
      </c>
      <c r="P344" s="111">
        <v>45967.047350413886</v>
      </c>
      <c r="Q344" s="110">
        <v>32817.767450804015</v>
      </c>
      <c r="R344" s="258">
        <v>71211.366277854977</v>
      </c>
      <c r="S344" s="259">
        <v>78784.814801217901</v>
      </c>
      <c r="U344" s="7" t="s">
        <v>2013</v>
      </c>
    </row>
    <row r="345" spans="1:21" s="65" customFormat="1" ht="16.5" thickBot="1">
      <c r="A345" s="38" t="s">
        <v>31</v>
      </c>
      <c r="B345" s="39">
        <f t="shared" si="18"/>
        <v>80</v>
      </c>
      <c r="C345" s="39" t="s">
        <v>3</v>
      </c>
      <c r="D345" s="39">
        <f t="shared" si="19"/>
        <v>400</v>
      </c>
      <c r="E345" s="39" t="s">
        <v>3</v>
      </c>
      <c r="F345" s="101">
        <f t="shared" si="20"/>
        <v>2100</v>
      </c>
      <c r="G345" s="39" t="s">
        <v>3</v>
      </c>
      <c r="H345" s="39">
        <v>4</v>
      </c>
      <c r="I345" s="40" t="s">
        <v>40</v>
      </c>
      <c r="J345" s="149">
        <v>80</v>
      </c>
      <c r="K345" s="104">
        <v>400</v>
      </c>
      <c r="L345" s="104">
        <v>2100</v>
      </c>
      <c r="M345" s="150">
        <v>26.092181387004736</v>
      </c>
      <c r="N345" s="66">
        <v>1224.8736822992771</v>
      </c>
      <c r="O345" s="111">
        <v>39149.641113841382</v>
      </c>
      <c r="P345" s="111">
        <v>46890.05901677467</v>
      </c>
      <c r="Q345" s="110">
        <v>33725.708538317755</v>
      </c>
      <c r="R345" s="258">
        <v>72875.349652159144</v>
      </c>
      <c r="S345" s="259">
        <v>80615.767555092432</v>
      </c>
      <c r="U345" s="7" t="s">
        <v>2014</v>
      </c>
    </row>
    <row r="346" spans="1:21" s="65" customFormat="1" ht="16.5" thickBot="1">
      <c r="A346" s="41" t="s">
        <v>31</v>
      </c>
      <c r="B346" s="42">
        <f t="shared" si="18"/>
        <v>80</v>
      </c>
      <c r="C346" s="42" t="s">
        <v>3</v>
      </c>
      <c r="D346" s="42">
        <f t="shared" si="19"/>
        <v>400</v>
      </c>
      <c r="E346" s="42" t="s">
        <v>3</v>
      </c>
      <c r="F346" s="101">
        <f t="shared" si="20"/>
        <v>2150</v>
      </c>
      <c r="G346" s="42" t="s">
        <v>3</v>
      </c>
      <c r="H346" s="39">
        <v>4</v>
      </c>
      <c r="I346" s="40" t="s">
        <v>40</v>
      </c>
      <c r="J346" s="149">
        <v>80</v>
      </c>
      <c r="K346" s="104">
        <v>400</v>
      </c>
      <c r="L346" s="104">
        <v>2150</v>
      </c>
      <c r="M346" s="150">
        <v>26.676745275185787</v>
      </c>
      <c r="N346" s="66">
        <v>1259.8700732221137</v>
      </c>
      <c r="O346" s="111">
        <v>39905.683553660572</v>
      </c>
      <c r="P346" s="111">
        <v>47813.070683135455</v>
      </c>
      <c r="Q346" s="110">
        <v>34382.315641076493</v>
      </c>
      <c r="R346" s="258">
        <v>74287.999194737058</v>
      </c>
      <c r="S346" s="259">
        <v>82195.386324211955</v>
      </c>
      <c r="U346" s="7" t="s">
        <v>2015</v>
      </c>
    </row>
    <row r="347" spans="1:21" s="65" customFormat="1" ht="16.5" thickBot="1">
      <c r="A347" s="41" t="s">
        <v>31</v>
      </c>
      <c r="B347" s="42">
        <f t="shared" si="18"/>
        <v>80</v>
      </c>
      <c r="C347" s="42" t="s">
        <v>3</v>
      </c>
      <c r="D347" s="42">
        <f t="shared" si="19"/>
        <v>400</v>
      </c>
      <c r="E347" s="42" t="s">
        <v>3</v>
      </c>
      <c r="F347" s="101">
        <f t="shared" si="20"/>
        <v>2200</v>
      </c>
      <c r="G347" s="42" t="s">
        <v>3</v>
      </c>
      <c r="H347" s="39">
        <v>4</v>
      </c>
      <c r="I347" s="40" t="s">
        <v>40</v>
      </c>
      <c r="J347" s="149">
        <v>80</v>
      </c>
      <c r="K347" s="104">
        <v>400</v>
      </c>
      <c r="L347" s="104">
        <v>2200</v>
      </c>
      <c r="M347" s="150">
        <v>27.261309163366839</v>
      </c>
      <c r="N347" s="66">
        <v>1294.8664641449502</v>
      </c>
      <c r="O347" s="111">
        <v>40661.725993479762</v>
      </c>
      <c r="P347" s="111">
        <v>48736.082349496239</v>
      </c>
      <c r="Q347" s="110">
        <v>35290.256728590233</v>
      </c>
      <c r="R347" s="258">
        <v>75951.982722069995</v>
      </c>
      <c r="S347" s="259">
        <v>84026.339078086472</v>
      </c>
      <c r="U347" s="7" t="s">
        <v>2016</v>
      </c>
    </row>
    <row r="348" spans="1:21" s="65" customFormat="1" ht="16.5" thickBot="1">
      <c r="A348" s="41" t="s">
        <v>31</v>
      </c>
      <c r="B348" s="42">
        <f t="shared" si="18"/>
        <v>80</v>
      </c>
      <c r="C348" s="42" t="s">
        <v>3</v>
      </c>
      <c r="D348" s="42">
        <f t="shared" si="19"/>
        <v>400</v>
      </c>
      <c r="E348" s="42" t="s">
        <v>3</v>
      </c>
      <c r="F348" s="101">
        <f t="shared" si="20"/>
        <v>2250</v>
      </c>
      <c r="G348" s="42" t="s">
        <v>3</v>
      </c>
      <c r="H348" s="39">
        <v>4</v>
      </c>
      <c r="I348" s="40" t="s">
        <v>40</v>
      </c>
      <c r="J348" s="149">
        <v>80</v>
      </c>
      <c r="K348" s="104">
        <v>400</v>
      </c>
      <c r="L348" s="104">
        <v>2250</v>
      </c>
      <c r="M348" s="150">
        <v>27.84587305154789</v>
      </c>
      <c r="N348" s="66">
        <v>1329.8628550677865</v>
      </c>
      <c r="O348" s="111">
        <v>41417.768280270189</v>
      </c>
      <c r="P348" s="111">
        <v>49659.094168885786</v>
      </c>
      <c r="Q348" s="110">
        <v>35946.863831348819</v>
      </c>
      <c r="R348" s="258">
        <v>77364.632111619008</v>
      </c>
      <c r="S348" s="259">
        <v>85605.958000234605</v>
      </c>
      <c r="U348" s="7" t="s">
        <v>2017</v>
      </c>
    </row>
    <row r="349" spans="1:21" s="65" customFormat="1" ht="16.5" thickBot="1">
      <c r="A349" s="41" t="s">
        <v>31</v>
      </c>
      <c r="B349" s="42">
        <f t="shared" si="18"/>
        <v>80</v>
      </c>
      <c r="C349" s="42" t="s">
        <v>3</v>
      </c>
      <c r="D349" s="42">
        <f t="shared" si="19"/>
        <v>400</v>
      </c>
      <c r="E349" s="42" t="s">
        <v>3</v>
      </c>
      <c r="F349" s="101">
        <f t="shared" si="20"/>
        <v>2300</v>
      </c>
      <c r="G349" s="42" t="s">
        <v>3</v>
      </c>
      <c r="H349" s="39">
        <v>4</v>
      </c>
      <c r="I349" s="40" t="s">
        <v>40</v>
      </c>
      <c r="J349" s="149">
        <v>80</v>
      </c>
      <c r="K349" s="104">
        <v>400</v>
      </c>
      <c r="L349" s="104">
        <v>2300</v>
      </c>
      <c r="M349" s="150">
        <v>28.430436939728942</v>
      </c>
      <c r="N349" s="66">
        <v>1364.8592459906231</v>
      </c>
      <c r="O349" s="111">
        <v>42173.810720089379</v>
      </c>
      <c r="P349" s="111">
        <v>50582.10583524657</v>
      </c>
      <c r="Q349" s="110">
        <v>36603.470781078948</v>
      </c>
      <c r="R349" s="258">
        <v>78777.281501168327</v>
      </c>
      <c r="S349" s="259">
        <v>87185.576616325518</v>
      </c>
      <c r="U349" s="7" t="s">
        <v>2018</v>
      </c>
    </row>
    <row r="350" spans="1:21" s="65" customFormat="1" ht="16.5" thickBot="1">
      <c r="A350" s="41" t="s">
        <v>31</v>
      </c>
      <c r="B350" s="42">
        <f t="shared" si="18"/>
        <v>80</v>
      </c>
      <c r="C350" s="42" t="s">
        <v>3</v>
      </c>
      <c r="D350" s="42">
        <f t="shared" si="19"/>
        <v>400</v>
      </c>
      <c r="E350" s="42" t="s">
        <v>3</v>
      </c>
      <c r="F350" s="101">
        <f t="shared" si="20"/>
        <v>2350</v>
      </c>
      <c r="G350" s="42" t="s">
        <v>3</v>
      </c>
      <c r="H350" s="39">
        <v>4</v>
      </c>
      <c r="I350" s="40" t="s">
        <v>40</v>
      </c>
      <c r="J350" s="149">
        <v>80</v>
      </c>
      <c r="K350" s="104">
        <v>400</v>
      </c>
      <c r="L350" s="104">
        <v>2350</v>
      </c>
      <c r="M350" s="150">
        <v>29.015000827909997</v>
      </c>
      <c r="N350" s="66">
        <v>1399.8556369134596</v>
      </c>
      <c r="O350" s="111">
        <v>42929.853006879806</v>
      </c>
      <c r="P350" s="111">
        <v>51505.117501607354</v>
      </c>
      <c r="Q350" s="110">
        <v>37511.412021621458</v>
      </c>
      <c r="R350" s="258">
        <v>80441.265028501264</v>
      </c>
      <c r="S350" s="259">
        <v>89016.529523228819</v>
      </c>
      <c r="U350" s="7" t="s">
        <v>2019</v>
      </c>
    </row>
    <row r="351" spans="1:21" s="65" customFormat="1" ht="16.5" thickBot="1">
      <c r="A351" s="41" t="s">
        <v>31</v>
      </c>
      <c r="B351" s="42">
        <f t="shared" si="18"/>
        <v>80</v>
      </c>
      <c r="C351" s="42" t="s">
        <v>3</v>
      </c>
      <c r="D351" s="42">
        <f t="shared" si="19"/>
        <v>400</v>
      </c>
      <c r="E351" s="42" t="s">
        <v>3</v>
      </c>
      <c r="F351" s="101">
        <f t="shared" si="20"/>
        <v>2400</v>
      </c>
      <c r="G351" s="42" t="s">
        <v>3</v>
      </c>
      <c r="H351" s="39">
        <v>4</v>
      </c>
      <c r="I351" s="40" t="s">
        <v>40</v>
      </c>
      <c r="J351" s="149">
        <v>80</v>
      </c>
      <c r="K351" s="104">
        <v>400</v>
      </c>
      <c r="L351" s="104">
        <v>2400</v>
      </c>
      <c r="M351" s="150">
        <v>29.599564716091052</v>
      </c>
      <c r="N351" s="66">
        <v>1434.852027836296</v>
      </c>
      <c r="O351" s="111">
        <v>43685.895446698996</v>
      </c>
      <c r="P351" s="111">
        <v>52428.129320996894</v>
      </c>
      <c r="Q351" s="110">
        <v>38168.019124380196</v>
      </c>
      <c r="R351" s="258">
        <v>81853.914571079193</v>
      </c>
      <c r="S351" s="259">
        <v>90596.148445377097</v>
      </c>
      <c r="U351" s="7" t="s">
        <v>2020</v>
      </c>
    </row>
    <row r="352" spans="1:21" s="65" customFormat="1" ht="16.5" thickBot="1">
      <c r="A352" s="41" t="s">
        <v>31</v>
      </c>
      <c r="B352" s="42">
        <f t="shared" si="18"/>
        <v>80</v>
      </c>
      <c r="C352" s="42" t="s">
        <v>3</v>
      </c>
      <c r="D352" s="42">
        <f t="shared" si="19"/>
        <v>400</v>
      </c>
      <c r="E352" s="42" t="s">
        <v>3</v>
      </c>
      <c r="F352" s="101">
        <f t="shared" si="20"/>
        <v>2450</v>
      </c>
      <c r="G352" s="42" t="s">
        <v>3</v>
      </c>
      <c r="H352" s="39">
        <v>4</v>
      </c>
      <c r="I352" s="40" t="s">
        <v>40</v>
      </c>
      <c r="J352" s="149">
        <v>80</v>
      </c>
      <c r="K352" s="104">
        <v>400</v>
      </c>
      <c r="L352" s="104">
        <v>2450</v>
      </c>
      <c r="M352" s="150">
        <v>30.380695257072105</v>
      </c>
      <c r="N352" s="66">
        <v>1469.8484187591328</v>
      </c>
      <c r="O352" s="111">
        <v>45325.453440715268</v>
      </c>
      <c r="P352" s="111">
        <v>54159.339609079369</v>
      </c>
      <c r="Q352" s="110">
        <v>39075.960211893937</v>
      </c>
      <c r="R352" s="258">
        <v>84401.413652609204</v>
      </c>
      <c r="S352" s="259">
        <v>93235.299820973305</v>
      </c>
      <c r="U352" s="7" t="s">
        <v>2021</v>
      </c>
    </row>
    <row r="353" spans="1:21" s="65" customFormat="1" ht="16.5" thickBot="1">
      <c r="A353" s="41" t="s">
        <v>31</v>
      </c>
      <c r="B353" s="42">
        <f t="shared" si="18"/>
        <v>80</v>
      </c>
      <c r="C353" s="42" t="s">
        <v>3</v>
      </c>
      <c r="D353" s="42">
        <f t="shared" si="19"/>
        <v>400</v>
      </c>
      <c r="E353" s="42" t="s">
        <v>3</v>
      </c>
      <c r="F353" s="101">
        <f t="shared" si="20"/>
        <v>2500</v>
      </c>
      <c r="G353" s="42" t="s">
        <v>3</v>
      </c>
      <c r="H353" s="39">
        <v>4</v>
      </c>
      <c r="I353" s="40" t="s">
        <v>40</v>
      </c>
      <c r="J353" s="149">
        <v>80</v>
      </c>
      <c r="K353" s="104">
        <v>400</v>
      </c>
      <c r="L353" s="104">
        <v>2500</v>
      </c>
      <c r="M353" s="150">
        <v>30.965259145253157</v>
      </c>
      <c r="N353" s="66">
        <v>1504.8448096819691</v>
      </c>
      <c r="O353" s="111">
        <v>46081.495880534458</v>
      </c>
      <c r="P353" s="111">
        <v>55082.351428468755</v>
      </c>
      <c r="Q353" s="110">
        <v>39732.567314652675</v>
      </c>
      <c r="R353" s="258">
        <v>85814.063195187133</v>
      </c>
      <c r="S353" s="259">
        <v>94814.918743121438</v>
      </c>
      <c r="U353" s="7" t="s">
        <v>2022</v>
      </c>
    </row>
    <row r="354" spans="1:21" s="65" customFormat="1" ht="16.5" thickBot="1">
      <c r="A354" s="41" t="s">
        <v>31</v>
      </c>
      <c r="B354" s="42">
        <f t="shared" si="18"/>
        <v>80</v>
      </c>
      <c r="C354" s="42" t="s">
        <v>3</v>
      </c>
      <c r="D354" s="42">
        <f t="shared" si="19"/>
        <v>400</v>
      </c>
      <c r="E354" s="42" t="s">
        <v>3</v>
      </c>
      <c r="F354" s="101">
        <f t="shared" si="20"/>
        <v>2550</v>
      </c>
      <c r="G354" s="42" t="s">
        <v>3</v>
      </c>
      <c r="H354" s="39">
        <v>4</v>
      </c>
      <c r="I354" s="40" t="s">
        <v>40</v>
      </c>
      <c r="J354" s="149">
        <v>80</v>
      </c>
      <c r="K354" s="104">
        <v>400</v>
      </c>
      <c r="L354" s="104">
        <v>2550</v>
      </c>
      <c r="M354" s="150">
        <v>31.549823033434208</v>
      </c>
      <c r="N354" s="66">
        <v>1539.8412006048056</v>
      </c>
      <c r="O354" s="111">
        <v>46837.538320353655</v>
      </c>
      <c r="P354" s="111">
        <v>56005.363094829692</v>
      </c>
      <c r="Q354" s="110">
        <v>40640.508402166415</v>
      </c>
      <c r="R354" s="258">
        <v>87478.04672252007</v>
      </c>
      <c r="S354" s="259">
        <v>96645.871496996115</v>
      </c>
      <c r="U354" s="7" t="s">
        <v>2023</v>
      </c>
    </row>
    <row r="355" spans="1:21" s="65" customFormat="1" ht="16.5" thickBot="1">
      <c r="A355" s="38" t="s">
        <v>31</v>
      </c>
      <c r="B355" s="39">
        <f t="shared" si="18"/>
        <v>80</v>
      </c>
      <c r="C355" s="39" t="s">
        <v>3</v>
      </c>
      <c r="D355" s="39">
        <f t="shared" si="19"/>
        <v>400</v>
      </c>
      <c r="E355" s="39" t="s">
        <v>3</v>
      </c>
      <c r="F355" s="101">
        <f t="shared" si="20"/>
        <v>2600</v>
      </c>
      <c r="G355" s="39" t="s">
        <v>3</v>
      </c>
      <c r="H355" s="39">
        <v>4</v>
      </c>
      <c r="I355" s="40" t="s">
        <v>40</v>
      </c>
      <c r="J355" s="149">
        <v>80</v>
      </c>
      <c r="K355" s="104">
        <v>400</v>
      </c>
      <c r="L355" s="104">
        <v>2600</v>
      </c>
      <c r="M355" s="150">
        <v>32.13438692161526</v>
      </c>
      <c r="N355" s="66">
        <v>1574.8375915276422</v>
      </c>
      <c r="O355" s="111">
        <v>47593.580607144075</v>
      </c>
      <c r="P355" s="111">
        <v>56928.374761190476</v>
      </c>
      <c r="Q355" s="110">
        <v>41297.115504925154</v>
      </c>
      <c r="R355" s="258">
        <v>88890.696112069229</v>
      </c>
      <c r="S355" s="259">
        <v>98225.490266115637</v>
      </c>
      <c r="U355" s="7" t="s">
        <v>2024</v>
      </c>
    </row>
    <row r="356" spans="1:21" s="65" customFormat="1" ht="16.5" thickBot="1">
      <c r="A356" s="41" t="s">
        <v>31</v>
      </c>
      <c r="B356" s="42">
        <f t="shared" si="18"/>
        <v>80</v>
      </c>
      <c r="C356" s="42" t="s">
        <v>3</v>
      </c>
      <c r="D356" s="42">
        <f t="shared" si="19"/>
        <v>400</v>
      </c>
      <c r="E356" s="42" t="s">
        <v>3</v>
      </c>
      <c r="F356" s="101">
        <f t="shared" si="20"/>
        <v>2650</v>
      </c>
      <c r="G356" s="42" t="s">
        <v>3</v>
      </c>
      <c r="H356" s="39">
        <v>4</v>
      </c>
      <c r="I356" s="40" t="s">
        <v>40</v>
      </c>
      <c r="J356" s="149">
        <v>80</v>
      </c>
      <c r="K356" s="104">
        <v>400</v>
      </c>
      <c r="L356" s="104">
        <v>2650</v>
      </c>
      <c r="M356" s="150">
        <v>32.718950809796318</v>
      </c>
      <c r="N356" s="66">
        <v>1609.8339824504785</v>
      </c>
      <c r="O356" s="111">
        <v>48349.623046963265</v>
      </c>
      <c r="P356" s="111">
        <v>57851.386580580031</v>
      </c>
      <c r="Q356" s="110">
        <v>42205.056592438901</v>
      </c>
      <c r="R356" s="258">
        <v>90554.679639402166</v>
      </c>
      <c r="S356" s="259">
        <v>100056.44317301892</v>
      </c>
      <c r="U356" s="7" t="s">
        <v>2025</v>
      </c>
    </row>
    <row r="357" spans="1:21" s="65" customFormat="1" ht="16.5" thickBot="1">
      <c r="A357" s="41" t="s">
        <v>31</v>
      </c>
      <c r="B357" s="42">
        <f t="shared" si="18"/>
        <v>80</v>
      </c>
      <c r="C357" s="42" t="s">
        <v>3</v>
      </c>
      <c r="D357" s="42">
        <f t="shared" si="19"/>
        <v>400</v>
      </c>
      <c r="E357" s="42" t="s">
        <v>3</v>
      </c>
      <c r="F357" s="101">
        <f t="shared" si="20"/>
        <v>2700</v>
      </c>
      <c r="G357" s="42" t="s">
        <v>3</v>
      </c>
      <c r="H357" s="39">
        <v>4</v>
      </c>
      <c r="I357" s="40" t="s">
        <v>40</v>
      </c>
      <c r="J357" s="149">
        <v>80</v>
      </c>
      <c r="K357" s="104">
        <v>400</v>
      </c>
      <c r="L357" s="104">
        <v>2700</v>
      </c>
      <c r="M357" s="150">
        <v>33.382014697977368</v>
      </c>
      <c r="N357" s="66">
        <v>1644.8303733733151</v>
      </c>
      <c r="O357" s="111">
        <v>49189.763668887026</v>
      </c>
      <c r="P357" s="111">
        <v>58855.933197229533</v>
      </c>
      <c r="Q357" s="110">
        <v>42861.66369519764</v>
      </c>
      <c r="R357" s="258">
        <v>92051.427364084666</v>
      </c>
      <c r="S357" s="259">
        <v>101717.59689242717</v>
      </c>
      <c r="U357" s="7" t="s">
        <v>2026</v>
      </c>
    </row>
    <row r="358" spans="1:21" s="65" customFormat="1" ht="16.5" thickBot="1">
      <c r="A358" s="41" t="s">
        <v>31</v>
      </c>
      <c r="B358" s="42">
        <f t="shared" si="18"/>
        <v>80</v>
      </c>
      <c r="C358" s="42" t="s">
        <v>3</v>
      </c>
      <c r="D358" s="42">
        <f t="shared" si="19"/>
        <v>400</v>
      </c>
      <c r="E358" s="42" t="s">
        <v>3</v>
      </c>
      <c r="F358" s="101">
        <f t="shared" si="20"/>
        <v>2750</v>
      </c>
      <c r="G358" s="42" t="s">
        <v>3</v>
      </c>
      <c r="H358" s="39">
        <v>4</v>
      </c>
      <c r="I358" s="40" t="s">
        <v>40</v>
      </c>
      <c r="J358" s="149">
        <v>80</v>
      </c>
      <c r="K358" s="104">
        <v>400</v>
      </c>
      <c r="L358" s="104">
        <v>2750</v>
      </c>
      <c r="M358" s="150">
        <v>33.96657858615842</v>
      </c>
      <c r="N358" s="66">
        <v>1679.8267642961516</v>
      </c>
      <c r="O358" s="111">
        <v>49945.806108706209</v>
      </c>
      <c r="P358" s="111">
        <v>59778.94486359031</v>
      </c>
      <c r="Q358" s="110">
        <v>43518.270644927608</v>
      </c>
      <c r="R358" s="258">
        <v>93464.076753633824</v>
      </c>
      <c r="S358" s="259">
        <v>103297.21550851793</v>
      </c>
      <c r="U358" s="7" t="s">
        <v>2027</v>
      </c>
    </row>
    <row r="359" spans="1:21" s="65" customFormat="1" ht="16.5" thickBot="1">
      <c r="A359" s="41" t="s">
        <v>31</v>
      </c>
      <c r="B359" s="42">
        <f t="shared" si="18"/>
        <v>80</v>
      </c>
      <c r="C359" s="42" t="s">
        <v>3</v>
      </c>
      <c r="D359" s="42">
        <f t="shared" si="19"/>
        <v>400</v>
      </c>
      <c r="E359" s="42" t="s">
        <v>3</v>
      </c>
      <c r="F359" s="101">
        <f t="shared" si="20"/>
        <v>2800</v>
      </c>
      <c r="G359" s="42" t="s">
        <v>3</v>
      </c>
      <c r="H359" s="39">
        <v>4</v>
      </c>
      <c r="I359" s="40" t="s">
        <v>40</v>
      </c>
      <c r="J359" s="149">
        <v>80</v>
      </c>
      <c r="K359" s="104">
        <v>400</v>
      </c>
      <c r="L359" s="104">
        <v>2800</v>
      </c>
      <c r="M359" s="150">
        <v>34.551142474339471</v>
      </c>
      <c r="N359" s="66">
        <v>1714.8231552189882</v>
      </c>
      <c r="O359" s="111">
        <v>50701.848395496636</v>
      </c>
      <c r="P359" s="111">
        <v>60701.956529951094</v>
      </c>
      <c r="Q359" s="110">
        <v>44426.211885470118</v>
      </c>
      <c r="R359" s="258">
        <v>95128.060280966747</v>
      </c>
      <c r="S359" s="259">
        <v>105128.16841542121</v>
      </c>
      <c r="U359" s="7" t="s">
        <v>2028</v>
      </c>
    </row>
    <row r="360" spans="1:21" s="65" customFormat="1" ht="16.5" thickBot="1">
      <c r="A360" s="41" t="s">
        <v>31</v>
      </c>
      <c r="B360" s="42">
        <f t="shared" si="18"/>
        <v>80</v>
      </c>
      <c r="C360" s="42" t="s">
        <v>3</v>
      </c>
      <c r="D360" s="42">
        <f t="shared" si="19"/>
        <v>400</v>
      </c>
      <c r="E360" s="42" t="s">
        <v>3</v>
      </c>
      <c r="F360" s="101">
        <f t="shared" si="20"/>
        <v>2850</v>
      </c>
      <c r="G360" s="42" t="s">
        <v>3</v>
      </c>
      <c r="H360" s="39">
        <v>4</v>
      </c>
      <c r="I360" s="40" t="s">
        <v>40</v>
      </c>
      <c r="J360" s="149">
        <v>80</v>
      </c>
      <c r="K360" s="104">
        <v>400</v>
      </c>
      <c r="L360" s="104">
        <v>2850</v>
      </c>
      <c r="M360" s="150">
        <v>35.135706362520523</v>
      </c>
      <c r="N360" s="66">
        <v>1749.8195461418245</v>
      </c>
      <c r="O360" s="111">
        <v>51457.890835315826</v>
      </c>
      <c r="P360" s="111">
        <v>61624.968349340648</v>
      </c>
      <c r="Q360" s="110">
        <v>45082.818835200087</v>
      </c>
      <c r="R360" s="258">
        <v>96540.709670515906</v>
      </c>
      <c r="S360" s="259">
        <v>106707.78718454074</v>
      </c>
      <c r="U360" s="7" t="s">
        <v>2029</v>
      </c>
    </row>
    <row r="361" spans="1:21" s="65" customFormat="1" ht="16.5" thickBot="1">
      <c r="A361" s="41" t="s">
        <v>31</v>
      </c>
      <c r="B361" s="42">
        <f t="shared" si="18"/>
        <v>80</v>
      </c>
      <c r="C361" s="42" t="s">
        <v>3</v>
      </c>
      <c r="D361" s="42">
        <f t="shared" si="19"/>
        <v>400</v>
      </c>
      <c r="E361" s="42" t="s">
        <v>3</v>
      </c>
      <c r="F361" s="101">
        <f t="shared" si="20"/>
        <v>2900</v>
      </c>
      <c r="G361" s="42" t="s">
        <v>3</v>
      </c>
      <c r="H361" s="39">
        <v>4</v>
      </c>
      <c r="I361" s="40" t="s">
        <v>40</v>
      </c>
      <c r="J361" s="149">
        <v>80</v>
      </c>
      <c r="K361" s="104">
        <v>400</v>
      </c>
      <c r="L361" s="104">
        <v>2900</v>
      </c>
      <c r="M361" s="150">
        <v>35.720270250701574</v>
      </c>
      <c r="N361" s="66">
        <v>1784.8159370646608</v>
      </c>
      <c r="O361" s="111">
        <v>52213.933122106253</v>
      </c>
      <c r="P361" s="111">
        <v>62547.980015701432</v>
      </c>
      <c r="Q361" s="110">
        <v>45990.760075742597</v>
      </c>
      <c r="R361" s="258">
        <v>98204.693197848857</v>
      </c>
      <c r="S361" s="259">
        <v>108538.74009144402</v>
      </c>
      <c r="U361" s="7" t="s">
        <v>2030</v>
      </c>
    </row>
    <row r="362" spans="1:21" s="65" customFormat="1" ht="16.5" thickBot="1">
      <c r="A362" s="41" t="s">
        <v>31</v>
      </c>
      <c r="B362" s="42">
        <f t="shared" si="18"/>
        <v>80</v>
      </c>
      <c r="C362" s="42" t="s">
        <v>3</v>
      </c>
      <c r="D362" s="42">
        <f t="shared" si="19"/>
        <v>400</v>
      </c>
      <c r="E362" s="42" t="s">
        <v>3</v>
      </c>
      <c r="F362" s="101">
        <f t="shared" si="20"/>
        <v>2950</v>
      </c>
      <c r="G362" s="42" t="s">
        <v>3</v>
      </c>
      <c r="H362" s="39">
        <v>4</v>
      </c>
      <c r="I362" s="40" t="s">
        <v>40</v>
      </c>
      <c r="J362" s="149">
        <v>80</v>
      </c>
      <c r="K362" s="104">
        <v>400</v>
      </c>
      <c r="L362" s="104">
        <v>2950</v>
      </c>
      <c r="M362" s="150">
        <v>36.304834138882633</v>
      </c>
      <c r="N362" s="66">
        <v>1819.8123279874976</v>
      </c>
      <c r="O362" s="111">
        <v>52969.97556192545</v>
      </c>
      <c r="P362" s="111">
        <v>63470.991682062209</v>
      </c>
      <c r="Q362" s="110">
        <v>46647.367025472573</v>
      </c>
      <c r="R362" s="258">
        <v>99617.342587398016</v>
      </c>
      <c r="S362" s="259">
        <v>110118.35870753479</v>
      </c>
      <c r="U362" s="7" t="s">
        <v>2031</v>
      </c>
    </row>
    <row r="363" spans="1:21" s="65" customFormat="1" ht="16.5" thickBot="1">
      <c r="A363" s="43" t="s">
        <v>31</v>
      </c>
      <c r="B363" s="44">
        <f t="shared" si="18"/>
        <v>80</v>
      </c>
      <c r="C363" s="44" t="s">
        <v>3</v>
      </c>
      <c r="D363" s="44">
        <f t="shared" si="19"/>
        <v>400</v>
      </c>
      <c r="E363" s="44" t="s">
        <v>3</v>
      </c>
      <c r="F363" s="102">
        <f t="shared" si="20"/>
        <v>3000</v>
      </c>
      <c r="G363" s="44" t="s">
        <v>3</v>
      </c>
      <c r="H363" s="46">
        <v>4</v>
      </c>
      <c r="I363" s="45" t="s">
        <v>40</v>
      </c>
      <c r="J363" s="149">
        <v>80</v>
      </c>
      <c r="K363" s="134">
        <v>400</v>
      </c>
      <c r="L363" s="134">
        <v>3000</v>
      </c>
      <c r="M363" s="152">
        <v>36.889398027063685</v>
      </c>
      <c r="N363" s="126">
        <v>1854.8087189103339</v>
      </c>
      <c r="O363" s="135">
        <v>53726.01800174464</v>
      </c>
      <c r="P363" s="135">
        <v>64394.003348422993</v>
      </c>
      <c r="Q363" s="136">
        <v>47555.308266015076</v>
      </c>
      <c r="R363" s="260">
        <v>101281.32626775972</v>
      </c>
      <c r="S363" s="261">
        <v>111949.31161443808</v>
      </c>
      <c r="U363" s="7" t="s">
        <v>2032</v>
      </c>
    </row>
    <row r="364" spans="1:21" s="65" customFormat="1" ht="16.5" thickBot="1">
      <c r="A364" s="2974" t="s">
        <v>114</v>
      </c>
      <c r="B364" s="2975"/>
      <c r="C364" s="2975"/>
      <c r="D364" s="2975"/>
      <c r="E364" s="2975"/>
      <c r="F364" s="2975"/>
      <c r="G364" s="2975"/>
      <c r="H364" s="2975"/>
      <c r="I364" s="2975"/>
      <c r="J364" s="2975"/>
      <c r="K364" s="2975"/>
      <c r="L364" s="2975"/>
      <c r="M364" s="2975"/>
      <c r="N364" s="2975"/>
      <c r="O364" s="2975"/>
      <c r="P364" s="2975"/>
      <c r="Q364" s="2975"/>
      <c r="R364" s="2975"/>
      <c r="S364" s="2976"/>
      <c r="U364" s="7"/>
    </row>
    <row r="365" spans="1:21" s="65" customFormat="1" ht="16.5" thickBot="1">
      <c r="A365" s="38" t="s">
        <v>31</v>
      </c>
      <c r="B365" s="39">
        <f>J365</f>
        <v>80</v>
      </c>
      <c r="C365" s="39" t="s">
        <v>3</v>
      </c>
      <c r="D365" s="39">
        <f>K365</f>
        <v>400</v>
      </c>
      <c r="E365" s="39" t="s">
        <v>3</v>
      </c>
      <c r="F365" s="101">
        <f>L365</f>
        <v>600</v>
      </c>
      <c r="G365" s="39" t="s">
        <v>3</v>
      </c>
      <c r="H365" s="39">
        <v>6</v>
      </c>
      <c r="I365" s="40" t="s">
        <v>40</v>
      </c>
      <c r="J365" s="146">
        <v>80</v>
      </c>
      <c r="K365" s="138">
        <v>400</v>
      </c>
      <c r="L365" s="138">
        <v>600</v>
      </c>
      <c r="M365" s="147">
        <v>8.6176494764281575</v>
      </c>
      <c r="N365" s="122">
        <v>200.21202364415998</v>
      </c>
      <c r="O365" s="148">
        <v>17758.630870589688</v>
      </c>
      <c r="P365" s="148">
        <v>20356.550022681851</v>
      </c>
      <c r="Q365" s="139">
        <v>10760.15380676932</v>
      </c>
      <c r="R365" s="256">
        <v>28518.784677359006</v>
      </c>
      <c r="S365" s="257">
        <v>31116.703829451173</v>
      </c>
      <c r="U365" s="7" t="s">
        <v>2033</v>
      </c>
    </row>
    <row r="366" spans="1:21" s="65" customFormat="1" ht="16.5" thickBot="1">
      <c r="A366" s="41" t="s">
        <v>31</v>
      </c>
      <c r="B366" s="42">
        <f t="shared" ref="B366:B413" si="21">J366</f>
        <v>80</v>
      </c>
      <c r="C366" s="42" t="s">
        <v>3</v>
      </c>
      <c r="D366" s="42">
        <f t="shared" ref="D366:D413" si="22">K366</f>
        <v>400</v>
      </c>
      <c r="E366" s="42" t="s">
        <v>3</v>
      </c>
      <c r="F366" s="101">
        <f t="shared" ref="F366:F413" si="23">L366</f>
        <v>650</v>
      </c>
      <c r="G366" s="42" t="s">
        <v>3</v>
      </c>
      <c r="H366" s="39">
        <v>6</v>
      </c>
      <c r="I366" s="40" t="s">
        <v>40</v>
      </c>
      <c r="J366" s="149">
        <v>80</v>
      </c>
      <c r="K366" s="104">
        <v>400</v>
      </c>
      <c r="L366" s="104">
        <v>650</v>
      </c>
      <c r="M366" s="150">
        <v>9.2688357544892117</v>
      </c>
      <c r="N366" s="66">
        <v>240.25442837299198</v>
      </c>
      <c r="O366" s="111">
        <v>18741.2729497992</v>
      </c>
      <c r="P366" s="111">
        <v>21582.923311537426</v>
      </c>
      <c r="Q366" s="110">
        <v>11416.760909528057</v>
      </c>
      <c r="R366" s="258">
        <v>30158.033859327257</v>
      </c>
      <c r="S366" s="259">
        <v>32999.684221065487</v>
      </c>
      <c r="U366" s="7" t="s">
        <v>2034</v>
      </c>
    </row>
    <row r="367" spans="1:21" s="65" customFormat="1" ht="16.5" thickBot="1">
      <c r="A367" s="41" t="s">
        <v>31</v>
      </c>
      <c r="B367" s="42">
        <f t="shared" si="21"/>
        <v>80</v>
      </c>
      <c r="C367" s="42" t="s">
        <v>3</v>
      </c>
      <c r="D367" s="42">
        <f t="shared" si="22"/>
        <v>400</v>
      </c>
      <c r="E367" s="42" t="s">
        <v>3</v>
      </c>
      <c r="F367" s="101">
        <f t="shared" si="23"/>
        <v>700</v>
      </c>
      <c r="G367" s="42" t="s">
        <v>3</v>
      </c>
      <c r="H367" s="39">
        <v>6</v>
      </c>
      <c r="I367" s="40" t="s">
        <v>40</v>
      </c>
      <c r="J367" s="149">
        <v>80</v>
      </c>
      <c r="K367" s="104">
        <v>400</v>
      </c>
      <c r="L367" s="104">
        <v>700</v>
      </c>
      <c r="M367" s="150">
        <v>9.9200220325502624</v>
      </c>
      <c r="N367" s="66">
        <v>280.29683310182395</v>
      </c>
      <c r="O367" s="111">
        <v>19723.914875979946</v>
      </c>
      <c r="P367" s="111">
        <v>22727.626678733443</v>
      </c>
      <c r="Q367" s="110">
        <v>12324.7019970418</v>
      </c>
      <c r="R367" s="258">
        <v>32048.616873021747</v>
      </c>
      <c r="S367" s="259">
        <v>35052.328675775243</v>
      </c>
      <c r="U367" s="7" t="s">
        <v>2035</v>
      </c>
    </row>
    <row r="368" spans="1:21" s="65" customFormat="1" ht="16.5" thickBot="1">
      <c r="A368" s="41" t="s">
        <v>31</v>
      </c>
      <c r="B368" s="42">
        <f t="shared" si="21"/>
        <v>80</v>
      </c>
      <c r="C368" s="42" t="s">
        <v>3</v>
      </c>
      <c r="D368" s="42">
        <f t="shared" si="22"/>
        <v>400</v>
      </c>
      <c r="E368" s="42" t="s">
        <v>3</v>
      </c>
      <c r="F368" s="101">
        <f t="shared" si="23"/>
        <v>750</v>
      </c>
      <c r="G368" s="42" t="s">
        <v>3</v>
      </c>
      <c r="H368" s="39">
        <v>6</v>
      </c>
      <c r="I368" s="40" t="s">
        <v>40</v>
      </c>
      <c r="J368" s="149">
        <v>80</v>
      </c>
      <c r="K368" s="104">
        <v>400</v>
      </c>
      <c r="L368" s="104">
        <v>750</v>
      </c>
      <c r="M368" s="150">
        <v>10.571208310611315</v>
      </c>
      <c r="N368" s="66">
        <v>320.33923783065597</v>
      </c>
      <c r="O368" s="111">
        <v>20706.556802160692</v>
      </c>
      <c r="P368" s="111">
        <v>23872.330198958221</v>
      </c>
      <c r="Q368" s="110">
        <v>12981.309099800537</v>
      </c>
      <c r="R368" s="258">
        <v>33687.865901961231</v>
      </c>
      <c r="S368" s="259">
        <v>36853.639298758761</v>
      </c>
      <c r="U368" s="7" t="s">
        <v>2036</v>
      </c>
    </row>
    <row r="369" spans="1:21" s="65" customFormat="1" ht="16.5" thickBot="1">
      <c r="A369" s="41" t="s">
        <v>31</v>
      </c>
      <c r="B369" s="42">
        <f t="shared" si="21"/>
        <v>80</v>
      </c>
      <c r="C369" s="42" t="s">
        <v>3</v>
      </c>
      <c r="D369" s="42">
        <f t="shared" si="22"/>
        <v>400</v>
      </c>
      <c r="E369" s="42" t="s">
        <v>3</v>
      </c>
      <c r="F369" s="101">
        <f t="shared" si="23"/>
        <v>800</v>
      </c>
      <c r="G369" s="42" t="s">
        <v>3</v>
      </c>
      <c r="H369" s="39">
        <v>6</v>
      </c>
      <c r="I369" s="40" t="s">
        <v>40</v>
      </c>
      <c r="J369" s="149">
        <v>80</v>
      </c>
      <c r="K369" s="104">
        <v>400</v>
      </c>
      <c r="L369" s="104">
        <v>800</v>
      </c>
      <c r="M369" s="150">
        <v>11.222394588672369</v>
      </c>
      <c r="N369" s="66">
        <v>360.381642559488</v>
      </c>
      <c r="O369" s="111">
        <v>21689.198881370205</v>
      </c>
      <c r="P369" s="111">
        <v>25017.033566154238</v>
      </c>
      <c r="Q369" s="110">
        <v>13637.916049530511</v>
      </c>
      <c r="R369" s="258">
        <v>35327.114930900716</v>
      </c>
      <c r="S369" s="259">
        <v>38654.949615684745</v>
      </c>
      <c r="U369" s="7" t="s">
        <v>2037</v>
      </c>
    </row>
    <row r="370" spans="1:21" s="65" customFormat="1" ht="16.5" thickBot="1">
      <c r="A370" s="41" t="s">
        <v>31</v>
      </c>
      <c r="B370" s="42">
        <f t="shared" si="21"/>
        <v>80</v>
      </c>
      <c r="C370" s="42" t="s">
        <v>3</v>
      </c>
      <c r="D370" s="42">
        <f t="shared" si="22"/>
        <v>400</v>
      </c>
      <c r="E370" s="42" t="s">
        <v>3</v>
      </c>
      <c r="F370" s="101">
        <f t="shared" si="23"/>
        <v>850</v>
      </c>
      <c r="G370" s="42" t="s">
        <v>3</v>
      </c>
      <c r="H370" s="39">
        <v>6</v>
      </c>
      <c r="I370" s="40" t="s">
        <v>40</v>
      </c>
      <c r="J370" s="149">
        <v>80</v>
      </c>
      <c r="K370" s="104">
        <v>400</v>
      </c>
      <c r="L370" s="104">
        <v>850</v>
      </c>
      <c r="M370" s="150">
        <v>11.87358086673342</v>
      </c>
      <c r="N370" s="66">
        <v>400.42404728831997</v>
      </c>
      <c r="O370" s="111">
        <v>22671.840807550951</v>
      </c>
      <c r="P370" s="111">
        <v>26161.737086379017</v>
      </c>
      <c r="Q370" s="110">
        <v>14545.85729007302</v>
      </c>
      <c r="R370" s="258">
        <v>37217.698097623972</v>
      </c>
      <c r="S370" s="259">
        <v>40707.594376452034</v>
      </c>
      <c r="U370" s="7" t="s">
        <v>2038</v>
      </c>
    </row>
    <row r="371" spans="1:21" s="65" customFormat="1" ht="16.5" thickBot="1">
      <c r="A371" s="41" t="s">
        <v>31</v>
      </c>
      <c r="B371" s="42">
        <f t="shared" si="21"/>
        <v>80</v>
      </c>
      <c r="C371" s="42" t="s">
        <v>3</v>
      </c>
      <c r="D371" s="42">
        <f t="shared" si="22"/>
        <v>400</v>
      </c>
      <c r="E371" s="42" t="s">
        <v>3</v>
      </c>
      <c r="F371" s="101">
        <f t="shared" si="23"/>
        <v>900</v>
      </c>
      <c r="G371" s="42" t="s">
        <v>3</v>
      </c>
      <c r="H371" s="39">
        <v>6</v>
      </c>
      <c r="I371" s="40" t="s">
        <v>40</v>
      </c>
      <c r="J371" s="149">
        <v>80</v>
      </c>
      <c r="K371" s="104">
        <v>400</v>
      </c>
      <c r="L371" s="104">
        <v>900</v>
      </c>
      <c r="M371" s="150">
        <v>12.524767144794474</v>
      </c>
      <c r="N371" s="66">
        <v>440.46645201715199</v>
      </c>
      <c r="O371" s="111">
        <v>23654.482733731696</v>
      </c>
      <c r="P371" s="111">
        <v>27306.440453575033</v>
      </c>
      <c r="Q371" s="110">
        <v>15202.464239802994</v>
      </c>
      <c r="R371" s="258">
        <v>38856.946973534694</v>
      </c>
      <c r="S371" s="259">
        <v>42508.904693378026</v>
      </c>
      <c r="U371" s="7" t="s">
        <v>2039</v>
      </c>
    </row>
    <row r="372" spans="1:21" s="65" customFormat="1" ht="16.5" thickBot="1">
      <c r="A372" s="41" t="s">
        <v>31</v>
      </c>
      <c r="B372" s="42">
        <f t="shared" si="21"/>
        <v>80</v>
      </c>
      <c r="C372" s="42" t="s">
        <v>3</v>
      </c>
      <c r="D372" s="42">
        <f t="shared" si="22"/>
        <v>400</v>
      </c>
      <c r="E372" s="42" t="s">
        <v>3</v>
      </c>
      <c r="F372" s="101">
        <f t="shared" si="23"/>
        <v>950</v>
      </c>
      <c r="G372" s="42" t="s">
        <v>3</v>
      </c>
      <c r="H372" s="39">
        <v>6</v>
      </c>
      <c r="I372" s="40" t="s">
        <v>40</v>
      </c>
      <c r="J372" s="149">
        <v>80</v>
      </c>
      <c r="K372" s="104">
        <v>400</v>
      </c>
      <c r="L372" s="104">
        <v>950</v>
      </c>
      <c r="M372" s="150">
        <v>13.175953422855526</v>
      </c>
      <c r="N372" s="66">
        <v>480.50885674598396</v>
      </c>
      <c r="O372" s="111">
        <v>24637.124812941205</v>
      </c>
      <c r="P372" s="111">
        <v>28451.143973799808</v>
      </c>
      <c r="Q372" s="110">
        <v>16110.4054803455</v>
      </c>
      <c r="R372" s="258">
        <v>40747.530293286705</v>
      </c>
      <c r="S372" s="259">
        <v>44561.549454145308</v>
      </c>
      <c r="U372" s="7" t="s">
        <v>2040</v>
      </c>
    </row>
    <row r="373" spans="1:21" s="65" customFormat="1" ht="16.5" thickBot="1">
      <c r="A373" s="41" t="s">
        <v>31</v>
      </c>
      <c r="B373" s="42">
        <f t="shared" si="21"/>
        <v>80</v>
      </c>
      <c r="C373" s="42" t="s">
        <v>3</v>
      </c>
      <c r="D373" s="42">
        <f t="shared" si="22"/>
        <v>400</v>
      </c>
      <c r="E373" s="42" t="s">
        <v>3</v>
      </c>
      <c r="F373" s="101">
        <f t="shared" si="23"/>
        <v>1000</v>
      </c>
      <c r="G373" s="42" t="s">
        <v>3</v>
      </c>
      <c r="H373" s="39">
        <v>6</v>
      </c>
      <c r="I373" s="40" t="s">
        <v>40</v>
      </c>
      <c r="J373" s="149">
        <v>80</v>
      </c>
      <c r="K373" s="104">
        <v>400</v>
      </c>
      <c r="L373" s="104">
        <v>1000</v>
      </c>
      <c r="M373" s="150">
        <v>13.827139700916579</v>
      </c>
      <c r="N373" s="66">
        <v>520.55126147481599</v>
      </c>
      <c r="O373" s="111">
        <v>25619.766739121951</v>
      </c>
      <c r="P373" s="111">
        <v>29595.847340995824</v>
      </c>
      <c r="Q373" s="110">
        <v>16767.012583104239</v>
      </c>
      <c r="R373" s="258">
        <v>42386.77932222619</v>
      </c>
      <c r="S373" s="259">
        <v>46362.859924100063</v>
      </c>
      <c r="U373" s="7" t="s">
        <v>2041</v>
      </c>
    </row>
    <row r="374" spans="1:21" s="65" customFormat="1" ht="16.5" thickBot="1">
      <c r="A374" s="41" t="s">
        <v>31</v>
      </c>
      <c r="B374" s="42">
        <f t="shared" si="21"/>
        <v>80</v>
      </c>
      <c r="C374" s="42" t="s">
        <v>3</v>
      </c>
      <c r="D374" s="42">
        <f t="shared" si="22"/>
        <v>400</v>
      </c>
      <c r="E374" s="42" t="s">
        <v>3</v>
      </c>
      <c r="F374" s="101">
        <f t="shared" si="23"/>
        <v>1050</v>
      </c>
      <c r="G374" s="42" t="s">
        <v>3</v>
      </c>
      <c r="H374" s="39">
        <v>6</v>
      </c>
      <c r="I374" s="40" t="s">
        <v>40</v>
      </c>
      <c r="J374" s="149">
        <v>80</v>
      </c>
      <c r="K374" s="104">
        <v>400</v>
      </c>
      <c r="L374" s="104">
        <v>1050</v>
      </c>
      <c r="M374" s="150">
        <v>14.478325978977631</v>
      </c>
      <c r="N374" s="66">
        <v>560.5936662036479</v>
      </c>
      <c r="O374" s="111">
        <v>26602.408665302697</v>
      </c>
      <c r="P374" s="111">
        <v>30740.550861220603</v>
      </c>
      <c r="Q374" s="110">
        <v>17674.953670617982</v>
      </c>
      <c r="R374" s="258">
        <v>44277.362335920683</v>
      </c>
      <c r="S374" s="259">
        <v>48415.504531838582</v>
      </c>
      <c r="U374" s="7" t="s">
        <v>2042</v>
      </c>
    </row>
    <row r="375" spans="1:21" s="65" customFormat="1" ht="16.5" thickBot="1">
      <c r="A375" s="38" t="s">
        <v>31</v>
      </c>
      <c r="B375" s="39">
        <f t="shared" si="21"/>
        <v>80</v>
      </c>
      <c r="C375" s="39" t="s">
        <v>3</v>
      </c>
      <c r="D375" s="39">
        <f t="shared" si="22"/>
        <v>400</v>
      </c>
      <c r="E375" s="39" t="s">
        <v>3</v>
      </c>
      <c r="F375" s="101">
        <f t="shared" si="23"/>
        <v>1100</v>
      </c>
      <c r="G375" s="39" t="s">
        <v>3</v>
      </c>
      <c r="H375" s="39">
        <v>6</v>
      </c>
      <c r="I375" s="40" t="s">
        <v>40</v>
      </c>
      <c r="J375" s="149">
        <v>80</v>
      </c>
      <c r="K375" s="104">
        <v>400</v>
      </c>
      <c r="L375" s="104">
        <v>1100</v>
      </c>
      <c r="M375" s="150">
        <v>15.129512257038684</v>
      </c>
      <c r="N375" s="66">
        <v>600.63607093247992</v>
      </c>
      <c r="O375" s="111">
        <v>27585.050591483443</v>
      </c>
      <c r="P375" s="111">
        <v>31885.254228416619</v>
      </c>
      <c r="Q375" s="110">
        <v>18331.560773376717</v>
      </c>
      <c r="R375" s="258">
        <v>45916.61136486016</v>
      </c>
      <c r="S375" s="259">
        <v>50216.815001793337</v>
      </c>
      <c r="U375" s="7" t="s">
        <v>2043</v>
      </c>
    </row>
    <row r="376" spans="1:21" s="65" customFormat="1" ht="16.5" thickBot="1">
      <c r="A376" s="41" t="s">
        <v>31</v>
      </c>
      <c r="B376" s="42">
        <f t="shared" si="21"/>
        <v>80</v>
      </c>
      <c r="C376" s="42" t="s">
        <v>3</v>
      </c>
      <c r="D376" s="42">
        <f t="shared" si="22"/>
        <v>400</v>
      </c>
      <c r="E376" s="42" t="s">
        <v>3</v>
      </c>
      <c r="F376" s="101">
        <f t="shared" si="23"/>
        <v>1150</v>
      </c>
      <c r="G376" s="42" t="s">
        <v>3</v>
      </c>
      <c r="H376" s="39">
        <v>6</v>
      </c>
      <c r="I376" s="40" t="s">
        <v>40</v>
      </c>
      <c r="J376" s="149">
        <v>80</v>
      </c>
      <c r="K376" s="104">
        <v>400</v>
      </c>
      <c r="L376" s="104">
        <v>1150</v>
      </c>
      <c r="M376" s="150">
        <v>15.780698535099738</v>
      </c>
      <c r="N376" s="66">
        <v>640.67847566131195</v>
      </c>
      <c r="O376" s="111">
        <v>28567.692670692955</v>
      </c>
      <c r="P376" s="111">
        <v>33029.957748641398</v>
      </c>
      <c r="Q376" s="110">
        <v>18988.167723106693</v>
      </c>
      <c r="R376" s="258">
        <v>47555.860393799652</v>
      </c>
      <c r="S376" s="259">
        <v>52018.125471748092</v>
      </c>
      <c r="U376" s="7" t="s">
        <v>2044</v>
      </c>
    </row>
    <row r="377" spans="1:21" s="65" customFormat="1" ht="16.5" thickBot="1">
      <c r="A377" s="41" t="s">
        <v>31</v>
      </c>
      <c r="B377" s="42">
        <f t="shared" si="21"/>
        <v>80</v>
      </c>
      <c r="C377" s="42" t="s">
        <v>3</v>
      </c>
      <c r="D377" s="42">
        <f t="shared" si="22"/>
        <v>400</v>
      </c>
      <c r="E377" s="42" t="s">
        <v>3</v>
      </c>
      <c r="F377" s="101">
        <f t="shared" si="23"/>
        <v>1200</v>
      </c>
      <c r="G377" s="42" t="s">
        <v>3</v>
      </c>
      <c r="H377" s="39">
        <v>6</v>
      </c>
      <c r="I377" s="40" t="s">
        <v>40</v>
      </c>
      <c r="J377" s="149">
        <v>80</v>
      </c>
      <c r="K377" s="104">
        <v>400</v>
      </c>
      <c r="L377" s="104">
        <v>1200</v>
      </c>
      <c r="M377" s="150">
        <v>16.549634813160786</v>
      </c>
      <c r="N377" s="66">
        <v>680.72088039014398</v>
      </c>
      <c r="O377" s="111">
        <v>29684.433091637678</v>
      </c>
      <c r="P377" s="111">
        <v>34304.672212284902</v>
      </c>
      <c r="Q377" s="110">
        <v>19896.1089636492</v>
      </c>
      <c r="R377" s="258">
        <v>49580.542055286875</v>
      </c>
      <c r="S377" s="259">
        <v>54200.781175934098</v>
      </c>
      <c r="U377" s="7" t="s">
        <v>2045</v>
      </c>
    </row>
    <row r="378" spans="1:21" s="65" customFormat="1" ht="16.5" thickBot="1">
      <c r="A378" s="41" t="s">
        <v>31</v>
      </c>
      <c r="B378" s="42">
        <f t="shared" si="21"/>
        <v>80</v>
      </c>
      <c r="C378" s="42" t="s">
        <v>3</v>
      </c>
      <c r="D378" s="42">
        <f t="shared" si="22"/>
        <v>400</v>
      </c>
      <c r="E378" s="42" t="s">
        <v>3</v>
      </c>
      <c r="F378" s="101">
        <f t="shared" si="23"/>
        <v>1250</v>
      </c>
      <c r="G378" s="42" t="s">
        <v>3</v>
      </c>
      <c r="H378" s="39">
        <v>6</v>
      </c>
      <c r="I378" s="40" t="s">
        <v>40</v>
      </c>
      <c r="J378" s="149">
        <v>80</v>
      </c>
      <c r="K378" s="104">
        <v>400</v>
      </c>
      <c r="L378" s="104">
        <v>1250</v>
      </c>
      <c r="M378" s="150">
        <v>17.20082109122184</v>
      </c>
      <c r="N378" s="66">
        <v>720.763285118976</v>
      </c>
      <c r="O378" s="111">
        <v>30667.075170847191</v>
      </c>
      <c r="P378" s="111">
        <v>35449.375732509681</v>
      </c>
      <c r="Q378" s="110">
        <v>20552.715913379172</v>
      </c>
      <c r="R378" s="258">
        <v>51219.791084226366</v>
      </c>
      <c r="S378" s="259">
        <v>56002.091645888853</v>
      </c>
      <c r="U378" s="7" t="s">
        <v>2046</v>
      </c>
    </row>
    <row r="379" spans="1:21" s="65" customFormat="1" ht="16.5" thickBot="1">
      <c r="A379" s="41" t="s">
        <v>31</v>
      </c>
      <c r="B379" s="42">
        <f t="shared" si="21"/>
        <v>80</v>
      </c>
      <c r="C379" s="42" t="s">
        <v>3</v>
      </c>
      <c r="D379" s="42">
        <f t="shared" si="22"/>
        <v>400</v>
      </c>
      <c r="E379" s="42" t="s">
        <v>3</v>
      </c>
      <c r="F379" s="101">
        <f t="shared" si="23"/>
        <v>1300</v>
      </c>
      <c r="G379" s="42" t="s">
        <v>3</v>
      </c>
      <c r="H379" s="39">
        <v>6</v>
      </c>
      <c r="I379" s="40" t="s">
        <v>40</v>
      </c>
      <c r="J379" s="149">
        <v>80</v>
      </c>
      <c r="K379" s="104">
        <v>400</v>
      </c>
      <c r="L379" s="104">
        <v>1300</v>
      </c>
      <c r="M379" s="150">
        <v>17.852007369282894</v>
      </c>
      <c r="N379" s="66">
        <v>760.80568984780791</v>
      </c>
      <c r="O379" s="111">
        <v>31649.717097027937</v>
      </c>
      <c r="P379" s="111">
        <v>36594.079099705697</v>
      </c>
      <c r="Q379" s="110">
        <v>21460.657153921682</v>
      </c>
      <c r="R379" s="258">
        <v>53110.374250949622</v>
      </c>
      <c r="S379" s="259">
        <v>58054.736253627379</v>
      </c>
      <c r="U379" s="7" t="s">
        <v>2047</v>
      </c>
    </row>
    <row r="380" spans="1:21" s="65" customFormat="1" ht="16.5" thickBot="1">
      <c r="A380" s="41" t="s">
        <v>31</v>
      </c>
      <c r="B380" s="42">
        <f t="shared" si="21"/>
        <v>80</v>
      </c>
      <c r="C380" s="42" t="s">
        <v>3</v>
      </c>
      <c r="D380" s="42">
        <f t="shared" si="22"/>
        <v>400</v>
      </c>
      <c r="E380" s="42" t="s">
        <v>3</v>
      </c>
      <c r="F380" s="101">
        <f t="shared" si="23"/>
        <v>1350</v>
      </c>
      <c r="G380" s="42" t="s">
        <v>3</v>
      </c>
      <c r="H380" s="39">
        <v>6</v>
      </c>
      <c r="I380" s="40" t="s">
        <v>40</v>
      </c>
      <c r="J380" s="149">
        <v>80</v>
      </c>
      <c r="K380" s="104">
        <v>400</v>
      </c>
      <c r="L380" s="104">
        <v>1350</v>
      </c>
      <c r="M380" s="150">
        <v>18.503193647343945</v>
      </c>
      <c r="N380" s="66">
        <v>800.84809457663994</v>
      </c>
      <c r="O380" s="111">
        <v>32632.359023208683</v>
      </c>
      <c r="P380" s="111">
        <v>37738.782619930476</v>
      </c>
      <c r="Q380" s="110">
        <v>22117.264103651651</v>
      </c>
      <c r="R380" s="258">
        <v>54749.62312686033</v>
      </c>
      <c r="S380" s="259">
        <v>59856.046723582127</v>
      </c>
      <c r="U380" s="7" t="s">
        <v>2048</v>
      </c>
    </row>
    <row r="381" spans="1:21" s="65" customFormat="1" ht="16.5" thickBot="1">
      <c r="A381" s="41" t="s">
        <v>31</v>
      </c>
      <c r="B381" s="42">
        <f t="shared" si="21"/>
        <v>80</v>
      </c>
      <c r="C381" s="42" t="s">
        <v>3</v>
      </c>
      <c r="D381" s="42">
        <f t="shared" si="22"/>
        <v>400</v>
      </c>
      <c r="E381" s="42" t="s">
        <v>3</v>
      </c>
      <c r="F381" s="101">
        <f t="shared" si="23"/>
        <v>1400</v>
      </c>
      <c r="G381" s="42" t="s">
        <v>3</v>
      </c>
      <c r="H381" s="39">
        <v>6</v>
      </c>
      <c r="I381" s="40" t="s">
        <v>40</v>
      </c>
      <c r="J381" s="149">
        <v>80</v>
      </c>
      <c r="K381" s="104">
        <v>400</v>
      </c>
      <c r="L381" s="104">
        <v>1400</v>
      </c>
      <c r="M381" s="150">
        <v>19.154379925404999</v>
      </c>
      <c r="N381" s="66">
        <v>840.89049930547196</v>
      </c>
      <c r="O381" s="111">
        <v>33615.001102418195</v>
      </c>
      <c r="P381" s="111">
        <v>38883.485987126493</v>
      </c>
      <c r="Q381" s="110">
        <v>23025.205344194161</v>
      </c>
      <c r="R381" s="258">
        <v>56640.206446612356</v>
      </c>
      <c r="S381" s="259">
        <v>61908.691331320653</v>
      </c>
      <c r="U381" s="7" t="s">
        <v>2049</v>
      </c>
    </row>
    <row r="382" spans="1:21" s="65" customFormat="1" ht="16.5" thickBot="1">
      <c r="A382" s="41" t="s">
        <v>31</v>
      </c>
      <c r="B382" s="42">
        <f t="shared" si="21"/>
        <v>80</v>
      </c>
      <c r="C382" s="42" t="s">
        <v>3</v>
      </c>
      <c r="D382" s="42">
        <f t="shared" si="22"/>
        <v>400</v>
      </c>
      <c r="E382" s="42" t="s">
        <v>3</v>
      </c>
      <c r="F382" s="101">
        <f t="shared" si="23"/>
        <v>1450</v>
      </c>
      <c r="G382" s="42" t="s">
        <v>3</v>
      </c>
      <c r="H382" s="39">
        <v>6</v>
      </c>
      <c r="I382" s="40" t="s">
        <v>40</v>
      </c>
      <c r="J382" s="149">
        <v>80</v>
      </c>
      <c r="K382" s="104">
        <v>400</v>
      </c>
      <c r="L382" s="104">
        <v>1450</v>
      </c>
      <c r="M382" s="150">
        <v>19.805566203466054</v>
      </c>
      <c r="N382" s="66">
        <v>880.93290403430399</v>
      </c>
      <c r="O382" s="111">
        <v>34597.643028598941</v>
      </c>
      <c r="P382" s="111">
        <v>40028.189507351271</v>
      </c>
      <c r="Q382" s="110">
        <v>23681.812293924133</v>
      </c>
      <c r="R382" s="258">
        <v>58279.455322523077</v>
      </c>
      <c r="S382" s="259">
        <v>63710.001801275401</v>
      </c>
      <c r="U382" s="7" t="s">
        <v>2050</v>
      </c>
    </row>
    <row r="383" spans="1:21" s="65" customFormat="1" ht="16.5" thickBot="1">
      <c r="A383" s="41" t="s">
        <v>31</v>
      </c>
      <c r="B383" s="42">
        <f t="shared" si="21"/>
        <v>80</v>
      </c>
      <c r="C383" s="42" t="s">
        <v>3</v>
      </c>
      <c r="D383" s="42">
        <f t="shared" si="22"/>
        <v>400</v>
      </c>
      <c r="E383" s="42" t="s">
        <v>3</v>
      </c>
      <c r="F383" s="101">
        <f t="shared" si="23"/>
        <v>1500</v>
      </c>
      <c r="G383" s="42" t="s">
        <v>3</v>
      </c>
      <c r="H383" s="39">
        <v>6</v>
      </c>
      <c r="I383" s="40" t="s">
        <v>40</v>
      </c>
      <c r="J383" s="149">
        <v>80</v>
      </c>
      <c r="K383" s="104">
        <v>400</v>
      </c>
      <c r="L383" s="104">
        <v>1500</v>
      </c>
      <c r="M383" s="150">
        <v>20.653319134327106</v>
      </c>
      <c r="N383" s="66">
        <v>920.9753087631359</v>
      </c>
      <c r="O383" s="111">
        <v>36463.800662005531</v>
      </c>
      <c r="P383" s="111">
        <v>41981.091649297734</v>
      </c>
      <c r="Q383" s="110">
        <v>24589.753534466639</v>
      </c>
      <c r="R383" s="258">
        <v>61053.554196472171</v>
      </c>
      <c r="S383" s="259">
        <v>66570.845183764381</v>
      </c>
      <c r="U383" s="7" t="s">
        <v>2051</v>
      </c>
    </row>
    <row r="384" spans="1:21" s="65" customFormat="1" ht="16.5" thickBot="1">
      <c r="A384" s="41" t="s">
        <v>31</v>
      </c>
      <c r="B384" s="42">
        <f t="shared" si="21"/>
        <v>80</v>
      </c>
      <c r="C384" s="42" t="s">
        <v>3</v>
      </c>
      <c r="D384" s="42">
        <f t="shared" si="22"/>
        <v>400</v>
      </c>
      <c r="E384" s="42" t="s">
        <v>3</v>
      </c>
      <c r="F384" s="101">
        <f t="shared" si="23"/>
        <v>1550</v>
      </c>
      <c r="G384" s="42" t="s">
        <v>3</v>
      </c>
      <c r="H384" s="39">
        <v>6</v>
      </c>
      <c r="I384" s="40" t="s">
        <v>40</v>
      </c>
      <c r="J384" s="149">
        <v>80</v>
      </c>
      <c r="K384" s="104">
        <v>400</v>
      </c>
      <c r="L384" s="104">
        <v>1550</v>
      </c>
      <c r="M384" s="150">
        <v>21.30450541238816</v>
      </c>
      <c r="N384" s="66">
        <v>961.01771349196792</v>
      </c>
      <c r="O384" s="111">
        <v>37446.442588186277</v>
      </c>
      <c r="P384" s="111">
        <v>43125.79501649375</v>
      </c>
      <c r="Q384" s="110">
        <v>25246.360484196612</v>
      </c>
      <c r="R384" s="258">
        <v>62692.803072382885</v>
      </c>
      <c r="S384" s="259">
        <v>68372.155500690365</v>
      </c>
      <c r="U384" s="7" t="s">
        <v>2052</v>
      </c>
    </row>
    <row r="385" spans="1:21" s="65" customFormat="1" ht="16.5" thickBot="1">
      <c r="A385" s="38" t="s">
        <v>31</v>
      </c>
      <c r="B385" s="39">
        <f t="shared" si="21"/>
        <v>80</v>
      </c>
      <c r="C385" s="39" t="s">
        <v>3</v>
      </c>
      <c r="D385" s="39">
        <f t="shared" si="22"/>
        <v>400</v>
      </c>
      <c r="E385" s="39" t="s">
        <v>3</v>
      </c>
      <c r="F385" s="101">
        <f t="shared" si="23"/>
        <v>1600</v>
      </c>
      <c r="G385" s="39" t="s">
        <v>3</v>
      </c>
      <c r="H385" s="39">
        <v>6</v>
      </c>
      <c r="I385" s="40" t="s">
        <v>40</v>
      </c>
      <c r="J385" s="149">
        <v>80</v>
      </c>
      <c r="K385" s="104">
        <v>400</v>
      </c>
      <c r="L385" s="104">
        <v>1600</v>
      </c>
      <c r="M385" s="150">
        <v>21.955691690449211</v>
      </c>
      <c r="N385" s="66">
        <v>1001.0601182207999</v>
      </c>
      <c r="O385" s="111">
        <v>38429.084667395793</v>
      </c>
      <c r="P385" s="111">
        <v>44270.498536718529</v>
      </c>
      <c r="Q385" s="110">
        <v>25902.96758695535</v>
      </c>
      <c r="R385" s="258">
        <v>64332.052254351147</v>
      </c>
      <c r="S385" s="259">
        <v>70173.466123673876</v>
      </c>
      <c r="U385" s="7" t="s">
        <v>2053</v>
      </c>
    </row>
    <row r="386" spans="1:21" s="65" customFormat="1" ht="16.5" thickBot="1">
      <c r="A386" s="41" t="s">
        <v>31</v>
      </c>
      <c r="B386" s="42">
        <f t="shared" si="21"/>
        <v>80</v>
      </c>
      <c r="C386" s="42" t="s">
        <v>3</v>
      </c>
      <c r="D386" s="42">
        <f t="shared" si="22"/>
        <v>400</v>
      </c>
      <c r="E386" s="42" t="s">
        <v>3</v>
      </c>
      <c r="F386" s="101">
        <f t="shared" si="23"/>
        <v>1650</v>
      </c>
      <c r="G386" s="42" t="s">
        <v>3</v>
      </c>
      <c r="H386" s="39">
        <v>6</v>
      </c>
      <c r="I386" s="40" t="s">
        <v>40</v>
      </c>
      <c r="J386" s="149">
        <v>80</v>
      </c>
      <c r="K386" s="104">
        <v>400</v>
      </c>
      <c r="L386" s="104">
        <v>1650</v>
      </c>
      <c r="M386" s="150">
        <v>22.606877968510261</v>
      </c>
      <c r="N386" s="66">
        <v>1041.102522949632</v>
      </c>
      <c r="O386" s="111">
        <v>39411.726593576539</v>
      </c>
      <c r="P386" s="111">
        <v>45415.201903914545</v>
      </c>
      <c r="Q386" s="110">
        <v>26810.908827497857</v>
      </c>
      <c r="R386" s="258">
        <v>66222.635421074403</v>
      </c>
      <c r="S386" s="259">
        <v>72226.110731412395</v>
      </c>
      <c r="U386" s="7" t="s">
        <v>2054</v>
      </c>
    </row>
    <row r="387" spans="1:21" s="65" customFormat="1" ht="16.5" thickBot="1">
      <c r="A387" s="41" t="s">
        <v>31</v>
      </c>
      <c r="B387" s="42">
        <f t="shared" si="21"/>
        <v>80</v>
      </c>
      <c r="C387" s="42" t="s">
        <v>3</v>
      </c>
      <c r="D387" s="42">
        <f t="shared" si="22"/>
        <v>400</v>
      </c>
      <c r="E387" s="42" t="s">
        <v>3</v>
      </c>
      <c r="F387" s="101">
        <f t="shared" si="23"/>
        <v>1700</v>
      </c>
      <c r="G387" s="42" t="s">
        <v>3</v>
      </c>
      <c r="H387" s="39">
        <v>6</v>
      </c>
      <c r="I387" s="40" t="s">
        <v>40</v>
      </c>
      <c r="J387" s="149">
        <v>80</v>
      </c>
      <c r="K387" s="104">
        <v>400</v>
      </c>
      <c r="L387" s="104">
        <v>1700</v>
      </c>
      <c r="M387" s="150">
        <v>23.258064246571315</v>
      </c>
      <c r="N387" s="66">
        <v>1081.144927678464</v>
      </c>
      <c r="O387" s="111">
        <v>40394.368519757285</v>
      </c>
      <c r="P387" s="111">
        <v>46559.905424139324</v>
      </c>
      <c r="Q387" s="110">
        <v>27467.515777227836</v>
      </c>
      <c r="R387" s="258">
        <v>67861.884296985125</v>
      </c>
      <c r="S387" s="259">
        <v>74027.421201367164</v>
      </c>
      <c r="U387" s="7" t="s">
        <v>2055</v>
      </c>
    </row>
    <row r="388" spans="1:21" s="65" customFormat="1" ht="16.5" thickBot="1">
      <c r="A388" s="41" t="s">
        <v>31</v>
      </c>
      <c r="B388" s="42">
        <f t="shared" si="21"/>
        <v>80</v>
      </c>
      <c r="C388" s="42" t="s">
        <v>3</v>
      </c>
      <c r="D388" s="42">
        <f t="shared" si="22"/>
        <v>400</v>
      </c>
      <c r="E388" s="42" t="s">
        <v>3</v>
      </c>
      <c r="F388" s="101">
        <f t="shared" si="23"/>
        <v>1750</v>
      </c>
      <c r="G388" s="42" t="s">
        <v>3</v>
      </c>
      <c r="H388" s="39">
        <v>6</v>
      </c>
      <c r="I388" s="40" t="s">
        <v>40</v>
      </c>
      <c r="J388" s="149">
        <v>80</v>
      </c>
      <c r="K388" s="104">
        <v>400</v>
      </c>
      <c r="L388" s="104">
        <v>1750</v>
      </c>
      <c r="M388" s="150">
        <v>23.909250524632366</v>
      </c>
      <c r="N388" s="66">
        <v>1121.1873324072958</v>
      </c>
      <c r="O388" s="111">
        <v>41377.010598966794</v>
      </c>
      <c r="P388" s="111">
        <v>47704.608791335333</v>
      </c>
      <c r="Q388" s="110">
        <v>28375.457017770343</v>
      </c>
      <c r="R388" s="258">
        <v>69752.467616737136</v>
      </c>
      <c r="S388" s="259">
        <v>76080.065809105668</v>
      </c>
      <c r="U388" s="7" t="s">
        <v>2056</v>
      </c>
    </row>
    <row r="389" spans="1:21" s="65" customFormat="1" ht="16.5" thickBot="1">
      <c r="A389" s="41" t="s">
        <v>31</v>
      </c>
      <c r="B389" s="42">
        <f t="shared" si="21"/>
        <v>80</v>
      </c>
      <c r="C389" s="42" t="s">
        <v>3</v>
      </c>
      <c r="D389" s="42">
        <f t="shared" si="22"/>
        <v>400</v>
      </c>
      <c r="E389" s="42" t="s">
        <v>3</v>
      </c>
      <c r="F389" s="101">
        <f t="shared" si="23"/>
        <v>1800</v>
      </c>
      <c r="G389" s="42" t="s">
        <v>3</v>
      </c>
      <c r="H389" s="39">
        <v>6</v>
      </c>
      <c r="I389" s="40" t="s">
        <v>40</v>
      </c>
      <c r="J389" s="149">
        <v>80</v>
      </c>
      <c r="K389" s="104">
        <v>400</v>
      </c>
      <c r="L389" s="104">
        <v>1800</v>
      </c>
      <c r="M389" s="150">
        <v>24.56043680269342</v>
      </c>
      <c r="N389" s="66">
        <v>1161.2297371361278</v>
      </c>
      <c r="O389" s="111">
        <v>42359.65252514754</v>
      </c>
      <c r="P389" s="111">
        <v>48849.312158531349</v>
      </c>
      <c r="Q389" s="110">
        <v>29032.063967500315</v>
      </c>
      <c r="R389" s="258">
        <v>71391.716492647858</v>
      </c>
      <c r="S389" s="259">
        <v>77881.376126031668</v>
      </c>
      <c r="U389" s="7" t="s">
        <v>2057</v>
      </c>
    </row>
    <row r="390" spans="1:21" s="65" customFormat="1" ht="16.5" thickBot="1">
      <c r="A390" s="41" t="s">
        <v>31</v>
      </c>
      <c r="B390" s="42">
        <f t="shared" si="21"/>
        <v>80</v>
      </c>
      <c r="C390" s="42" t="s">
        <v>3</v>
      </c>
      <c r="D390" s="42">
        <f t="shared" si="22"/>
        <v>400</v>
      </c>
      <c r="E390" s="42" t="s">
        <v>3</v>
      </c>
      <c r="F390" s="101">
        <f t="shared" si="23"/>
        <v>1850</v>
      </c>
      <c r="G390" s="42" t="s">
        <v>3</v>
      </c>
      <c r="H390" s="39">
        <v>6</v>
      </c>
      <c r="I390" s="40" t="s">
        <v>40</v>
      </c>
      <c r="J390" s="149">
        <v>80</v>
      </c>
      <c r="K390" s="104">
        <v>400</v>
      </c>
      <c r="L390" s="104">
        <v>1850</v>
      </c>
      <c r="M390" s="150">
        <v>25.211623080754475</v>
      </c>
      <c r="N390" s="66">
        <v>1201.2721418649598</v>
      </c>
      <c r="O390" s="111">
        <v>43342.294451328286</v>
      </c>
      <c r="P390" s="111">
        <v>49994.015678756128</v>
      </c>
      <c r="Q390" s="110">
        <v>29940.005208042821</v>
      </c>
      <c r="R390" s="258">
        <v>73282.299659371114</v>
      </c>
      <c r="S390" s="259">
        <v>79934.020886798942</v>
      </c>
      <c r="U390" s="7" t="s">
        <v>2058</v>
      </c>
    </row>
    <row r="391" spans="1:21" s="65" customFormat="1" ht="16.5" thickBot="1">
      <c r="A391" s="41" t="s">
        <v>31</v>
      </c>
      <c r="B391" s="42">
        <f t="shared" si="21"/>
        <v>80</v>
      </c>
      <c r="C391" s="42" t="s">
        <v>3</v>
      </c>
      <c r="D391" s="42">
        <f t="shared" si="22"/>
        <v>400</v>
      </c>
      <c r="E391" s="42" t="s">
        <v>3</v>
      </c>
      <c r="F391" s="101">
        <f t="shared" si="23"/>
        <v>1900</v>
      </c>
      <c r="G391" s="42" t="s">
        <v>3</v>
      </c>
      <c r="H391" s="39">
        <v>6</v>
      </c>
      <c r="I391" s="40" t="s">
        <v>40</v>
      </c>
      <c r="J391" s="149">
        <v>80</v>
      </c>
      <c r="K391" s="104">
        <v>400</v>
      </c>
      <c r="L391" s="104">
        <v>1900</v>
      </c>
      <c r="M391" s="150">
        <v>25.862809358815522</v>
      </c>
      <c r="N391" s="66">
        <v>1241.3145465937919</v>
      </c>
      <c r="O391" s="111">
        <v>44324.936530537801</v>
      </c>
      <c r="P391" s="111">
        <v>51138.719045952144</v>
      </c>
      <c r="Q391" s="110">
        <v>30596.612157772794</v>
      </c>
      <c r="R391" s="258">
        <v>74921.548688310591</v>
      </c>
      <c r="S391" s="259">
        <v>81735.331203724942</v>
      </c>
      <c r="U391" s="7" t="s">
        <v>2059</v>
      </c>
    </row>
    <row r="392" spans="1:21" s="65" customFormat="1" ht="16.5" thickBot="1">
      <c r="A392" s="41" t="s">
        <v>31</v>
      </c>
      <c r="B392" s="42">
        <f t="shared" si="21"/>
        <v>80</v>
      </c>
      <c r="C392" s="42" t="s">
        <v>3</v>
      </c>
      <c r="D392" s="42">
        <f t="shared" si="22"/>
        <v>400</v>
      </c>
      <c r="E392" s="42" t="s">
        <v>3</v>
      </c>
      <c r="F392" s="101">
        <f t="shared" si="23"/>
        <v>1950</v>
      </c>
      <c r="G392" s="42" t="s">
        <v>3</v>
      </c>
      <c r="H392" s="39">
        <v>6</v>
      </c>
      <c r="I392" s="40" t="s">
        <v>40</v>
      </c>
      <c r="J392" s="149">
        <v>80</v>
      </c>
      <c r="K392" s="104">
        <v>400</v>
      </c>
      <c r="L392" s="104">
        <v>1950</v>
      </c>
      <c r="M392" s="150">
        <v>26.63174563687658</v>
      </c>
      <c r="N392" s="66">
        <v>1281.3569513226239</v>
      </c>
      <c r="O392" s="111">
        <v>45441.676951482521</v>
      </c>
      <c r="P392" s="111">
        <v>52413.433662624411</v>
      </c>
      <c r="Q392" s="110">
        <v>31253.219260531532</v>
      </c>
      <c r="R392" s="258">
        <v>76694.89621201405</v>
      </c>
      <c r="S392" s="259">
        <v>83666.65292315594</v>
      </c>
      <c r="U392" s="7" t="s">
        <v>2060</v>
      </c>
    </row>
    <row r="393" spans="1:21" s="65" customFormat="1" ht="16.5" thickBot="1">
      <c r="A393" s="41" t="s">
        <v>31</v>
      </c>
      <c r="B393" s="42">
        <f t="shared" si="21"/>
        <v>80</v>
      </c>
      <c r="C393" s="42" t="s">
        <v>3</v>
      </c>
      <c r="D393" s="42">
        <f t="shared" si="22"/>
        <v>400</v>
      </c>
      <c r="E393" s="42" t="s">
        <v>3</v>
      </c>
      <c r="F393" s="101">
        <f t="shared" si="23"/>
        <v>2000</v>
      </c>
      <c r="G393" s="42" t="s">
        <v>3</v>
      </c>
      <c r="H393" s="39">
        <v>6</v>
      </c>
      <c r="I393" s="40" t="s">
        <v>40</v>
      </c>
      <c r="J393" s="149">
        <v>80</v>
      </c>
      <c r="K393" s="104">
        <v>400</v>
      </c>
      <c r="L393" s="104">
        <v>2000</v>
      </c>
      <c r="M393" s="150">
        <v>27.374494314937628</v>
      </c>
      <c r="N393" s="66">
        <v>1321.3993560514559</v>
      </c>
      <c r="O393" s="111">
        <v>46675.610779507864</v>
      </c>
      <c r="P393" s="111">
        <v>53886.565682215289</v>
      </c>
      <c r="Q393" s="110">
        <v>32161.160348045276</v>
      </c>
      <c r="R393" s="258">
        <v>78836.771127553133</v>
      </c>
      <c r="S393" s="259">
        <v>86047.726030260557</v>
      </c>
      <c r="U393" s="7" t="s">
        <v>2061</v>
      </c>
    </row>
    <row r="394" spans="1:21" s="65" customFormat="1" ht="16.5" thickBot="1">
      <c r="A394" s="41" t="s">
        <v>31</v>
      </c>
      <c r="B394" s="42">
        <f t="shared" si="21"/>
        <v>80</v>
      </c>
      <c r="C394" s="42" t="s">
        <v>3</v>
      </c>
      <c r="D394" s="42">
        <f t="shared" si="22"/>
        <v>400</v>
      </c>
      <c r="E394" s="42" t="s">
        <v>3</v>
      </c>
      <c r="F394" s="101">
        <f t="shared" si="23"/>
        <v>2050</v>
      </c>
      <c r="G394" s="42" t="s">
        <v>3</v>
      </c>
      <c r="H394" s="39">
        <v>6</v>
      </c>
      <c r="I394" s="40" t="s">
        <v>40</v>
      </c>
      <c r="J394" s="149">
        <v>80</v>
      </c>
      <c r="K394" s="104">
        <v>400</v>
      </c>
      <c r="L394" s="104">
        <v>2050</v>
      </c>
      <c r="M394" s="150">
        <v>28.025680592998683</v>
      </c>
      <c r="N394" s="66">
        <v>1361.441760780288</v>
      </c>
      <c r="O394" s="111">
        <v>47658.252858717373</v>
      </c>
      <c r="P394" s="111">
        <v>55031.269049411305</v>
      </c>
      <c r="Q394" s="110">
        <v>32817.767450804015</v>
      </c>
      <c r="R394" s="258">
        <v>80476.02030952138</v>
      </c>
      <c r="S394" s="259">
        <v>87849.036500215327</v>
      </c>
      <c r="U394" s="7" t="s">
        <v>2062</v>
      </c>
    </row>
    <row r="395" spans="1:21" s="65" customFormat="1" ht="16.5" thickBot="1">
      <c r="A395" s="38" t="s">
        <v>31</v>
      </c>
      <c r="B395" s="39">
        <f t="shared" si="21"/>
        <v>80</v>
      </c>
      <c r="C395" s="39" t="s">
        <v>3</v>
      </c>
      <c r="D395" s="39">
        <f t="shared" si="22"/>
        <v>400</v>
      </c>
      <c r="E395" s="39" t="s">
        <v>3</v>
      </c>
      <c r="F395" s="101">
        <f t="shared" si="23"/>
        <v>2100</v>
      </c>
      <c r="G395" s="39" t="s">
        <v>3</v>
      </c>
      <c r="H395" s="39">
        <v>6</v>
      </c>
      <c r="I395" s="40" t="s">
        <v>40</v>
      </c>
      <c r="J395" s="149">
        <v>80</v>
      </c>
      <c r="K395" s="104">
        <v>400</v>
      </c>
      <c r="L395" s="104">
        <v>2100</v>
      </c>
      <c r="M395" s="150">
        <v>28.67686687105973</v>
      </c>
      <c r="N395" s="66">
        <v>1401.48416550912</v>
      </c>
      <c r="O395" s="111">
        <v>48640.894784898126</v>
      </c>
      <c r="P395" s="111">
        <v>56175.972416607321</v>
      </c>
      <c r="Q395" s="110">
        <v>33725.708538317755</v>
      </c>
      <c r="R395" s="258">
        <v>82366.603323215881</v>
      </c>
      <c r="S395" s="259">
        <v>89901.680954925076</v>
      </c>
      <c r="U395" s="7" t="s">
        <v>2063</v>
      </c>
    </row>
    <row r="396" spans="1:21" s="65" customFormat="1" ht="16.5" thickBot="1">
      <c r="A396" s="41" t="s">
        <v>31</v>
      </c>
      <c r="B396" s="42">
        <f t="shared" si="21"/>
        <v>80</v>
      </c>
      <c r="C396" s="42" t="s">
        <v>3</v>
      </c>
      <c r="D396" s="42">
        <f t="shared" si="22"/>
        <v>400</v>
      </c>
      <c r="E396" s="42" t="s">
        <v>3</v>
      </c>
      <c r="F396" s="101">
        <f t="shared" si="23"/>
        <v>2150</v>
      </c>
      <c r="G396" s="42" t="s">
        <v>3</v>
      </c>
      <c r="H396" s="39">
        <v>6</v>
      </c>
      <c r="I396" s="40" t="s">
        <v>40</v>
      </c>
      <c r="J396" s="149">
        <v>80</v>
      </c>
      <c r="K396" s="104">
        <v>400</v>
      </c>
      <c r="L396" s="104">
        <v>2150</v>
      </c>
      <c r="M396" s="150">
        <v>29.328053149120791</v>
      </c>
      <c r="N396" s="66">
        <v>1441.526570237952</v>
      </c>
      <c r="O396" s="111">
        <v>49623.536711078872</v>
      </c>
      <c r="P396" s="111">
        <v>57320.6759368321</v>
      </c>
      <c r="Q396" s="110">
        <v>34382.315641076493</v>
      </c>
      <c r="R396" s="258">
        <v>84005.852352155373</v>
      </c>
      <c r="S396" s="259">
        <v>91702.9915779086</v>
      </c>
      <c r="U396" s="7" t="s">
        <v>2064</v>
      </c>
    </row>
    <row r="397" spans="1:21" s="65" customFormat="1" ht="16.5" thickBot="1">
      <c r="A397" s="41" t="s">
        <v>31</v>
      </c>
      <c r="B397" s="42">
        <f t="shared" si="21"/>
        <v>80</v>
      </c>
      <c r="C397" s="42" t="s">
        <v>3</v>
      </c>
      <c r="D397" s="42">
        <f t="shared" si="22"/>
        <v>400</v>
      </c>
      <c r="E397" s="42" t="s">
        <v>3</v>
      </c>
      <c r="F397" s="101">
        <f t="shared" si="23"/>
        <v>2200</v>
      </c>
      <c r="G397" s="42" t="s">
        <v>3</v>
      </c>
      <c r="H397" s="39">
        <v>6</v>
      </c>
      <c r="I397" s="40" t="s">
        <v>40</v>
      </c>
      <c r="J397" s="149">
        <v>80</v>
      </c>
      <c r="K397" s="104">
        <v>400</v>
      </c>
      <c r="L397" s="104">
        <v>2200</v>
      </c>
      <c r="M397" s="150">
        <v>29.979239427181838</v>
      </c>
      <c r="N397" s="66">
        <v>1481.568974966784</v>
      </c>
      <c r="O397" s="111">
        <v>50606.178637259611</v>
      </c>
      <c r="P397" s="111">
        <v>58465.379304028109</v>
      </c>
      <c r="Q397" s="110">
        <v>35290.256728590233</v>
      </c>
      <c r="R397" s="258">
        <v>85896.435365849844</v>
      </c>
      <c r="S397" s="259">
        <v>93755.636032618349</v>
      </c>
      <c r="U397" s="7" t="s">
        <v>2065</v>
      </c>
    </row>
    <row r="398" spans="1:21" s="65" customFormat="1" ht="16.5" thickBot="1">
      <c r="A398" s="41" t="s">
        <v>31</v>
      </c>
      <c r="B398" s="42">
        <f t="shared" si="21"/>
        <v>80</v>
      </c>
      <c r="C398" s="42" t="s">
        <v>3</v>
      </c>
      <c r="D398" s="42">
        <f t="shared" si="22"/>
        <v>400</v>
      </c>
      <c r="E398" s="42" t="s">
        <v>3</v>
      </c>
      <c r="F398" s="101">
        <f t="shared" si="23"/>
        <v>2250</v>
      </c>
      <c r="G398" s="42" t="s">
        <v>3</v>
      </c>
      <c r="H398" s="39">
        <v>6</v>
      </c>
      <c r="I398" s="40" t="s">
        <v>40</v>
      </c>
      <c r="J398" s="149">
        <v>80</v>
      </c>
      <c r="K398" s="104">
        <v>400</v>
      </c>
      <c r="L398" s="104">
        <v>2250</v>
      </c>
      <c r="M398" s="150">
        <v>30.630425705242889</v>
      </c>
      <c r="N398" s="66">
        <v>1521.6113796956158</v>
      </c>
      <c r="O398" s="111">
        <v>51588.820716469127</v>
      </c>
      <c r="P398" s="111">
        <v>59610.082824252895</v>
      </c>
      <c r="Q398" s="110">
        <v>35946.863831348819</v>
      </c>
      <c r="R398" s="258">
        <v>87535.684547817946</v>
      </c>
      <c r="S398" s="259">
        <v>95556.946655601714</v>
      </c>
      <c r="U398" s="7" t="s">
        <v>2066</v>
      </c>
    </row>
    <row r="399" spans="1:21" s="65" customFormat="1" ht="16.5" thickBot="1">
      <c r="A399" s="41" t="s">
        <v>31</v>
      </c>
      <c r="B399" s="42">
        <f t="shared" si="21"/>
        <v>80</v>
      </c>
      <c r="C399" s="42" t="s">
        <v>3</v>
      </c>
      <c r="D399" s="42">
        <f t="shared" si="22"/>
        <v>400</v>
      </c>
      <c r="E399" s="42" t="s">
        <v>3</v>
      </c>
      <c r="F399" s="101">
        <f t="shared" si="23"/>
        <v>2300</v>
      </c>
      <c r="G399" s="42" t="s">
        <v>3</v>
      </c>
      <c r="H399" s="39">
        <v>6</v>
      </c>
      <c r="I399" s="40" t="s">
        <v>40</v>
      </c>
      <c r="J399" s="149">
        <v>80</v>
      </c>
      <c r="K399" s="104">
        <v>400</v>
      </c>
      <c r="L399" s="104">
        <v>2300</v>
      </c>
      <c r="M399" s="150">
        <v>31.281611983303947</v>
      </c>
      <c r="N399" s="66">
        <v>1561.6537844244478</v>
      </c>
      <c r="O399" s="111">
        <v>52571.46264264988</v>
      </c>
      <c r="P399" s="111">
        <v>60754.786191448904</v>
      </c>
      <c r="Q399" s="110">
        <v>36603.470781078948</v>
      </c>
      <c r="R399" s="258">
        <v>89174.933423728828</v>
      </c>
      <c r="S399" s="259">
        <v>97358.256972527859</v>
      </c>
      <c r="U399" s="7" t="s">
        <v>2067</v>
      </c>
    </row>
    <row r="400" spans="1:21" s="65" customFormat="1" ht="16.5" thickBot="1">
      <c r="A400" s="41" t="s">
        <v>31</v>
      </c>
      <c r="B400" s="42">
        <f t="shared" si="21"/>
        <v>80</v>
      </c>
      <c r="C400" s="42" t="s">
        <v>3</v>
      </c>
      <c r="D400" s="42">
        <f t="shared" si="22"/>
        <v>400</v>
      </c>
      <c r="E400" s="42" t="s">
        <v>3</v>
      </c>
      <c r="F400" s="101">
        <f t="shared" si="23"/>
        <v>2350</v>
      </c>
      <c r="G400" s="42" t="s">
        <v>3</v>
      </c>
      <c r="H400" s="39">
        <v>6</v>
      </c>
      <c r="I400" s="40" t="s">
        <v>40</v>
      </c>
      <c r="J400" s="149">
        <v>80</v>
      </c>
      <c r="K400" s="104">
        <v>400</v>
      </c>
      <c r="L400" s="104">
        <v>2350</v>
      </c>
      <c r="M400" s="150">
        <v>31.932798261364994</v>
      </c>
      <c r="N400" s="66">
        <v>1601.6961891532799</v>
      </c>
      <c r="O400" s="111">
        <v>53554.104568830619</v>
      </c>
      <c r="P400" s="111">
        <v>61899.48971167369</v>
      </c>
      <c r="Q400" s="110">
        <v>37511.412021621458</v>
      </c>
      <c r="R400" s="258">
        <v>91065.516590452084</v>
      </c>
      <c r="S400" s="259">
        <v>99410.901733295148</v>
      </c>
      <c r="U400" s="7" t="s">
        <v>2068</v>
      </c>
    </row>
    <row r="401" spans="1:21" s="65" customFormat="1" ht="16.5" thickBot="1">
      <c r="A401" s="41" t="s">
        <v>31</v>
      </c>
      <c r="B401" s="42">
        <f t="shared" si="21"/>
        <v>80</v>
      </c>
      <c r="C401" s="42" t="s">
        <v>3</v>
      </c>
      <c r="D401" s="42">
        <f t="shared" si="22"/>
        <v>400</v>
      </c>
      <c r="E401" s="42" t="s">
        <v>3</v>
      </c>
      <c r="F401" s="101">
        <f t="shared" si="23"/>
        <v>2400</v>
      </c>
      <c r="G401" s="42" t="s">
        <v>3</v>
      </c>
      <c r="H401" s="39">
        <v>6</v>
      </c>
      <c r="I401" s="40" t="s">
        <v>40</v>
      </c>
      <c r="J401" s="149">
        <v>80</v>
      </c>
      <c r="K401" s="104">
        <v>400</v>
      </c>
      <c r="L401" s="104">
        <v>2400</v>
      </c>
      <c r="M401" s="150">
        <v>32.583984539426048</v>
      </c>
      <c r="N401" s="66">
        <v>1641.7385938821117</v>
      </c>
      <c r="O401" s="111">
        <v>54536.746648040127</v>
      </c>
      <c r="P401" s="111">
        <v>63044.193078869699</v>
      </c>
      <c r="Q401" s="110">
        <v>38168.019124380196</v>
      </c>
      <c r="R401" s="258">
        <v>92704.765772420331</v>
      </c>
      <c r="S401" s="259">
        <v>101212.21220324989</v>
      </c>
      <c r="U401" s="7" t="s">
        <v>2069</v>
      </c>
    </row>
    <row r="402" spans="1:21" s="65" customFormat="1" ht="16.5" thickBot="1">
      <c r="A402" s="41" t="s">
        <v>31</v>
      </c>
      <c r="B402" s="42">
        <f t="shared" si="21"/>
        <v>80</v>
      </c>
      <c r="C402" s="42" t="s">
        <v>3</v>
      </c>
      <c r="D402" s="42">
        <f t="shared" si="22"/>
        <v>400</v>
      </c>
      <c r="E402" s="42" t="s">
        <v>3</v>
      </c>
      <c r="F402" s="101">
        <f t="shared" si="23"/>
        <v>2450</v>
      </c>
      <c r="G402" s="42" t="s">
        <v>3</v>
      </c>
      <c r="H402" s="39">
        <v>6</v>
      </c>
      <c r="I402" s="40" t="s">
        <v>40</v>
      </c>
      <c r="J402" s="149">
        <v>80</v>
      </c>
      <c r="K402" s="104">
        <v>400</v>
      </c>
      <c r="L402" s="104">
        <v>2450</v>
      </c>
      <c r="M402" s="150">
        <v>33.431737470287104</v>
      </c>
      <c r="N402" s="66">
        <v>1681.7809986109439</v>
      </c>
      <c r="O402" s="111">
        <v>56402.904281446718</v>
      </c>
      <c r="P402" s="111">
        <v>64997.095220816162</v>
      </c>
      <c r="Q402" s="110">
        <v>39075.960211893937</v>
      </c>
      <c r="R402" s="258">
        <v>95478.864493340661</v>
      </c>
      <c r="S402" s="259">
        <v>104073.0554327101</v>
      </c>
      <c r="U402" s="7" t="s">
        <v>2070</v>
      </c>
    </row>
    <row r="403" spans="1:21" s="65" customFormat="1" ht="16.5" thickBot="1">
      <c r="A403" s="41" t="s">
        <v>31</v>
      </c>
      <c r="B403" s="42">
        <f t="shared" si="21"/>
        <v>80</v>
      </c>
      <c r="C403" s="42" t="s">
        <v>3</v>
      </c>
      <c r="D403" s="42">
        <f t="shared" si="22"/>
        <v>400</v>
      </c>
      <c r="E403" s="42" t="s">
        <v>3</v>
      </c>
      <c r="F403" s="101">
        <f t="shared" si="23"/>
        <v>2500</v>
      </c>
      <c r="G403" s="42" t="s">
        <v>3</v>
      </c>
      <c r="H403" s="39">
        <v>6</v>
      </c>
      <c r="I403" s="40" t="s">
        <v>40</v>
      </c>
      <c r="J403" s="149">
        <v>80</v>
      </c>
      <c r="K403" s="104">
        <v>400</v>
      </c>
      <c r="L403" s="104">
        <v>2500</v>
      </c>
      <c r="M403" s="150">
        <v>34.082923748348151</v>
      </c>
      <c r="N403" s="66">
        <v>1721.8234033397757</v>
      </c>
      <c r="O403" s="111">
        <v>57385.546207627471</v>
      </c>
      <c r="P403" s="111">
        <v>66141.798741040941</v>
      </c>
      <c r="Q403" s="110">
        <v>39732.567314652675</v>
      </c>
      <c r="R403" s="258">
        <v>97118.113522280153</v>
      </c>
      <c r="S403" s="259">
        <v>105874.36605569362</v>
      </c>
      <c r="U403" s="7" t="s">
        <v>2071</v>
      </c>
    </row>
    <row r="404" spans="1:21" s="65" customFormat="1" ht="16.5" thickBot="1">
      <c r="A404" s="41" t="s">
        <v>31</v>
      </c>
      <c r="B404" s="42">
        <f t="shared" si="21"/>
        <v>80</v>
      </c>
      <c r="C404" s="42" t="s">
        <v>3</v>
      </c>
      <c r="D404" s="42">
        <f t="shared" si="22"/>
        <v>400</v>
      </c>
      <c r="E404" s="42" t="s">
        <v>3</v>
      </c>
      <c r="F404" s="101">
        <f t="shared" si="23"/>
        <v>2550</v>
      </c>
      <c r="G404" s="42" t="s">
        <v>3</v>
      </c>
      <c r="H404" s="39">
        <v>6</v>
      </c>
      <c r="I404" s="40" t="s">
        <v>40</v>
      </c>
      <c r="J404" s="149">
        <v>80</v>
      </c>
      <c r="K404" s="104">
        <v>400</v>
      </c>
      <c r="L404" s="104">
        <v>2550</v>
      </c>
      <c r="M404" s="150">
        <v>34.734110026409205</v>
      </c>
      <c r="N404" s="66">
        <v>1761.865808068608</v>
      </c>
      <c r="O404" s="111">
        <v>58368.188286836987</v>
      </c>
      <c r="P404" s="111">
        <v>67286.502108236964</v>
      </c>
      <c r="Q404" s="110">
        <v>40640.508402166415</v>
      </c>
      <c r="R404" s="258">
        <v>99008.696689003409</v>
      </c>
      <c r="S404" s="259">
        <v>107927.01051040337</v>
      </c>
      <c r="U404" s="7" t="s">
        <v>2072</v>
      </c>
    </row>
    <row r="405" spans="1:21" s="65" customFormat="1" ht="16.5" thickBot="1">
      <c r="A405" s="38" t="s">
        <v>31</v>
      </c>
      <c r="B405" s="39">
        <f t="shared" si="21"/>
        <v>80</v>
      </c>
      <c r="C405" s="39" t="s">
        <v>3</v>
      </c>
      <c r="D405" s="39">
        <f t="shared" si="22"/>
        <v>400</v>
      </c>
      <c r="E405" s="39" t="s">
        <v>3</v>
      </c>
      <c r="F405" s="101">
        <f t="shared" si="23"/>
        <v>2600</v>
      </c>
      <c r="G405" s="39" t="s">
        <v>3</v>
      </c>
      <c r="H405" s="39">
        <v>6</v>
      </c>
      <c r="I405" s="40" t="s">
        <v>40</v>
      </c>
      <c r="J405" s="149">
        <v>80</v>
      </c>
      <c r="K405" s="104">
        <v>400</v>
      </c>
      <c r="L405" s="104">
        <v>2600</v>
      </c>
      <c r="M405" s="150">
        <v>35.385296304470259</v>
      </c>
      <c r="N405" s="66">
        <v>1801.9082127974398</v>
      </c>
      <c r="O405" s="111">
        <v>59350.830213017725</v>
      </c>
      <c r="P405" s="111">
        <v>68431.205628461743</v>
      </c>
      <c r="Q405" s="110">
        <v>41297.115504925154</v>
      </c>
      <c r="R405" s="258">
        <v>100647.94571794287</v>
      </c>
      <c r="S405" s="259">
        <v>109728.3211333869</v>
      </c>
      <c r="U405" s="7" t="s">
        <v>2073</v>
      </c>
    </row>
    <row r="406" spans="1:21" s="65" customFormat="1" ht="16.5" thickBot="1">
      <c r="A406" s="41" t="s">
        <v>31</v>
      </c>
      <c r="B406" s="42">
        <f t="shared" si="21"/>
        <v>80</v>
      </c>
      <c r="C406" s="42" t="s">
        <v>3</v>
      </c>
      <c r="D406" s="42">
        <f t="shared" si="22"/>
        <v>400</v>
      </c>
      <c r="E406" s="42" t="s">
        <v>3</v>
      </c>
      <c r="F406" s="101">
        <f t="shared" si="23"/>
        <v>2650</v>
      </c>
      <c r="G406" s="42" t="s">
        <v>3</v>
      </c>
      <c r="H406" s="39">
        <v>6</v>
      </c>
      <c r="I406" s="40" t="s">
        <v>40</v>
      </c>
      <c r="J406" s="149">
        <v>80</v>
      </c>
      <c r="K406" s="104">
        <v>400</v>
      </c>
      <c r="L406" s="104">
        <v>2650</v>
      </c>
      <c r="M406" s="150">
        <v>36.03648258253132</v>
      </c>
      <c r="N406" s="66">
        <v>1841.9506175262718</v>
      </c>
      <c r="O406" s="111">
        <v>60333.472139198479</v>
      </c>
      <c r="P406" s="111">
        <v>69575.908995657752</v>
      </c>
      <c r="Q406" s="110">
        <v>42205.056592438901</v>
      </c>
      <c r="R406" s="258">
        <v>102538.52873163737</v>
      </c>
      <c r="S406" s="259">
        <v>111780.96558809665</v>
      </c>
      <c r="U406" s="7" t="s">
        <v>2074</v>
      </c>
    </row>
    <row r="407" spans="1:21" s="65" customFormat="1" ht="16.5" thickBot="1">
      <c r="A407" s="41" t="s">
        <v>31</v>
      </c>
      <c r="B407" s="42">
        <f t="shared" si="21"/>
        <v>80</v>
      </c>
      <c r="C407" s="42" t="s">
        <v>3</v>
      </c>
      <c r="D407" s="42">
        <f t="shared" si="22"/>
        <v>400</v>
      </c>
      <c r="E407" s="42" t="s">
        <v>3</v>
      </c>
      <c r="F407" s="101">
        <f t="shared" si="23"/>
        <v>2700</v>
      </c>
      <c r="G407" s="42" t="s">
        <v>3</v>
      </c>
      <c r="H407" s="39">
        <v>6</v>
      </c>
      <c r="I407" s="40" t="s">
        <v>40</v>
      </c>
      <c r="J407" s="149">
        <v>80</v>
      </c>
      <c r="K407" s="104">
        <v>400</v>
      </c>
      <c r="L407" s="104">
        <v>2700</v>
      </c>
      <c r="M407" s="150">
        <v>36.805418860592368</v>
      </c>
      <c r="N407" s="66">
        <v>1881.9930222551038</v>
      </c>
      <c r="O407" s="111">
        <v>61450.212713171968</v>
      </c>
      <c r="P407" s="111">
        <v>70850.623612330019</v>
      </c>
      <c r="Q407" s="110">
        <v>42861.66369519764</v>
      </c>
      <c r="R407" s="258">
        <v>104311.8764083696</v>
      </c>
      <c r="S407" s="259">
        <v>113712.28730752766</v>
      </c>
      <c r="U407" s="7" t="s">
        <v>2075</v>
      </c>
    </row>
    <row r="408" spans="1:21" s="65" customFormat="1" ht="16.5" thickBot="1">
      <c r="A408" s="41" t="s">
        <v>31</v>
      </c>
      <c r="B408" s="42">
        <f t="shared" si="21"/>
        <v>80</v>
      </c>
      <c r="C408" s="42" t="s">
        <v>3</v>
      </c>
      <c r="D408" s="42">
        <f t="shared" si="22"/>
        <v>400</v>
      </c>
      <c r="E408" s="42" t="s">
        <v>3</v>
      </c>
      <c r="F408" s="101">
        <f t="shared" si="23"/>
        <v>2750</v>
      </c>
      <c r="G408" s="42" t="s">
        <v>3</v>
      </c>
      <c r="H408" s="39">
        <v>6</v>
      </c>
      <c r="I408" s="40" t="s">
        <v>40</v>
      </c>
      <c r="J408" s="149">
        <v>80</v>
      </c>
      <c r="K408" s="104">
        <v>400</v>
      </c>
      <c r="L408" s="104">
        <v>2750</v>
      </c>
      <c r="M408" s="150">
        <v>37.456605138653416</v>
      </c>
      <c r="N408" s="66">
        <v>1922.0354269839358</v>
      </c>
      <c r="O408" s="111">
        <v>62432.854639352707</v>
      </c>
      <c r="P408" s="111">
        <v>71995.326979526028</v>
      </c>
      <c r="Q408" s="110">
        <v>43518.270644927608</v>
      </c>
      <c r="R408" s="258">
        <v>105951.12528428031</v>
      </c>
      <c r="S408" s="259">
        <v>115513.59762445363</v>
      </c>
      <c r="U408" s="7" t="s">
        <v>2076</v>
      </c>
    </row>
    <row r="409" spans="1:21" s="65" customFormat="1" ht="16.5" thickBot="1">
      <c r="A409" s="41" t="s">
        <v>31</v>
      </c>
      <c r="B409" s="42">
        <f t="shared" si="21"/>
        <v>80</v>
      </c>
      <c r="C409" s="42" t="s">
        <v>3</v>
      </c>
      <c r="D409" s="42">
        <f t="shared" si="22"/>
        <v>400</v>
      </c>
      <c r="E409" s="42" t="s">
        <v>3</v>
      </c>
      <c r="F409" s="101">
        <f t="shared" si="23"/>
        <v>2800</v>
      </c>
      <c r="G409" s="42" t="s">
        <v>3</v>
      </c>
      <c r="H409" s="39">
        <v>6</v>
      </c>
      <c r="I409" s="40" t="s">
        <v>40</v>
      </c>
      <c r="J409" s="149">
        <v>80</v>
      </c>
      <c r="K409" s="104">
        <v>400</v>
      </c>
      <c r="L409" s="104">
        <v>2800</v>
      </c>
      <c r="M409" s="150">
        <v>38.107791416714477</v>
      </c>
      <c r="N409" s="66">
        <v>1962.0778317127681</v>
      </c>
      <c r="O409" s="111">
        <v>63415.49656553346</v>
      </c>
      <c r="P409" s="111">
        <v>73140.030499750806</v>
      </c>
      <c r="Q409" s="110">
        <v>44426.211885470118</v>
      </c>
      <c r="R409" s="258">
        <v>107841.70845100358</v>
      </c>
      <c r="S409" s="259">
        <v>117566.24238522092</v>
      </c>
      <c r="U409" s="7" t="s">
        <v>2077</v>
      </c>
    </row>
    <row r="410" spans="1:21" s="65" customFormat="1" ht="16.5" thickBot="1">
      <c r="A410" s="41" t="s">
        <v>31</v>
      </c>
      <c r="B410" s="42">
        <f t="shared" si="21"/>
        <v>80</v>
      </c>
      <c r="C410" s="42" t="s">
        <v>3</v>
      </c>
      <c r="D410" s="42">
        <f t="shared" si="22"/>
        <v>400</v>
      </c>
      <c r="E410" s="42" t="s">
        <v>3</v>
      </c>
      <c r="F410" s="101">
        <f t="shared" si="23"/>
        <v>2850</v>
      </c>
      <c r="G410" s="42" t="s">
        <v>3</v>
      </c>
      <c r="H410" s="39">
        <v>6</v>
      </c>
      <c r="I410" s="40" t="s">
        <v>40</v>
      </c>
      <c r="J410" s="149">
        <v>80</v>
      </c>
      <c r="K410" s="104">
        <v>400</v>
      </c>
      <c r="L410" s="104">
        <v>2850</v>
      </c>
      <c r="M410" s="150">
        <v>38.758977694775524</v>
      </c>
      <c r="N410" s="66">
        <v>2002.1202364415999</v>
      </c>
      <c r="O410" s="111">
        <v>64398.138644742969</v>
      </c>
      <c r="P410" s="111">
        <v>74284.73386694683</v>
      </c>
      <c r="Q410" s="110">
        <v>45082.818835200087</v>
      </c>
      <c r="R410" s="258">
        <v>109480.95747994306</v>
      </c>
      <c r="S410" s="259">
        <v>119367.55270214692</v>
      </c>
      <c r="U410" s="7" t="s">
        <v>2078</v>
      </c>
    </row>
    <row r="411" spans="1:21" s="65" customFormat="1" ht="16.5" thickBot="1">
      <c r="A411" s="41" t="s">
        <v>31</v>
      </c>
      <c r="B411" s="42">
        <f t="shared" si="21"/>
        <v>80</v>
      </c>
      <c r="C411" s="42" t="s">
        <v>3</v>
      </c>
      <c r="D411" s="42">
        <f t="shared" si="22"/>
        <v>400</v>
      </c>
      <c r="E411" s="42" t="s">
        <v>3</v>
      </c>
      <c r="F411" s="101">
        <f t="shared" si="23"/>
        <v>2900</v>
      </c>
      <c r="G411" s="42" t="s">
        <v>3</v>
      </c>
      <c r="H411" s="39">
        <v>6</v>
      </c>
      <c r="I411" s="40" t="s">
        <v>40</v>
      </c>
      <c r="J411" s="149">
        <v>80</v>
      </c>
      <c r="K411" s="104">
        <v>400</v>
      </c>
      <c r="L411" s="104">
        <v>2900</v>
      </c>
      <c r="M411" s="150">
        <v>39.410163972836571</v>
      </c>
      <c r="N411" s="66">
        <v>2042.1626411704317</v>
      </c>
      <c r="O411" s="111">
        <v>65380.780570923715</v>
      </c>
      <c r="P411" s="111">
        <v>75429.437387171609</v>
      </c>
      <c r="Q411" s="110">
        <v>45990.760075742597</v>
      </c>
      <c r="R411" s="258">
        <v>111371.54064666631</v>
      </c>
      <c r="S411" s="259">
        <v>121420.19746291421</v>
      </c>
      <c r="U411" s="7" t="s">
        <v>2079</v>
      </c>
    </row>
    <row r="412" spans="1:21" s="65" customFormat="1" ht="16.5" thickBot="1">
      <c r="A412" s="41" t="s">
        <v>31</v>
      </c>
      <c r="B412" s="42">
        <f t="shared" si="21"/>
        <v>80</v>
      </c>
      <c r="C412" s="42" t="s">
        <v>3</v>
      </c>
      <c r="D412" s="42">
        <f t="shared" si="22"/>
        <v>400</v>
      </c>
      <c r="E412" s="42" t="s">
        <v>3</v>
      </c>
      <c r="F412" s="101">
        <f t="shared" si="23"/>
        <v>2950</v>
      </c>
      <c r="G412" s="42" t="s">
        <v>3</v>
      </c>
      <c r="H412" s="39">
        <v>6</v>
      </c>
      <c r="I412" s="40" t="s">
        <v>40</v>
      </c>
      <c r="J412" s="149">
        <v>80</v>
      </c>
      <c r="K412" s="104">
        <v>400</v>
      </c>
      <c r="L412" s="104">
        <v>2950</v>
      </c>
      <c r="M412" s="150">
        <v>40.061350250897632</v>
      </c>
      <c r="N412" s="66">
        <v>2082.205045899264</v>
      </c>
      <c r="O412" s="111">
        <v>66363.42249710446</v>
      </c>
      <c r="P412" s="111">
        <v>76574.140754367632</v>
      </c>
      <c r="Q412" s="110">
        <v>46647.367025472573</v>
      </c>
      <c r="R412" s="258">
        <v>113010.78952257703</v>
      </c>
      <c r="S412" s="259">
        <v>123221.50777984021</v>
      </c>
      <c r="U412" s="7" t="s">
        <v>2080</v>
      </c>
    </row>
    <row r="413" spans="1:21" s="65" customFormat="1" ht="16.5" thickBot="1">
      <c r="A413" s="41" t="s">
        <v>31</v>
      </c>
      <c r="B413" s="42">
        <f t="shared" si="21"/>
        <v>80</v>
      </c>
      <c r="C413" s="42" t="s">
        <v>3</v>
      </c>
      <c r="D413" s="42">
        <f t="shared" si="22"/>
        <v>400</v>
      </c>
      <c r="E413" s="42" t="s">
        <v>3</v>
      </c>
      <c r="F413" s="101">
        <f t="shared" si="23"/>
        <v>3000</v>
      </c>
      <c r="G413" s="42" t="s">
        <v>3</v>
      </c>
      <c r="H413" s="39">
        <v>6</v>
      </c>
      <c r="I413" s="40" t="s">
        <v>40</v>
      </c>
      <c r="J413" s="151">
        <v>80</v>
      </c>
      <c r="K413" s="134">
        <v>400</v>
      </c>
      <c r="L413" s="134">
        <v>3000</v>
      </c>
      <c r="M413" s="152">
        <v>40.71253652895868</v>
      </c>
      <c r="N413" s="126">
        <v>2122.247450628096</v>
      </c>
      <c r="O413" s="135">
        <v>67346.064576313976</v>
      </c>
      <c r="P413" s="135">
        <v>77718.844274592397</v>
      </c>
      <c r="Q413" s="136">
        <v>47555.308266015076</v>
      </c>
      <c r="R413" s="260">
        <v>114901.37284232906</v>
      </c>
      <c r="S413" s="261">
        <v>125274.15254060747</v>
      </c>
      <c r="U413" s="7" t="s">
        <v>2081</v>
      </c>
    </row>
  </sheetData>
  <mergeCells count="24">
    <mergeCell ref="Q4:Q5"/>
    <mergeCell ref="R4:R5"/>
    <mergeCell ref="S4:S5"/>
    <mergeCell ref="O6:S6"/>
    <mergeCell ref="A4:I6"/>
    <mergeCell ref="J4:M5"/>
    <mergeCell ref="N4:N6"/>
    <mergeCell ref="O4:O5"/>
    <mergeCell ref="P4:P5"/>
    <mergeCell ref="A314:S314"/>
    <mergeCell ref="A364:S364"/>
    <mergeCell ref="A161:S161"/>
    <mergeCell ref="A162:S162"/>
    <mergeCell ref="A262:S262"/>
    <mergeCell ref="A263:S263"/>
    <mergeCell ref="A313:S313"/>
    <mergeCell ref="A212:S212"/>
    <mergeCell ref="A60:S60"/>
    <mergeCell ref="A110:S110"/>
    <mergeCell ref="A111:S111"/>
    <mergeCell ref="A59:S59"/>
    <mergeCell ref="A7:S7"/>
    <mergeCell ref="A8:S8"/>
    <mergeCell ref="A9:S9"/>
  </mergeCells>
  <hyperlinks>
    <hyperlink ref="A1:I1" location="Главная!A1" display="Вернуться на главную страницу" xr:uid="{00000000-0004-0000-1300-000000000000}"/>
    <hyperlink ref="A2" location="'Калькулятор теплоотдач ВК'!R1C1" display="Вернуться Калькулятор теплоотдач ВК" xr:uid="{00000000-0004-0000-13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2">
    <tabColor rgb="FFFFC000"/>
  </sheetPr>
  <dimension ref="A1:U414"/>
  <sheetViews>
    <sheetView zoomScale="70" zoomScaleNormal="70" workbookViewId="0">
      <pane ySplit="6" topLeftCell="A43" activePane="bottomLeft" state="frozen"/>
      <selection pane="bottomLeft" activeCell="Q58" sqref="Q58"/>
    </sheetView>
  </sheetViews>
  <sheetFormatPr defaultRowHeight="15.75"/>
  <cols>
    <col min="1" max="1" width="3.710937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4.5703125" style="7" customWidth="1"/>
    <col min="10" max="10" width="11.28515625" style="7" customWidth="1"/>
    <col min="11" max="12" width="11.28515625" style="87" customWidth="1"/>
    <col min="13" max="13" width="15.5703125" style="140" customWidth="1"/>
    <col min="14" max="14" width="19.140625" style="7" customWidth="1"/>
    <col min="15" max="15" width="27.7109375" style="107" customWidth="1"/>
    <col min="16" max="16" width="27.7109375" style="106" customWidth="1"/>
    <col min="17" max="17" width="26.28515625" style="107" customWidth="1"/>
    <col min="18" max="19" width="27.7109375" style="107" customWidth="1"/>
    <col min="21" max="21" width="22.42578125" customWidth="1"/>
  </cols>
  <sheetData>
    <row r="1" spans="1:21" s="65" customFormat="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s="65" customFormat="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142</v>
      </c>
      <c r="P4" s="3008" t="s">
        <v>138</v>
      </c>
      <c r="Q4" s="3045" t="s">
        <v>143</v>
      </c>
      <c r="R4" s="3020" t="s">
        <v>420</v>
      </c>
      <c r="S4" s="2981" t="s">
        <v>421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s="65" customFormat="1" ht="22.5" customHeight="1" thickBot="1">
      <c r="A7" s="2968" t="s">
        <v>472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s="65" customFormat="1" ht="22.5" customHeight="1" thickBot="1">
      <c r="A8" s="2971" t="s">
        <v>62</v>
      </c>
      <c r="B8" s="2972"/>
      <c r="C8" s="2972"/>
      <c r="D8" s="2972"/>
      <c r="E8" s="2972"/>
      <c r="F8" s="2972"/>
      <c r="G8" s="2972"/>
      <c r="H8" s="2972"/>
      <c r="I8" s="2972"/>
      <c r="J8" s="2972"/>
      <c r="K8" s="2972"/>
      <c r="L8" s="2972"/>
      <c r="M8" s="2972"/>
      <c r="N8" s="2972"/>
      <c r="O8" s="2972"/>
      <c r="P8" s="2972"/>
      <c r="Q8" s="2972"/>
      <c r="R8" s="2972"/>
      <c r="S8" s="2973"/>
    </row>
    <row r="9" spans="1:21" s="65" customFormat="1" ht="16.5" customHeight="1" thickBot="1">
      <c r="A9" s="2974" t="s">
        <v>111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5"/>
      <c r="R9" s="3022"/>
      <c r="S9" s="3023"/>
    </row>
    <row r="10" spans="1:21" s="65" customFormat="1" ht="16.5" customHeight="1" thickBot="1">
      <c r="A10" s="38" t="s">
        <v>31</v>
      </c>
      <c r="B10" s="39">
        <f>J10</f>
        <v>90</v>
      </c>
      <c r="C10" s="39" t="s">
        <v>3</v>
      </c>
      <c r="D10" s="39">
        <f>K10</f>
        <v>160</v>
      </c>
      <c r="E10" s="39" t="s">
        <v>3</v>
      </c>
      <c r="F10" s="101">
        <f>L10</f>
        <v>600</v>
      </c>
      <c r="G10" s="39" t="s">
        <v>3</v>
      </c>
      <c r="H10" s="39">
        <v>2</v>
      </c>
      <c r="I10" s="40" t="s">
        <v>40</v>
      </c>
      <c r="J10" s="146">
        <v>90</v>
      </c>
      <c r="K10" s="138">
        <v>160</v>
      </c>
      <c r="L10" s="138">
        <v>600</v>
      </c>
      <c r="M10" s="147">
        <v>4.7566600268813168</v>
      </c>
      <c r="N10" s="123">
        <v>89.444999999999993</v>
      </c>
      <c r="O10" s="148">
        <v>10408.086035881777</v>
      </c>
      <c r="P10" s="148">
        <v>12091.599247248727</v>
      </c>
      <c r="Q10" s="253">
        <v>6395.7962266903232</v>
      </c>
      <c r="R10" s="256">
        <v>16803.8822625721</v>
      </c>
      <c r="S10" s="257">
        <v>18487.39547393905</v>
      </c>
      <c r="U10" s="7" t="s">
        <v>2082</v>
      </c>
    </row>
    <row r="11" spans="1:21" s="65" customFormat="1" ht="16.5" customHeight="1" thickBot="1">
      <c r="A11" s="41" t="s">
        <v>31</v>
      </c>
      <c r="B11" s="42">
        <f t="shared" ref="B11:B58" si="0">J11</f>
        <v>90</v>
      </c>
      <c r="C11" s="42" t="s">
        <v>3</v>
      </c>
      <c r="D11" s="42">
        <f t="shared" ref="D11:D58" si="1">K11</f>
        <v>160</v>
      </c>
      <c r="E11" s="42" t="s">
        <v>3</v>
      </c>
      <c r="F11" s="101">
        <f t="shared" ref="F11:F58" si="2">L11</f>
        <v>650</v>
      </c>
      <c r="G11" s="42" t="s">
        <v>3</v>
      </c>
      <c r="H11" s="39">
        <v>2</v>
      </c>
      <c r="I11" s="40" t="s">
        <v>40</v>
      </c>
      <c r="J11" s="149">
        <v>90</v>
      </c>
      <c r="K11" s="104">
        <v>160</v>
      </c>
      <c r="L11" s="104">
        <v>650</v>
      </c>
      <c r="M11" s="150">
        <v>5.0896181745244746</v>
      </c>
      <c r="N11" s="78">
        <v>107.33399999999999</v>
      </c>
      <c r="O11" s="111">
        <v>10832.513764416206</v>
      </c>
      <c r="P11" s="111">
        <v>12626.135610124786</v>
      </c>
      <c r="Q11" s="254">
        <v>6733.286477412059</v>
      </c>
      <c r="R11" s="258">
        <v>17565.800241828263</v>
      </c>
      <c r="S11" s="259">
        <v>19359.422087536845</v>
      </c>
      <c r="U11" s="7" t="s">
        <v>2083</v>
      </c>
    </row>
    <row r="12" spans="1:21" s="65" customFormat="1" ht="16.5" customHeight="1" thickBot="1">
      <c r="A12" s="41" t="s">
        <v>31</v>
      </c>
      <c r="B12" s="42">
        <f t="shared" si="0"/>
        <v>90</v>
      </c>
      <c r="C12" s="42" t="s">
        <v>3</v>
      </c>
      <c r="D12" s="42">
        <f t="shared" si="1"/>
        <v>160</v>
      </c>
      <c r="E12" s="42" t="s">
        <v>3</v>
      </c>
      <c r="F12" s="101">
        <f t="shared" si="2"/>
        <v>700</v>
      </c>
      <c r="G12" s="42" t="s">
        <v>3</v>
      </c>
      <c r="H12" s="39">
        <v>2</v>
      </c>
      <c r="I12" s="40" t="s">
        <v>40</v>
      </c>
      <c r="J12" s="149">
        <v>90</v>
      </c>
      <c r="K12" s="104">
        <v>160</v>
      </c>
      <c r="L12" s="104">
        <v>700</v>
      </c>
      <c r="M12" s="150">
        <v>5.4396163221676312</v>
      </c>
      <c r="N12" s="78">
        <v>125.22299999999998</v>
      </c>
      <c r="O12" s="111">
        <v>11256.941492950635</v>
      </c>
      <c r="P12" s="111">
        <v>13160.671973000839</v>
      </c>
      <c r="Q12" s="254">
        <v>7322.1107128887988</v>
      </c>
      <c r="R12" s="258">
        <v>18579.052205839434</v>
      </c>
      <c r="S12" s="259">
        <v>20482.782685889637</v>
      </c>
      <c r="U12" s="7" t="s">
        <v>2084</v>
      </c>
    </row>
    <row r="13" spans="1:21" s="65" customFormat="1" ht="16.5" customHeight="1" thickBot="1">
      <c r="A13" s="41" t="s">
        <v>31</v>
      </c>
      <c r="B13" s="42">
        <f t="shared" si="0"/>
        <v>90</v>
      </c>
      <c r="C13" s="42" t="s">
        <v>3</v>
      </c>
      <c r="D13" s="42">
        <f t="shared" si="1"/>
        <v>160</v>
      </c>
      <c r="E13" s="42" t="s">
        <v>3</v>
      </c>
      <c r="F13" s="101">
        <f t="shared" si="2"/>
        <v>750</v>
      </c>
      <c r="G13" s="42" t="s">
        <v>3</v>
      </c>
      <c r="H13" s="39">
        <v>2</v>
      </c>
      <c r="I13" s="40" t="s">
        <v>40</v>
      </c>
      <c r="J13" s="149">
        <v>90</v>
      </c>
      <c r="K13" s="104">
        <v>160</v>
      </c>
      <c r="L13" s="104">
        <v>750</v>
      </c>
      <c r="M13" s="150">
        <v>5.7725744698107899</v>
      </c>
      <c r="N13" s="78">
        <v>143.11199999999999</v>
      </c>
      <c r="O13" s="111">
        <v>11681.369221485067</v>
      </c>
      <c r="P13" s="111">
        <v>13695.20848890566</v>
      </c>
      <c r="Q13" s="254">
        <v>7659.6009636105346</v>
      </c>
      <c r="R13" s="258">
        <v>19340.970185095601</v>
      </c>
      <c r="S13" s="259">
        <v>21354.809452516194</v>
      </c>
      <c r="U13" s="7" t="s">
        <v>2085</v>
      </c>
    </row>
    <row r="14" spans="1:21" s="65" customFormat="1" ht="16.5" customHeight="1" thickBot="1">
      <c r="A14" s="41" t="s">
        <v>31</v>
      </c>
      <c r="B14" s="42">
        <f t="shared" si="0"/>
        <v>90</v>
      </c>
      <c r="C14" s="42" t="s">
        <v>3</v>
      </c>
      <c r="D14" s="42">
        <f t="shared" si="1"/>
        <v>160</v>
      </c>
      <c r="E14" s="42" t="s">
        <v>3</v>
      </c>
      <c r="F14" s="101">
        <f t="shared" si="2"/>
        <v>800</v>
      </c>
      <c r="G14" s="42" t="s">
        <v>3</v>
      </c>
      <c r="H14" s="39">
        <v>2</v>
      </c>
      <c r="I14" s="40" t="s">
        <v>40</v>
      </c>
      <c r="J14" s="149">
        <v>90</v>
      </c>
      <c r="K14" s="104">
        <v>160</v>
      </c>
      <c r="L14" s="104">
        <v>800</v>
      </c>
      <c r="M14" s="150">
        <v>6.1055326174539477</v>
      </c>
      <c r="N14" s="78">
        <v>161.00099999999998</v>
      </c>
      <c r="O14" s="111">
        <v>12105.796950019496</v>
      </c>
      <c r="P14" s="111">
        <v>14229.744851781717</v>
      </c>
      <c r="Q14" s="254">
        <v>7997.0912143322694</v>
      </c>
      <c r="R14" s="258">
        <v>20102.888164351767</v>
      </c>
      <c r="S14" s="259">
        <v>22226.836066113989</v>
      </c>
      <c r="U14" s="7" t="s">
        <v>2086</v>
      </c>
    </row>
    <row r="15" spans="1:21" s="65" customFormat="1" ht="16.5" customHeight="1" thickBot="1">
      <c r="A15" s="41" t="s">
        <v>31</v>
      </c>
      <c r="B15" s="42">
        <f t="shared" si="0"/>
        <v>90</v>
      </c>
      <c r="C15" s="42" t="s">
        <v>3</v>
      </c>
      <c r="D15" s="42">
        <f t="shared" si="1"/>
        <v>160</v>
      </c>
      <c r="E15" s="42" t="s">
        <v>3</v>
      </c>
      <c r="F15" s="101">
        <f t="shared" si="2"/>
        <v>850</v>
      </c>
      <c r="G15" s="42" t="s">
        <v>3</v>
      </c>
      <c r="H15" s="39">
        <v>2</v>
      </c>
      <c r="I15" s="40" t="s">
        <v>40</v>
      </c>
      <c r="J15" s="149">
        <v>90</v>
      </c>
      <c r="K15" s="104">
        <v>160</v>
      </c>
      <c r="L15" s="104">
        <v>850</v>
      </c>
      <c r="M15" s="150">
        <v>6.4555307650971052</v>
      </c>
      <c r="N15" s="78">
        <v>178.89</v>
      </c>
      <c r="O15" s="111">
        <v>12530.224678553926</v>
      </c>
      <c r="P15" s="111">
        <v>14764.281214657773</v>
      </c>
      <c r="Q15" s="254">
        <v>8585.9156028377747</v>
      </c>
      <c r="R15" s="258">
        <v>21116.140281391701</v>
      </c>
      <c r="S15" s="259">
        <v>23350.196817495547</v>
      </c>
      <c r="U15" s="7" t="s">
        <v>2087</v>
      </c>
    </row>
    <row r="16" spans="1:21" s="65" customFormat="1" ht="16.5" customHeight="1" thickBot="1">
      <c r="A16" s="41" t="s">
        <v>31</v>
      </c>
      <c r="B16" s="42">
        <f t="shared" si="0"/>
        <v>90</v>
      </c>
      <c r="C16" s="42" t="s">
        <v>3</v>
      </c>
      <c r="D16" s="42">
        <f t="shared" si="1"/>
        <v>160</v>
      </c>
      <c r="E16" s="42" t="s">
        <v>3</v>
      </c>
      <c r="F16" s="101">
        <f t="shared" si="2"/>
        <v>900</v>
      </c>
      <c r="G16" s="42" t="s">
        <v>3</v>
      </c>
      <c r="H16" s="39">
        <v>2</v>
      </c>
      <c r="I16" s="40" t="s">
        <v>40</v>
      </c>
      <c r="J16" s="149">
        <v>90</v>
      </c>
      <c r="K16" s="104">
        <v>160</v>
      </c>
      <c r="L16" s="104">
        <v>900</v>
      </c>
      <c r="M16" s="150">
        <v>6.7884639977402639</v>
      </c>
      <c r="N16" s="78">
        <v>196.77899999999997</v>
      </c>
      <c r="O16" s="111">
        <v>12954.652407088355</v>
      </c>
      <c r="P16" s="111">
        <v>15298.817577533826</v>
      </c>
      <c r="Q16" s="254">
        <v>8923.4057005307459</v>
      </c>
      <c r="R16" s="258">
        <v>21878.058107619101</v>
      </c>
      <c r="S16" s="259">
        <v>24222.223278064572</v>
      </c>
      <c r="U16" s="7" t="s">
        <v>2088</v>
      </c>
    </row>
    <row r="17" spans="1:21" s="65" customFormat="1" ht="16.5" customHeight="1" thickBot="1">
      <c r="A17" s="41" t="s">
        <v>31</v>
      </c>
      <c r="B17" s="42">
        <f t="shared" si="0"/>
        <v>90</v>
      </c>
      <c r="C17" s="42" t="s">
        <v>3</v>
      </c>
      <c r="D17" s="42">
        <f t="shared" si="1"/>
        <v>160</v>
      </c>
      <c r="E17" s="42" t="s">
        <v>3</v>
      </c>
      <c r="F17" s="101">
        <f t="shared" si="2"/>
        <v>950</v>
      </c>
      <c r="G17" s="42" t="s">
        <v>3</v>
      </c>
      <c r="H17" s="39">
        <v>2</v>
      </c>
      <c r="I17" s="40" t="s">
        <v>40</v>
      </c>
      <c r="J17" s="149">
        <v>90</v>
      </c>
      <c r="K17" s="104">
        <v>160</v>
      </c>
      <c r="L17" s="104">
        <v>950</v>
      </c>
      <c r="M17" s="150">
        <v>7.1384870603834205</v>
      </c>
      <c r="N17" s="78">
        <v>214.66799999999998</v>
      </c>
      <c r="O17" s="111">
        <v>13379.080135622784</v>
      </c>
      <c r="P17" s="111">
        <v>15833.353940409883</v>
      </c>
      <c r="Q17" s="254">
        <v>9512.2300890362512</v>
      </c>
      <c r="R17" s="258">
        <v>22891.310224659035</v>
      </c>
      <c r="S17" s="259">
        <v>25345.584029446134</v>
      </c>
      <c r="U17" s="7" t="s">
        <v>2089</v>
      </c>
    </row>
    <row r="18" spans="1:21" s="65" customFormat="1" ht="16.5" customHeight="1" thickBot="1">
      <c r="A18" s="41" t="s">
        <v>31</v>
      </c>
      <c r="B18" s="42">
        <f t="shared" si="0"/>
        <v>90</v>
      </c>
      <c r="C18" s="42" t="s">
        <v>3</v>
      </c>
      <c r="D18" s="42">
        <f t="shared" si="1"/>
        <v>160</v>
      </c>
      <c r="E18" s="42" t="s">
        <v>3</v>
      </c>
      <c r="F18" s="101">
        <f t="shared" si="2"/>
        <v>1000</v>
      </c>
      <c r="G18" s="42" t="s">
        <v>3</v>
      </c>
      <c r="H18" s="39">
        <v>2</v>
      </c>
      <c r="I18" s="40" t="s">
        <v>40</v>
      </c>
      <c r="J18" s="149">
        <v>90</v>
      </c>
      <c r="K18" s="104">
        <v>160</v>
      </c>
      <c r="L18" s="104">
        <v>1000</v>
      </c>
      <c r="M18" s="150">
        <v>7.4714452080265801</v>
      </c>
      <c r="N18" s="78">
        <v>232.55699999999993</v>
      </c>
      <c r="O18" s="111">
        <v>13803.507864157214</v>
      </c>
      <c r="P18" s="111">
        <v>16367.890303285938</v>
      </c>
      <c r="Q18" s="254">
        <v>9849.7203397579869</v>
      </c>
      <c r="R18" s="258">
        <v>23653.228203915201</v>
      </c>
      <c r="S18" s="259">
        <v>26217.610643043925</v>
      </c>
      <c r="U18" s="7" t="s">
        <v>2090</v>
      </c>
    </row>
    <row r="19" spans="1:21" s="65" customFormat="1" ht="16.5" customHeight="1" thickBot="1">
      <c r="A19" s="41" t="s">
        <v>31</v>
      </c>
      <c r="B19" s="42">
        <f t="shared" si="0"/>
        <v>90</v>
      </c>
      <c r="C19" s="42" t="s">
        <v>3</v>
      </c>
      <c r="D19" s="42">
        <f t="shared" si="1"/>
        <v>160</v>
      </c>
      <c r="E19" s="42" t="s">
        <v>3</v>
      </c>
      <c r="F19" s="101">
        <f t="shared" si="2"/>
        <v>1050</v>
      </c>
      <c r="G19" s="42" t="s">
        <v>3</v>
      </c>
      <c r="H19" s="39">
        <v>2</v>
      </c>
      <c r="I19" s="40" t="s">
        <v>40</v>
      </c>
      <c r="J19" s="149">
        <v>90</v>
      </c>
      <c r="K19" s="104">
        <v>160</v>
      </c>
      <c r="L19" s="104">
        <v>1050</v>
      </c>
      <c r="M19" s="150">
        <v>7.8214433556697367</v>
      </c>
      <c r="N19" s="78">
        <v>250.44599999999997</v>
      </c>
      <c r="O19" s="111">
        <v>14227.935592691643</v>
      </c>
      <c r="P19" s="111">
        <v>16902.426666161995</v>
      </c>
      <c r="Q19" s="254">
        <v>10438.544728263492</v>
      </c>
      <c r="R19" s="258">
        <v>24666.480320955136</v>
      </c>
      <c r="S19" s="259">
        <v>27340.971394425487</v>
      </c>
      <c r="U19" s="7" t="s">
        <v>2091</v>
      </c>
    </row>
    <row r="20" spans="1:21" s="65" customFormat="1" ht="16.5" customHeight="1" thickBot="1">
      <c r="A20" s="38" t="s">
        <v>31</v>
      </c>
      <c r="B20" s="39">
        <f t="shared" si="0"/>
        <v>90</v>
      </c>
      <c r="C20" s="39" t="s">
        <v>3</v>
      </c>
      <c r="D20" s="39">
        <f t="shared" si="1"/>
        <v>160</v>
      </c>
      <c r="E20" s="39" t="s">
        <v>3</v>
      </c>
      <c r="F20" s="101">
        <f t="shared" si="2"/>
        <v>1100</v>
      </c>
      <c r="G20" s="39" t="s">
        <v>3</v>
      </c>
      <c r="H20" s="39">
        <v>2</v>
      </c>
      <c r="I20" s="40" t="s">
        <v>40</v>
      </c>
      <c r="J20" s="149">
        <v>90</v>
      </c>
      <c r="K20" s="104">
        <v>160</v>
      </c>
      <c r="L20" s="104">
        <v>1100</v>
      </c>
      <c r="M20" s="150">
        <v>8.1544015033128954</v>
      </c>
      <c r="N20" s="78">
        <v>268.33499999999998</v>
      </c>
      <c r="O20" s="111">
        <v>14652.363321226074</v>
      </c>
      <c r="P20" s="111">
        <v>17436.963182066815</v>
      </c>
      <c r="Q20" s="254">
        <v>10776.034825956463</v>
      </c>
      <c r="R20" s="258">
        <v>25428.398147182539</v>
      </c>
      <c r="S20" s="259">
        <v>28212.998008023278</v>
      </c>
      <c r="U20" s="7" t="s">
        <v>2092</v>
      </c>
    </row>
    <row r="21" spans="1:21" s="65" customFormat="1" ht="16.5" customHeight="1" thickBot="1">
      <c r="A21" s="41" t="s">
        <v>31</v>
      </c>
      <c r="B21" s="42">
        <f t="shared" si="0"/>
        <v>90</v>
      </c>
      <c r="C21" s="42" t="s">
        <v>3</v>
      </c>
      <c r="D21" s="42">
        <f t="shared" si="1"/>
        <v>160</v>
      </c>
      <c r="E21" s="42" t="s">
        <v>3</v>
      </c>
      <c r="F21" s="101">
        <f t="shared" si="2"/>
        <v>1150</v>
      </c>
      <c r="G21" s="42" t="s">
        <v>3</v>
      </c>
      <c r="H21" s="39">
        <v>2</v>
      </c>
      <c r="I21" s="40" t="s">
        <v>40</v>
      </c>
      <c r="J21" s="149">
        <v>90</v>
      </c>
      <c r="K21" s="104">
        <v>160</v>
      </c>
      <c r="L21" s="104">
        <v>1150</v>
      </c>
      <c r="M21" s="150">
        <v>8.4873596509560532</v>
      </c>
      <c r="N21" s="78">
        <v>286.22399999999999</v>
      </c>
      <c r="O21" s="111">
        <v>15076.791049760503</v>
      </c>
      <c r="P21" s="111">
        <v>17971.499544942872</v>
      </c>
      <c r="Q21" s="254">
        <v>11113.525076678199</v>
      </c>
      <c r="R21" s="258">
        <v>26190.316126438702</v>
      </c>
      <c r="S21" s="259">
        <v>29085.024621621073</v>
      </c>
      <c r="U21" s="7" t="s">
        <v>2093</v>
      </c>
    </row>
    <row r="22" spans="1:21" s="65" customFormat="1" ht="16.5" customHeight="1" thickBot="1">
      <c r="A22" s="41" t="s">
        <v>31</v>
      </c>
      <c r="B22" s="42">
        <f t="shared" si="0"/>
        <v>90</v>
      </c>
      <c r="C22" s="42" t="s">
        <v>3</v>
      </c>
      <c r="D22" s="42">
        <f t="shared" si="1"/>
        <v>160</v>
      </c>
      <c r="E22" s="42" t="s">
        <v>3</v>
      </c>
      <c r="F22" s="101">
        <f t="shared" si="2"/>
        <v>1200</v>
      </c>
      <c r="G22" s="42" t="s">
        <v>3</v>
      </c>
      <c r="H22" s="39">
        <v>2</v>
      </c>
      <c r="I22" s="40" t="s">
        <v>40</v>
      </c>
      <c r="J22" s="149">
        <v>90</v>
      </c>
      <c r="K22" s="104">
        <v>160</v>
      </c>
      <c r="L22" s="104">
        <v>1200</v>
      </c>
      <c r="M22" s="150">
        <v>8.8766077985992098</v>
      </c>
      <c r="N22" s="78">
        <v>304.11299999999994</v>
      </c>
      <c r="O22" s="111">
        <v>15549.194061305447</v>
      </c>
      <c r="P22" s="111">
        <v>18556.341359835998</v>
      </c>
      <c r="Q22" s="254">
        <v>11702.349465183703</v>
      </c>
      <c r="R22" s="258">
        <v>27251.543526489149</v>
      </c>
      <c r="S22" s="259">
        <v>30258.690825019701</v>
      </c>
      <c r="U22" s="7" t="s">
        <v>2094</v>
      </c>
    </row>
    <row r="23" spans="1:21" s="65" customFormat="1" ht="16.5" customHeight="1" thickBot="1">
      <c r="A23" s="41" t="s">
        <v>31</v>
      </c>
      <c r="B23" s="42">
        <f t="shared" si="0"/>
        <v>90</v>
      </c>
      <c r="C23" s="42" t="s">
        <v>3</v>
      </c>
      <c r="D23" s="42">
        <f t="shared" si="1"/>
        <v>160</v>
      </c>
      <c r="E23" s="42" t="s">
        <v>3</v>
      </c>
      <c r="F23" s="101">
        <f t="shared" si="2"/>
        <v>1250</v>
      </c>
      <c r="G23" s="42" t="s">
        <v>3</v>
      </c>
      <c r="H23" s="39">
        <v>2</v>
      </c>
      <c r="I23" s="40" t="s">
        <v>40</v>
      </c>
      <c r="J23" s="149">
        <v>90</v>
      </c>
      <c r="K23" s="104">
        <v>160</v>
      </c>
      <c r="L23" s="104">
        <v>1250</v>
      </c>
      <c r="M23" s="150">
        <v>9.2095659462423676</v>
      </c>
      <c r="N23" s="78">
        <v>322.00199999999995</v>
      </c>
      <c r="O23" s="111">
        <v>15973.621789839875</v>
      </c>
      <c r="P23" s="111">
        <v>19090.877722712055</v>
      </c>
      <c r="Q23" s="254">
        <v>12039.83971590544</v>
      </c>
      <c r="R23" s="258">
        <v>28013.461505745316</v>
      </c>
      <c r="S23" s="259">
        <v>31130.717438617496</v>
      </c>
      <c r="U23" s="7" t="s">
        <v>2095</v>
      </c>
    </row>
    <row r="24" spans="1:21" s="65" customFormat="1" ht="16.5" customHeight="1" thickBot="1">
      <c r="A24" s="41" t="s">
        <v>31</v>
      </c>
      <c r="B24" s="42">
        <f t="shared" si="0"/>
        <v>90</v>
      </c>
      <c r="C24" s="42" t="s">
        <v>3</v>
      </c>
      <c r="D24" s="42">
        <f t="shared" si="1"/>
        <v>160</v>
      </c>
      <c r="E24" s="42" t="s">
        <v>3</v>
      </c>
      <c r="F24" s="101">
        <f t="shared" si="2"/>
        <v>1300</v>
      </c>
      <c r="G24" s="42" t="s">
        <v>3</v>
      </c>
      <c r="H24" s="39">
        <v>2</v>
      </c>
      <c r="I24" s="40" t="s">
        <v>40</v>
      </c>
      <c r="J24" s="149">
        <v>90</v>
      </c>
      <c r="K24" s="104">
        <v>160</v>
      </c>
      <c r="L24" s="104">
        <v>1300</v>
      </c>
      <c r="M24" s="150">
        <v>9.5595640938855269</v>
      </c>
      <c r="N24" s="78">
        <v>339.89100000000002</v>
      </c>
      <c r="O24" s="111">
        <v>16398.049518374304</v>
      </c>
      <c r="P24" s="111">
        <v>19625.414085588109</v>
      </c>
      <c r="Q24" s="254">
        <v>12628.663951382177</v>
      </c>
      <c r="R24" s="258">
        <v>29026.713469756483</v>
      </c>
      <c r="S24" s="259">
        <v>32254.078036970284</v>
      </c>
      <c r="U24" s="7" t="s">
        <v>2096</v>
      </c>
    </row>
    <row r="25" spans="1:21" s="65" customFormat="1" ht="16.5" customHeight="1" thickBot="1">
      <c r="A25" s="41" t="s">
        <v>31</v>
      </c>
      <c r="B25" s="42">
        <f t="shared" si="0"/>
        <v>90</v>
      </c>
      <c r="C25" s="42" t="s">
        <v>3</v>
      </c>
      <c r="D25" s="42">
        <f t="shared" si="1"/>
        <v>160</v>
      </c>
      <c r="E25" s="42" t="s">
        <v>3</v>
      </c>
      <c r="F25" s="101">
        <f t="shared" si="2"/>
        <v>1350</v>
      </c>
      <c r="G25" s="42" t="s">
        <v>3</v>
      </c>
      <c r="H25" s="39">
        <v>2</v>
      </c>
      <c r="I25" s="40" t="s">
        <v>40</v>
      </c>
      <c r="J25" s="149">
        <v>90</v>
      </c>
      <c r="K25" s="104">
        <v>160</v>
      </c>
      <c r="L25" s="104">
        <v>1350</v>
      </c>
      <c r="M25" s="150">
        <v>9.8925222415286846</v>
      </c>
      <c r="N25" s="78">
        <v>357.78</v>
      </c>
      <c r="O25" s="111">
        <v>16822.477246908733</v>
      </c>
      <c r="P25" s="111">
        <v>20159.950601492932</v>
      </c>
      <c r="Q25" s="254">
        <v>12966.154202103913</v>
      </c>
      <c r="R25" s="258">
        <v>29788.631449012646</v>
      </c>
      <c r="S25" s="259">
        <v>33126.104803596842</v>
      </c>
      <c r="U25" s="7" t="s">
        <v>2097</v>
      </c>
    </row>
    <row r="26" spans="1:21" s="65" customFormat="1" ht="16.5" customHeight="1" thickBot="1">
      <c r="A26" s="41" t="s">
        <v>31</v>
      </c>
      <c r="B26" s="42">
        <f t="shared" si="0"/>
        <v>90</v>
      </c>
      <c r="C26" s="42" t="s">
        <v>3</v>
      </c>
      <c r="D26" s="42">
        <f t="shared" si="1"/>
        <v>160</v>
      </c>
      <c r="E26" s="42" t="s">
        <v>3</v>
      </c>
      <c r="F26" s="101">
        <f t="shared" si="2"/>
        <v>1400</v>
      </c>
      <c r="G26" s="42" t="s">
        <v>3</v>
      </c>
      <c r="H26" s="39">
        <v>2</v>
      </c>
      <c r="I26" s="40" t="s">
        <v>40</v>
      </c>
      <c r="J26" s="149">
        <v>90</v>
      </c>
      <c r="K26" s="104">
        <v>160</v>
      </c>
      <c r="L26" s="104">
        <v>1400</v>
      </c>
      <c r="M26" s="150">
        <v>10.242520389171842</v>
      </c>
      <c r="N26" s="78">
        <v>375.66899999999998</v>
      </c>
      <c r="O26" s="111">
        <v>17246.904975443165</v>
      </c>
      <c r="P26" s="111">
        <v>20694.486964368985</v>
      </c>
      <c r="Q26" s="254">
        <v>13554.97859060942</v>
      </c>
      <c r="R26" s="258">
        <v>30801.883566052587</v>
      </c>
      <c r="S26" s="259">
        <v>34249.465554978407</v>
      </c>
      <c r="U26" s="7" t="s">
        <v>2098</v>
      </c>
    </row>
    <row r="27" spans="1:21" s="65" customFormat="1" ht="16.5" customHeight="1" thickBot="1">
      <c r="A27" s="41" t="s">
        <v>31</v>
      </c>
      <c r="B27" s="42">
        <f t="shared" si="0"/>
        <v>90</v>
      </c>
      <c r="C27" s="42" t="s">
        <v>3</v>
      </c>
      <c r="D27" s="42">
        <f t="shared" si="1"/>
        <v>160</v>
      </c>
      <c r="E27" s="42" t="s">
        <v>3</v>
      </c>
      <c r="F27" s="101">
        <f t="shared" si="2"/>
        <v>1450</v>
      </c>
      <c r="G27" s="42" t="s">
        <v>3</v>
      </c>
      <c r="H27" s="39">
        <v>2</v>
      </c>
      <c r="I27" s="40" t="s">
        <v>40</v>
      </c>
      <c r="J27" s="149">
        <v>90</v>
      </c>
      <c r="K27" s="104">
        <v>160</v>
      </c>
      <c r="L27" s="104">
        <v>1450</v>
      </c>
      <c r="M27" s="150">
        <v>10.575478536815002</v>
      </c>
      <c r="N27" s="78">
        <v>393.55799999999994</v>
      </c>
      <c r="O27" s="111">
        <v>17671.332703977594</v>
      </c>
      <c r="P27" s="111">
        <v>21229.023327245042</v>
      </c>
      <c r="Q27" s="254">
        <v>13892.468841331156</v>
      </c>
      <c r="R27" s="258">
        <v>31563.80154530875</v>
      </c>
      <c r="S27" s="259">
        <v>35121.492168576195</v>
      </c>
      <c r="U27" s="7" t="s">
        <v>2099</v>
      </c>
    </row>
    <row r="28" spans="1:21" s="65" customFormat="1" ht="16.5" customHeight="1" thickBot="1">
      <c r="A28" s="41" t="s">
        <v>31</v>
      </c>
      <c r="B28" s="42">
        <f t="shared" si="0"/>
        <v>90</v>
      </c>
      <c r="C28" s="42" t="s">
        <v>3</v>
      </c>
      <c r="D28" s="42">
        <f t="shared" si="1"/>
        <v>160</v>
      </c>
      <c r="E28" s="42" t="s">
        <v>3</v>
      </c>
      <c r="F28" s="101">
        <f t="shared" si="2"/>
        <v>1500</v>
      </c>
      <c r="G28" s="42" t="s">
        <v>3</v>
      </c>
      <c r="H28" s="39">
        <v>2</v>
      </c>
      <c r="I28" s="40" t="s">
        <v>40</v>
      </c>
      <c r="J28" s="149">
        <v>90</v>
      </c>
      <c r="K28" s="104">
        <v>160</v>
      </c>
      <c r="L28" s="104">
        <v>1500</v>
      </c>
      <c r="M28" s="150">
        <v>11.01803981725816</v>
      </c>
      <c r="N28" s="78">
        <v>411.447</v>
      </c>
      <c r="O28" s="111">
        <v>18659.93127484083</v>
      </c>
      <c r="P28" s="111">
        <v>22219.56719977055</v>
      </c>
      <c r="Q28" s="254">
        <v>14481.293076807897</v>
      </c>
      <c r="R28" s="258">
        <v>33141.224351648729</v>
      </c>
      <c r="S28" s="259">
        <v>36700.860276578445</v>
      </c>
      <c r="U28" s="7" t="s">
        <v>2100</v>
      </c>
    </row>
    <row r="29" spans="1:21" s="65" customFormat="1" ht="16.5" customHeight="1" thickBot="1">
      <c r="A29" s="41" t="s">
        <v>31</v>
      </c>
      <c r="B29" s="42">
        <f t="shared" si="0"/>
        <v>90</v>
      </c>
      <c r="C29" s="42" t="s">
        <v>3</v>
      </c>
      <c r="D29" s="42">
        <f t="shared" si="1"/>
        <v>160</v>
      </c>
      <c r="E29" s="42" t="s">
        <v>3</v>
      </c>
      <c r="F29" s="101">
        <f t="shared" si="2"/>
        <v>1550</v>
      </c>
      <c r="G29" s="42" t="s">
        <v>3</v>
      </c>
      <c r="H29" s="39">
        <v>2</v>
      </c>
      <c r="I29" s="40" t="s">
        <v>40</v>
      </c>
      <c r="J29" s="149">
        <v>90</v>
      </c>
      <c r="K29" s="104">
        <v>160</v>
      </c>
      <c r="L29" s="104">
        <v>1550</v>
      </c>
      <c r="M29" s="150">
        <v>11.350997964901316</v>
      </c>
      <c r="N29" s="78">
        <v>429.33599999999996</v>
      </c>
      <c r="O29" s="111">
        <v>19084.359003375259</v>
      </c>
      <c r="P29" s="111">
        <v>22754.103562646604</v>
      </c>
      <c r="Q29" s="254">
        <v>14818.783327529631</v>
      </c>
      <c r="R29" s="258">
        <v>33903.142330904891</v>
      </c>
      <c r="S29" s="259">
        <v>37572.886890176233</v>
      </c>
      <c r="U29" s="7" t="s">
        <v>2101</v>
      </c>
    </row>
    <row r="30" spans="1:21" s="65" customFormat="1" ht="16.5" customHeight="1" thickBot="1">
      <c r="A30" s="38" t="s">
        <v>31</v>
      </c>
      <c r="B30" s="39">
        <f t="shared" si="0"/>
        <v>90</v>
      </c>
      <c r="C30" s="39" t="s">
        <v>3</v>
      </c>
      <c r="D30" s="39">
        <f t="shared" si="1"/>
        <v>160</v>
      </c>
      <c r="E30" s="39" t="s">
        <v>3</v>
      </c>
      <c r="F30" s="101">
        <f t="shared" si="2"/>
        <v>1600</v>
      </c>
      <c r="G30" s="39" t="s">
        <v>3</v>
      </c>
      <c r="H30" s="39">
        <v>2</v>
      </c>
      <c r="I30" s="40" t="s">
        <v>40</v>
      </c>
      <c r="J30" s="149">
        <v>90</v>
      </c>
      <c r="K30" s="104">
        <v>160</v>
      </c>
      <c r="L30" s="104">
        <v>1600</v>
      </c>
      <c r="M30" s="150">
        <v>11.683956112544472</v>
      </c>
      <c r="N30" s="78">
        <v>447.22499999999997</v>
      </c>
      <c r="O30" s="111">
        <v>19508.786731909688</v>
      </c>
      <c r="P30" s="111">
        <v>23288.639925522661</v>
      </c>
      <c r="Q30" s="254">
        <v>15156.273578251366</v>
      </c>
      <c r="R30" s="258">
        <v>34665.060310161054</v>
      </c>
      <c r="S30" s="259">
        <v>38444.913503774027</v>
      </c>
      <c r="U30" s="7" t="s">
        <v>2102</v>
      </c>
    </row>
    <row r="31" spans="1:21" s="65" customFormat="1" ht="16.5" customHeight="1" thickBot="1">
      <c r="A31" s="41" t="s">
        <v>31</v>
      </c>
      <c r="B31" s="42">
        <f t="shared" si="0"/>
        <v>90</v>
      </c>
      <c r="C31" s="42" t="s">
        <v>3</v>
      </c>
      <c r="D31" s="42">
        <f t="shared" si="1"/>
        <v>160</v>
      </c>
      <c r="E31" s="42" t="s">
        <v>3</v>
      </c>
      <c r="F31" s="101">
        <f t="shared" si="2"/>
        <v>1650</v>
      </c>
      <c r="G31" s="42" t="s">
        <v>3</v>
      </c>
      <c r="H31" s="39">
        <v>2</v>
      </c>
      <c r="I31" s="40" t="s">
        <v>40</v>
      </c>
      <c r="J31" s="149">
        <v>90</v>
      </c>
      <c r="K31" s="104">
        <v>160</v>
      </c>
      <c r="L31" s="104">
        <v>1650</v>
      </c>
      <c r="M31" s="150">
        <v>12.033954260187631</v>
      </c>
      <c r="N31" s="78">
        <v>465.11399999999986</v>
      </c>
      <c r="O31" s="111">
        <v>19933.21446044412</v>
      </c>
      <c r="P31" s="111">
        <v>23823.176288398714</v>
      </c>
      <c r="Q31" s="254">
        <v>15745.097966756874</v>
      </c>
      <c r="R31" s="258">
        <v>35678.312427200995</v>
      </c>
      <c r="S31" s="259">
        <v>39568.274255155586</v>
      </c>
      <c r="U31" s="7" t="s">
        <v>2103</v>
      </c>
    </row>
    <row r="32" spans="1:21" s="65" customFormat="1" ht="16.5" customHeight="1" thickBot="1">
      <c r="A32" s="41" t="s">
        <v>31</v>
      </c>
      <c r="B32" s="42">
        <f t="shared" si="0"/>
        <v>90</v>
      </c>
      <c r="C32" s="42" t="s">
        <v>3</v>
      </c>
      <c r="D32" s="42">
        <f t="shared" si="1"/>
        <v>160</v>
      </c>
      <c r="E32" s="42" t="s">
        <v>3</v>
      </c>
      <c r="F32" s="101">
        <f t="shared" si="2"/>
        <v>1700</v>
      </c>
      <c r="G32" s="42" t="s">
        <v>3</v>
      </c>
      <c r="H32" s="39">
        <v>2</v>
      </c>
      <c r="I32" s="40" t="s">
        <v>40</v>
      </c>
      <c r="J32" s="149">
        <v>90</v>
      </c>
      <c r="K32" s="104">
        <v>160</v>
      </c>
      <c r="L32" s="104">
        <v>1700</v>
      </c>
      <c r="M32" s="150">
        <v>12.366912407830789</v>
      </c>
      <c r="N32" s="78">
        <v>483.00299999999993</v>
      </c>
      <c r="O32" s="111">
        <v>20357.642188978549</v>
      </c>
      <c r="P32" s="111">
        <v>24357.712651274771</v>
      </c>
      <c r="Q32" s="254">
        <v>16082.58806444969</v>
      </c>
      <c r="R32" s="258">
        <v>36440.230253428235</v>
      </c>
      <c r="S32" s="259">
        <v>40440.300715724457</v>
      </c>
      <c r="U32" s="7" t="s">
        <v>2104</v>
      </c>
    </row>
    <row r="33" spans="1:21" s="65" customFormat="1" ht="16.5" customHeight="1" thickBot="1">
      <c r="A33" s="41" t="s">
        <v>31</v>
      </c>
      <c r="B33" s="42">
        <f t="shared" si="0"/>
        <v>90</v>
      </c>
      <c r="C33" s="42" t="s">
        <v>3</v>
      </c>
      <c r="D33" s="42">
        <f t="shared" si="1"/>
        <v>160</v>
      </c>
      <c r="E33" s="42" t="s">
        <v>3</v>
      </c>
      <c r="F33" s="101">
        <f t="shared" si="2"/>
        <v>1750</v>
      </c>
      <c r="G33" s="42" t="s">
        <v>3</v>
      </c>
      <c r="H33" s="39">
        <v>2</v>
      </c>
      <c r="I33" s="40" t="s">
        <v>40</v>
      </c>
      <c r="J33" s="149">
        <v>90</v>
      </c>
      <c r="K33" s="104">
        <v>160</v>
      </c>
      <c r="L33" s="104">
        <v>1750</v>
      </c>
      <c r="M33" s="150">
        <v>12.716910555473948</v>
      </c>
      <c r="N33" s="78">
        <v>500.89199999999994</v>
      </c>
      <c r="O33" s="111">
        <v>20782.069917512978</v>
      </c>
      <c r="P33" s="111">
        <v>24892.249014150828</v>
      </c>
      <c r="Q33" s="254">
        <v>16671.412452955348</v>
      </c>
      <c r="R33" s="258">
        <v>37453.482370468322</v>
      </c>
      <c r="S33" s="259">
        <v>41563.661467106176</v>
      </c>
      <c r="U33" s="7" t="s">
        <v>2105</v>
      </c>
    </row>
    <row r="34" spans="1:21" s="65" customFormat="1" ht="16.5" customHeight="1" thickBot="1">
      <c r="A34" s="41" t="s">
        <v>31</v>
      </c>
      <c r="B34" s="42">
        <f t="shared" si="0"/>
        <v>90</v>
      </c>
      <c r="C34" s="42" t="s">
        <v>3</v>
      </c>
      <c r="D34" s="42">
        <f t="shared" si="1"/>
        <v>160</v>
      </c>
      <c r="E34" s="42" t="s">
        <v>3</v>
      </c>
      <c r="F34" s="101">
        <f t="shared" si="2"/>
        <v>1800</v>
      </c>
      <c r="G34" s="42" t="s">
        <v>3</v>
      </c>
      <c r="H34" s="39">
        <v>2</v>
      </c>
      <c r="I34" s="40" t="s">
        <v>40</v>
      </c>
      <c r="J34" s="149">
        <v>90</v>
      </c>
      <c r="K34" s="104">
        <v>160</v>
      </c>
      <c r="L34" s="104">
        <v>1800</v>
      </c>
      <c r="M34" s="150">
        <v>13.049868703117106</v>
      </c>
      <c r="N34" s="78">
        <v>518.78099999999995</v>
      </c>
      <c r="O34" s="111">
        <v>21206.497646047406</v>
      </c>
      <c r="P34" s="111">
        <v>25426.785530055651</v>
      </c>
      <c r="Q34" s="254">
        <v>17008.902703677086</v>
      </c>
      <c r="R34" s="258">
        <v>38215.400349724492</v>
      </c>
      <c r="S34" s="259">
        <v>42435.688233732741</v>
      </c>
      <c r="U34" s="7" t="s">
        <v>2106</v>
      </c>
    </row>
    <row r="35" spans="1:21" s="65" customFormat="1" ht="16.5" customHeight="1" thickBot="1">
      <c r="A35" s="41" t="s">
        <v>31</v>
      </c>
      <c r="B35" s="42">
        <f t="shared" si="0"/>
        <v>90</v>
      </c>
      <c r="C35" s="42" t="s">
        <v>3</v>
      </c>
      <c r="D35" s="42">
        <f t="shared" si="1"/>
        <v>160</v>
      </c>
      <c r="E35" s="42" t="s">
        <v>3</v>
      </c>
      <c r="F35" s="101">
        <f t="shared" si="2"/>
        <v>1850</v>
      </c>
      <c r="G35" s="42" t="s">
        <v>3</v>
      </c>
      <c r="H35" s="39">
        <v>2</v>
      </c>
      <c r="I35" s="40" t="s">
        <v>40</v>
      </c>
      <c r="J35" s="149">
        <v>90</v>
      </c>
      <c r="K35" s="104">
        <v>160</v>
      </c>
      <c r="L35" s="104">
        <v>1850</v>
      </c>
      <c r="M35" s="150">
        <v>13.399866850760263</v>
      </c>
      <c r="N35" s="78">
        <v>536.66999999999996</v>
      </c>
      <c r="O35" s="111">
        <v>21630.925374581839</v>
      </c>
      <c r="P35" s="111">
        <v>25961.321892931704</v>
      </c>
      <c r="Q35" s="254">
        <v>17597.727092182588</v>
      </c>
      <c r="R35" s="258">
        <v>39228.652466764426</v>
      </c>
      <c r="S35" s="259">
        <v>43559.048985114292</v>
      </c>
      <c r="U35" s="7" t="s">
        <v>2107</v>
      </c>
    </row>
    <row r="36" spans="1:21" s="65" customFormat="1" ht="16.5" customHeight="1" thickBot="1">
      <c r="A36" s="41" t="s">
        <v>31</v>
      </c>
      <c r="B36" s="42">
        <f t="shared" si="0"/>
        <v>90</v>
      </c>
      <c r="C36" s="42" t="s">
        <v>3</v>
      </c>
      <c r="D36" s="42">
        <f t="shared" si="1"/>
        <v>160</v>
      </c>
      <c r="E36" s="42" t="s">
        <v>3</v>
      </c>
      <c r="F36" s="101">
        <f t="shared" si="2"/>
        <v>1900</v>
      </c>
      <c r="G36" s="42" t="s">
        <v>3</v>
      </c>
      <c r="H36" s="39">
        <v>2</v>
      </c>
      <c r="I36" s="40" t="s">
        <v>40</v>
      </c>
      <c r="J36" s="149">
        <v>90</v>
      </c>
      <c r="K36" s="104">
        <v>160</v>
      </c>
      <c r="L36" s="104">
        <v>1900</v>
      </c>
      <c r="M36" s="150">
        <v>13.732824998403419</v>
      </c>
      <c r="N36" s="78">
        <v>554.55899999999986</v>
      </c>
      <c r="O36" s="111">
        <v>22055.353103116267</v>
      </c>
      <c r="P36" s="111">
        <v>26495.858255807761</v>
      </c>
      <c r="Q36" s="254">
        <v>17935.217189875559</v>
      </c>
      <c r="R36" s="258">
        <v>39990.570292991826</v>
      </c>
      <c r="S36" s="259">
        <v>44431.075445683324</v>
      </c>
      <c r="U36" s="7" t="s">
        <v>2108</v>
      </c>
    </row>
    <row r="37" spans="1:21" s="65" customFormat="1" ht="16.5" customHeight="1" thickBot="1">
      <c r="A37" s="41" t="s">
        <v>31</v>
      </c>
      <c r="B37" s="42">
        <f t="shared" si="0"/>
        <v>90</v>
      </c>
      <c r="C37" s="42" t="s">
        <v>3</v>
      </c>
      <c r="D37" s="42">
        <f t="shared" si="1"/>
        <v>160</v>
      </c>
      <c r="E37" s="42" t="s">
        <v>3</v>
      </c>
      <c r="F37" s="101">
        <f t="shared" si="2"/>
        <v>1950</v>
      </c>
      <c r="G37" s="42" t="s">
        <v>3</v>
      </c>
      <c r="H37" s="39">
        <v>2</v>
      </c>
      <c r="I37" s="40" t="s">
        <v>40</v>
      </c>
      <c r="J37" s="149">
        <v>90</v>
      </c>
      <c r="K37" s="104">
        <v>160</v>
      </c>
      <c r="L37" s="104">
        <v>1950</v>
      </c>
      <c r="M37" s="150">
        <v>14.105033146046578</v>
      </c>
      <c r="N37" s="78">
        <v>572.44799999999998</v>
      </c>
      <c r="O37" s="111">
        <v>22527.75611466121</v>
      </c>
      <c r="P37" s="111">
        <v>27080.700070700888</v>
      </c>
      <c r="Q37" s="254">
        <v>18272.707440597296</v>
      </c>
      <c r="R37" s="258">
        <v>40800.46355525851</v>
      </c>
      <c r="S37" s="259">
        <v>45353.407511298181</v>
      </c>
      <c r="U37" s="7" t="s">
        <v>2109</v>
      </c>
    </row>
    <row r="38" spans="1:21" s="65" customFormat="1" ht="16.5" customHeight="1" thickBot="1">
      <c r="A38" s="41" t="s">
        <v>31</v>
      </c>
      <c r="B38" s="42">
        <f t="shared" si="0"/>
        <v>90</v>
      </c>
      <c r="C38" s="42" t="s">
        <v>3</v>
      </c>
      <c r="D38" s="42">
        <f t="shared" si="1"/>
        <v>160</v>
      </c>
      <c r="E38" s="42" t="s">
        <v>3</v>
      </c>
      <c r="F38" s="101">
        <f t="shared" si="2"/>
        <v>2000</v>
      </c>
      <c r="G38" s="42" t="s">
        <v>3</v>
      </c>
      <c r="H38" s="39">
        <v>2</v>
      </c>
      <c r="I38" s="40" t="s">
        <v>40</v>
      </c>
      <c r="J38" s="149">
        <v>90</v>
      </c>
      <c r="K38" s="104">
        <v>160</v>
      </c>
      <c r="L38" s="104">
        <v>2000</v>
      </c>
      <c r="M38" s="150">
        <v>14.546593693689736</v>
      </c>
      <c r="N38" s="78">
        <v>590.33699999999988</v>
      </c>
      <c r="O38" s="111">
        <v>23193.298413986831</v>
      </c>
      <c r="P38" s="111">
        <v>27956.058579601748</v>
      </c>
      <c r="Q38" s="254">
        <v>18861.531829102802</v>
      </c>
      <c r="R38" s="258">
        <v>42054.830243089629</v>
      </c>
      <c r="S38" s="259">
        <v>46817.590408704549</v>
      </c>
      <c r="U38" s="7" t="s">
        <v>2110</v>
      </c>
    </row>
    <row r="39" spans="1:21" s="65" customFormat="1" ht="16.5" customHeight="1" thickBot="1">
      <c r="A39" s="41" t="s">
        <v>31</v>
      </c>
      <c r="B39" s="42">
        <f t="shared" si="0"/>
        <v>90</v>
      </c>
      <c r="C39" s="42" t="s">
        <v>3</v>
      </c>
      <c r="D39" s="42">
        <f t="shared" si="1"/>
        <v>160</v>
      </c>
      <c r="E39" s="42" t="s">
        <v>3</v>
      </c>
      <c r="F39" s="101">
        <f t="shared" si="2"/>
        <v>2050</v>
      </c>
      <c r="G39" s="42" t="s">
        <v>3</v>
      </c>
      <c r="H39" s="39">
        <v>2</v>
      </c>
      <c r="I39" s="40" t="s">
        <v>40</v>
      </c>
      <c r="J39" s="149">
        <v>90</v>
      </c>
      <c r="K39" s="104">
        <v>160</v>
      </c>
      <c r="L39" s="104">
        <v>2050</v>
      </c>
      <c r="M39" s="150">
        <v>14.879551841332894</v>
      </c>
      <c r="N39" s="78">
        <v>608.22599999999989</v>
      </c>
      <c r="O39" s="111">
        <v>23617.725989492497</v>
      </c>
      <c r="P39" s="111">
        <v>28490.594942477801</v>
      </c>
      <c r="Q39" s="254">
        <v>19199.022079824535</v>
      </c>
      <c r="R39" s="258">
        <v>42816.748069317036</v>
      </c>
      <c r="S39" s="259">
        <v>47689.617022302336</v>
      </c>
      <c r="U39" s="7" t="s">
        <v>2111</v>
      </c>
    </row>
    <row r="40" spans="1:21" s="65" customFormat="1" ht="16.5" customHeight="1" thickBot="1">
      <c r="A40" s="38" t="s">
        <v>31</v>
      </c>
      <c r="B40" s="39">
        <f t="shared" si="0"/>
        <v>90</v>
      </c>
      <c r="C40" s="39" t="s">
        <v>3</v>
      </c>
      <c r="D40" s="39">
        <f t="shared" si="1"/>
        <v>160</v>
      </c>
      <c r="E40" s="39" t="s">
        <v>3</v>
      </c>
      <c r="F40" s="101">
        <f t="shared" si="2"/>
        <v>2100</v>
      </c>
      <c r="G40" s="39" t="s">
        <v>3</v>
      </c>
      <c r="H40" s="39">
        <v>2</v>
      </c>
      <c r="I40" s="40" t="s">
        <v>40</v>
      </c>
      <c r="J40" s="149">
        <v>90</v>
      </c>
      <c r="K40" s="104">
        <v>160</v>
      </c>
      <c r="L40" s="104">
        <v>2100</v>
      </c>
      <c r="M40" s="150">
        <v>15.229549988976052</v>
      </c>
      <c r="N40" s="78">
        <v>626.1149999999999</v>
      </c>
      <c r="O40" s="111">
        <v>24042.153718026926</v>
      </c>
      <c r="P40" s="111">
        <v>29025.131305353858</v>
      </c>
      <c r="Q40" s="254">
        <v>19787.846468330041</v>
      </c>
      <c r="R40" s="258">
        <v>43830.000186356963</v>
      </c>
      <c r="S40" s="259">
        <v>48812.977773683902</v>
      </c>
      <c r="U40" s="7" t="s">
        <v>2112</v>
      </c>
    </row>
    <row r="41" spans="1:21" s="65" customFormat="1" ht="16.5" customHeight="1" thickBot="1">
      <c r="A41" s="41" t="s">
        <v>31</v>
      </c>
      <c r="B41" s="42">
        <f t="shared" si="0"/>
        <v>90</v>
      </c>
      <c r="C41" s="42" t="s">
        <v>3</v>
      </c>
      <c r="D41" s="42">
        <f t="shared" si="1"/>
        <v>160</v>
      </c>
      <c r="E41" s="42" t="s">
        <v>3</v>
      </c>
      <c r="F41" s="101">
        <f t="shared" si="2"/>
        <v>2150</v>
      </c>
      <c r="G41" s="42" t="s">
        <v>3</v>
      </c>
      <c r="H41" s="39">
        <v>2</v>
      </c>
      <c r="I41" s="40" t="s">
        <v>40</v>
      </c>
      <c r="J41" s="149">
        <v>90</v>
      </c>
      <c r="K41" s="104">
        <v>160</v>
      </c>
      <c r="L41" s="104">
        <v>2150</v>
      </c>
      <c r="M41" s="150">
        <v>15.562508136619211</v>
      </c>
      <c r="N41" s="78">
        <v>644.00399999999991</v>
      </c>
      <c r="O41" s="111">
        <v>24466.581446561355</v>
      </c>
      <c r="P41" s="111">
        <v>29559.667668229911</v>
      </c>
      <c r="Q41" s="254">
        <v>20125.336566023012</v>
      </c>
      <c r="R41" s="258">
        <v>44591.91801258437</v>
      </c>
      <c r="S41" s="259">
        <v>49685.00423425292</v>
      </c>
      <c r="U41" s="7" t="s">
        <v>2113</v>
      </c>
    </row>
    <row r="42" spans="1:21" s="65" customFormat="1" ht="16.5" customHeight="1" thickBot="1">
      <c r="A42" s="41" t="s">
        <v>31</v>
      </c>
      <c r="B42" s="42">
        <f t="shared" si="0"/>
        <v>90</v>
      </c>
      <c r="C42" s="42" t="s">
        <v>3</v>
      </c>
      <c r="D42" s="42">
        <f t="shared" si="1"/>
        <v>160</v>
      </c>
      <c r="E42" s="42" t="s">
        <v>3</v>
      </c>
      <c r="F42" s="101">
        <f t="shared" si="2"/>
        <v>2200</v>
      </c>
      <c r="G42" s="42" t="s">
        <v>3</v>
      </c>
      <c r="H42" s="39">
        <v>2</v>
      </c>
      <c r="I42" s="40" t="s">
        <v>40</v>
      </c>
      <c r="J42" s="149">
        <v>90</v>
      </c>
      <c r="K42" s="104">
        <v>160</v>
      </c>
      <c r="L42" s="104">
        <v>2200</v>
      </c>
      <c r="M42" s="150">
        <v>15.912506284262371</v>
      </c>
      <c r="N42" s="78">
        <v>661.89299999999992</v>
      </c>
      <c r="O42" s="111">
        <v>24891.009175095784</v>
      </c>
      <c r="P42" s="111">
        <v>30094.204031105972</v>
      </c>
      <c r="Q42" s="254">
        <v>20714.160954528517</v>
      </c>
      <c r="R42" s="258">
        <v>45605.170129624297</v>
      </c>
      <c r="S42" s="259">
        <v>50808.364985634485</v>
      </c>
      <c r="U42" s="7" t="s">
        <v>2114</v>
      </c>
    </row>
    <row r="43" spans="1:21" s="65" customFormat="1" ht="16.5" customHeight="1" thickBot="1">
      <c r="A43" s="41" t="s">
        <v>31</v>
      </c>
      <c r="B43" s="42">
        <f t="shared" si="0"/>
        <v>90</v>
      </c>
      <c r="C43" s="42" t="s">
        <v>3</v>
      </c>
      <c r="D43" s="42">
        <f t="shared" si="1"/>
        <v>160</v>
      </c>
      <c r="E43" s="42" t="s">
        <v>3</v>
      </c>
      <c r="F43" s="101">
        <f t="shared" si="2"/>
        <v>2250</v>
      </c>
      <c r="G43" s="42" t="s">
        <v>3</v>
      </c>
      <c r="H43" s="39">
        <v>2</v>
      </c>
      <c r="I43" s="40" t="s">
        <v>40</v>
      </c>
      <c r="J43" s="149">
        <v>90</v>
      </c>
      <c r="K43" s="104">
        <v>160</v>
      </c>
      <c r="L43" s="104">
        <v>2250</v>
      </c>
      <c r="M43" s="150">
        <v>16.245464431905525</v>
      </c>
      <c r="N43" s="78">
        <v>679.78200000000004</v>
      </c>
      <c r="O43" s="111">
        <v>25315.436903630212</v>
      </c>
      <c r="P43" s="111">
        <v>30628.740393982025</v>
      </c>
      <c r="Q43" s="254">
        <v>21051.651205250255</v>
      </c>
      <c r="R43" s="258">
        <v>46367.088108880467</v>
      </c>
      <c r="S43" s="259">
        <v>51680.39159923228</v>
      </c>
      <c r="U43" s="7" t="s">
        <v>2115</v>
      </c>
    </row>
    <row r="44" spans="1:21" s="65" customFormat="1" ht="16.5" customHeight="1" thickBot="1">
      <c r="A44" s="41" t="s">
        <v>31</v>
      </c>
      <c r="B44" s="42">
        <f t="shared" si="0"/>
        <v>90</v>
      </c>
      <c r="C44" s="42" t="s">
        <v>3</v>
      </c>
      <c r="D44" s="42">
        <f t="shared" si="1"/>
        <v>160</v>
      </c>
      <c r="E44" s="42" t="s">
        <v>3</v>
      </c>
      <c r="F44" s="101">
        <f t="shared" si="2"/>
        <v>2300</v>
      </c>
      <c r="G44" s="42" t="s">
        <v>3</v>
      </c>
      <c r="H44" s="39">
        <v>2</v>
      </c>
      <c r="I44" s="40" t="s">
        <v>40</v>
      </c>
      <c r="J44" s="149">
        <v>90</v>
      </c>
      <c r="K44" s="104">
        <v>160</v>
      </c>
      <c r="L44" s="104">
        <v>2300</v>
      </c>
      <c r="M44" s="150">
        <v>16.578422579548686</v>
      </c>
      <c r="N44" s="78">
        <v>697.67100000000005</v>
      </c>
      <c r="O44" s="111">
        <v>25739.864632164645</v>
      </c>
      <c r="P44" s="111">
        <v>31163.276909886845</v>
      </c>
      <c r="Q44" s="254">
        <v>21389.141302943226</v>
      </c>
      <c r="R44" s="258">
        <v>47129.005935107867</v>
      </c>
      <c r="S44" s="259">
        <v>52552.418212830074</v>
      </c>
      <c r="U44" s="7" t="s">
        <v>2116</v>
      </c>
    </row>
    <row r="45" spans="1:21" s="65" customFormat="1" ht="16.5" customHeight="1" thickBot="1">
      <c r="A45" s="41" t="s">
        <v>31</v>
      </c>
      <c r="B45" s="42">
        <f t="shared" si="0"/>
        <v>90</v>
      </c>
      <c r="C45" s="42" t="s">
        <v>3</v>
      </c>
      <c r="D45" s="42">
        <f t="shared" si="1"/>
        <v>160</v>
      </c>
      <c r="E45" s="42" t="s">
        <v>3</v>
      </c>
      <c r="F45" s="101">
        <f t="shared" si="2"/>
        <v>2350</v>
      </c>
      <c r="G45" s="42" t="s">
        <v>3</v>
      </c>
      <c r="H45" s="39">
        <v>2</v>
      </c>
      <c r="I45" s="40" t="s">
        <v>40</v>
      </c>
      <c r="J45" s="149">
        <v>90</v>
      </c>
      <c r="K45" s="104">
        <v>160</v>
      </c>
      <c r="L45" s="104">
        <v>2350</v>
      </c>
      <c r="M45" s="150">
        <v>16.928420727191842</v>
      </c>
      <c r="N45" s="78">
        <v>715.56</v>
      </c>
      <c r="O45" s="111">
        <v>26164.292360699073</v>
      </c>
      <c r="P45" s="111">
        <v>31697.813272762902</v>
      </c>
      <c r="Q45" s="254">
        <v>21977.965691448728</v>
      </c>
      <c r="R45" s="258">
        <v>48142.258052147801</v>
      </c>
      <c r="S45" s="259">
        <v>53675.778964211626</v>
      </c>
      <c r="U45" s="7" t="s">
        <v>2117</v>
      </c>
    </row>
    <row r="46" spans="1:21" s="65" customFormat="1" ht="16.5" customHeight="1" thickBot="1">
      <c r="A46" s="41" t="s">
        <v>31</v>
      </c>
      <c r="B46" s="42">
        <f t="shared" si="0"/>
        <v>90</v>
      </c>
      <c r="C46" s="42" t="s">
        <v>3</v>
      </c>
      <c r="D46" s="42">
        <f t="shared" si="1"/>
        <v>160</v>
      </c>
      <c r="E46" s="42" t="s">
        <v>3</v>
      </c>
      <c r="F46" s="101">
        <f t="shared" si="2"/>
        <v>2400</v>
      </c>
      <c r="G46" s="42" t="s">
        <v>3</v>
      </c>
      <c r="H46" s="39">
        <v>2</v>
      </c>
      <c r="I46" s="40" t="s">
        <v>40</v>
      </c>
      <c r="J46" s="149">
        <v>90</v>
      </c>
      <c r="K46" s="104">
        <v>160</v>
      </c>
      <c r="L46" s="104">
        <v>2400</v>
      </c>
      <c r="M46" s="150">
        <v>17.261378874835</v>
      </c>
      <c r="N46" s="78">
        <v>733.44899999999996</v>
      </c>
      <c r="O46" s="111">
        <v>26588.720089233506</v>
      </c>
      <c r="P46" s="111">
        <v>32232.349635638955</v>
      </c>
      <c r="Q46" s="254">
        <v>22315.455942170465</v>
      </c>
      <c r="R46" s="258">
        <v>48904.176031403971</v>
      </c>
      <c r="S46" s="259">
        <v>54547.80557780942</v>
      </c>
      <c r="U46" s="7" t="s">
        <v>2118</v>
      </c>
    </row>
    <row r="47" spans="1:21" s="65" customFormat="1" ht="16.5" customHeight="1" thickBot="1">
      <c r="A47" s="41" t="s">
        <v>31</v>
      </c>
      <c r="B47" s="42">
        <f t="shared" si="0"/>
        <v>90</v>
      </c>
      <c r="C47" s="42" t="s">
        <v>3</v>
      </c>
      <c r="D47" s="42">
        <f t="shared" si="1"/>
        <v>160</v>
      </c>
      <c r="E47" s="42" t="s">
        <v>3</v>
      </c>
      <c r="F47" s="101">
        <f t="shared" si="2"/>
        <v>2450</v>
      </c>
      <c r="G47" s="42" t="s">
        <v>3</v>
      </c>
      <c r="H47" s="39">
        <v>2</v>
      </c>
      <c r="I47" s="40" t="s">
        <v>40</v>
      </c>
      <c r="J47" s="149">
        <v>90</v>
      </c>
      <c r="K47" s="104">
        <v>160</v>
      </c>
      <c r="L47" s="104">
        <v>2450</v>
      </c>
      <c r="M47" s="150">
        <v>17.703940155278158</v>
      </c>
      <c r="N47" s="78">
        <v>751.33799999999997</v>
      </c>
      <c r="O47" s="111">
        <v>27577.318813125505</v>
      </c>
      <c r="P47" s="111">
        <v>33222.893508164459</v>
      </c>
      <c r="Q47" s="254">
        <v>22904.280330675971</v>
      </c>
      <c r="R47" s="258">
        <v>50481.599143801475</v>
      </c>
      <c r="S47" s="259">
        <v>56127.173838840434</v>
      </c>
      <c r="U47" s="7" t="s">
        <v>2119</v>
      </c>
    </row>
    <row r="48" spans="1:21" s="65" customFormat="1" ht="16.5" customHeight="1" thickBot="1">
      <c r="A48" s="41" t="s">
        <v>31</v>
      </c>
      <c r="B48" s="42">
        <f t="shared" si="0"/>
        <v>90</v>
      </c>
      <c r="C48" s="42" t="s">
        <v>3</v>
      </c>
      <c r="D48" s="42">
        <f t="shared" si="1"/>
        <v>160</v>
      </c>
      <c r="E48" s="42" t="s">
        <v>3</v>
      </c>
      <c r="F48" s="101">
        <f t="shared" si="2"/>
        <v>2500</v>
      </c>
      <c r="G48" s="42" t="s">
        <v>3</v>
      </c>
      <c r="H48" s="39">
        <v>2</v>
      </c>
      <c r="I48" s="40" t="s">
        <v>40</v>
      </c>
      <c r="J48" s="149">
        <v>90</v>
      </c>
      <c r="K48" s="104">
        <v>160</v>
      </c>
      <c r="L48" s="104">
        <v>2500</v>
      </c>
      <c r="M48" s="150">
        <v>18.036898302921315</v>
      </c>
      <c r="N48" s="78">
        <v>769.22699999999998</v>
      </c>
      <c r="O48" s="111">
        <v>28001.746541659933</v>
      </c>
      <c r="P48" s="111">
        <v>33757.429871040513</v>
      </c>
      <c r="Q48" s="254">
        <v>23241.770581397705</v>
      </c>
      <c r="R48" s="258">
        <v>51243.517123057638</v>
      </c>
      <c r="S48" s="259">
        <v>56999.200452438221</v>
      </c>
      <c r="U48" s="7" t="s">
        <v>2120</v>
      </c>
    </row>
    <row r="49" spans="1:21" s="65" customFormat="1" ht="16.5" customHeight="1" thickBot="1">
      <c r="A49" s="41" t="s">
        <v>31</v>
      </c>
      <c r="B49" s="42">
        <f t="shared" si="0"/>
        <v>90</v>
      </c>
      <c r="C49" s="42" t="s">
        <v>3</v>
      </c>
      <c r="D49" s="42">
        <f t="shared" si="1"/>
        <v>160</v>
      </c>
      <c r="E49" s="42" t="s">
        <v>3</v>
      </c>
      <c r="F49" s="101">
        <f t="shared" si="2"/>
        <v>2550</v>
      </c>
      <c r="G49" s="42" t="s">
        <v>3</v>
      </c>
      <c r="H49" s="39">
        <v>2</v>
      </c>
      <c r="I49" s="40" t="s">
        <v>40</v>
      </c>
      <c r="J49" s="149">
        <v>90</v>
      </c>
      <c r="K49" s="104">
        <v>160</v>
      </c>
      <c r="L49" s="104">
        <v>2550</v>
      </c>
      <c r="M49" s="150">
        <v>18.386896450564471</v>
      </c>
      <c r="N49" s="78">
        <v>787.11599999999987</v>
      </c>
      <c r="O49" s="111">
        <v>28426.174270194366</v>
      </c>
      <c r="P49" s="111">
        <v>34291.966233916573</v>
      </c>
      <c r="Q49" s="254">
        <v>23830.594816874447</v>
      </c>
      <c r="R49" s="258">
        <v>52256.769087068809</v>
      </c>
      <c r="S49" s="259">
        <v>58122.561050791017</v>
      </c>
      <c r="U49" s="7" t="s">
        <v>2121</v>
      </c>
    </row>
    <row r="50" spans="1:21" s="65" customFormat="1" ht="16.5" customHeight="1" thickBot="1">
      <c r="A50" s="38" t="s">
        <v>31</v>
      </c>
      <c r="B50" s="39">
        <f t="shared" si="0"/>
        <v>90</v>
      </c>
      <c r="C50" s="39" t="s">
        <v>3</v>
      </c>
      <c r="D50" s="39">
        <f t="shared" si="1"/>
        <v>160</v>
      </c>
      <c r="E50" s="39" t="s">
        <v>3</v>
      </c>
      <c r="F50" s="101">
        <f t="shared" si="2"/>
        <v>2600</v>
      </c>
      <c r="G50" s="39" t="s">
        <v>3</v>
      </c>
      <c r="H50" s="39">
        <v>2</v>
      </c>
      <c r="I50" s="40" t="s">
        <v>40</v>
      </c>
      <c r="J50" s="149">
        <v>90</v>
      </c>
      <c r="K50" s="104">
        <v>160</v>
      </c>
      <c r="L50" s="104">
        <v>2600</v>
      </c>
      <c r="M50" s="150">
        <v>18.719854598207633</v>
      </c>
      <c r="N50" s="78">
        <v>805.005</v>
      </c>
      <c r="O50" s="111">
        <v>28850.601998728791</v>
      </c>
      <c r="P50" s="111">
        <v>34826.502596792627</v>
      </c>
      <c r="Q50" s="254">
        <v>24168.085067596181</v>
      </c>
      <c r="R50" s="258">
        <v>53018.687066324972</v>
      </c>
      <c r="S50" s="259">
        <v>58994.587664388804</v>
      </c>
      <c r="U50" s="7" t="s">
        <v>2122</v>
      </c>
    </row>
    <row r="51" spans="1:21" s="65" customFormat="1" ht="16.5" customHeight="1" thickBot="1">
      <c r="A51" s="41" t="s">
        <v>31</v>
      </c>
      <c r="B51" s="42">
        <f t="shared" si="0"/>
        <v>90</v>
      </c>
      <c r="C51" s="42" t="s">
        <v>3</v>
      </c>
      <c r="D51" s="42">
        <f t="shared" si="1"/>
        <v>160</v>
      </c>
      <c r="E51" s="42" t="s">
        <v>3</v>
      </c>
      <c r="F51" s="101">
        <f t="shared" si="2"/>
        <v>2650</v>
      </c>
      <c r="G51" s="42" t="s">
        <v>3</v>
      </c>
      <c r="H51" s="39">
        <v>2</v>
      </c>
      <c r="I51" s="40" t="s">
        <v>40</v>
      </c>
      <c r="J51" s="149">
        <v>90</v>
      </c>
      <c r="K51" s="104">
        <v>160</v>
      </c>
      <c r="L51" s="104">
        <v>2650</v>
      </c>
      <c r="M51" s="150">
        <v>19.069852745850792</v>
      </c>
      <c r="N51" s="78">
        <v>822.89400000000001</v>
      </c>
      <c r="O51" s="111">
        <v>29275.029727263223</v>
      </c>
      <c r="P51" s="111">
        <v>35361.038959668687</v>
      </c>
      <c r="Q51" s="254">
        <v>24756.909456101686</v>
      </c>
      <c r="R51" s="258">
        <v>54031.939183364913</v>
      </c>
      <c r="S51" s="259">
        <v>60117.94841577037</v>
      </c>
      <c r="U51" s="7" t="s">
        <v>2123</v>
      </c>
    </row>
    <row r="52" spans="1:21" s="65" customFormat="1" ht="16.5" customHeight="1" thickBot="1">
      <c r="A52" s="41" t="s">
        <v>31</v>
      </c>
      <c r="B52" s="42">
        <f t="shared" si="0"/>
        <v>90</v>
      </c>
      <c r="C52" s="42" t="s">
        <v>3</v>
      </c>
      <c r="D52" s="42">
        <f t="shared" si="1"/>
        <v>160</v>
      </c>
      <c r="E52" s="42" t="s">
        <v>3</v>
      </c>
      <c r="F52" s="101">
        <f t="shared" si="2"/>
        <v>2700</v>
      </c>
      <c r="G52" s="42" t="s">
        <v>3</v>
      </c>
      <c r="H52" s="39">
        <v>2</v>
      </c>
      <c r="I52" s="40" t="s">
        <v>40</v>
      </c>
      <c r="J52" s="149">
        <v>90</v>
      </c>
      <c r="K52" s="104">
        <v>160</v>
      </c>
      <c r="L52" s="104">
        <v>2700</v>
      </c>
      <c r="M52" s="150">
        <v>19.442060893493949</v>
      </c>
      <c r="N52" s="78">
        <v>840.78300000000002</v>
      </c>
      <c r="O52" s="111">
        <v>29747.432585779403</v>
      </c>
      <c r="P52" s="111">
        <v>35945.880927590573</v>
      </c>
      <c r="Q52" s="254">
        <v>25094.399706823424</v>
      </c>
      <c r="R52" s="258">
        <v>54841.832292602827</v>
      </c>
      <c r="S52" s="259">
        <v>61040.280634413997</v>
      </c>
      <c r="U52" s="7" t="s">
        <v>2124</v>
      </c>
    </row>
    <row r="53" spans="1:21" s="65" customFormat="1" ht="16.5" customHeight="1" thickBot="1">
      <c r="A53" s="41" t="s">
        <v>31</v>
      </c>
      <c r="B53" s="42">
        <f t="shared" si="0"/>
        <v>90</v>
      </c>
      <c r="C53" s="42" t="s">
        <v>3</v>
      </c>
      <c r="D53" s="42">
        <f t="shared" si="1"/>
        <v>160</v>
      </c>
      <c r="E53" s="42" t="s">
        <v>3</v>
      </c>
      <c r="F53" s="101">
        <f t="shared" si="2"/>
        <v>2750</v>
      </c>
      <c r="G53" s="42" t="s">
        <v>3</v>
      </c>
      <c r="H53" s="39">
        <v>2</v>
      </c>
      <c r="I53" s="40" t="s">
        <v>40</v>
      </c>
      <c r="J53" s="149">
        <v>90</v>
      </c>
      <c r="K53" s="104">
        <v>160</v>
      </c>
      <c r="L53" s="104">
        <v>2750</v>
      </c>
      <c r="M53" s="150">
        <v>19.775019041137107</v>
      </c>
      <c r="N53" s="78">
        <v>858.67199999999991</v>
      </c>
      <c r="O53" s="111">
        <v>30171.860314313828</v>
      </c>
      <c r="P53" s="111">
        <v>36480.417290466634</v>
      </c>
      <c r="Q53" s="254">
        <v>25431.889804516391</v>
      </c>
      <c r="R53" s="258">
        <v>55603.750118830219</v>
      </c>
      <c r="S53" s="259">
        <v>61912.307094983029</v>
      </c>
      <c r="U53" s="7" t="s">
        <v>2125</v>
      </c>
    </row>
    <row r="54" spans="1:21" s="65" customFormat="1" ht="16.5" customHeight="1" thickBot="1">
      <c r="A54" s="41" t="s">
        <v>31</v>
      </c>
      <c r="B54" s="42">
        <f t="shared" si="0"/>
        <v>90</v>
      </c>
      <c r="C54" s="42" t="s">
        <v>3</v>
      </c>
      <c r="D54" s="42">
        <f t="shared" si="1"/>
        <v>160</v>
      </c>
      <c r="E54" s="42" t="s">
        <v>3</v>
      </c>
      <c r="F54" s="101">
        <f t="shared" si="2"/>
        <v>2800</v>
      </c>
      <c r="G54" s="42" t="s">
        <v>3</v>
      </c>
      <c r="H54" s="39">
        <v>2</v>
      </c>
      <c r="I54" s="40" t="s">
        <v>40</v>
      </c>
      <c r="J54" s="149">
        <v>90</v>
      </c>
      <c r="K54" s="104">
        <v>160</v>
      </c>
      <c r="L54" s="104">
        <v>2800</v>
      </c>
      <c r="M54" s="150">
        <v>20.125017188780266</v>
      </c>
      <c r="N54" s="78">
        <v>876.56099999999992</v>
      </c>
      <c r="O54" s="111">
        <v>30596.28804284826</v>
      </c>
      <c r="P54" s="111">
        <v>37014.953653342687</v>
      </c>
      <c r="Q54" s="254">
        <v>26020.714193021897</v>
      </c>
      <c r="R54" s="258">
        <v>56617.002235870154</v>
      </c>
      <c r="S54" s="259">
        <v>63035.66784636458</v>
      </c>
      <c r="U54" s="7" t="s">
        <v>2126</v>
      </c>
    </row>
    <row r="55" spans="1:21" s="65" customFormat="1" ht="16.5" customHeight="1" thickBot="1">
      <c r="A55" s="41" t="s">
        <v>31</v>
      </c>
      <c r="B55" s="42">
        <f t="shared" si="0"/>
        <v>90</v>
      </c>
      <c r="C55" s="42" t="s">
        <v>3</v>
      </c>
      <c r="D55" s="42">
        <f t="shared" si="1"/>
        <v>160</v>
      </c>
      <c r="E55" s="42" t="s">
        <v>3</v>
      </c>
      <c r="F55" s="101">
        <f t="shared" si="2"/>
        <v>2850</v>
      </c>
      <c r="G55" s="42" t="s">
        <v>3</v>
      </c>
      <c r="H55" s="39">
        <v>2</v>
      </c>
      <c r="I55" s="40" t="s">
        <v>40</v>
      </c>
      <c r="J55" s="149">
        <v>90</v>
      </c>
      <c r="K55" s="104">
        <v>160</v>
      </c>
      <c r="L55" s="104">
        <v>2850</v>
      </c>
      <c r="M55" s="150">
        <v>20.45797533642342</v>
      </c>
      <c r="N55" s="78">
        <v>894.44999999999993</v>
      </c>
      <c r="O55" s="111">
        <v>31020.715771382689</v>
      </c>
      <c r="P55" s="111">
        <v>37549.490016218748</v>
      </c>
      <c r="Q55" s="254">
        <v>26358.204443743634</v>
      </c>
      <c r="R55" s="258">
        <v>57378.920215126323</v>
      </c>
      <c r="S55" s="259">
        <v>63907.694459962382</v>
      </c>
      <c r="U55" s="7" t="s">
        <v>2127</v>
      </c>
    </row>
    <row r="56" spans="1:21" s="65" customFormat="1" ht="16.5" customHeight="1" thickBot="1">
      <c r="A56" s="41" t="s">
        <v>31</v>
      </c>
      <c r="B56" s="42">
        <f t="shared" si="0"/>
        <v>90</v>
      </c>
      <c r="C56" s="42" t="s">
        <v>3</v>
      </c>
      <c r="D56" s="42">
        <f t="shared" si="1"/>
        <v>160</v>
      </c>
      <c r="E56" s="42" t="s">
        <v>3</v>
      </c>
      <c r="F56" s="101">
        <f t="shared" si="2"/>
        <v>2900</v>
      </c>
      <c r="G56" s="42" t="s">
        <v>3</v>
      </c>
      <c r="H56" s="39">
        <v>2</v>
      </c>
      <c r="I56" s="40" t="s">
        <v>40</v>
      </c>
      <c r="J56" s="149">
        <v>90</v>
      </c>
      <c r="K56" s="104">
        <v>160</v>
      </c>
      <c r="L56" s="104">
        <v>2900</v>
      </c>
      <c r="M56" s="150">
        <v>20.807973484066579</v>
      </c>
      <c r="N56" s="78">
        <v>912.33900000000006</v>
      </c>
      <c r="O56" s="111">
        <v>31445.143499917122</v>
      </c>
      <c r="P56" s="111">
        <v>38084.026379094801</v>
      </c>
      <c r="Q56" s="254">
        <v>26947.028832249136</v>
      </c>
      <c r="R56" s="258">
        <v>58392.172332166258</v>
      </c>
      <c r="S56" s="259">
        <v>65031.055211343933</v>
      </c>
      <c r="U56" s="7" t="s">
        <v>2128</v>
      </c>
    </row>
    <row r="57" spans="1:21" s="65" customFormat="1" ht="16.5" customHeight="1" thickBot="1">
      <c r="A57" s="41" t="s">
        <v>31</v>
      </c>
      <c r="B57" s="42">
        <f t="shared" si="0"/>
        <v>90</v>
      </c>
      <c r="C57" s="42" t="s">
        <v>3</v>
      </c>
      <c r="D57" s="42">
        <f t="shared" si="1"/>
        <v>160</v>
      </c>
      <c r="E57" s="42" t="s">
        <v>3</v>
      </c>
      <c r="F57" s="101">
        <f t="shared" si="2"/>
        <v>2950</v>
      </c>
      <c r="G57" s="42" t="s">
        <v>3</v>
      </c>
      <c r="H57" s="39">
        <v>2</v>
      </c>
      <c r="I57" s="40" t="s">
        <v>40</v>
      </c>
      <c r="J57" s="149">
        <v>90</v>
      </c>
      <c r="K57" s="104">
        <v>160</v>
      </c>
      <c r="L57" s="104">
        <v>2950</v>
      </c>
      <c r="M57" s="150">
        <v>21.140931631709737</v>
      </c>
      <c r="N57" s="78">
        <v>930.22799999999972</v>
      </c>
      <c r="O57" s="111">
        <v>31869.571228451547</v>
      </c>
      <c r="P57" s="111">
        <v>38618.562741970862</v>
      </c>
      <c r="Q57" s="254">
        <v>27284.518929942107</v>
      </c>
      <c r="R57" s="258">
        <v>59154.09015839365</v>
      </c>
      <c r="S57" s="259">
        <v>65903.081671912965</v>
      </c>
      <c r="U57" s="7" t="s">
        <v>2129</v>
      </c>
    </row>
    <row r="58" spans="1:21" s="65" customFormat="1" ht="16.5" customHeight="1" thickBot="1">
      <c r="A58" s="43" t="s">
        <v>31</v>
      </c>
      <c r="B58" s="44">
        <f t="shared" si="0"/>
        <v>90</v>
      </c>
      <c r="C58" s="44" t="s">
        <v>3</v>
      </c>
      <c r="D58" s="44">
        <f t="shared" si="1"/>
        <v>160</v>
      </c>
      <c r="E58" s="44" t="s">
        <v>3</v>
      </c>
      <c r="F58" s="102">
        <f t="shared" si="2"/>
        <v>3000</v>
      </c>
      <c r="G58" s="44" t="s">
        <v>3</v>
      </c>
      <c r="H58" s="46">
        <v>2</v>
      </c>
      <c r="I58" s="45" t="s">
        <v>40</v>
      </c>
      <c r="J58" s="151">
        <v>90</v>
      </c>
      <c r="K58" s="134">
        <v>160</v>
      </c>
      <c r="L58" s="134">
        <v>3000</v>
      </c>
      <c r="M58" s="152">
        <v>21.490929779352896</v>
      </c>
      <c r="N58" s="127">
        <v>948.11699999999973</v>
      </c>
      <c r="O58" s="135">
        <v>33523.04320990805</v>
      </c>
      <c r="P58" s="135">
        <v>39153.099257875678</v>
      </c>
      <c r="Q58" s="255">
        <v>27873.343318447616</v>
      </c>
      <c r="R58" s="260">
        <v>61396.386528355666</v>
      </c>
      <c r="S58" s="261">
        <v>67026.442576323287</v>
      </c>
      <c r="U58" s="7" t="s">
        <v>2130</v>
      </c>
    </row>
    <row r="59" spans="1:21" s="65" customFormat="1" ht="22.5" customHeight="1" thickBot="1">
      <c r="A59" s="2968" t="s">
        <v>473</v>
      </c>
      <c r="B59" s="2969"/>
      <c r="C59" s="2969"/>
      <c r="D59" s="2969"/>
      <c r="E59" s="2969"/>
      <c r="F59" s="2969"/>
      <c r="G59" s="2969"/>
      <c r="H59" s="2969"/>
      <c r="I59" s="2969"/>
      <c r="J59" s="3018"/>
      <c r="K59" s="3018"/>
      <c r="L59" s="3018"/>
      <c r="M59" s="3018"/>
      <c r="N59" s="3018"/>
      <c r="O59" s="3018"/>
      <c r="P59" s="3018"/>
      <c r="Q59" s="3018"/>
      <c r="R59" s="3018"/>
      <c r="S59" s="3019"/>
      <c r="U59" s="7"/>
    </row>
    <row r="60" spans="1:21" s="65" customFormat="1" ht="17.25" customHeight="1" thickBot="1">
      <c r="A60" s="2974" t="s">
        <v>112</v>
      </c>
      <c r="B60" s="2975"/>
      <c r="C60" s="2975"/>
      <c r="D60" s="2975"/>
      <c r="E60" s="2975"/>
      <c r="F60" s="2975"/>
      <c r="G60" s="2975"/>
      <c r="H60" s="2975"/>
      <c r="I60" s="2975"/>
      <c r="J60" s="2975"/>
      <c r="K60" s="2975"/>
      <c r="L60" s="2975"/>
      <c r="M60" s="2975"/>
      <c r="N60" s="2975"/>
      <c r="O60" s="2975"/>
      <c r="P60" s="2975"/>
      <c r="Q60" s="2975"/>
      <c r="R60" s="2975"/>
      <c r="S60" s="2976"/>
      <c r="U60" s="7"/>
    </row>
    <row r="61" spans="1:21" s="65" customFormat="1" ht="16.5" customHeight="1" thickBot="1">
      <c r="A61" s="38" t="s">
        <v>31</v>
      </c>
      <c r="B61" s="39">
        <f>J61</f>
        <v>90</v>
      </c>
      <c r="C61" s="39" t="s">
        <v>3</v>
      </c>
      <c r="D61" s="39">
        <f>K61</f>
        <v>200</v>
      </c>
      <c r="E61" s="39" t="s">
        <v>3</v>
      </c>
      <c r="F61" s="90">
        <f>L61</f>
        <v>600</v>
      </c>
      <c r="G61" s="39" t="s">
        <v>3</v>
      </c>
      <c r="H61" s="39">
        <v>2</v>
      </c>
      <c r="I61" s="40" t="s">
        <v>40</v>
      </c>
      <c r="J61" s="146">
        <v>90</v>
      </c>
      <c r="K61" s="122">
        <v>200</v>
      </c>
      <c r="L61" s="122">
        <v>600</v>
      </c>
      <c r="M61" s="147">
        <v>4.9463039453813167</v>
      </c>
      <c r="N61" s="123">
        <v>100.5</v>
      </c>
      <c r="O61" s="139">
        <v>10847.406064751876</v>
      </c>
      <c r="P61" s="153">
        <v>12787.790912797411</v>
      </c>
      <c r="Q61" s="139">
        <v>7123.1890801891068</v>
      </c>
      <c r="R61" s="256">
        <v>17970.595144940984</v>
      </c>
      <c r="S61" s="257">
        <v>19910.979992986518</v>
      </c>
      <c r="U61" s="7" t="s">
        <v>2131</v>
      </c>
    </row>
    <row r="62" spans="1:21" s="65" customFormat="1" ht="16.5" customHeight="1" thickBot="1">
      <c r="A62" s="41" t="s">
        <v>31</v>
      </c>
      <c r="B62" s="42">
        <f t="shared" ref="B62:B109" si="3">J62</f>
        <v>90</v>
      </c>
      <c r="C62" s="42" t="s">
        <v>3</v>
      </c>
      <c r="D62" s="42">
        <f t="shared" ref="D62:D109" si="4">K62</f>
        <v>200</v>
      </c>
      <c r="E62" s="42" t="s">
        <v>3</v>
      </c>
      <c r="F62" s="90">
        <f t="shared" ref="F62:F109" si="5">L62</f>
        <v>650</v>
      </c>
      <c r="G62" s="42" t="s">
        <v>3</v>
      </c>
      <c r="H62" s="39">
        <v>2</v>
      </c>
      <c r="I62" s="40" t="s">
        <v>40</v>
      </c>
      <c r="J62" s="149">
        <v>90</v>
      </c>
      <c r="K62" s="66">
        <v>200</v>
      </c>
      <c r="L62" s="66">
        <v>650</v>
      </c>
      <c r="M62" s="150">
        <v>5.2914500055244744</v>
      </c>
      <c r="N62" s="78">
        <v>120.6</v>
      </c>
      <c r="O62" s="110">
        <v>11289.74856476196</v>
      </c>
      <c r="P62" s="109">
        <v>13358.114735714364</v>
      </c>
      <c r="Q62" s="110">
        <v>7513.8655494313916</v>
      </c>
      <c r="R62" s="258">
        <v>18803.614114193351</v>
      </c>
      <c r="S62" s="259">
        <v>20871.980285145757</v>
      </c>
      <c r="U62" s="7" t="s">
        <v>2132</v>
      </c>
    </row>
    <row r="63" spans="1:21" s="65" customFormat="1" ht="16.5" customHeight="1" thickBot="1">
      <c r="A63" s="41" t="s">
        <v>31</v>
      </c>
      <c r="B63" s="42">
        <f t="shared" si="3"/>
        <v>90</v>
      </c>
      <c r="C63" s="42" t="s">
        <v>3</v>
      </c>
      <c r="D63" s="42">
        <f t="shared" si="4"/>
        <v>200</v>
      </c>
      <c r="E63" s="42" t="s">
        <v>3</v>
      </c>
      <c r="F63" s="90">
        <f t="shared" si="5"/>
        <v>700</v>
      </c>
      <c r="G63" s="42" t="s">
        <v>3</v>
      </c>
      <c r="H63" s="39">
        <v>2</v>
      </c>
      <c r="I63" s="40" t="s">
        <v>40</v>
      </c>
      <c r="J63" s="149">
        <v>90</v>
      </c>
      <c r="K63" s="66">
        <v>200</v>
      </c>
      <c r="L63" s="66">
        <v>700</v>
      </c>
      <c r="M63" s="150">
        <v>5.6536360656676319</v>
      </c>
      <c r="N63" s="78">
        <v>140.69999999999999</v>
      </c>
      <c r="O63" s="110">
        <v>11732.091217800807</v>
      </c>
      <c r="P63" s="109">
        <v>13928.438711660083</v>
      </c>
      <c r="Q63" s="110">
        <v>8155.8760034286815</v>
      </c>
      <c r="R63" s="258">
        <v>19887.96722122949</v>
      </c>
      <c r="S63" s="259">
        <v>22084.314715088763</v>
      </c>
      <c r="U63" s="7" t="s">
        <v>2133</v>
      </c>
    </row>
    <row r="64" spans="1:21" s="65" customFormat="1" ht="16.5" customHeight="1" thickBot="1">
      <c r="A64" s="41" t="s">
        <v>31</v>
      </c>
      <c r="B64" s="42">
        <f t="shared" si="3"/>
        <v>90</v>
      </c>
      <c r="C64" s="42" t="s">
        <v>3</v>
      </c>
      <c r="D64" s="42">
        <f t="shared" si="4"/>
        <v>200</v>
      </c>
      <c r="E64" s="42" t="s">
        <v>3</v>
      </c>
      <c r="F64" s="90">
        <f t="shared" si="5"/>
        <v>750</v>
      </c>
      <c r="G64" s="42" t="s">
        <v>3</v>
      </c>
      <c r="H64" s="39">
        <v>2</v>
      </c>
      <c r="I64" s="40" t="s">
        <v>40</v>
      </c>
      <c r="J64" s="149">
        <v>90</v>
      </c>
      <c r="K64" s="66">
        <v>200</v>
      </c>
      <c r="L64" s="66">
        <v>750</v>
      </c>
      <c r="M64" s="150">
        <v>5.9987821258107896</v>
      </c>
      <c r="N64" s="78">
        <v>160.79999999999998</v>
      </c>
      <c r="O64" s="110">
        <v>12174.433870839655</v>
      </c>
      <c r="P64" s="109">
        <v>14498.7626876058</v>
      </c>
      <c r="Q64" s="110">
        <v>8546.5523196422018</v>
      </c>
      <c r="R64" s="258">
        <v>20720.986190481857</v>
      </c>
      <c r="S64" s="259">
        <v>23045.315007248002</v>
      </c>
      <c r="U64" s="7" t="s">
        <v>2134</v>
      </c>
    </row>
    <row r="65" spans="1:21" s="65" customFormat="1" ht="16.5" customHeight="1" thickBot="1">
      <c r="A65" s="41" t="s">
        <v>31</v>
      </c>
      <c r="B65" s="42">
        <f t="shared" si="3"/>
        <v>90</v>
      </c>
      <c r="C65" s="42" t="s">
        <v>3</v>
      </c>
      <c r="D65" s="42">
        <f t="shared" si="4"/>
        <v>200</v>
      </c>
      <c r="E65" s="42" t="s">
        <v>3</v>
      </c>
      <c r="F65" s="90">
        <f t="shared" si="5"/>
        <v>800</v>
      </c>
      <c r="G65" s="42" t="s">
        <v>3</v>
      </c>
      <c r="H65" s="39">
        <v>2</v>
      </c>
      <c r="I65" s="40" t="s">
        <v>40</v>
      </c>
      <c r="J65" s="149">
        <v>90</v>
      </c>
      <c r="K65" s="66">
        <v>200</v>
      </c>
      <c r="L65" s="66">
        <v>800</v>
      </c>
      <c r="M65" s="150">
        <v>6.3439281859539474</v>
      </c>
      <c r="N65" s="78">
        <v>180.9</v>
      </c>
      <c r="O65" s="110">
        <v>12616.77637084974</v>
      </c>
      <c r="P65" s="109">
        <v>15069.086510522755</v>
      </c>
      <c r="Q65" s="110">
        <v>8937.2286358557212</v>
      </c>
      <c r="R65" s="258">
        <v>21554.005006705462</v>
      </c>
      <c r="S65" s="259">
        <v>24006.315146378474</v>
      </c>
      <c r="U65" s="7" t="s">
        <v>2135</v>
      </c>
    </row>
    <row r="66" spans="1:21" s="65" customFormat="1" ht="16.5" customHeight="1" thickBot="1">
      <c r="A66" s="41" t="s">
        <v>31</v>
      </c>
      <c r="B66" s="42">
        <f t="shared" si="3"/>
        <v>90</v>
      </c>
      <c r="C66" s="42" t="s">
        <v>3</v>
      </c>
      <c r="D66" s="42">
        <f t="shared" si="4"/>
        <v>200</v>
      </c>
      <c r="E66" s="42" t="s">
        <v>3</v>
      </c>
      <c r="F66" s="90">
        <f t="shared" si="5"/>
        <v>850</v>
      </c>
      <c r="G66" s="42" t="s">
        <v>3</v>
      </c>
      <c r="H66" s="39">
        <v>2</v>
      </c>
      <c r="I66" s="40" t="s">
        <v>40</v>
      </c>
      <c r="J66" s="149">
        <v>90</v>
      </c>
      <c r="K66" s="66">
        <v>200</v>
      </c>
      <c r="L66" s="66">
        <v>850</v>
      </c>
      <c r="M66" s="150">
        <v>6.7061142460971048</v>
      </c>
      <c r="N66" s="78">
        <v>201</v>
      </c>
      <c r="O66" s="110">
        <v>13059.119023888587</v>
      </c>
      <c r="P66" s="109">
        <v>15639.410486468472</v>
      </c>
      <c r="Q66" s="110">
        <v>9579.239089853012</v>
      </c>
      <c r="R66" s="258">
        <v>22638.358113741597</v>
      </c>
      <c r="S66" s="259">
        <v>25218.649576321484</v>
      </c>
      <c r="U66" s="7" t="s">
        <v>2136</v>
      </c>
    </row>
    <row r="67" spans="1:21" s="65" customFormat="1" ht="16.5" customHeight="1" thickBot="1">
      <c r="A67" s="41" t="s">
        <v>31</v>
      </c>
      <c r="B67" s="42">
        <f t="shared" si="3"/>
        <v>90</v>
      </c>
      <c r="C67" s="42" t="s">
        <v>3</v>
      </c>
      <c r="D67" s="42">
        <f t="shared" si="4"/>
        <v>200</v>
      </c>
      <c r="E67" s="42" t="s">
        <v>3</v>
      </c>
      <c r="F67" s="90">
        <f t="shared" si="5"/>
        <v>900</v>
      </c>
      <c r="G67" s="42" t="s">
        <v>3</v>
      </c>
      <c r="H67" s="39">
        <v>2</v>
      </c>
      <c r="I67" s="40" t="s">
        <v>40</v>
      </c>
      <c r="J67" s="149">
        <v>90</v>
      </c>
      <c r="K67" s="66">
        <v>200</v>
      </c>
      <c r="L67" s="66">
        <v>900</v>
      </c>
      <c r="M67" s="150">
        <v>7.0512603062402643</v>
      </c>
      <c r="N67" s="78">
        <v>221.1</v>
      </c>
      <c r="O67" s="110">
        <v>13501.461676927434</v>
      </c>
      <c r="P67" s="109">
        <v>16209.734309385427</v>
      </c>
      <c r="Q67" s="110">
        <v>9969.915559095296</v>
      </c>
      <c r="R67" s="258">
        <v>23471.37723602273</v>
      </c>
      <c r="S67" s="259">
        <v>26179.649868480723</v>
      </c>
      <c r="U67" s="7" t="s">
        <v>2137</v>
      </c>
    </row>
    <row r="68" spans="1:21" s="65" customFormat="1" ht="16.5" customHeight="1" thickBot="1">
      <c r="A68" s="41" t="s">
        <v>31</v>
      </c>
      <c r="B68" s="42">
        <f t="shared" si="3"/>
        <v>90</v>
      </c>
      <c r="C68" s="42" t="s">
        <v>3</v>
      </c>
      <c r="D68" s="42">
        <f t="shared" si="4"/>
        <v>200</v>
      </c>
      <c r="E68" s="42" t="s">
        <v>3</v>
      </c>
      <c r="F68" s="90">
        <f t="shared" si="5"/>
        <v>950</v>
      </c>
      <c r="G68" s="42" t="s">
        <v>3</v>
      </c>
      <c r="H68" s="39">
        <v>2</v>
      </c>
      <c r="I68" s="40" t="s">
        <v>40</v>
      </c>
      <c r="J68" s="149">
        <v>90</v>
      </c>
      <c r="K68" s="66">
        <v>200</v>
      </c>
      <c r="L68" s="66">
        <v>950</v>
      </c>
      <c r="M68" s="150">
        <v>7.4134463663834209</v>
      </c>
      <c r="N68" s="78">
        <v>241.2</v>
      </c>
      <c r="O68" s="110">
        <v>13943.80417693752</v>
      </c>
      <c r="P68" s="109">
        <v>16780.058285331146</v>
      </c>
      <c r="Q68" s="110">
        <v>10611.926013092587</v>
      </c>
      <c r="R68" s="258">
        <v>24555.730190030106</v>
      </c>
      <c r="S68" s="259">
        <v>27391.984298423733</v>
      </c>
      <c r="U68" s="7" t="s">
        <v>2138</v>
      </c>
    </row>
    <row r="69" spans="1:21" s="65" customFormat="1" ht="16.5" customHeight="1" thickBot="1">
      <c r="A69" s="41" t="s">
        <v>31</v>
      </c>
      <c r="B69" s="42">
        <f t="shared" si="3"/>
        <v>90</v>
      </c>
      <c r="C69" s="42" t="s">
        <v>3</v>
      </c>
      <c r="D69" s="42">
        <f t="shared" si="4"/>
        <v>200</v>
      </c>
      <c r="E69" s="42" t="s">
        <v>3</v>
      </c>
      <c r="F69" s="90">
        <f t="shared" si="5"/>
        <v>1000</v>
      </c>
      <c r="G69" s="42" t="s">
        <v>3</v>
      </c>
      <c r="H69" s="39">
        <v>2</v>
      </c>
      <c r="I69" s="40" t="s">
        <v>40</v>
      </c>
      <c r="J69" s="149">
        <v>90</v>
      </c>
      <c r="K69" s="66">
        <v>200</v>
      </c>
      <c r="L69" s="66">
        <v>1000</v>
      </c>
      <c r="M69" s="150">
        <v>7.7585924265265795</v>
      </c>
      <c r="N69" s="78">
        <v>261.3</v>
      </c>
      <c r="O69" s="110">
        <v>14386.146829976367</v>
      </c>
      <c r="P69" s="109">
        <v>17350.382261276864</v>
      </c>
      <c r="Q69" s="110">
        <v>11002.602329306106</v>
      </c>
      <c r="R69" s="258">
        <v>25388.749159282474</v>
      </c>
      <c r="S69" s="259">
        <v>28352.984590582972</v>
      </c>
      <c r="U69" s="7" t="s">
        <v>2139</v>
      </c>
    </row>
    <row r="70" spans="1:21" s="65" customFormat="1" ht="16.5" customHeight="1" thickBot="1">
      <c r="A70" s="41" t="s">
        <v>31</v>
      </c>
      <c r="B70" s="42">
        <f t="shared" si="3"/>
        <v>90</v>
      </c>
      <c r="C70" s="42" t="s">
        <v>3</v>
      </c>
      <c r="D70" s="42">
        <f t="shared" si="4"/>
        <v>200</v>
      </c>
      <c r="E70" s="42" t="s">
        <v>3</v>
      </c>
      <c r="F70" s="90">
        <f t="shared" si="5"/>
        <v>1050</v>
      </c>
      <c r="G70" s="42" t="s">
        <v>3</v>
      </c>
      <c r="H70" s="39">
        <v>2</v>
      </c>
      <c r="I70" s="40" t="s">
        <v>40</v>
      </c>
      <c r="J70" s="149">
        <v>90</v>
      </c>
      <c r="K70" s="66">
        <v>200</v>
      </c>
      <c r="L70" s="66">
        <v>1050</v>
      </c>
      <c r="M70" s="150">
        <v>8.120778486669737</v>
      </c>
      <c r="N70" s="78">
        <v>281.39999999999998</v>
      </c>
      <c r="O70" s="110">
        <v>14828.489483015213</v>
      </c>
      <c r="P70" s="109">
        <v>17920.706084193815</v>
      </c>
      <c r="Q70" s="110">
        <v>11644.612783303395</v>
      </c>
      <c r="R70" s="258">
        <v>26473.102266318609</v>
      </c>
      <c r="S70" s="259">
        <v>29565.318867497212</v>
      </c>
      <c r="U70" s="7" t="s">
        <v>2140</v>
      </c>
    </row>
    <row r="71" spans="1:21" s="65" customFormat="1" ht="16.5" customHeight="1" thickBot="1">
      <c r="A71" s="38" t="s">
        <v>31</v>
      </c>
      <c r="B71" s="39">
        <f t="shared" si="3"/>
        <v>90</v>
      </c>
      <c r="C71" s="39" t="s">
        <v>3</v>
      </c>
      <c r="D71" s="39">
        <f t="shared" si="4"/>
        <v>200</v>
      </c>
      <c r="E71" s="39" t="s">
        <v>3</v>
      </c>
      <c r="F71" s="90">
        <f t="shared" si="5"/>
        <v>1100</v>
      </c>
      <c r="G71" s="39" t="s">
        <v>3</v>
      </c>
      <c r="H71" s="39">
        <v>2</v>
      </c>
      <c r="I71" s="40" t="s">
        <v>40</v>
      </c>
      <c r="J71" s="149">
        <v>90</v>
      </c>
      <c r="K71" s="66">
        <v>200</v>
      </c>
      <c r="L71" s="66">
        <v>1100</v>
      </c>
      <c r="M71" s="150">
        <v>8.4659245468128947</v>
      </c>
      <c r="N71" s="78">
        <v>301.5</v>
      </c>
      <c r="O71" s="110">
        <v>15270.831983025299</v>
      </c>
      <c r="P71" s="109">
        <v>18491.030060139536</v>
      </c>
      <c r="Q71" s="110">
        <v>12035.289252545683</v>
      </c>
      <c r="R71" s="258">
        <v>27306.121235570979</v>
      </c>
      <c r="S71" s="259">
        <v>30526.31931268522</v>
      </c>
      <c r="U71" s="7" t="s">
        <v>2141</v>
      </c>
    </row>
    <row r="72" spans="1:21" s="65" customFormat="1" ht="16.5" customHeight="1" thickBot="1">
      <c r="A72" s="41" t="s">
        <v>31</v>
      </c>
      <c r="B72" s="42">
        <f t="shared" si="3"/>
        <v>90</v>
      </c>
      <c r="C72" s="42" t="s">
        <v>3</v>
      </c>
      <c r="D72" s="42">
        <f t="shared" si="4"/>
        <v>200</v>
      </c>
      <c r="E72" s="42" t="s">
        <v>3</v>
      </c>
      <c r="F72" s="90">
        <f t="shared" si="5"/>
        <v>1150</v>
      </c>
      <c r="G72" s="42" t="s">
        <v>3</v>
      </c>
      <c r="H72" s="39">
        <v>2</v>
      </c>
      <c r="I72" s="40" t="s">
        <v>40</v>
      </c>
      <c r="J72" s="149">
        <v>90</v>
      </c>
      <c r="K72" s="66">
        <v>200</v>
      </c>
      <c r="L72" s="66">
        <v>1150</v>
      </c>
      <c r="M72" s="150">
        <v>8.8110706069560525</v>
      </c>
      <c r="N72" s="78">
        <v>321.59999999999997</v>
      </c>
      <c r="O72" s="110">
        <v>15713.174636064146</v>
      </c>
      <c r="P72" s="109">
        <v>19061.353883056487</v>
      </c>
      <c r="Q72" s="110">
        <v>12425.965568759202</v>
      </c>
      <c r="R72" s="258">
        <v>28139.14020482335</v>
      </c>
      <c r="S72" s="259">
        <v>31487.319451815689</v>
      </c>
      <c r="U72" s="7" t="s">
        <v>2142</v>
      </c>
    </row>
    <row r="73" spans="1:21" s="65" customFormat="1" ht="16.5" customHeight="1" thickBot="1">
      <c r="A73" s="41" t="s">
        <v>31</v>
      </c>
      <c r="B73" s="42">
        <f t="shared" si="3"/>
        <v>90</v>
      </c>
      <c r="C73" s="42" t="s">
        <v>3</v>
      </c>
      <c r="D73" s="42">
        <f t="shared" si="4"/>
        <v>200</v>
      </c>
      <c r="E73" s="42" t="s">
        <v>3</v>
      </c>
      <c r="F73" s="90">
        <f t="shared" si="5"/>
        <v>1200</v>
      </c>
      <c r="G73" s="42" t="s">
        <v>3</v>
      </c>
      <c r="H73" s="39">
        <v>2</v>
      </c>
      <c r="I73" s="40" t="s">
        <v>40</v>
      </c>
      <c r="J73" s="149">
        <v>90</v>
      </c>
      <c r="K73" s="66">
        <v>200</v>
      </c>
      <c r="L73" s="66">
        <v>1200</v>
      </c>
      <c r="M73" s="150">
        <v>9.2125066670992091</v>
      </c>
      <c r="N73" s="78">
        <v>341.7</v>
      </c>
      <c r="O73" s="110">
        <v>16205.517448733643</v>
      </c>
      <c r="P73" s="109">
        <v>19681.983311019278</v>
      </c>
      <c r="Q73" s="110">
        <v>13067.976022756491</v>
      </c>
      <c r="R73" s="258">
        <v>29273.493471490132</v>
      </c>
      <c r="S73" s="259">
        <v>32749.959333775769</v>
      </c>
      <c r="U73" s="7" t="s">
        <v>2143</v>
      </c>
    </row>
    <row r="74" spans="1:21" s="65" customFormat="1" ht="16.5" customHeight="1" thickBot="1">
      <c r="A74" s="41" t="s">
        <v>31</v>
      </c>
      <c r="B74" s="42">
        <f t="shared" si="3"/>
        <v>90</v>
      </c>
      <c r="C74" s="42" t="s">
        <v>3</v>
      </c>
      <c r="D74" s="42">
        <f t="shared" si="4"/>
        <v>200</v>
      </c>
      <c r="E74" s="42" t="s">
        <v>3</v>
      </c>
      <c r="F74" s="90">
        <f t="shared" si="5"/>
        <v>1250</v>
      </c>
      <c r="G74" s="42" t="s">
        <v>3</v>
      </c>
      <c r="H74" s="39">
        <v>2</v>
      </c>
      <c r="I74" s="40" t="s">
        <v>40</v>
      </c>
      <c r="J74" s="149">
        <v>90</v>
      </c>
      <c r="K74" s="66">
        <v>200</v>
      </c>
      <c r="L74" s="66">
        <v>1250</v>
      </c>
      <c r="M74" s="150">
        <v>9.5576527272423668</v>
      </c>
      <c r="N74" s="78">
        <v>361.8</v>
      </c>
      <c r="O74" s="110">
        <v>16647.86010177249</v>
      </c>
      <c r="P74" s="109">
        <v>20252.307286964999</v>
      </c>
      <c r="Q74" s="110">
        <v>13458.652338970012</v>
      </c>
      <c r="R74" s="258">
        <v>30106.512440742503</v>
      </c>
      <c r="S74" s="259">
        <v>33710.959625935007</v>
      </c>
      <c r="U74" s="7" t="s">
        <v>2144</v>
      </c>
    </row>
    <row r="75" spans="1:21" s="65" customFormat="1" ht="16.5" customHeight="1" thickBot="1">
      <c r="A75" s="41" t="s">
        <v>31</v>
      </c>
      <c r="B75" s="42">
        <f t="shared" si="3"/>
        <v>90</v>
      </c>
      <c r="C75" s="42" t="s">
        <v>3</v>
      </c>
      <c r="D75" s="42">
        <f t="shared" si="4"/>
        <v>200</v>
      </c>
      <c r="E75" s="42" t="s">
        <v>3</v>
      </c>
      <c r="F75" s="90">
        <f t="shared" si="5"/>
        <v>1300</v>
      </c>
      <c r="G75" s="42" t="s">
        <v>3</v>
      </c>
      <c r="H75" s="39">
        <v>2</v>
      </c>
      <c r="I75" s="40" t="s">
        <v>40</v>
      </c>
      <c r="J75" s="149">
        <v>90</v>
      </c>
      <c r="K75" s="66">
        <v>200</v>
      </c>
      <c r="L75" s="66">
        <v>1300</v>
      </c>
      <c r="M75" s="150">
        <v>9.919838787385526</v>
      </c>
      <c r="N75" s="78">
        <v>381.9</v>
      </c>
      <c r="O75" s="110">
        <v>17090.20275481134</v>
      </c>
      <c r="P75" s="109">
        <v>20822.631262910716</v>
      </c>
      <c r="Q75" s="110">
        <v>14100.662792967301</v>
      </c>
      <c r="R75" s="258">
        <v>31190.865547778641</v>
      </c>
      <c r="S75" s="259">
        <v>34923.294055878017</v>
      </c>
      <c r="U75" s="7" t="s">
        <v>2145</v>
      </c>
    </row>
    <row r="76" spans="1:21" s="65" customFormat="1" ht="16.5" customHeight="1" thickBot="1">
      <c r="A76" s="41" t="s">
        <v>31</v>
      </c>
      <c r="B76" s="42">
        <f t="shared" si="3"/>
        <v>90</v>
      </c>
      <c r="C76" s="42" t="s">
        <v>3</v>
      </c>
      <c r="D76" s="42">
        <f t="shared" si="4"/>
        <v>200</v>
      </c>
      <c r="E76" s="42" t="s">
        <v>3</v>
      </c>
      <c r="F76" s="90">
        <f t="shared" si="5"/>
        <v>1350</v>
      </c>
      <c r="G76" s="42" t="s">
        <v>3</v>
      </c>
      <c r="H76" s="39">
        <v>2</v>
      </c>
      <c r="I76" s="40" t="s">
        <v>40</v>
      </c>
      <c r="J76" s="149">
        <v>90</v>
      </c>
      <c r="K76" s="66">
        <v>200</v>
      </c>
      <c r="L76" s="66">
        <v>1350</v>
      </c>
      <c r="M76" s="150">
        <v>10.264984847528684</v>
      </c>
      <c r="N76" s="78">
        <v>402</v>
      </c>
      <c r="O76" s="110">
        <v>17532.545254821423</v>
      </c>
      <c r="P76" s="109">
        <v>21392.955085827667</v>
      </c>
      <c r="Q76" s="110">
        <v>14491.339262209587</v>
      </c>
      <c r="R76" s="258">
        <v>32023.884517031009</v>
      </c>
      <c r="S76" s="259">
        <v>35884.294348037256</v>
      </c>
      <c r="U76" s="7" t="s">
        <v>2146</v>
      </c>
    </row>
    <row r="77" spans="1:21" s="65" customFormat="1" ht="16.5" customHeight="1" thickBot="1">
      <c r="A77" s="41" t="s">
        <v>31</v>
      </c>
      <c r="B77" s="42">
        <f t="shared" si="3"/>
        <v>90</v>
      </c>
      <c r="C77" s="42" t="s">
        <v>3</v>
      </c>
      <c r="D77" s="42">
        <f t="shared" si="4"/>
        <v>200</v>
      </c>
      <c r="E77" s="42" t="s">
        <v>3</v>
      </c>
      <c r="F77" s="90">
        <f t="shared" si="5"/>
        <v>1400</v>
      </c>
      <c r="G77" s="42" t="s">
        <v>3</v>
      </c>
      <c r="H77" s="39">
        <v>2</v>
      </c>
      <c r="I77" s="40" t="s">
        <v>40</v>
      </c>
      <c r="J77" s="149">
        <v>90</v>
      </c>
      <c r="K77" s="66">
        <v>200</v>
      </c>
      <c r="L77" s="66">
        <v>1400</v>
      </c>
      <c r="M77" s="150">
        <v>10.627170907671841</v>
      </c>
      <c r="N77" s="78">
        <v>422.09999999999997</v>
      </c>
      <c r="O77" s="110">
        <v>17974.887907860269</v>
      </c>
      <c r="P77" s="109">
        <v>21963.279061773388</v>
      </c>
      <c r="Q77" s="110">
        <v>15133.349716206876</v>
      </c>
      <c r="R77" s="258">
        <v>33108.237624067144</v>
      </c>
      <c r="S77" s="259">
        <v>37096.628777980266</v>
      </c>
      <c r="U77" s="7" t="s">
        <v>2147</v>
      </c>
    </row>
    <row r="78" spans="1:21" s="65" customFormat="1" ht="16.5" customHeight="1" thickBot="1">
      <c r="A78" s="41" t="s">
        <v>31</v>
      </c>
      <c r="B78" s="42">
        <f t="shared" si="3"/>
        <v>90</v>
      </c>
      <c r="C78" s="42" t="s">
        <v>3</v>
      </c>
      <c r="D78" s="42">
        <f t="shared" si="4"/>
        <v>200</v>
      </c>
      <c r="E78" s="42" t="s">
        <v>3</v>
      </c>
      <c r="F78" s="90">
        <f t="shared" si="5"/>
        <v>1450</v>
      </c>
      <c r="G78" s="42" t="s">
        <v>3</v>
      </c>
      <c r="H78" s="39">
        <v>2</v>
      </c>
      <c r="I78" s="40" t="s">
        <v>40</v>
      </c>
      <c r="J78" s="149">
        <v>90</v>
      </c>
      <c r="K78" s="66">
        <v>200</v>
      </c>
      <c r="L78" s="66">
        <v>1450</v>
      </c>
      <c r="M78" s="150">
        <v>10.972316967815001</v>
      </c>
      <c r="N78" s="78">
        <v>442.2</v>
      </c>
      <c r="O78" s="110">
        <v>18417.230560899119</v>
      </c>
      <c r="P78" s="109">
        <v>22533.602884690343</v>
      </c>
      <c r="Q78" s="110">
        <v>15524.026032420395</v>
      </c>
      <c r="R78" s="258">
        <v>33941.256593319515</v>
      </c>
      <c r="S78" s="259">
        <v>38057.628917110735</v>
      </c>
      <c r="U78" s="7" t="s">
        <v>2148</v>
      </c>
    </row>
    <row r="79" spans="1:21" s="65" customFormat="1" ht="16.5" customHeight="1" thickBot="1">
      <c r="A79" s="41" t="s">
        <v>31</v>
      </c>
      <c r="B79" s="42">
        <f t="shared" si="3"/>
        <v>90</v>
      </c>
      <c r="C79" s="42" t="s">
        <v>3</v>
      </c>
      <c r="D79" s="42">
        <f t="shared" si="4"/>
        <v>200</v>
      </c>
      <c r="E79" s="42" t="s">
        <v>3</v>
      </c>
      <c r="F79" s="90">
        <f t="shared" si="5"/>
        <v>1500</v>
      </c>
      <c r="G79" s="42" t="s">
        <v>3</v>
      </c>
      <c r="H79" s="39">
        <v>2</v>
      </c>
      <c r="I79" s="40" t="s">
        <v>40</v>
      </c>
      <c r="J79" s="149">
        <v>90</v>
      </c>
      <c r="K79" s="66">
        <v>200</v>
      </c>
      <c r="L79" s="66">
        <v>1500</v>
      </c>
      <c r="M79" s="150">
        <v>11.427066160758159</v>
      </c>
      <c r="N79" s="78">
        <v>462.29999999999995</v>
      </c>
      <c r="O79" s="110">
        <v>19447.557321494172</v>
      </c>
      <c r="P79" s="109">
        <v>23610.096740407189</v>
      </c>
      <c r="Q79" s="110">
        <v>16166.036486417688</v>
      </c>
      <c r="R79" s="258">
        <v>35613.593807911864</v>
      </c>
      <c r="S79" s="259">
        <v>39776.133226824881</v>
      </c>
      <c r="U79" s="7" t="s">
        <v>2149</v>
      </c>
    </row>
    <row r="80" spans="1:21" s="65" customFormat="1" ht="16.5" customHeight="1" thickBot="1">
      <c r="A80" s="41" t="s">
        <v>31</v>
      </c>
      <c r="B80" s="42">
        <f t="shared" si="3"/>
        <v>90</v>
      </c>
      <c r="C80" s="42" t="s">
        <v>3</v>
      </c>
      <c r="D80" s="42">
        <f t="shared" si="4"/>
        <v>200</v>
      </c>
      <c r="E80" s="42" t="s">
        <v>3</v>
      </c>
      <c r="F80" s="90">
        <f t="shared" si="5"/>
        <v>1550</v>
      </c>
      <c r="G80" s="42" t="s">
        <v>3</v>
      </c>
      <c r="H80" s="39">
        <v>2</v>
      </c>
      <c r="I80" s="40" t="s">
        <v>40</v>
      </c>
      <c r="J80" s="149">
        <v>90</v>
      </c>
      <c r="K80" s="66">
        <v>200</v>
      </c>
      <c r="L80" s="66">
        <v>1550</v>
      </c>
      <c r="M80" s="150">
        <v>11.772212220901313</v>
      </c>
      <c r="N80" s="78">
        <v>482.4</v>
      </c>
      <c r="O80" s="110">
        <v>19889.899974533018</v>
      </c>
      <c r="P80" s="109">
        <v>24180.420563324144</v>
      </c>
      <c r="Q80" s="110">
        <v>16556.712955659972</v>
      </c>
      <c r="R80" s="258">
        <v>36446.61293019299</v>
      </c>
      <c r="S80" s="259">
        <v>40737.133518984119</v>
      </c>
      <c r="U80" s="7" t="s">
        <v>2150</v>
      </c>
    </row>
    <row r="81" spans="1:21" s="65" customFormat="1" ht="16.5" customHeight="1" thickBot="1">
      <c r="A81" s="38" t="s">
        <v>31</v>
      </c>
      <c r="B81" s="39">
        <f t="shared" si="3"/>
        <v>90</v>
      </c>
      <c r="C81" s="39" t="s">
        <v>3</v>
      </c>
      <c r="D81" s="39">
        <f t="shared" si="4"/>
        <v>200</v>
      </c>
      <c r="E81" s="39" t="s">
        <v>3</v>
      </c>
      <c r="F81" s="90">
        <f t="shared" si="5"/>
        <v>1600</v>
      </c>
      <c r="G81" s="39" t="s">
        <v>3</v>
      </c>
      <c r="H81" s="39">
        <v>2</v>
      </c>
      <c r="I81" s="40" t="s">
        <v>40</v>
      </c>
      <c r="J81" s="149">
        <v>90</v>
      </c>
      <c r="K81" s="66">
        <v>200</v>
      </c>
      <c r="L81" s="66">
        <v>1600</v>
      </c>
      <c r="M81" s="150">
        <v>12.117358281044471</v>
      </c>
      <c r="N81" s="78">
        <v>502.5</v>
      </c>
      <c r="O81" s="110">
        <v>20332.242627571864</v>
      </c>
      <c r="P81" s="109">
        <v>24750.744539269861</v>
      </c>
      <c r="Q81" s="110">
        <v>16947.389271873493</v>
      </c>
      <c r="R81" s="258">
        <v>37279.631899445361</v>
      </c>
      <c r="S81" s="259">
        <v>41698.133811143358</v>
      </c>
      <c r="U81" s="7" t="s">
        <v>2151</v>
      </c>
    </row>
    <row r="82" spans="1:21" s="65" customFormat="1" ht="16.5" customHeight="1" thickBot="1">
      <c r="A82" s="41" t="s">
        <v>31</v>
      </c>
      <c r="B82" s="42">
        <f t="shared" si="3"/>
        <v>90</v>
      </c>
      <c r="C82" s="42" t="s">
        <v>3</v>
      </c>
      <c r="D82" s="42">
        <f t="shared" si="4"/>
        <v>200</v>
      </c>
      <c r="E82" s="42" t="s">
        <v>3</v>
      </c>
      <c r="F82" s="90">
        <f t="shared" si="5"/>
        <v>1650</v>
      </c>
      <c r="G82" s="42" t="s">
        <v>3</v>
      </c>
      <c r="H82" s="39">
        <v>2</v>
      </c>
      <c r="I82" s="40" t="s">
        <v>40</v>
      </c>
      <c r="J82" s="149">
        <v>90</v>
      </c>
      <c r="K82" s="66">
        <v>200</v>
      </c>
      <c r="L82" s="66">
        <v>1650</v>
      </c>
      <c r="M82" s="150">
        <v>12.47954434118763</v>
      </c>
      <c r="N82" s="78">
        <v>522.6</v>
      </c>
      <c r="O82" s="110">
        <v>20774.585127581951</v>
      </c>
      <c r="P82" s="109">
        <v>25321.068515215582</v>
      </c>
      <c r="Q82" s="110">
        <v>17589.399725870782</v>
      </c>
      <c r="R82" s="258">
        <v>38363.984853452734</v>
      </c>
      <c r="S82" s="259">
        <v>42910.468241086361</v>
      </c>
      <c r="U82" s="7" t="s">
        <v>2152</v>
      </c>
    </row>
    <row r="83" spans="1:21" s="65" customFormat="1" ht="16.5" customHeight="1" thickBot="1">
      <c r="A83" s="41" t="s">
        <v>31</v>
      </c>
      <c r="B83" s="42">
        <f t="shared" si="3"/>
        <v>90</v>
      </c>
      <c r="C83" s="42" t="s">
        <v>3</v>
      </c>
      <c r="D83" s="42">
        <f t="shared" si="4"/>
        <v>200</v>
      </c>
      <c r="E83" s="42" t="s">
        <v>3</v>
      </c>
      <c r="F83" s="90">
        <f t="shared" si="5"/>
        <v>1700</v>
      </c>
      <c r="G83" s="42" t="s">
        <v>3</v>
      </c>
      <c r="H83" s="39">
        <v>2</v>
      </c>
      <c r="I83" s="40" t="s">
        <v>40</v>
      </c>
      <c r="J83" s="149">
        <v>90</v>
      </c>
      <c r="K83" s="66">
        <v>200</v>
      </c>
      <c r="L83" s="66">
        <v>1700</v>
      </c>
      <c r="M83" s="150">
        <v>12.824690401330789</v>
      </c>
      <c r="N83" s="78">
        <v>542.69999999999993</v>
      </c>
      <c r="O83" s="110">
        <v>21216.927780620797</v>
      </c>
      <c r="P83" s="109">
        <v>25891.392338132533</v>
      </c>
      <c r="Q83" s="110">
        <v>17980.076042084303</v>
      </c>
      <c r="R83" s="258">
        <v>39197.003822705097</v>
      </c>
      <c r="S83" s="259">
        <v>43871.468380216837</v>
      </c>
      <c r="U83" s="7" t="s">
        <v>2153</v>
      </c>
    </row>
    <row r="84" spans="1:21" s="65" customFormat="1" ht="16.5" customHeight="1" thickBot="1">
      <c r="A84" s="41" t="s">
        <v>31</v>
      </c>
      <c r="B84" s="42">
        <f t="shared" si="3"/>
        <v>90</v>
      </c>
      <c r="C84" s="42" t="s">
        <v>3</v>
      </c>
      <c r="D84" s="42">
        <f t="shared" si="4"/>
        <v>200</v>
      </c>
      <c r="E84" s="42" t="s">
        <v>3</v>
      </c>
      <c r="F84" s="90">
        <f t="shared" si="5"/>
        <v>1750</v>
      </c>
      <c r="G84" s="42" t="s">
        <v>3</v>
      </c>
      <c r="H84" s="39">
        <v>2</v>
      </c>
      <c r="I84" s="40" t="s">
        <v>40</v>
      </c>
      <c r="J84" s="149">
        <v>90</v>
      </c>
      <c r="K84" s="66">
        <v>200</v>
      </c>
      <c r="L84" s="66">
        <v>1750</v>
      </c>
      <c r="M84" s="150">
        <v>13.186876461473947</v>
      </c>
      <c r="N84" s="78">
        <v>562.79999999999995</v>
      </c>
      <c r="O84" s="110">
        <v>21659.270433659643</v>
      </c>
      <c r="P84" s="109">
        <v>26461.716314078247</v>
      </c>
      <c r="Q84" s="110">
        <v>18622.086496081592</v>
      </c>
      <c r="R84" s="258">
        <v>40281.356929741232</v>
      </c>
      <c r="S84" s="259">
        <v>45083.802810159839</v>
      </c>
      <c r="U84" s="7" t="s">
        <v>2154</v>
      </c>
    </row>
    <row r="85" spans="1:21" s="65" customFormat="1" ht="16.5" customHeight="1" thickBot="1">
      <c r="A85" s="41" t="s">
        <v>31</v>
      </c>
      <c r="B85" s="42">
        <f t="shared" si="3"/>
        <v>90</v>
      </c>
      <c r="C85" s="42" t="s">
        <v>3</v>
      </c>
      <c r="D85" s="42">
        <f t="shared" si="4"/>
        <v>200</v>
      </c>
      <c r="E85" s="42" t="s">
        <v>3</v>
      </c>
      <c r="F85" s="90">
        <f t="shared" si="5"/>
        <v>1800</v>
      </c>
      <c r="G85" s="42" t="s">
        <v>3</v>
      </c>
      <c r="H85" s="39">
        <v>2</v>
      </c>
      <c r="I85" s="40" t="s">
        <v>40</v>
      </c>
      <c r="J85" s="149">
        <v>90</v>
      </c>
      <c r="K85" s="66">
        <v>200</v>
      </c>
      <c r="L85" s="66">
        <v>1800</v>
      </c>
      <c r="M85" s="150">
        <v>13.532022521617105</v>
      </c>
      <c r="N85" s="78">
        <v>582.9</v>
      </c>
      <c r="O85" s="110">
        <v>22101.612933669727</v>
      </c>
      <c r="P85" s="109">
        <v>27032.040136995205</v>
      </c>
      <c r="Q85" s="110">
        <v>19012.762965323876</v>
      </c>
      <c r="R85" s="258">
        <v>41114.375898993603</v>
      </c>
      <c r="S85" s="259">
        <v>46044.803102319085</v>
      </c>
      <c r="U85" s="7" t="s">
        <v>2155</v>
      </c>
    </row>
    <row r="86" spans="1:21" s="65" customFormat="1" ht="16.5" customHeight="1" thickBot="1">
      <c r="A86" s="41" t="s">
        <v>31</v>
      </c>
      <c r="B86" s="42">
        <f t="shared" si="3"/>
        <v>90</v>
      </c>
      <c r="C86" s="42" t="s">
        <v>3</v>
      </c>
      <c r="D86" s="42">
        <f t="shared" si="4"/>
        <v>200</v>
      </c>
      <c r="E86" s="42" t="s">
        <v>3</v>
      </c>
      <c r="F86" s="90">
        <f t="shared" si="5"/>
        <v>1850</v>
      </c>
      <c r="G86" s="42" t="s">
        <v>3</v>
      </c>
      <c r="H86" s="39">
        <v>2</v>
      </c>
      <c r="I86" s="40" t="s">
        <v>40</v>
      </c>
      <c r="J86" s="149">
        <v>90</v>
      </c>
      <c r="K86" s="66">
        <v>200</v>
      </c>
      <c r="L86" s="66">
        <v>1850</v>
      </c>
      <c r="M86" s="150">
        <v>13.894208581760264</v>
      </c>
      <c r="N86" s="78">
        <v>603</v>
      </c>
      <c r="O86" s="110">
        <v>22543.955586708576</v>
      </c>
      <c r="P86" s="109">
        <v>27602.364112940922</v>
      </c>
      <c r="Q86" s="110">
        <v>19654.773419321165</v>
      </c>
      <c r="R86" s="258">
        <v>42198.729006029738</v>
      </c>
      <c r="S86" s="259">
        <v>47257.137532262088</v>
      </c>
      <c r="U86" s="7" t="s">
        <v>2156</v>
      </c>
    </row>
    <row r="87" spans="1:21" s="65" customFormat="1" ht="16.5" customHeight="1" thickBot="1">
      <c r="A87" s="41" t="s">
        <v>31</v>
      </c>
      <c r="B87" s="42">
        <f t="shared" si="3"/>
        <v>90</v>
      </c>
      <c r="C87" s="42" t="s">
        <v>3</v>
      </c>
      <c r="D87" s="42">
        <f t="shared" si="4"/>
        <v>200</v>
      </c>
      <c r="E87" s="42" t="s">
        <v>3</v>
      </c>
      <c r="F87" s="90">
        <f t="shared" si="5"/>
        <v>1900</v>
      </c>
      <c r="G87" s="42" t="s">
        <v>3</v>
      </c>
      <c r="H87" s="39">
        <v>2</v>
      </c>
      <c r="I87" s="40" t="s">
        <v>40</v>
      </c>
      <c r="J87" s="149">
        <v>90</v>
      </c>
      <c r="K87" s="66">
        <v>200</v>
      </c>
      <c r="L87" s="66">
        <v>1900</v>
      </c>
      <c r="M87" s="150">
        <v>14.239354641903418</v>
      </c>
      <c r="N87" s="78">
        <v>623.1</v>
      </c>
      <c r="O87" s="110">
        <v>22986.298239747422</v>
      </c>
      <c r="P87" s="109">
        <v>28172.68808888664</v>
      </c>
      <c r="Q87" s="110">
        <v>20045.449735534687</v>
      </c>
      <c r="R87" s="258">
        <v>43031.747975282109</v>
      </c>
      <c r="S87" s="259">
        <v>48218.137824421327</v>
      </c>
      <c r="U87" s="7" t="s">
        <v>2157</v>
      </c>
    </row>
    <row r="88" spans="1:21" s="65" customFormat="1" ht="16.5" customHeight="1" thickBot="1">
      <c r="A88" s="41" t="s">
        <v>31</v>
      </c>
      <c r="B88" s="42">
        <f t="shared" si="3"/>
        <v>90</v>
      </c>
      <c r="C88" s="42" t="s">
        <v>3</v>
      </c>
      <c r="D88" s="42">
        <f t="shared" si="4"/>
        <v>200</v>
      </c>
      <c r="E88" s="42" t="s">
        <v>3</v>
      </c>
      <c r="F88" s="90">
        <f t="shared" si="5"/>
        <v>1950</v>
      </c>
      <c r="G88" s="42" t="s">
        <v>3</v>
      </c>
      <c r="H88" s="39">
        <v>2</v>
      </c>
      <c r="I88" s="40" t="s">
        <v>40</v>
      </c>
      <c r="J88" s="149">
        <v>90</v>
      </c>
      <c r="K88" s="66">
        <v>200</v>
      </c>
      <c r="L88" s="66">
        <v>1950</v>
      </c>
      <c r="M88" s="150">
        <v>14.623750702046578</v>
      </c>
      <c r="N88" s="78">
        <v>643.19999999999993</v>
      </c>
      <c r="O88" s="110">
        <v>23478.641052416919</v>
      </c>
      <c r="P88" s="109">
        <v>28793.317516849431</v>
      </c>
      <c r="Q88" s="110">
        <v>20436.126051748208</v>
      </c>
      <c r="R88" s="258">
        <v>43914.767104165127</v>
      </c>
      <c r="S88" s="259">
        <v>49229.443568597635</v>
      </c>
      <c r="U88" s="7" t="s">
        <v>2158</v>
      </c>
    </row>
    <row r="89" spans="1:21" s="65" customFormat="1" ht="16.5" customHeight="1" thickBot="1">
      <c r="A89" s="41" t="s">
        <v>31</v>
      </c>
      <c r="B89" s="42">
        <f t="shared" si="3"/>
        <v>90</v>
      </c>
      <c r="C89" s="42" t="s">
        <v>3</v>
      </c>
      <c r="D89" s="42">
        <f t="shared" si="4"/>
        <v>200</v>
      </c>
      <c r="E89" s="42" t="s">
        <v>3</v>
      </c>
      <c r="F89" s="90">
        <f t="shared" si="5"/>
        <v>2000</v>
      </c>
      <c r="G89" s="42" t="s">
        <v>3</v>
      </c>
      <c r="H89" s="39">
        <v>2</v>
      </c>
      <c r="I89" s="40" t="s">
        <v>40</v>
      </c>
      <c r="J89" s="149">
        <v>90</v>
      </c>
      <c r="K89" s="66">
        <v>200</v>
      </c>
      <c r="L89" s="66">
        <v>2000</v>
      </c>
      <c r="M89" s="150">
        <v>15.077499162189739</v>
      </c>
      <c r="N89" s="78">
        <v>663.3</v>
      </c>
      <c r="O89" s="110">
        <v>24172.275454271599</v>
      </c>
      <c r="P89" s="109">
        <v>29704.463332762425</v>
      </c>
      <c r="Q89" s="110">
        <v>21078.136658774263</v>
      </c>
      <c r="R89" s="258">
        <v>45250.412113045866</v>
      </c>
      <c r="S89" s="259">
        <v>50782.599991536685</v>
      </c>
      <c r="U89" s="7" t="s">
        <v>2159</v>
      </c>
    </row>
    <row r="90" spans="1:21" s="65" customFormat="1" ht="16.5" customHeight="1" thickBot="1">
      <c r="A90" s="41" t="s">
        <v>31</v>
      </c>
      <c r="B90" s="42">
        <f t="shared" si="3"/>
        <v>90</v>
      </c>
      <c r="C90" s="42" t="s">
        <v>3</v>
      </c>
      <c r="D90" s="42">
        <f t="shared" si="4"/>
        <v>200</v>
      </c>
      <c r="E90" s="42" t="s">
        <v>3</v>
      </c>
      <c r="F90" s="90">
        <f t="shared" si="5"/>
        <v>2050</v>
      </c>
      <c r="G90" s="42" t="s">
        <v>3</v>
      </c>
      <c r="H90" s="39">
        <v>2</v>
      </c>
      <c r="I90" s="40" t="s">
        <v>40</v>
      </c>
      <c r="J90" s="149">
        <v>90</v>
      </c>
      <c r="K90" s="66">
        <v>200</v>
      </c>
      <c r="L90" s="66">
        <v>2050</v>
      </c>
      <c r="M90" s="150">
        <v>15.422645222332896</v>
      </c>
      <c r="N90" s="78">
        <v>683.4</v>
      </c>
      <c r="O90" s="110">
        <v>24614.618107310449</v>
      </c>
      <c r="P90" s="109">
        <v>30274.787308708143</v>
      </c>
      <c r="Q90" s="110">
        <v>21468.812974987781</v>
      </c>
      <c r="R90" s="258">
        <v>46083.43108229823</v>
      </c>
      <c r="S90" s="259">
        <v>51743.600283695923</v>
      </c>
      <c r="U90" s="7" t="s">
        <v>2160</v>
      </c>
    </row>
    <row r="91" spans="1:21" s="65" customFormat="1" ht="16.5" customHeight="1" thickBot="1">
      <c r="A91" s="38" t="s">
        <v>31</v>
      </c>
      <c r="B91" s="39">
        <f t="shared" si="3"/>
        <v>90</v>
      </c>
      <c r="C91" s="39" t="s">
        <v>3</v>
      </c>
      <c r="D91" s="39">
        <f t="shared" si="4"/>
        <v>200</v>
      </c>
      <c r="E91" s="39" t="s">
        <v>3</v>
      </c>
      <c r="F91" s="90">
        <f t="shared" si="5"/>
        <v>2100</v>
      </c>
      <c r="G91" s="39" t="s">
        <v>3</v>
      </c>
      <c r="H91" s="39">
        <v>2</v>
      </c>
      <c r="I91" s="40" t="s">
        <v>40</v>
      </c>
      <c r="J91" s="149">
        <v>90</v>
      </c>
      <c r="K91" s="66">
        <v>200</v>
      </c>
      <c r="L91" s="66">
        <v>2100</v>
      </c>
      <c r="M91" s="150">
        <v>15.784831282476052</v>
      </c>
      <c r="N91" s="78">
        <v>703.5</v>
      </c>
      <c r="O91" s="110">
        <v>25056.960760349295</v>
      </c>
      <c r="P91" s="109">
        <v>30845.11128465386</v>
      </c>
      <c r="Q91" s="110">
        <v>22110.823428985073</v>
      </c>
      <c r="R91" s="258">
        <v>47167.784189334372</v>
      </c>
      <c r="S91" s="259">
        <v>52955.934713638933</v>
      </c>
      <c r="U91" s="7" t="s">
        <v>2161</v>
      </c>
    </row>
    <row r="92" spans="1:21" s="65" customFormat="1" ht="16.5" customHeight="1" thickBot="1">
      <c r="A92" s="41" t="s">
        <v>31</v>
      </c>
      <c r="B92" s="42">
        <f t="shared" si="3"/>
        <v>90</v>
      </c>
      <c r="C92" s="42" t="s">
        <v>3</v>
      </c>
      <c r="D92" s="42">
        <f t="shared" si="4"/>
        <v>200</v>
      </c>
      <c r="E92" s="42" t="s">
        <v>3</v>
      </c>
      <c r="F92" s="90">
        <f t="shared" si="5"/>
        <v>2150</v>
      </c>
      <c r="G92" s="42" t="s">
        <v>3</v>
      </c>
      <c r="H92" s="39">
        <v>2</v>
      </c>
      <c r="I92" s="40" t="s">
        <v>40</v>
      </c>
      <c r="J92" s="149">
        <v>90</v>
      </c>
      <c r="K92" s="66">
        <v>200</v>
      </c>
      <c r="L92" s="66">
        <v>2150</v>
      </c>
      <c r="M92" s="150">
        <v>16.12997734261921</v>
      </c>
      <c r="N92" s="78">
        <v>723.6</v>
      </c>
      <c r="O92" s="110">
        <v>25499.303260359378</v>
      </c>
      <c r="P92" s="109">
        <v>31415.435107570815</v>
      </c>
      <c r="Q92" s="110">
        <v>22501.499745198591</v>
      </c>
      <c r="R92" s="258">
        <v>48000.803005557973</v>
      </c>
      <c r="S92" s="259">
        <v>53916.934852769409</v>
      </c>
      <c r="U92" s="7" t="s">
        <v>2162</v>
      </c>
    </row>
    <row r="93" spans="1:21" s="65" customFormat="1" ht="16.5" customHeight="1" thickBot="1">
      <c r="A93" s="41" t="s">
        <v>31</v>
      </c>
      <c r="B93" s="42">
        <f t="shared" si="3"/>
        <v>90</v>
      </c>
      <c r="C93" s="42" t="s">
        <v>3</v>
      </c>
      <c r="D93" s="42">
        <f t="shared" si="4"/>
        <v>200</v>
      </c>
      <c r="E93" s="42" t="s">
        <v>3</v>
      </c>
      <c r="F93" s="90">
        <f t="shared" si="5"/>
        <v>2200</v>
      </c>
      <c r="G93" s="42" t="s">
        <v>3</v>
      </c>
      <c r="H93" s="39">
        <v>2</v>
      </c>
      <c r="I93" s="40" t="s">
        <v>40</v>
      </c>
      <c r="J93" s="149">
        <v>90</v>
      </c>
      <c r="K93" s="66">
        <v>200</v>
      </c>
      <c r="L93" s="66">
        <v>2200</v>
      </c>
      <c r="M93" s="150">
        <v>16.492163402762369</v>
      </c>
      <c r="N93" s="78">
        <v>743.69999999999993</v>
      </c>
      <c r="O93" s="110">
        <v>25941.645913398224</v>
      </c>
      <c r="P93" s="109">
        <v>31985.759083516532</v>
      </c>
      <c r="Q93" s="110">
        <v>23143.510199195884</v>
      </c>
      <c r="R93" s="258">
        <v>49085.156112594108</v>
      </c>
      <c r="S93" s="259">
        <v>55129.269282712412</v>
      </c>
      <c r="U93" s="7" t="s">
        <v>2163</v>
      </c>
    </row>
    <row r="94" spans="1:21" s="65" customFormat="1" ht="16.5" customHeight="1" thickBot="1">
      <c r="A94" s="41" t="s">
        <v>31</v>
      </c>
      <c r="B94" s="42">
        <f t="shared" si="3"/>
        <v>90</v>
      </c>
      <c r="C94" s="42" t="s">
        <v>3</v>
      </c>
      <c r="D94" s="42">
        <f t="shared" si="4"/>
        <v>200</v>
      </c>
      <c r="E94" s="42" t="s">
        <v>3</v>
      </c>
      <c r="F94" s="90">
        <f t="shared" si="5"/>
        <v>2250</v>
      </c>
      <c r="G94" s="42" t="s">
        <v>3</v>
      </c>
      <c r="H94" s="39">
        <v>2</v>
      </c>
      <c r="I94" s="40" t="s">
        <v>40</v>
      </c>
      <c r="J94" s="149">
        <v>90</v>
      </c>
      <c r="K94" s="66">
        <v>200</v>
      </c>
      <c r="L94" s="66">
        <v>2250</v>
      </c>
      <c r="M94" s="150">
        <v>16.837309462905523</v>
      </c>
      <c r="N94" s="78">
        <v>763.8</v>
      </c>
      <c r="O94" s="110">
        <v>26383.988566437078</v>
      </c>
      <c r="P94" s="109">
        <v>32556.082906433483</v>
      </c>
      <c r="Q94" s="110">
        <v>23534.186668438168</v>
      </c>
      <c r="R94" s="258">
        <v>49918.175234875249</v>
      </c>
      <c r="S94" s="259">
        <v>56090.269574871651</v>
      </c>
      <c r="U94" s="7" t="s">
        <v>2164</v>
      </c>
    </row>
    <row r="95" spans="1:21" s="65" customFormat="1" ht="16.5" customHeight="1" thickBot="1">
      <c r="A95" s="41" t="s">
        <v>31</v>
      </c>
      <c r="B95" s="42">
        <f t="shared" si="3"/>
        <v>90</v>
      </c>
      <c r="C95" s="42" t="s">
        <v>3</v>
      </c>
      <c r="D95" s="42">
        <f t="shared" si="4"/>
        <v>200</v>
      </c>
      <c r="E95" s="42" t="s">
        <v>3</v>
      </c>
      <c r="F95" s="90">
        <f t="shared" si="5"/>
        <v>2300</v>
      </c>
      <c r="G95" s="42" t="s">
        <v>3</v>
      </c>
      <c r="H95" s="39">
        <v>2</v>
      </c>
      <c r="I95" s="40" t="s">
        <v>40</v>
      </c>
      <c r="J95" s="149">
        <v>90</v>
      </c>
      <c r="K95" s="66">
        <v>200</v>
      </c>
      <c r="L95" s="66">
        <v>2300</v>
      </c>
      <c r="M95" s="150">
        <v>17.182455523048681</v>
      </c>
      <c r="N95" s="78">
        <v>783.9</v>
      </c>
      <c r="O95" s="110">
        <v>26826.331066447157</v>
      </c>
      <c r="P95" s="109">
        <v>33126.406882379204</v>
      </c>
      <c r="Q95" s="110">
        <v>23924.862984651689</v>
      </c>
      <c r="R95" s="258">
        <v>50751.19405109885</v>
      </c>
      <c r="S95" s="259">
        <v>57051.269867030889</v>
      </c>
      <c r="U95" s="7" t="s">
        <v>2165</v>
      </c>
    </row>
    <row r="96" spans="1:21" s="65" customFormat="1" ht="16.5" customHeight="1" thickBot="1">
      <c r="A96" s="41" t="s">
        <v>31</v>
      </c>
      <c r="B96" s="42">
        <f t="shared" si="3"/>
        <v>90</v>
      </c>
      <c r="C96" s="42" t="s">
        <v>3</v>
      </c>
      <c r="D96" s="42">
        <f t="shared" si="4"/>
        <v>200</v>
      </c>
      <c r="E96" s="42" t="s">
        <v>3</v>
      </c>
      <c r="F96" s="90">
        <f t="shared" si="5"/>
        <v>2350</v>
      </c>
      <c r="G96" s="42" t="s">
        <v>3</v>
      </c>
      <c r="H96" s="39">
        <v>2</v>
      </c>
      <c r="I96" s="40" t="s">
        <v>40</v>
      </c>
      <c r="J96" s="149">
        <v>90</v>
      </c>
      <c r="K96" s="66">
        <v>200</v>
      </c>
      <c r="L96" s="66">
        <v>2350</v>
      </c>
      <c r="M96" s="150">
        <v>17.54464158319184</v>
      </c>
      <c r="N96" s="78">
        <v>804</v>
      </c>
      <c r="O96" s="110">
        <v>27268.673719486003</v>
      </c>
      <c r="P96" s="109">
        <v>33696.730858324925</v>
      </c>
      <c r="Q96" s="110">
        <v>24566.873438648978</v>
      </c>
      <c r="R96" s="258">
        <v>51835.547158134985</v>
      </c>
      <c r="S96" s="259">
        <v>58263.604296973906</v>
      </c>
      <c r="U96" s="7" t="s">
        <v>2166</v>
      </c>
    </row>
    <row r="97" spans="1:21" s="65" customFormat="1" ht="16.5" customHeight="1" thickBot="1">
      <c r="A97" s="41" t="s">
        <v>31</v>
      </c>
      <c r="B97" s="42">
        <f t="shared" si="3"/>
        <v>90</v>
      </c>
      <c r="C97" s="42" t="s">
        <v>3</v>
      </c>
      <c r="D97" s="42">
        <f t="shared" si="4"/>
        <v>200</v>
      </c>
      <c r="E97" s="42" t="s">
        <v>3</v>
      </c>
      <c r="F97" s="90">
        <f t="shared" si="5"/>
        <v>2400</v>
      </c>
      <c r="G97" s="42" t="s">
        <v>3</v>
      </c>
      <c r="H97" s="39">
        <v>2</v>
      </c>
      <c r="I97" s="40" t="s">
        <v>40</v>
      </c>
      <c r="J97" s="149">
        <v>90</v>
      </c>
      <c r="K97" s="66">
        <v>200</v>
      </c>
      <c r="L97" s="66">
        <v>2400</v>
      </c>
      <c r="M97" s="150">
        <v>17.889787643334998</v>
      </c>
      <c r="N97" s="78">
        <v>824.1</v>
      </c>
      <c r="O97" s="110">
        <v>27711.016372524857</v>
      </c>
      <c r="P97" s="109">
        <v>34267.054681241876</v>
      </c>
      <c r="Q97" s="110">
        <v>24957.549754862499</v>
      </c>
      <c r="R97" s="258">
        <v>52668.566127387356</v>
      </c>
      <c r="S97" s="259">
        <v>59224.604436104375</v>
      </c>
      <c r="U97" s="7" t="s">
        <v>2167</v>
      </c>
    </row>
    <row r="98" spans="1:21" s="65" customFormat="1" ht="16.5" customHeight="1" thickBot="1">
      <c r="A98" s="41" t="s">
        <v>31</v>
      </c>
      <c r="B98" s="42">
        <f t="shared" si="3"/>
        <v>90</v>
      </c>
      <c r="C98" s="42" t="s">
        <v>3</v>
      </c>
      <c r="D98" s="42">
        <f t="shared" si="4"/>
        <v>200</v>
      </c>
      <c r="E98" s="42" t="s">
        <v>3</v>
      </c>
      <c r="F98" s="90">
        <f t="shared" si="5"/>
        <v>2450</v>
      </c>
      <c r="G98" s="42" t="s">
        <v>3</v>
      </c>
      <c r="H98" s="39">
        <v>2</v>
      </c>
      <c r="I98" s="40" t="s">
        <v>40</v>
      </c>
      <c r="J98" s="149">
        <v>90</v>
      </c>
      <c r="K98" s="66">
        <v>200</v>
      </c>
      <c r="L98" s="66">
        <v>2450</v>
      </c>
      <c r="M98" s="150">
        <v>18.344536836278159</v>
      </c>
      <c r="N98" s="78">
        <v>844.19999999999993</v>
      </c>
      <c r="O98" s="110">
        <v>28741.34313311991</v>
      </c>
      <c r="P98" s="109">
        <v>35343.548536958719</v>
      </c>
      <c r="Q98" s="110">
        <v>25599.560361888554</v>
      </c>
      <c r="R98" s="258">
        <v>54340.903495008461</v>
      </c>
      <c r="S98" s="259">
        <v>60943.108898847277</v>
      </c>
      <c r="U98" s="7" t="s">
        <v>2168</v>
      </c>
    </row>
    <row r="99" spans="1:21" s="65" customFormat="1" ht="16.5" customHeight="1" thickBot="1">
      <c r="A99" s="41" t="s">
        <v>31</v>
      </c>
      <c r="B99" s="42">
        <f t="shared" si="3"/>
        <v>90</v>
      </c>
      <c r="C99" s="42" t="s">
        <v>3</v>
      </c>
      <c r="D99" s="42">
        <f t="shared" si="4"/>
        <v>200</v>
      </c>
      <c r="E99" s="42" t="s">
        <v>3</v>
      </c>
      <c r="F99" s="90">
        <f t="shared" si="5"/>
        <v>2500</v>
      </c>
      <c r="G99" s="42" t="s">
        <v>3</v>
      </c>
      <c r="H99" s="39">
        <v>2</v>
      </c>
      <c r="I99" s="40" t="s">
        <v>40</v>
      </c>
      <c r="J99" s="149">
        <v>90</v>
      </c>
      <c r="K99" s="66">
        <v>200</v>
      </c>
      <c r="L99" s="66">
        <v>2500</v>
      </c>
      <c r="M99" s="150">
        <v>18.689682896421314</v>
      </c>
      <c r="N99" s="78">
        <v>864.3</v>
      </c>
      <c r="O99" s="110">
        <v>29183.685786158756</v>
      </c>
      <c r="P99" s="109">
        <v>35913.872359875677</v>
      </c>
      <c r="Q99" s="110">
        <v>25990.236678102072</v>
      </c>
      <c r="R99" s="258">
        <v>55173.922464260831</v>
      </c>
      <c r="S99" s="259">
        <v>61904.109037977745</v>
      </c>
      <c r="U99" s="7" t="s">
        <v>2169</v>
      </c>
    </row>
    <row r="100" spans="1:21" s="65" customFormat="1" ht="16.5" customHeight="1" thickBot="1">
      <c r="A100" s="41" t="s">
        <v>31</v>
      </c>
      <c r="B100" s="42">
        <f t="shared" si="3"/>
        <v>90</v>
      </c>
      <c r="C100" s="42" t="s">
        <v>3</v>
      </c>
      <c r="D100" s="42">
        <f t="shared" si="4"/>
        <v>200</v>
      </c>
      <c r="E100" s="42" t="s">
        <v>3</v>
      </c>
      <c r="F100" s="90">
        <f t="shared" si="5"/>
        <v>2550</v>
      </c>
      <c r="G100" s="42" t="s">
        <v>3</v>
      </c>
      <c r="H100" s="39">
        <v>2</v>
      </c>
      <c r="I100" s="40" t="s">
        <v>40</v>
      </c>
      <c r="J100" s="149">
        <v>90</v>
      </c>
      <c r="K100" s="66">
        <v>200</v>
      </c>
      <c r="L100" s="66">
        <v>2550</v>
      </c>
      <c r="M100" s="150">
        <v>19.051868956564473</v>
      </c>
      <c r="N100" s="78">
        <v>884.4</v>
      </c>
      <c r="O100" s="110">
        <v>29626.028439197602</v>
      </c>
      <c r="P100" s="109">
        <v>36484.196335821398</v>
      </c>
      <c r="Q100" s="110">
        <v>26632.247132099365</v>
      </c>
      <c r="R100" s="258">
        <v>56258.275571296967</v>
      </c>
      <c r="S100" s="259">
        <v>63116.443467920762</v>
      </c>
      <c r="U100" s="7" t="s">
        <v>2170</v>
      </c>
    </row>
    <row r="101" spans="1:21" s="65" customFormat="1" ht="16.5" customHeight="1" thickBot="1">
      <c r="A101" s="38" t="s">
        <v>31</v>
      </c>
      <c r="B101" s="39">
        <f t="shared" si="3"/>
        <v>90</v>
      </c>
      <c r="C101" s="39" t="s">
        <v>3</v>
      </c>
      <c r="D101" s="39">
        <f t="shared" si="4"/>
        <v>200</v>
      </c>
      <c r="E101" s="39" t="s">
        <v>3</v>
      </c>
      <c r="F101" s="90">
        <f t="shared" si="5"/>
        <v>2600</v>
      </c>
      <c r="G101" s="39" t="s">
        <v>3</v>
      </c>
      <c r="H101" s="39">
        <v>2</v>
      </c>
      <c r="I101" s="40" t="s">
        <v>40</v>
      </c>
      <c r="J101" s="149">
        <v>90</v>
      </c>
      <c r="K101" s="66">
        <v>200</v>
      </c>
      <c r="L101" s="66">
        <v>2600</v>
      </c>
      <c r="M101" s="150">
        <v>19.397015016707634</v>
      </c>
      <c r="N101" s="78">
        <v>904.5</v>
      </c>
      <c r="O101" s="110">
        <v>30068.370939207685</v>
      </c>
      <c r="P101" s="109">
        <v>37054.520311767112</v>
      </c>
      <c r="Q101" s="110">
        <v>27022.923448312882</v>
      </c>
      <c r="R101" s="258">
        <v>57091.294387520567</v>
      </c>
      <c r="S101" s="259">
        <v>64077.443760079994</v>
      </c>
      <c r="U101" s="7" t="s">
        <v>2171</v>
      </c>
    </row>
    <row r="102" spans="1:21" s="65" customFormat="1" ht="16.5" customHeight="1" thickBot="1">
      <c r="A102" s="41" t="s">
        <v>31</v>
      </c>
      <c r="B102" s="42">
        <f t="shared" si="3"/>
        <v>90</v>
      </c>
      <c r="C102" s="42" t="s">
        <v>3</v>
      </c>
      <c r="D102" s="42">
        <f t="shared" si="4"/>
        <v>200</v>
      </c>
      <c r="E102" s="42" t="s">
        <v>3</v>
      </c>
      <c r="F102" s="90">
        <f t="shared" si="5"/>
        <v>2650</v>
      </c>
      <c r="G102" s="42" t="s">
        <v>3</v>
      </c>
      <c r="H102" s="39">
        <v>2</v>
      </c>
      <c r="I102" s="40" t="s">
        <v>40</v>
      </c>
      <c r="J102" s="149">
        <v>90</v>
      </c>
      <c r="K102" s="66">
        <v>200</v>
      </c>
      <c r="L102" s="66">
        <v>2650</v>
      </c>
      <c r="M102" s="150">
        <v>19.75920107685079</v>
      </c>
      <c r="N102" s="78">
        <v>924.59999999999991</v>
      </c>
      <c r="O102" s="110">
        <v>30510.713592246535</v>
      </c>
      <c r="P102" s="109">
        <v>37624.84413468407</v>
      </c>
      <c r="Q102" s="110">
        <v>27664.933902310175</v>
      </c>
      <c r="R102" s="258">
        <v>58175.64749455671</v>
      </c>
      <c r="S102" s="259">
        <v>65289.778036994248</v>
      </c>
      <c r="U102" s="7" t="s">
        <v>2172</v>
      </c>
    </row>
    <row r="103" spans="1:21" s="65" customFormat="1" ht="16.5" customHeight="1" thickBot="1">
      <c r="A103" s="41" t="s">
        <v>31</v>
      </c>
      <c r="B103" s="42">
        <f t="shared" si="3"/>
        <v>90</v>
      </c>
      <c r="C103" s="42" t="s">
        <v>3</v>
      </c>
      <c r="D103" s="42">
        <f t="shared" si="4"/>
        <v>200</v>
      </c>
      <c r="E103" s="42" t="s">
        <v>3</v>
      </c>
      <c r="F103" s="90">
        <f t="shared" si="5"/>
        <v>2700</v>
      </c>
      <c r="G103" s="42" t="s">
        <v>3</v>
      </c>
      <c r="H103" s="39">
        <v>2</v>
      </c>
      <c r="I103" s="40" t="s">
        <v>40</v>
      </c>
      <c r="J103" s="149">
        <v>90</v>
      </c>
      <c r="K103" s="66">
        <v>200</v>
      </c>
      <c r="L103" s="66">
        <v>2700</v>
      </c>
      <c r="M103" s="150">
        <v>20.143597136993947</v>
      </c>
      <c r="N103" s="78">
        <v>944.69999999999993</v>
      </c>
      <c r="O103" s="110">
        <v>31003.056404916028</v>
      </c>
      <c r="P103" s="109">
        <v>38245.473562646854</v>
      </c>
      <c r="Q103" s="110">
        <v>28055.610371552459</v>
      </c>
      <c r="R103" s="258">
        <v>59058.666776468483</v>
      </c>
      <c r="S103" s="259">
        <v>66301.083934199312</v>
      </c>
      <c r="U103" s="7" t="s">
        <v>2173</v>
      </c>
    </row>
    <row r="104" spans="1:21" s="65" customFormat="1" ht="16.5" customHeight="1" thickBot="1">
      <c r="A104" s="41" t="s">
        <v>31</v>
      </c>
      <c r="B104" s="42">
        <f t="shared" si="3"/>
        <v>90</v>
      </c>
      <c r="C104" s="42" t="s">
        <v>3</v>
      </c>
      <c r="D104" s="42">
        <f t="shared" si="4"/>
        <v>200</v>
      </c>
      <c r="E104" s="42" t="s">
        <v>3</v>
      </c>
      <c r="F104" s="90">
        <f t="shared" si="5"/>
        <v>2750</v>
      </c>
      <c r="G104" s="42" t="s">
        <v>3</v>
      </c>
      <c r="H104" s="39">
        <v>2</v>
      </c>
      <c r="I104" s="40" t="s">
        <v>40</v>
      </c>
      <c r="J104" s="149">
        <v>90</v>
      </c>
      <c r="K104" s="66">
        <v>200</v>
      </c>
      <c r="L104" s="66">
        <v>2750</v>
      </c>
      <c r="M104" s="150">
        <v>20.488743197137104</v>
      </c>
      <c r="N104" s="78">
        <v>964.8</v>
      </c>
      <c r="O104" s="110">
        <v>31445.399057954877</v>
      </c>
      <c r="P104" s="109">
        <v>38815.797538592575</v>
      </c>
      <c r="Q104" s="110">
        <v>28446.286687765976</v>
      </c>
      <c r="R104" s="258">
        <v>59891.685745720853</v>
      </c>
      <c r="S104" s="259">
        <v>67262.084226358551</v>
      </c>
      <c r="U104" s="7" t="s">
        <v>2174</v>
      </c>
    </row>
    <row r="105" spans="1:21" s="65" customFormat="1" ht="16.5" customHeight="1" thickBot="1">
      <c r="A105" s="41" t="s">
        <v>31</v>
      </c>
      <c r="B105" s="42">
        <f t="shared" si="3"/>
        <v>90</v>
      </c>
      <c r="C105" s="42" t="s">
        <v>3</v>
      </c>
      <c r="D105" s="42">
        <f t="shared" si="4"/>
        <v>200</v>
      </c>
      <c r="E105" s="42" t="s">
        <v>3</v>
      </c>
      <c r="F105" s="90">
        <f t="shared" si="5"/>
        <v>2800</v>
      </c>
      <c r="G105" s="42" t="s">
        <v>3</v>
      </c>
      <c r="H105" s="39">
        <v>2</v>
      </c>
      <c r="I105" s="40" t="s">
        <v>40</v>
      </c>
      <c r="J105" s="149">
        <v>90</v>
      </c>
      <c r="K105" s="66">
        <v>200</v>
      </c>
      <c r="L105" s="66">
        <v>2800</v>
      </c>
      <c r="M105" s="150">
        <v>20.850929257280264</v>
      </c>
      <c r="N105" s="78">
        <v>984.9</v>
      </c>
      <c r="O105" s="110">
        <v>31887.741557964961</v>
      </c>
      <c r="P105" s="109">
        <v>39386.121361509526</v>
      </c>
      <c r="Q105" s="110">
        <v>29088.297141763269</v>
      </c>
      <c r="R105" s="258">
        <v>60976.038699728233</v>
      </c>
      <c r="S105" s="259">
        <v>68474.418503272798</v>
      </c>
      <c r="U105" s="7" t="s">
        <v>2175</v>
      </c>
    </row>
    <row r="106" spans="1:21" s="65" customFormat="1" ht="16.5" customHeight="1" thickBot="1">
      <c r="A106" s="41" t="s">
        <v>31</v>
      </c>
      <c r="B106" s="42">
        <f t="shared" si="3"/>
        <v>90</v>
      </c>
      <c r="C106" s="42" t="s">
        <v>3</v>
      </c>
      <c r="D106" s="42">
        <f t="shared" si="4"/>
        <v>200</v>
      </c>
      <c r="E106" s="42" t="s">
        <v>3</v>
      </c>
      <c r="F106" s="90">
        <f t="shared" si="5"/>
        <v>2850</v>
      </c>
      <c r="G106" s="42" t="s">
        <v>3</v>
      </c>
      <c r="H106" s="39">
        <v>2</v>
      </c>
      <c r="I106" s="40" t="s">
        <v>40</v>
      </c>
      <c r="J106" s="149">
        <v>90</v>
      </c>
      <c r="K106" s="66">
        <v>200</v>
      </c>
      <c r="L106" s="66">
        <v>2850</v>
      </c>
      <c r="M106" s="150">
        <v>21.196075317423421</v>
      </c>
      <c r="N106" s="78">
        <v>1005</v>
      </c>
      <c r="O106" s="110">
        <v>32330.08421100381</v>
      </c>
      <c r="P106" s="109">
        <v>39956.445337455247</v>
      </c>
      <c r="Q106" s="110">
        <v>29478.973457976786</v>
      </c>
      <c r="R106" s="258">
        <v>61809.057668980597</v>
      </c>
      <c r="S106" s="259">
        <v>69435.418795432037</v>
      </c>
      <c r="U106" s="7" t="s">
        <v>2176</v>
      </c>
    </row>
    <row r="107" spans="1:21" s="65" customFormat="1" ht="16.5" customHeight="1" thickBot="1">
      <c r="A107" s="41" t="s">
        <v>31</v>
      </c>
      <c r="B107" s="42">
        <f t="shared" si="3"/>
        <v>90</v>
      </c>
      <c r="C107" s="42" t="s">
        <v>3</v>
      </c>
      <c r="D107" s="42">
        <f t="shared" si="4"/>
        <v>200</v>
      </c>
      <c r="E107" s="42" t="s">
        <v>3</v>
      </c>
      <c r="F107" s="90">
        <f t="shared" si="5"/>
        <v>2900</v>
      </c>
      <c r="G107" s="42" t="s">
        <v>3</v>
      </c>
      <c r="H107" s="39">
        <v>2</v>
      </c>
      <c r="I107" s="40" t="s">
        <v>40</v>
      </c>
      <c r="J107" s="149">
        <v>90</v>
      </c>
      <c r="K107" s="66">
        <v>200</v>
      </c>
      <c r="L107" s="66">
        <v>2900</v>
      </c>
      <c r="M107" s="150">
        <v>21.558261377566573</v>
      </c>
      <c r="N107" s="78">
        <v>1025.0999999999999</v>
      </c>
      <c r="O107" s="110">
        <v>32772.426864042653</v>
      </c>
      <c r="P107" s="109">
        <v>40526.769160372198</v>
      </c>
      <c r="Q107" s="110">
        <v>30120.983911974079</v>
      </c>
      <c r="R107" s="258">
        <v>62893.410776016732</v>
      </c>
      <c r="S107" s="259">
        <v>70647.75307234627</v>
      </c>
      <c r="U107" s="7" t="s">
        <v>2177</v>
      </c>
    </row>
    <row r="108" spans="1:21" s="65" customFormat="1" ht="16.5" customHeight="1" thickBot="1">
      <c r="A108" s="41" t="s">
        <v>31</v>
      </c>
      <c r="B108" s="42">
        <f t="shared" si="3"/>
        <v>90</v>
      </c>
      <c r="C108" s="42" t="s">
        <v>3</v>
      </c>
      <c r="D108" s="42">
        <f t="shared" si="4"/>
        <v>200</v>
      </c>
      <c r="E108" s="42" t="s">
        <v>3</v>
      </c>
      <c r="F108" s="90">
        <f t="shared" si="5"/>
        <v>2950</v>
      </c>
      <c r="G108" s="42" t="s">
        <v>3</v>
      </c>
      <c r="H108" s="39">
        <v>2</v>
      </c>
      <c r="I108" s="40" t="s">
        <v>40</v>
      </c>
      <c r="J108" s="149">
        <v>90</v>
      </c>
      <c r="K108" s="66">
        <v>200</v>
      </c>
      <c r="L108" s="66">
        <v>2950</v>
      </c>
      <c r="M108" s="150">
        <v>21.903407437709738</v>
      </c>
      <c r="N108" s="78">
        <v>1045.2</v>
      </c>
      <c r="O108" s="110">
        <v>33214.769364052743</v>
      </c>
      <c r="P108" s="109">
        <v>41097.093136317919</v>
      </c>
      <c r="Q108" s="110">
        <v>30511.660381216363</v>
      </c>
      <c r="R108" s="258">
        <v>63726.42974526911</v>
      </c>
      <c r="S108" s="259">
        <v>71608.753517534278</v>
      </c>
      <c r="U108" s="7" t="s">
        <v>2178</v>
      </c>
    </row>
    <row r="109" spans="1:21" s="65" customFormat="1" ht="16.5" customHeight="1" thickBot="1">
      <c r="A109" s="43" t="s">
        <v>31</v>
      </c>
      <c r="B109" s="44">
        <f t="shared" si="3"/>
        <v>90</v>
      </c>
      <c r="C109" s="44" t="s">
        <v>3</v>
      </c>
      <c r="D109" s="44">
        <f t="shared" si="4"/>
        <v>200</v>
      </c>
      <c r="E109" s="44" t="s">
        <v>3</v>
      </c>
      <c r="F109" s="91">
        <f t="shared" si="5"/>
        <v>3000</v>
      </c>
      <c r="G109" s="44" t="s">
        <v>3</v>
      </c>
      <c r="H109" s="46">
        <v>2</v>
      </c>
      <c r="I109" s="45" t="s">
        <v>40</v>
      </c>
      <c r="J109" s="151">
        <v>90</v>
      </c>
      <c r="K109" s="126">
        <v>200</v>
      </c>
      <c r="L109" s="126">
        <v>3000</v>
      </c>
      <c r="M109" s="152">
        <v>22.265593497852898</v>
      </c>
      <c r="N109" s="127">
        <v>1065.3</v>
      </c>
      <c r="O109" s="136">
        <v>34938.033633506093</v>
      </c>
      <c r="P109" s="154">
        <v>41667.417112263633</v>
      </c>
      <c r="Q109" s="136">
        <v>31153.670835213656</v>
      </c>
      <c r="R109" s="260">
        <v>66091.704468719749</v>
      </c>
      <c r="S109" s="261">
        <v>72821.087947477296</v>
      </c>
      <c r="U109" s="7" t="s">
        <v>2179</v>
      </c>
    </row>
    <row r="110" spans="1:21" ht="22.5" customHeight="1" thickBot="1">
      <c r="A110" s="2968" t="s">
        <v>45</v>
      </c>
      <c r="B110" s="2969"/>
      <c r="C110" s="2969"/>
      <c r="D110" s="2969"/>
      <c r="E110" s="2969"/>
      <c r="F110" s="2969"/>
      <c r="G110" s="2969"/>
      <c r="H110" s="2969"/>
      <c r="I110" s="2969"/>
      <c r="J110" s="2969"/>
      <c r="K110" s="2969"/>
      <c r="L110" s="2969"/>
      <c r="M110" s="2969"/>
      <c r="N110" s="2969"/>
      <c r="O110" s="2969"/>
      <c r="P110" s="2969"/>
      <c r="Q110" s="2969"/>
      <c r="R110" s="2969"/>
      <c r="S110" s="2970"/>
      <c r="U110" s="7"/>
    </row>
    <row r="111" spans="1:21" ht="16.5" customHeight="1" thickBot="1">
      <c r="A111" s="2974" t="s">
        <v>112</v>
      </c>
      <c r="B111" s="2975"/>
      <c r="C111" s="2975"/>
      <c r="D111" s="2975"/>
      <c r="E111" s="2975"/>
      <c r="F111" s="2975"/>
      <c r="G111" s="2975"/>
      <c r="H111" s="2975"/>
      <c r="I111" s="2975"/>
      <c r="J111" s="2975"/>
      <c r="K111" s="2975"/>
      <c r="L111" s="2975"/>
      <c r="M111" s="2975"/>
      <c r="N111" s="2975"/>
      <c r="O111" s="2975"/>
      <c r="P111" s="2975"/>
      <c r="Q111" s="2975"/>
      <c r="R111" s="2975"/>
      <c r="S111" s="2976"/>
      <c r="U111" s="7"/>
    </row>
    <row r="112" spans="1:21" ht="16.5" thickBot="1">
      <c r="A112" s="38" t="s">
        <v>31</v>
      </c>
      <c r="B112" s="39">
        <f>J112</f>
        <v>90</v>
      </c>
      <c r="C112" s="39" t="s">
        <v>3</v>
      </c>
      <c r="D112" s="39">
        <f>K112</f>
        <v>260</v>
      </c>
      <c r="E112" s="39" t="s">
        <v>3</v>
      </c>
      <c r="F112" s="90">
        <f>L112</f>
        <v>600</v>
      </c>
      <c r="G112" s="39" t="s">
        <v>3</v>
      </c>
      <c r="H112" s="39">
        <v>2</v>
      </c>
      <c r="I112" s="40" t="s">
        <v>40</v>
      </c>
      <c r="J112" s="146">
        <v>90</v>
      </c>
      <c r="K112" s="122">
        <v>260</v>
      </c>
      <c r="L112" s="122">
        <v>600</v>
      </c>
      <c r="M112" s="147">
        <v>5.7406712630655266</v>
      </c>
      <c r="N112" s="123">
        <v>133.19999999999999</v>
      </c>
      <c r="O112" s="139">
        <v>11480.180467630045</v>
      </c>
      <c r="P112" s="153">
        <v>13829.678384482595</v>
      </c>
      <c r="Q112" s="139">
        <v>8214.2785134660462</v>
      </c>
      <c r="R112" s="256">
        <v>19694.45898109609</v>
      </c>
      <c r="S112" s="257">
        <v>22043.956897948643</v>
      </c>
      <c r="U112" s="7" t="s">
        <v>2180</v>
      </c>
    </row>
    <row r="113" spans="1:21" ht="16.5" thickBot="1">
      <c r="A113" s="41" t="s">
        <v>31</v>
      </c>
      <c r="B113" s="42">
        <f t="shared" ref="B113:B160" si="6">J113</f>
        <v>90</v>
      </c>
      <c r="C113" s="42" t="s">
        <v>3</v>
      </c>
      <c r="D113" s="42">
        <f t="shared" ref="D113:D160" si="7">K113</f>
        <v>260</v>
      </c>
      <c r="E113" s="42" t="s">
        <v>3</v>
      </c>
      <c r="F113" s="90">
        <f t="shared" ref="F113:F160" si="8">L113</f>
        <v>650</v>
      </c>
      <c r="G113" s="42" t="s">
        <v>3</v>
      </c>
      <c r="H113" s="39">
        <v>2</v>
      </c>
      <c r="I113" s="40" t="s">
        <v>40</v>
      </c>
      <c r="J113" s="149">
        <v>90</v>
      </c>
      <c r="K113" s="66">
        <v>260</v>
      </c>
      <c r="L113" s="66">
        <v>650</v>
      </c>
      <c r="M113" s="150">
        <v>6.13359788505079</v>
      </c>
      <c r="N113" s="78">
        <v>159.83999999999997</v>
      </c>
      <c r="O113" s="110">
        <v>11953.172792949486</v>
      </c>
      <c r="P113" s="109">
        <v>14453.683627004044</v>
      </c>
      <c r="Q113" s="110">
        <v>8684.7340809460093</v>
      </c>
      <c r="R113" s="258">
        <v>20637.906873895496</v>
      </c>
      <c r="S113" s="259">
        <v>23138.417707950051</v>
      </c>
      <c r="U113" s="7" t="s">
        <v>2181</v>
      </c>
    </row>
    <row r="114" spans="1:21" ht="16.5" thickBot="1">
      <c r="A114" s="41" t="s">
        <v>31</v>
      </c>
      <c r="B114" s="42">
        <f t="shared" si="6"/>
        <v>90</v>
      </c>
      <c r="C114" s="42" t="s">
        <v>3</v>
      </c>
      <c r="D114" s="42">
        <f t="shared" si="7"/>
        <v>260</v>
      </c>
      <c r="E114" s="42" t="s">
        <v>3</v>
      </c>
      <c r="F114" s="90">
        <f t="shared" si="8"/>
        <v>700</v>
      </c>
      <c r="G114" s="42" t="s">
        <v>3</v>
      </c>
      <c r="H114" s="39">
        <v>2</v>
      </c>
      <c r="I114" s="40" t="s">
        <v>40</v>
      </c>
      <c r="J114" s="149">
        <v>90</v>
      </c>
      <c r="K114" s="66">
        <v>260</v>
      </c>
      <c r="L114" s="66">
        <v>700</v>
      </c>
      <c r="M114" s="150">
        <v>6.5435645070360522</v>
      </c>
      <c r="N114" s="78">
        <v>186.48</v>
      </c>
      <c r="O114" s="110">
        <v>12426.165118268926</v>
      </c>
      <c r="P114" s="109">
        <v>15077.688869525491</v>
      </c>
      <c r="Q114" s="110">
        <v>9406.5237862097401</v>
      </c>
      <c r="R114" s="258">
        <v>21832.688904478666</v>
      </c>
      <c r="S114" s="259">
        <v>24484.212655735231</v>
      </c>
      <c r="U114" s="7" t="s">
        <v>2182</v>
      </c>
    </row>
    <row r="115" spans="1:21" ht="16.5" thickBot="1">
      <c r="A115" s="41" t="s">
        <v>31</v>
      </c>
      <c r="B115" s="42">
        <f t="shared" si="6"/>
        <v>90</v>
      </c>
      <c r="C115" s="42" t="s">
        <v>3</v>
      </c>
      <c r="D115" s="42">
        <f t="shared" si="7"/>
        <v>260</v>
      </c>
      <c r="E115" s="42" t="s">
        <v>3</v>
      </c>
      <c r="F115" s="90">
        <f t="shared" si="8"/>
        <v>750</v>
      </c>
      <c r="G115" s="42" t="s">
        <v>3</v>
      </c>
      <c r="H115" s="39">
        <v>2</v>
      </c>
      <c r="I115" s="40" t="s">
        <v>40</v>
      </c>
      <c r="J115" s="149">
        <v>90</v>
      </c>
      <c r="K115" s="66">
        <v>260</v>
      </c>
      <c r="L115" s="66">
        <v>750</v>
      </c>
      <c r="M115" s="150">
        <v>6.9364911290213147</v>
      </c>
      <c r="N115" s="78">
        <v>213.11999999999998</v>
      </c>
      <c r="O115" s="110">
        <v>12899.157443588365</v>
      </c>
      <c r="P115" s="109">
        <v>15701.694112046938</v>
      </c>
      <c r="Q115" s="110">
        <v>9876.9793536897032</v>
      </c>
      <c r="R115" s="258">
        <v>22776.136797278068</v>
      </c>
      <c r="S115" s="259">
        <v>25578.67346573664</v>
      </c>
      <c r="U115" s="7" t="s">
        <v>2183</v>
      </c>
    </row>
    <row r="116" spans="1:21" ht="16.5" thickBot="1">
      <c r="A116" s="41" t="s">
        <v>31</v>
      </c>
      <c r="B116" s="42">
        <f t="shared" si="6"/>
        <v>90</v>
      </c>
      <c r="C116" s="42" t="s">
        <v>3</v>
      </c>
      <c r="D116" s="42">
        <f t="shared" si="7"/>
        <v>260</v>
      </c>
      <c r="E116" s="42" t="s">
        <v>3</v>
      </c>
      <c r="F116" s="90">
        <f t="shared" si="8"/>
        <v>800</v>
      </c>
      <c r="G116" s="42" t="s">
        <v>3</v>
      </c>
      <c r="H116" s="39">
        <v>2</v>
      </c>
      <c r="I116" s="40" t="s">
        <v>40</v>
      </c>
      <c r="J116" s="149">
        <v>90</v>
      </c>
      <c r="K116" s="66">
        <v>260</v>
      </c>
      <c r="L116" s="66">
        <v>800</v>
      </c>
      <c r="M116" s="150">
        <v>7.329417751006579</v>
      </c>
      <c r="N116" s="78">
        <v>239.76</v>
      </c>
      <c r="O116" s="110">
        <v>13372.149615879036</v>
      </c>
      <c r="P116" s="109">
        <v>16325.699201539619</v>
      </c>
      <c r="Q116" s="110">
        <v>10347.434921169664</v>
      </c>
      <c r="R116" s="258">
        <v>23719.5845370487</v>
      </c>
      <c r="S116" s="259">
        <v>26673.134122709285</v>
      </c>
      <c r="U116" s="7" t="s">
        <v>2184</v>
      </c>
    </row>
    <row r="117" spans="1:21" ht="16.5" thickBot="1">
      <c r="A117" s="41" t="s">
        <v>31</v>
      </c>
      <c r="B117" s="42">
        <f t="shared" si="6"/>
        <v>90</v>
      </c>
      <c r="C117" s="42" t="s">
        <v>3</v>
      </c>
      <c r="D117" s="42">
        <f t="shared" si="7"/>
        <v>260</v>
      </c>
      <c r="E117" s="42" t="s">
        <v>3</v>
      </c>
      <c r="F117" s="90">
        <f t="shared" si="8"/>
        <v>850</v>
      </c>
      <c r="G117" s="42" t="s">
        <v>3</v>
      </c>
      <c r="H117" s="39">
        <v>2</v>
      </c>
      <c r="I117" s="40" t="s">
        <v>40</v>
      </c>
      <c r="J117" s="149">
        <v>90</v>
      </c>
      <c r="K117" s="66">
        <v>260</v>
      </c>
      <c r="L117" s="66">
        <v>850</v>
      </c>
      <c r="M117" s="150">
        <v>7.7393843729918421</v>
      </c>
      <c r="N117" s="78">
        <v>266.39999999999998</v>
      </c>
      <c r="O117" s="110">
        <v>13845.141941198479</v>
      </c>
      <c r="P117" s="109">
        <v>16949.70444406107</v>
      </c>
      <c r="Q117" s="110">
        <v>11069.224626433395</v>
      </c>
      <c r="R117" s="258">
        <v>24914.366567631874</v>
      </c>
      <c r="S117" s="259">
        <v>28018.929070494465</v>
      </c>
      <c r="U117" s="7" t="s">
        <v>2185</v>
      </c>
    </row>
    <row r="118" spans="1:21" ht="16.5" thickBot="1">
      <c r="A118" s="41" t="s">
        <v>31</v>
      </c>
      <c r="B118" s="42">
        <f t="shared" si="6"/>
        <v>90</v>
      </c>
      <c r="C118" s="42" t="s">
        <v>3</v>
      </c>
      <c r="D118" s="42">
        <f t="shared" si="7"/>
        <v>260</v>
      </c>
      <c r="E118" s="42" t="s">
        <v>3</v>
      </c>
      <c r="F118" s="90">
        <f t="shared" si="8"/>
        <v>900</v>
      </c>
      <c r="G118" s="42" t="s">
        <v>3</v>
      </c>
      <c r="H118" s="39">
        <v>2</v>
      </c>
      <c r="I118" s="40" t="s">
        <v>40</v>
      </c>
      <c r="J118" s="149">
        <v>90</v>
      </c>
      <c r="K118" s="66">
        <v>260</v>
      </c>
      <c r="L118" s="66">
        <v>900</v>
      </c>
      <c r="M118" s="150">
        <v>8.1323109949771055</v>
      </c>
      <c r="N118" s="78">
        <v>293.03999999999996</v>
      </c>
      <c r="O118" s="110">
        <v>14318.134266517918</v>
      </c>
      <c r="P118" s="109">
        <v>17573.709686582515</v>
      </c>
      <c r="Q118" s="110">
        <v>11539.680193913358</v>
      </c>
      <c r="R118" s="258">
        <v>25857.814460431277</v>
      </c>
      <c r="S118" s="259">
        <v>29113.389880495874</v>
      </c>
      <c r="U118" s="7" t="s">
        <v>2186</v>
      </c>
    </row>
    <row r="119" spans="1:21" ht="16.5" thickBot="1">
      <c r="A119" s="41" t="s">
        <v>31</v>
      </c>
      <c r="B119" s="42">
        <f t="shared" si="6"/>
        <v>90</v>
      </c>
      <c r="C119" s="42" t="s">
        <v>3</v>
      </c>
      <c r="D119" s="42">
        <f t="shared" si="7"/>
        <v>260</v>
      </c>
      <c r="E119" s="42" t="s">
        <v>3</v>
      </c>
      <c r="F119" s="90">
        <f t="shared" si="8"/>
        <v>950</v>
      </c>
      <c r="G119" s="42" t="s">
        <v>3</v>
      </c>
      <c r="H119" s="39">
        <v>2</v>
      </c>
      <c r="I119" s="40" t="s">
        <v>40</v>
      </c>
      <c r="J119" s="149">
        <v>90</v>
      </c>
      <c r="K119" s="66">
        <v>260</v>
      </c>
      <c r="L119" s="66">
        <v>950</v>
      </c>
      <c r="M119" s="150">
        <v>8.5422776169623695</v>
      </c>
      <c r="N119" s="78">
        <v>319.67999999999995</v>
      </c>
      <c r="O119" s="110">
        <v>14791.126591837357</v>
      </c>
      <c r="P119" s="109">
        <v>18197.71492910396</v>
      </c>
      <c r="Q119" s="110">
        <v>12261.469899177091</v>
      </c>
      <c r="R119" s="258">
        <v>27052.596491014447</v>
      </c>
      <c r="S119" s="259">
        <v>30459.184828281053</v>
      </c>
      <c r="U119" s="7" t="s">
        <v>2187</v>
      </c>
    </row>
    <row r="120" spans="1:21" ht="16.5" thickBot="1">
      <c r="A120" s="41" t="s">
        <v>31</v>
      </c>
      <c r="B120" s="42">
        <f t="shared" si="6"/>
        <v>90</v>
      </c>
      <c r="C120" s="42" t="s">
        <v>3</v>
      </c>
      <c r="D120" s="42">
        <f t="shared" si="7"/>
        <v>260</v>
      </c>
      <c r="E120" s="42" t="s">
        <v>3</v>
      </c>
      <c r="F120" s="90">
        <f t="shared" si="8"/>
        <v>1000</v>
      </c>
      <c r="G120" s="42" t="s">
        <v>3</v>
      </c>
      <c r="H120" s="39">
        <v>2</v>
      </c>
      <c r="I120" s="40" t="s">
        <v>40</v>
      </c>
      <c r="J120" s="149">
        <v>90</v>
      </c>
      <c r="K120" s="66">
        <v>260</v>
      </c>
      <c r="L120" s="66">
        <v>1000</v>
      </c>
      <c r="M120" s="150">
        <v>8.935204238947632</v>
      </c>
      <c r="N120" s="78">
        <v>346.32</v>
      </c>
      <c r="O120" s="110">
        <v>15264.118764128028</v>
      </c>
      <c r="P120" s="109">
        <v>18821.720018596643</v>
      </c>
      <c r="Q120" s="110">
        <v>12731.925466657052</v>
      </c>
      <c r="R120" s="258">
        <v>27996.044230785083</v>
      </c>
      <c r="S120" s="259">
        <v>31553.645485253695</v>
      </c>
      <c r="U120" s="7" t="s">
        <v>2188</v>
      </c>
    </row>
    <row r="121" spans="1:21" ht="16.5" thickBot="1">
      <c r="A121" s="41" t="s">
        <v>31</v>
      </c>
      <c r="B121" s="42">
        <f t="shared" si="6"/>
        <v>90</v>
      </c>
      <c r="C121" s="42" t="s">
        <v>3</v>
      </c>
      <c r="D121" s="42">
        <f t="shared" si="7"/>
        <v>260</v>
      </c>
      <c r="E121" s="42" t="s">
        <v>3</v>
      </c>
      <c r="F121" s="90">
        <f t="shared" si="8"/>
        <v>1050</v>
      </c>
      <c r="G121" s="42" t="s">
        <v>3</v>
      </c>
      <c r="H121" s="39">
        <v>2</v>
      </c>
      <c r="I121" s="40" t="s">
        <v>40</v>
      </c>
      <c r="J121" s="149">
        <v>90</v>
      </c>
      <c r="K121" s="66">
        <v>260</v>
      </c>
      <c r="L121" s="66">
        <v>1050</v>
      </c>
      <c r="M121" s="150">
        <v>9.3451708609328961</v>
      </c>
      <c r="N121" s="78">
        <v>372.96</v>
      </c>
      <c r="O121" s="110">
        <v>15737.111089447468</v>
      </c>
      <c r="P121" s="109">
        <v>19445.725261118092</v>
      </c>
      <c r="Q121" s="110">
        <v>13453.71501889202</v>
      </c>
      <c r="R121" s="258">
        <v>29190.82610833949</v>
      </c>
      <c r="S121" s="259">
        <v>32899.440280010109</v>
      </c>
      <c r="U121" s="7" t="s">
        <v>2189</v>
      </c>
    </row>
    <row r="122" spans="1:21" ht="16.5" thickBot="1">
      <c r="A122" s="38" t="s">
        <v>31</v>
      </c>
      <c r="B122" s="39">
        <f t="shared" si="6"/>
        <v>90</v>
      </c>
      <c r="C122" s="39" t="s">
        <v>3</v>
      </c>
      <c r="D122" s="39">
        <f t="shared" si="7"/>
        <v>260</v>
      </c>
      <c r="E122" s="39" t="s">
        <v>3</v>
      </c>
      <c r="F122" s="90">
        <f t="shared" si="8"/>
        <v>1100</v>
      </c>
      <c r="G122" s="39" t="s">
        <v>3</v>
      </c>
      <c r="H122" s="39">
        <v>2</v>
      </c>
      <c r="I122" s="40" t="s">
        <v>40</v>
      </c>
      <c r="J122" s="149">
        <v>90</v>
      </c>
      <c r="K122" s="66">
        <v>260</v>
      </c>
      <c r="L122" s="66">
        <v>1100</v>
      </c>
      <c r="M122" s="150">
        <v>9.7380974829181604</v>
      </c>
      <c r="N122" s="78">
        <v>399.59999999999997</v>
      </c>
      <c r="O122" s="110">
        <v>16210.103414766907</v>
      </c>
      <c r="P122" s="109">
        <v>20069.730503639541</v>
      </c>
      <c r="Q122" s="110">
        <v>13924.170586371982</v>
      </c>
      <c r="R122" s="258">
        <v>30134.274001138889</v>
      </c>
      <c r="S122" s="259">
        <v>33993.901090011525</v>
      </c>
      <c r="U122" s="7" t="s">
        <v>2190</v>
      </c>
    </row>
    <row r="123" spans="1:21" ht="16.5" thickBot="1">
      <c r="A123" s="41" t="s">
        <v>31</v>
      </c>
      <c r="B123" s="42">
        <f t="shared" si="6"/>
        <v>90</v>
      </c>
      <c r="C123" s="42" t="s">
        <v>3</v>
      </c>
      <c r="D123" s="42">
        <f t="shared" si="7"/>
        <v>260</v>
      </c>
      <c r="E123" s="42" t="s">
        <v>3</v>
      </c>
      <c r="F123" s="90">
        <f t="shared" si="8"/>
        <v>1150</v>
      </c>
      <c r="G123" s="42" t="s">
        <v>3</v>
      </c>
      <c r="H123" s="39">
        <v>2</v>
      </c>
      <c r="I123" s="40" t="s">
        <v>40</v>
      </c>
      <c r="J123" s="149">
        <v>90</v>
      </c>
      <c r="K123" s="66">
        <v>260</v>
      </c>
      <c r="L123" s="66">
        <v>1150</v>
      </c>
      <c r="M123" s="150">
        <v>10.131024104903421</v>
      </c>
      <c r="N123" s="78">
        <v>426.23999999999995</v>
      </c>
      <c r="O123" s="110">
        <v>16683.095740086344</v>
      </c>
      <c r="P123" s="109">
        <v>20693.73574616099</v>
      </c>
      <c r="Q123" s="110">
        <v>14394.626153851941</v>
      </c>
      <c r="R123" s="258">
        <v>31077.721893938287</v>
      </c>
      <c r="S123" s="259">
        <v>35088.361900012933</v>
      </c>
      <c r="U123" s="7" t="s">
        <v>2191</v>
      </c>
    </row>
    <row r="124" spans="1:21" ht="16.5" thickBot="1">
      <c r="A124" s="41" t="s">
        <v>31</v>
      </c>
      <c r="B124" s="42">
        <f t="shared" si="6"/>
        <v>90</v>
      </c>
      <c r="C124" s="42" t="s">
        <v>3</v>
      </c>
      <c r="D124" s="42">
        <f t="shared" si="7"/>
        <v>260</v>
      </c>
      <c r="E124" s="42" t="s">
        <v>3</v>
      </c>
      <c r="F124" s="90">
        <f t="shared" si="8"/>
        <v>1200</v>
      </c>
      <c r="G124" s="42" t="s">
        <v>3</v>
      </c>
      <c r="H124" s="39">
        <v>2</v>
      </c>
      <c r="I124" s="40" t="s">
        <v>40</v>
      </c>
      <c r="J124" s="149">
        <v>90</v>
      </c>
      <c r="K124" s="66">
        <v>260</v>
      </c>
      <c r="L124" s="66">
        <v>1200</v>
      </c>
      <c r="M124" s="150">
        <v>10.580240726888684</v>
      </c>
      <c r="N124" s="78">
        <v>452.87999999999994</v>
      </c>
      <c r="O124" s="110">
        <v>17206.088225036434</v>
      </c>
      <c r="P124" s="109">
        <v>21368.046440699509</v>
      </c>
      <c r="Q124" s="110">
        <v>15116.415859115676</v>
      </c>
      <c r="R124" s="258">
        <v>32322.504084152111</v>
      </c>
      <c r="S124" s="259">
        <v>36484.462299815183</v>
      </c>
      <c r="U124" s="7" t="s">
        <v>2192</v>
      </c>
    </row>
    <row r="125" spans="1:21" ht="16.5" thickBot="1">
      <c r="A125" s="41" t="s">
        <v>31</v>
      </c>
      <c r="B125" s="42">
        <f t="shared" si="6"/>
        <v>90</v>
      </c>
      <c r="C125" s="42" t="s">
        <v>3</v>
      </c>
      <c r="D125" s="42">
        <f t="shared" si="7"/>
        <v>260</v>
      </c>
      <c r="E125" s="42" t="s">
        <v>3</v>
      </c>
      <c r="F125" s="90">
        <f t="shared" si="8"/>
        <v>1250</v>
      </c>
      <c r="G125" s="42" t="s">
        <v>3</v>
      </c>
      <c r="H125" s="39">
        <v>2</v>
      </c>
      <c r="I125" s="40" t="s">
        <v>40</v>
      </c>
      <c r="J125" s="149">
        <v>90</v>
      </c>
      <c r="K125" s="66">
        <v>260</v>
      </c>
      <c r="L125" s="66">
        <v>1250</v>
      </c>
      <c r="M125" s="150">
        <v>10.973167348873947</v>
      </c>
      <c r="N125" s="78">
        <v>479.52</v>
      </c>
      <c r="O125" s="110">
        <v>17679.080550355873</v>
      </c>
      <c r="P125" s="109">
        <v>21992.051683220954</v>
      </c>
      <c r="Q125" s="110">
        <v>15586.871426595639</v>
      </c>
      <c r="R125" s="258">
        <v>33265.95197695151</v>
      </c>
      <c r="S125" s="259">
        <v>37578.923109816591</v>
      </c>
      <c r="U125" s="7" t="s">
        <v>2193</v>
      </c>
    </row>
    <row r="126" spans="1:21" ht="16.5" thickBot="1">
      <c r="A126" s="41" t="s">
        <v>31</v>
      </c>
      <c r="B126" s="42">
        <f t="shared" si="6"/>
        <v>90</v>
      </c>
      <c r="C126" s="42" t="s">
        <v>3</v>
      </c>
      <c r="D126" s="42">
        <f t="shared" si="7"/>
        <v>260</v>
      </c>
      <c r="E126" s="42" t="s">
        <v>3</v>
      </c>
      <c r="F126" s="90">
        <f t="shared" si="8"/>
        <v>1300</v>
      </c>
      <c r="G126" s="42" t="s">
        <v>3</v>
      </c>
      <c r="H126" s="39">
        <v>2</v>
      </c>
      <c r="I126" s="40" t="s">
        <v>40</v>
      </c>
      <c r="J126" s="149">
        <v>90</v>
      </c>
      <c r="K126" s="66">
        <v>260</v>
      </c>
      <c r="L126" s="66">
        <v>1300</v>
      </c>
      <c r="M126" s="150">
        <v>11.383133970859213</v>
      </c>
      <c r="N126" s="78">
        <v>506.15999999999997</v>
      </c>
      <c r="O126" s="110">
        <v>18152.072722646546</v>
      </c>
      <c r="P126" s="109">
        <v>22616.056925742403</v>
      </c>
      <c r="Q126" s="110">
        <v>16308.66113185937</v>
      </c>
      <c r="R126" s="258">
        <v>34460.733854505917</v>
      </c>
      <c r="S126" s="259">
        <v>38924.718057601771</v>
      </c>
      <c r="U126" s="7" t="s">
        <v>2194</v>
      </c>
    </row>
    <row r="127" spans="1:21" ht="16.5" thickBot="1">
      <c r="A127" s="41" t="s">
        <v>31</v>
      </c>
      <c r="B127" s="42">
        <f t="shared" si="6"/>
        <v>90</v>
      </c>
      <c r="C127" s="42" t="s">
        <v>3</v>
      </c>
      <c r="D127" s="42">
        <f t="shared" si="7"/>
        <v>260</v>
      </c>
      <c r="E127" s="42" t="s">
        <v>3</v>
      </c>
      <c r="F127" s="90">
        <f t="shared" si="8"/>
        <v>1350</v>
      </c>
      <c r="G127" s="42" t="s">
        <v>3</v>
      </c>
      <c r="H127" s="39">
        <v>2</v>
      </c>
      <c r="I127" s="40" t="s">
        <v>40</v>
      </c>
      <c r="J127" s="149">
        <v>90</v>
      </c>
      <c r="K127" s="66">
        <v>260</v>
      </c>
      <c r="L127" s="66">
        <v>1350</v>
      </c>
      <c r="M127" s="150">
        <v>11.776060592844475</v>
      </c>
      <c r="N127" s="78">
        <v>532.79999999999995</v>
      </c>
      <c r="O127" s="110">
        <v>18625.065047965985</v>
      </c>
      <c r="P127" s="109">
        <v>23240.062015235086</v>
      </c>
      <c r="Q127" s="110">
        <v>16779.116699339331</v>
      </c>
      <c r="R127" s="258">
        <v>35404.181747305316</v>
      </c>
      <c r="S127" s="259">
        <v>40019.178714574417</v>
      </c>
      <c r="U127" s="7" t="s">
        <v>2195</v>
      </c>
    </row>
    <row r="128" spans="1:21" ht="16.5" thickBot="1">
      <c r="A128" s="41" t="s">
        <v>31</v>
      </c>
      <c r="B128" s="42">
        <f t="shared" si="6"/>
        <v>90</v>
      </c>
      <c r="C128" s="42" t="s">
        <v>3</v>
      </c>
      <c r="D128" s="42">
        <f t="shared" si="7"/>
        <v>260</v>
      </c>
      <c r="E128" s="42" t="s">
        <v>3</v>
      </c>
      <c r="F128" s="90">
        <f t="shared" si="8"/>
        <v>1400</v>
      </c>
      <c r="G128" s="42" t="s">
        <v>3</v>
      </c>
      <c r="H128" s="39">
        <v>2</v>
      </c>
      <c r="I128" s="40" t="s">
        <v>40</v>
      </c>
      <c r="J128" s="149">
        <v>90</v>
      </c>
      <c r="K128" s="66">
        <v>260</v>
      </c>
      <c r="L128" s="66">
        <v>1400</v>
      </c>
      <c r="M128" s="150">
        <v>12.186027214829737</v>
      </c>
      <c r="N128" s="78">
        <v>559.43999999999994</v>
      </c>
      <c r="O128" s="110">
        <v>19098.057373285425</v>
      </c>
      <c r="P128" s="109">
        <v>23864.067257756531</v>
      </c>
      <c r="Q128" s="110">
        <v>17500.906404603062</v>
      </c>
      <c r="R128" s="258">
        <v>36598.963777888486</v>
      </c>
      <c r="S128" s="259">
        <v>41364.973662359596</v>
      </c>
      <c r="U128" s="7" t="s">
        <v>2196</v>
      </c>
    </row>
    <row r="129" spans="1:21" ht="16.5" thickBot="1">
      <c r="A129" s="41" t="s">
        <v>31</v>
      </c>
      <c r="B129" s="42">
        <f t="shared" si="6"/>
        <v>90</v>
      </c>
      <c r="C129" s="42" t="s">
        <v>3</v>
      </c>
      <c r="D129" s="42">
        <f t="shared" si="7"/>
        <v>260</v>
      </c>
      <c r="E129" s="42" t="s">
        <v>3</v>
      </c>
      <c r="F129" s="90">
        <f t="shared" si="8"/>
        <v>1450</v>
      </c>
      <c r="G129" s="42" t="s">
        <v>3</v>
      </c>
      <c r="H129" s="39">
        <v>2</v>
      </c>
      <c r="I129" s="40" t="s">
        <v>40</v>
      </c>
      <c r="J129" s="149">
        <v>90</v>
      </c>
      <c r="K129" s="66">
        <v>260</v>
      </c>
      <c r="L129" s="66">
        <v>1450</v>
      </c>
      <c r="M129" s="150">
        <v>12.578953836815</v>
      </c>
      <c r="N129" s="78">
        <v>586.07999999999993</v>
      </c>
      <c r="O129" s="110">
        <v>19571.04969860486</v>
      </c>
      <c r="P129" s="109">
        <v>24488.07250027798</v>
      </c>
      <c r="Q129" s="110">
        <v>17971.361972083025</v>
      </c>
      <c r="R129" s="258">
        <v>37542.411670687885</v>
      </c>
      <c r="S129" s="259">
        <v>42459.434472361005</v>
      </c>
      <c r="U129" s="7" t="s">
        <v>2197</v>
      </c>
    </row>
    <row r="130" spans="1:21" ht="16.5" thickBot="1">
      <c r="A130" s="41" t="s">
        <v>31</v>
      </c>
      <c r="B130" s="42">
        <f t="shared" si="6"/>
        <v>90</v>
      </c>
      <c r="C130" s="42" t="s">
        <v>3</v>
      </c>
      <c r="D130" s="42">
        <f t="shared" si="7"/>
        <v>260</v>
      </c>
      <c r="E130" s="42" t="s">
        <v>3</v>
      </c>
      <c r="F130" s="90">
        <f t="shared" si="8"/>
        <v>1500</v>
      </c>
      <c r="G130" s="42" t="s">
        <v>3</v>
      </c>
      <c r="H130" s="39">
        <v>2</v>
      </c>
      <c r="I130" s="40" t="s">
        <v>40</v>
      </c>
      <c r="J130" s="149">
        <v>90</v>
      </c>
      <c r="K130" s="66">
        <v>260</v>
      </c>
      <c r="L130" s="66">
        <v>1500</v>
      </c>
      <c r="M130" s="150">
        <v>13.112684647600261</v>
      </c>
      <c r="N130" s="78">
        <v>612.72</v>
      </c>
      <c r="O130" s="110">
        <v>20686.495955282924</v>
      </c>
      <c r="P130" s="109">
        <v>25695.891051362149</v>
      </c>
      <c r="Q130" s="110">
        <v>18693.151677346756</v>
      </c>
      <c r="R130" s="258">
        <v>39379.647632629683</v>
      </c>
      <c r="S130" s="259">
        <v>44389.042728708904</v>
      </c>
      <c r="U130" s="7" t="s">
        <v>2198</v>
      </c>
    </row>
    <row r="131" spans="1:21" ht="16.5" thickBot="1">
      <c r="A131" s="41" t="s">
        <v>31</v>
      </c>
      <c r="B131" s="42">
        <f t="shared" si="6"/>
        <v>90</v>
      </c>
      <c r="C131" s="42" t="s">
        <v>3</v>
      </c>
      <c r="D131" s="42">
        <f t="shared" si="7"/>
        <v>260</v>
      </c>
      <c r="E131" s="42" t="s">
        <v>3</v>
      </c>
      <c r="F131" s="90">
        <f t="shared" si="8"/>
        <v>1550</v>
      </c>
      <c r="G131" s="42" t="s">
        <v>3</v>
      </c>
      <c r="H131" s="39">
        <v>2</v>
      </c>
      <c r="I131" s="40" t="s">
        <v>40</v>
      </c>
      <c r="J131" s="149">
        <v>90</v>
      </c>
      <c r="K131" s="66">
        <v>260</v>
      </c>
      <c r="L131" s="66">
        <v>1550</v>
      </c>
      <c r="M131" s="150">
        <v>13.505611269585525</v>
      </c>
      <c r="N131" s="78">
        <v>639.3599999999999</v>
      </c>
      <c r="O131" s="110">
        <v>21159.488127573597</v>
      </c>
      <c r="P131" s="109">
        <v>26319.896293883594</v>
      </c>
      <c r="Q131" s="110">
        <v>19163.607244826719</v>
      </c>
      <c r="R131" s="258">
        <v>40323.095372400319</v>
      </c>
      <c r="S131" s="259">
        <v>45483.503538710313</v>
      </c>
      <c r="U131" s="7" t="s">
        <v>2199</v>
      </c>
    </row>
    <row r="132" spans="1:21" ht="16.5" thickBot="1">
      <c r="A132" s="38" t="s">
        <v>31</v>
      </c>
      <c r="B132" s="39">
        <f t="shared" si="6"/>
        <v>90</v>
      </c>
      <c r="C132" s="39" t="s">
        <v>3</v>
      </c>
      <c r="D132" s="39">
        <f t="shared" si="7"/>
        <v>260</v>
      </c>
      <c r="E132" s="39" t="s">
        <v>3</v>
      </c>
      <c r="F132" s="90">
        <f t="shared" si="8"/>
        <v>1600</v>
      </c>
      <c r="G132" s="39" t="s">
        <v>3</v>
      </c>
      <c r="H132" s="39">
        <v>2</v>
      </c>
      <c r="I132" s="40" t="s">
        <v>40</v>
      </c>
      <c r="J132" s="149">
        <v>90</v>
      </c>
      <c r="K132" s="66">
        <v>260</v>
      </c>
      <c r="L132" s="66">
        <v>1600</v>
      </c>
      <c r="M132" s="150">
        <v>13.89853789157079</v>
      </c>
      <c r="N132" s="78">
        <v>666</v>
      </c>
      <c r="O132" s="110">
        <v>21632.480452893036</v>
      </c>
      <c r="P132" s="109">
        <v>26943.901536405046</v>
      </c>
      <c r="Q132" s="110">
        <v>19634.062812306682</v>
      </c>
      <c r="R132" s="258">
        <v>41266.543265199718</v>
      </c>
      <c r="S132" s="259">
        <v>46577.964348711728</v>
      </c>
      <c r="U132" s="7" t="s">
        <v>2200</v>
      </c>
    </row>
    <row r="133" spans="1:21" ht="16.5" thickBot="1">
      <c r="A133" s="41" t="s">
        <v>31</v>
      </c>
      <c r="B133" s="42">
        <f t="shared" si="6"/>
        <v>90</v>
      </c>
      <c r="C133" s="42" t="s">
        <v>3</v>
      </c>
      <c r="D133" s="42">
        <f t="shared" si="7"/>
        <v>260</v>
      </c>
      <c r="E133" s="42" t="s">
        <v>3</v>
      </c>
      <c r="F133" s="90">
        <f t="shared" si="8"/>
        <v>1650</v>
      </c>
      <c r="G133" s="42" t="s">
        <v>3</v>
      </c>
      <c r="H133" s="39">
        <v>2</v>
      </c>
      <c r="I133" s="40" t="s">
        <v>40</v>
      </c>
      <c r="J133" s="149">
        <v>90</v>
      </c>
      <c r="K133" s="66">
        <v>260</v>
      </c>
      <c r="L133" s="66">
        <v>1650</v>
      </c>
      <c r="M133" s="150">
        <v>14.308504513556054</v>
      </c>
      <c r="N133" s="78">
        <v>692.64</v>
      </c>
      <c r="O133" s="110">
        <v>22105.472778212476</v>
      </c>
      <c r="P133" s="109">
        <v>27567.906625897725</v>
      </c>
      <c r="Q133" s="110">
        <v>20355.852364541646</v>
      </c>
      <c r="R133" s="258">
        <v>42461.325142754125</v>
      </c>
      <c r="S133" s="259">
        <v>47923.758990439368</v>
      </c>
      <c r="U133" s="7" t="s">
        <v>2201</v>
      </c>
    </row>
    <row r="134" spans="1:21" ht="16.5" thickBot="1">
      <c r="A134" s="41" t="s">
        <v>31</v>
      </c>
      <c r="B134" s="42">
        <f t="shared" si="6"/>
        <v>90</v>
      </c>
      <c r="C134" s="42" t="s">
        <v>3</v>
      </c>
      <c r="D134" s="42">
        <f t="shared" si="7"/>
        <v>260</v>
      </c>
      <c r="E134" s="42" t="s">
        <v>3</v>
      </c>
      <c r="F134" s="90">
        <f t="shared" si="8"/>
        <v>1700</v>
      </c>
      <c r="G134" s="42" t="s">
        <v>3</v>
      </c>
      <c r="H134" s="39">
        <v>2</v>
      </c>
      <c r="I134" s="40" t="s">
        <v>40</v>
      </c>
      <c r="J134" s="149">
        <v>90</v>
      </c>
      <c r="K134" s="66">
        <v>260</v>
      </c>
      <c r="L134" s="66">
        <v>1700</v>
      </c>
      <c r="M134" s="150">
        <v>14.701431135541316</v>
      </c>
      <c r="N134" s="78">
        <v>719.28</v>
      </c>
      <c r="O134" s="110">
        <v>22578.465103531915</v>
      </c>
      <c r="P134" s="109">
        <v>28191.911868419171</v>
      </c>
      <c r="Q134" s="110">
        <v>20826.307932021609</v>
      </c>
      <c r="R134" s="258">
        <v>43404.773035553524</v>
      </c>
      <c r="S134" s="259">
        <v>49018.219800440784</v>
      </c>
      <c r="U134" s="7" t="s">
        <v>2202</v>
      </c>
    </row>
    <row r="135" spans="1:21" ht="16.5" thickBot="1">
      <c r="A135" s="41" t="s">
        <v>31</v>
      </c>
      <c r="B135" s="42">
        <f t="shared" si="6"/>
        <v>90</v>
      </c>
      <c r="C135" s="42" t="s">
        <v>3</v>
      </c>
      <c r="D135" s="42">
        <f t="shared" si="7"/>
        <v>260</v>
      </c>
      <c r="E135" s="42" t="s">
        <v>3</v>
      </c>
      <c r="F135" s="90">
        <f t="shared" si="8"/>
        <v>1750</v>
      </c>
      <c r="G135" s="42" t="s">
        <v>3</v>
      </c>
      <c r="H135" s="39">
        <v>2</v>
      </c>
      <c r="I135" s="40" t="s">
        <v>40</v>
      </c>
      <c r="J135" s="149">
        <v>90</v>
      </c>
      <c r="K135" s="66">
        <v>260</v>
      </c>
      <c r="L135" s="66">
        <v>1750</v>
      </c>
      <c r="M135" s="150">
        <v>15.111397757526579</v>
      </c>
      <c r="N135" s="78">
        <v>745.92</v>
      </c>
      <c r="O135" s="110">
        <v>23051.457275822591</v>
      </c>
      <c r="P135" s="109">
        <v>28815.917110940623</v>
      </c>
      <c r="Q135" s="110">
        <v>21548.09763728534</v>
      </c>
      <c r="R135" s="258">
        <v>44599.554913107931</v>
      </c>
      <c r="S135" s="259">
        <v>50364.014748225964</v>
      </c>
      <c r="U135" s="7" t="s">
        <v>2203</v>
      </c>
    </row>
    <row r="136" spans="1:21" ht="16.5" thickBot="1">
      <c r="A136" s="41" t="s">
        <v>31</v>
      </c>
      <c r="B136" s="42">
        <f t="shared" si="6"/>
        <v>90</v>
      </c>
      <c r="C136" s="42" t="s">
        <v>3</v>
      </c>
      <c r="D136" s="42">
        <f t="shared" si="7"/>
        <v>260</v>
      </c>
      <c r="E136" s="42" t="s">
        <v>3</v>
      </c>
      <c r="F136" s="90">
        <f t="shared" si="8"/>
        <v>1800</v>
      </c>
      <c r="G136" s="42" t="s">
        <v>3</v>
      </c>
      <c r="H136" s="39">
        <v>2</v>
      </c>
      <c r="I136" s="40" t="s">
        <v>40</v>
      </c>
      <c r="J136" s="149">
        <v>90</v>
      </c>
      <c r="K136" s="66">
        <v>260</v>
      </c>
      <c r="L136" s="66">
        <v>1800</v>
      </c>
      <c r="M136" s="150">
        <v>15.504324379511841</v>
      </c>
      <c r="N136" s="78">
        <v>772.56</v>
      </c>
      <c r="O136" s="110">
        <v>23524.449601142031</v>
      </c>
      <c r="P136" s="109">
        <v>29439.922353462072</v>
      </c>
      <c r="Q136" s="110">
        <v>22018.553204765303</v>
      </c>
      <c r="R136" s="258">
        <v>45543.002805907337</v>
      </c>
      <c r="S136" s="259">
        <v>51458.475558227379</v>
      </c>
      <c r="U136" s="7" t="s">
        <v>2204</v>
      </c>
    </row>
    <row r="137" spans="1:21" ht="16.5" thickBot="1">
      <c r="A137" s="41" t="s">
        <v>31</v>
      </c>
      <c r="B137" s="42">
        <f t="shared" si="6"/>
        <v>90</v>
      </c>
      <c r="C137" s="42" t="s">
        <v>3</v>
      </c>
      <c r="D137" s="42">
        <f t="shared" si="7"/>
        <v>260</v>
      </c>
      <c r="E137" s="42" t="s">
        <v>3</v>
      </c>
      <c r="F137" s="90">
        <f t="shared" si="8"/>
        <v>1850</v>
      </c>
      <c r="G137" s="42" t="s">
        <v>3</v>
      </c>
      <c r="H137" s="39">
        <v>2</v>
      </c>
      <c r="I137" s="40" t="s">
        <v>40</v>
      </c>
      <c r="J137" s="149">
        <v>90</v>
      </c>
      <c r="K137" s="66">
        <v>260</v>
      </c>
      <c r="L137" s="66">
        <v>1850</v>
      </c>
      <c r="M137" s="150">
        <v>15.914291001497105</v>
      </c>
      <c r="N137" s="78">
        <v>799.19999999999993</v>
      </c>
      <c r="O137" s="110">
        <v>23997.44192646147</v>
      </c>
      <c r="P137" s="109">
        <v>30063.927595983518</v>
      </c>
      <c r="Q137" s="110">
        <v>22740.342910029034</v>
      </c>
      <c r="R137" s="258">
        <v>46737.784836490508</v>
      </c>
      <c r="S137" s="259">
        <v>52804.270506012552</v>
      </c>
      <c r="U137" s="7" t="s">
        <v>2205</v>
      </c>
    </row>
    <row r="138" spans="1:21" ht="16.5" thickBot="1">
      <c r="A138" s="41" t="s">
        <v>31</v>
      </c>
      <c r="B138" s="42">
        <f t="shared" si="6"/>
        <v>90</v>
      </c>
      <c r="C138" s="42" t="s">
        <v>3</v>
      </c>
      <c r="D138" s="42">
        <f t="shared" si="7"/>
        <v>260</v>
      </c>
      <c r="E138" s="42" t="s">
        <v>3</v>
      </c>
      <c r="F138" s="90">
        <f t="shared" si="8"/>
        <v>1900</v>
      </c>
      <c r="G138" s="42" t="s">
        <v>3</v>
      </c>
      <c r="H138" s="39">
        <v>2</v>
      </c>
      <c r="I138" s="40" t="s">
        <v>40</v>
      </c>
      <c r="J138" s="149">
        <v>90</v>
      </c>
      <c r="K138" s="66">
        <v>260</v>
      </c>
      <c r="L138" s="66">
        <v>1900</v>
      </c>
      <c r="M138" s="150">
        <v>16.307217623482369</v>
      </c>
      <c r="N138" s="78">
        <v>825.84</v>
      </c>
      <c r="O138" s="110">
        <v>24470.434251780905</v>
      </c>
      <c r="P138" s="109">
        <v>30687.932685476197</v>
      </c>
      <c r="Q138" s="110">
        <v>23210.798477508997</v>
      </c>
      <c r="R138" s="258">
        <v>47681.232729289899</v>
      </c>
      <c r="S138" s="259">
        <v>53898.73116298519</v>
      </c>
      <c r="U138" s="7" t="s">
        <v>2206</v>
      </c>
    </row>
    <row r="139" spans="1:21" ht="16.5" thickBot="1">
      <c r="A139" s="41" t="s">
        <v>31</v>
      </c>
      <c r="B139" s="42">
        <f t="shared" si="6"/>
        <v>90</v>
      </c>
      <c r="C139" s="42" t="s">
        <v>3</v>
      </c>
      <c r="D139" s="42">
        <f t="shared" si="7"/>
        <v>260</v>
      </c>
      <c r="E139" s="42" t="s">
        <v>3</v>
      </c>
      <c r="F139" s="90">
        <f t="shared" si="8"/>
        <v>1950</v>
      </c>
      <c r="G139" s="42" t="s">
        <v>3</v>
      </c>
      <c r="H139" s="39">
        <v>2</v>
      </c>
      <c r="I139" s="40" t="s">
        <v>40</v>
      </c>
      <c r="J139" s="149">
        <v>90</v>
      </c>
      <c r="K139" s="66">
        <v>260</v>
      </c>
      <c r="L139" s="66">
        <v>1950</v>
      </c>
      <c r="M139" s="150">
        <v>16.739394245467633</v>
      </c>
      <c r="N139" s="78">
        <v>852.4799999999999</v>
      </c>
      <c r="O139" s="110">
        <v>24993.426736730991</v>
      </c>
      <c r="P139" s="109">
        <v>31362.243380014719</v>
      </c>
      <c r="Q139" s="110">
        <v>23681.25404498896</v>
      </c>
      <c r="R139" s="258">
        <v>48674.680781719951</v>
      </c>
      <c r="S139" s="259">
        <v>55043.497425003676</v>
      </c>
      <c r="U139" s="7" t="s">
        <v>2207</v>
      </c>
    </row>
    <row r="140" spans="1:21" ht="16.5" thickBot="1">
      <c r="A140" s="41" t="s">
        <v>31</v>
      </c>
      <c r="B140" s="42">
        <f t="shared" si="6"/>
        <v>90</v>
      </c>
      <c r="C140" s="42" t="s">
        <v>3</v>
      </c>
      <c r="D140" s="42">
        <f t="shared" si="7"/>
        <v>260</v>
      </c>
      <c r="E140" s="42" t="s">
        <v>3</v>
      </c>
      <c r="F140" s="90">
        <f t="shared" si="8"/>
        <v>2000</v>
      </c>
      <c r="G140" s="42" t="s">
        <v>3</v>
      </c>
      <c r="H140" s="39">
        <v>2</v>
      </c>
      <c r="I140" s="40" t="s">
        <v>40</v>
      </c>
      <c r="J140" s="149">
        <v>90</v>
      </c>
      <c r="K140" s="66">
        <v>260</v>
      </c>
      <c r="L140" s="66">
        <v>2000</v>
      </c>
      <c r="M140" s="150">
        <v>17.240923267452896</v>
      </c>
      <c r="N140" s="78">
        <v>879.12</v>
      </c>
      <c r="O140" s="110">
        <v>25717.710963895028</v>
      </c>
      <c r="P140" s="109">
        <v>32327.0706155322</v>
      </c>
      <c r="Q140" s="110">
        <v>24403.043750252691</v>
      </c>
      <c r="R140" s="258">
        <v>50120.754714147719</v>
      </c>
      <c r="S140" s="259">
        <v>56730.114365784888</v>
      </c>
      <c r="U140" s="7" t="s">
        <v>2208</v>
      </c>
    </row>
    <row r="141" spans="1:21" ht="16.5" thickBot="1">
      <c r="A141" s="41" t="s">
        <v>31</v>
      </c>
      <c r="B141" s="42">
        <f t="shared" si="6"/>
        <v>90</v>
      </c>
      <c r="C141" s="42" t="s">
        <v>3</v>
      </c>
      <c r="D141" s="42">
        <f t="shared" si="7"/>
        <v>260</v>
      </c>
      <c r="E141" s="42" t="s">
        <v>3</v>
      </c>
      <c r="F141" s="90">
        <f t="shared" si="8"/>
        <v>2050</v>
      </c>
      <c r="G141" s="42" t="s">
        <v>3</v>
      </c>
      <c r="H141" s="39">
        <v>2</v>
      </c>
      <c r="I141" s="40" t="s">
        <v>40</v>
      </c>
      <c r="J141" s="149">
        <v>90</v>
      </c>
      <c r="K141" s="66">
        <v>260</v>
      </c>
      <c r="L141" s="66">
        <v>2050</v>
      </c>
      <c r="M141" s="150">
        <v>17.633849889438157</v>
      </c>
      <c r="N141" s="78">
        <v>905.75999999999988</v>
      </c>
      <c r="O141" s="110">
        <v>26190.703136185704</v>
      </c>
      <c r="P141" s="109">
        <v>32951.075858053649</v>
      </c>
      <c r="Q141" s="110">
        <v>24873.499317732651</v>
      </c>
      <c r="R141" s="258">
        <v>51064.202453918355</v>
      </c>
      <c r="S141" s="259">
        <v>57824.575175786304</v>
      </c>
      <c r="U141" s="7" t="s">
        <v>2209</v>
      </c>
    </row>
    <row r="142" spans="1:21" ht="16.5" thickBot="1">
      <c r="A142" s="38" t="s">
        <v>31</v>
      </c>
      <c r="B142" s="39">
        <f t="shared" si="6"/>
        <v>90</v>
      </c>
      <c r="C142" s="39" t="s">
        <v>3</v>
      </c>
      <c r="D142" s="39">
        <f t="shared" si="7"/>
        <v>260</v>
      </c>
      <c r="E142" s="39" t="s">
        <v>3</v>
      </c>
      <c r="F142" s="90">
        <f t="shared" si="8"/>
        <v>2100</v>
      </c>
      <c r="G142" s="39" t="s">
        <v>3</v>
      </c>
      <c r="H142" s="39">
        <v>2</v>
      </c>
      <c r="I142" s="40" t="s">
        <v>40</v>
      </c>
      <c r="J142" s="149">
        <v>90</v>
      </c>
      <c r="K142" s="66">
        <v>260</v>
      </c>
      <c r="L142" s="66">
        <v>2100</v>
      </c>
      <c r="M142" s="150">
        <v>18.043816511423422</v>
      </c>
      <c r="N142" s="78">
        <v>932.4</v>
      </c>
      <c r="O142" s="110">
        <v>26663.69546150514</v>
      </c>
      <c r="P142" s="109">
        <v>33575.081100575102</v>
      </c>
      <c r="Q142" s="110">
        <v>25595.289022996385</v>
      </c>
      <c r="R142" s="258">
        <v>52258.984484501525</v>
      </c>
      <c r="S142" s="259">
        <v>59170.370123571483</v>
      </c>
      <c r="U142" s="7" t="s">
        <v>2210</v>
      </c>
    </row>
    <row r="143" spans="1:21" ht="16.5" thickBot="1">
      <c r="A143" s="41" t="s">
        <v>31</v>
      </c>
      <c r="B143" s="42">
        <f t="shared" si="6"/>
        <v>90</v>
      </c>
      <c r="C143" s="42" t="s">
        <v>3</v>
      </c>
      <c r="D143" s="42">
        <f t="shared" si="7"/>
        <v>260</v>
      </c>
      <c r="E143" s="42" t="s">
        <v>3</v>
      </c>
      <c r="F143" s="90">
        <f t="shared" si="8"/>
        <v>2150</v>
      </c>
      <c r="G143" s="42" t="s">
        <v>3</v>
      </c>
      <c r="H143" s="39">
        <v>2</v>
      </c>
      <c r="I143" s="40" t="s">
        <v>40</v>
      </c>
      <c r="J143" s="149">
        <v>90</v>
      </c>
      <c r="K143" s="66">
        <v>260</v>
      </c>
      <c r="L143" s="66">
        <v>2150</v>
      </c>
      <c r="M143" s="150">
        <v>18.436743133408683</v>
      </c>
      <c r="N143" s="78">
        <v>959.04</v>
      </c>
      <c r="O143" s="110">
        <v>27136.687786824583</v>
      </c>
      <c r="P143" s="109">
        <v>34199.086343096547</v>
      </c>
      <c r="Q143" s="110">
        <v>26065.744590476344</v>
      </c>
      <c r="R143" s="258">
        <v>53202.432377300924</v>
      </c>
      <c r="S143" s="259">
        <v>60264.830933572892</v>
      </c>
      <c r="U143" s="7" t="s">
        <v>2211</v>
      </c>
    </row>
    <row r="144" spans="1:21" ht="16.5" thickBot="1">
      <c r="A144" s="41" t="s">
        <v>31</v>
      </c>
      <c r="B144" s="42">
        <f t="shared" si="6"/>
        <v>90</v>
      </c>
      <c r="C144" s="42" t="s">
        <v>3</v>
      </c>
      <c r="D144" s="42">
        <f t="shared" si="7"/>
        <v>260</v>
      </c>
      <c r="E144" s="42" t="s">
        <v>3</v>
      </c>
      <c r="F144" s="90">
        <f t="shared" si="8"/>
        <v>2200</v>
      </c>
      <c r="G144" s="42" t="s">
        <v>3</v>
      </c>
      <c r="H144" s="39">
        <v>2</v>
      </c>
      <c r="I144" s="40" t="s">
        <v>40</v>
      </c>
      <c r="J144" s="149">
        <v>90</v>
      </c>
      <c r="K144" s="66">
        <v>260</v>
      </c>
      <c r="L144" s="66">
        <v>2200</v>
      </c>
      <c r="M144" s="150">
        <v>18.846709755393945</v>
      </c>
      <c r="N144" s="78">
        <v>985.68</v>
      </c>
      <c r="O144" s="110">
        <v>27609.680112144018</v>
      </c>
      <c r="P144" s="109">
        <v>34823.091585617993</v>
      </c>
      <c r="Q144" s="110">
        <v>26787.534295740079</v>
      </c>
      <c r="R144" s="258">
        <v>54397.214407884094</v>
      </c>
      <c r="S144" s="259">
        <v>61610.625881358072</v>
      </c>
      <c r="U144" s="7" t="s">
        <v>2212</v>
      </c>
    </row>
    <row r="145" spans="1:21" ht="16.5" thickBot="1">
      <c r="A145" s="41" t="s">
        <v>31</v>
      </c>
      <c r="B145" s="42">
        <f t="shared" si="6"/>
        <v>90</v>
      </c>
      <c r="C145" s="42" t="s">
        <v>3</v>
      </c>
      <c r="D145" s="42">
        <f t="shared" si="7"/>
        <v>260</v>
      </c>
      <c r="E145" s="42" t="s">
        <v>3</v>
      </c>
      <c r="F145" s="90">
        <f t="shared" si="8"/>
        <v>2250</v>
      </c>
      <c r="G145" s="42" t="s">
        <v>3</v>
      </c>
      <c r="H145" s="39">
        <v>2</v>
      </c>
      <c r="I145" s="40" t="s">
        <v>40</v>
      </c>
      <c r="J145" s="149">
        <v>90</v>
      </c>
      <c r="K145" s="66">
        <v>260</v>
      </c>
      <c r="L145" s="66">
        <v>2250</v>
      </c>
      <c r="M145" s="150">
        <v>19.23963637737921</v>
      </c>
      <c r="N145" s="78">
        <v>1012.3199999999999</v>
      </c>
      <c r="O145" s="110">
        <v>28082.672284434695</v>
      </c>
      <c r="P145" s="109">
        <v>35447.096675110675</v>
      </c>
      <c r="Q145" s="110">
        <v>27257.989710191272</v>
      </c>
      <c r="R145" s="258">
        <v>55340.661994625967</v>
      </c>
      <c r="S145" s="259">
        <v>62705.086385301947</v>
      </c>
      <c r="U145" s="7" t="s">
        <v>2213</v>
      </c>
    </row>
    <row r="146" spans="1:21" ht="16.5" thickBot="1">
      <c r="A146" s="41" t="s">
        <v>31</v>
      </c>
      <c r="B146" s="42">
        <f t="shared" si="6"/>
        <v>90</v>
      </c>
      <c r="C146" s="42" t="s">
        <v>3</v>
      </c>
      <c r="D146" s="42">
        <f t="shared" si="7"/>
        <v>260</v>
      </c>
      <c r="E146" s="42" t="s">
        <v>3</v>
      </c>
      <c r="F146" s="90">
        <f t="shared" si="8"/>
        <v>2300</v>
      </c>
      <c r="G146" s="42" t="s">
        <v>3</v>
      </c>
      <c r="H146" s="39">
        <v>2</v>
      </c>
      <c r="I146" s="40" t="s">
        <v>40</v>
      </c>
      <c r="J146" s="149">
        <v>90</v>
      </c>
      <c r="K146" s="66">
        <v>260</v>
      </c>
      <c r="L146" s="66">
        <v>2300</v>
      </c>
      <c r="M146" s="150">
        <v>19.632562999364474</v>
      </c>
      <c r="N146" s="78">
        <v>1038.9599999999998</v>
      </c>
      <c r="O146" s="110">
        <v>28555.664609754131</v>
      </c>
      <c r="P146" s="109">
        <v>36071.101917632128</v>
      </c>
      <c r="Q146" s="110">
        <v>27728.445277671239</v>
      </c>
      <c r="R146" s="258">
        <v>56284.109887425366</v>
      </c>
      <c r="S146" s="259">
        <v>63799.54719530337</v>
      </c>
      <c r="U146" s="7" t="s">
        <v>2214</v>
      </c>
    </row>
    <row r="147" spans="1:21" ht="16.5" thickBot="1">
      <c r="A147" s="41" t="s">
        <v>31</v>
      </c>
      <c r="B147" s="42">
        <f t="shared" si="6"/>
        <v>90</v>
      </c>
      <c r="C147" s="42" t="s">
        <v>3</v>
      </c>
      <c r="D147" s="42">
        <f t="shared" si="7"/>
        <v>260</v>
      </c>
      <c r="E147" s="42" t="s">
        <v>3</v>
      </c>
      <c r="F147" s="90">
        <f t="shared" si="8"/>
        <v>2350</v>
      </c>
      <c r="G147" s="42" t="s">
        <v>3</v>
      </c>
      <c r="H147" s="39">
        <v>2</v>
      </c>
      <c r="I147" s="40" t="s">
        <v>40</v>
      </c>
      <c r="J147" s="149">
        <v>90</v>
      </c>
      <c r="K147" s="66">
        <v>260</v>
      </c>
      <c r="L147" s="66">
        <v>2350</v>
      </c>
      <c r="M147" s="150">
        <v>20.042529621349736</v>
      </c>
      <c r="N147" s="78">
        <v>1065.5999999999999</v>
      </c>
      <c r="O147" s="110">
        <v>29028.65693507357</v>
      </c>
      <c r="P147" s="109">
        <v>36695.107160153573</v>
      </c>
      <c r="Q147" s="110">
        <v>28450.234982934966</v>
      </c>
      <c r="R147" s="258">
        <v>57478.891918008536</v>
      </c>
      <c r="S147" s="259">
        <v>65145.342143088536</v>
      </c>
      <c r="U147" s="7" t="s">
        <v>2215</v>
      </c>
    </row>
    <row r="148" spans="1:21" ht="16.5" thickBot="1">
      <c r="A148" s="41" t="s">
        <v>31</v>
      </c>
      <c r="B148" s="42">
        <f t="shared" si="6"/>
        <v>90</v>
      </c>
      <c r="C148" s="42" t="s">
        <v>3</v>
      </c>
      <c r="D148" s="42">
        <f t="shared" si="7"/>
        <v>260</v>
      </c>
      <c r="E148" s="42" t="s">
        <v>3</v>
      </c>
      <c r="F148" s="90">
        <f t="shared" si="8"/>
        <v>2400</v>
      </c>
      <c r="G148" s="42" t="s">
        <v>3</v>
      </c>
      <c r="H148" s="39">
        <v>2</v>
      </c>
      <c r="I148" s="40" t="s">
        <v>40</v>
      </c>
      <c r="J148" s="149">
        <v>90</v>
      </c>
      <c r="K148" s="66">
        <v>260</v>
      </c>
      <c r="L148" s="66">
        <v>2400</v>
      </c>
      <c r="M148" s="150">
        <v>20.435456243335</v>
      </c>
      <c r="N148" s="78">
        <v>1092.24</v>
      </c>
      <c r="O148" s="110">
        <v>29501.649260393009</v>
      </c>
      <c r="P148" s="109">
        <v>37319.112402675019</v>
      </c>
      <c r="Q148" s="110">
        <v>28920.690550414929</v>
      </c>
      <c r="R148" s="258">
        <v>58422.339810807942</v>
      </c>
      <c r="S148" s="259">
        <v>66239.802953089951</v>
      </c>
      <c r="U148" s="7" t="s">
        <v>2216</v>
      </c>
    </row>
    <row r="149" spans="1:21" ht="16.5" thickBot="1">
      <c r="A149" s="41" t="s">
        <v>31</v>
      </c>
      <c r="B149" s="42">
        <f t="shared" si="6"/>
        <v>90</v>
      </c>
      <c r="C149" s="42" t="s">
        <v>3</v>
      </c>
      <c r="D149" s="42">
        <f t="shared" si="7"/>
        <v>260</v>
      </c>
      <c r="E149" s="42" t="s">
        <v>3</v>
      </c>
      <c r="F149" s="90">
        <f t="shared" si="8"/>
        <v>2450</v>
      </c>
      <c r="G149" s="42" t="s">
        <v>3</v>
      </c>
      <c r="H149" s="39">
        <v>2</v>
      </c>
      <c r="I149" s="40" t="s">
        <v>40</v>
      </c>
      <c r="J149" s="149">
        <v>90</v>
      </c>
      <c r="K149" s="66">
        <v>260</v>
      </c>
      <c r="L149" s="66">
        <v>2450</v>
      </c>
      <c r="M149" s="150">
        <v>20.969187054120265</v>
      </c>
      <c r="N149" s="78">
        <v>1118.8799999999999</v>
      </c>
      <c r="O149" s="110">
        <v>30617.095517071073</v>
      </c>
      <c r="P149" s="109">
        <v>38526.930953759183</v>
      </c>
      <c r="Q149" s="110">
        <v>29642.480255678664</v>
      </c>
      <c r="R149" s="258">
        <v>60259.57577274974</v>
      </c>
      <c r="S149" s="259">
        <v>68169.411209437851</v>
      </c>
      <c r="U149" s="7" t="s">
        <v>2217</v>
      </c>
    </row>
    <row r="150" spans="1:21" ht="16.5" thickBot="1">
      <c r="A150" s="41" t="s">
        <v>31</v>
      </c>
      <c r="B150" s="42">
        <f t="shared" si="6"/>
        <v>90</v>
      </c>
      <c r="C150" s="42" t="s">
        <v>3</v>
      </c>
      <c r="D150" s="42">
        <f t="shared" si="7"/>
        <v>260</v>
      </c>
      <c r="E150" s="42" t="s">
        <v>3</v>
      </c>
      <c r="F150" s="90">
        <f t="shared" si="8"/>
        <v>2500</v>
      </c>
      <c r="G150" s="42" t="s">
        <v>3</v>
      </c>
      <c r="H150" s="39">
        <v>2</v>
      </c>
      <c r="I150" s="40" t="s">
        <v>40</v>
      </c>
      <c r="J150" s="149">
        <v>90</v>
      </c>
      <c r="K150" s="66">
        <v>260</v>
      </c>
      <c r="L150" s="66">
        <v>2500</v>
      </c>
      <c r="M150" s="150">
        <v>21.36211367610553</v>
      </c>
      <c r="N150" s="78">
        <v>1145.52</v>
      </c>
      <c r="O150" s="110">
        <v>31090.087689361746</v>
      </c>
      <c r="P150" s="109">
        <v>39150.936196280636</v>
      </c>
      <c r="Q150" s="110">
        <v>30112.935823158623</v>
      </c>
      <c r="R150" s="258">
        <v>61203.023512520369</v>
      </c>
      <c r="S150" s="259">
        <v>69263.872019439266</v>
      </c>
      <c r="U150" s="7" t="s">
        <v>2218</v>
      </c>
    </row>
    <row r="151" spans="1:21" ht="16.5" thickBot="1">
      <c r="A151" s="41" t="s">
        <v>31</v>
      </c>
      <c r="B151" s="42">
        <f t="shared" si="6"/>
        <v>90</v>
      </c>
      <c r="C151" s="42" t="s">
        <v>3</v>
      </c>
      <c r="D151" s="42">
        <f t="shared" si="7"/>
        <v>260</v>
      </c>
      <c r="E151" s="42" t="s">
        <v>3</v>
      </c>
      <c r="F151" s="90">
        <f t="shared" si="8"/>
        <v>2550</v>
      </c>
      <c r="G151" s="42" t="s">
        <v>3</v>
      </c>
      <c r="H151" s="39">
        <v>2</v>
      </c>
      <c r="I151" s="40" t="s">
        <v>40</v>
      </c>
      <c r="J151" s="149">
        <v>90</v>
      </c>
      <c r="K151" s="66">
        <v>260</v>
      </c>
      <c r="L151" s="66">
        <v>2550</v>
      </c>
      <c r="M151" s="150">
        <v>21.772080298090792</v>
      </c>
      <c r="N151" s="78">
        <v>1172.1599999999999</v>
      </c>
      <c r="O151" s="110">
        <v>31563.080014681182</v>
      </c>
      <c r="P151" s="109">
        <v>39774.941285773319</v>
      </c>
      <c r="Q151" s="110">
        <v>30834.725528422357</v>
      </c>
      <c r="R151" s="258">
        <v>62397.805543103539</v>
      </c>
      <c r="S151" s="259">
        <v>70609.666814195676</v>
      </c>
      <c r="U151" s="7" t="s">
        <v>2219</v>
      </c>
    </row>
    <row r="152" spans="1:21" ht="16.5" thickBot="1">
      <c r="A152" s="38" t="s">
        <v>31</v>
      </c>
      <c r="B152" s="39">
        <f t="shared" si="6"/>
        <v>90</v>
      </c>
      <c r="C152" s="39" t="s">
        <v>3</v>
      </c>
      <c r="D152" s="39">
        <f t="shared" si="7"/>
        <v>260</v>
      </c>
      <c r="E152" s="39" t="s">
        <v>3</v>
      </c>
      <c r="F152" s="90">
        <f t="shared" si="8"/>
        <v>2600</v>
      </c>
      <c r="G152" s="39" t="s">
        <v>3</v>
      </c>
      <c r="H152" s="39">
        <v>2</v>
      </c>
      <c r="I152" s="40" t="s">
        <v>40</v>
      </c>
      <c r="J152" s="149">
        <v>90</v>
      </c>
      <c r="K152" s="66">
        <v>260</v>
      </c>
      <c r="L152" s="66">
        <v>2600</v>
      </c>
      <c r="M152" s="150">
        <v>22.165006920076056</v>
      </c>
      <c r="N152" s="78">
        <v>1198.8</v>
      </c>
      <c r="O152" s="110">
        <v>32036.072340000625</v>
      </c>
      <c r="P152" s="109">
        <v>40398.946528294764</v>
      </c>
      <c r="Q152" s="110">
        <v>31305.181095902317</v>
      </c>
      <c r="R152" s="258">
        <v>63341.253435902938</v>
      </c>
      <c r="S152" s="259">
        <v>71704.127624197077</v>
      </c>
      <c r="U152" s="7" t="s">
        <v>2220</v>
      </c>
    </row>
    <row r="153" spans="1:21" ht="16.5" thickBot="1">
      <c r="A153" s="41" t="s">
        <v>31</v>
      </c>
      <c r="B153" s="42">
        <f t="shared" si="6"/>
        <v>90</v>
      </c>
      <c r="C153" s="42" t="s">
        <v>3</v>
      </c>
      <c r="D153" s="42">
        <f t="shared" si="7"/>
        <v>260</v>
      </c>
      <c r="E153" s="42" t="s">
        <v>3</v>
      </c>
      <c r="F153" s="90">
        <f t="shared" si="8"/>
        <v>2650</v>
      </c>
      <c r="G153" s="42" t="s">
        <v>3</v>
      </c>
      <c r="H153" s="39">
        <v>2</v>
      </c>
      <c r="I153" s="40" t="s">
        <v>40</v>
      </c>
      <c r="J153" s="149">
        <v>90</v>
      </c>
      <c r="K153" s="66">
        <v>260</v>
      </c>
      <c r="L153" s="66">
        <v>2650</v>
      </c>
      <c r="M153" s="150">
        <v>22.574973542061318</v>
      </c>
      <c r="N153" s="78">
        <v>1225.44</v>
      </c>
      <c r="O153" s="110">
        <v>32509.06466532006</v>
      </c>
      <c r="P153" s="109">
        <v>41022.951770816209</v>
      </c>
      <c r="Q153" s="110">
        <v>32026.970801166051</v>
      </c>
      <c r="R153" s="258">
        <v>64536.035466486108</v>
      </c>
      <c r="S153" s="259">
        <v>73049.922571982257</v>
      </c>
      <c r="U153" s="7" t="s">
        <v>2221</v>
      </c>
    </row>
    <row r="154" spans="1:21" ht="16.5" thickBot="1">
      <c r="A154" s="41" t="s">
        <v>31</v>
      </c>
      <c r="B154" s="42">
        <f t="shared" si="6"/>
        <v>90</v>
      </c>
      <c r="C154" s="42" t="s">
        <v>3</v>
      </c>
      <c r="D154" s="42">
        <f t="shared" si="7"/>
        <v>260</v>
      </c>
      <c r="E154" s="42" t="s">
        <v>3</v>
      </c>
      <c r="F154" s="90">
        <f t="shared" si="8"/>
        <v>2700</v>
      </c>
      <c r="G154" s="42" t="s">
        <v>3</v>
      </c>
      <c r="H154" s="39">
        <v>2</v>
      </c>
      <c r="I154" s="40" t="s">
        <v>40</v>
      </c>
      <c r="J154" s="149">
        <v>90</v>
      </c>
      <c r="K154" s="66">
        <v>260</v>
      </c>
      <c r="L154" s="66">
        <v>2700</v>
      </c>
      <c r="M154" s="150">
        <v>23.007150164046585</v>
      </c>
      <c r="N154" s="78">
        <v>1252.0800000000002</v>
      </c>
      <c r="O154" s="110">
        <v>33032.05715027015</v>
      </c>
      <c r="P154" s="109">
        <v>41697.262465354732</v>
      </c>
      <c r="Q154" s="110">
        <v>32497.426368646011</v>
      </c>
      <c r="R154" s="258">
        <v>65529.48351891616</v>
      </c>
      <c r="S154" s="259">
        <v>74194.688834000743</v>
      </c>
      <c r="U154" s="7" t="s">
        <v>2222</v>
      </c>
    </row>
    <row r="155" spans="1:21" ht="16.5" thickBot="1">
      <c r="A155" s="41" t="s">
        <v>31</v>
      </c>
      <c r="B155" s="42">
        <f t="shared" si="6"/>
        <v>90</v>
      </c>
      <c r="C155" s="42" t="s">
        <v>3</v>
      </c>
      <c r="D155" s="42">
        <f t="shared" si="7"/>
        <v>260</v>
      </c>
      <c r="E155" s="42" t="s">
        <v>3</v>
      </c>
      <c r="F155" s="90">
        <f t="shared" si="8"/>
        <v>2750</v>
      </c>
      <c r="G155" s="42" t="s">
        <v>3</v>
      </c>
      <c r="H155" s="39">
        <v>2</v>
      </c>
      <c r="I155" s="40" t="s">
        <v>40</v>
      </c>
      <c r="J155" s="149">
        <v>90</v>
      </c>
      <c r="K155" s="66">
        <v>260</v>
      </c>
      <c r="L155" s="66">
        <v>2750</v>
      </c>
      <c r="M155" s="150">
        <v>23.400076786031846</v>
      </c>
      <c r="N155" s="78">
        <v>1278.7199999999998</v>
      </c>
      <c r="O155" s="110">
        <v>33505.049475589592</v>
      </c>
      <c r="P155" s="109">
        <v>42321.267707876177</v>
      </c>
      <c r="Q155" s="110">
        <v>32967.881936125974</v>
      </c>
      <c r="R155" s="258">
        <v>66472.931411715574</v>
      </c>
      <c r="S155" s="259">
        <v>75289.149644002144</v>
      </c>
      <c r="U155" s="7" t="s">
        <v>2223</v>
      </c>
    </row>
    <row r="156" spans="1:21" ht="16.5" thickBot="1">
      <c r="A156" s="41" t="s">
        <v>31</v>
      </c>
      <c r="B156" s="42">
        <f t="shared" si="6"/>
        <v>90</v>
      </c>
      <c r="C156" s="42" t="s">
        <v>3</v>
      </c>
      <c r="D156" s="42">
        <f t="shared" si="7"/>
        <v>260</v>
      </c>
      <c r="E156" s="42" t="s">
        <v>3</v>
      </c>
      <c r="F156" s="90">
        <f t="shared" si="8"/>
        <v>2800</v>
      </c>
      <c r="G156" s="42" t="s">
        <v>3</v>
      </c>
      <c r="H156" s="39">
        <v>2</v>
      </c>
      <c r="I156" s="40" t="s">
        <v>40</v>
      </c>
      <c r="J156" s="149">
        <v>90</v>
      </c>
      <c r="K156" s="66">
        <v>260</v>
      </c>
      <c r="L156" s="66">
        <v>2800</v>
      </c>
      <c r="M156" s="150">
        <v>23.810043408017108</v>
      </c>
      <c r="N156" s="78">
        <v>1305.3599999999999</v>
      </c>
      <c r="O156" s="110">
        <v>33978.041647880258</v>
      </c>
      <c r="P156" s="109">
        <v>42945.272950397622</v>
      </c>
      <c r="Q156" s="110">
        <v>33689.671488360938</v>
      </c>
      <c r="R156" s="258">
        <v>67667.713136241189</v>
      </c>
      <c r="S156" s="259">
        <v>76634.944438758568</v>
      </c>
      <c r="U156" s="7" t="s">
        <v>2224</v>
      </c>
    </row>
    <row r="157" spans="1:21" ht="16.5" thickBot="1">
      <c r="A157" s="41" t="s">
        <v>31</v>
      </c>
      <c r="B157" s="42">
        <f t="shared" si="6"/>
        <v>90</v>
      </c>
      <c r="C157" s="42" t="s">
        <v>3</v>
      </c>
      <c r="D157" s="42">
        <f t="shared" si="7"/>
        <v>260</v>
      </c>
      <c r="E157" s="42" t="s">
        <v>3</v>
      </c>
      <c r="F157" s="90">
        <f t="shared" si="8"/>
        <v>2850</v>
      </c>
      <c r="G157" s="42" t="s">
        <v>3</v>
      </c>
      <c r="H157" s="39">
        <v>2</v>
      </c>
      <c r="I157" s="40" t="s">
        <v>40</v>
      </c>
      <c r="J157" s="149">
        <v>90</v>
      </c>
      <c r="K157" s="66">
        <v>260</v>
      </c>
      <c r="L157" s="66">
        <v>2850</v>
      </c>
      <c r="M157" s="150">
        <v>24.202970030002369</v>
      </c>
      <c r="N157" s="78">
        <v>1332</v>
      </c>
      <c r="O157" s="110">
        <v>34451.033973199701</v>
      </c>
      <c r="P157" s="109">
        <v>43569.278039890312</v>
      </c>
      <c r="Q157" s="110">
        <v>34160.127055840901</v>
      </c>
      <c r="R157" s="258">
        <v>68611.16102904061</v>
      </c>
      <c r="S157" s="259">
        <v>77729.405095731214</v>
      </c>
      <c r="U157" s="7" t="s">
        <v>2225</v>
      </c>
    </row>
    <row r="158" spans="1:21" ht="16.5" thickBot="1">
      <c r="A158" s="41" t="s">
        <v>31</v>
      </c>
      <c r="B158" s="42">
        <f t="shared" si="6"/>
        <v>90</v>
      </c>
      <c r="C158" s="42" t="s">
        <v>3</v>
      </c>
      <c r="D158" s="42">
        <f t="shared" si="7"/>
        <v>260</v>
      </c>
      <c r="E158" s="42" t="s">
        <v>3</v>
      </c>
      <c r="F158" s="90">
        <f t="shared" si="8"/>
        <v>2900</v>
      </c>
      <c r="G158" s="42" t="s">
        <v>3</v>
      </c>
      <c r="H158" s="39">
        <v>2</v>
      </c>
      <c r="I158" s="40" t="s">
        <v>40</v>
      </c>
      <c r="J158" s="149">
        <v>90</v>
      </c>
      <c r="K158" s="66">
        <v>260</v>
      </c>
      <c r="L158" s="66">
        <v>2900</v>
      </c>
      <c r="M158" s="150">
        <v>24.612936651987631</v>
      </c>
      <c r="N158" s="78">
        <v>1358.64</v>
      </c>
      <c r="O158" s="110">
        <v>34924.026298519137</v>
      </c>
      <c r="P158" s="109">
        <v>44193.283282411758</v>
      </c>
      <c r="Q158" s="110">
        <v>34881.916761104636</v>
      </c>
      <c r="R158" s="258">
        <v>69805.943059623765</v>
      </c>
      <c r="S158" s="259">
        <v>79075.200043516394</v>
      </c>
      <c r="U158" s="7" t="s">
        <v>2226</v>
      </c>
    </row>
    <row r="159" spans="1:21" ht="16.5" thickBot="1">
      <c r="A159" s="41" t="s">
        <v>31</v>
      </c>
      <c r="B159" s="42">
        <f t="shared" si="6"/>
        <v>90</v>
      </c>
      <c r="C159" s="42" t="s">
        <v>3</v>
      </c>
      <c r="D159" s="42">
        <f t="shared" si="7"/>
        <v>260</v>
      </c>
      <c r="E159" s="42" t="s">
        <v>3</v>
      </c>
      <c r="F159" s="90">
        <f t="shared" si="8"/>
        <v>2950</v>
      </c>
      <c r="G159" s="42" t="s">
        <v>3</v>
      </c>
      <c r="H159" s="39">
        <v>2</v>
      </c>
      <c r="I159" s="40" t="s">
        <v>40</v>
      </c>
      <c r="J159" s="149">
        <v>90</v>
      </c>
      <c r="K159" s="66">
        <v>260</v>
      </c>
      <c r="L159" s="66">
        <v>2950</v>
      </c>
      <c r="M159" s="150">
        <v>25.005863273972899</v>
      </c>
      <c r="N159" s="78">
        <v>1385.28</v>
      </c>
      <c r="O159" s="110">
        <v>35397.01862383858</v>
      </c>
      <c r="P159" s="109">
        <v>44817.288524933203</v>
      </c>
      <c r="Q159" s="110">
        <v>35352.372328584599</v>
      </c>
      <c r="R159" s="258">
        <v>70749.390952423186</v>
      </c>
      <c r="S159" s="259">
        <v>80169.660853517795</v>
      </c>
      <c r="U159" s="7" t="s">
        <v>2227</v>
      </c>
    </row>
    <row r="160" spans="1:21" ht="16.5" thickBot="1">
      <c r="A160" s="43" t="s">
        <v>31</v>
      </c>
      <c r="B160" s="44">
        <f t="shared" si="6"/>
        <v>90</v>
      </c>
      <c r="C160" s="44" t="s">
        <v>3</v>
      </c>
      <c r="D160" s="44">
        <f t="shared" si="7"/>
        <v>260</v>
      </c>
      <c r="E160" s="44" t="s">
        <v>3</v>
      </c>
      <c r="F160" s="91">
        <f t="shared" si="8"/>
        <v>3000</v>
      </c>
      <c r="G160" s="44" t="s">
        <v>3</v>
      </c>
      <c r="H160" s="46">
        <v>2</v>
      </c>
      <c r="I160" s="45" t="s">
        <v>40</v>
      </c>
      <c r="J160" s="151">
        <v>90</v>
      </c>
      <c r="K160" s="126">
        <v>260</v>
      </c>
      <c r="L160" s="126">
        <v>3000</v>
      </c>
      <c r="M160" s="152">
        <v>25.415829895958161</v>
      </c>
      <c r="N160" s="127">
        <v>1411.9199999999998</v>
      </c>
      <c r="O160" s="136">
        <v>37150.932412543756</v>
      </c>
      <c r="P160" s="154">
        <v>45441.293767454648</v>
      </c>
      <c r="Q160" s="136">
        <v>36074.162033848326</v>
      </c>
      <c r="R160" s="260">
        <v>73225.09444639209</v>
      </c>
      <c r="S160" s="261">
        <v>81515.455801302975</v>
      </c>
      <c r="U160" s="7" t="s">
        <v>2228</v>
      </c>
    </row>
    <row r="161" spans="1:21" ht="22.5" customHeight="1" thickBot="1">
      <c r="A161" s="2968" t="s">
        <v>43</v>
      </c>
      <c r="B161" s="2969"/>
      <c r="C161" s="2969"/>
      <c r="D161" s="2969"/>
      <c r="E161" s="2969"/>
      <c r="F161" s="2969"/>
      <c r="G161" s="2969"/>
      <c r="H161" s="2969"/>
      <c r="I161" s="2969"/>
      <c r="J161" s="2969"/>
      <c r="K161" s="2969"/>
      <c r="L161" s="2969"/>
      <c r="M161" s="2969"/>
      <c r="N161" s="2969"/>
      <c r="O161" s="2969"/>
      <c r="P161" s="2969"/>
      <c r="Q161" s="2969"/>
      <c r="R161" s="2969"/>
      <c r="S161" s="2970"/>
      <c r="U161" s="7"/>
    </row>
    <row r="162" spans="1:21" ht="16.5" thickBot="1">
      <c r="A162" s="2974" t="s">
        <v>112</v>
      </c>
      <c r="B162" s="2975"/>
      <c r="C162" s="2975"/>
      <c r="D162" s="2975"/>
      <c r="E162" s="2975"/>
      <c r="F162" s="2975"/>
      <c r="G162" s="2975"/>
      <c r="H162" s="2975"/>
      <c r="I162" s="2975"/>
      <c r="J162" s="2975"/>
      <c r="K162" s="2975"/>
      <c r="L162" s="2975"/>
      <c r="M162" s="2975"/>
      <c r="N162" s="2975"/>
      <c r="O162" s="2975"/>
      <c r="P162" s="2975"/>
      <c r="Q162" s="2975"/>
      <c r="R162" s="2975"/>
      <c r="S162" s="2976"/>
      <c r="U162" s="7"/>
    </row>
    <row r="163" spans="1:21" ht="16.5" thickBot="1">
      <c r="A163" s="38" t="s">
        <v>31</v>
      </c>
      <c r="B163" s="39">
        <f>J163</f>
        <v>90</v>
      </c>
      <c r="C163" s="39" t="s">
        <v>3</v>
      </c>
      <c r="D163" s="39">
        <f>K163</f>
        <v>300</v>
      </c>
      <c r="E163" s="39" t="s">
        <v>3</v>
      </c>
      <c r="F163" s="90">
        <f>L163</f>
        <v>600</v>
      </c>
      <c r="G163" s="39" t="s">
        <v>3</v>
      </c>
      <c r="H163" s="39">
        <v>2</v>
      </c>
      <c r="I163" s="40" t="s">
        <v>40</v>
      </c>
      <c r="J163" s="146">
        <v>90</v>
      </c>
      <c r="K163" s="122">
        <v>300</v>
      </c>
      <c r="L163" s="122">
        <v>600</v>
      </c>
      <c r="M163" s="147">
        <v>6.2702494748549995</v>
      </c>
      <c r="N163" s="123">
        <v>149.61258298800001</v>
      </c>
      <c r="O163" s="139">
        <v>12031.898135110512</v>
      </c>
      <c r="P163" s="148">
        <v>14602.666464607903</v>
      </c>
      <c r="Q163" s="139">
        <v>8941.6715199935952</v>
      </c>
      <c r="R163" s="256">
        <v>20973.569655104107</v>
      </c>
      <c r="S163" s="257">
        <v>23544.337984601498</v>
      </c>
      <c r="U163" s="7" t="s">
        <v>2229</v>
      </c>
    </row>
    <row r="164" spans="1:21" ht="16.5" thickBot="1">
      <c r="A164" s="41" t="s">
        <v>31</v>
      </c>
      <c r="B164" s="42">
        <f t="shared" ref="B164:B211" si="9">J164</f>
        <v>90</v>
      </c>
      <c r="C164" s="42" t="s">
        <v>3</v>
      </c>
      <c r="D164" s="42">
        <f t="shared" ref="D164:D211" si="10">K164</f>
        <v>300</v>
      </c>
      <c r="E164" s="42" t="s">
        <v>3</v>
      </c>
      <c r="F164" s="90">
        <f t="shared" ref="F164:F211" si="11">L164</f>
        <v>650</v>
      </c>
      <c r="G164" s="42" t="s">
        <v>3</v>
      </c>
      <c r="H164" s="39">
        <v>2</v>
      </c>
      <c r="I164" s="40" t="s">
        <v>40</v>
      </c>
      <c r="J164" s="149">
        <v>90</v>
      </c>
      <c r="K164" s="66">
        <v>300</v>
      </c>
      <c r="L164" s="66">
        <v>650</v>
      </c>
      <c r="M164" s="150">
        <v>6.6950298047350003</v>
      </c>
      <c r="N164" s="78">
        <v>179.53509958560002</v>
      </c>
      <c r="O164" s="110">
        <v>12525.323473264501</v>
      </c>
      <c r="P164" s="111">
        <v>15262.459320199014</v>
      </c>
      <c r="Q164" s="110">
        <v>9465.3131529653438</v>
      </c>
      <c r="R164" s="258">
        <v>21990.636626229847</v>
      </c>
      <c r="S164" s="259">
        <v>24727.772473164358</v>
      </c>
      <c r="U164" s="7" t="s">
        <v>2230</v>
      </c>
    </row>
    <row r="165" spans="1:21" ht="16.5" thickBot="1">
      <c r="A165" s="41" t="s">
        <v>31</v>
      </c>
      <c r="B165" s="42">
        <f t="shared" si="9"/>
        <v>90</v>
      </c>
      <c r="C165" s="42" t="s">
        <v>3</v>
      </c>
      <c r="D165" s="42">
        <f t="shared" si="10"/>
        <v>300</v>
      </c>
      <c r="E165" s="42" t="s">
        <v>3</v>
      </c>
      <c r="F165" s="90">
        <f t="shared" si="11"/>
        <v>700</v>
      </c>
      <c r="G165" s="42" t="s">
        <v>3</v>
      </c>
      <c r="H165" s="39">
        <v>2</v>
      </c>
      <c r="I165" s="40" t="s">
        <v>40</v>
      </c>
      <c r="J165" s="149">
        <v>90</v>
      </c>
      <c r="K165" s="66">
        <v>300</v>
      </c>
      <c r="L165" s="66">
        <v>700</v>
      </c>
      <c r="M165" s="150">
        <v>7.1368501346149991</v>
      </c>
      <c r="N165" s="78">
        <v>209.4576161832</v>
      </c>
      <c r="O165" s="110">
        <v>13018.748964447257</v>
      </c>
      <c r="P165" s="111">
        <v>15922.25202276136</v>
      </c>
      <c r="Q165" s="110">
        <v>10240.289076749623</v>
      </c>
      <c r="R165" s="258">
        <v>23259.03804119688</v>
      </c>
      <c r="S165" s="259">
        <v>26162.541099510985</v>
      </c>
      <c r="U165" s="7" t="s">
        <v>2231</v>
      </c>
    </row>
    <row r="166" spans="1:21" ht="16.5" thickBot="1">
      <c r="A166" s="41" t="s">
        <v>31</v>
      </c>
      <c r="B166" s="42">
        <f t="shared" si="9"/>
        <v>90</v>
      </c>
      <c r="C166" s="42" t="s">
        <v>3</v>
      </c>
      <c r="D166" s="42">
        <f t="shared" si="10"/>
        <v>300</v>
      </c>
      <c r="E166" s="42" t="s">
        <v>3</v>
      </c>
      <c r="F166" s="90">
        <f t="shared" si="11"/>
        <v>750</v>
      </c>
      <c r="G166" s="42" t="s">
        <v>3</v>
      </c>
      <c r="H166" s="39">
        <v>2</v>
      </c>
      <c r="I166" s="40" t="s">
        <v>40</v>
      </c>
      <c r="J166" s="149">
        <v>90</v>
      </c>
      <c r="K166" s="66">
        <v>300</v>
      </c>
      <c r="L166" s="66">
        <v>750</v>
      </c>
      <c r="M166" s="150">
        <v>7.5616304644949999</v>
      </c>
      <c r="N166" s="78">
        <v>239.38013278080001</v>
      </c>
      <c r="O166" s="110">
        <v>13512.174302601246</v>
      </c>
      <c r="P166" s="111">
        <v>16582.044725323703</v>
      </c>
      <c r="Q166" s="110">
        <v>10763.930709721371</v>
      </c>
      <c r="R166" s="258">
        <v>24276.105012322616</v>
      </c>
      <c r="S166" s="259">
        <v>27345.975435045075</v>
      </c>
      <c r="U166" s="7" t="s">
        <v>2232</v>
      </c>
    </row>
    <row r="167" spans="1:21" ht="16.5" thickBot="1">
      <c r="A167" s="41" t="s">
        <v>31</v>
      </c>
      <c r="B167" s="42">
        <f t="shared" si="9"/>
        <v>90</v>
      </c>
      <c r="C167" s="42" t="s">
        <v>3</v>
      </c>
      <c r="D167" s="42">
        <f t="shared" si="10"/>
        <v>300</v>
      </c>
      <c r="E167" s="42" t="s">
        <v>3</v>
      </c>
      <c r="F167" s="90">
        <f t="shared" si="11"/>
        <v>800</v>
      </c>
      <c r="G167" s="42" t="s">
        <v>3</v>
      </c>
      <c r="H167" s="39">
        <v>2</v>
      </c>
      <c r="I167" s="40" t="s">
        <v>40</v>
      </c>
      <c r="J167" s="149">
        <v>90</v>
      </c>
      <c r="K167" s="66">
        <v>300</v>
      </c>
      <c r="L167" s="66">
        <v>800</v>
      </c>
      <c r="M167" s="150">
        <v>7.9864107943750007</v>
      </c>
      <c r="N167" s="78">
        <v>269.30264937840002</v>
      </c>
      <c r="O167" s="110">
        <v>14005.599793784002</v>
      </c>
      <c r="P167" s="111">
        <v>17241.837580914813</v>
      </c>
      <c r="Q167" s="110">
        <v>11287.572342693116</v>
      </c>
      <c r="R167" s="258">
        <v>25293.172136477118</v>
      </c>
      <c r="S167" s="259">
        <v>28529.409923607927</v>
      </c>
      <c r="U167" s="7" t="s">
        <v>2233</v>
      </c>
    </row>
    <row r="168" spans="1:21" ht="16.5" thickBot="1">
      <c r="A168" s="41" t="s">
        <v>31</v>
      </c>
      <c r="B168" s="42">
        <f t="shared" si="9"/>
        <v>90</v>
      </c>
      <c r="C168" s="42" t="s">
        <v>3</v>
      </c>
      <c r="D168" s="42">
        <f t="shared" si="10"/>
        <v>300</v>
      </c>
      <c r="E168" s="42" t="s">
        <v>3</v>
      </c>
      <c r="F168" s="90">
        <f t="shared" si="11"/>
        <v>850</v>
      </c>
      <c r="G168" s="42" t="s">
        <v>3</v>
      </c>
      <c r="H168" s="39">
        <v>2</v>
      </c>
      <c r="I168" s="40" t="s">
        <v>40</v>
      </c>
      <c r="J168" s="149">
        <v>90</v>
      </c>
      <c r="K168" s="66">
        <v>300</v>
      </c>
      <c r="L168" s="66">
        <v>850</v>
      </c>
      <c r="M168" s="150">
        <v>8.4282311242549994</v>
      </c>
      <c r="N168" s="78">
        <v>299.22516597600003</v>
      </c>
      <c r="O168" s="110">
        <v>14499.025131937991</v>
      </c>
      <c r="P168" s="111">
        <v>17901.63028347716</v>
      </c>
      <c r="Q168" s="110">
        <v>12062.548266477399</v>
      </c>
      <c r="R168" s="258">
        <v>26561.573398415392</v>
      </c>
      <c r="S168" s="259">
        <v>29964.178549954559</v>
      </c>
      <c r="U168" s="7" t="s">
        <v>2234</v>
      </c>
    </row>
    <row r="169" spans="1:21" ht="16.5" thickBot="1">
      <c r="A169" s="41" t="s">
        <v>31</v>
      </c>
      <c r="B169" s="42">
        <f t="shared" si="9"/>
        <v>90</v>
      </c>
      <c r="C169" s="42" t="s">
        <v>3</v>
      </c>
      <c r="D169" s="42">
        <f t="shared" si="10"/>
        <v>300</v>
      </c>
      <c r="E169" s="42" t="s">
        <v>3</v>
      </c>
      <c r="F169" s="90">
        <f t="shared" si="11"/>
        <v>900</v>
      </c>
      <c r="G169" s="42" t="s">
        <v>3</v>
      </c>
      <c r="H169" s="39">
        <v>2</v>
      </c>
      <c r="I169" s="40" t="s">
        <v>40</v>
      </c>
      <c r="J169" s="149">
        <v>90</v>
      </c>
      <c r="K169" s="66">
        <v>300</v>
      </c>
      <c r="L169" s="66">
        <v>900</v>
      </c>
      <c r="M169" s="150">
        <v>8.8530114541350002</v>
      </c>
      <c r="N169" s="78">
        <v>329.14768257359998</v>
      </c>
      <c r="O169" s="110">
        <v>14992.450623120743</v>
      </c>
      <c r="P169" s="111">
        <v>18561.422986039503</v>
      </c>
      <c r="Q169" s="110">
        <v>12586.189899449146</v>
      </c>
      <c r="R169" s="258">
        <v>27578.640522569891</v>
      </c>
      <c r="S169" s="259">
        <v>31147.612885488648</v>
      </c>
      <c r="U169" s="7" t="s">
        <v>2235</v>
      </c>
    </row>
    <row r="170" spans="1:21" ht="16.5" thickBot="1">
      <c r="A170" s="41" t="s">
        <v>31</v>
      </c>
      <c r="B170" s="42">
        <f t="shared" si="9"/>
        <v>90</v>
      </c>
      <c r="C170" s="42" t="s">
        <v>3</v>
      </c>
      <c r="D170" s="42">
        <f t="shared" si="10"/>
        <v>300</v>
      </c>
      <c r="E170" s="42" t="s">
        <v>3</v>
      </c>
      <c r="F170" s="90">
        <f t="shared" si="11"/>
        <v>950</v>
      </c>
      <c r="G170" s="42" t="s">
        <v>3</v>
      </c>
      <c r="H170" s="39">
        <v>2</v>
      </c>
      <c r="I170" s="40" t="s">
        <v>40</v>
      </c>
      <c r="J170" s="149">
        <v>90</v>
      </c>
      <c r="K170" s="66">
        <v>300</v>
      </c>
      <c r="L170" s="66">
        <v>950</v>
      </c>
      <c r="M170" s="150">
        <v>9.294831784014999</v>
      </c>
      <c r="N170" s="78">
        <v>359.07019917120004</v>
      </c>
      <c r="O170" s="110">
        <v>15485.875961274733</v>
      </c>
      <c r="P170" s="111">
        <v>19221.215688601849</v>
      </c>
      <c r="Q170" s="110">
        <v>13361.165670204662</v>
      </c>
      <c r="R170" s="258">
        <v>28847.041631479395</v>
      </c>
      <c r="S170" s="259">
        <v>32582.38135880651</v>
      </c>
      <c r="U170" s="7" t="s">
        <v>2236</v>
      </c>
    </row>
    <row r="171" spans="1:21" ht="16.5" thickBot="1">
      <c r="A171" s="41" t="s">
        <v>31</v>
      </c>
      <c r="B171" s="42">
        <f t="shared" si="9"/>
        <v>90</v>
      </c>
      <c r="C171" s="42" t="s">
        <v>3</v>
      </c>
      <c r="D171" s="42">
        <f t="shared" si="10"/>
        <v>300</v>
      </c>
      <c r="E171" s="42" t="s">
        <v>3</v>
      </c>
      <c r="F171" s="90">
        <f t="shared" si="11"/>
        <v>1000</v>
      </c>
      <c r="G171" s="42" t="s">
        <v>3</v>
      </c>
      <c r="H171" s="39">
        <v>2</v>
      </c>
      <c r="I171" s="40" t="s">
        <v>40</v>
      </c>
      <c r="J171" s="149">
        <v>90</v>
      </c>
      <c r="K171" s="66">
        <v>300</v>
      </c>
      <c r="L171" s="66">
        <v>1000</v>
      </c>
      <c r="M171" s="150">
        <v>9.7196121138949998</v>
      </c>
      <c r="N171" s="78">
        <v>388.99271576880005</v>
      </c>
      <c r="O171" s="110">
        <v>15979.301452457488</v>
      </c>
      <c r="P171" s="111">
        <v>19881.008544192962</v>
      </c>
      <c r="Q171" s="110">
        <v>13884.807456205173</v>
      </c>
      <c r="R171" s="258">
        <v>29864.10890866266</v>
      </c>
      <c r="S171" s="259">
        <v>33765.816000398132</v>
      </c>
      <c r="U171" s="7" t="s">
        <v>2237</v>
      </c>
    </row>
    <row r="172" spans="1:21" ht="16.5" thickBot="1">
      <c r="A172" s="41" t="s">
        <v>31</v>
      </c>
      <c r="B172" s="42">
        <f t="shared" si="9"/>
        <v>90</v>
      </c>
      <c r="C172" s="42" t="s">
        <v>3</v>
      </c>
      <c r="D172" s="42">
        <f t="shared" si="10"/>
        <v>300</v>
      </c>
      <c r="E172" s="42" t="s">
        <v>3</v>
      </c>
      <c r="F172" s="90">
        <f t="shared" si="11"/>
        <v>1050</v>
      </c>
      <c r="G172" s="42" t="s">
        <v>3</v>
      </c>
      <c r="H172" s="39">
        <v>2</v>
      </c>
      <c r="I172" s="40" t="s">
        <v>40</v>
      </c>
      <c r="J172" s="149">
        <v>90</v>
      </c>
      <c r="K172" s="66">
        <v>300</v>
      </c>
      <c r="L172" s="66">
        <v>1050</v>
      </c>
      <c r="M172" s="150">
        <v>10.161432443775</v>
      </c>
      <c r="N172" s="78">
        <v>418.91523236640001</v>
      </c>
      <c r="O172" s="110">
        <v>16472.726790611479</v>
      </c>
      <c r="P172" s="111">
        <v>20540.801246755305</v>
      </c>
      <c r="Q172" s="110">
        <v>14659.78322696069</v>
      </c>
      <c r="R172" s="258">
        <v>31132.510017572167</v>
      </c>
      <c r="S172" s="259">
        <v>35200.584473715993</v>
      </c>
      <c r="U172" s="7" t="s">
        <v>2238</v>
      </c>
    </row>
    <row r="173" spans="1:21" ht="16.5" thickBot="1">
      <c r="A173" s="38" t="s">
        <v>31</v>
      </c>
      <c r="B173" s="39">
        <f t="shared" si="9"/>
        <v>90</v>
      </c>
      <c r="C173" s="39" t="s">
        <v>3</v>
      </c>
      <c r="D173" s="39">
        <f t="shared" si="10"/>
        <v>300</v>
      </c>
      <c r="E173" s="39" t="s">
        <v>3</v>
      </c>
      <c r="F173" s="90">
        <f t="shared" si="11"/>
        <v>1100</v>
      </c>
      <c r="G173" s="39" t="s">
        <v>3</v>
      </c>
      <c r="H173" s="39">
        <v>2</v>
      </c>
      <c r="I173" s="40" t="s">
        <v>40</v>
      </c>
      <c r="J173" s="149">
        <v>90</v>
      </c>
      <c r="K173" s="66">
        <v>300</v>
      </c>
      <c r="L173" s="66">
        <v>1100</v>
      </c>
      <c r="M173" s="150">
        <v>10.586212773654999</v>
      </c>
      <c r="N173" s="78">
        <v>448.83774896400001</v>
      </c>
      <c r="O173" s="110">
        <v>16966.152128765469</v>
      </c>
      <c r="P173" s="111">
        <v>21200.593949317652</v>
      </c>
      <c r="Q173" s="110">
        <v>15183.425012961201</v>
      </c>
      <c r="R173" s="258">
        <v>32149.57714172667</v>
      </c>
      <c r="S173" s="259">
        <v>36384.018962278853</v>
      </c>
      <c r="U173" s="7" t="s">
        <v>2239</v>
      </c>
    </row>
    <row r="174" spans="1:21" ht="16.5" thickBot="1">
      <c r="A174" s="41" t="s">
        <v>31</v>
      </c>
      <c r="B174" s="42">
        <f t="shared" si="9"/>
        <v>90</v>
      </c>
      <c r="C174" s="42" t="s">
        <v>3</v>
      </c>
      <c r="D174" s="42">
        <f t="shared" si="10"/>
        <v>300</v>
      </c>
      <c r="E174" s="42" t="s">
        <v>3</v>
      </c>
      <c r="F174" s="90">
        <f t="shared" si="11"/>
        <v>1150</v>
      </c>
      <c r="G174" s="42" t="s">
        <v>3</v>
      </c>
      <c r="H174" s="39">
        <v>2</v>
      </c>
      <c r="I174" s="40" t="s">
        <v>40</v>
      </c>
      <c r="J174" s="149">
        <v>90</v>
      </c>
      <c r="K174" s="66">
        <v>300</v>
      </c>
      <c r="L174" s="66">
        <v>1150</v>
      </c>
      <c r="M174" s="150">
        <v>11.010993103535</v>
      </c>
      <c r="N174" s="78">
        <v>478.76026556160002</v>
      </c>
      <c r="O174" s="110">
        <v>17459.577619948224</v>
      </c>
      <c r="P174" s="111">
        <v>21860.386651879995</v>
      </c>
      <c r="Q174" s="110">
        <v>15707.066645932946</v>
      </c>
      <c r="R174" s="258">
        <v>33166.644265881172</v>
      </c>
      <c r="S174" s="259">
        <v>37567.453297812943</v>
      </c>
      <c r="U174" s="7" t="s">
        <v>2240</v>
      </c>
    </row>
    <row r="175" spans="1:21" ht="16.5" thickBot="1">
      <c r="A175" s="41" t="s">
        <v>31</v>
      </c>
      <c r="B175" s="42">
        <f t="shared" si="9"/>
        <v>90</v>
      </c>
      <c r="C175" s="42" t="s">
        <v>3</v>
      </c>
      <c r="D175" s="42">
        <f t="shared" si="10"/>
        <v>300</v>
      </c>
      <c r="E175" s="42" t="s">
        <v>3</v>
      </c>
      <c r="F175" s="90">
        <f t="shared" si="11"/>
        <v>1200</v>
      </c>
      <c r="G175" s="42" t="s">
        <v>3</v>
      </c>
      <c r="H175" s="39">
        <v>2</v>
      </c>
      <c r="I175" s="40" t="s">
        <v>40</v>
      </c>
      <c r="J175" s="149">
        <v>90</v>
      </c>
      <c r="K175" s="66">
        <v>300</v>
      </c>
      <c r="L175" s="66">
        <v>1200</v>
      </c>
      <c r="M175" s="150">
        <v>11.492063433415</v>
      </c>
      <c r="N175" s="78">
        <v>508.68278215920003</v>
      </c>
      <c r="O175" s="110">
        <v>18003.003270761626</v>
      </c>
      <c r="P175" s="111">
        <v>22570.484959488178</v>
      </c>
      <c r="Q175" s="110">
        <v>16482.042416688462</v>
      </c>
      <c r="R175" s="258">
        <v>34485.045687450089</v>
      </c>
      <c r="S175" s="259">
        <v>39052.527376176644</v>
      </c>
      <c r="U175" s="7" t="s">
        <v>2241</v>
      </c>
    </row>
    <row r="176" spans="1:21" ht="16.5" thickBot="1">
      <c r="A176" s="41" t="s">
        <v>31</v>
      </c>
      <c r="B176" s="42">
        <f t="shared" si="9"/>
        <v>90</v>
      </c>
      <c r="C176" s="42" t="s">
        <v>3</v>
      </c>
      <c r="D176" s="42">
        <f t="shared" si="10"/>
        <v>300</v>
      </c>
      <c r="E176" s="42" t="s">
        <v>3</v>
      </c>
      <c r="F176" s="90">
        <f t="shared" si="11"/>
        <v>1250</v>
      </c>
      <c r="G176" s="42" t="s">
        <v>3</v>
      </c>
      <c r="H176" s="39">
        <v>2</v>
      </c>
      <c r="I176" s="40" t="s">
        <v>40</v>
      </c>
      <c r="J176" s="149">
        <v>90</v>
      </c>
      <c r="K176" s="66">
        <v>300</v>
      </c>
      <c r="L176" s="66">
        <v>1250</v>
      </c>
      <c r="M176" s="150">
        <v>11.916843763294999</v>
      </c>
      <c r="N176" s="78">
        <v>538.60529875680004</v>
      </c>
      <c r="O176" s="110">
        <v>18496.428608915616</v>
      </c>
      <c r="P176" s="111">
        <v>23230.277662050525</v>
      </c>
      <c r="Q176" s="110">
        <v>17005.684202688975</v>
      </c>
      <c r="R176" s="258">
        <v>35502.112811604587</v>
      </c>
      <c r="S176" s="259">
        <v>40235.961864739496</v>
      </c>
      <c r="U176" s="7" t="s">
        <v>2242</v>
      </c>
    </row>
    <row r="177" spans="1:21" ht="16.5" thickBot="1">
      <c r="A177" s="41" t="s">
        <v>31</v>
      </c>
      <c r="B177" s="42">
        <f t="shared" si="9"/>
        <v>90</v>
      </c>
      <c r="C177" s="42" t="s">
        <v>3</v>
      </c>
      <c r="D177" s="42">
        <f t="shared" si="10"/>
        <v>300</v>
      </c>
      <c r="E177" s="42" t="s">
        <v>3</v>
      </c>
      <c r="F177" s="90">
        <f t="shared" si="11"/>
        <v>1300</v>
      </c>
      <c r="G177" s="42" t="s">
        <v>3</v>
      </c>
      <c r="H177" s="39">
        <v>2</v>
      </c>
      <c r="I177" s="40" t="s">
        <v>40</v>
      </c>
      <c r="J177" s="149">
        <v>90</v>
      </c>
      <c r="K177" s="66">
        <v>300</v>
      </c>
      <c r="L177" s="66">
        <v>1300</v>
      </c>
      <c r="M177" s="150">
        <v>12.358664093175001</v>
      </c>
      <c r="N177" s="78">
        <v>568.52781535439999</v>
      </c>
      <c r="O177" s="110">
        <v>18989.854100098371</v>
      </c>
      <c r="P177" s="111">
        <v>23890.070364612868</v>
      </c>
      <c r="Q177" s="110">
        <v>17780.65997344449</v>
      </c>
      <c r="R177" s="258">
        <v>36770.514073542858</v>
      </c>
      <c r="S177" s="259">
        <v>41670.730338057358</v>
      </c>
      <c r="U177" s="7" t="s">
        <v>2243</v>
      </c>
    </row>
    <row r="178" spans="1:21" ht="16.5" thickBot="1">
      <c r="A178" s="41" t="s">
        <v>31</v>
      </c>
      <c r="B178" s="42">
        <f t="shared" si="9"/>
        <v>90</v>
      </c>
      <c r="C178" s="42" t="s">
        <v>3</v>
      </c>
      <c r="D178" s="42">
        <f t="shared" si="10"/>
        <v>300</v>
      </c>
      <c r="E178" s="42" t="s">
        <v>3</v>
      </c>
      <c r="F178" s="90">
        <f t="shared" si="11"/>
        <v>1350</v>
      </c>
      <c r="G178" s="42" t="s">
        <v>3</v>
      </c>
      <c r="H178" s="39">
        <v>2</v>
      </c>
      <c r="I178" s="40" t="s">
        <v>40</v>
      </c>
      <c r="J178" s="149">
        <v>90</v>
      </c>
      <c r="K178" s="66">
        <v>300</v>
      </c>
      <c r="L178" s="66">
        <v>1350</v>
      </c>
      <c r="M178" s="150">
        <v>12.783444423055</v>
      </c>
      <c r="N178" s="78">
        <v>598.45033195200006</v>
      </c>
      <c r="O178" s="110">
        <v>19483.279438252361</v>
      </c>
      <c r="P178" s="111">
        <v>24549.863220203977</v>
      </c>
      <c r="Q178" s="110">
        <v>18304.301606416237</v>
      </c>
      <c r="R178" s="258">
        <v>37787.581044668594</v>
      </c>
      <c r="S178" s="259">
        <v>42854.16482662021</v>
      </c>
      <c r="U178" s="7" t="s">
        <v>2244</v>
      </c>
    </row>
    <row r="179" spans="1:21" ht="16.5" thickBot="1">
      <c r="A179" s="41" t="s">
        <v>31</v>
      </c>
      <c r="B179" s="42">
        <f t="shared" si="9"/>
        <v>90</v>
      </c>
      <c r="C179" s="42" t="s">
        <v>3</v>
      </c>
      <c r="D179" s="42">
        <f t="shared" si="10"/>
        <v>300</v>
      </c>
      <c r="E179" s="42" t="s">
        <v>3</v>
      </c>
      <c r="F179" s="90">
        <f t="shared" si="11"/>
        <v>1400</v>
      </c>
      <c r="G179" s="42" t="s">
        <v>3</v>
      </c>
      <c r="H179" s="39">
        <v>2</v>
      </c>
      <c r="I179" s="40" t="s">
        <v>40</v>
      </c>
      <c r="J179" s="149">
        <v>90</v>
      </c>
      <c r="K179" s="66">
        <v>300</v>
      </c>
      <c r="L179" s="66">
        <v>1400</v>
      </c>
      <c r="M179" s="150">
        <v>13.225264752935001</v>
      </c>
      <c r="N179" s="78">
        <v>628.37284854960001</v>
      </c>
      <c r="O179" s="110">
        <v>19976.704929435113</v>
      </c>
      <c r="P179" s="111">
        <v>25209.655922766324</v>
      </c>
      <c r="Q179" s="110">
        <v>19079.277530200521</v>
      </c>
      <c r="R179" s="258">
        <v>39055.982459635634</v>
      </c>
      <c r="S179" s="259">
        <v>44288.933452966841</v>
      </c>
      <c r="U179" s="7" t="s">
        <v>2245</v>
      </c>
    </row>
    <row r="180" spans="1:21" ht="16.5" thickBot="1">
      <c r="A180" s="41" t="s">
        <v>31</v>
      </c>
      <c r="B180" s="42">
        <f t="shared" si="9"/>
        <v>90</v>
      </c>
      <c r="C180" s="42" t="s">
        <v>3</v>
      </c>
      <c r="D180" s="42">
        <f t="shared" si="10"/>
        <v>300</v>
      </c>
      <c r="E180" s="42" t="s">
        <v>3</v>
      </c>
      <c r="F180" s="90">
        <f t="shared" si="11"/>
        <v>1450</v>
      </c>
      <c r="G180" s="42" t="s">
        <v>3</v>
      </c>
      <c r="H180" s="39">
        <v>2</v>
      </c>
      <c r="I180" s="40" t="s">
        <v>40</v>
      </c>
      <c r="J180" s="149">
        <v>90</v>
      </c>
      <c r="K180" s="66">
        <v>300</v>
      </c>
      <c r="L180" s="66">
        <v>1450</v>
      </c>
      <c r="M180" s="150">
        <v>13.650045082815002</v>
      </c>
      <c r="N180" s="78">
        <v>658.29536514719996</v>
      </c>
      <c r="O180" s="110">
        <v>20470.130267589102</v>
      </c>
      <c r="P180" s="111">
        <v>25869.448625328667</v>
      </c>
      <c r="Q180" s="110">
        <v>19602.919163172111</v>
      </c>
      <c r="R180" s="258">
        <v>40073.04943076121</v>
      </c>
      <c r="S180" s="259">
        <v>45472.367788500778</v>
      </c>
      <c r="U180" s="7" t="s">
        <v>2246</v>
      </c>
    </row>
    <row r="181" spans="1:21" ht="16.5" thickBot="1">
      <c r="A181" s="41" t="s">
        <v>31</v>
      </c>
      <c r="B181" s="42">
        <f t="shared" si="9"/>
        <v>90</v>
      </c>
      <c r="C181" s="42" t="s">
        <v>3</v>
      </c>
      <c r="D181" s="42">
        <f t="shared" si="10"/>
        <v>300</v>
      </c>
      <c r="E181" s="42" t="s">
        <v>3</v>
      </c>
      <c r="F181" s="90">
        <f t="shared" si="11"/>
        <v>1500</v>
      </c>
      <c r="G181" s="42" t="s">
        <v>3</v>
      </c>
      <c r="H181" s="39">
        <v>2</v>
      </c>
      <c r="I181" s="40" t="s">
        <v>40</v>
      </c>
      <c r="J181" s="149">
        <v>90</v>
      </c>
      <c r="K181" s="66">
        <v>300</v>
      </c>
      <c r="L181" s="66">
        <v>1500</v>
      </c>
      <c r="M181" s="150">
        <v>14.236430305495</v>
      </c>
      <c r="N181" s="78">
        <v>688.21788174479991</v>
      </c>
      <c r="O181" s="110">
        <v>21703.281200452067</v>
      </c>
      <c r="P181" s="111">
        <v>27201.615443406874</v>
      </c>
      <c r="Q181" s="110">
        <v>20377.895086956549</v>
      </c>
      <c r="R181" s="258">
        <v>42081.176287408613</v>
      </c>
      <c r="S181" s="259">
        <v>47579.510530363419</v>
      </c>
      <c r="U181" s="7" t="s">
        <v>2247</v>
      </c>
    </row>
    <row r="182" spans="1:21" ht="16.5" thickBot="1">
      <c r="A182" s="41" t="s">
        <v>31</v>
      </c>
      <c r="B182" s="42">
        <f t="shared" si="9"/>
        <v>90</v>
      </c>
      <c r="C182" s="42" t="s">
        <v>3</v>
      </c>
      <c r="D182" s="42">
        <f t="shared" si="10"/>
        <v>300</v>
      </c>
      <c r="E182" s="42" t="s">
        <v>3</v>
      </c>
      <c r="F182" s="90">
        <f t="shared" si="11"/>
        <v>1550</v>
      </c>
      <c r="G182" s="42" t="s">
        <v>3</v>
      </c>
      <c r="H182" s="39">
        <v>2</v>
      </c>
      <c r="I182" s="40" t="s">
        <v>40</v>
      </c>
      <c r="J182" s="149">
        <v>90</v>
      </c>
      <c r="K182" s="66">
        <v>300</v>
      </c>
      <c r="L182" s="66">
        <v>1550</v>
      </c>
      <c r="M182" s="150">
        <v>14.661210635374999</v>
      </c>
      <c r="N182" s="78">
        <v>718.14039834240009</v>
      </c>
      <c r="O182" s="110">
        <v>22196.706691634819</v>
      </c>
      <c r="P182" s="111">
        <v>27861.408145969224</v>
      </c>
      <c r="Q182" s="110">
        <v>20901.536719928292</v>
      </c>
      <c r="R182" s="258">
        <v>43098.243411563111</v>
      </c>
      <c r="S182" s="259">
        <v>48762.944865897516</v>
      </c>
      <c r="U182" s="7" t="s">
        <v>2248</v>
      </c>
    </row>
    <row r="183" spans="1:21" ht="16.5" thickBot="1">
      <c r="A183" s="38" t="s">
        <v>31</v>
      </c>
      <c r="B183" s="39">
        <f t="shared" si="9"/>
        <v>90</v>
      </c>
      <c r="C183" s="39" t="s">
        <v>3</v>
      </c>
      <c r="D183" s="39">
        <f t="shared" si="10"/>
        <v>300</v>
      </c>
      <c r="E183" s="39" t="s">
        <v>3</v>
      </c>
      <c r="F183" s="90">
        <f t="shared" si="11"/>
        <v>1600</v>
      </c>
      <c r="G183" s="39" t="s">
        <v>3</v>
      </c>
      <c r="H183" s="39">
        <v>2</v>
      </c>
      <c r="I183" s="40" t="s">
        <v>40</v>
      </c>
      <c r="J183" s="149">
        <v>90</v>
      </c>
      <c r="K183" s="66">
        <v>300</v>
      </c>
      <c r="L183" s="66">
        <v>1600</v>
      </c>
      <c r="M183" s="150">
        <v>15.085990965255</v>
      </c>
      <c r="N183" s="78">
        <v>748.06291494000004</v>
      </c>
      <c r="O183" s="110">
        <v>22690.132029788809</v>
      </c>
      <c r="P183" s="111">
        <v>28521.200848531567</v>
      </c>
      <c r="Q183" s="110">
        <v>21425.178352900039</v>
      </c>
      <c r="R183" s="258">
        <v>44115.310382688847</v>
      </c>
      <c r="S183" s="259">
        <v>49946.379201431606</v>
      </c>
      <c r="U183" s="7" t="s">
        <v>2249</v>
      </c>
    </row>
    <row r="184" spans="1:21" ht="16.5" thickBot="1">
      <c r="A184" s="41" t="s">
        <v>31</v>
      </c>
      <c r="B184" s="42">
        <f t="shared" si="9"/>
        <v>90</v>
      </c>
      <c r="C184" s="42" t="s">
        <v>3</v>
      </c>
      <c r="D184" s="42">
        <f t="shared" si="10"/>
        <v>300</v>
      </c>
      <c r="E184" s="42" t="s">
        <v>3</v>
      </c>
      <c r="F184" s="90">
        <f t="shared" si="11"/>
        <v>1650</v>
      </c>
      <c r="G184" s="42" t="s">
        <v>3</v>
      </c>
      <c r="H184" s="39">
        <v>2</v>
      </c>
      <c r="I184" s="40" t="s">
        <v>40</v>
      </c>
      <c r="J184" s="149">
        <v>90</v>
      </c>
      <c r="K184" s="66">
        <v>300</v>
      </c>
      <c r="L184" s="66">
        <v>1650</v>
      </c>
      <c r="M184" s="150">
        <v>15.527811295135001</v>
      </c>
      <c r="N184" s="78">
        <v>777.98543153760011</v>
      </c>
      <c r="O184" s="110">
        <v>23183.557520971564</v>
      </c>
      <c r="P184" s="111">
        <v>29180.99355109391</v>
      </c>
      <c r="Q184" s="110">
        <v>22200.154276684319</v>
      </c>
      <c r="R184" s="258">
        <v>45383.71179765588</v>
      </c>
      <c r="S184" s="259">
        <v>51381.14782777823</v>
      </c>
      <c r="U184" s="7" t="s">
        <v>2250</v>
      </c>
    </row>
    <row r="185" spans="1:21" ht="16.5" thickBot="1">
      <c r="A185" s="41" t="s">
        <v>31</v>
      </c>
      <c r="B185" s="42">
        <f t="shared" si="9"/>
        <v>90</v>
      </c>
      <c r="C185" s="42" t="s">
        <v>3</v>
      </c>
      <c r="D185" s="42">
        <f t="shared" si="10"/>
        <v>300</v>
      </c>
      <c r="E185" s="42" t="s">
        <v>3</v>
      </c>
      <c r="F185" s="90">
        <f t="shared" si="11"/>
        <v>1700</v>
      </c>
      <c r="G185" s="42" t="s">
        <v>3</v>
      </c>
      <c r="H185" s="39">
        <v>2</v>
      </c>
      <c r="I185" s="40" t="s">
        <v>40</v>
      </c>
      <c r="J185" s="149">
        <v>90</v>
      </c>
      <c r="K185" s="66">
        <v>300</v>
      </c>
      <c r="L185" s="66">
        <v>1700</v>
      </c>
      <c r="M185" s="150">
        <v>15.952591625015001</v>
      </c>
      <c r="N185" s="78">
        <v>807.90794813520006</v>
      </c>
      <c r="O185" s="110">
        <v>23676.982859125554</v>
      </c>
      <c r="P185" s="111">
        <v>29840.78640668502</v>
      </c>
      <c r="Q185" s="110">
        <v>22723.795909656066</v>
      </c>
      <c r="R185" s="258">
        <v>46400.778768781616</v>
      </c>
      <c r="S185" s="259">
        <v>52564.582316341082</v>
      </c>
      <c r="U185" s="7" t="s">
        <v>2251</v>
      </c>
    </row>
    <row r="186" spans="1:21" ht="16.5" thickBot="1">
      <c r="A186" s="41" t="s">
        <v>31</v>
      </c>
      <c r="B186" s="42">
        <f t="shared" si="9"/>
        <v>90</v>
      </c>
      <c r="C186" s="42" t="s">
        <v>3</v>
      </c>
      <c r="D186" s="42">
        <f t="shared" si="10"/>
        <v>300</v>
      </c>
      <c r="E186" s="42" t="s">
        <v>3</v>
      </c>
      <c r="F186" s="90">
        <f t="shared" si="11"/>
        <v>1750</v>
      </c>
      <c r="G186" s="42" t="s">
        <v>3</v>
      </c>
      <c r="H186" s="39">
        <v>2</v>
      </c>
      <c r="I186" s="40" t="s">
        <v>40</v>
      </c>
      <c r="J186" s="149">
        <v>90</v>
      </c>
      <c r="K186" s="66">
        <v>300</v>
      </c>
      <c r="L186" s="66">
        <v>1750</v>
      </c>
      <c r="M186" s="150">
        <v>16.394411954894998</v>
      </c>
      <c r="N186" s="78">
        <v>837.83046473280001</v>
      </c>
      <c r="O186" s="110">
        <v>24170.408350308309</v>
      </c>
      <c r="P186" s="111">
        <v>30500.579109247363</v>
      </c>
      <c r="Q186" s="110">
        <v>23498.771833440347</v>
      </c>
      <c r="R186" s="258">
        <v>47669.180183748656</v>
      </c>
      <c r="S186" s="259">
        <v>53999.350942687714</v>
      </c>
      <c r="U186" s="7" t="s">
        <v>2252</v>
      </c>
    </row>
    <row r="187" spans="1:21" ht="16.5" thickBot="1">
      <c r="A187" s="41" t="s">
        <v>31</v>
      </c>
      <c r="B187" s="42">
        <f t="shared" si="9"/>
        <v>90</v>
      </c>
      <c r="C187" s="42" t="s">
        <v>3</v>
      </c>
      <c r="D187" s="42">
        <f t="shared" si="10"/>
        <v>300</v>
      </c>
      <c r="E187" s="42" t="s">
        <v>3</v>
      </c>
      <c r="F187" s="90">
        <f t="shared" si="11"/>
        <v>1800</v>
      </c>
      <c r="G187" s="42" t="s">
        <v>3</v>
      </c>
      <c r="H187" s="39">
        <v>2</v>
      </c>
      <c r="I187" s="40" t="s">
        <v>40</v>
      </c>
      <c r="J187" s="149">
        <v>90</v>
      </c>
      <c r="K187" s="66">
        <v>300</v>
      </c>
      <c r="L187" s="66">
        <v>1800</v>
      </c>
      <c r="M187" s="150">
        <v>16.819192284774999</v>
      </c>
      <c r="N187" s="78">
        <v>867.75298133040008</v>
      </c>
      <c r="O187" s="110">
        <v>24663.833688462299</v>
      </c>
      <c r="P187" s="111">
        <v>31160.371811809713</v>
      </c>
      <c r="Q187" s="110">
        <v>24022.413466412094</v>
      </c>
      <c r="R187" s="258">
        <v>48686.247154874392</v>
      </c>
      <c r="S187" s="259">
        <v>55182.785278221811</v>
      </c>
      <c r="U187" s="7" t="s">
        <v>2253</v>
      </c>
    </row>
    <row r="188" spans="1:21" ht="16.5" thickBot="1">
      <c r="A188" s="41" t="s">
        <v>31</v>
      </c>
      <c r="B188" s="42">
        <f t="shared" si="9"/>
        <v>90</v>
      </c>
      <c r="C188" s="42" t="s">
        <v>3</v>
      </c>
      <c r="D188" s="42">
        <f t="shared" si="10"/>
        <v>300</v>
      </c>
      <c r="E188" s="42" t="s">
        <v>3</v>
      </c>
      <c r="F188" s="90">
        <f t="shared" si="11"/>
        <v>1850</v>
      </c>
      <c r="G188" s="42" t="s">
        <v>3</v>
      </c>
      <c r="H188" s="39">
        <v>2</v>
      </c>
      <c r="I188" s="40" t="s">
        <v>40</v>
      </c>
      <c r="J188" s="149">
        <v>90</v>
      </c>
      <c r="K188" s="66">
        <v>300</v>
      </c>
      <c r="L188" s="66">
        <v>1850</v>
      </c>
      <c r="M188" s="150">
        <v>17.261012614655002</v>
      </c>
      <c r="N188" s="78">
        <v>897.67549792800003</v>
      </c>
      <c r="O188" s="110">
        <v>25157.259179645054</v>
      </c>
      <c r="P188" s="111">
        <v>31820.164514372056</v>
      </c>
      <c r="Q188" s="110">
        <v>24797.389237167612</v>
      </c>
      <c r="R188" s="258">
        <v>49954.648416812663</v>
      </c>
      <c r="S188" s="259">
        <v>56617.553751539672</v>
      </c>
      <c r="U188" s="7" t="s">
        <v>2254</v>
      </c>
    </row>
    <row r="189" spans="1:21" ht="16.5" thickBot="1">
      <c r="A189" s="41" t="s">
        <v>31</v>
      </c>
      <c r="B189" s="42">
        <f t="shared" si="9"/>
        <v>90</v>
      </c>
      <c r="C189" s="42" t="s">
        <v>3</v>
      </c>
      <c r="D189" s="42">
        <f t="shared" si="10"/>
        <v>300</v>
      </c>
      <c r="E189" s="42" t="s">
        <v>3</v>
      </c>
      <c r="F189" s="90">
        <f t="shared" si="11"/>
        <v>1900</v>
      </c>
      <c r="G189" s="42" t="s">
        <v>3</v>
      </c>
      <c r="H189" s="39">
        <v>2</v>
      </c>
      <c r="I189" s="40" t="s">
        <v>40</v>
      </c>
      <c r="J189" s="149">
        <v>90</v>
      </c>
      <c r="K189" s="66">
        <v>300</v>
      </c>
      <c r="L189" s="66">
        <v>1900</v>
      </c>
      <c r="M189" s="150">
        <v>17.685792944534999</v>
      </c>
      <c r="N189" s="78">
        <v>927.59801452559998</v>
      </c>
      <c r="O189" s="110">
        <v>25650.684517799044</v>
      </c>
      <c r="P189" s="111">
        <v>32479.957369963169</v>
      </c>
      <c r="Q189" s="110">
        <v>25321.031023168125</v>
      </c>
      <c r="R189" s="258">
        <v>50971.715540967169</v>
      </c>
      <c r="S189" s="259">
        <v>57800.988393131294</v>
      </c>
      <c r="U189" s="7" t="s">
        <v>2255</v>
      </c>
    </row>
    <row r="190" spans="1:21" ht="16.5" thickBot="1">
      <c r="A190" s="41" t="s">
        <v>31</v>
      </c>
      <c r="B190" s="42">
        <f t="shared" si="9"/>
        <v>90</v>
      </c>
      <c r="C190" s="42" t="s">
        <v>3</v>
      </c>
      <c r="D190" s="42">
        <f t="shared" si="10"/>
        <v>300</v>
      </c>
      <c r="E190" s="42" t="s">
        <v>3</v>
      </c>
      <c r="F190" s="90">
        <f t="shared" si="11"/>
        <v>1950</v>
      </c>
      <c r="G190" s="42" t="s">
        <v>3</v>
      </c>
      <c r="H190" s="39">
        <v>2</v>
      </c>
      <c r="I190" s="40" t="s">
        <v>40</v>
      </c>
      <c r="J190" s="149">
        <v>90</v>
      </c>
      <c r="K190" s="66">
        <v>300</v>
      </c>
      <c r="L190" s="66">
        <v>1950</v>
      </c>
      <c r="M190" s="150">
        <v>18.149823274415002</v>
      </c>
      <c r="N190" s="78">
        <v>957.52053112320004</v>
      </c>
      <c r="O190" s="110">
        <v>26194.110168612446</v>
      </c>
      <c r="P190" s="111">
        <v>33190.055524542586</v>
      </c>
      <c r="Q190" s="110">
        <v>25844.672656139872</v>
      </c>
      <c r="R190" s="258">
        <v>52038.782824752314</v>
      </c>
      <c r="S190" s="259">
        <v>59034.728180682461</v>
      </c>
      <c r="U190" s="7" t="s">
        <v>2256</v>
      </c>
    </row>
    <row r="191" spans="1:21" ht="16.5" thickBot="1">
      <c r="A191" s="41" t="s">
        <v>31</v>
      </c>
      <c r="B191" s="42">
        <f t="shared" si="9"/>
        <v>90</v>
      </c>
      <c r="C191" s="42" t="s">
        <v>3</v>
      </c>
      <c r="D191" s="42">
        <f t="shared" si="10"/>
        <v>300</v>
      </c>
      <c r="E191" s="42" t="s">
        <v>3</v>
      </c>
      <c r="F191" s="90">
        <f t="shared" si="11"/>
        <v>2000</v>
      </c>
      <c r="G191" s="42" t="s">
        <v>3</v>
      </c>
      <c r="H191" s="39">
        <v>2</v>
      </c>
      <c r="I191" s="40" t="s">
        <v>40</v>
      </c>
      <c r="J191" s="149">
        <v>90</v>
      </c>
      <c r="K191" s="66">
        <v>300</v>
      </c>
      <c r="L191" s="66">
        <v>2000</v>
      </c>
      <c r="M191" s="150">
        <v>18.683206004294998</v>
      </c>
      <c r="N191" s="78">
        <v>987.4430477208</v>
      </c>
      <c r="O191" s="110">
        <v>26938.827408611032</v>
      </c>
      <c r="P191" s="111">
        <v>34190.670373129731</v>
      </c>
      <c r="Q191" s="110">
        <v>26619.648426895383</v>
      </c>
      <c r="R191" s="258">
        <v>53558.475835506411</v>
      </c>
      <c r="S191" s="259">
        <v>60810.31880002511</v>
      </c>
      <c r="U191" s="7" t="s">
        <v>2257</v>
      </c>
    </row>
    <row r="192" spans="1:21" ht="16.5" thickBot="1">
      <c r="A192" s="41" t="s">
        <v>31</v>
      </c>
      <c r="B192" s="42">
        <f t="shared" si="9"/>
        <v>90</v>
      </c>
      <c r="C192" s="42" t="s">
        <v>3</v>
      </c>
      <c r="D192" s="42">
        <f t="shared" si="10"/>
        <v>300</v>
      </c>
      <c r="E192" s="42" t="s">
        <v>3</v>
      </c>
      <c r="F192" s="90">
        <f t="shared" si="11"/>
        <v>2050</v>
      </c>
      <c r="G192" s="42" t="s">
        <v>3</v>
      </c>
      <c r="H192" s="39">
        <v>2</v>
      </c>
      <c r="I192" s="40" t="s">
        <v>40</v>
      </c>
      <c r="J192" s="149">
        <v>90</v>
      </c>
      <c r="K192" s="66">
        <v>300</v>
      </c>
      <c r="L192" s="66">
        <v>2050</v>
      </c>
      <c r="M192" s="150">
        <v>19.107986334175003</v>
      </c>
      <c r="N192" s="78">
        <v>1017.3655643184001</v>
      </c>
      <c r="O192" s="110">
        <v>27432.252899793784</v>
      </c>
      <c r="P192" s="111">
        <v>34850.463075692074</v>
      </c>
      <c r="Q192" s="110">
        <v>27143.290212895896</v>
      </c>
      <c r="R192" s="258">
        <v>54575.54311268968</v>
      </c>
      <c r="S192" s="259">
        <v>61993.75328858797</v>
      </c>
      <c r="U192" s="7" t="s">
        <v>2258</v>
      </c>
    </row>
    <row r="193" spans="1:21" ht="16.5" thickBot="1">
      <c r="A193" s="38" t="s">
        <v>31</v>
      </c>
      <c r="B193" s="39">
        <f t="shared" si="9"/>
        <v>90</v>
      </c>
      <c r="C193" s="39" t="s">
        <v>3</v>
      </c>
      <c r="D193" s="39">
        <f t="shared" si="10"/>
        <v>300</v>
      </c>
      <c r="E193" s="39" t="s">
        <v>3</v>
      </c>
      <c r="F193" s="90">
        <f t="shared" si="11"/>
        <v>2100</v>
      </c>
      <c r="G193" s="39" t="s">
        <v>3</v>
      </c>
      <c r="H193" s="39">
        <v>2</v>
      </c>
      <c r="I193" s="40" t="s">
        <v>40</v>
      </c>
      <c r="J193" s="149">
        <v>90</v>
      </c>
      <c r="K193" s="66">
        <v>300</v>
      </c>
      <c r="L193" s="66">
        <v>2100</v>
      </c>
      <c r="M193" s="150">
        <v>19.549806664055001</v>
      </c>
      <c r="N193" s="78">
        <v>1047.2880809160001</v>
      </c>
      <c r="O193" s="110">
        <v>27925.678237947777</v>
      </c>
      <c r="P193" s="111">
        <v>35510.255778254417</v>
      </c>
      <c r="Q193" s="110">
        <v>27918.265983651414</v>
      </c>
      <c r="R193" s="258">
        <v>55843.944221599188</v>
      </c>
      <c r="S193" s="259">
        <v>63428.521761905831</v>
      </c>
      <c r="U193" s="7" t="s">
        <v>2259</v>
      </c>
    </row>
    <row r="194" spans="1:21" ht="16.5" thickBot="1">
      <c r="A194" s="41" t="s">
        <v>31</v>
      </c>
      <c r="B194" s="42">
        <f t="shared" si="9"/>
        <v>90</v>
      </c>
      <c r="C194" s="42" t="s">
        <v>3</v>
      </c>
      <c r="D194" s="42">
        <f t="shared" si="10"/>
        <v>300</v>
      </c>
      <c r="E194" s="42" t="s">
        <v>3</v>
      </c>
      <c r="F194" s="90">
        <f t="shared" si="11"/>
        <v>2150</v>
      </c>
      <c r="G194" s="42" t="s">
        <v>3</v>
      </c>
      <c r="H194" s="39">
        <v>2</v>
      </c>
      <c r="I194" s="40" t="s">
        <v>40</v>
      </c>
      <c r="J194" s="149">
        <v>90</v>
      </c>
      <c r="K194" s="66">
        <v>300</v>
      </c>
      <c r="L194" s="66">
        <v>2150</v>
      </c>
      <c r="M194" s="150">
        <v>19.974586993935002</v>
      </c>
      <c r="N194" s="78">
        <v>1077.2105975136001</v>
      </c>
      <c r="O194" s="110">
        <v>28419.103729130529</v>
      </c>
      <c r="P194" s="111">
        <v>36170.048480816768</v>
      </c>
      <c r="Q194" s="110">
        <v>28441.907769651927</v>
      </c>
      <c r="R194" s="258">
        <v>56861.011498782456</v>
      </c>
      <c r="S194" s="259">
        <v>64611.956250468691</v>
      </c>
      <c r="U194" s="7" t="s">
        <v>2260</v>
      </c>
    </row>
    <row r="195" spans="1:21" ht="16.5" thickBot="1">
      <c r="A195" s="41" t="s">
        <v>31</v>
      </c>
      <c r="B195" s="42">
        <f t="shared" si="9"/>
        <v>90</v>
      </c>
      <c r="C195" s="42" t="s">
        <v>3</v>
      </c>
      <c r="D195" s="42">
        <f t="shared" si="10"/>
        <v>300</v>
      </c>
      <c r="E195" s="42" t="s">
        <v>3</v>
      </c>
      <c r="F195" s="90">
        <f t="shared" si="11"/>
        <v>2200</v>
      </c>
      <c r="G195" s="42" t="s">
        <v>3</v>
      </c>
      <c r="H195" s="39">
        <v>2</v>
      </c>
      <c r="I195" s="40" t="s">
        <v>40</v>
      </c>
      <c r="J195" s="149">
        <v>90</v>
      </c>
      <c r="K195" s="66">
        <v>300</v>
      </c>
      <c r="L195" s="66">
        <v>2200</v>
      </c>
      <c r="M195" s="150">
        <v>20.416407323815001</v>
      </c>
      <c r="N195" s="78">
        <v>1107.1331141112</v>
      </c>
      <c r="O195" s="110">
        <v>28912.529067284515</v>
      </c>
      <c r="P195" s="111">
        <v>36829.841336407873</v>
      </c>
      <c r="Q195" s="110">
        <v>29216.883540407438</v>
      </c>
      <c r="R195" s="258">
        <v>58129.412607691949</v>
      </c>
      <c r="S195" s="259">
        <v>66046.724876815308</v>
      </c>
      <c r="U195" s="7" t="s">
        <v>2261</v>
      </c>
    </row>
    <row r="196" spans="1:21" ht="16.5" thickBot="1">
      <c r="A196" s="41" t="s">
        <v>31</v>
      </c>
      <c r="B196" s="42">
        <f t="shared" si="9"/>
        <v>90</v>
      </c>
      <c r="C196" s="42" t="s">
        <v>3</v>
      </c>
      <c r="D196" s="42">
        <f t="shared" si="10"/>
        <v>300</v>
      </c>
      <c r="E196" s="42" t="s">
        <v>3</v>
      </c>
      <c r="F196" s="90">
        <f t="shared" si="11"/>
        <v>2250</v>
      </c>
      <c r="G196" s="42" t="s">
        <v>3</v>
      </c>
      <c r="H196" s="39">
        <v>2</v>
      </c>
      <c r="I196" s="40" t="s">
        <v>40</v>
      </c>
      <c r="J196" s="149">
        <v>90</v>
      </c>
      <c r="K196" s="66">
        <v>300</v>
      </c>
      <c r="L196" s="66">
        <v>2250</v>
      </c>
      <c r="M196" s="150">
        <v>20.841187653695002</v>
      </c>
      <c r="N196" s="78">
        <v>1137.0556307088</v>
      </c>
      <c r="O196" s="110">
        <v>29405.954558467274</v>
      </c>
      <c r="P196" s="111">
        <v>37489.634038970224</v>
      </c>
      <c r="Q196" s="110">
        <v>29740.525173379188</v>
      </c>
      <c r="R196" s="258">
        <v>59146.479731846463</v>
      </c>
      <c r="S196" s="259">
        <v>67230.159212349419</v>
      </c>
      <c r="U196" s="7" t="s">
        <v>2262</v>
      </c>
    </row>
    <row r="197" spans="1:21" ht="16.5" thickBot="1">
      <c r="A197" s="41" t="s">
        <v>31</v>
      </c>
      <c r="B197" s="42">
        <f t="shared" si="9"/>
        <v>90</v>
      </c>
      <c r="C197" s="42" t="s">
        <v>3</v>
      </c>
      <c r="D197" s="42">
        <f t="shared" si="10"/>
        <v>300</v>
      </c>
      <c r="E197" s="42" t="s">
        <v>3</v>
      </c>
      <c r="F197" s="90">
        <f t="shared" si="11"/>
        <v>2300</v>
      </c>
      <c r="G197" s="42" t="s">
        <v>3</v>
      </c>
      <c r="H197" s="39">
        <v>2</v>
      </c>
      <c r="I197" s="40" t="s">
        <v>40</v>
      </c>
      <c r="J197" s="149">
        <v>90</v>
      </c>
      <c r="K197" s="66">
        <v>300</v>
      </c>
      <c r="L197" s="66">
        <v>2300</v>
      </c>
      <c r="M197" s="150">
        <v>21.265967983575003</v>
      </c>
      <c r="N197" s="78">
        <v>1166.9781473063999</v>
      </c>
      <c r="O197" s="110">
        <v>29899.37989662126</v>
      </c>
      <c r="P197" s="111">
        <v>38149.426741532567</v>
      </c>
      <c r="Q197" s="110">
        <v>30264.166959379701</v>
      </c>
      <c r="R197" s="258">
        <v>60163.546856000961</v>
      </c>
      <c r="S197" s="259">
        <v>68413.593700912272</v>
      </c>
      <c r="U197" s="7" t="s">
        <v>2263</v>
      </c>
    </row>
    <row r="198" spans="1:21" ht="16.5" thickBot="1">
      <c r="A198" s="41" t="s">
        <v>31</v>
      </c>
      <c r="B198" s="42">
        <f t="shared" si="9"/>
        <v>90</v>
      </c>
      <c r="C198" s="42" t="s">
        <v>3</v>
      </c>
      <c r="D198" s="42">
        <f t="shared" si="10"/>
        <v>300</v>
      </c>
      <c r="E198" s="42" t="s">
        <v>3</v>
      </c>
      <c r="F198" s="90">
        <f t="shared" si="11"/>
        <v>2350</v>
      </c>
      <c r="G198" s="42" t="s">
        <v>3</v>
      </c>
      <c r="H198" s="39">
        <v>2</v>
      </c>
      <c r="I198" s="40" t="s">
        <v>40</v>
      </c>
      <c r="J198" s="149">
        <v>90</v>
      </c>
      <c r="K198" s="66">
        <v>300</v>
      </c>
      <c r="L198" s="66">
        <v>2350</v>
      </c>
      <c r="M198" s="150">
        <v>21.707788313455005</v>
      </c>
      <c r="N198" s="78">
        <v>1196.9006639040001</v>
      </c>
      <c r="O198" s="110">
        <v>30392.805387804019</v>
      </c>
      <c r="P198" s="111">
        <v>38809.21944409491</v>
      </c>
      <c r="Q198" s="110">
        <v>31039.142730135216</v>
      </c>
      <c r="R198" s="258">
        <v>61431.948117939231</v>
      </c>
      <c r="S198" s="259">
        <v>69848.362174230133</v>
      </c>
      <c r="U198" s="7" t="s">
        <v>2264</v>
      </c>
    </row>
    <row r="199" spans="1:21" ht="16.5" thickBot="1">
      <c r="A199" s="41" t="s">
        <v>31</v>
      </c>
      <c r="B199" s="42">
        <f t="shared" si="9"/>
        <v>90</v>
      </c>
      <c r="C199" s="42" t="s">
        <v>3</v>
      </c>
      <c r="D199" s="42">
        <f t="shared" si="10"/>
        <v>300</v>
      </c>
      <c r="E199" s="42" t="s">
        <v>3</v>
      </c>
      <c r="F199" s="90">
        <f t="shared" si="11"/>
        <v>2400</v>
      </c>
      <c r="G199" s="42" t="s">
        <v>3</v>
      </c>
      <c r="H199" s="39">
        <v>2</v>
      </c>
      <c r="I199" s="40" t="s">
        <v>40</v>
      </c>
      <c r="J199" s="149">
        <v>90</v>
      </c>
      <c r="K199" s="66">
        <v>300</v>
      </c>
      <c r="L199" s="66">
        <v>2400</v>
      </c>
      <c r="M199" s="150">
        <v>22.132568643334999</v>
      </c>
      <c r="N199" s="78">
        <v>1226.8231805016001</v>
      </c>
      <c r="O199" s="110">
        <v>30886.230725958005</v>
      </c>
      <c r="P199" s="111">
        <v>39469.012299686023</v>
      </c>
      <c r="Q199" s="110">
        <v>31562.784363106966</v>
      </c>
      <c r="R199" s="258">
        <v>62449.015089064967</v>
      </c>
      <c r="S199" s="259">
        <v>71031.796662792985</v>
      </c>
      <c r="U199" s="7" t="s">
        <v>2265</v>
      </c>
    </row>
    <row r="200" spans="1:21" ht="16.5" thickBot="1">
      <c r="A200" s="41" t="s">
        <v>31</v>
      </c>
      <c r="B200" s="42">
        <f t="shared" si="9"/>
        <v>90</v>
      </c>
      <c r="C200" s="42" t="s">
        <v>3</v>
      </c>
      <c r="D200" s="42">
        <f t="shared" si="10"/>
        <v>300</v>
      </c>
      <c r="E200" s="42" t="s">
        <v>3</v>
      </c>
      <c r="F200" s="90">
        <f t="shared" si="11"/>
        <v>2450</v>
      </c>
      <c r="G200" s="42" t="s">
        <v>3</v>
      </c>
      <c r="H200" s="39">
        <v>2</v>
      </c>
      <c r="I200" s="40" t="s">
        <v>40</v>
      </c>
      <c r="J200" s="149">
        <v>90</v>
      </c>
      <c r="K200" s="66">
        <v>300</v>
      </c>
      <c r="L200" s="66">
        <v>2450</v>
      </c>
      <c r="M200" s="150">
        <v>22.718953866014999</v>
      </c>
      <c r="N200" s="78">
        <v>1256.7456970992</v>
      </c>
      <c r="O200" s="110">
        <v>32119.381658820967</v>
      </c>
      <c r="P200" s="111">
        <v>40801.178964735467</v>
      </c>
      <c r="Q200" s="110">
        <v>32337.760286891244</v>
      </c>
      <c r="R200" s="258">
        <v>64457.14194571221</v>
      </c>
      <c r="S200" s="259">
        <v>73138.939251626711</v>
      </c>
      <c r="U200" s="7" t="s">
        <v>2266</v>
      </c>
    </row>
    <row r="201" spans="1:21" ht="16.5" thickBot="1">
      <c r="A201" s="41" t="s">
        <v>31</v>
      </c>
      <c r="B201" s="42">
        <f t="shared" si="9"/>
        <v>90</v>
      </c>
      <c r="C201" s="42" t="s">
        <v>3</v>
      </c>
      <c r="D201" s="42">
        <f t="shared" si="10"/>
        <v>300</v>
      </c>
      <c r="E201" s="42" t="s">
        <v>3</v>
      </c>
      <c r="F201" s="90">
        <f t="shared" si="11"/>
        <v>2500</v>
      </c>
      <c r="G201" s="42" t="s">
        <v>3</v>
      </c>
      <c r="H201" s="39">
        <v>2</v>
      </c>
      <c r="I201" s="40" t="s">
        <v>40</v>
      </c>
      <c r="J201" s="149">
        <v>90</v>
      </c>
      <c r="K201" s="66">
        <v>300</v>
      </c>
      <c r="L201" s="66">
        <v>2500</v>
      </c>
      <c r="M201" s="150">
        <v>23.143734195895</v>
      </c>
      <c r="N201" s="78">
        <v>1286.6682136968</v>
      </c>
      <c r="O201" s="110">
        <v>32612.807150003726</v>
      </c>
      <c r="P201" s="111">
        <v>41460.97166729781</v>
      </c>
      <c r="Q201" s="110">
        <v>32861.40191986299</v>
      </c>
      <c r="R201" s="258">
        <v>65474.209069866716</v>
      </c>
      <c r="S201" s="259">
        <v>74322.373587160808</v>
      </c>
      <c r="U201" s="7" t="s">
        <v>2267</v>
      </c>
    </row>
    <row r="202" spans="1:21" ht="16.5" thickBot="1">
      <c r="A202" s="41" t="s">
        <v>31</v>
      </c>
      <c r="B202" s="42">
        <f t="shared" si="9"/>
        <v>90</v>
      </c>
      <c r="C202" s="42" t="s">
        <v>3</v>
      </c>
      <c r="D202" s="42">
        <f t="shared" si="10"/>
        <v>300</v>
      </c>
      <c r="E202" s="42" t="s">
        <v>3</v>
      </c>
      <c r="F202" s="90">
        <f t="shared" si="11"/>
        <v>2550</v>
      </c>
      <c r="G202" s="42" t="s">
        <v>3</v>
      </c>
      <c r="H202" s="39">
        <v>2</v>
      </c>
      <c r="I202" s="40" t="s">
        <v>40</v>
      </c>
      <c r="J202" s="149">
        <v>90</v>
      </c>
      <c r="K202" s="66">
        <v>300</v>
      </c>
      <c r="L202" s="66">
        <v>2550</v>
      </c>
      <c r="M202" s="150">
        <v>23.585554525775002</v>
      </c>
      <c r="N202" s="78">
        <v>1316.5907302943999</v>
      </c>
      <c r="O202" s="110">
        <v>33106.232488157715</v>
      </c>
      <c r="P202" s="111">
        <v>42120.764522888923</v>
      </c>
      <c r="Q202" s="110">
        <v>33636.377843647271</v>
      </c>
      <c r="R202" s="258">
        <v>66742.610331804986</v>
      </c>
      <c r="S202" s="259">
        <v>75757.142366536194</v>
      </c>
      <c r="U202" s="7" t="s">
        <v>2268</v>
      </c>
    </row>
    <row r="203" spans="1:21" ht="16.5" thickBot="1">
      <c r="A203" s="38" t="s">
        <v>31</v>
      </c>
      <c r="B203" s="39">
        <f t="shared" si="9"/>
        <v>90</v>
      </c>
      <c r="C203" s="39" t="s">
        <v>3</v>
      </c>
      <c r="D203" s="39">
        <f t="shared" si="10"/>
        <v>300</v>
      </c>
      <c r="E203" s="39" t="s">
        <v>3</v>
      </c>
      <c r="F203" s="90">
        <f t="shared" si="11"/>
        <v>2600</v>
      </c>
      <c r="G203" s="39" t="s">
        <v>3</v>
      </c>
      <c r="H203" s="39">
        <v>2</v>
      </c>
      <c r="I203" s="40" t="s">
        <v>40</v>
      </c>
      <c r="J203" s="149">
        <v>90</v>
      </c>
      <c r="K203" s="66">
        <v>300</v>
      </c>
      <c r="L203" s="66">
        <v>2600</v>
      </c>
      <c r="M203" s="150">
        <v>24.010334855655003</v>
      </c>
      <c r="N203" s="78">
        <v>1346.5132468919999</v>
      </c>
      <c r="O203" s="110">
        <v>33599.657826311704</v>
      </c>
      <c r="P203" s="111">
        <v>42780.557225451266</v>
      </c>
      <c r="Q203" s="110">
        <v>34160.019476619018</v>
      </c>
      <c r="R203" s="258">
        <v>67759.677302930722</v>
      </c>
      <c r="S203" s="259">
        <v>76940.576702070277</v>
      </c>
      <c r="U203" s="7" t="s">
        <v>2269</v>
      </c>
    </row>
    <row r="204" spans="1:21" ht="16.5" thickBot="1">
      <c r="A204" s="41" t="s">
        <v>31</v>
      </c>
      <c r="B204" s="42">
        <f t="shared" si="9"/>
        <v>90</v>
      </c>
      <c r="C204" s="42" t="s">
        <v>3</v>
      </c>
      <c r="D204" s="42">
        <f t="shared" si="10"/>
        <v>300</v>
      </c>
      <c r="E204" s="42" t="s">
        <v>3</v>
      </c>
      <c r="F204" s="90">
        <f t="shared" si="11"/>
        <v>2650</v>
      </c>
      <c r="G204" s="42" t="s">
        <v>3</v>
      </c>
      <c r="H204" s="39">
        <v>2</v>
      </c>
      <c r="I204" s="40" t="s">
        <v>40</v>
      </c>
      <c r="J204" s="149">
        <v>90</v>
      </c>
      <c r="K204" s="66">
        <v>300</v>
      </c>
      <c r="L204" s="66">
        <v>2650</v>
      </c>
      <c r="M204" s="150">
        <v>24.452155185535002</v>
      </c>
      <c r="N204" s="78">
        <v>1376.4357634895998</v>
      </c>
      <c r="O204" s="110">
        <v>34093.083317494456</v>
      </c>
      <c r="P204" s="111">
        <v>43440.349928013609</v>
      </c>
      <c r="Q204" s="110">
        <v>34934.995247374536</v>
      </c>
      <c r="R204" s="258">
        <v>69028.078564868993</v>
      </c>
      <c r="S204" s="259">
        <v>78375.345175388153</v>
      </c>
      <c r="U204" s="7" t="s">
        <v>2270</v>
      </c>
    </row>
    <row r="205" spans="1:21" ht="16.5" thickBot="1">
      <c r="A205" s="41" t="s">
        <v>31</v>
      </c>
      <c r="B205" s="42">
        <f t="shared" si="9"/>
        <v>90</v>
      </c>
      <c r="C205" s="42" t="s">
        <v>3</v>
      </c>
      <c r="D205" s="42">
        <f t="shared" si="10"/>
        <v>300</v>
      </c>
      <c r="E205" s="42" t="s">
        <v>3</v>
      </c>
      <c r="F205" s="90">
        <f t="shared" si="11"/>
        <v>2700</v>
      </c>
      <c r="G205" s="42" t="s">
        <v>3</v>
      </c>
      <c r="H205" s="39">
        <v>2</v>
      </c>
      <c r="I205" s="40" t="s">
        <v>40</v>
      </c>
      <c r="J205" s="149">
        <v>90</v>
      </c>
      <c r="K205" s="66">
        <v>300</v>
      </c>
      <c r="L205" s="66">
        <v>2700</v>
      </c>
      <c r="M205" s="150">
        <v>24.916185515415002</v>
      </c>
      <c r="N205" s="78">
        <v>1406.3582800872002</v>
      </c>
      <c r="O205" s="110">
        <v>34636.508968307855</v>
      </c>
      <c r="P205" s="111">
        <v>44150.448235621792</v>
      </c>
      <c r="Q205" s="110">
        <v>35458.637033375046</v>
      </c>
      <c r="R205" s="258">
        <v>70095.146001682908</v>
      </c>
      <c r="S205" s="259">
        <v>79609.085268996831</v>
      </c>
      <c r="U205" s="7" t="s">
        <v>2271</v>
      </c>
    </row>
    <row r="206" spans="1:21" ht="16.5" thickBot="1">
      <c r="A206" s="41" t="s">
        <v>31</v>
      </c>
      <c r="B206" s="42">
        <f t="shared" si="9"/>
        <v>90</v>
      </c>
      <c r="C206" s="42" t="s">
        <v>3</v>
      </c>
      <c r="D206" s="42">
        <f t="shared" si="10"/>
        <v>300</v>
      </c>
      <c r="E206" s="42" t="s">
        <v>3</v>
      </c>
      <c r="F206" s="90">
        <f t="shared" si="11"/>
        <v>2750</v>
      </c>
      <c r="G206" s="42" t="s">
        <v>3</v>
      </c>
      <c r="H206" s="39">
        <v>2</v>
      </c>
      <c r="I206" s="40" t="s">
        <v>40</v>
      </c>
      <c r="J206" s="149">
        <v>90</v>
      </c>
      <c r="K206" s="66">
        <v>300</v>
      </c>
      <c r="L206" s="66">
        <v>2750</v>
      </c>
      <c r="M206" s="150">
        <v>25.340965845295003</v>
      </c>
      <c r="N206" s="78">
        <v>1436.2807966848002</v>
      </c>
      <c r="O206" s="110">
        <v>35129.934306461852</v>
      </c>
      <c r="P206" s="111">
        <v>44810.240938184135</v>
      </c>
      <c r="Q206" s="110">
        <v>35982.278666346792</v>
      </c>
      <c r="R206" s="258">
        <v>71112.212972808644</v>
      </c>
      <c r="S206" s="259">
        <v>80792.519604530928</v>
      </c>
      <c r="U206" s="7" t="s">
        <v>2272</v>
      </c>
    </row>
    <row r="207" spans="1:21" ht="16.5" thickBot="1">
      <c r="A207" s="41" t="s">
        <v>31</v>
      </c>
      <c r="B207" s="42">
        <f t="shared" si="9"/>
        <v>90</v>
      </c>
      <c r="C207" s="42" t="s">
        <v>3</v>
      </c>
      <c r="D207" s="42">
        <f t="shared" si="10"/>
        <v>300</v>
      </c>
      <c r="E207" s="42" t="s">
        <v>3</v>
      </c>
      <c r="F207" s="90">
        <f t="shared" si="11"/>
        <v>2800</v>
      </c>
      <c r="G207" s="42" t="s">
        <v>3</v>
      </c>
      <c r="H207" s="39">
        <v>2</v>
      </c>
      <c r="I207" s="40" t="s">
        <v>40</v>
      </c>
      <c r="J207" s="149">
        <v>90</v>
      </c>
      <c r="K207" s="66">
        <v>300</v>
      </c>
      <c r="L207" s="66">
        <v>2800</v>
      </c>
      <c r="M207" s="150">
        <v>25.782786175175001</v>
      </c>
      <c r="N207" s="78">
        <v>1466.2033132824001</v>
      </c>
      <c r="O207" s="110">
        <v>35623.359797644604</v>
      </c>
      <c r="P207" s="111">
        <v>45470.033640746478</v>
      </c>
      <c r="Q207" s="110">
        <v>36757.25443710231</v>
      </c>
      <c r="R207" s="258">
        <v>72380.614234746914</v>
      </c>
      <c r="S207" s="259">
        <v>82227.288077848789</v>
      </c>
      <c r="U207" s="7" t="s">
        <v>2273</v>
      </c>
    </row>
    <row r="208" spans="1:21" ht="16.5" thickBot="1">
      <c r="A208" s="41" t="s">
        <v>31</v>
      </c>
      <c r="B208" s="42">
        <f t="shared" si="9"/>
        <v>90</v>
      </c>
      <c r="C208" s="42" t="s">
        <v>3</v>
      </c>
      <c r="D208" s="42">
        <f t="shared" si="10"/>
        <v>300</v>
      </c>
      <c r="E208" s="42" t="s">
        <v>3</v>
      </c>
      <c r="F208" s="90">
        <f t="shared" si="11"/>
        <v>2850</v>
      </c>
      <c r="G208" s="42" t="s">
        <v>3</v>
      </c>
      <c r="H208" s="39">
        <v>2</v>
      </c>
      <c r="I208" s="40" t="s">
        <v>40</v>
      </c>
      <c r="J208" s="149">
        <v>90</v>
      </c>
      <c r="K208" s="66">
        <v>300</v>
      </c>
      <c r="L208" s="66">
        <v>2850</v>
      </c>
      <c r="M208" s="150">
        <v>26.207566505055002</v>
      </c>
      <c r="N208" s="78">
        <v>1496.1258298800001</v>
      </c>
      <c r="O208" s="110">
        <v>36116.785135798593</v>
      </c>
      <c r="P208" s="111">
        <v>46129.826343308829</v>
      </c>
      <c r="Q208" s="110">
        <v>37280.89622310282</v>
      </c>
      <c r="R208" s="258">
        <v>73397.681358901405</v>
      </c>
      <c r="S208" s="259">
        <v>83410.722566411656</v>
      </c>
      <c r="U208" s="7" t="s">
        <v>2274</v>
      </c>
    </row>
    <row r="209" spans="1:21" ht="16.5" thickBot="1">
      <c r="A209" s="41" t="s">
        <v>31</v>
      </c>
      <c r="B209" s="42">
        <f t="shared" si="9"/>
        <v>90</v>
      </c>
      <c r="C209" s="42" t="s">
        <v>3</v>
      </c>
      <c r="D209" s="42">
        <f t="shared" si="10"/>
        <v>300</v>
      </c>
      <c r="E209" s="42" t="s">
        <v>3</v>
      </c>
      <c r="F209" s="90">
        <f t="shared" si="11"/>
        <v>2900</v>
      </c>
      <c r="G209" s="42" t="s">
        <v>3</v>
      </c>
      <c r="H209" s="39">
        <v>2</v>
      </c>
      <c r="I209" s="40" t="s">
        <v>40</v>
      </c>
      <c r="J209" s="149">
        <v>90</v>
      </c>
      <c r="K209" s="66">
        <v>300</v>
      </c>
      <c r="L209" s="66">
        <v>2900</v>
      </c>
      <c r="M209" s="150">
        <v>26.649386834935001</v>
      </c>
      <c r="N209" s="78">
        <v>1526.0483464776</v>
      </c>
      <c r="O209" s="110">
        <v>36610.210626981345</v>
      </c>
      <c r="P209" s="111">
        <v>46789.619198899942</v>
      </c>
      <c r="Q209" s="110">
        <v>38055.871993858338</v>
      </c>
      <c r="R209" s="258">
        <v>74666.082620839676</v>
      </c>
      <c r="S209" s="259">
        <v>84845.491192758287</v>
      </c>
      <c r="U209" s="7" t="s">
        <v>2275</v>
      </c>
    </row>
    <row r="210" spans="1:21" ht="16.5" thickBot="1">
      <c r="A210" s="41" t="s">
        <v>31</v>
      </c>
      <c r="B210" s="42">
        <f t="shared" si="9"/>
        <v>90</v>
      </c>
      <c r="C210" s="42" t="s">
        <v>3</v>
      </c>
      <c r="D210" s="42">
        <f t="shared" si="10"/>
        <v>300</v>
      </c>
      <c r="E210" s="42" t="s">
        <v>3</v>
      </c>
      <c r="F210" s="90">
        <f t="shared" si="11"/>
        <v>2950</v>
      </c>
      <c r="G210" s="42" t="s">
        <v>3</v>
      </c>
      <c r="H210" s="39">
        <v>2</v>
      </c>
      <c r="I210" s="40" t="s">
        <v>40</v>
      </c>
      <c r="J210" s="149">
        <v>90</v>
      </c>
      <c r="K210" s="66">
        <v>300</v>
      </c>
      <c r="L210" s="66">
        <v>2950</v>
      </c>
      <c r="M210" s="150">
        <v>27.074167164815002</v>
      </c>
      <c r="N210" s="78">
        <v>1555.9708630752002</v>
      </c>
      <c r="O210" s="110">
        <v>37103.635965135341</v>
      </c>
      <c r="P210" s="111">
        <v>47449.411901462285</v>
      </c>
      <c r="Q210" s="110">
        <v>38579.513779858848</v>
      </c>
      <c r="R210" s="258">
        <v>75683.149744994182</v>
      </c>
      <c r="S210" s="259">
        <v>86028.925681321125</v>
      </c>
      <c r="U210" s="7" t="s">
        <v>2276</v>
      </c>
    </row>
    <row r="211" spans="1:21" ht="16.5" thickBot="1">
      <c r="A211" s="43" t="s">
        <v>31</v>
      </c>
      <c r="B211" s="44">
        <f t="shared" si="9"/>
        <v>90</v>
      </c>
      <c r="C211" s="44" t="s">
        <v>3</v>
      </c>
      <c r="D211" s="44">
        <f t="shared" si="10"/>
        <v>300</v>
      </c>
      <c r="E211" s="44" t="s">
        <v>3</v>
      </c>
      <c r="F211" s="91">
        <f t="shared" si="11"/>
        <v>3000</v>
      </c>
      <c r="G211" s="44" t="s">
        <v>3</v>
      </c>
      <c r="H211" s="46">
        <v>2</v>
      </c>
      <c r="I211" s="45" t="s">
        <v>40</v>
      </c>
      <c r="J211" s="151">
        <v>90</v>
      </c>
      <c r="K211" s="126">
        <v>300</v>
      </c>
      <c r="L211" s="126">
        <v>3000</v>
      </c>
      <c r="M211" s="152">
        <v>27.515987494695004</v>
      </c>
      <c r="N211" s="127">
        <v>1585.8933796728002</v>
      </c>
      <c r="O211" s="136">
        <v>38877.982919703834</v>
      </c>
      <c r="P211" s="135">
        <v>48109.204604024628</v>
      </c>
      <c r="Q211" s="136">
        <v>39354.489550614366</v>
      </c>
      <c r="R211" s="260">
        <v>78232.4724703182</v>
      </c>
      <c r="S211" s="261">
        <v>87463.694154639001</v>
      </c>
      <c r="U211" s="7" t="s">
        <v>2277</v>
      </c>
    </row>
    <row r="212" spans="1:21" ht="16.5" thickBot="1">
      <c r="A212" s="2974" t="s">
        <v>113</v>
      </c>
      <c r="B212" s="2975"/>
      <c r="C212" s="2975"/>
      <c r="D212" s="2975"/>
      <c r="E212" s="2975"/>
      <c r="F212" s="2975"/>
      <c r="G212" s="2975"/>
      <c r="H212" s="2975"/>
      <c r="I212" s="2975"/>
      <c r="J212" s="2975"/>
      <c r="K212" s="2975"/>
      <c r="L212" s="2975"/>
      <c r="M212" s="2975"/>
      <c r="N212" s="2975"/>
      <c r="O212" s="2975"/>
      <c r="P212" s="2975"/>
      <c r="Q212" s="2975"/>
      <c r="R212" s="2975"/>
      <c r="S212" s="2976"/>
      <c r="U212" s="7"/>
    </row>
    <row r="213" spans="1:21" ht="16.5" thickBot="1">
      <c r="A213" s="38" t="s">
        <v>31</v>
      </c>
      <c r="B213" s="39">
        <f>J213</f>
        <v>90</v>
      </c>
      <c r="C213" s="39" t="s">
        <v>3</v>
      </c>
      <c r="D213" s="39">
        <f>K213</f>
        <v>300</v>
      </c>
      <c r="E213" s="39" t="s">
        <v>3</v>
      </c>
      <c r="F213" s="90">
        <f>L213</f>
        <v>600</v>
      </c>
      <c r="G213" s="39" t="s">
        <v>3</v>
      </c>
      <c r="H213" s="39">
        <v>4</v>
      </c>
      <c r="I213" s="40" t="s">
        <v>40</v>
      </c>
      <c r="J213" s="146">
        <v>90</v>
      </c>
      <c r="K213" s="122">
        <v>300</v>
      </c>
      <c r="L213" s="122">
        <v>600</v>
      </c>
      <c r="M213" s="147">
        <v>6.7777632625100006</v>
      </c>
      <c r="N213" s="123">
        <v>174</v>
      </c>
      <c r="O213" s="139">
        <v>14436.515482873436</v>
      </c>
      <c r="P213" s="148">
        <v>17046.857816175976</v>
      </c>
      <c r="Q213" s="139">
        <v>8941.6715199935952</v>
      </c>
      <c r="R213" s="256">
        <v>23378.187002867031</v>
      </c>
      <c r="S213" s="257">
        <v>25988.529336169573</v>
      </c>
      <c r="U213" s="7" t="s">
        <v>2278</v>
      </c>
    </row>
    <row r="214" spans="1:21" ht="16.5" thickBot="1">
      <c r="A214" s="41" t="s">
        <v>31</v>
      </c>
      <c r="B214" s="42">
        <f t="shared" ref="B214:B261" si="12">J214</f>
        <v>90</v>
      </c>
      <c r="C214" s="42" t="s">
        <v>3</v>
      </c>
      <c r="D214" s="42">
        <f t="shared" ref="D214:D261" si="13">K214</f>
        <v>300</v>
      </c>
      <c r="E214" s="42" t="s">
        <v>3</v>
      </c>
      <c r="F214" s="90">
        <f t="shared" ref="F214:F261" si="14">L214</f>
        <v>650</v>
      </c>
      <c r="G214" s="42" t="s">
        <v>3</v>
      </c>
      <c r="H214" s="39">
        <v>4</v>
      </c>
      <c r="I214" s="40" t="s">
        <v>40</v>
      </c>
      <c r="J214" s="149">
        <v>90</v>
      </c>
      <c r="K214" s="66">
        <v>300</v>
      </c>
      <c r="L214" s="66">
        <v>650</v>
      </c>
      <c r="M214" s="150">
        <v>7.2691659822699997</v>
      </c>
      <c r="N214" s="78">
        <v>208.79999999999998</v>
      </c>
      <c r="O214" s="110">
        <v>15234.962193508763</v>
      </c>
      <c r="P214" s="111">
        <v>18015.608403173737</v>
      </c>
      <c r="Q214" s="110">
        <v>9465.3131529653438</v>
      </c>
      <c r="R214" s="258">
        <v>24700.275346474107</v>
      </c>
      <c r="S214" s="259">
        <v>27480.921556139081</v>
      </c>
      <c r="U214" s="7" t="s">
        <v>2279</v>
      </c>
    </row>
    <row r="215" spans="1:21" ht="16.5" thickBot="1">
      <c r="A215" s="41" t="s">
        <v>31</v>
      </c>
      <c r="B215" s="42">
        <f t="shared" si="12"/>
        <v>90</v>
      </c>
      <c r="C215" s="42" t="s">
        <v>3</v>
      </c>
      <c r="D215" s="42">
        <f t="shared" si="13"/>
        <v>300</v>
      </c>
      <c r="E215" s="42" t="s">
        <v>3</v>
      </c>
      <c r="F215" s="90">
        <f t="shared" si="14"/>
        <v>700</v>
      </c>
      <c r="G215" s="42" t="s">
        <v>3</v>
      </c>
      <c r="H215" s="39">
        <v>4</v>
      </c>
      <c r="I215" s="40" t="s">
        <v>40</v>
      </c>
      <c r="J215" s="149">
        <v>90</v>
      </c>
      <c r="K215" s="66">
        <v>300</v>
      </c>
      <c r="L215" s="66">
        <v>700</v>
      </c>
      <c r="M215" s="150">
        <v>7.7776087020299993</v>
      </c>
      <c r="N215" s="78">
        <v>243.6</v>
      </c>
      <c r="O215" s="110">
        <v>15954.987171053073</v>
      </c>
      <c r="P215" s="111">
        <v>18905.458583103165</v>
      </c>
      <c r="Q215" s="110">
        <v>10240.289076749623</v>
      </c>
      <c r="R215" s="258">
        <v>26195.276247802696</v>
      </c>
      <c r="S215" s="259">
        <v>29145.747659852786</v>
      </c>
      <c r="U215" s="7" t="s">
        <v>2280</v>
      </c>
    </row>
    <row r="216" spans="1:21" ht="16.5" thickBot="1">
      <c r="A216" s="41" t="s">
        <v>31</v>
      </c>
      <c r="B216" s="42">
        <f t="shared" si="12"/>
        <v>90</v>
      </c>
      <c r="C216" s="42" t="s">
        <v>3</v>
      </c>
      <c r="D216" s="42">
        <f t="shared" si="13"/>
        <v>300</v>
      </c>
      <c r="E216" s="42" t="s">
        <v>3</v>
      </c>
      <c r="F216" s="90">
        <f t="shared" si="14"/>
        <v>750</v>
      </c>
      <c r="G216" s="42" t="s">
        <v>3</v>
      </c>
      <c r="H216" s="39">
        <v>4</v>
      </c>
      <c r="I216" s="40" t="s">
        <v>40</v>
      </c>
      <c r="J216" s="149">
        <v>90</v>
      </c>
      <c r="K216" s="66">
        <v>300</v>
      </c>
      <c r="L216" s="66">
        <v>750</v>
      </c>
      <c r="M216" s="150">
        <v>8.269011421790001</v>
      </c>
      <c r="N216" s="78">
        <v>278.39999999999998</v>
      </c>
      <c r="O216" s="110">
        <v>16675.01230162615</v>
      </c>
      <c r="P216" s="111">
        <v>19795.308763032597</v>
      </c>
      <c r="Q216" s="110">
        <v>10763.930709721371</v>
      </c>
      <c r="R216" s="258">
        <v>27438.943011347521</v>
      </c>
      <c r="S216" s="259">
        <v>30559.239472753969</v>
      </c>
      <c r="U216" s="7" t="s">
        <v>2281</v>
      </c>
    </row>
    <row r="217" spans="1:21" ht="16.5" thickBot="1">
      <c r="A217" s="41" t="s">
        <v>31</v>
      </c>
      <c r="B217" s="42">
        <f t="shared" si="12"/>
        <v>90</v>
      </c>
      <c r="C217" s="42" t="s">
        <v>3</v>
      </c>
      <c r="D217" s="42">
        <f t="shared" si="13"/>
        <v>300</v>
      </c>
      <c r="E217" s="42" t="s">
        <v>3</v>
      </c>
      <c r="F217" s="90">
        <f t="shared" si="14"/>
        <v>800</v>
      </c>
      <c r="G217" s="42" t="s">
        <v>3</v>
      </c>
      <c r="H217" s="39">
        <v>4</v>
      </c>
      <c r="I217" s="40" t="s">
        <v>40</v>
      </c>
      <c r="J217" s="149">
        <v>90</v>
      </c>
      <c r="K217" s="66">
        <v>300</v>
      </c>
      <c r="L217" s="66">
        <v>800</v>
      </c>
      <c r="M217" s="150">
        <v>8.7604141415499992</v>
      </c>
      <c r="N217" s="78">
        <v>313.2</v>
      </c>
      <c r="O217" s="110">
        <v>17395.037279170458</v>
      </c>
      <c r="P217" s="111">
        <v>20685.159095990792</v>
      </c>
      <c r="Q217" s="110">
        <v>11287.572342693116</v>
      </c>
      <c r="R217" s="258">
        <v>28682.609621863572</v>
      </c>
      <c r="S217" s="259">
        <v>31972.731438683906</v>
      </c>
      <c r="U217" s="7" t="s">
        <v>2282</v>
      </c>
    </row>
    <row r="218" spans="1:21" ht="16.5" thickBot="1">
      <c r="A218" s="41" t="s">
        <v>31</v>
      </c>
      <c r="B218" s="42">
        <f t="shared" si="12"/>
        <v>90</v>
      </c>
      <c r="C218" s="42" t="s">
        <v>3</v>
      </c>
      <c r="D218" s="42">
        <f t="shared" si="13"/>
        <v>300</v>
      </c>
      <c r="E218" s="42" t="s">
        <v>3</v>
      </c>
      <c r="F218" s="90">
        <f t="shared" si="14"/>
        <v>850</v>
      </c>
      <c r="G218" s="42" t="s">
        <v>3</v>
      </c>
      <c r="H218" s="39">
        <v>4</v>
      </c>
      <c r="I218" s="40" t="s">
        <v>40</v>
      </c>
      <c r="J218" s="149">
        <v>90</v>
      </c>
      <c r="K218" s="66">
        <v>300</v>
      </c>
      <c r="L218" s="66">
        <v>850</v>
      </c>
      <c r="M218" s="150">
        <v>9.2688568613099989</v>
      </c>
      <c r="N218" s="78">
        <v>348</v>
      </c>
      <c r="O218" s="110">
        <v>18115.062256714769</v>
      </c>
      <c r="P218" s="111">
        <v>21575.009275920223</v>
      </c>
      <c r="Q218" s="110">
        <v>12062.548266477399</v>
      </c>
      <c r="R218" s="258">
        <v>30177.610523192168</v>
      </c>
      <c r="S218" s="259">
        <v>33637.557542397626</v>
      </c>
      <c r="U218" s="7" t="s">
        <v>2283</v>
      </c>
    </row>
    <row r="219" spans="1:21" ht="16.5" thickBot="1">
      <c r="A219" s="41" t="s">
        <v>31</v>
      </c>
      <c r="B219" s="42">
        <f t="shared" si="12"/>
        <v>90</v>
      </c>
      <c r="C219" s="42" t="s">
        <v>3</v>
      </c>
      <c r="D219" s="42">
        <f t="shared" si="13"/>
        <v>300</v>
      </c>
      <c r="E219" s="42" t="s">
        <v>3</v>
      </c>
      <c r="F219" s="90">
        <f t="shared" si="14"/>
        <v>900</v>
      </c>
      <c r="G219" s="42" t="s">
        <v>3</v>
      </c>
      <c r="H219" s="39">
        <v>4</v>
      </c>
      <c r="I219" s="40" t="s">
        <v>40</v>
      </c>
      <c r="J219" s="149">
        <v>90</v>
      </c>
      <c r="K219" s="66">
        <v>300</v>
      </c>
      <c r="L219" s="66">
        <v>900</v>
      </c>
      <c r="M219" s="150">
        <v>9.7602595810700006</v>
      </c>
      <c r="N219" s="78">
        <v>382.8</v>
      </c>
      <c r="O219" s="110">
        <v>18835.087234259081</v>
      </c>
      <c r="P219" s="111">
        <v>22464.859455849652</v>
      </c>
      <c r="Q219" s="110">
        <v>12586.189899449146</v>
      </c>
      <c r="R219" s="258">
        <v>31421.277133708227</v>
      </c>
      <c r="S219" s="259">
        <v>35051.049355298797</v>
      </c>
      <c r="U219" s="7" t="s">
        <v>2284</v>
      </c>
    </row>
    <row r="220" spans="1:21" ht="16.5" thickBot="1">
      <c r="A220" s="41" t="s">
        <v>31</v>
      </c>
      <c r="B220" s="42">
        <f t="shared" si="12"/>
        <v>90</v>
      </c>
      <c r="C220" s="42" t="s">
        <v>3</v>
      </c>
      <c r="D220" s="42">
        <f t="shared" si="13"/>
        <v>300</v>
      </c>
      <c r="E220" s="42" t="s">
        <v>3</v>
      </c>
      <c r="F220" s="90">
        <f t="shared" si="14"/>
        <v>950</v>
      </c>
      <c r="G220" s="42" t="s">
        <v>3</v>
      </c>
      <c r="H220" s="39">
        <v>4</v>
      </c>
      <c r="I220" s="40" t="s">
        <v>40</v>
      </c>
      <c r="J220" s="149">
        <v>90</v>
      </c>
      <c r="K220" s="66">
        <v>300</v>
      </c>
      <c r="L220" s="66">
        <v>950</v>
      </c>
      <c r="M220" s="150">
        <v>10.268702300829998</v>
      </c>
      <c r="N220" s="78">
        <v>417.59999999999997</v>
      </c>
      <c r="O220" s="110">
        <v>19555.112211803389</v>
      </c>
      <c r="P220" s="111">
        <v>23354.709635779083</v>
      </c>
      <c r="Q220" s="110">
        <v>13361.165670204662</v>
      </c>
      <c r="R220" s="258">
        <v>32916.277882008049</v>
      </c>
      <c r="S220" s="259">
        <v>36715.875305983747</v>
      </c>
      <c r="U220" s="7" t="s">
        <v>2285</v>
      </c>
    </row>
    <row r="221" spans="1:21" ht="16.5" thickBot="1">
      <c r="A221" s="41" t="s">
        <v>31</v>
      </c>
      <c r="B221" s="42">
        <f t="shared" si="12"/>
        <v>90</v>
      </c>
      <c r="C221" s="42" t="s">
        <v>3</v>
      </c>
      <c r="D221" s="42">
        <f t="shared" si="13"/>
        <v>300</v>
      </c>
      <c r="E221" s="42" t="s">
        <v>3</v>
      </c>
      <c r="F221" s="90">
        <f t="shared" si="14"/>
        <v>1000</v>
      </c>
      <c r="G221" s="42" t="s">
        <v>3</v>
      </c>
      <c r="H221" s="39">
        <v>4</v>
      </c>
      <c r="I221" s="40" t="s">
        <v>40</v>
      </c>
      <c r="J221" s="149">
        <v>90</v>
      </c>
      <c r="K221" s="66">
        <v>300</v>
      </c>
      <c r="L221" s="66">
        <v>1000</v>
      </c>
      <c r="M221" s="150">
        <v>10.76010502059</v>
      </c>
      <c r="N221" s="78">
        <v>452.4</v>
      </c>
      <c r="O221" s="110">
        <v>20275.137342376463</v>
      </c>
      <c r="P221" s="111">
        <v>24244.559815708515</v>
      </c>
      <c r="Q221" s="110">
        <v>13884.807456205173</v>
      </c>
      <c r="R221" s="258">
        <v>34159.944798581637</v>
      </c>
      <c r="S221" s="259">
        <v>38129.367271913688</v>
      </c>
      <c r="U221" s="7" t="s">
        <v>2286</v>
      </c>
    </row>
    <row r="222" spans="1:21" ht="16.5" thickBot="1">
      <c r="A222" s="41" t="s">
        <v>31</v>
      </c>
      <c r="B222" s="42">
        <f t="shared" si="12"/>
        <v>90</v>
      </c>
      <c r="C222" s="42" t="s">
        <v>3</v>
      </c>
      <c r="D222" s="42">
        <f t="shared" si="13"/>
        <v>300</v>
      </c>
      <c r="E222" s="42" t="s">
        <v>3</v>
      </c>
      <c r="F222" s="90">
        <f t="shared" si="14"/>
        <v>1050</v>
      </c>
      <c r="G222" s="42" t="s">
        <v>3</v>
      </c>
      <c r="H222" s="39">
        <v>4</v>
      </c>
      <c r="I222" s="40" t="s">
        <v>40</v>
      </c>
      <c r="J222" s="149">
        <v>90</v>
      </c>
      <c r="K222" s="66">
        <v>300</v>
      </c>
      <c r="L222" s="66">
        <v>1050</v>
      </c>
      <c r="M222" s="150">
        <v>11.268547740349998</v>
      </c>
      <c r="N222" s="78">
        <v>487.2</v>
      </c>
      <c r="O222" s="110">
        <v>20995.162319920775</v>
      </c>
      <c r="P222" s="111">
        <v>25134.409995637947</v>
      </c>
      <c r="Q222" s="110">
        <v>14659.78322696069</v>
      </c>
      <c r="R222" s="258">
        <v>35654.945546881463</v>
      </c>
      <c r="S222" s="259">
        <v>39794.193222598638</v>
      </c>
      <c r="U222" s="7" t="s">
        <v>2287</v>
      </c>
    </row>
    <row r="223" spans="1:21" ht="16.5" thickBot="1">
      <c r="A223" s="38" t="s">
        <v>31</v>
      </c>
      <c r="B223" s="39">
        <f t="shared" si="12"/>
        <v>90</v>
      </c>
      <c r="C223" s="39" t="s">
        <v>3</v>
      </c>
      <c r="D223" s="39">
        <f t="shared" si="13"/>
        <v>300</v>
      </c>
      <c r="E223" s="39" t="s">
        <v>3</v>
      </c>
      <c r="F223" s="90">
        <f t="shared" si="14"/>
        <v>1100</v>
      </c>
      <c r="G223" s="39" t="s">
        <v>3</v>
      </c>
      <c r="H223" s="39">
        <v>4</v>
      </c>
      <c r="I223" s="40" t="s">
        <v>40</v>
      </c>
      <c r="J223" s="149">
        <v>90</v>
      </c>
      <c r="K223" s="66">
        <v>300</v>
      </c>
      <c r="L223" s="66">
        <v>1100</v>
      </c>
      <c r="M223" s="150">
        <v>11.759950460109998</v>
      </c>
      <c r="N223" s="78">
        <v>522</v>
      </c>
      <c r="O223" s="110">
        <v>21715.187297465083</v>
      </c>
      <c r="P223" s="111">
        <v>26024.260175567375</v>
      </c>
      <c r="Q223" s="110">
        <v>15183.425012961201</v>
      </c>
      <c r="R223" s="258">
        <v>36898.612310426281</v>
      </c>
      <c r="S223" s="259">
        <v>41207.685188528572</v>
      </c>
      <c r="U223" s="7" t="s">
        <v>2288</v>
      </c>
    </row>
    <row r="224" spans="1:21" ht="16.5" thickBot="1">
      <c r="A224" s="41" t="s">
        <v>31</v>
      </c>
      <c r="B224" s="42">
        <f t="shared" si="12"/>
        <v>90</v>
      </c>
      <c r="C224" s="42" t="s">
        <v>3</v>
      </c>
      <c r="D224" s="42">
        <f t="shared" si="13"/>
        <v>300</v>
      </c>
      <c r="E224" s="42" t="s">
        <v>3</v>
      </c>
      <c r="F224" s="90">
        <f t="shared" si="14"/>
        <v>1150</v>
      </c>
      <c r="G224" s="42" t="s">
        <v>3</v>
      </c>
      <c r="H224" s="39">
        <v>4</v>
      </c>
      <c r="I224" s="40" t="s">
        <v>40</v>
      </c>
      <c r="J224" s="149">
        <v>90</v>
      </c>
      <c r="K224" s="66">
        <v>300</v>
      </c>
      <c r="L224" s="66">
        <v>1150</v>
      </c>
      <c r="M224" s="150">
        <v>12.25135317987</v>
      </c>
      <c r="N224" s="78">
        <v>556.79999999999995</v>
      </c>
      <c r="O224" s="110">
        <v>22435.212275009395</v>
      </c>
      <c r="P224" s="111">
        <v>26914.110355496807</v>
      </c>
      <c r="Q224" s="110">
        <v>15707.066645932946</v>
      </c>
      <c r="R224" s="258">
        <v>38142.278920942343</v>
      </c>
      <c r="S224" s="259">
        <v>42621.177001429751</v>
      </c>
      <c r="U224" s="7" t="s">
        <v>2289</v>
      </c>
    </row>
    <row r="225" spans="1:21" ht="16.5" thickBot="1">
      <c r="A225" s="41" t="s">
        <v>31</v>
      </c>
      <c r="B225" s="42">
        <f t="shared" si="12"/>
        <v>90</v>
      </c>
      <c r="C225" s="42" t="s">
        <v>3</v>
      </c>
      <c r="D225" s="42">
        <f t="shared" si="13"/>
        <v>300</v>
      </c>
      <c r="E225" s="42" t="s">
        <v>3</v>
      </c>
      <c r="F225" s="90">
        <f t="shared" si="14"/>
        <v>1200</v>
      </c>
      <c r="G225" s="42" t="s">
        <v>3</v>
      </c>
      <c r="H225" s="39">
        <v>4</v>
      </c>
      <c r="I225" s="40" t="s">
        <v>40</v>
      </c>
      <c r="J225" s="149">
        <v>90</v>
      </c>
      <c r="K225" s="66">
        <v>300</v>
      </c>
      <c r="L225" s="66">
        <v>1200</v>
      </c>
      <c r="M225" s="150">
        <v>12.838295899629998</v>
      </c>
      <c r="N225" s="78">
        <v>591.6</v>
      </c>
      <c r="O225" s="110">
        <v>23239.335587687037</v>
      </c>
      <c r="P225" s="111">
        <v>27888.572282066561</v>
      </c>
      <c r="Q225" s="110">
        <v>16482.042416688462</v>
      </c>
      <c r="R225" s="258">
        <v>39721.378004375496</v>
      </c>
      <c r="S225" s="259">
        <v>44370.614698755024</v>
      </c>
      <c r="U225" s="7" t="s">
        <v>2290</v>
      </c>
    </row>
    <row r="226" spans="1:21" ht="16.5" thickBot="1">
      <c r="A226" s="41" t="s">
        <v>31</v>
      </c>
      <c r="B226" s="42">
        <f t="shared" si="12"/>
        <v>90</v>
      </c>
      <c r="C226" s="42" t="s">
        <v>3</v>
      </c>
      <c r="D226" s="42">
        <f t="shared" si="13"/>
        <v>300</v>
      </c>
      <c r="E226" s="42" t="s">
        <v>3</v>
      </c>
      <c r="F226" s="90">
        <f t="shared" si="14"/>
        <v>1250</v>
      </c>
      <c r="G226" s="42" t="s">
        <v>3</v>
      </c>
      <c r="H226" s="39">
        <v>4</v>
      </c>
      <c r="I226" s="40" t="s">
        <v>40</v>
      </c>
      <c r="J226" s="149">
        <v>90</v>
      </c>
      <c r="K226" s="66">
        <v>300</v>
      </c>
      <c r="L226" s="66">
        <v>1250</v>
      </c>
      <c r="M226" s="150">
        <v>13.329698619390001</v>
      </c>
      <c r="N226" s="78">
        <v>626.4</v>
      </c>
      <c r="O226" s="110">
        <v>23959.360565231349</v>
      </c>
      <c r="P226" s="111">
        <v>28778.42246199599</v>
      </c>
      <c r="Q226" s="110">
        <v>17005.684202688975</v>
      </c>
      <c r="R226" s="258">
        <v>40965.044767920321</v>
      </c>
      <c r="S226" s="259">
        <v>45784.106664684965</v>
      </c>
      <c r="U226" s="7" t="s">
        <v>2291</v>
      </c>
    </row>
    <row r="227" spans="1:21" ht="16.5" thickBot="1">
      <c r="A227" s="41" t="s">
        <v>31</v>
      </c>
      <c r="B227" s="42">
        <f t="shared" si="12"/>
        <v>90</v>
      </c>
      <c r="C227" s="42" t="s">
        <v>3</v>
      </c>
      <c r="D227" s="42">
        <f t="shared" si="13"/>
        <v>300</v>
      </c>
      <c r="E227" s="42" t="s">
        <v>3</v>
      </c>
      <c r="F227" s="90">
        <f t="shared" si="14"/>
        <v>1300</v>
      </c>
      <c r="G227" s="42" t="s">
        <v>3</v>
      </c>
      <c r="H227" s="39">
        <v>4</v>
      </c>
      <c r="I227" s="40" t="s">
        <v>40</v>
      </c>
      <c r="J227" s="149">
        <v>90</v>
      </c>
      <c r="K227" s="66">
        <v>300</v>
      </c>
      <c r="L227" s="66">
        <v>1300</v>
      </c>
      <c r="M227" s="150">
        <v>13.838141339150001</v>
      </c>
      <c r="N227" s="78">
        <v>661.19999999999993</v>
      </c>
      <c r="O227" s="110">
        <v>24679.385695804423</v>
      </c>
      <c r="P227" s="111">
        <v>29668.272641925421</v>
      </c>
      <c r="Q227" s="110">
        <v>17780.65997344449</v>
      </c>
      <c r="R227" s="258">
        <v>42460.04566924891</v>
      </c>
      <c r="S227" s="259">
        <v>47448.932615369908</v>
      </c>
      <c r="U227" s="7" t="s">
        <v>2292</v>
      </c>
    </row>
    <row r="228" spans="1:21" ht="16.5" thickBot="1">
      <c r="A228" s="41" t="s">
        <v>31</v>
      </c>
      <c r="B228" s="42">
        <f t="shared" si="12"/>
        <v>90</v>
      </c>
      <c r="C228" s="42" t="s">
        <v>3</v>
      </c>
      <c r="D228" s="42">
        <f t="shared" si="13"/>
        <v>300</v>
      </c>
      <c r="E228" s="42" t="s">
        <v>3</v>
      </c>
      <c r="F228" s="90">
        <f t="shared" si="14"/>
        <v>1350</v>
      </c>
      <c r="G228" s="42" t="s">
        <v>3</v>
      </c>
      <c r="H228" s="39">
        <v>4</v>
      </c>
      <c r="I228" s="40" t="s">
        <v>40</v>
      </c>
      <c r="J228" s="149">
        <v>90</v>
      </c>
      <c r="K228" s="66">
        <v>300</v>
      </c>
      <c r="L228" s="66">
        <v>1350</v>
      </c>
      <c r="M228" s="150">
        <v>14.329544058910001</v>
      </c>
      <c r="N228" s="78">
        <v>696</v>
      </c>
      <c r="O228" s="110">
        <v>25399.410673348735</v>
      </c>
      <c r="P228" s="111">
        <v>30558.122821854849</v>
      </c>
      <c r="Q228" s="110">
        <v>18304.301606416237</v>
      </c>
      <c r="R228" s="258">
        <v>43703.712279764972</v>
      </c>
      <c r="S228" s="259">
        <v>48862.424428271086</v>
      </c>
      <c r="U228" s="7" t="s">
        <v>2293</v>
      </c>
    </row>
    <row r="229" spans="1:21" ht="16.5" thickBot="1">
      <c r="A229" s="41" t="s">
        <v>31</v>
      </c>
      <c r="B229" s="42">
        <f t="shared" si="12"/>
        <v>90</v>
      </c>
      <c r="C229" s="42" t="s">
        <v>3</v>
      </c>
      <c r="D229" s="42">
        <f t="shared" si="13"/>
        <v>300</v>
      </c>
      <c r="E229" s="42" t="s">
        <v>3</v>
      </c>
      <c r="F229" s="90">
        <f t="shared" si="14"/>
        <v>1400</v>
      </c>
      <c r="G229" s="42" t="s">
        <v>3</v>
      </c>
      <c r="H229" s="39">
        <v>4</v>
      </c>
      <c r="I229" s="40" t="s">
        <v>40</v>
      </c>
      <c r="J229" s="149">
        <v>90</v>
      </c>
      <c r="K229" s="66">
        <v>300</v>
      </c>
      <c r="L229" s="66">
        <v>1400</v>
      </c>
      <c r="M229" s="150">
        <v>14.83798677867</v>
      </c>
      <c r="N229" s="78">
        <v>730.8</v>
      </c>
      <c r="O229" s="110">
        <v>26119.43565089304</v>
      </c>
      <c r="P229" s="111">
        <v>31447.973154813048</v>
      </c>
      <c r="Q229" s="110">
        <v>19079.277530200521</v>
      </c>
      <c r="R229" s="258">
        <v>45198.713181093561</v>
      </c>
      <c r="S229" s="259">
        <v>50527.250685013569</v>
      </c>
      <c r="U229" s="7" t="s">
        <v>2294</v>
      </c>
    </row>
    <row r="230" spans="1:21" ht="16.5" thickBot="1">
      <c r="A230" s="41" t="s">
        <v>31</v>
      </c>
      <c r="B230" s="42">
        <f t="shared" si="12"/>
        <v>90</v>
      </c>
      <c r="C230" s="42" t="s">
        <v>3</v>
      </c>
      <c r="D230" s="42">
        <f t="shared" si="13"/>
        <v>300</v>
      </c>
      <c r="E230" s="42" t="s">
        <v>3</v>
      </c>
      <c r="F230" s="90">
        <f t="shared" si="14"/>
        <v>1450</v>
      </c>
      <c r="G230" s="42" t="s">
        <v>3</v>
      </c>
      <c r="H230" s="39">
        <v>4</v>
      </c>
      <c r="I230" s="40" t="s">
        <v>40</v>
      </c>
      <c r="J230" s="149">
        <v>90</v>
      </c>
      <c r="K230" s="66">
        <v>300</v>
      </c>
      <c r="L230" s="66">
        <v>1450</v>
      </c>
      <c r="M230" s="150">
        <v>15.329389498430002</v>
      </c>
      <c r="N230" s="78">
        <v>765.6</v>
      </c>
      <c r="O230" s="110">
        <v>26839.460628437351</v>
      </c>
      <c r="P230" s="111">
        <v>32337.823334742476</v>
      </c>
      <c r="Q230" s="110">
        <v>19602.919163172111</v>
      </c>
      <c r="R230" s="258">
        <v>46442.379791609463</v>
      </c>
      <c r="S230" s="259">
        <v>51940.742497914587</v>
      </c>
      <c r="U230" s="7" t="s">
        <v>2295</v>
      </c>
    </row>
    <row r="231" spans="1:21" ht="16.5" thickBot="1">
      <c r="A231" s="41" t="s">
        <v>31</v>
      </c>
      <c r="B231" s="42">
        <f t="shared" si="12"/>
        <v>90</v>
      </c>
      <c r="C231" s="42" t="s">
        <v>3</v>
      </c>
      <c r="D231" s="42">
        <f t="shared" si="13"/>
        <v>300</v>
      </c>
      <c r="E231" s="42" t="s">
        <v>3</v>
      </c>
      <c r="F231" s="90">
        <f t="shared" si="14"/>
        <v>1500</v>
      </c>
      <c r="G231" s="42" t="s">
        <v>3</v>
      </c>
      <c r="H231" s="39">
        <v>4</v>
      </c>
      <c r="I231" s="40" t="s">
        <v>40</v>
      </c>
      <c r="J231" s="149">
        <v>90</v>
      </c>
      <c r="K231" s="66">
        <v>300</v>
      </c>
      <c r="L231" s="66">
        <v>1500</v>
      </c>
      <c r="M231" s="150">
        <v>15.982397110990002</v>
      </c>
      <c r="N231" s="78">
        <v>800.4</v>
      </c>
      <c r="O231" s="110">
        <v>28299.211200690632</v>
      </c>
      <c r="P231" s="111">
        <v>33900.047477159002</v>
      </c>
      <c r="Q231" s="110">
        <v>20377.895086956549</v>
      </c>
      <c r="R231" s="258">
        <v>48677.106287647184</v>
      </c>
      <c r="S231" s="259">
        <v>54277.942564115554</v>
      </c>
      <c r="U231" s="7" t="s">
        <v>2296</v>
      </c>
    </row>
    <row r="232" spans="1:21" ht="16.5" thickBot="1">
      <c r="A232" s="41" t="s">
        <v>31</v>
      </c>
      <c r="B232" s="42">
        <f t="shared" si="12"/>
        <v>90</v>
      </c>
      <c r="C232" s="42" t="s">
        <v>3</v>
      </c>
      <c r="D232" s="42">
        <f t="shared" si="13"/>
        <v>300</v>
      </c>
      <c r="E232" s="42" t="s">
        <v>3</v>
      </c>
      <c r="F232" s="90">
        <f t="shared" si="14"/>
        <v>1550</v>
      </c>
      <c r="G232" s="42" t="s">
        <v>3</v>
      </c>
      <c r="H232" s="39">
        <v>4</v>
      </c>
      <c r="I232" s="40" t="s">
        <v>40</v>
      </c>
      <c r="J232" s="149">
        <v>90</v>
      </c>
      <c r="K232" s="66">
        <v>300</v>
      </c>
      <c r="L232" s="66">
        <v>1550</v>
      </c>
      <c r="M232" s="150">
        <v>16.47379983075</v>
      </c>
      <c r="N232" s="78">
        <v>835.19999999999993</v>
      </c>
      <c r="O232" s="110">
        <v>29019.236178234944</v>
      </c>
      <c r="P232" s="111">
        <v>34789.897657088433</v>
      </c>
      <c r="Q232" s="110">
        <v>20901.536719928292</v>
      </c>
      <c r="R232" s="258">
        <v>49920.772898163239</v>
      </c>
      <c r="S232" s="259">
        <v>55691.434377016725</v>
      </c>
      <c r="U232" s="7" t="s">
        <v>2297</v>
      </c>
    </row>
    <row r="233" spans="1:21" ht="16.5" thickBot="1">
      <c r="A233" s="38" t="s">
        <v>31</v>
      </c>
      <c r="B233" s="39">
        <f t="shared" si="12"/>
        <v>90</v>
      </c>
      <c r="C233" s="39" t="s">
        <v>3</v>
      </c>
      <c r="D233" s="39">
        <f t="shared" si="13"/>
        <v>300</v>
      </c>
      <c r="E233" s="39" t="s">
        <v>3</v>
      </c>
      <c r="F233" s="90">
        <f t="shared" si="14"/>
        <v>1600</v>
      </c>
      <c r="G233" s="39" t="s">
        <v>3</v>
      </c>
      <c r="H233" s="39">
        <v>4</v>
      </c>
      <c r="I233" s="40" t="s">
        <v>40</v>
      </c>
      <c r="J233" s="149">
        <v>90</v>
      </c>
      <c r="K233" s="66">
        <v>300</v>
      </c>
      <c r="L233" s="66">
        <v>1600</v>
      </c>
      <c r="M233" s="150">
        <v>16.96520255051</v>
      </c>
      <c r="N233" s="78">
        <v>870</v>
      </c>
      <c r="O233" s="110">
        <v>29739.261155779255</v>
      </c>
      <c r="P233" s="111">
        <v>35679.747837017865</v>
      </c>
      <c r="Q233" s="110">
        <v>21425.178352900039</v>
      </c>
      <c r="R233" s="258">
        <v>51164.439508679294</v>
      </c>
      <c r="S233" s="259">
        <v>57104.926189917904</v>
      </c>
      <c r="U233" s="7" t="s">
        <v>2298</v>
      </c>
    </row>
    <row r="234" spans="1:21" ht="16.5" thickBot="1">
      <c r="A234" s="41" t="s">
        <v>31</v>
      </c>
      <c r="B234" s="42">
        <f t="shared" si="12"/>
        <v>90</v>
      </c>
      <c r="C234" s="42" t="s">
        <v>3</v>
      </c>
      <c r="D234" s="42">
        <f t="shared" si="13"/>
        <v>300</v>
      </c>
      <c r="E234" s="42" t="s">
        <v>3</v>
      </c>
      <c r="F234" s="90">
        <f t="shared" si="14"/>
        <v>1650</v>
      </c>
      <c r="G234" s="42" t="s">
        <v>3</v>
      </c>
      <c r="H234" s="39">
        <v>4</v>
      </c>
      <c r="I234" s="40" t="s">
        <v>40</v>
      </c>
      <c r="J234" s="149">
        <v>90</v>
      </c>
      <c r="K234" s="66">
        <v>300</v>
      </c>
      <c r="L234" s="66">
        <v>1650</v>
      </c>
      <c r="M234" s="150">
        <v>17.473645270270001</v>
      </c>
      <c r="N234" s="78">
        <v>904.8</v>
      </c>
      <c r="O234" s="110">
        <v>30459.286133323567</v>
      </c>
      <c r="P234" s="111">
        <v>36569.598016947297</v>
      </c>
      <c r="Q234" s="110">
        <v>22200.154276684319</v>
      </c>
      <c r="R234" s="258">
        <v>52659.440410007883</v>
      </c>
      <c r="S234" s="259">
        <v>58769.752293631616</v>
      </c>
      <c r="U234" s="7" t="s">
        <v>2299</v>
      </c>
    </row>
    <row r="235" spans="1:21" ht="16.5" thickBot="1">
      <c r="A235" s="41" t="s">
        <v>31</v>
      </c>
      <c r="B235" s="42">
        <f t="shared" si="12"/>
        <v>90</v>
      </c>
      <c r="C235" s="42" t="s">
        <v>3</v>
      </c>
      <c r="D235" s="42">
        <f t="shared" si="13"/>
        <v>300</v>
      </c>
      <c r="E235" s="42" t="s">
        <v>3</v>
      </c>
      <c r="F235" s="90">
        <f t="shared" si="14"/>
        <v>1700</v>
      </c>
      <c r="G235" s="42" t="s">
        <v>3</v>
      </c>
      <c r="H235" s="39">
        <v>4</v>
      </c>
      <c r="I235" s="40" t="s">
        <v>40</v>
      </c>
      <c r="J235" s="149">
        <v>90</v>
      </c>
      <c r="K235" s="66">
        <v>300</v>
      </c>
      <c r="L235" s="66">
        <v>1700</v>
      </c>
      <c r="M235" s="150">
        <v>17.965047990030001</v>
      </c>
      <c r="N235" s="78">
        <v>939.59999999999991</v>
      </c>
      <c r="O235" s="110">
        <v>31179.311263896641</v>
      </c>
      <c r="P235" s="111">
        <v>37459.448196876721</v>
      </c>
      <c r="Q235" s="110">
        <v>22723.795909656066</v>
      </c>
      <c r="R235" s="258">
        <v>53903.107173552708</v>
      </c>
      <c r="S235" s="259">
        <v>60183.244106532788</v>
      </c>
      <c r="U235" s="7" t="s">
        <v>2300</v>
      </c>
    </row>
    <row r="236" spans="1:21" ht="16.5" thickBot="1">
      <c r="A236" s="41" t="s">
        <v>31</v>
      </c>
      <c r="B236" s="42">
        <f t="shared" si="12"/>
        <v>90</v>
      </c>
      <c r="C236" s="42" t="s">
        <v>3</v>
      </c>
      <c r="D236" s="42">
        <f t="shared" si="13"/>
        <v>300</v>
      </c>
      <c r="E236" s="42" t="s">
        <v>3</v>
      </c>
      <c r="F236" s="90">
        <f t="shared" si="14"/>
        <v>1750</v>
      </c>
      <c r="G236" s="42" t="s">
        <v>3</v>
      </c>
      <c r="H236" s="39">
        <v>4</v>
      </c>
      <c r="I236" s="40" t="s">
        <v>40</v>
      </c>
      <c r="J236" s="149">
        <v>90</v>
      </c>
      <c r="K236" s="66">
        <v>300</v>
      </c>
      <c r="L236" s="66">
        <v>1750</v>
      </c>
      <c r="M236" s="150">
        <v>18.473490709789999</v>
      </c>
      <c r="N236" s="78">
        <v>974.4</v>
      </c>
      <c r="O236" s="110">
        <v>31899.336241440953</v>
      </c>
      <c r="P236" s="111">
        <v>38349.298529834923</v>
      </c>
      <c r="Q236" s="110">
        <v>23498.771833440347</v>
      </c>
      <c r="R236" s="258">
        <v>55398.108074881296</v>
      </c>
      <c r="S236" s="259">
        <v>61848.07036327527</v>
      </c>
      <c r="U236" s="7" t="s">
        <v>2301</v>
      </c>
    </row>
    <row r="237" spans="1:21" ht="16.5" thickBot="1">
      <c r="A237" s="41" t="s">
        <v>31</v>
      </c>
      <c r="B237" s="42">
        <f t="shared" si="12"/>
        <v>90</v>
      </c>
      <c r="C237" s="42" t="s">
        <v>3</v>
      </c>
      <c r="D237" s="42">
        <f t="shared" si="13"/>
        <v>300</v>
      </c>
      <c r="E237" s="42" t="s">
        <v>3</v>
      </c>
      <c r="F237" s="90">
        <f t="shared" si="14"/>
        <v>1800</v>
      </c>
      <c r="G237" s="42" t="s">
        <v>3</v>
      </c>
      <c r="H237" s="39">
        <v>4</v>
      </c>
      <c r="I237" s="40" t="s">
        <v>40</v>
      </c>
      <c r="J237" s="149">
        <v>90</v>
      </c>
      <c r="K237" s="66">
        <v>300</v>
      </c>
      <c r="L237" s="66">
        <v>1800</v>
      </c>
      <c r="M237" s="150">
        <v>18.964893429549999</v>
      </c>
      <c r="N237" s="78">
        <v>1009.1999999999999</v>
      </c>
      <c r="O237" s="110">
        <v>32619.361218985261</v>
      </c>
      <c r="P237" s="111">
        <v>39239.148709764348</v>
      </c>
      <c r="Q237" s="110">
        <v>24022.413466412094</v>
      </c>
      <c r="R237" s="258">
        <v>56641.774685397351</v>
      </c>
      <c r="S237" s="259">
        <v>63261.562176176441</v>
      </c>
      <c r="U237" s="7" t="s">
        <v>2302</v>
      </c>
    </row>
    <row r="238" spans="1:21" ht="16.5" thickBot="1">
      <c r="A238" s="41" t="s">
        <v>31</v>
      </c>
      <c r="B238" s="42">
        <f t="shared" si="12"/>
        <v>90</v>
      </c>
      <c r="C238" s="42" t="s">
        <v>3</v>
      </c>
      <c r="D238" s="42">
        <f t="shared" si="13"/>
        <v>300</v>
      </c>
      <c r="E238" s="42" t="s">
        <v>3</v>
      </c>
      <c r="F238" s="90">
        <f t="shared" si="14"/>
        <v>1850</v>
      </c>
      <c r="G238" s="42" t="s">
        <v>3</v>
      </c>
      <c r="H238" s="39">
        <v>4</v>
      </c>
      <c r="I238" s="40" t="s">
        <v>40</v>
      </c>
      <c r="J238" s="149">
        <v>90</v>
      </c>
      <c r="K238" s="66">
        <v>300</v>
      </c>
      <c r="L238" s="66">
        <v>1850</v>
      </c>
      <c r="M238" s="150">
        <v>19.473336149310001</v>
      </c>
      <c r="N238" s="78">
        <v>1044</v>
      </c>
      <c r="O238" s="110">
        <v>33339.386196529573</v>
      </c>
      <c r="P238" s="111">
        <v>40128.998889693779</v>
      </c>
      <c r="Q238" s="110">
        <v>24797.389237167612</v>
      </c>
      <c r="R238" s="258">
        <v>58136.775433697185</v>
      </c>
      <c r="S238" s="259">
        <v>64926.388126861391</v>
      </c>
      <c r="U238" s="7" t="s">
        <v>2303</v>
      </c>
    </row>
    <row r="239" spans="1:21" ht="16.5" thickBot="1">
      <c r="A239" s="41" t="s">
        <v>31</v>
      </c>
      <c r="B239" s="42">
        <f t="shared" si="12"/>
        <v>90</v>
      </c>
      <c r="C239" s="42" t="s">
        <v>3</v>
      </c>
      <c r="D239" s="42">
        <f t="shared" si="13"/>
        <v>300</v>
      </c>
      <c r="E239" s="42" t="s">
        <v>3</v>
      </c>
      <c r="F239" s="90">
        <f t="shared" si="14"/>
        <v>1900</v>
      </c>
      <c r="G239" s="42" t="s">
        <v>3</v>
      </c>
      <c r="H239" s="39">
        <v>4</v>
      </c>
      <c r="I239" s="40" t="s">
        <v>40</v>
      </c>
      <c r="J239" s="149">
        <v>90</v>
      </c>
      <c r="K239" s="66">
        <v>300</v>
      </c>
      <c r="L239" s="66">
        <v>1900</v>
      </c>
      <c r="M239" s="150">
        <v>19.964738869070001</v>
      </c>
      <c r="N239" s="78">
        <v>1078.8</v>
      </c>
      <c r="O239" s="110">
        <v>34059.411174073888</v>
      </c>
      <c r="P239" s="111">
        <v>41018.849069623211</v>
      </c>
      <c r="Q239" s="110">
        <v>25321.031023168125</v>
      </c>
      <c r="R239" s="258">
        <v>59380.44219724201</v>
      </c>
      <c r="S239" s="259">
        <v>66339.88009279134</v>
      </c>
      <c r="U239" s="7" t="s">
        <v>2304</v>
      </c>
    </row>
    <row r="240" spans="1:21" ht="16.5" thickBot="1">
      <c r="A240" s="41" t="s">
        <v>31</v>
      </c>
      <c r="B240" s="42">
        <f t="shared" si="12"/>
        <v>90</v>
      </c>
      <c r="C240" s="42" t="s">
        <v>3</v>
      </c>
      <c r="D240" s="42">
        <f t="shared" si="13"/>
        <v>300</v>
      </c>
      <c r="E240" s="42" t="s">
        <v>3</v>
      </c>
      <c r="F240" s="90">
        <f t="shared" si="14"/>
        <v>1950</v>
      </c>
      <c r="G240" s="42" t="s">
        <v>3</v>
      </c>
      <c r="H240" s="39">
        <v>4</v>
      </c>
      <c r="I240" s="40" t="s">
        <v>40</v>
      </c>
      <c r="J240" s="149">
        <v>90</v>
      </c>
      <c r="K240" s="66">
        <v>300</v>
      </c>
      <c r="L240" s="66">
        <v>1950</v>
      </c>
      <c r="M240" s="150">
        <v>20.534641588830002</v>
      </c>
      <c r="N240" s="78">
        <v>1113.5999999999999</v>
      </c>
      <c r="O240" s="110">
        <v>34863.534486751523</v>
      </c>
      <c r="P240" s="111">
        <v>41993.310996192966</v>
      </c>
      <c r="Q240" s="110">
        <v>25844.672656139872</v>
      </c>
      <c r="R240" s="258">
        <v>60708.207142891391</v>
      </c>
      <c r="S240" s="259">
        <v>67837.983652332841</v>
      </c>
      <c r="U240" s="7" t="s">
        <v>2305</v>
      </c>
    </row>
    <row r="241" spans="1:21" ht="16.5" thickBot="1">
      <c r="A241" s="41" t="s">
        <v>31</v>
      </c>
      <c r="B241" s="42">
        <f t="shared" si="12"/>
        <v>90</v>
      </c>
      <c r="C241" s="42" t="s">
        <v>3</v>
      </c>
      <c r="D241" s="42">
        <f t="shared" si="13"/>
        <v>300</v>
      </c>
      <c r="E241" s="42" t="s">
        <v>3</v>
      </c>
      <c r="F241" s="90">
        <f t="shared" si="14"/>
        <v>2000</v>
      </c>
      <c r="G241" s="42" t="s">
        <v>3</v>
      </c>
      <c r="H241" s="39">
        <v>4</v>
      </c>
      <c r="I241" s="40" t="s">
        <v>40</v>
      </c>
      <c r="J241" s="149">
        <v>90</v>
      </c>
      <c r="K241" s="66">
        <v>300</v>
      </c>
      <c r="L241" s="66">
        <v>2000</v>
      </c>
      <c r="M241" s="150">
        <v>21.134646708590001</v>
      </c>
      <c r="N241" s="78">
        <v>1148.3999999999999</v>
      </c>
      <c r="O241" s="110">
        <v>35834.851366140429</v>
      </c>
      <c r="P241" s="111">
        <v>43223.98316911843</v>
      </c>
      <c r="Q241" s="110">
        <v>26619.648426895383</v>
      </c>
      <c r="R241" s="258">
        <v>62454.499793035808</v>
      </c>
      <c r="S241" s="259">
        <v>69843.631596013816</v>
      </c>
      <c r="U241" s="7" t="s">
        <v>2306</v>
      </c>
    </row>
    <row r="242" spans="1:21" ht="16.5" thickBot="1">
      <c r="A242" s="41" t="s">
        <v>31</v>
      </c>
      <c r="B242" s="42">
        <f t="shared" si="12"/>
        <v>90</v>
      </c>
      <c r="C242" s="42" t="s">
        <v>3</v>
      </c>
      <c r="D242" s="42">
        <f t="shared" si="13"/>
        <v>300</v>
      </c>
      <c r="E242" s="42" t="s">
        <v>3</v>
      </c>
      <c r="F242" s="90">
        <f t="shared" si="14"/>
        <v>2050</v>
      </c>
      <c r="G242" s="42" t="s">
        <v>3</v>
      </c>
      <c r="H242" s="39">
        <v>4</v>
      </c>
      <c r="I242" s="40" t="s">
        <v>40</v>
      </c>
      <c r="J242" s="149">
        <v>90</v>
      </c>
      <c r="K242" s="66">
        <v>300</v>
      </c>
      <c r="L242" s="66">
        <v>2050</v>
      </c>
      <c r="M242" s="150">
        <v>21.626049428350001</v>
      </c>
      <c r="N242" s="78">
        <v>1183.2</v>
      </c>
      <c r="O242" s="110">
        <v>36554.876343684737</v>
      </c>
      <c r="P242" s="111">
        <v>44113.833349047862</v>
      </c>
      <c r="Q242" s="110">
        <v>27143.290212895896</v>
      </c>
      <c r="R242" s="258">
        <v>63698.166556580632</v>
      </c>
      <c r="S242" s="259">
        <v>71257.123561943765</v>
      </c>
      <c r="U242" s="7" t="s">
        <v>2307</v>
      </c>
    </row>
    <row r="243" spans="1:21" ht="16.5" thickBot="1">
      <c r="A243" s="38" t="s">
        <v>31</v>
      </c>
      <c r="B243" s="39">
        <f t="shared" si="12"/>
        <v>90</v>
      </c>
      <c r="C243" s="39" t="s">
        <v>3</v>
      </c>
      <c r="D243" s="39">
        <f t="shared" si="13"/>
        <v>300</v>
      </c>
      <c r="E243" s="39" t="s">
        <v>3</v>
      </c>
      <c r="F243" s="90">
        <f t="shared" si="14"/>
        <v>2100</v>
      </c>
      <c r="G243" s="39" t="s">
        <v>3</v>
      </c>
      <c r="H243" s="39">
        <v>4</v>
      </c>
      <c r="I243" s="40" t="s">
        <v>40</v>
      </c>
      <c r="J243" s="149">
        <v>90</v>
      </c>
      <c r="K243" s="66">
        <v>300</v>
      </c>
      <c r="L243" s="66">
        <v>2100</v>
      </c>
      <c r="M243" s="150">
        <v>22.134492148109999</v>
      </c>
      <c r="N243" s="78">
        <v>1218</v>
      </c>
      <c r="O243" s="110">
        <v>37274.901474257815</v>
      </c>
      <c r="P243" s="111">
        <v>45003.683528977293</v>
      </c>
      <c r="Q243" s="110">
        <v>27918.265983651414</v>
      </c>
      <c r="R243" s="258">
        <v>65193.167457909229</v>
      </c>
      <c r="S243" s="259">
        <v>72921.949512628707</v>
      </c>
      <c r="U243" s="7" t="s">
        <v>2308</v>
      </c>
    </row>
    <row r="244" spans="1:21" ht="16.5" thickBot="1">
      <c r="A244" s="41" t="s">
        <v>31</v>
      </c>
      <c r="B244" s="42">
        <f t="shared" si="12"/>
        <v>90</v>
      </c>
      <c r="C244" s="42" t="s">
        <v>3</v>
      </c>
      <c r="D244" s="42">
        <f t="shared" si="13"/>
        <v>300</v>
      </c>
      <c r="E244" s="42" t="s">
        <v>3</v>
      </c>
      <c r="F244" s="90">
        <f t="shared" si="14"/>
        <v>2150</v>
      </c>
      <c r="G244" s="42" t="s">
        <v>3</v>
      </c>
      <c r="H244" s="39">
        <v>4</v>
      </c>
      <c r="I244" s="40" t="s">
        <v>40</v>
      </c>
      <c r="J244" s="149">
        <v>90</v>
      </c>
      <c r="K244" s="66">
        <v>300</v>
      </c>
      <c r="L244" s="66">
        <v>2150</v>
      </c>
      <c r="M244" s="150">
        <v>22.625894867870002</v>
      </c>
      <c r="N244" s="78">
        <v>1252.8</v>
      </c>
      <c r="O244" s="110">
        <v>37994.92645180213</v>
      </c>
      <c r="P244" s="111">
        <v>45893.533708906725</v>
      </c>
      <c r="Q244" s="110">
        <v>28441.907769651927</v>
      </c>
      <c r="R244" s="258">
        <v>66436.834221454061</v>
      </c>
      <c r="S244" s="259">
        <v>74335.441478558656</v>
      </c>
      <c r="U244" s="7" t="s">
        <v>2309</v>
      </c>
    </row>
    <row r="245" spans="1:21" ht="16.5" thickBot="1">
      <c r="A245" s="41" t="s">
        <v>31</v>
      </c>
      <c r="B245" s="42">
        <f t="shared" si="12"/>
        <v>90</v>
      </c>
      <c r="C245" s="42" t="s">
        <v>3</v>
      </c>
      <c r="D245" s="42">
        <f t="shared" si="13"/>
        <v>300</v>
      </c>
      <c r="E245" s="42" t="s">
        <v>3</v>
      </c>
      <c r="F245" s="90">
        <f t="shared" si="14"/>
        <v>2200</v>
      </c>
      <c r="G245" s="42" t="s">
        <v>3</v>
      </c>
      <c r="H245" s="39">
        <v>4</v>
      </c>
      <c r="I245" s="40" t="s">
        <v>40</v>
      </c>
      <c r="J245" s="149">
        <v>90</v>
      </c>
      <c r="K245" s="66">
        <v>300</v>
      </c>
      <c r="L245" s="66">
        <v>2200</v>
      </c>
      <c r="M245" s="150">
        <v>23.13433758763</v>
      </c>
      <c r="N245" s="78">
        <v>1287.5999999999999</v>
      </c>
      <c r="O245" s="110">
        <v>38714.951429346431</v>
      </c>
      <c r="P245" s="111">
        <v>46783.383888836157</v>
      </c>
      <c r="Q245" s="110">
        <v>29216.883540407438</v>
      </c>
      <c r="R245" s="258">
        <v>67931.834969753865</v>
      </c>
      <c r="S245" s="259">
        <v>76000.267429243599</v>
      </c>
      <c r="U245" s="7" t="s">
        <v>2310</v>
      </c>
    </row>
    <row r="246" spans="1:21" ht="16.5" thickBot="1">
      <c r="A246" s="41" t="s">
        <v>31</v>
      </c>
      <c r="B246" s="42">
        <f t="shared" si="12"/>
        <v>90</v>
      </c>
      <c r="C246" s="42" t="s">
        <v>3</v>
      </c>
      <c r="D246" s="42">
        <f t="shared" si="13"/>
        <v>300</v>
      </c>
      <c r="E246" s="42" t="s">
        <v>3</v>
      </c>
      <c r="F246" s="90">
        <f t="shared" si="14"/>
        <v>2250</v>
      </c>
      <c r="G246" s="42" t="s">
        <v>3</v>
      </c>
      <c r="H246" s="39">
        <v>4</v>
      </c>
      <c r="I246" s="40" t="s">
        <v>40</v>
      </c>
      <c r="J246" s="149">
        <v>90</v>
      </c>
      <c r="K246" s="66">
        <v>300</v>
      </c>
      <c r="L246" s="66">
        <v>2250</v>
      </c>
      <c r="M246" s="150">
        <v>23.62574030739</v>
      </c>
      <c r="N246" s="78">
        <v>1322.3999999999999</v>
      </c>
      <c r="O246" s="110">
        <v>39434.976406890746</v>
      </c>
      <c r="P246" s="111">
        <v>47673.234221794351</v>
      </c>
      <c r="Q246" s="110">
        <v>29740.525173379188</v>
      </c>
      <c r="R246" s="258">
        <v>69175.501580269934</v>
      </c>
      <c r="S246" s="259">
        <v>77413.759395173547</v>
      </c>
      <c r="U246" s="7" t="s">
        <v>2311</v>
      </c>
    </row>
    <row r="247" spans="1:21" ht="16.5" thickBot="1">
      <c r="A247" s="41" t="s">
        <v>31</v>
      </c>
      <c r="B247" s="42">
        <f t="shared" si="12"/>
        <v>90</v>
      </c>
      <c r="C247" s="42" t="s">
        <v>3</v>
      </c>
      <c r="D247" s="42">
        <f t="shared" si="13"/>
        <v>300</v>
      </c>
      <c r="E247" s="42" t="s">
        <v>3</v>
      </c>
      <c r="F247" s="90">
        <f t="shared" si="14"/>
        <v>2300</v>
      </c>
      <c r="G247" s="42" t="s">
        <v>3</v>
      </c>
      <c r="H247" s="39">
        <v>4</v>
      </c>
      <c r="I247" s="40" t="s">
        <v>40</v>
      </c>
      <c r="J247" s="149">
        <v>90</v>
      </c>
      <c r="K247" s="66">
        <v>300</v>
      </c>
      <c r="L247" s="66">
        <v>2300</v>
      </c>
      <c r="M247" s="150">
        <v>24.11714302715</v>
      </c>
      <c r="N247" s="78">
        <v>1357.2</v>
      </c>
      <c r="O247" s="110">
        <v>40155.001384435054</v>
      </c>
      <c r="P247" s="111">
        <v>48563.084401723783</v>
      </c>
      <c r="Q247" s="110">
        <v>30264.166959379701</v>
      </c>
      <c r="R247" s="258">
        <v>70419.168343814759</v>
      </c>
      <c r="S247" s="259">
        <v>78827.251361103481</v>
      </c>
      <c r="U247" s="7" t="s">
        <v>2312</v>
      </c>
    </row>
    <row r="248" spans="1:21" ht="16.5" thickBot="1">
      <c r="A248" s="41" t="s">
        <v>31</v>
      </c>
      <c r="B248" s="42">
        <f t="shared" si="12"/>
        <v>90</v>
      </c>
      <c r="C248" s="42" t="s">
        <v>3</v>
      </c>
      <c r="D248" s="42">
        <f t="shared" si="13"/>
        <v>300</v>
      </c>
      <c r="E248" s="42" t="s">
        <v>3</v>
      </c>
      <c r="F248" s="90">
        <f t="shared" si="14"/>
        <v>2350</v>
      </c>
      <c r="G248" s="42" t="s">
        <v>3</v>
      </c>
      <c r="H248" s="39">
        <v>4</v>
      </c>
      <c r="I248" s="40" t="s">
        <v>40</v>
      </c>
      <c r="J248" s="149">
        <v>90</v>
      </c>
      <c r="K248" s="66">
        <v>300</v>
      </c>
      <c r="L248" s="66">
        <v>2350</v>
      </c>
      <c r="M248" s="150">
        <v>24.625585746910005</v>
      </c>
      <c r="N248" s="78">
        <v>1392</v>
      </c>
      <c r="O248" s="110">
        <v>40875.026515008125</v>
      </c>
      <c r="P248" s="111">
        <v>49452.934581653215</v>
      </c>
      <c r="Q248" s="110">
        <v>31039.142730135216</v>
      </c>
      <c r="R248" s="258">
        <v>71914.169245143334</v>
      </c>
      <c r="S248" s="259">
        <v>80492.077311788424</v>
      </c>
      <c r="U248" s="7" t="s">
        <v>2313</v>
      </c>
    </row>
    <row r="249" spans="1:21" ht="16.5" thickBot="1">
      <c r="A249" s="41" t="s">
        <v>31</v>
      </c>
      <c r="B249" s="42">
        <f t="shared" si="12"/>
        <v>90</v>
      </c>
      <c r="C249" s="42" t="s">
        <v>3</v>
      </c>
      <c r="D249" s="42">
        <f t="shared" si="13"/>
        <v>300</v>
      </c>
      <c r="E249" s="42" t="s">
        <v>3</v>
      </c>
      <c r="F249" s="90">
        <f t="shared" si="14"/>
        <v>2400</v>
      </c>
      <c r="G249" s="42" t="s">
        <v>3</v>
      </c>
      <c r="H249" s="39">
        <v>4</v>
      </c>
      <c r="I249" s="40" t="s">
        <v>40</v>
      </c>
      <c r="J249" s="149">
        <v>90</v>
      </c>
      <c r="K249" s="66">
        <v>300</v>
      </c>
      <c r="L249" s="66">
        <v>2400</v>
      </c>
      <c r="M249" s="150">
        <v>25.116988466670001</v>
      </c>
      <c r="N249" s="78">
        <v>1426.8</v>
      </c>
      <c r="O249" s="110">
        <v>41595.05149255244</v>
      </c>
      <c r="P249" s="111">
        <v>50342.784761582639</v>
      </c>
      <c r="Q249" s="110">
        <v>31562.784363106966</v>
      </c>
      <c r="R249" s="258">
        <v>73157.835855659403</v>
      </c>
      <c r="S249" s="259">
        <v>81905.569124689602</v>
      </c>
      <c r="U249" s="7" t="s">
        <v>2314</v>
      </c>
    </row>
    <row r="250" spans="1:21" ht="16.5" thickBot="1">
      <c r="A250" s="41" t="s">
        <v>31</v>
      </c>
      <c r="B250" s="42">
        <f t="shared" si="12"/>
        <v>90</v>
      </c>
      <c r="C250" s="42" t="s">
        <v>3</v>
      </c>
      <c r="D250" s="42">
        <f t="shared" si="13"/>
        <v>300</v>
      </c>
      <c r="E250" s="42" t="s">
        <v>3</v>
      </c>
      <c r="F250" s="90">
        <f t="shared" si="14"/>
        <v>2450</v>
      </c>
      <c r="G250" s="42" t="s">
        <v>3</v>
      </c>
      <c r="H250" s="39">
        <v>4</v>
      </c>
      <c r="I250" s="40" t="s">
        <v>40</v>
      </c>
      <c r="J250" s="149">
        <v>90</v>
      </c>
      <c r="K250" s="66">
        <v>300</v>
      </c>
      <c r="L250" s="66">
        <v>2450</v>
      </c>
      <c r="M250" s="150">
        <v>25.769996079230001</v>
      </c>
      <c r="N250" s="78">
        <v>1461.6</v>
      </c>
      <c r="O250" s="110">
        <v>43054.801911776958</v>
      </c>
      <c r="P250" s="111">
        <v>51905.008903999165</v>
      </c>
      <c r="Q250" s="110">
        <v>32337.760286891244</v>
      </c>
      <c r="R250" s="258">
        <v>75392.562198668194</v>
      </c>
      <c r="S250" s="259">
        <v>84242.769190890409</v>
      </c>
      <c r="U250" s="7" t="s">
        <v>2315</v>
      </c>
    </row>
    <row r="251" spans="1:21" ht="16.5" thickBot="1">
      <c r="A251" s="41" t="s">
        <v>31</v>
      </c>
      <c r="B251" s="42">
        <f t="shared" si="12"/>
        <v>90</v>
      </c>
      <c r="C251" s="42" t="s">
        <v>3</v>
      </c>
      <c r="D251" s="42">
        <f t="shared" si="13"/>
        <v>300</v>
      </c>
      <c r="E251" s="42" t="s">
        <v>3</v>
      </c>
      <c r="F251" s="90">
        <f t="shared" si="14"/>
        <v>2500</v>
      </c>
      <c r="G251" s="42" t="s">
        <v>3</v>
      </c>
      <c r="H251" s="39">
        <v>4</v>
      </c>
      <c r="I251" s="40" t="s">
        <v>40</v>
      </c>
      <c r="J251" s="149">
        <v>90</v>
      </c>
      <c r="K251" s="66">
        <v>300</v>
      </c>
      <c r="L251" s="66">
        <v>2500</v>
      </c>
      <c r="M251" s="150">
        <v>26.261398798990001</v>
      </c>
      <c r="N251" s="78">
        <v>1496.3999999999999</v>
      </c>
      <c r="O251" s="110">
        <v>43774.827042350036</v>
      </c>
      <c r="P251" s="111">
        <v>52794.859083928597</v>
      </c>
      <c r="Q251" s="110">
        <v>32861.40191986299</v>
      </c>
      <c r="R251" s="258">
        <v>76636.228962213034</v>
      </c>
      <c r="S251" s="259">
        <v>85656.261003791587</v>
      </c>
      <c r="U251" s="7" t="s">
        <v>2316</v>
      </c>
    </row>
    <row r="252" spans="1:21" ht="16.5" thickBot="1">
      <c r="A252" s="41" t="s">
        <v>31</v>
      </c>
      <c r="B252" s="42">
        <f t="shared" si="12"/>
        <v>90</v>
      </c>
      <c r="C252" s="42" t="s">
        <v>3</v>
      </c>
      <c r="D252" s="42">
        <f t="shared" si="13"/>
        <v>300</v>
      </c>
      <c r="E252" s="42" t="s">
        <v>3</v>
      </c>
      <c r="F252" s="90">
        <f t="shared" si="14"/>
        <v>2550</v>
      </c>
      <c r="G252" s="42" t="s">
        <v>3</v>
      </c>
      <c r="H252" s="39">
        <v>4</v>
      </c>
      <c r="I252" s="40" t="s">
        <v>40</v>
      </c>
      <c r="J252" s="149">
        <v>90</v>
      </c>
      <c r="K252" s="66">
        <v>300</v>
      </c>
      <c r="L252" s="66">
        <v>2550</v>
      </c>
      <c r="M252" s="150">
        <v>26.769841518749999</v>
      </c>
      <c r="N252" s="78">
        <v>1531.2</v>
      </c>
      <c r="O252" s="110">
        <v>44494.852019894344</v>
      </c>
      <c r="P252" s="111">
        <v>53684.709416886799</v>
      </c>
      <c r="Q252" s="110">
        <v>33636.377843647271</v>
      </c>
      <c r="R252" s="258">
        <v>78131.229863541608</v>
      </c>
      <c r="S252" s="259">
        <v>87321.08726053407</v>
      </c>
      <c r="U252" s="7" t="s">
        <v>2317</v>
      </c>
    </row>
    <row r="253" spans="1:21" ht="16.5" thickBot="1">
      <c r="A253" s="38" t="s">
        <v>31</v>
      </c>
      <c r="B253" s="39">
        <f t="shared" si="12"/>
        <v>90</v>
      </c>
      <c r="C253" s="39" t="s">
        <v>3</v>
      </c>
      <c r="D253" s="39">
        <f t="shared" si="13"/>
        <v>300</v>
      </c>
      <c r="E253" s="39" t="s">
        <v>3</v>
      </c>
      <c r="F253" s="90">
        <f t="shared" si="14"/>
        <v>2600</v>
      </c>
      <c r="G253" s="39" t="s">
        <v>3</v>
      </c>
      <c r="H253" s="39">
        <v>4</v>
      </c>
      <c r="I253" s="40" t="s">
        <v>40</v>
      </c>
      <c r="J253" s="149">
        <v>90</v>
      </c>
      <c r="K253" s="66">
        <v>300</v>
      </c>
      <c r="L253" s="66">
        <v>2600</v>
      </c>
      <c r="M253" s="150">
        <v>27.261244238510002</v>
      </c>
      <c r="N253" s="78">
        <v>1566</v>
      </c>
      <c r="O253" s="110">
        <v>45214.876997438652</v>
      </c>
      <c r="P253" s="111">
        <v>54574.559596816223</v>
      </c>
      <c r="Q253" s="110">
        <v>34160.019476619018</v>
      </c>
      <c r="R253" s="258">
        <v>79374.896474057663</v>
      </c>
      <c r="S253" s="259">
        <v>88734.579073435249</v>
      </c>
      <c r="U253" s="7" t="s">
        <v>2318</v>
      </c>
    </row>
    <row r="254" spans="1:21" ht="16.5" thickBot="1">
      <c r="A254" s="41" t="s">
        <v>31</v>
      </c>
      <c r="B254" s="42">
        <f t="shared" si="12"/>
        <v>90</v>
      </c>
      <c r="C254" s="42" t="s">
        <v>3</v>
      </c>
      <c r="D254" s="42">
        <f t="shared" si="13"/>
        <v>300</v>
      </c>
      <c r="E254" s="42" t="s">
        <v>3</v>
      </c>
      <c r="F254" s="90">
        <f t="shared" si="14"/>
        <v>2650</v>
      </c>
      <c r="G254" s="42" t="s">
        <v>3</v>
      </c>
      <c r="H254" s="39">
        <v>4</v>
      </c>
      <c r="I254" s="40" t="s">
        <v>40</v>
      </c>
      <c r="J254" s="149">
        <v>90</v>
      </c>
      <c r="K254" s="66">
        <v>300</v>
      </c>
      <c r="L254" s="66">
        <v>2650</v>
      </c>
      <c r="M254" s="150">
        <v>27.769686958270004</v>
      </c>
      <c r="N254" s="78">
        <v>1600.8</v>
      </c>
      <c r="O254" s="110">
        <v>45934.901974982968</v>
      </c>
      <c r="P254" s="111">
        <v>55464.409776745655</v>
      </c>
      <c r="Q254" s="110">
        <v>34934.995247374536</v>
      </c>
      <c r="R254" s="258">
        <v>80869.897222357511</v>
      </c>
      <c r="S254" s="259">
        <v>90399.405024120191</v>
      </c>
      <c r="U254" s="7" t="s">
        <v>2319</v>
      </c>
    </row>
    <row r="255" spans="1:21" ht="16.5" thickBot="1">
      <c r="A255" s="41" t="s">
        <v>31</v>
      </c>
      <c r="B255" s="42">
        <f t="shared" si="12"/>
        <v>90</v>
      </c>
      <c r="C255" s="42" t="s">
        <v>3</v>
      </c>
      <c r="D255" s="42">
        <f t="shared" si="13"/>
        <v>300</v>
      </c>
      <c r="E255" s="42" t="s">
        <v>3</v>
      </c>
      <c r="F255" s="90">
        <f t="shared" si="14"/>
        <v>2700</v>
      </c>
      <c r="G255" s="42" t="s">
        <v>3</v>
      </c>
      <c r="H255" s="39">
        <v>4</v>
      </c>
      <c r="I255" s="40" t="s">
        <v>40</v>
      </c>
      <c r="J255" s="149">
        <v>90</v>
      </c>
      <c r="K255" s="66">
        <v>300</v>
      </c>
      <c r="L255" s="66">
        <v>2700</v>
      </c>
      <c r="M255" s="150">
        <v>28.339589678030002</v>
      </c>
      <c r="N255" s="78">
        <v>1635.6</v>
      </c>
      <c r="O255" s="110">
        <v>46739.025287660603</v>
      </c>
      <c r="P255" s="111">
        <v>56438.87170331541</v>
      </c>
      <c r="Q255" s="110">
        <v>35458.637033375046</v>
      </c>
      <c r="R255" s="258">
        <v>82197.662321035648</v>
      </c>
      <c r="S255" s="259">
        <v>91897.508736690448</v>
      </c>
      <c r="U255" s="7" t="s">
        <v>2320</v>
      </c>
    </row>
    <row r="256" spans="1:21" ht="16.5" thickBot="1">
      <c r="A256" s="41" t="s">
        <v>31</v>
      </c>
      <c r="B256" s="42">
        <f t="shared" si="12"/>
        <v>90</v>
      </c>
      <c r="C256" s="42" t="s">
        <v>3</v>
      </c>
      <c r="D256" s="42">
        <f t="shared" si="13"/>
        <v>300</v>
      </c>
      <c r="E256" s="42" t="s">
        <v>3</v>
      </c>
      <c r="F256" s="90">
        <f t="shared" si="14"/>
        <v>2750</v>
      </c>
      <c r="G256" s="42" t="s">
        <v>3</v>
      </c>
      <c r="H256" s="39">
        <v>4</v>
      </c>
      <c r="I256" s="40" t="s">
        <v>40</v>
      </c>
      <c r="J256" s="149">
        <v>90</v>
      </c>
      <c r="K256" s="66">
        <v>300</v>
      </c>
      <c r="L256" s="66">
        <v>2750</v>
      </c>
      <c r="M256" s="150">
        <v>28.830992397790002</v>
      </c>
      <c r="N256" s="78">
        <v>1670.3999999999999</v>
      </c>
      <c r="O256" s="110">
        <v>47459.050265204918</v>
      </c>
      <c r="P256" s="111">
        <v>57328.721883244842</v>
      </c>
      <c r="Q256" s="110">
        <v>35982.278666346792</v>
      </c>
      <c r="R256" s="258">
        <v>83441.328931551718</v>
      </c>
      <c r="S256" s="259">
        <v>93311.000549591641</v>
      </c>
      <c r="U256" s="7" t="s">
        <v>2321</v>
      </c>
    </row>
    <row r="257" spans="1:21" ht="16.5" thickBot="1">
      <c r="A257" s="41" t="s">
        <v>31</v>
      </c>
      <c r="B257" s="42">
        <f t="shared" si="12"/>
        <v>90</v>
      </c>
      <c r="C257" s="42" t="s">
        <v>3</v>
      </c>
      <c r="D257" s="42">
        <f t="shared" si="13"/>
        <v>300</v>
      </c>
      <c r="E257" s="42" t="s">
        <v>3</v>
      </c>
      <c r="F257" s="90">
        <f t="shared" si="14"/>
        <v>2800</v>
      </c>
      <c r="G257" s="42" t="s">
        <v>3</v>
      </c>
      <c r="H257" s="39">
        <v>4</v>
      </c>
      <c r="I257" s="40" t="s">
        <v>40</v>
      </c>
      <c r="J257" s="149">
        <v>90</v>
      </c>
      <c r="K257" s="66">
        <v>300</v>
      </c>
      <c r="L257" s="66">
        <v>2800</v>
      </c>
      <c r="M257" s="150">
        <v>29.33943511755</v>
      </c>
      <c r="N257" s="78">
        <v>1705.2</v>
      </c>
      <c r="O257" s="110">
        <v>48179.075395777996</v>
      </c>
      <c r="P257" s="111">
        <v>58218.572063174266</v>
      </c>
      <c r="Q257" s="110">
        <v>36757.25443710231</v>
      </c>
      <c r="R257" s="258">
        <v>84936.329832880307</v>
      </c>
      <c r="S257" s="259">
        <v>94975.826500276569</v>
      </c>
      <c r="U257" s="7" t="s">
        <v>2322</v>
      </c>
    </row>
    <row r="258" spans="1:21" ht="16.5" thickBot="1">
      <c r="A258" s="41" t="s">
        <v>31</v>
      </c>
      <c r="B258" s="42">
        <f t="shared" si="12"/>
        <v>90</v>
      </c>
      <c r="C258" s="42" t="s">
        <v>3</v>
      </c>
      <c r="D258" s="42">
        <f t="shared" si="13"/>
        <v>300</v>
      </c>
      <c r="E258" s="42" t="s">
        <v>3</v>
      </c>
      <c r="F258" s="90">
        <f t="shared" si="14"/>
        <v>2850</v>
      </c>
      <c r="G258" s="42" t="s">
        <v>3</v>
      </c>
      <c r="H258" s="39">
        <v>4</v>
      </c>
      <c r="I258" s="40" t="s">
        <v>40</v>
      </c>
      <c r="J258" s="149">
        <v>90</v>
      </c>
      <c r="K258" s="66">
        <v>300</v>
      </c>
      <c r="L258" s="66">
        <v>2850</v>
      </c>
      <c r="M258" s="150">
        <v>29.83083783731</v>
      </c>
      <c r="N258" s="78">
        <v>1740</v>
      </c>
      <c r="O258" s="110">
        <v>48899.100373322297</v>
      </c>
      <c r="P258" s="111">
        <v>59108.422243103698</v>
      </c>
      <c r="Q258" s="110">
        <v>37280.89622310282</v>
      </c>
      <c r="R258" s="258">
        <v>86179.996596425117</v>
      </c>
      <c r="S258" s="259">
        <v>96389.318466206518</v>
      </c>
      <c r="U258" s="7" t="s">
        <v>2323</v>
      </c>
    </row>
    <row r="259" spans="1:21" ht="16.5" thickBot="1">
      <c r="A259" s="41" t="s">
        <v>31</v>
      </c>
      <c r="B259" s="42">
        <f t="shared" si="12"/>
        <v>90</v>
      </c>
      <c r="C259" s="42" t="s">
        <v>3</v>
      </c>
      <c r="D259" s="42">
        <f t="shared" si="13"/>
        <v>300</v>
      </c>
      <c r="E259" s="42" t="s">
        <v>3</v>
      </c>
      <c r="F259" s="90">
        <f t="shared" si="14"/>
        <v>2900</v>
      </c>
      <c r="G259" s="42" t="s">
        <v>3</v>
      </c>
      <c r="H259" s="39">
        <v>4</v>
      </c>
      <c r="I259" s="40" t="s">
        <v>40</v>
      </c>
      <c r="J259" s="149">
        <v>90</v>
      </c>
      <c r="K259" s="66">
        <v>300</v>
      </c>
      <c r="L259" s="66">
        <v>2900</v>
      </c>
      <c r="M259" s="150">
        <v>30.339280557069998</v>
      </c>
      <c r="N259" s="78">
        <v>1774.8</v>
      </c>
      <c r="O259" s="110">
        <v>49619.125350866612</v>
      </c>
      <c r="P259" s="111">
        <v>59998.272423033122</v>
      </c>
      <c r="Q259" s="110">
        <v>38055.871993858338</v>
      </c>
      <c r="R259" s="258">
        <v>87674.99734472495</v>
      </c>
      <c r="S259" s="259">
        <v>98054.14441689146</v>
      </c>
      <c r="U259" s="7" t="s">
        <v>2324</v>
      </c>
    </row>
    <row r="260" spans="1:21" ht="16.5" thickBot="1">
      <c r="A260" s="41" t="s">
        <v>31</v>
      </c>
      <c r="B260" s="42">
        <f t="shared" si="12"/>
        <v>90</v>
      </c>
      <c r="C260" s="42" t="s">
        <v>3</v>
      </c>
      <c r="D260" s="42">
        <f t="shared" si="13"/>
        <v>300</v>
      </c>
      <c r="E260" s="42" t="s">
        <v>3</v>
      </c>
      <c r="F260" s="90">
        <f t="shared" si="14"/>
        <v>2950</v>
      </c>
      <c r="G260" s="42" t="s">
        <v>3</v>
      </c>
      <c r="H260" s="39">
        <v>4</v>
      </c>
      <c r="I260" s="40" t="s">
        <v>40</v>
      </c>
      <c r="J260" s="149">
        <v>90</v>
      </c>
      <c r="K260" s="66">
        <v>300</v>
      </c>
      <c r="L260" s="66">
        <v>2950</v>
      </c>
      <c r="M260" s="150">
        <v>30.830683276830001</v>
      </c>
      <c r="N260" s="78">
        <v>1809.6</v>
      </c>
      <c r="O260" s="110">
        <v>50339.15032841092</v>
      </c>
      <c r="P260" s="111">
        <v>60888.122602962561</v>
      </c>
      <c r="Q260" s="110">
        <v>38579.513779858848</v>
      </c>
      <c r="R260" s="258">
        <v>88918.664108269761</v>
      </c>
      <c r="S260" s="259">
        <v>99467.636382821409</v>
      </c>
      <c r="U260" s="7" t="s">
        <v>2325</v>
      </c>
    </row>
    <row r="261" spans="1:21" ht="16.5" thickBot="1">
      <c r="A261" s="43" t="s">
        <v>31</v>
      </c>
      <c r="B261" s="44">
        <f t="shared" si="12"/>
        <v>90</v>
      </c>
      <c r="C261" s="44" t="s">
        <v>3</v>
      </c>
      <c r="D261" s="44">
        <f t="shared" si="13"/>
        <v>300</v>
      </c>
      <c r="E261" s="44" t="s">
        <v>3</v>
      </c>
      <c r="F261" s="91">
        <f t="shared" si="14"/>
        <v>3000</v>
      </c>
      <c r="G261" s="44" t="s">
        <v>3</v>
      </c>
      <c r="H261" s="46">
        <v>4</v>
      </c>
      <c r="I261" s="45" t="s">
        <v>40</v>
      </c>
      <c r="J261" s="151">
        <v>90</v>
      </c>
      <c r="K261" s="126">
        <v>300</v>
      </c>
      <c r="L261" s="126">
        <v>3000</v>
      </c>
      <c r="M261" s="152">
        <v>31.339125996589999</v>
      </c>
      <c r="N261" s="127">
        <v>1844.3999999999999</v>
      </c>
      <c r="O261" s="136">
        <v>52340.096922369739</v>
      </c>
      <c r="P261" s="135">
        <v>61777.972782891993</v>
      </c>
      <c r="Q261" s="136">
        <v>39354.489550614366</v>
      </c>
      <c r="R261" s="260">
        <v>91694.586472984112</v>
      </c>
      <c r="S261" s="261">
        <v>101132.46233350635</v>
      </c>
      <c r="U261" s="7" t="s">
        <v>2326</v>
      </c>
    </row>
    <row r="262" spans="1:21" ht="22.5" customHeight="1" thickBot="1">
      <c r="A262" s="2968" t="s">
        <v>44</v>
      </c>
      <c r="B262" s="2969"/>
      <c r="C262" s="2969"/>
      <c r="D262" s="2969"/>
      <c r="E262" s="2969"/>
      <c r="F262" s="2969"/>
      <c r="G262" s="2969"/>
      <c r="H262" s="2969"/>
      <c r="I262" s="2969"/>
      <c r="J262" s="2969"/>
      <c r="K262" s="2969"/>
      <c r="L262" s="2969"/>
      <c r="M262" s="2969"/>
      <c r="N262" s="2969"/>
      <c r="O262" s="2969"/>
      <c r="P262" s="2969"/>
      <c r="Q262" s="2969"/>
      <c r="R262" s="2969"/>
      <c r="S262" s="2970"/>
      <c r="U262" s="7"/>
    </row>
    <row r="263" spans="1:21" ht="16.5" thickBot="1">
      <c r="A263" s="2974" t="s">
        <v>113</v>
      </c>
      <c r="B263" s="2975"/>
      <c r="C263" s="2975"/>
      <c r="D263" s="2975"/>
      <c r="E263" s="2975"/>
      <c r="F263" s="2975"/>
      <c r="G263" s="2975"/>
      <c r="H263" s="2975"/>
      <c r="I263" s="2975"/>
      <c r="J263" s="2975"/>
      <c r="K263" s="2975"/>
      <c r="L263" s="2975"/>
      <c r="M263" s="2975"/>
      <c r="N263" s="2975"/>
      <c r="O263" s="2975"/>
      <c r="P263" s="2975"/>
      <c r="Q263" s="2975"/>
      <c r="R263" s="2975"/>
      <c r="S263" s="2976"/>
      <c r="U263" s="7"/>
    </row>
    <row r="264" spans="1:21" ht="16.5" thickBot="1">
      <c r="A264" s="38" t="s">
        <v>31</v>
      </c>
      <c r="B264" s="39">
        <f>J264</f>
        <v>90</v>
      </c>
      <c r="C264" s="39" t="s">
        <v>3</v>
      </c>
      <c r="D264" s="39">
        <f>K264</f>
        <v>360</v>
      </c>
      <c r="E264" s="39" t="s">
        <v>3</v>
      </c>
      <c r="F264" s="90">
        <f>L264</f>
        <v>600</v>
      </c>
      <c r="G264" s="39" t="s">
        <v>3</v>
      </c>
      <c r="H264" s="39">
        <v>4</v>
      </c>
      <c r="I264" s="40" t="s">
        <v>40</v>
      </c>
      <c r="J264" s="146">
        <v>90</v>
      </c>
      <c r="K264" s="122">
        <v>360</v>
      </c>
      <c r="L264" s="122">
        <v>600</v>
      </c>
      <c r="M264" s="147">
        <v>7.5721305801942123</v>
      </c>
      <c r="N264" s="123">
        <v>191.95500000000001</v>
      </c>
      <c r="O264" s="139">
        <v>15210.231214776912</v>
      </c>
      <c r="P264" s="148">
        <v>18236.946607561527</v>
      </c>
      <c r="Q264" s="139">
        <v>10032.760953270536</v>
      </c>
      <c r="R264" s="256">
        <v>25242.992168047447</v>
      </c>
      <c r="S264" s="257">
        <v>28269.707560832063</v>
      </c>
      <c r="U264" s="7" t="s">
        <v>2327</v>
      </c>
    </row>
    <row r="265" spans="1:21" ht="16.5" thickBot="1">
      <c r="A265" s="41" t="s">
        <v>31</v>
      </c>
      <c r="B265" s="42">
        <f t="shared" ref="B265:B312" si="15">J265</f>
        <v>90</v>
      </c>
      <c r="C265" s="42" t="s">
        <v>3</v>
      </c>
      <c r="D265" s="42">
        <f t="shared" ref="D265:D312" si="16">K265</f>
        <v>360</v>
      </c>
      <c r="E265" s="42" t="s">
        <v>3</v>
      </c>
      <c r="F265" s="90">
        <f t="shared" ref="F265:F312" si="17">L265</f>
        <v>650</v>
      </c>
      <c r="G265" s="42" t="s">
        <v>3</v>
      </c>
      <c r="H265" s="39">
        <v>4</v>
      </c>
      <c r="I265" s="40" t="s">
        <v>40</v>
      </c>
      <c r="J265" s="149">
        <v>90</v>
      </c>
      <c r="K265" s="66">
        <v>360</v>
      </c>
      <c r="L265" s="66">
        <v>650</v>
      </c>
      <c r="M265" s="150">
        <v>8.1113138617963152</v>
      </c>
      <c r="N265" s="78">
        <v>230.346</v>
      </c>
      <c r="O265" s="110">
        <v>15960.905864601811</v>
      </c>
      <c r="P265" s="111">
        <v>19180.478207095453</v>
      </c>
      <c r="Q265" s="110">
        <v>10636.181837508726</v>
      </c>
      <c r="R265" s="258">
        <v>26597.087702110537</v>
      </c>
      <c r="S265" s="259">
        <v>29816.660044604178</v>
      </c>
      <c r="U265" s="7" t="s">
        <v>2328</v>
      </c>
    </row>
    <row r="266" spans="1:21" ht="16.5" thickBot="1">
      <c r="A266" s="41" t="s">
        <v>31</v>
      </c>
      <c r="B266" s="42">
        <f t="shared" si="15"/>
        <v>90</v>
      </c>
      <c r="C266" s="42" t="s">
        <v>3</v>
      </c>
      <c r="D266" s="42">
        <f t="shared" si="16"/>
        <v>360</v>
      </c>
      <c r="E266" s="42" t="s">
        <v>3</v>
      </c>
      <c r="F266" s="90">
        <f t="shared" si="17"/>
        <v>700</v>
      </c>
      <c r="G266" s="42" t="s">
        <v>3</v>
      </c>
      <c r="H266" s="39">
        <v>4</v>
      </c>
      <c r="I266" s="40" t="s">
        <v>40</v>
      </c>
      <c r="J266" s="149">
        <v>90</v>
      </c>
      <c r="K266" s="66">
        <v>360</v>
      </c>
      <c r="L266" s="66">
        <v>700</v>
      </c>
      <c r="M266" s="150">
        <v>8.6675371433984214</v>
      </c>
      <c r="N266" s="78">
        <v>268.73699999999997</v>
      </c>
      <c r="O266" s="110">
        <v>16711.580667455481</v>
      </c>
      <c r="P266" s="111">
        <v>20124.009653600613</v>
      </c>
      <c r="Q266" s="110">
        <v>11490.936859530682</v>
      </c>
      <c r="R266" s="258">
        <v>28202.517526986165</v>
      </c>
      <c r="S266" s="259">
        <v>31614.946513131297</v>
      </c>
      <c r="U266" s="7" t="s">
        <v>2329</v>
      </c>
    </row>
    <row r="267" spans="1:21" ht="16.5" thickBot="1">
      <c r="A267" s="41" t="s">
        <v>31</v>
      </c>
      <c r="B267" s="42">
        <f t="shared" si="15"/>
        <v>90</v>
      </c>
      <c r="C267" s="42" t="s">
        <v>3</v>
      </c>
      <c r="D267" s="42">
        <f t="shared" si="16"/>
        <v>360</v>
      </c>
      <c r="E267" s="42" t="s">
        <v>3</v>
      </c>
      <c r="F267" s="90">
        <f t="shared" si="17"/>
        <v>750</v>
      </c>
      <c r="G267" s="42" t="s">
        <v>3</v>
      </c>
      <c r="H267" s="39">
        <v>4</v>
      </c>
      <c r="I267" s="40" t="s">
        <v>40</v>
      </c>
      <c r="J267" s="149">
        <v>90</v>
      </c>
      <c r="K267" s="66">
        <v>360</v>
      </c>
      <c r="L267" s="66">
        <v>750</v>
      </c>
      <c r="M267" s="150">
        <v>9.2067204250005261</v>
      </c>
      <c r="N267" s="78">
        <v>307.12799999999999</v>
      </c>
      <c r="O267" s="110">
        <v>17462.255317280382</v>
      </c>
      <c r="P267" s="111">
        <v>21067.541100105773</v>
      </c>
      <c r="Q267" s="110">
        <v>12094.357743768871</v>
      </c>
      <c r="R267" s="258">
        <v>29556.613061049255</v>
      </c>
      <c r="S267" s="259">
        <v>33161.898843874646</v>
      </c>
      <c r="U267" s="7" t="s">
        <v>2330</v>
      </c>
    </row>
    <row r="268" spans="1:21" ht="16.5" thickBot="1">
      <c r="A268" s="41" t="s">
        <v>31</v>
      </c>
      <c r="B268" s="42">
        <f t="shared" si="15"/>
        <v>90</v>
      </c>
      <c r="C268" s="42" t="s">
        <v>3</v>
      </c>
      <c r="D268" s="42">
        <f t="shared" si="16"/>
        <v>360</v>
      </c>
      <c r="E268" s="42" t="s">
        <v>3</v>
      </c>
      <c r="F268" s="90">
        <f t="shared" si="17"/>
        <v>800</v>
      </c>
      <c r="G268" s="42" t="s">
        <v>3</v>
      </c>
      <c r="H268" s="39">
        <v>4</v>
      </c>
      <c r="I268" s="40" t="s">
        <v>40</v>
      </c>
      <c r="J268" s="149">
        <v>90</v>
      </c>
      <c r="K268" s="66">
        <v>360</v>
      </c>
      <c r="L268" s="66">
        <v>800</v>
      </c>
      <c r="M268" s="150">
        <v>9.7459037066026326</v>
      </c>
      <c r="N268" s="78">
        <v>345.51900000000001</v>
      </c>
      <c r="O268" s="110">
        <v>18212.92996710528</v>
      </c>
      <c r="P268" s="111">
        <v>22011.072546610932</v>
      </c>
      <c r="Q268" s="110">
        <v>12697.77862800706</v>
      </c>
      <c r="R268" s="258">
        <v>30910.708595112337</v>
      </c>
      <c r="S268" s="259">
        <v>34708.851174617994</v>
      </c>
      <c r="U268" s="7" t="s">
        <v>2331</v>
      </c>
    </row>
    <row r="269" spans="1:21" ht="16.5" thickBot="1">
      <c r="A269" s="41" t="s">
        <v>31</v>
      </c>
      <c r="B269" s="42">
        <f t="shared" si="15"/>
        <v>90</v>
      </c>
      <c r="C269" s="42" t="s">
        <v>3</v>
      </c>
      <c r="D269" s="42">
        <f t="shared" si="16"/>
        <v>360</v>
      </c>
      <c r="E269" s="42" t="s">
        <v>3</v>
      </c>
      <c r="F269" s="90">
        <f t="shared" si="17"/>
        <v>850</v>
      </c>
      <c r="G269" s="42" t="s">
        <v>3</v>
      </c>
      <c r="H269" s="39">
        <v>4</v>
      </c>
      <c r="I269" s="40" t="s">
        <v>40</v>
      </c>
      <c r="J269" s="149">
        <v>90</v>
      </c>
      <c r="K269" s="66">
        <v>360</v>
      </c>
      <c r="L269" s="66">
        <v>850</v>
      </c>
      <c r="M269" s="150">
        <v>10.302126988204737</v>
      </c>
      <c r="N269" s="78">
        <v>383.91</v>
      </c>
      <c r="O269" s="110">
        <v>18963.604616930184</v>
      </c>
      <c r="P269" s="111">
        <v>22954.604146144855</v>
      </c>
      <c r="Q269" s="110">
        <v>13552.533650029018</v>
      </c>
      <c r="R269" s="258">
        <v>32516.138266959202</v>
      </c>
      <c r="S269" s="259">
        <v>36507.137796173876</v>
      </c>
      <c r="U269" s="7" t="s">
        <v>2332</v>
      </c>
    </row>
    <row r="270" spans="1:21" ht="16.5" thickBot="1">
      <c r="A270" s="41" t="s">
        <v>31</v>
      </c>
      <c r="B270" s="42">
        <f t="shared" si="15"/>
        <v>90</v>
      </c>
      <c r="C270" s="42" t="s">
        <v>3</v>
      </c>
      <c r="D270" s="42">
        <f t="shared" si="16"/>
        <v>360</v>
      </c>
      <c r="E270" s="42" t="s">
        <v>3</v>
      </c>
      <c r="F270" s="90">
        <f t="shared" si="17"/>
        <v>900</v>
      </c>
      <c r="G270" s="42" t="s">
        <v>3</v>
      </c>
      <c r="H270" s="39">
        <v>4</v>
      </c>
      <c r="I270" s="40" t="s">
        <v>40</v>
      </c>
      <c r="J270" s="149">
        <v>90</v>
      </c>
      <c r="K270" s="66">
        <v>360</v>
      </c>
      <c r="L270" s="66">
        <v>900</v>
      </c>
      <c r="M270" s="150">
        <v>10.841310269806844</v>
      </c>
      <c r="N270" s="78">
        <v>422.30099999999999</v>
      </c>
      <c r="O270" s="110">
        <v>19714.279419783848</v>
      </c>
      <c r="P270" s="111">
        <v>23898.135592650015</v>
      </c>
      <c r="Q270" s="110">
        <v>14155.954534267206</v>
      </c>
      <c r="R270" s="258">
        <v>33870.233954051058</v>
      </c>
      <c r="S270" s="259">
        <v>38054.090126917217</v>
      </c>
      <c r="U270" s="7" t="s">
        <v>2333</v>
      </c>
    </row>
    <row r="271" spans="1:21" ht="16.5" thickBot="1">
      <c r="A271" s="41" t="s">
        <v>31</v>
      </c>
      <c r="B271" s="42">
        <f t="shared" si="15"/>
        <v>90</v>
      </c>
      <c r="C271" s="42" t="s">
        <v>3</v>
      </c>
      <c r="D271" s="42">
        <f t="shared" si="16"/>
        <v>360</v>
      </c>
      <c r="E271" s="42" t="s">
        <v>3</v>
      </c>
      <c r="F271" s="90">
        <f t="shared" si="17"/>
        <v>950</v>
      </c>
      <c r="G271" s="42" t="s">
        <v>3</v>
      </c>
      <c r="H271" s="39">
        <v>4</v>
      </c>
      <c r="I271" s="40" t="s">
        <v>40</v>
      </c>
      <c r="J271" s="149">
        <v>90</v>
      </c>
      <c r="K271" s="66">
        <v>360</v>
      </c>
      <c r="L271" s="66">
        <v>950</v>
      </c>
      <c r="M271" s="150">
        <v>11.397533551408946</v>
      </c>
      <c r="N271" s="78">
        <v>460.69200000000001</v>
      </c>
      <c r="O271" s="110">
        <v>20464.95406960875</v>
      </c>
      <c r="P271" s="111">
        <v>24841.667039155174</v>
      </c>
      <c r="Q271" s="110">
        <v>15010.709556289165</v>
      </c>
      <c r="R271" s="258">
        <v>35475.663625897912</v>
      </c>
      <c r="S271" s="259">
        <v>39852.376595444337</v>
      </c>
      <c r="U271" s="7" t="s">
        <v>2334</v>
      </c>
    </row>
    <row r="272" spans="1:21" ht="16.5" thickBot="1">
      <c r="A272" s="41" t="s">
        <v>31</v>
      </c>
      <c r="B272" s="42">
        <f t="shared" si="15"/>
        <v>90</v>
      </c>
      <c r="C272" s="42" t="s">
        <v>3</v>
      </c>
      <c r="D272" s="42">
        <f t="shared" si="16"/>
        <v>360</v>
      </c>
      <c r="E272" s="42" t="s">
        <v>3</v>
      </c>
      <c r="F272" s="90">
        <f t="shared" si="17"/>
        <v>1000</v>
      </c>
      <c r="G272" s="42" t="s">
        <v>3</v>
      </c>
      <c r="H272" s="39">
        <v>4</v>
      </c>
      <c r="I272" s="40" t="s">
        <v>40</v>
      </c>
      <c r="J272" s="149">
        <v>90</v>
      </c>
      <c r="K272" s="66">
        <v>360</v>
      </c>
      <c r="L272" s="66">
        <v>1000</v>
      </c>
      <c r="M272" s="150">
        <v>11.936716833011051</v>
      </c>
      <c r="N272" s="78">
        <v>499.08299999999997</v>
      </c>
      <c r="O272" s="110">
        <v>21215.628719433651</v>
      </c>
      <c r="P272" s="111">
        <v>25785.1986386891</v>
      </c>
      <c r="Q272" s="110">
        <v>15614.130440527351</v>
      </c>
      <c r="R272" s="258">
        <v>36829.759159961002</v>
      </c>
      <c r="S272" s="259">
        <v>41399.329079216448</v>
      </c>
      <c r="U272" s="7" t="s">
        <v>2335</v>
      </c>
    </row>
    <row r="273" spans="1:21" ht="16.5" thickBot="1">
      <c r="A273" s="41" t="s">
        <v>31</v>
      </c>
      <c r="B273" s="42">
        <f t="shared" si="15"/>
        <v>90</v>
      </c>
      <c r="C273" s="42" t="s">
        <v>3</v>
      </c>
      <c r="D273" s="42">
        <f t="shared" si="16"/>
        <v>360</v>
      </c>
      <c r="E273" s="42" t="s">
        <v>3</v>
      </c>
      <c r="F273" s="90">
        <f t="shared" si="17"/>
        <v>1050</v>
      </c>
      <c r="G273" s="42" t="s">
        <v>3</v>
      </c>
      <c r="H273" s="39">
        <v>4</v>
      </c>
      <c r="I273" s="40" t="s">
        <v>40</v>
      </c>
      <c r="J273" s="149">
        <v>90</v>
      </c>
      <c r="K273" s="66">
        <v>360</v>
      </c>
      <c r="L273" s="66">
        <v>1050</v>
      </c>
      <c r="M273" s="150">
        <v>12.492940114613157</v>
      </c>
      <c r="N273" s="78">
        <v>537.47399999999993</v>
      </c>
      <c r="O273" s="110">
        <v>21966.303522287319</v>
      </c>
      <c r="P273" s="111">
        <v>26728.730085194256</v>
      </c>
      <c r="Q273" s="110">
        <v>16468.885462549311</v>
      </c>
      <c r="R273" s="258">
        <v>38435.188984836626</v>
      </c>
      <c r="S273" s="259">
        <v>43197.615547743568</v>
      </c>
      <c r="U273" s="7" t="s">
        <v>2336</v>
      </c>
    </row>
    <row r="274" spans="1:21" ht="16.5" thickBot="1">
      <c r="A274" s="38" t="s">
        <v>31</v>
      </c>
      <c r="B274" s="39">
        <f t="shared" si="15"/>
        <v>90</v>
      </c>
      <c r="C274" s="39" t="s">
        <v>3</v>
      </c>
      <c r="D274" s="39">
        <f t="shared" si="16"/>
        <v>360</v>
      </c>
      <c r="E274" s="39" t="s">
        <v>3</v>
      </c>
      <c r="F274" s="90">
        <f t="shared" si="17"/>
        <v>1100</v>
      </c>
      <c r="G274" s="39" t="s">
        <v>3</v>
      </c>
      <c r="H274" s="39">
        <v>4</v>
      </c>
      <c r="I274" s="40" t="s">
        <v>40</v>
      </c>
      <c r="J274" s="149">
        <v>90</v>
      </c>
      <c r="K274" s="66">
        <v>360</v>
      </c>
      <c r="L274" s="66">
        <v>1100</v>
      </c>
      <c r="M274" s="150">
        <v>13.032123396215262</v>
      </c>
      <c r="N274" s="78">
        <v>575.86500000000001</v>
      </c>
      <c r="O274" s="110">
        <v>22716.97817211222</v>
      </c>
      <c r="P274" s="111">
        <v>27672.261531699416</v>
      </c>
      <c r="Q274" s="110">
        <v>17072.3063467875</v>
      </c>
      <c r="R274" s="258">
        <v>39789.284518899716</v>
      </c>
      <c r="S274" s="259">
        <v>44744.567878486916</v>
      </c>
      <c r="U274" s="7" t="s">
        <v>2337</v>
      </c>
    </row>
    <row r="275" spans="1:21" ht="16.5" thickBot="1">
      <c r="A275" s="41" t="s">
        <v>31</v>
      </c>
      <c r="B275" s="42">
        <f t="shared" si="15"/>
        <v>90</v>
      </c>
      <c r="C275" s="42" t="s">
        <v>3</v>
      </c>
      <c r="D275" s="42">
        <f t="shared" si="16"/>
        <v>360</v>
      </c>
      <c r="E275" s="42" t="s">
        <v>3</v>
      </c>
      <c r="F275" s="90">
        <f t="shared" si="17"/>
        <v>1150</v>
      </c>
      <c r="G275" s="42" t="s">
        <v>3</v>
      </c>
      <c r="H275" s="39">
        <v>4</v>
      </c>
      <c r="I275" s="40" t="s">
        <v>40</v>
      </c>
      <c r="J275" s="149">
        <v>90</v>
      </c>
      <c r="K275" s="66">
        <v>360</v>
      </c>
      <c r="L275" s="66">
        <v>1150</v>
      </c>
      <c r="M275" s="150">
        <v>13.571306677817367</v>
      </c>
      <c r="N275" s="78">
        <v>614.25599999999997</v>
      </c>
      <c r="O275" s="110">
        <v>23467.652821937118</v>
      </c>
      <c r="P275" s="111">
        <v>28615.793131233342</v>
      </c>
      <c r="Q275" s="110">
        <v>17675.727231025689</v>
      </c>
      <c r="R275" s="258">
        <v>41143.380052962806</v>
      </c>
      <c r="S275" s="259">
        <v>46291.520362259034</v>
      </c>
      <c r="U275" s="7" t="s">
        <v>2338</v>
      </c>
    </row>
    <row r="276" spans="1:21" ht="16.5" thickBot="1">
      <c r="A276" s="41" t="s">
        <v>31</v>
      </c>
      <c r="B276" s="42">
        <f t="shared" si="15"/>
        <v>90</v>
      </c>
      <c r="C276" s="42" t="s">
        <v>3</v>
      </c>
      <c r="D276" s="42">
        <f t="shared" si="16"/>
        <v>360</v>
      </c>
      <c r="E276" s="42" t="s">
        <v>3</v>
      </c>
      <c r="F276" s="90">
        <f t="shared" si="17"/>
        <v>1200</v>
      </c>
      <c r="G276" s="42" t="s">
        <v>3</v>
      </c>
      <c r="H276" s="39">
        <v>4</v>
      </c>
      <c r="I276" s="40" t="s">
        <v>40</v>
      </c>
      <c r="J276" s="149">
        <v>90</v>
      </c>
      <c r="K276" s="66">
        <v>360</v>
      </c>
      <c r="L276" s="66">
        <v>1200</v>
      </c>
      <c r="M276" s="150">
        <v>14.206029959419473</v>
      </c>
      <c r="N276" s="78">
        <v>652.64699999999993</v>
      </c>
      <c r="O276" s="110">
        <v>24302.42580689535</v>
      </c>
      <c r="P276" s="111">
        <v>29643.936324378828</v>
      </c>
      <c r="Q276" s="110">
        <v>18530.482406076411</v>
      </c>
      <c r="R276" s="258">
        <v>42832.908212971757</v>
      </c>
      <c r="S276" s="259">
        <v>48174.41873045524</v>
      </c>
      <c r="U276" s="7" t="s">
        <v>2339</v>
      </c>
    </row>
    <row r="277" spans="1:21" ht="16.5" thickBot="1">
      <c r="A277" s="41" t="s">
        <v>31</v>
      </c>
      <c r="B277" s="42">
        <f t="shared" si="15"/>
        <v>90</v>
      </c>
      <c r="C277" s="42" t="s">
        <v>3</v>
      </c>
      <c r="D277" s="42">
        <f t="shared" si="16"/>
        <v>360</v>
      </c>
      <c r="E277" s="42" t="s">
        <v>3</v>
      </c>
      <c r="F277" s="90">
        <f t="shared" si="17"/>
        <v>1250</v>
      </c>
      <c r="G277" s="42" t="s">
        <v>3</v>
      </c>
      <c r="H277" s="39">
        <v>4</v>
      </c>
      <c r="I277" s="40" t="s">
        <v>40</v>
      </c>
      <c r="J277" s="149">
        <v>90</v>
      </c>
      <c r="K277" s="66">
        <v>360</v>
      </c>
      <c r="L277" s="66">
        <v>1250</v>
      </c>
      <c r="M277" s="150">
        <v>14.745213241021577</v>
      </c>
      <c r="N277" s="78">
        <v>691.03800000000001</v>
      </c>
      <c r="O277" s="110">
        <v>25053.100456720251</v>
      </c>
      <c r="P277" s="111">
        <v>30587.467770883984</v>
      </c>
      <c r="Q277" s="110">
        <v>19133.9032903146</v>
      </c>
      <c r="R277" s="258">
        <v>44187.003747034847</v>
      </c>
      <c r="S277" s="259">
        <v>49721.371061198588</v>
      </c>
      <c r="U277" s="7" t="s">
        <v>2340</v>
      </c>
    </row>
    <row r="278" spans="1:21" ht="16.5" thickBot="1">
      <c r="A278" s="41" t="s">
        <v>31</v>
      </c>
      <c r="B278" s="42">
        <f t="shared" si="15"/>
        <v>90</v>
      </c>
      <c r="C278" s="42" t="s">
        <v>3</v>
      </c>
      <c r="D278" s="42">
        <f t="shared" si="16"/>
        <v>360</v>
      </c>
      <c r="E278" s="42" t="s">
        <v>3</v>
      </c>
      <c r="F278" s="90">
        <f t="shared" si="17"/>
        <v>1300</v>
      </c>
      <c r="G278" s="42" t="s">
        <v>3</v>
      </c>
      <c r="H278" s="39">
        <v>4</v>
      </c>
      <c r="I278" s="40" t="s">
        <v>40</v>
      </c>
      <c r="J278" s="149">
        <v>90</v>
      </c>
      <c r="K278" s="66">
        <v>360</v>
      </c>
      <c r="L278" s="66">
        <v>1300</v>
      </c>
      <c r="M278" s="150">
        <v>15.301436522623682</v>
      </c>
      <c r="N278" s="78">
        <v>729.42899999999997</v>
      </c>
      <c r="O278" s="110">
        <v>25803.775259573915</v>
      </c>
      <c r="P278" s="111">
        <v>31530.999217389144</v>
      </c>
      <c r="Q278" s="110">
        <v>19988.658312336556</v>
      </c>
      <c r="R278" s="258">
        <v>45792.433571910471</v>
      </c>
      <c r="S278" s="259">
        <v>51519.6575297257</v>
      </c>
      <c r="U278" s="7" t="s">
        <v>2341</v>
      </c>
    </row>
    <row r="279" spans="1:21" ht="16.5" thickBot="1">
      <c r="A279" s="41" t="s">
        <v>31</v>
      </c>
      <c r="B279" s="42">
        <f t="shared" si="15"/>
        <v>90</v>
      </c>
      <c r="C279" s="42" t="s">
        <v>3</v>
      </c>
      <c r="D279" s="42">
        <f t="shared" si="16"/>
        <v>360</v>
      </c>
      <c r="E279" s="42" t="s">
        <v>3</v>
      </c>
      <c r="F279" s="90">
        <f t="shared" si="17"/>
        <v>1350</v>
      </c>
      <c r="G279" s="42" t="s">
        <v>3</v>
      </c>
      <c r="H279" s="39">
        <v>4</v>
      </c>
      <c r="I279" s="40" t="s">
        <v>40</v>
      </c>
      <c r="J279" s="149">
        <v>90</v>
      </c>
      <c r="K279" s="66">
        <v>360</v>
      </c>
      <c r="L279" s="66">
        <v>1350</v>
      </c>
      <c r="M279" s="150">
        <v>15.840619804225788</v>
      </c>
      <c r="N279" s="78">
        <v>767.82</v>
      </c>
      <c r="O279" s="110">
        <v>26554.449909398823</v>
      </c>
      <c r="P279" s="111">
        <v>32474.530663894304</v>
      </c>
      <c r="Q279" s="110">
        <v>20592.079196574745</v>
      </c>
      <c r="R279" s="258">
        <v>47146.529105973568</v>
      </c>
      <c r="S279" s="259">
        <v>53066.609860469049</v>
      </c>
      <c r="U279" s="7" t="s">
        <v>2342</v>
      </c>
    </row>
    <row r="280" spans="1:21" ht="16.5" thickBot="1">
      <c r="A280" s="41" t="s">
        <v>31</v>
      </c>
      <c r="B280" s="42">
        <f t="shared" si="15"/>
        <v>90</v>
      </c>
      <c r="C280" s="42" t="s">
        <v>3</v>
      </c>
      <c r="D280" s="42">
        <f t="shared" si="16"/>
        <v>360</v>
      </c>
      <c r="E280" s="42" t="s">
        <v>3</v>
      </c>
      <c r="F280" s="90">
        <f t="shared" si="17"/>
        <v>1400</v>
      </c>
      <c r="G280" s="42" t="s">
        <v>3</v>
      </c>
      <c r="H280" s="39">
        <v>4</v>
      </c>
      <c r="I280" s="40" t="s">
        <v>40</v>
      </c>
      <c r="J280" s="149">
        <v>90</v>
      </c>
      <c r="K280" s="66">
        <v>360</v>
      </c>
      <c r="L280" s="66">
        <v>1400</v>
      </c>
      <c r="M280" s="150">
        <v>16.396843085827893</v>
      </c>
      <c r="N280" s="78">
        <v>806.2109999999999</v>
      </c>
      <c r="O280" s="110">
        <v>27305.124559223725</v>
      </c>
      <c r="P280" s="111">
        <v>33418.062263428226</v>
      </c>
      <c r="Q280" s="110">
        <v>21446.834218596705</v>
      </c>
      <c r="R280" s="258">
        <v>48751.95877782043</v>
      </c>
      <c r="S280" s="259">
        <v>54864.896482024931</v>
      </c>
      <c r="U280" s="7" t="s">
        <v>2343</v>
      </c>
    </row>
    <row r="281" spans="1:21" ht="16.5" thickBot="1">
      <c r="A281" s="41" t="s">
        <v>31</v>
      </c>
      <c r="B281" s="42">
        <f t="shared" si="15"/>
        <v>90</v>
      </c>
      <c r="C281" s="42" t="s">
        <v>3</v>
      </c>
      <c r="D281" s="42">
        <f t="shared" si="16"/>
        <v>360</v>
      </c>
      <c r="E281" s="42" t="s">
        <v>3</v>
      </c>
      <c r="F281" s="90">
        <f t="shared" si="17"/>
        <v>1450</v>
      </c>
      <c r="G281" s="42" t="s">
        <v>3</v>
      </c>
      <c r="H281" s="39">
        <v>4</v>
      </c>
      <c r="I281" s="40" t="s">
        <v>40</v>
      </c>
      <c r="J281" s="149">
        <v>90</v>
      </c>
      <c r="K281" s="66">
        <v>360</v>
      </c>
      <c r="L281" s="66">
        <v>1450</v>
      </c>
      <c r="M281" s="150">
        <v>16.936026367430003</v>
      </c>
      <c r="N281" s="78">
        <v>844.60199999999998</v>
      </c>
      <c r="O281" s="110">
        <v>28055.799209048622</v>
      </c>
      <c r="P281" s="111">
        <v>34361.59370993339</v>
      </c>
      <c r="Q281" s="110">
        <v>22050.255102834893</v>
      </c>
      <c r="R281" s="258">
        <v>50106.054311883519</v>
      </c>
      <c r="S281" s="259">
        <v>56411.848812768279</v>
      </c>
      <c r="U281" s="7" t="s">
        <v>2344</v>
      </c>
    </row>
    <row r="282" spans="1:21" ht="16.5" thickBot="1">
      <c r="A282" s="41" t="s">
        <v>31</v>
      </c>
      <c r="B282" s="42">
        <f t="shared" si="15"/>
        <v>90</v>
      </c>
      <c r="C282" s="42" t="s">
        <v>3</v>
      </c>
      <c r="D282" s="42">
        <f t="shared" si="16"/>
        <v>360</v>
      </c>
      <c r="E282" s="42" t="s">
        <v>3</v>
      </c>
      <c r="F282" s="90">
        <f t="shared" si="17"/>
        <v>1500</v>
      </c>
      <c r="G282" s="42" t="s">
        <v>3</v>
      </c>
      <c r="H282" s="39">
        <v>4</v>
      </c>
      <c r="I282" s="40" t="s">
        <v>40</v>
      </c>
      <c r="J282" s="149">
        <v>90</v>
      </c>
      <c r="K282" s="66">
        <v>360</v>
      </c>
      <c r="L282" s="66">
        <v>1500</v>
      </c>
      <c r="M282" s="150">
        <v>17.668015597832103</v>
      </c>
      <c r="N282" s="78">
        <v>882.99299999999994</v>
      </c>
      <c r="O282" s="110">
        <v>29592.718055777783</v>
      </c>
      <c r="P282" s="111">
        <v>36050.342953527856</v>
      </c>
      <c r="Q282" s="110">
        <v>22905.01012485685</v>
      </c>
      <c r="R282" s="258">
        <v>52497.728180634629</v>
      </c>
      <c r="S282" s="259">
        <v>58955.353078384709</v>
      </c>
      <c r="U282" s="7" t="s">
        <v>2345</v>
      </c>
    </row>
    <row r="283" spans="1:21" ht="16.5" thickBot="1">
      <c r="A283" s="41" t="s">
        <v>31</v>
      </c>
      <c r="B283" s="42">
        <f t="shared" si="15"/>
        <v>90</v>
      </c>
      <c r="C283" s="42" t="s">
        <v>3</v>
      </c>
      <c r="D283" s="42">
        <f t="shared" si="16"/>
        <v>360</v>
      </c>
      <c r="E283" s="42" t="s">
        <v>3</v>
      </c>
      <c r="F283" s="90">
        <f t="shared" si="17"/>
        <v>1550</v>
      </c>
      <c r="G283" s="42" t="s">
        <v>3</v>
      </c>
      <c r="H283" s="39">
        <v>4</v>
      </c>
      <c r="I283" s="40" t="s">
        <v>40</v>
      </c>
      <c r="J283" s="149">
        <v>90</v>
      </c>
      <c r="K283" s="66">
        <v>360</v>
      </c>
      <c r="L283" s="66">
        <v>1550</v>
      </c>
      <c r="M283" s="150">
        <v>18.207198879434209</v>
      </c>
      <c r="N283" s="78">
        <v>921.38400000000001</v>
      </c>
      <c r="O283" s="110">
        <v>30343.392858631451</v>
      </c>
      <c r="P283" s="111">
        <v>36993.874400033019</v>
      </c>
      <c r="Q283" s="110">
        <v>23508.431009095038</v>
      </c>
      <c r="R283" s="258">
        <v>53851.823867726489</v>
      </c>
      <c r="S283" s="259">
        <v>60502.305409128057</v>
      </c>
      <c r="U283" s="7" t="s">
        <v>2346</v>
      </c>
    </row>
    <row r="284" spans="1:21" ht="16.5" thickBot="1">
      <c r="A284" s="38" t="s">
        <v>31</v>
      </c>
      <c r="B284" s="39">
        <f t="shared" si="15"/>
        <v>90</v>
      </c>
      <c r="C284" s="39" t="s">
        <v>3</v>
      </c>
      <c r="D284" s="39">
        <f t="shared" si="16"/>
        <v>360</v>
      </c>
      <c r="E284" s="39" t="s">
        <v>3</v>
      </c>
      <c r="F284" s="90">
        <f t="shared" si="17"/>
        <v>1600</v>
      </c>
      <c r="G284" s="39" t="s">
        <v>3</v>
      </c>
      <c r="H284" s="39">
        <v>4</v>
      </c>
      <c r="I284" s="40" t="s">
        <v>40</v>
      </c>
      <c r="J284" s="149">
        <v>90</v>
      </c>
      <c r="K284" s="66">
        <v>360</v>
      </c>
      <c r="L284" s="66">
        <v>1600</v>
      </c>
      <c r="M284" s="150">
        <v>18.746382161036312</v>
      </c>
      <c r="N284" s="78">
        <v>959.77499999999998</v>
      </c>
      <c r="O284" s="110">
        <v>31094.067508456352</v>
      </c>
      <c r="P284" s="111">
        <v>37937.405846538175</v>
      </c>
      <c r="Q284" s="110">
        <v>24111.851893333227</v>
      </c>
      <c r="R284" s="258">
        <v>55205.919401789579</v>
      </c>
      <c r="S284" s="259">
        <v>62049.257739871406</v>
      </c>
      <c r="U284" s="7" t="s">
        <v>2347</v>
      </c>
    </row>
    <row r="285" spans="1:21" ht="16.5" thickBot="1">
      <c r="A285" s="41" t="s">
        <v>31</v>
      </c>
      <c r="B285" s="42">
        <f t="shared" si="15"/>
        <v>90</v>
      </c>
      <c r="C285" s="42" t="s">
        <v>3</v>
      </c>
      <c r="D285" s="42">
        <f t="shared" si="16"/>
        <v>360</v>
      </c>
      <c r="E285" s="42" t="s">
        <v>3</v>
      </c>
      <c r="F285" s="90">
        <f t="shared" si="17"/>
        <v>1650</v>
      </c>
      <c r="G285" s="42" t="s">
        <v>3</v>
      </c>
      <c r="H285" s="39">
        <v>4</v>
      </c>
      <c r="I285" s="40" t="s">
        <v>40</v>
      </c>
      <c r="J285" s="149">
        <v>90</v>
      </c>
      <c r="K285" s="66">
        <v>360</v>
      </c>
      <c r="L285" s="66">
        <v>1650</v>
      </c>
      <c r="M285" s="150">
        <v>19.30260544263842</v>
      </c>
      <c r="N285" s="78">
        <v>998.16599999999994</v>
      </c>
      <c r="O285" s="110">
        <v>31844.7421582811</v>
      </c>
      <c r="P285" s="111">
        <v>38880.937446072101</v>
      </c>
      <c r="Q285" s="110">
        <v>24966.606915355183</v>
      </c>
      <c r="R285" s="258">
        <v>56811.349073636287</v>
      </c>
      <c r="S285" s="259">
        <v>63847.544361427281</v>
      </c>
      <c r="U285" s="7" t="s">
        <v>2348</v>
      </c>
    </row>
    <row r="286" spans="1:21" ht="16.5" thickBot="1">
      <c r="A286" s="41" t="s">
        <v>31</v>
      </c>
      <c r="B286" s="42">
        <f t="shared" si="15"/>
        <v>90</v>
      </c>
      <c r="C286" s="42" t="s">
        <v>3</v>
      </c>
      <c r="D286" s="42">
        <f t="shared" si="16"/>
        <v>360</v>
      </c>
      <c r="E286" s="42" t="s">
        <v>3</v>
      </c>
      <c r="F286" s="90">
        <f t="shared" si="17"/>
        <v>1700</v>
      </c>
      <c r="G286" s="42" t="s">
        <v>3</v>
      </c>
      <c r="H286" s="39">
        <v>4</v>
      </c>
      <c r="I286" s="40" t="s">
        <v>40</v>
      </c>
      <c r="J286" s="149">
        <v>90</v>
      </c>
      <c r="K286" s="66">
        <v>360</v>
      </c>
      <c r="L286" s="66">
        <v>1700</v>
      </c>
      <c r="M286" s="150">
        <v>19.84178872424053</v>
      </c>
      <c r="N286" s="78">
        <v>1036.557</v>
      </c>
      <c r="O286" s="110">
        <v>32595.416808106154</v>
      </c>
      <c r="P286" s="111">
        <v>39824.468892577257</v>
      </c>
      <c r="Q286" s="110">
        <v>25570.027799593372</v>
      </c>
      <c r="R286" s="258">
        <v>58165.444607699523</v>
      </c>
      <c r="S286" s="259">
        <v>65394.496692170629</v>
      </c>
      <c r="U286" s="7" t="s">
        <v>2349</v>
      </c>
    </row>
    <row r="287" spans="1:21" ht="16.5" thickBot="1">
      <c r="A287" s="41" t="s">
        <v>31</v>
      </c>
      <c r="B287" s="42">
        <f t="shared" si="15"/>
        <v>90</v>
      </c>
      <c r="C287" s="42" t="s">
        <v>3</v>
      </c>
      <c r="D287" s="42">
        <f t="shared" si="16"/>
        <v>360</v>
      </c>
      <c r="E287" s="42" t="s">
        <v>3</v>
      </c>
      <c r="F287" s="90">
        <f t="shared" si="17"/>
        <v>1750</v>
      </c>
      <c r="G287" s="42" t="s">
        <v>3</v>
      </c>
      <c r="H287" s="39">
        <v>4</v>
      </c>
      <c r="I287" s="40" t="s">
        <v>40</v>
      </c>
      <c r="J287" s="149">
        <v>90</v>
      </c>
      <c r="K287" s="66">
        <v>360</v>
      </c>
      <c r="L287" s="66">
        <v>1750</v>
      </c>
      <c r="M287" s="150">
        <v>20.398012005842627</v>
      </c>
      <c r="N287" s="78">
        <v>1074.9479999999999</v>
      </c>
      <c r="O287" s="110">
        <v>33346.091610959818</v>
      </c>
      <c r="P287" s="111">
        <v>40768.00033908242</v>
      </c>
      <c r="Q287" s="110">
        <v>26424.782821615332</v>
      </c>
      <c r="R287" s="258">
        <v>59770.874432575147</v>
      </c>
      <c r="S287" s="259">
        <v>67192.783160697756</v>
      </c>
      <c r="U287" s="7" t="s">
        <v>2350</v>
      </c>
    </row>
    <row r="288" spans="1:21" ht="16.5" thickBot="1">
      <c r="A288" s="41" t="s">
        <v>31</v>
      </c>
      <c r="B288" s="42">
        <f t="shared" si="15"/>
        <v>90</v>
      </c>
      <c r="C288" s="42" t="s">
        <v>3</v>
      </c>
      <c r="D288" s="42">
        <f t="shared" si="16"/>
        <v>360</v>
      </c>
      <c r="E288" s="42" t="s">
        <v>3</v>
      </c>
      <c r="F288" s="90">
        <f t="shared" si="17"/>
        <v>1800</v>
      </c>
      <c r="G288" s="42" t="s">
        <v>3</v>
      </c>
      <c r="H288" s="39">
        <v>4</v>
      </c>
      <c r="I288" s="40" t="s">
        <v>40</v>
      </c>
      <c r="J288" s="149">
        <v>90</v>
      </c>
      <c r="K288" s="66">
        <v>360</v>
      </c>
      <c r="L288" s="66">
        <v>1800</v>
      </c>
      <c r="M288" s="150">
        <v>20.937195287444734</v>
      </c>
      <c r="N288" s="78">
        <v>1113.3389999999999</v>
      </c>
      <c r="O288" s="110">
        <v>34096.766260784723</v>
      </c>
      <c r="P288" s="111">
        <v>41711.531938616346</v>
      </c>
      <c r="Q288" s="110">
        <v>27028.203705853517</v>
      </c>
      <c r="R288" s="258">
        <v>61124.969966638237</v>
      </c>
      <c r="S288" s="259">
        <v>68739.735644469867</v>
      </c>
      <c r="U288" s="7" t="s">
        <v>2351</v>
      </c>
    </row>
    <row r="289" spans="1:21" ht="16.5" thickBot="1">
      <c r="A289" s="41" t="s">
        <v>31</v>
      </c>
      <c r="B289" s="42">
        <f t="shared" si="15"/>
        <v>90</v>
      </c>
      <c r="C289" s="42" t="s">
        <v>3</v>
      </c>
      <c r="D289" s="42">
        <f t="shared" si="16"/>
        <v>360</v>
      </c>
      <c r="E289" s="42" t="s">
        <v>3</v>
      </c>
      <c r="F289" s="90">
        <f t="shared" si="17"/>
        <v>1850</v>
      </c>
      <c r="G289" s="42" t="s">
        <v>3</v>
      </c>
      <c r="H289" s="39">
        <v>4</v>
      </c>
      <c r="I289" s="40" t="s">
        <v>40</v>
      </c>
      <c r="J289" s="149">
        <v>90</v>
      </c>
      <c r="K289" s="66">
        <v>360</v>
      </c>
      <c r="L289" s="66">
        <v>1850</v>
      </c>
      <c r="M289" s="150">
        <v>21.493418569046845</v>
      </c>
      <c r="N289" s="78">
        <v>1151.73</v>
      </c>
      <c r="O289" s="110">
        <v>34847.440910609621</v>
      </c>
      <c r="P289" s="111">
        <v>42655.063385121503</v>
      </c>
      <c r="Q289" s="110">
        <v>27882.958880904247</v>
      </c>
      <c r="R289" s="258">
        <v>62730.399791513868</v>
      </c>
      <c r="S289" s="259">
        <v>70538.022266025742</v>
      </c>
      <c r="U289" s="7" t="s">
        <v>2352</v>
      </c>
    </row>
    <row r="290" spans="1:21" ht="16.5" thickBot="1">
      <c r="A290" s="41" t="s">
        <v>31</v>
      </c>
      <c r="B290" s="42">
        <f t="shared" si="15"/>
        <v>90</v>
      </c>
      <c r="C290" s="42" t="s">
        <v>3</v>
      </c>
      <c r="D290" s="42">
        <f t="shared" si="16"/>
        <v>360</v>
      </c>
      <c r="E290" s="42" t="s">
        <v>3</v>
      </c>
      <c r="F290" s="90">
        <f t="shared" si="17"/>
        <v>1900</v>
      </c>
      <c r="G290" s="42" t="s">
        <v>3</v>
      </c>
      <c r="H290" s="39">
        <v>4</v>
      </c>
      <c r="I290" s="40" t="s">
        <v>40</v>
      </c>
      <c r="J290" s="149">
        <v>90</v>
      </c>
      <c r="K290" s="66">
        <v>360</v>
      </c>
      <c r="L290" s="66">
        <v>1900</v>
      </c>
      <c r="M290" s="150">
        <v>22.032601850648948</v>
      </c>
      <c r="N290" s="78">
        <v>1190.1210000000001</v>
      </c>
      <c r="O290" s="110">
        <v>35598.115713463289</v>
      </c>
      <c r="P290" s="111">
        <v>43598.594831626659</v>
      </c>
      <c r="Q290" s="110">
        <v>28486.379765142432</v>
      </c>
      <c r="R290" s="258">
        <v>64084.495478605721</v>
      </c>
      <c r="S290" s="259">
        <v>72084.974596769083</v>
      </c>
      <c r="U290" s="7" t="s">
        <v>2353</v>
      </c>
    </row>
    <row r="291" spans="1:21" ht="16.5" thickBot="1">
      <c r="A291" s="41" t="s">
        <v>31</v>
      </c>
      <c r="B291" s="42">
        <f t="shared" si="15"/>
        <v>90</v>
      </c>
      <c r="C291" s="42" t="s">
        <v>3</v>
      </c>
      <c r="D291" s="42">
        <f t="shared" si="16"/>
        <v>360</v>
      </c>
      <c r="E291" s="42" t="s">
        <v>3</v>
      </c>
      <c r="F291" s="90">
        <f t="shared" si="17"/>
        <v>1950</v>
      </c>
      <c r="G291" s="42" t="s">
        <v>3</v>
      </c>
      <c r="H291" s="39">
        <v>4</v>
      </c>
      <c r="I291" s="40" t="s">
        <v>40</v>
      </c>
      <c r="J291" s="149">
        <v>90</v>
      </c>
      <c r="K291" s="66">
        <v>360</v>
      </c>
      <c r="L291" s="66">
        <v>1950</v>
      </c>
      <c r="M291" s="150">
        <v>22.650285132251053</v>
      </c>
      <c r="N291" s="78">
        <v>1228.5119999999999</v>
      </c>
      <c r="O291" s="110">
        <v>36432.888698421521</v>
      </c>
      <c r="P291" s="111">
        <v>44626.738024772145</v>
      </c>
      <c r="Q291" s="110">
        <v>29089.800649380621</v>
      </c>
      <c r="R291" s="258">
        <v>65522.689347802137</v>
      </c>
      <c r="S291" s="259">
        <v>73716.538674152762</v>
      </c>
      <c r="U291" s="7" t="s">
        <v>2354</v>
      </c>
    </row>
    <row r="292" spans="1:21" ht="16.5" thickBot="1">
      <c r="A292" s="41" t="s">
        <v>31</v>
      </c>
      <c r="B292" s="42">
        <f t="shared" si="15"/>
        <v>90</v>
      </c>
      <c r="C292" s="42" t="s">
        <v>3</v>
      </c>
      <c r="D292" s="42">
        <f t="shared" si="16"/>
        <v>360</v>
      </c>
      <c r="E292" s="42" t="s">
        <v>3</v>
      </c>
      <c r="F292" s="90">
        <f t="shared" si="17"/>
        <v>2000</v>
      </c>
      <c r="G292" s="42" t="s">
        <v>3</v>
      </c>
      <c r="H292" s="39">
        <v>4</v>
      </c>
      <c r="I292" s="40" t="s">
        <v>40</v>
      </c>
      <c r="J292" s="149">
        <v>90</v>
      </c>
      <c r="K292" s="66">
        <v>360</v>
      </c>
      <c r="L292" s="66">
        <v>2000</v>
      </c>
      <c r="M292" s="150">
        <v>23.298070813853162</v>
      </c>
      <c r="N292" s="78">
        <v>1266.903</v>
      </c>
      <c r="O292" s="110">
        <v>37434.855250091015</v>
      </c>
      <c r="P292" s="111">
        <v>45911.091617302103</v>
      </c>
      <c r="Q292" s="110">
        <v>29944.555671402581</v>
      </c>
      <c r="R292" s="258">
        <v>67379.410921493603</v>
      </c>
      <c r="S292" s="259">
        <v>75855.647288704684</v>
      </c>
      <c r="U292" s="7" t="s">
        <v>2355</v>
      </c>
    </row>
    <row r="293" spans="1:21" ht="16.5" thickBot="1">
      <c r="A293" s="41" t="s">
        <v>31</v>
      </c>
      <c r="B293" s="42">
        <f t="shared" si="15"/>
        <v>90</v>
      </c>
      <c r="C293" s="42" t="s">
        <v>3</v>
      </c>
      <c r="D293" s="42">
        <f t="shared" si="16"/>
        <v>360</v>
      </c>
      <c r="E293" s="42" t="s">
        <v>3</v>
      </c>
      <c r="F293" s="90">
        <f t="shared" si="17"/>
        <v>2050</v>
      </c>
      <c r="G293" s="42" t="s">
        <v>3</v>
      </c>
      <c r="H293" s="39">
        <v>4</v>
      </c>
      <c r="I293" s="40" t="s">
        <v>40</v>
      </c>
      <c r="J293" s="149">
        <v>90</v>
      </c>
      <c r="K293" s="66">
        <v>360</v>
      </c>
      <c r="L293" s="66">
        <v>2050</v>
      </c>
      <c r="M293" s="150">
        <v>23.837254095455265</v>
      </c>
      <c r="N293" s="78">
        <v>1305.2939999999999</v>
      </c>
      <c r="O293" s="110">
        <v>38185.52989991592</v>
      </c>
      <c r="P293" s="111">
        <v>46854.623063807267</v>
      </c>
      <c r="Q293" s="110">
        <v>30547.976555640766</v>
      </c>
      <c r="R293" s="258">
        <v>68733.506455556693</v>
      </c>
      <c r="S293" s="259">
        <v>77402.599619448039</v>
      </c>
      <c r="U293" s="7" t="s">
        <v>2356</v>
      </c>
    </row>
    <row r="294" spans="1:21" ht="16.5" thickBot="1">
      <c r="A294" s="38" t="s">
        <v>31</v>
      </c>
      <c r="B294" s="39">
        <f t="shared" si="15"/>
        <v>90</v>
      </c>
      <c r="C294" s="39" t="s">
        <v>3</v>
      </c>
      <c r="D294" s="39">
        <f t="shared" si="16"/>
        <v>360</v>
      </c>
      <c r="E294" s="39" t="s">
        <v>3</v>
      </c>
      <c r="F294" s="90">
        <f t="shared" si="17"/>
        <v>2100</v>
      </c>
      <c r="G294" s="39" t="s">
        <v>3</v>
      </c>
      <c r="H294" s="39">
        <v>4</v>
      </c>
      <c r="I294" s="40" t="s">
        <v>40</v>
      </c>
      <c r="J294" s="149">
        <v>90</v>
      </c>
      <c r="K294" s="66">
        <v>360</v>
      </c>
      <c r="L294" s="66">
        <v>2100</v>
      </c>
      <c r="M294" s="150">
        <v>24.393477377057369</v>
      </c>
      <c r="N294" s="78">
        <v>1343.6849999999999</v>
      </c>
      <c r="O294" s="110">
        <v>38936.204549740818</v>
      </c>
      <c r="P294" s="111">
        <v>47798.154510312423</v>
      </c>
      <c r="Q294" s="110">
        <v>31402.731577662726</v>
      </c>
      <c r="R294" s="258">
        <v>70338.936127403547</v>
      </c>
      <c r="S294" s="259">
        <v>79200.886087975145</v>
      </c>
      <c r="U294" s="7" t="s">
        <v>2357</v>
      </c>
    </row>
    <row r="295" spans="1:21" ht="16.5" thickBot="1">
      <c r="A295" s="41" t="s">
        <v>31</v>
      </c>
      <c r="B295" s="42">
        <f t="shared" si="15"/>
        <v>90</v>
      </c>
      <c r="C295" s="42" t="s">
        <v>3</v>
      </c>
      <c r="D295" s="42">
        <f t="shared" si="16"/>
        <v>360</v>
      </c>
      <c r="E295" s="42" t="s">
        <v>3</v>
      </c>
      <c r="F295" s="90">
        <f t="shared" si="17"/>
        <v>2150</v>
      </c>
      <c r="G295" s="42" t="s">
        <v>3</v>
      </c>
      <c r="H295" s="39">
        <v>4</v>
      </c>
      <c r="I295" s="40" t="s">
        <v>40</v>
      </c>
      <c r="J295" s="149">
        <v>90</v>
      </c>
      <c r="K295" s="66">
        <v>360</v>
      </c>
      <c r="L295" s="66">
        <v>2150</v>
      </c>
      <c r="M295" s="150">
        <v>24.932660658659476</v>
      </c>
      <c r="N295" s="78">
        <v>1382.076</v>
      </c>
      <c r="O295" s="110">
        <v>39686.879199565723</v>
      </c>
      <c r="P295" s="111">
        <v>48741.686109846349</v>
      </c>
      <c r="Q295" s="110">
        <v>32006.152461900914</v>
      </c>
      <c r="R295" s="258">
        <v>71693.031661466637</v>
      </c>
      <c r="S295" s="259">
        <v>80747.83857174727</v>
      </c>
      <c r="U295" s="7" t="s">
        <v>2358</v>
      </c>
    </row>
    <row r="296" spans="1:21" ht="16.5" thickBot="1">
      <c r="A296" s="41" t="s">
        <v>31</v>
      </c>
      <c r="B296" s="42">
        <f t="shared" si="15"/>
        <v>90</v>
      </c>
      <c r="C296" s="42" t="s">
        <v>3</v>
      </c>
      <c r="D296" s="42">
        <f t="shared" si="16"/>
        <v>360</v>
      </c>
      <c r="E296" s="42" t="s">
        <v>3</v>
      </c>
      <c r="F296" s="90">
        <f t="shared" si="17"/>
        <v>2200</v>
      </c>
      <c r="G296" s="42" t="s">
        <v>3</v>
      </c>
      <c r="H296" s="39">
        <v>4</v>
      </c>
      <c r="I296" s="40" t="s">
        <v>40</v>
      </c>
      <c r="J296" s="149">
        <v>90</v>
      </c>
      <c r="K296" s="66">
        <v>360</v>
      </c>
      <c r="L296" s="66">
        <v>2200</v>
      </c>
      <c r="M296" s="150">
        <v>25.48888394026158</v>
      </c>
      <c r="N296" s="78">
        <v>1420.4670000000001</v>
      </c>
      <c r="O296" s="110">
        <v>40437.554002419383</v>
      </c>
      <c r="P296" s="111">
        <v>49685.217556351505</v>
      </c>
      <c r="Q296" s="110">
        <v>32860.907483922878</v>
      </c>
      <c r="R296" s="258">
        <v>73298.461486342261</v>
      </c>
      <c r="S296" s="259">
        <v>82546.125040274375</v>
      </c>
      <c r="U296" s="7" t="s">
        <v>2359</v>
      </c>
    </row>
    <row r="297" spans="1:21" ht="16.5" thickBot="1">
      <c r="A297" s="41" t="s">
        <v>31</v>
      </c>
      <c r="B297" s="42">
        <f t="shared" si="15"/>
        <v>90</v>
      </c>
      <c r="C297" s="42" t="s">
        <v>3</v>
      </c>
      <c r="D297" s="42">
        <f t="shared" si="16"/>
        <v>360</v>
      </c>
      <c r="E297" s="42" t="s">
        <v>3</v>
      </c>
      <c r="F297" s="90">
        <f t="shared" si="17"/>
        <v>2250</v>
      </c>
      <c r="G297" s="42" t="s">
        <v>3</v>
      </c>
      <c r="H297" s="39">
        <v>4</v>
      </c>
      <c r="I297" s="40" t="s">
        <v>40</v>
      </c>
      <c r="J297" s="149">
        <v>90</v>
      </c>
      <c r="K297" s="66">
        <v>360</v>
      </c>
      <c r="L297" s="66">
        <v>2250</v>
      </c>
      <c r="M297" s="150">
        <v>26.028067221863687</v>
      </c>
      <c r="N297" s="78">
        <v>1458.8579999999999</v>
      </c>
      <c r="O297" s="110">
        <v>41188.228652244288</v>
      </c>
      <c r="P297" s="111">
        <v>50628.749002856668</v>
      </c>
      <c r="Q297" s="110">
        <v>33464.328368161063</v>
      </c>
      <c r="R297" s="258">
        <v>74652.557020405351</v>
      </c>
      <c r="S297" s="259">
        <v>84093.077371017731</v>
      </c>
      <c r="U297" s="7" t="s">
        <v>2360</v>
      </c>
    </row>
    <row r="298" spans="1:21" ht="16.5" thickBot="1">
      <c r="A298" s="41" t="s">
        <v>31</v>
      </c>
      <c r="B298" s="42">
        <f t="shared" si="15"/>
        <v>90</v>
      </c>
      <c r="C298" s="42" t="s">
        <v>3</v>
      </c>
      <c r="D298" s="42">
        <f t="shared" si="16"/>
        <v>360</v>
      </c>
      <c r="E298" s="42" t="s">
        <v>3</v>
      </c>
      <c r="F298" s="90">
        <f t="shared" si="17"/>
        <v>2300</v>
      </c>
      <c r="G298" s="42" t="s">
        <v>3</v>
      </c>
      <c r="H298" s="39">
        <v>4</v>
      </c>
      <c r="I298" s="40" t="s">
        <v>40</v>
      </c>
      <c r="J298" s="149">
        <v>90</v>
      </c>
      <c r="K298" s="66">
        <v>360</v>
      </c>
      <c r="L298" s="66">
        <v>2300</v>
      </c>
      <c r="M298" s="150">
        <v>26.567250503465793</v>
      </c>
      <c r="N298" s="78">
        <v>1497.249</v>
      </c>
      <c r="O298" s="110">
        <v>41938.903302069193</v>
      </c>
      <c r="P298" s="111">
        <v>51572.280449361831</v>
      </c>
      <c r="Q298" s="110">
        <v>34067.749252399248</v>
      </c>
      <c r="R298" s="258">
        <v>76006.652554468441</v>
      </c>
      <c r="S298" s="259">
        <v>85640.029701761086</v>
      </c>
      <c r="U298" s="7" t="s">
        <v>2361</v>
      </c>
    </row>
    <row r="299" spans="1:21" ht="16.5" thickBot="1">
      <c r="A299" s="41" t="s">
        <v>31</v>
      </c>
      <c r="B299" s="42">
        <f t="shared" si="15"/>
        <v>90</v>
      </c>
      <c r="C299" s="42" t="s">
        <v>3</v>
      </c>
      <c r="D299" s="42">
        <f t="shared" si="16"/>
        <v>360</v>
      </c>
      <c r="E299" s="42" t="s">
        <v>3</v>
      </c>
      <c r="F299" s="90">
        <f t="shared" si="17"/>
        <v>2350</v>
      </c>
      <c r="G299" s="42" t="s">
        <v>3</v>
      </c>
      <c r="H299" s="39">
        <v>4</v>
      </c>
      <c r="I299" s="40" t="s">
        <v>40</v>
      </c>
      <c r="J299" s="149">
        <v>90</v>
      </c>
      <c r="K299" s="66">
        <v>360</v>
      </c>
      <c r="L299" s="66">
        <v>2350</v>
      </c>
      <c r="M299" s="150">
        <v>27.123473785067894</v>
      </c>
      <c r="N299" s="78">
        <v>1535.64</v>
      </c>
      <c r="O299" s="110">
        <v>42689.578104922854</v>
      </c>
      <c r="P299" s="111">
        <v>52515.812048895757</v>
      </c>
      <c r="Q299" s="110">
        <v>34922.504274421211</v>
      </c>
      <c r="R299" s="258">
        <v>77612.082379344065</v>
      </c>
      <c r="S299" s="259">
        <v>87438.316323316976</v>
      </c>
      <c r="U299" s="7" t="s">
        <v>2362</v>
      </c>
    </row>
    <row r="300" spans="1:21" ht="16.5" thickBot="1">
      <c r="A300" s="41" t="s">
        <v>31</v>
      </c>
      <c r="B300" s="42">
        <f t="shared" si="15"/>
        <v>90</v>
      </c>
      <c r="C300" s="42" t="s">
        <v>3</v>
      </c>
      <c r="D300" s="42">
        <f t="shared" si="16"/>
        <v>360</v>
      </c>
      <c r="E300" s="42" t="s">
        <v>3</v>
      </c>
      <c r="F300" s="90">
        <f t="shared" si="17"/>
        <v>2400</v>
      </c>
      <c r="G300" s="42" t="s">
        <v>3</v>
      </c>
      <c r="H300" s="39">
        <v>4</v>
      </c>
      <c r="I300" s="40" t="s">
        <v>40</v>
      </c>
      <c r="J300" s="149">
        <v>90</v>
      </c>
      <c r="K300" s="66">
        <v>360</v>
      </c>
      <c r="L300" s="66">
        <v>2400</v>
      </c>
      <c r="M300" s="150">
        <v>27.66265706667</v>
      </c>
      <c r="N300" s="78">
        <v>1574.0310000000002</v>
      </c>
      <c r="O300" s="110">
        <v>43440.252754747758</v>
      </c>
      <c r="P300" s="111">
        <v>53459.343495400906</v>
      </c>
      <c r="Q300" s="110">
        <v>35525.925158659396</v>
      </c>
      <c r="R300" s="258">
        <v>78966.177913407155</v>
      </c>
      <c r="S300" s="259">
        <v>88985.268654060303</v>
      </c>
      <c r="U300" s="7" t="s">
        <v>2363</v>
      </c>
    </row>
    <row r="301" spans="1:21" ht="16.5" thickBot="1">
      <c r="A301" s="41" t="s">
        <v>31</v>
      </c>
      <c r="B301" s="42">
        <f t="shared" si="15"/>
        <v>90</v>
      </c>
      <c r="C301" s="42" t="s">
        <v>3</v>
      </c>
      <c r="D301" s="42">
        <f t="shared" si="16"/>
        <v>360</v>
      </c>
      <c r="E301" s="42" t="s">
        <v>3</v>
      </c>
      <c r="F301" s="90">
        <f t="shared" si="17"/>
        <v>2450</v>
      </c>
      <c r="G301" s="42" t="s">
        <v>3</v>
      </c>
      <c r="H301" s="39">
        <v>4</v>
      </c>
      <c r="I301" s="40" t="s">
        <v>40</v>
      </c>
      <c r="J301" s="149">
        <v>90</v>
      </c>
      <c r="K301" s="66">
        <v>360</v>
      </c>
      <c r="L301" s="66">
        <v>2450</v>
      </c>
      <c r="M301" s="150">
        <v>28.394646297072107</v>
      </c>
      <c r="N301" s="78">
        <v>1612.4219999999998</v>
      </c>
      <c r="O301" s="110">
        <v>44977.171601476919</v>
      </c>
      <c r="P301" s="111">
        <v>55148.092738995387</v>
      </c>
      <c r="Q301" s="110">
        <v>36380.680180681353</v>
      </c>
      <c r="R301" s="258">
        <v>81357.851782158279</v>
      </c>
      <c r="S301" s="259">
        <v>91528.772919676732</v>
      </c>
      <c r="U301" s="7" t="s">
        <v>2364</v>
      </c>
    </row>
    <row r="302" spans="1:21" ht="16.5" thickBot="1">
      <c r="A302" s="41" t="s">
        <v>31</v>
      </c>
      <c r="B302" s="42">
        <f t="shared" si="15"/>
        <v>90</v>
      </c>
      <c r="C302" s="42" t="s">
        <v>3</v>
      </c>
      <c r="D302" s="42">
        <f t="shared" si="16"/>
        <v>360</v>
      </c>
      <c r="E302" s="42" t="s">
        <v>3</v>
      </c>
      <c r="F302" s="90">
        <f t="shared" si="17"/>
        <v>2500</v>
      </c>
      <c r="G302" s="42" t="s">
        <v>3</v>
      </c>
      <c r="H302" s="39">
        <v>4</v>
      </c>
      <c r="I302" s="40" t="s">
        <v>40</v>
      </c>
      <c r="J302" s="149">
        <v>90</v>
      </c>
      <c r="K302" s="66">
        <v>360</v>
      </c>
      <c r="L302" s="66">
        <v>2500</v>
      </c>
      <c r="M302" s="150">
        <v>28.933829578674214</v>
      </c>
      <c r="N302" s="78">
        <v>1650.8129999999999</v>
      </c>
      <c r="O302" s="110">
        <v>45727.846251301817</v>
      </c>
      <c r="P302" s="111">
        <v>56091.624185500536</v>
      </c>
      <c r="Q302" s="110">
        <v>36984.101064919538</v>
      </c>
      <c r="R302" s="258">
        <v>82711.947316221354</v>
      </c>
      <c r="S302" s="259">
        <v>93075.725250420073</v>
      </c>
      <c r="U302" s="7" t="s">
        <v>2365</v>
      </c>
    </row>
    <row r="303" spans="1:21" ht="16.5" thickBot="1">
      <c r="A303" s="41" t="s">
        <v>31</v>
      </c>
      <c r="B303" s="42">
        <f t="shared" si="15"/>
        <v>90</v>
      </c>
      <c r="C303" s="42" t="s">
        <v>3</v>
      </c>
      <c r="D303" s="42">
        <f t="shared" si="16"/>
        <v>360</v>
      </c>
      <c r="E303" s="42" t="s">
        <v>3</v>
      </c>
      <c r="F303" s="90">
        <f t="shared" si="17"/>
        <v>2550</v>
      </c>
      <c r="G303" s="42" t="s">
        <v>3</v>
      </c>
      <c r="H303" s="39">
        <v>4</v>
      </c>
      <c r="I303" s="40" t="s">
        <v>40</v>
      </c>
      <c r="J303" s="149">
        <v>90</v>
      </c>
      <c r="K303" s="66">
        <v>360</v>
      </c>
      <c r="L303" s="66">
        <v>2550</v>
      </c>
      <c r="M303" s="150">
        <v>29.490052860276315</v>
      </c>
      <c r="N303" s="78">
        <v>1689.204</v>
      </c>
      <c r="O303" s="110">
        <v>46478.520901126722</v>
      </c>
      <c r="P303" s="111">
        <v>57035.155632005699</v>
      </c>
      <c r="Q303" s="110">
        <v>37838.856239970264</v>
      </c>
      <c r="R303" s="258">
        <v>84317.377141096978</v>
      </c>
      <c r="S303" s="259">
        <v>94874.011871975963</v>
      </c>
      <c r="U303" s="7" t="s">
        <v>2366</v>
      </c>
    </row>
    <row r="304" spans="1:21" ht="16.5" thickBot="1">
      <c r="A304" s="38" t="s">
        <v>31</v>
      </c>
      <c r="B304" s="39">
        <f t="shared" si="15"/>
        <v>90</v>
      </c>
      <c r="C304" s="39" t="s">
        <v>3</v>
      </c>
      <c r="D304" s="39">
        <f t="shared" si="16"/>
        <v>360</v>
      </c>
      <c r="E304" s="39" t="s">
        <v>3</v>
      </c>
      <c r="F304" s="90">
        <f t="shared" si="17"/>
        <v>2600</v>
      </c>
      <c r="G304" s="39" t="s">
        <v>3</v>
      </c>
      <c r="H304" s="39">
        <v>4</v>
      </c>
      <c r="I304" s="40" t="s">
        <v>40</v>
      </c>
      <c r="J304" s="149">
        <v>90</v>
      </c>
      <c r="K304" s="66">
        <v>360</v>
      </c>
      <c r="L304" s="66">
        <v>2600</v>
      </c>
      <c r="M304" s="150">
        <v>30.029236141878421</v>
      </c>
      <c r="N304" s="78">
        <v>1727.5949999999998</v>
      </c>
      <c r="O304" s="110">
        <v>47229.195703980389</v>
      </c>
      <c r="P304" s="111">
        <v>57978.687231539625</v>
      </c>
      <c r="Q304" s="110">
        <v>38442.277124208456</v>
      </c>
      <c r="R304" s="258">
        <v>85671.472828188853</v>
      </c>
      <c r="S304" s="259">
        <v>96420.964355748089</v>
      </c>
      <c r="U304" s="7" t="s">
        <v>2367</v>
      </c>
    </row>
    <row r="305" spans="1:21" ht="16.5" thickBot="1">
      <c r="A305" s="41" t="s">
        <v>31</v>
      </c>
      <c r="B305" s="42">
        <f t="shared" si="15"/>
        <v>90</v>
      </c>
      <c r="C305" s="42" t="s">
        <v>3</v>
      </c>
      <c r="D305" s="42">
        <f t="shared" si="16"/>
        <v>360</v>
      </c>
      <c r="E305" s="42" t="s">
        <v>3</v>
      </c>
      <c r="F305" s="90">
        <f t="shared" si="17"/>
        <v>2650</v>
      </c>
      <c r="G305" s="42" t="s">
        <v>3</v>
      </c>
      <c r="H305" s="39">
        <v>4</v>
      </c>
      <c r="I305" s="40" t="s">
        <v>40</v>
      </c>
      <c r="J305" s="149">
        <v>90</v>
      </c>
      <c r="K305" s="66">
        <v>360</v>
      </c>
      <c r="L305" s="66">
        <v>2650</v>
      </c>
      <c r="M305" s="150">
        <v>30.585459423480529</v>
      </c>
      <c r="N305" s="78">
        <v>1765.9859999999999</v>
      </c>
      <c r="O305" s="110">
        <v>47979.870353805287</v>
      </c>
      <c r="P305" s="111">
        <v>58922.218678044781</v>
      </c>
      <c r="Q305" s="110">
        <v>39297.032146230413</v>
      </c>
      <c r="R305" s="258">
        <v>87276.902500035707</v>
      </c>
      <c r="S305" s="259">
        <v>98219.250824275194</v>
      </c>
      <c r="U305" s="7" t="s">
        <v>2368</v>
      </c>
    </row>
    <row r="306" spans="1:21" ht="16.5" thickBot="1">
      <c r="A306" s="41" t="s">
        <v>31</v>
      </c>
      <c r="B306" s="42">
        <f t="shared" si="15"/>
        <v>90</v>
      </c>
      <c r="C306" s="42" t="s">
        <v>3</v>
      </c>
      <c r="D306" s="42">
        <f t="shared" si="16"/>
        <v>360</v>
      </c>
      <c r="E306" s="42" t="s">
        <v>3</v>
      </c>
      <c r="F306" s="90">
        <f t="shared" si="17"/>
        <v>2700</v>
      </c>
      <c r="G306" s="42" t="s">
        <v>3</v>
      </c>
      <c r="H306" s="39">
        <v>4</v>
      </c>
      <c r="I306" s="40" t="s">
        <v>40</v>
      </c>
      <c r="J306" s="149">
        <v>90</v>
      </c>
      <c r="K306" s="66">
        <v>360</v>
      </c>
      <c r="L306" s="66">
        <v>2700</v>
      </c>
      <c r="M306" s="150">
        <v>31.203142705082641</v>
      </c>
      <c r="N306" s="78">
        <v>1804.377</v>
      </c>
      <c r="O306" s="110">
        <v>48814.643338763519</v>
      </c>
      <c r="P306" s="111">
        <v>59950.36187119026</v>
      </c>
      <c r="Q306" s="110">
        <v>39900.453030468605</v>
      </c>
      <c r="R306" s="258">
        <v>88715.096369232124</v>
      </c>
      <c r="S306" s="259">
        <v>99850.814901658858</v>
      </c>
      <c r="U306" s="7" t="s">
        <v>2369</v>
      </c>
    </row>
    <row r="307" spans="1:21" ht="16.5" thickBot="1">
      <c r="A307" s="41" t="s">
        <v>31</v>
      </c>
      <c r="B307" s="42">
        <f t="shared" si="15"/>
        <v>90</v>
      </c>
      <c r="C307" s="42" t="s">
        <v>3</v>
      </c>
      <c r="D307" s="42">
        <f t="shared" si="16"/>
        <v>360</v>
      </c>
      <c r="E307" s="42" t="s">
        <v>3</v>
      </c>
      <c r="F307" s="90">
        <f t="shared" si="17"/>
        <v>2750</v>
      </c>
      <c r="G307" s="42" t="s">
        <v>3</v>
      </c>
      <c r="H307" s="39">
        <v>4</v>
      </c>
      <c r="I307" s="40" t="s">
        <v>40</v>
      </c>
      <c r="J307" s="149">
        <v>90</v>
      </c>
      <c r="K307" s="66">
        <v>360</v>
      </c>
      <c r="L307" s="66">
        <v>2750</v>
      </c>
      <c r="M307" s="150">
        <v>31.742325986684737</v>
      </c>
      <c r="N307" s="78">
        <v>1842.768</v>
      </c>
      <c r="O307" s="110">
        <v>49565.317988588416</v>
      </c>
      <c r="P307" s="111">
        <v>60893.893317695423</v>
      </c>
      <c r="Q307" s="110">
        <v>40503.87391470679</v>
      </c>
      <c r="R307" s="258">
        <v>90069.191903295199</v>
      </c>
      <c r="S307" s="259">
        <v>101397.76723240221</v>
      </c>
      <c r="U307" s="7" t="s">
        <v>2370</v>
      </c>
    </row>
    <row r="308" spans="1:21" ht="16.5" thickBot="1">
      <c r="A308" s="41" t="s">
        <v>31</v>
      </c>
      <c r="B308" s="42">
        <f t="shared" si="15"/>
        <v>90</v>
      </c>
      <c r="C308" s="42" t="s">
        <v>3</v>
      </c>
      <c r="D308" s="42">
        <f t="shared" si="16"/>
        <v>360</v>
      </c>
      <c r="E308" s="42" t="s">
        <v>3</v>
      </c>
      <c r="F308" s="90">
        <f t="shared" si="17"/>
        <v>2800</v>
      </c>
      <c r="G308" s="42" t="s">
        <v>3</v>
      </c>
      <c r="H308" s="39">
        <v>4</v>
      </c>
      <c r="I308" s="40" t="s">
        <v>40</v>
      </c>
      <c r="J308" s="149">
        <v>90</v>
      </c>
      <c r="K308" s="66">
        <v>360</v>
      </c>
      <c r="L308" s="66">
        <v>2800</v>
      </c>
      <c r="M308" s="150">
        <v>32.298549268286848</v>
      </c>
      <c r="N308" s="78">
        <v>1881.1589999999999</v>
      </c>
      <c r="O308" s="110">
        <v>50315.992638413329</v>
      </c>
      <c r="P308" s="111">
        <v>61837.424917229349</v>
      </c>
      <c r="Q308" s="110">
        <v>41358.628936728746</v>
      </c>
      <c r="R308" s="258">
        <v>91674.621575142082</v>
      </c>
      <c r="S308" s="259">
        <v>103196.05385395809</v>
      </c>
      <c r="U308" s="7" t="s">
        <v>2371</v>
      </c>
    </row>
    <row r="309" spans="1:21" ht="16.5" thickBot="1">
      <c r="A309" s="41" t="s">
        <v>31</v>
      </c>
      <c r="B309" s="42">
        <f t="shared" si="15"/>
        <v>90</v>
      </c>
      <c r="C309" s="42" t="s">
        <v>3</v>
      </c>
      <c r="D309" s="42">
        <f t="shared" si="16"/>
        <v>360</v>
      </c>
      <c r="E309" s="42" t="s">
        <v>3</v>
      </c>
      <c r="F309" s="90">
        <f t="shared" si="17"/>
        <v>2850</v>
      </c>
      <c r="G309" s="42" t="s">
        <v>3</v>
      </c>
      <c r="H309" s="39">
        <v>4</v>
      </c>
      <c r="I309" s="40" t="s">
        <v>40</v>
      </c>
      <c r="J309" s="149">
        <v>90</v>
      </c>
      <c r="K309" s="66">
        <v>360</v>
      </c>
      <c r="L309" s="66">
        <v>2850</v>
      </c>
      <c r="M309" s="150">
        <v>32.837732549888948</v>
      </c>
      <c r="N309" s="78">
        <v>1919.55</v>
      </c>
      <c r="O309" s="110">
        <v>51066.667441266982</v>
      </c>
      <c r="P309" s="111">
        <v>62780.956363734505</v>
      </c>
      <c r="Q309" s="110">
        <v>41962.049820966939</v>
      </c>
      <c r="R309" s="258">
        <v>93028.717262233928</v>
      </c>
      <c r="S309" s="259">
        <v>104743.00618470144</v>
      </c>
      <c r="U309" s="7" t="s">
        <v>2372</v>
      </c>
    </row>
    <row r="310" spans="1:21" ht="16.5" thickBot="1">
      <c r="A310" s="41" t="s">
        <v>31</v>
      </c>
      <c r="B310" s="42">
        <f t="shared" si="15"/>
        <v>90</v>
      </c>
      <c r="C310" s="42" t="s">
        <v>3</v>
      </c>
      <c r="D310" s="42">
        <f t="shared" si="16"/>
        <v>360</v>
      </c>
      <c r="E310" s="42" t="s">
        <v>3</v>
      </c>
      <c r="F310" s="90">
        <f t="shared" si="17"/>
        <v>2900</v>
      </c>
      <c r="G310" s="42" t="s">
        <v>3</v>
      </c>
      <c r="H310" s="39">
        <v>4</v>
      </c>
      <c r="I310" s="40" t="s">
        <v>40</v>
      </c>
      <c r="J310" s="149">
        <v>90</v>
      </c>
      <c r="K310" s="66">
        <v>360</v>
      </c>
      <c r="L310" s="66">
        <v>2900</v>
      </c>
      <c r="M310" s="150">
        <v>33.393955831491056</v>
      </c>
      <c r="N310" s="78">
        <v>1957.941</v>
      </c>
      <c r="O310" s="110">
        <v>51817.342091091887</v>
      </c>
      <c r="P310" s="111">
        <v>63724.487810239669</v>
      </c>
      <c r="Q310" s="110">
        <v>42816.804842988895</v>
      </c>
      <c r="R310" s="258">
        <v>94634.146934080782</v>
      </c>
      <c r="S310" s="259">
        <v>106541.29265322856</v>
      </c>
      <c r="U310" s="7" t="s">
        <v>2373</v>
      </c>
    </row>
    <row r="311" spans="1:21" ht="16.5" thickBot="1">
      <c r="A311" s="41" t="s">
        <v>31</v>
      </c>
      <c r="B311" s="42">
        <f t="shared" si="15"/>
        <v>90</v>
      </c>
      <c r="C311" s="42" t="s">
        <v>3</v>
      </c>
      <c r="D311" s="42">
        <f t="shared" si="16"/>
        <v>360</v>
      </c>
      <c r="E311" s="42" t="s">
        <v>3</v>
      </c>
      <c r="F311" s="90">
        <f t="shared" si="17"/>
        <v>2950</v>
      </c>
      <c r="G311" s="42" t="s">
        <v>3</v>
      </c>
      <c r="H311" s="39">
        <v>4</v>
      </c>
      <c r="I311" s="40" t="s">
        <v>40</v>
      </c>
      <c r="J311" s="149">
        <v>90</v>
      </c>
      <c r="K311" s="66">
        <v>360</v>
      </c>
      <c r="L311" s="66">
        <v>2950</v>
      </c>
      <c r="M311" s="150">
        <v>33.933139113093162</v>
      </c>
      <c r="N311" s="78">
        <v>1996.3319999999999</v>
      </c>
      <c r="O311" s="110">
        <v>52568.016740916792</v>
      </c>
      <c r="P311" s="111">
        <v>64668.019409773595</v>
      </c>
      <c r="Q311" s="110">
        <v>43420.22572722708</v>
      </c>
      <c r="R311" s="258">
        <v>95988.242468143872</v>
      </c>
      <c r="S311" s="259">
        <v>108088.24513700067</v>
      </c>
      <c r="U311" s="7" t="s">
        <v>2374</v>
      </c>
    </row>
    <row r="312" spans="1:21" ht="16.5" thickBot="1">
      <c r="A312" s="43" t="s">
        <v>31</v>
      </c>
      <c r="B312" s="44">
        <f t="shared" si="15"/>
        <v>90</v>
      </c>
      <c r="C312" s="44" t="s">
        <v>3</v>
      </c>
      <c r="D312" s="44">
        <f t="shared" si="16"/>
        <v>360</v>
      </c>
      <c r="E312" s="44" t="s">
        <v>3</v>
      </c>
      <c r="F312" s="91">
        <f t="shared" si="17"/>
        <v>3000</v>
      </c>
      <c r="G312" s="44" t="s">
        <v>3</v>
      </c>
      <c r="H312" s="46">
        <v>4</v>
      </c>
      <c r="I312" s="45" t="s">
        <v>40</v>
      </c>
      <c r="J312" s="151">
        <v>90</v>
      </c>
      <c r="K312" s="126">
        <v>360</v>
      </c>
      <c r="L312" s="126">
        <v>3000</v>
      </c>
      <c r="M312" s="152">
        <v>34.489362394695263</v>
      </c>
      <c r="N312" s="127">
        <v>2034.723</v>
      </c>
      <c r="O312" s="136">
        <v>54599.613007156193</v>
      </c>
      <c r="P312" s="135">
        <v>65611.550856278744</v>
      </c>
      <c r="Q312" s="136">
        <v>44274.980749249036</v>
      </c>
      <c r="R312" s="260">
        <v>98874.593756405229</v>
      </c>
      <c r="S312" s="261">
        <v>109886.53160552778</v>
      </c>
      <c r="U312" s="7" t="s">
        <v>2375</v>
      </c>
    </row>
    <row r="313" spans="1:21" ht="22.5" customHeight="1" thickBot="1">
      <c r="A313" s="2968" t="s">
        <v>60</v>
      </c>
      <c r="B313" s="2969"/>
      <c r="C313" s="2969"/>
      <c r="D313" s="2969"/>
      <c r="E313" s="2969"/>
      <c r="F313" s="2969"/>
      <c r="G313" s="2969"/>
      <c r="H313" s="2969"/>
      <c r="I313" s="2969"/>
      <c r="J313" s="2969"/>
      <c r="K313" s="2969"/>
      <c r="L313" s="2969"/>
      <c r="M313" s="2969"/>
      <c r="N313" s="2969"/>
      <c r="O313" s="2969"/>
      <c r="P313" s="2969"/>
      <c r="Q313" s="2969"/>
      <c r="R313" s="2969"/>
      <c r="S313" s="2970"/>
      <c r="U313" s="7"/>
    </row>
    <row r="314" spans="1:21" ht="16.5" thickBot="1">
      <c r="A314" s="2974" t="s">
        <v>113</v>
      </c>
      <c r="B314" s="2975"/>
      <c r="C314" s="2975"/>
      <c r="D314" s="2975"/>
      <c r="E314" s="2975"/>
      <c r="F314" s="2975"/>
      <c r="G314" s="2975"/>
      <c r="H314" s="2975"/>
      <c r="I314" s="2975"/>
      <c r="J314" s="2975"/>
      <c r="K314" s="2975"/>
      <c r="L314" s="2975"/>
      <c r="M314" s="2975"/>
      <c r="N314" s="2975"/>
      <c r="O314" s="2975"/>
      <c r="P314" s="2975"/>
      <c r="Q314" s="2975"/>
      <c r="R314" s="2975"/>
      <c r="S314" s="2976"/>
      <c r="U314" s="7"/>
    </row>
    <row r="315" spans="1:21" ht="16.5" thickBot="1">
      <c r="A315" s="38" t="s">
        <v>31</v>
      </c>
      <c r="B315" s="39">
        <f>J315</f>
        <v>90</v>
      </c>
      <c r="C315" s="39" t="s">
        <v>3</v>
      </c>
      <c r="D315" s="39">
        <f>K315</f>
        <v>400</v>
      </c>
      <c r="E315" s="39" t="s">
        <v>3</v>
      </c>
      <c r="F315" s="90">
        <f>L315</f>
        <v>600</v>
      </c>
      <c r="G315" s="39" t="s">
        <v>3</v>
      </c>
      <c r="H315" s="39">
        <v>4</v>
      </c>
      <c r="I315" s="40" t="s">
        <v>40</v>
      </c>
      <c r="J315" s="146">
        <v>90</v>
      </c>
      <c r="K315" s="122">
        <v>400</v>
      </c>
      <c r="L315" s="122">
        <v>600</v>
      </c>
      <c r="M315" s="147">
        <v>8.1017087919836843</v>
      </c>
      <c r="N315" s="123">
        <v>203.24963420999998</v>
      </c>
      <c r="O315" s="139">
        <v>15761.94872922861</v>
      </c>
      <c r="P315" s="148">
        <v>19009.934840715603</v>
      </c>
      <c r="Q315" s="139">
        <v>10760.15380676932</v>
      </c>
      <c r="R315" s="256">
        <v>26522.102535997932</v>
      </c>
      <c r="S315" s="257">
        <v>29770.088647484925</v>
      </c>
      <c r="U315" s="7" t="s">
        <v>2376</v>
      </c>
    </row>
    <row r="316" spans="1:21" ht="16.5" thickBot="1">
      <c r="A316" s="41" t="s">
        <v>31</v>
      </c>
      <c r="B316" s="42">
        <f t="shared" ref="B316:B363" si="18">J316</f>
        <v>90</v>
      </c>
      <c r="C316" s="42" t="s">
        <v>3</v>
      </c>
      <c r="D316" s="42">
        <f t="shared" ref="D316:D363" si="19">K316</f>
        <v>400</v>
      </c>
      <c r="E316" s="42" t="s">
        <v>3</v>
      </c>
      <c r="F316" s="90">
        <f t="shared" ref="F316:F363" si="20">L316</f>
        <v>650</v>
      </c>
      <c r="G316" s="42" t="s">
        <v>3</v>
      </c>
      <c r="H316" s="39">
        <v>4</v>
      </c>
      <c r="I316" s="40" t="s">
        <v>40</v>
      </c>
      <c r="J316" s="149">
        <v>90</v>
      </c>
      <c r="K316" s="66">
        <v>400</v>
      </c>
      <c r="L316" s="66">
        <v>650</v>
      </c>
      <c r="M316" s="150">
        <v>8.6727457814805273</v>
      </c>
      <c r="N316" s="78">
        <v>243.89956105199997</v>
      </c>
      <c r="O316" s="110">
        <v>16533.056544916828</v>
      </c>
      <c r="P316" s="111">
        <v>19989.25374726166</v>
      </c>
      <c r="Q316" s="110">
        <v>11416.760909528057</v>
      </c>
      <c r="R316" s="258">
        <v>27949.817454444885</v>
      </c>
      <c r="S316" s="259">
        <v>31406.014656789717</v>
      </c>
      <c r="U316" s="7" t="s">
        <v>2377</v>
      </c>
    </row>
    <row r="317" spans="1:21" ht="16.5" thickBot="1">
      <c r="A317" s="41" t="s">
        <v>31</v>
      </c>
      <c r="B317" s="42">
        <f t="shared" si="18"/>
        <v>90</v>
      </c>
      <c r="C317" s="42" t="s">
        <v>3</v>
      </c>
      <c r="D317" s="42">
        <f t="shared" si="19"/>
        <v>400</v>
      </c>
      <c r="E317" s="42" t="s">
        <v>3</v>
      </c>
      <c r="F317" s="90">
        <f t="shared" si="20"/>
        <v>700</v>
      </c>
      <c r="G317" s="42" t="s">
        <v>3</v>
      </c>
      <c r="H317" s="39">
        <v>4</v>
      </c>
      <c r="I317" s="40" t="s">
        <v>40</v>
      </c>
      <c r="J317" s="149">
        <v>90</v>
      </c>
      <c r="K317" s="66">
        <v>400</v>
      </c>
      <c r="L317" s="66">
        <v>700</v>
      </c>
      <c r="M317" s="150">
        <v>9.2608227709773683</v>
      </c>
      <c r="N317" s="78">
        <v>284.54948789399998</v>
      </c>
      <c r="O317" s="110">
        <v>17304.164360605046</v>
      </c>
      <c r="P317" s="111">
        <v>20968.572806836481</v>
      </c>
      <c r="Q317" s="110">
        <v>12324.7019970418</v>
      </c>
      <c r="R317" s="258">
        <v>29628.866357646846</v>
      </c>
      <c r="S317" s="259">
        <v>33293.274803878281</v>
      </c>
      <c r="U317" s="7" t="s">
        <v>2378</v>
      </c>
    </row>
    <row r="318" spans="1:21" ht="16.5" thickBot="1">
      <c r="A318" s="41" t="s">
        <v>31</v>
      </c>
      <c r="B318" s="42">
        <f t="shared" si="18"/>
        <v>90</v>
      </c>
      <c r="C318" s="42" t="s">
        <v>3</v>
      </c>
      <c r="D318" s="42">
        <f t="shared" si="19"/>
        <v>400</v>
      </c>
      <c r="E318" s="42" t="s">
        <v>3</v>
      </c>
      <c r="F318" s="90">
        <f t="shared" si="20"/>
        <v>750</v>
      </c>
      <c r="G318" s="42" t="s">
        <v>3</v>
      </c>
      <c r="H318" s="39">
        <v>4</v>
      </c>
      <c r="I318" s="40" t="s">
        <v>40</v>
      </c>
      <c r="J318" s="149">
        <v>90</v>
      </c>
      <c r="K318" s="66">
        <v>400</v>
      </c>
      <c r="L318" s="66">
        <v>750</v>
      </c>
      <c r="M318" s="150">
        <v>9.8318597604742095</v>
      </c>
      <c r="N318" s="78">
        <v>325.19941473600005</v>
      </c>
      <c r="O318" s="110">
        <v>18075.27217629326</v>
      </c>
      <c r="P318" s="111">
        <v>21947.891866411304</v>
      </c>
      <c r="Q318" s="110">
        <v>12981.309099800537</v>
      </c>
      <c r="R318" s="258">
        <v>31056.581276093799</v>
      </c>
      <c r="S318" s="259">
        <v>34929.200966211843</v>
      </c>
      <c r="U318" s="7" t="s">
        <v>2379</v>
      </c>
    </row>
    <row r="319" spans="1:21" ht="16.5" thickBot="1">
      <c r="A319" s="41" t="s">
        <v>31</v>
      </c>
      <c r="B319" s="42">
        <f t="shared" si="18"/>
        <v>90</v>
      </c>
      <c r="C319" s="42" t="s">
        <v>3</v>
      </c>
      <c r="D319" s="42">
        <f t="shared" si="19"/>
        <v>400</v>
      </c>
      <c r="E319" s="42" t="s">
        <v>3</v>
      </c>
      <c r="F319" s="90">
        <f t="shared" si="20"/>
        <v>800</v>
      </c>
      <c r="G319" s="42" t="s">
        <v>3</v>
      </c>
      <c r="H319" s="39">
        <v>4</v>
      </c>
      <c r="I319" s="40" t="s">
        <v>40</v>
      </c>
      <c r="J319" s="149">
        <v>90</v>
      </c>
      <c r="K319" s="66">
        <v>400</v>
      </c>
      <c r="L319" s="66">
        <v>800</v>
      </c>
      <c r="M319" s="150">
        <v>10.402896749971053</v>
      </c>
      <c r="N319" s="78">
        <v>365.84934157799995</v>
      </c>
      <c r="O319" s="110">
        <v>18846.379991981477</v>
      </c>
      <c r="P319" s="111">
        <v>22927.210925986124</v>
      </c>
      <c r="Q319" s="110">
        <v>13637.916049530511</v>
      </c>
      <c r="R319" s="258">
        <v>32484.296041511989</v>
      </c>
      <c r="S319" s="259">
        <v>36565.126975516636</v>
      </c>
      <c r="U319" s="7" t="s">
        <v>2380</v>
      </c>
    </row>
    <row r="320" spans="1:21" ht="16.5" thickBot="1">
      <c r="A320" s="41" t="s">
        <v>31</v>
      </c>
      <c r="B320" s="42">
        <f t="shared" si="18"/>
        <v>90</v>
      </c>
      <c r="C320" s="42" t="s">
        <v>3</v>
      </c>
      <c r="D320" s="42">
        <f t="shared" si="19"/>
        <v>400</v>
      </c>
      <c r="E320" s="42" t="s">
        <v>3</v>
      </c>
      <c r="F320" s="90">
        <f t="shared" si="20"/>
        <v>850</v>
      </c>
      <c r="G320" s="42" t="s">
        <v>3</v>
      </c>
      <c r="H320" s="39">
        <v>4</v>
      </c>
      <c r="I320" s="40" t="s">
        <v>40</v>
      </c>
      <c r="J320" s="149">
        <v>90</v>
      </c>
      <c r="K320" s="66">
        <v>400</v>
      </c>
      <c r="L320" s="66">
        <v>850</v>
      </c>
      <c r="M320" s="150">
        <v>10.990973739467893</v>
      </c>
      <c r="N320" s="78">
        <v>406.49926841999996</v>
      </c>
      <c r="O320" s="110">
        <v>19617.487807669695</v>
      </c>
      <c r="P320" s="111">
        <v>23906.529832532182</v>
      </c>
      <c r="Q320" s="110">
        <v>14545.85729007302</v>
      </c>
      <c r="R320" s="258">
        <v>34163.345097742713</v>
      </c>
      <c r="S320" s="259">
        <v>38452.3871226052</v>
      </c>
      <c r="U320" s="7" t="s">
        <v>2381</v>
      </c>
    </row>
    <row r="321" spans="1:21" ht="16.5" thickBot="1">
      <c r="A321" s="41" t="s">
        <v>31</v>
      </c>
      <c r="B321" s="42">
        <f t="shared" si="18"/>
        <v>90</v>
      </c>
      <c r="C321" s="42" t="s">
        <v>3</v>
      </c>
      <c r="D321" s="42">
        <f t="shared" si="19"/>
        <v>400</v>
      </c>
      <c r="E321" s="42" t="s">
        <v>3</v>
      </c>
      <c r="F321" s="90">
        <f t="shared" si="20"/>
        <v>900</v>
      </c>
      <c r="G321" s="42" t="s">
        <v>3</v>
      </c>
      <c r="H321" s="39">
        <v>4</v>
      </c>
      <c r="I321" s="40" t="s">
        <v>40</v>
      </c>
      <c r="J321" s="149">
        <v>90</v>
      </c>
      <c r="K321" s="66">
        <v>400</v>
      </c>
      <c r="L321" s="66">
        <v>900</v>
      </c>
      <c r="M321" s="150">
        <v>11.562010728964736</v>
      </c>
      <c r="N321" s="78">
        <v>447.14919526199998</v>
      </c>
      <c r="O321" s="110">
        <v>20388.595623357913</v>
      </c>
      <c r="P321" s="111">
        <v>24885.848892107002</v>
      </c>
      <c r="Q321" s="110">
        <v>15202.464239802994</v>
      </c>
      <c r="R321" s="258">
        <v>35591.059863160903</v>
      </c>
      <c r="S321" s="259">
        <v>40088.313131909992</v>
      </c>
      <c r="U321" s="7" t="s">
        <v>2382</v>
      </c>
    </row>
    <row r="322" spans="1:21" ht="16.5" thickBot="1">
      <c r="A322" s="41" t="s">
        <v>31</v>
      </c>
      <c r="B322" s="42">
        <f t="shared" si="18"/>
        <v>90</v>
      </c>
      <c r="C322" s="42" t="s">
        <v>3</v>
      </c>
      <c r="D322" s="42">
        <f t="shared" si="19"/>
        <v>400</v>
      </c>
      <c r="E322" s="42" t="s">
        <v>3</v>
      </c>
      <c r="F322" s="90">
        <f t="shared" si="20"/>
        <v>950</v>
      </c>
      <c r="G322" s="42" t="s">
        <v>3</v>
      </c>
      <c r="H322" s="39">
        <v>4</v>
      </c>
      <c r="I322" s="40" t="s">
        <v>40</v>
      </c>
      <c r="J322" s="149">
        <v>90</v>
      </c>
      <c r="K322" s="66">
        <v>400</v>
      </c>
      <c r="L322" s="66">
        <v>950</v>
      </c>
      <c r="M322" s="150">
        <v>12.150087718461579</v>
      </c>
      <c r="N322" s="78">
        <v>487.79912210399993</v>
      </c>
      <c r="O322" s="110">
        <v>21159.70343904613</v>
      </c>
      <c r="P322" s="111">
        <v>25865.167951681829</v>
      </c>
      <c r="Q322" s="110">
        <v>16110.4054803455</v>
      </c>
      <c r="R322" s="258">
        <v>37270.108919391627</v>
      </c>
      <c r="S322" s="259">
        <v>41975.573432027333</v>
      </c>
      <c r="U322" s="7" t="s">
        <v>2383</v>
      </c>
    </row>
    <row r="323" spans="1:21" ht="16.5" thickBot="1">
      <c r="A323" s="41" t="s">
        <v>31</v>
      </c>
      <c r="B323" s="42">
        <f t="shared" si="18"/>
        <v>90</v>
      </c>
      <c r="C323" s="42" t="s">
        <v>3</v>
      </c>
      <c r="D323" s="42">
        <f t="shared" si="19"/>
        <v>400</v>
      </c>
      <c r="E323" s="42" t="s">
        <v>3</v>
      </c>
      <c r="F323" s="90">
        <f t="shared" si="20"/>
        <v>1000</v>
      </c>
      <c r="G323" s="42" t="s">
        <v>3</v>
      </c>
      <c r="H323" s="39">
        <v>4</v>
      </c>
      <c r="I323" s="40" t="s">
        <v>40</v>
      </c>
      <c r="J323" s="149">
        <v>90</v>
      </c>
      <c r="K323" s="66">
        <v>400</v>
      </c>
      <c r="L323" s="66">
        <v>1000</v>
      </c>
      <c r="M323" s="150">
        <v>12.72112470795842</v>
      </c>
      <c r="N323" s="78">
        <v>528.44904894600006</v>
      </c>
      <c r="O323" s="110">
        <v>21930.811254734348</v>
      </c>
      <c r="P323" s="111">
        <v>26844.487011256646</v>
      </c>
      <c r="Q323" s="110">
        <v>16767.012583104239</v>
      </c>
      <c r="R323" s="258">
        <v>38697.823837838587</v>
      </c>
      <c r="S323" s="259">
        <v>43611.499594360881</v>
      </c>
      <c r="U323" s="7" t="s">
        <v>2384</v>
      </c>
    </row>
    <row r="324" spans="1:21" ht="16.5" thickBot="1">
      <c r="A324" s="41" t="s">
        <v>31</v>
      </c>
      <c r="B324" s="42">
        <f t="shared" si="18"/>
        <v>90</v>
      </c>
      <c r="C324" s="42" t="s">
        <v>3</v>
      </c>
      <c r="D324" s="42">
        <f t="shared" si="19"/>
        <v>400</v>
      </c>
      <c r="E324" s="42" t="s">
        <v>3</v>
      </c>
      <c r="F324" s="90">
        <f t="shared" si="20"/>
        <v>1050</v>
      </c>
      <c r="G324" s="42" t="s">
        <v>3</v>
      </c>
      <c r="H324" s="39">
        <v>4</v>
      </c>
      <c r="I324" s="40" t="s">
        <v>40</v>
      </c>
      <c r="J324" s="149">
        <v>90</v>
      </c>
      <c r="K324" s="66">
        <v>400</v>
      </c>
      <c r="L324" s="66">
        <v>1050</v>
      </c>
      <c r="M324" s="150">
        <v>13.309201697455261</v>
      </c>
      <c r="N324" s="78">
        <v>569.09897578799996</v>
      </c>
      <c r="O324" s="110">
        <v>22701.919070422566</v>
      </c>
      <c r="P324" s="111">
        <v>27823.805917802707</v>
      </c>
      <c r="Q324" s="110">
        <v>17674.953670617982</v>
      </c>
      <c r="R324" s="258">
        <v>40376.872741040548</v>
      </c>
      <c r="S324" s="259">
        <v>45498.759588420689</v>
      </c>
      <c r="U324" s="7" t="s">
        <v>2385</v>
      </c>
    </row>
    <row r="325" spans="1:21" ht="16.5" thickBot="1">
      <c r="A325" s="38" t="s">
        <v>31</v>
      </c>
      <c r="B325" s="39">
        <f t="shared" si="18"/>
        <v>90</v>
      </c>
      <c r="C325" s="39" t="s">
        <v>3</v>
      </c>
      <c r="D325" s="39">
        <f t="shared" si="19"/>
        <v>400</v>
      </c>
      <c r="E325" s="39" t="s">
        <v>3</v>
      </c>
      <c r="F325" s="90">
        <f t="shared" si="20"/>
        <v>1100</v>
      </c>
      <c r="G325" s="39" t="s">
        <v>3</v>
      </c>
      <c r="H325" s="39">
        <v>4</v>
      </c>
      <c r="I325" s="40" t="s">
        <v>40</v>
      </c>
      <c r="J325" s="149">
        <v>90</v>
      </c>
      <c r="K325" s="66">
        <v>400</v>
      </c>
      <c r="L325" s="66">
        <v>1100</v>
      </c>
      <c r="M325" s="150">
        <v>13.880238686952104</v>
      </c>
      <c r="N325" s="78">
        <v>609.74890262999998</v>
      </c>
      <c r="O325" s="110">
        <v>23473.02688611078</v>
      </c>
      <c r="P325" s="111">
        <v>28803.124977377531</v>
      </c>
      <c r="Q325" s="110">
        <v>18331.560773376717</v>
      </c>
      <c r="R325" s="258">
        <v>41804.587659487501</v>
      </c>
      <c r="S325" s="259">
        <v>47134.685750754245</v>
      </c>
      <c r="U325" s="7" t="s">
        <v>2386</v>
      </c>
    </row>
    <row r="326" spans="1:21" ht="16.5" thickBot="1">
      <c r="A326" s="41" t="s">
        <v>31</v>
      </c>
      <c r="B326" s="42">
        <f t="shared" si="18"/>
        <v>90</v>
      </c>
      <c r="C326" s="42" t="s">
        <v>3</v>
      </c>
      <c r="D326" s="42">
        <f t="shared" si="19"/>
        <v>400</v>
      </c>
      <c r="E326" s="42" t="s">
        <v>3</v>
      </c>
      <c r="F326" s="90">
        <f t="shared" si="20"/>
        <v>1150</v>
      </c>
      <c r="G326" s="42" t="s">
        <v>3</v>
      </c>
      <c r="H326" s="39">
        <v>4</v>
      </c>
      <c r="I326" s="40" t="s">
        <v>40</v>
      </c>
      <c r="J326" s="149">
        <v>90</v>
      </c>
      <c r="K326" s="66">
        <v>400</v>
      </c>
      <c r="L326" s="66">
        <v>1150</v>
      </c>
      <c r="M326" s="150">
        <v>14.451275676448949</v>
      </c>
      <c r="N326" s="78">
        <v>650.3988294720001</v>
      </c>
      <c r="O326" s="110">
        <v>24244.134701798997</v>
      </c>
      <c r="P326" s="111">
        <v>29782.444036952347</v>
      </c>
      <c r="Q326" s="110">
        <v>18988.167723106693</v>
      </c>
      <c r="R326" s="258">
        <v>43232.302424905691</v>
      </c>
      <c r="S326" s="259">
        <v>48770.611760059037</v>
      </c>
      <c r="U326" s="7" t="s">
        <v>2387</v>
      </c>
    </row>
    <row r="327" spans="1:21" ht="16.5" thickBot="1">
      <c r="A327" s="41" t="s">
        <v>31</v>
      </c>
      <c r="B327" s="42">
        <f t="shared" si="18"/>
        <v>90</v>
      </c>
      <c r="C327" s="42" t="s">
        <v>3</v>
      </c>
      <c r="D327" s="42">
        <f t="shared" si="19"/>
        <v>400</v>
      </c>
      <c r="E327" s="42" t="s">
        <v>3</v>
      </c>
      <c r="F327" s="90">
        <f t="shared" si="20"/>
        <v>1200</v>
      </c>
      <c r="G327" s="42" t="s">
        <v>3</v>
      </c>
      <c r="H327" s="39">
        <v>4</v>
      </c>
      <c r="I327" s="40" t="s">
        <v>40</v>
      </c>
      <c r="J327" s="149">
        <v>90</v>
      </c>
      <c r="K327" s="66">
        <v>400</v>
      </c>
      <c r="L327" s="66">
        <v>1200</v>
      </c>
      <c r="M327" s="150">
        <v>15.11785266594579</v>
      </c>
      <c r="N327" s="78">
        <v>691.04875631399989</v>
      </c>
      <c r="O327" s="110">
        <v>25099.340852620542</v>
      </c>
      <c r="P327" s="111">
        <v>30846.374690138731</v>
      </c>
      <c r="Q327" s="110">
        <v>19896.1089636492</v>
      </c>
      <c r="R327" s="258">
        <v>44995.449816269742</v>
      </c>
      <c r="S327" s="259">
        <v>50742.483653787931</v>
      </c>
      <c r="U327" s="7" t="s">
        <v>2388</v>
      </c>
    </row>
    <row r="328" spans="1:21" ht="16.5" thickBot="1">
      <c r="A328" s="41" t="s">
        <v>31</v>
      </c>
      <c r="B328" s="42">
        <f t="shared" si="18"/>
        <v>90</v>
      </c>
      <c r="C328" s="42" t="s">
        <v>3</v>
      </c>
      <c r="D328" s="42">
        <f t="shared" si="19"/>
        <v>400</v>
      </c>
      <c r="E328" s="42" t="s">
        <v>3</v>
      </c>
      <c r="F328" s="90">
        <f t="shared" si="20"/>
        <v>1250</v>
      </c>
      <c r="G328" s="42" t="s">
        <v>3</v>
      </c>
      <c r="H328" s="39">
        <v>4</v>
      </c>
      <c r="I328" s="40" t="s">
        <v>40</v>
      </c>
      <c r="J328" s="149">
        <v>90</v>
      </c>
      <c r="K328" s="66">
        <v>400</v>
      </c>
      <c r="L328" s="66">
        <v>1250</v>
      </c>
      <c r="M328" s="150">
        <v>15.688889655442631</v>
      </c>
      <c r="N328" s="78">
        <v>731.6986831559999</v>
      </c>
      <c r="O328" s="110">
        <v>25870.44866830876</v>
      </c>
      <c r="P328" s="111">
        <v>31825.693749713551</v>
      </c>
      <c r="Q328" s="110">
        <v>20552.715913379172</v>
      </c>
      <c r="R328" s="258">
        <v>46423.164581687932</v>
      </c>
      <c r="S328" s="259">
        <v>52378.409663092723</v>
      </c>
      <c r="U328" s="7" t="s">
        <v>2389</v>
      </c>
    </row>
    <row r="329" spans="1:21" ht="16.5" thickBot="1">
      <c r="A329" s="41" t="s">
        <v>31</v>
      </c>
      <c r="B329" s="42">
        <f t="shared" si="18"/>
        <v>90</v>
      </c>
      <c r="C329" s="42" t="s">
        <v>3</v>
      </c>
      <c r="D329" s="42">
        <f t="shared" si="19"/>
        <v>400</v>
      </c>
      <c r="E329" s="42" t="s">
        <v>3</v>
      </c>
      <c r="F329" s="90">
        <f t="shared" si="20"/>
        <v>1300</v>
      </c>
      <c r="G329" s="42" t="s">
        <v>3</v>
      </c>
      <c r="H329" s="39">
        <v>4</v>
      </c>
      <c r="I329" s="40" t="s">
        <v>40</v>
      </c>
      <c r="J329" s="149">
        <v>90</v>
      </c>
      <c r="K329" s="66">
        <v>400</v>
      </c>
      <c r="L329" s="66">
        <v>1300</v>
      </c>
      <c r="M329" s="150">
        <v>16.276966644939474</v>
      </c>
      <c r="N329" s="78">
        <v>772.34860999799992</v>
      </c>
      <c r="O329" s="110">
        <v>26641.556483996977</v>
      </c>
      <c r="P329" s="111">
        <v>32805.012809288375</v>
      </c>
      <c r="Q329" s="110">
        <v>21460.657153921682</v>
      </c>
      <c r="R329" s="258">
        <v>48102.213637918656</v>
      </c>
      <c r="S329" s="259">
        <v>54265.669963210057</v>
      </c>
      <c r="U329" s="7" t="s">
        <v>2390</v>
      </c>
    </row>
    <row r="330" spans="1:21" ht="16.5" thickBot="1">
      <c r="A330" s="41" t="s">
        <v>31</v>
      </c>
      <c r="B330" s="42">
        <f t="shared" si="18"/>
        <v>90</v>
      </c>
      <c r="C330" s="42" t="s">
        <v>3</v>
      </c>
      <c r="D330" s="42">
        <f t="shared" si="19"/>
        <v>400</v>
      </c>
      <c r="E330" s="42" t="s">
        <v>3</v>
      </c>
      <c r="F330" s="90">
        <f t="shared" si="20"/>
        <v>1350</v>
      </c>
      <c r="G330" s="42" t="s">
        <v>3</v>
      </c>
      <c r="H330" s="39">
        <v>4</v>
      </c>
      <c r="I330" s="40" t="s">
        <v>40</v>
      </c>
      <c r="J330" s="149">
        <v>90</v>
      </c>
      <c r="K330" s="66">
        <v>400</v>
      </c>
      <c r="L330" s="66">
        <v>1350</v>
      </c>
      <c r="M330" s="150">
        <v>16.848003634436317</v>
      </c>
      <c r="N330" s="78">
        <v>812.99853683999993</v>
      </c>
      <c r="O330" s="110">
        <v>27412.664299685195</v>
      </c>
      <c r="P330" s="111">
        <v>33784.331868863199</v>
      </c>
      <c r="Q330" s="110">
        <v>22117.264103651651</v>
      </c>
      <c r="R330" s="258">
        <v>49529.928403336846</v>
      </c>
      <c r="S330" s="259">
        <v>55901.59597251485</v>
      </c>
      <c r="U330" s="7" t="s">
        <v>2391</v>
      </c>
    </row>
    <row r="331" spans="1:21" ht="16.5" thickBot="1">
      <c r="A331" s="41" t="s">
        <v>31</v>
      </c>
      <c r="B331" s="42">
        <f t="shared" si="18"/>
        <v>90</v>
      </c>
      <c r="C331" s="42" t="s">
        <v>3</v>
      </c>
      <c r="D331" s="42">
        <f t="shared" si="19"/>
        <v>400</v>
      </c>
      <c r="E331" s="42" t="s">
        <v>3</v>
      </c>
      <c r="F331" s="90">
        <f t="shared" si="20"/>
        <v>1400</v>
      </c>
      <c r="G331" s="42" t="s">
        <v>3</v>
      </c>
      <c r="H331" s="39">
        <v>4</v>
      </c>
      <c r="I331" s="40" t="s">
        <v>40</v>
      </c>
      <c r="J331" s="149">
        <v>90</v>
      </c>
      <c r="K331" s="66">
        <v>400</v>
      </c>
      <c r="L331" s="66">
        <v>1400</v>
      </c>
      <c r="M331" s="150">
        <v>17.436080623933158</v>
      </c>
      <c r="N331" s="78">
        <v>853.64846368199994</v>
      </c>
      <c r="O331" s="110">
        <v>28183.772115373413</v>
      </c>
      <c r="P331" s="111">
        <v>34763.650775409253</v>
      </c>
      <c r="Q331" s="110">
        <v>23025.205344194161</v>
      </c>
      <c r="R331" s="258">
        <v>51208.97745956757</v>
      </c>
      <c r="S331" s="259">
        <v>57788.856119603413</v>
      </c>
      <c r="U331" s="7" t="s">
        <v>2392</v>
      </c>
    </row>
    <row r="332" spans="1:21" ht="16.5" thickBot="1">
      <c r="A332" s="41" t="s">
        <v>31</v>
      </c>
      <c r="B332" s="42">
        <f t="shared" si="18"/>
        <v>90</v>
      </c>
      <c r="C332" s="42" t="s">
        <v>3</v>
      </c>
      <c r="D332" s="42">
        <f t="shared" si="19"/>
        <v>400</v>
      </c>
      <c r="E332" s="42" t="s">
        <v>3</v>
      </c>
      <c r="F332" s="90">
        <f t="shared" si="20"/>
        <v>1450</v>
      </c>
      <c r="G332" s="42" t="s">
        <v>3</v>
      </c>
      <c r="H332" s="39">
        <v>4</v>
      </c>
      <c r="I332" s="40" t="s">
        <v>40</v>
      </c>
      <c r="J332" s="149">
        <v>90</v>
      </c>
      <c r="K332" s="66">
        <v>400</v>
      </c>
      <c r="L332" s="66">
        <v>1450</v>
      </c>
      <c r="M332" s="150">
        <v>18.007117613430001</v>
      </c>
      <c r="N332" s="78">
        <v>894.29839052399996</v>
      </c>
      <c r="O332" s="110">
        <v>28954.879931061627</v>
      </c>
      <c r="P332" s="111">
        <v>35742.969834984076</v>
      </c>
      <c r="Q332" s="110">
        <v>23681.812293924133</v>
      </c>
      <c r="R332" s="258">
        <v>52636.69222498576</v>
      </c>
      <c r="S332" s="259">
        <v>59424.782128908206</v>
      </c>
      <c r="U332" s="7" t="s">
        <v>2393</v>
      </c>
    </row>
    <row r="333" spans="1:21" ht="16.5" thickBot="1">
      <c r="A333" s="41" t="s">
        <v>31</v>
      </c>
      <c r="B333" s="42">
        <f t="shared" si="18"/>
        <v>90</v>
      </c>
      <c r="C333" s="42" t="s">
        <v>3</v>
      </c>
      <c r="D333" s="42">
        <f t="shared" si="19"/>
        <v>400</v>
      </c>
      <c r="E333" s="42" t="s">
        <v>3</v>
      </c>
      <c r="F333" s="90">
        <f t="shared" si="20"/>
        <v>1500</v>
      </c>
      <c r="G333" s="42" t="s">
        <v>3</v>
      </c>
      <c r="H333" s="39">
        <v>4</v>
      </c>
      <c r="I333" s="40" t="s">
        <v>40</v>
      </c>
      <c r="J333" s="149">
        <v>90</v>
      </c>
      <c r="K333" s="66">
        <v>400</v>
      </c>
      <c r="L333" s="66">
        <v>1500</v>
      </c>
      <c r="M333" s="150">
        <v>18.791761255726843</v>
      </c>
      <c r="N333" s="78">
        <v>934.94831736599997</v>
      </c>
      <c r="O333" s="110">
        <v>30609.503453975689</v>
      </c>
      <c r="P333" s="111">
        <v>37556.067192543815</v>
      </c>
      <c r="Q333" s="110">
        <v>24589.753534466639</v>
      </c>
      <c r="R333" s="258">
        <v>55199.256988442328</v>
      </c>
      <c r="S333" s="259">
        <v>62145.820727010454</v>
      </c>
      <c r="U333" s="7" t="s">
        <v>2394</v>
      </c>
    </row>
    <row r="334" spans="1:21" ht="16.5" thickBot="1">
      <c r="A334" s="41" t="s">
        <v>31</v>
      </c>
      <c r="B334" s="42">
        <f t="shared" si="18"/>
        <v>90</v>
      </c>
      <c r="C334" s="42" t="s">
        <v>3</v>
      </c>
      <c r="D334" s="42">
        <f t="shared" si="19"/>
        <v>400</v>
      </c>
      <c r="E334" s="42" t="s">
        <v>3</v>
      </c>
      <c r="F334" s="90">
        <f t="shared" si="20"/>
        <v>1550</v>
      </c>
      <c r="G334" s="42" t="s">
        <v>3</v>
      </c>
      <c r="H334" s="39">
        <v>4</v>
      </c>
      <c r="I334" s="40" t="s">
        <v>40</v>
      </c>
      <c r="J334" s="149">
        <v>90</v>
      </c>
      <c r="K334" s="66">
        <v>400</v>
      </c>
      <c r="L334" s="66">
        <v>1550</v>
      </c>
      <c r="M334" s="150">
        <v>19.362798245223683</v>
      </c>
      <c r="N334" s="78">
        <v>975.59824420799987</v>
      </c>
      <c r="O334" s="110">
        <v>31380.611269663907</v>
      </c>
      <c r="P334" s="111">
        <v>38535.386252118638</v>
      </c>
      <c r="Q334" s="110">
        <v>25246.360484196612</v>
      </c>
      <c r="R334" s="258">
        <v>56626.971753860518</v>
      </c>
      <c r="S334" s="259">
        <v>63781.746736315254</v>
      </c>
      <c r="U334" s="7" t="s">
        <v>2395</v>
      </c>
    </row>
    <row r="335" spans="1:21" ht="16.5" thickBot="1">
      <c r="A335" s="38" t="s">
        <v>31</v>
      </c>
      <c r="B335" s="39">
        <f t="shared" si="18"/>
        <v>90</v>
      </c>
      <c r="C335" s="39" t="s">
        <v>3</v>
      </c>
      <c r="D335" s="39">
        <f t="shared" si="19"/>
        <v>400</v>
      </c>
      <c r="E335" s="39" t="s">
        <v>3</v>
      </c>
      <c r="F335" s="90">
        <f t="shared" si="20"/>
        <v>1600</v>
      </c>
      <c r="G335" s="39" t="s">
        <v>3</v>
      </c>
      <c r="H335" s="39">
        <v>4</v>
      </c>
      <c r="I335" s="40" t="s">
        <v>40</v>
      </c>
      <c r="J335" s="149">
        <v>90</v>
      </c>
      <c r="K335" s="66">
        <v>400</v>
      </c>
      <c r="L335" s="66">
        <v>1600</v>
      </c>
      <c r="M335" s="150">
        <v>19.933835234720526</v>
      </c>
      <c r="N335" s="78">
        <v>1016.24817105</v>
      </c>
      <c r="O335" s="110">
        <v>32151.719085352124</v>
      </c>
      <c r="P335" s="111">
        <v>39514.705311693462</v>
      </c>
      <c r="Q335" s="110">
        <v>25902.96758695535</v>
      </c>
      <c r="R335" s="258">
        <v>58054.686672307478</v>
      </c>
      <c r="S335" s="259">
        <v>65417.672898648816</v>
      </c>
      <c r="U335" s="7" t="s">
        <v>2396</v>
      </c>
    </row>
    <row r="336" spans="1:21" ht="16.5" thickBot="1">
      <c r="A336" s="41" t="s">
        <v>31</v>
      </c>
      <c r="B336" s="42">
        <f t="shared" si="18"/>
        <v>90</v>
      </c>
      <c r="C336" s="42" t="s">
        <v>3</v>
      </c>
      <c r="D336" s="42">
        <f t="shared" si="19"/>
        <v>400</v>
      </c>
      <c r="E336" s="42" t="s">
        <v>3</v>
      </c>
      <c r="F336" s="90">
        <f t="shared" si="20"/>
        <v>1650</v>
      </c>
      <c r="G336" s="42" t="s">
        <v>3</v>
      </c>
      <c r="H336" s="39">
        <v>4</v>
      </c>
      <c r="I336" s="40" t="s">
        <v>40</v>
      </c>
      <c r="J336" s="149">
        <v>90</v>
      </c>
      <c r="K336" s="66">
        <v>400</v>
      </c>
      <c r="L336" s="66">
        <v>1650</v>
      </c>
      <c r="M336" s="150">
        <v>20.521912224217374</v>
      </c>
      <c r="N336" s="78">
        <v>1056.8980978920001</v>
      </c>
      <c r="O336" s="110">
        <v>32922.826901040338</v>
      </c>
      <c r="P336" s="111">
        <v>40494.024371268286</v>
      </c>
      <c r="Q336" s="110">
        <v>26810.908827497857</v>
      </c>
      <c r="R336" s="258">
        <v>59733.735728538195</v>
      </c>
      <c r="S336" s="259">
        <v>67304.933198766143</v>
      </c>
      <c r="U336" s="7" t="s">
        <v>2397</v>
      </c>
    </row>
    <row r="337" spans="1:21" ht="16.5" thickBot="1">
      <c r="A337" s="41" t="s">
        <v>31</v>
      </c>
      <c r="B337" s="42">
        <f t="shared" si="18"/>
        <v>90</v>
      </c>
      <c r="C337" s="42" t="s">
        <v>3</v>
      </c>
      <c r="D337" s="42">
        <f t="shared" si="19"/>
        <v>400</v>
      </c>
      <c r="E337" s="42" t="s">
        <v>3</v>
      </c>
      <c r="F337" s="90">
        <f t="shared" si="20"/>
        <v>1700</v>
      </c>
      <c r="G337" s="42" t="s">
        <v>3</v>
      </c>
      <c r="H337" s="39">
        <v>4</v>
      </c>
      <c r="I337" s="40" t="s">
        <v>40</v>
      </c>
      <c r="J337" s="149">
        <v>90</v>
      </c>
      <c r="K337" s="66">
        <v>400</v>
      </c>
      <c r="L337" s="66">
        <v>1700</v>
      </c>
      <c r="M337" s="150">
        <v>21.09294921371421</v>
      </c>
      <c r="N337" s="78">
        <v>1097.5480247339999</v>
      </c>
      <c r="O337" s="110">
        <v>33693.93471672856</v>
      </c>
      <c r="P337" s="111">
        <v>41473.34327781434</v>
      </c>
      <c r="Q337" s="110">
        <v>27467.515777227836</v>
      </c>
      <c r="R337" s="258">
        <v>61161.450493956392</v>
      </c>
      <c r="S337" s="259">
        <v>68940.85905504218</v>
      </c>
      <c r="U337" s="7" t="s">
        <v>2398</v>
      </c>
    </row>
    <row r="338" spans="1:21" ht="16.5" thickBot="1">
      <c r="A338" s="41" t="s">
        <v>31</v>
      </c>
      <c r="B338" s="42">
        <f t="shared" si="18"/>
        <v>90</v>
      </c>
      <c r="C338" s="42" t="s">
        <v>3</v>
      </c>
      <c r="D338" s="42">
        <f t="shared" si="19"/>
        <v>400</v>
      </c>
      <c r="E338" s="42" t="s">
        <v>3</v>
      </c>
      <c r="F338" s="90">
        <f t="shared" si="20"/>
        <v>1750</v>
      </c>
      <c r="G338" s="42" t="s">
        <v>3</v>
      </c>
      <c r="H338" s="39">
        <v>4</v>
      </c>
      <c r="I338" s="40" t="s">
        <v>40</v>
      </c>
      <c r="J338" s="149">
        <v>90</v>
      </c>
      <c r="K338" s="66">
        <v>400</v>
      </c>
      <c r="L338" s="66">
        <v>1750</v>
      </c>
      <c r="M338" s="150">
        <v>21.681026203211051</v>
      </c>
      <c r="N338" s="78">
        <v>1138.1979515759999</v>
      </c>
      <c r="O338" s="110">
        <v>34465.042532416774</v>
      </c>
      <c r="P338" s="111">
        <v>42452.662337389163</v>
      </c>
      <c r="Q338" s="110">
        <v>28375.457017770343</v>
      </c>
      <c r="R338" s="258">
        <v>62840.499550187116</v>
      </c>
      <c r="S338" s="259">
        <v>70828.119355159506</v>
      </c>
      <c r="U338" s="7" t="s">
        <v>2399</v>
      </c>
    </row>
    <row r="339" spans="1:21" ht="16.5" thickBot="1">
      <c r="A339" s="41" t="s">
        <v>31</v>
      </c>
      <c r="B339" s="42">
        <f t="shared" si="18"/>
        <v>90</v>
      </c>
      <c r="C339" s="42" t="s">
        <v>3</v>
      </c>
      <c r="D339" s="42">
        <f t="shared" si="19"/>
        <v>400</v>
      </c>
      <c r="E339" s="42" t="s">
        <v>3</v>
      </c>
      <c r="F339" s="90">
        <f t="shared" si="20"/>
        <v>1800</v>
      </c>
      <c r="G339" s="42" t="s">
        <v>3</v>
      </c>
      <c r="H339" s="39">
        <v>4</v>
      </c>
      <c r="I339" s="40" t="s">
        <v>40</v>
      </c>
      <c r="J339" s="149">
        <v>90</v>
      </c>
      <c r="K339" s="66">
        <v>400</v>
      </c>
      <c r="L339" s="66">
        <v>1800</v>
      </c>
      <c r="M339" s="150">
        <v>22.252063192707897</v>
      </c>
      <c r="N339" s="78">
        <v>1178.8478784179999</v>
      </c>
      <c r="O339" s="110">
        <v>35236.150348104988</v>
      </c>
      <c r="P339" s="111">
        <v>43431.981396963987</v>
      </c>
      <c r="Q339" s="110">
        <v>29032.063967500315</v>
      </c>
      <c r="R339" s="258">
        <v>64268.214315605306</v>
      </c>
      <c r="S339" s="259">
        <v>72464.045364464298</v>
      </c>
      <c r="U339" s="7" t="s">
        <v>2400</v>
      </c>
    </row>
    <row r="340" spans="1:21" ht="16.5" thickBot="1">
      <c r="A340" s="41" t="s">
        <v>31</v>
      </c>
      <c r="B340" s="42">
        <f t="shared" si="18"/>
        <v>90</v>
      </c>
      <c r="C340" s="42" t="s">
        <v>3</v>
      </c>
      <c r="D340" s="42">
        <f t="shared" si="19"/>
        <v>400</v>
      </c>
      <c r="E340" s="42" t="s">
        <v>3</v>
      </c>
      <c r="F340" s="90">
        <f t="shared" si="20"/>
        <v>1850</v>
      </c>
      <c r="G340" s="42" t="s">
        <v>3</v>
      </c>
      <c r="H340" s="39">
        <v>4</v>
      </c>
      <c r="I340" s="40" t="s">
        <v>40</v>
      </c>
      <c r="J340" s="149">
        <v>90</v>
      </c>
      <c r="K340" s="66">
        <v>400</v>
      </c>
      <c r="L340" s="66">
        <v>1850</v>
      </c>
      <c r="M340" s="150">
        <v>22.840140182204738</v>
      </c>
      <c r="N340" s="78">
        <v>1219.49780526</v>
      </c>
      <c r="O340" s="110">
        <v>36007.258163793209</v>
      </c>
      <c r="P340" s="111">
        <v>44411.300456538804</v>
      </c>
      <c r="Q340" s="110">
        <v>29940.005208042821</v>
      </c>
      <c r="R340" s="258">
        <v>65947.26337183603</v>
      </c>
      <c r="S340" s="259">
        <v>74351.305664581625</v>
      </c>
      <c r="U340" s="7" t="s">
        <v>2401</v>
      </c>
    </row>
    <row r="341" spans="1:21" ht="16.5" thickBot="1">
      <c r="A341" s="41" t="s">
        <v>31</v>
      </c>
      <c r="B341" s="42">
        <f t="shared" si="18"/>
        <v>90</v>
      </c>
      <c r="C341" s="42" t="s">
        <v>3</v>
      </c>
      <c r="D341" s="42">
        <f t="shared" si="19"/>
        <v>400</v>
      </c>
      <c r="E341" s="42" t="s">
        <v>3</v>
      </c>
      <c r="F341" s="90">
        <f t="shared" si="20"/>
        <v>1900</v>
      </c>
      <c r="G341" s="42" t="s">
        <v>3</v>
      </c>
      <c r="H341" s="39">
        <v>4</v>
      </c>
      <c r="I341" s="40" t="s">
        <v>40</v>
      </c>
      <c r="J341" s="149">
        <v>90</v>
      </c>
      <c r="K341" s="66">
        <v>400</v>
      </c>
      <c r="L341" s="66">
        <v>1900</v>
      </c>
      <c r="M341" s="150">
        <v>23.411177171701581</v>
      </c>
      <c r="N341" s="78">
        <v>1260.147732102</v>
      </c>
      <c r="O341" s="110">
        <v>36778.365979481423</v>
      </c>
      <c r="P341" s="111">
        <v>45390.619363084865</v>
      </c>
      <c r="Q341" s="110">
        <v>30596.612157772794</v>
      </c>
      <c r="R341" s="258">
        <v>67374.97813725422</v>
      </c>
      <c r="S341" s="259">
        <v>75987.231520857662</v>
      </c>
      <c r="U341" s="7" t="s">
        <v>2402</v>
      </c>
    </row>
    <row r="342" spans="1:21" ht="16.5" thickBot="1">
      <c r="A342" s="41" t="s">
        <v>31</v>
      </c>
      <c r="B342" s="42">
        <f t="shared" si="18"/>
        <v>90</v>
      </c>
      <c r="C342" s="42" t="s">
        <v>3</v>
      </c>
      <c r="D342" s="42">
        <f t="shared" si="19"/>
        <v>400</v>
      </c>
      <c r="E342" s="42" t="s">
        <v>3</v>
      </c>
      <c r="F342" s="90">
        <f t="shared" si="20"/>
        <v>1950</v>
      </c>
      <c r="G342" s="42" t="s">
        <v>3</v>
      </c>
      <c r="H342" s="39">
        <v>4</v>
      </c>
      <c r="I342" s="40" t="s">
        <v>40</v>
      </c>
      <c r="J342" s="149">
        <v>90</v>
      </c>
      <c r="K342" s="66">
        <v>400</v>
      </c>
      <c r="L342" s="66">
        <v>1950</v>
      </c>
      <c r="M342" s="150">
        <v>24.060714161198426</v>
      </c>
      <c r="N342" s="78">
        <v>1300.7976589440002</v>
      </c>
      <c r="O342" s="110">
        <v>37633.572130302971</v>
      </c>
      <c r="P342" s="111">
        <v>46454.550169300011</v>
      </c>
      <c r="Q342" s="110">
        <v>31253.219260531532</v>
      </c>
      <c r="R342" s="258">
        <v>68886.791390834507</v>
      </c>
      <c r="S342" s="259">
        <v>77707.769429831547</v>
      </c>
      <c r="U342" s="7" t="s">
        <v>2403</v>
      </c>
    </row>
    <row r="343" spans="1:21" ht="16.5" thickBot="1">
      <c r="A343" s="41" t="s">
        <v>31</v>
      </c>
      <c r="B343" s="42">
        <f t="shared" si="18"/>
        <v>90</v>
      </c>
      <c r="C343" s="42" t="s">
        <v>3</v>
      </c>
      <c r="D343" s="42">
        <f t="shared" si="19"/>
        <v>400</v>
      </c>
      <c r="E343" s="42" t="s">
        <v>3</v>
      </c>
      <c r="F343" s="90">
        <f t="shared" si="20"/>
        <v>2000</v>
      </c>
      <c r="G343" s="42" t="s">
        <v>3</v>
      </c>
      <c r="H343" s="39">
        <v>4</v>
      </c>
      <c r="I343" s="40" t="s">
        <v>40</v>
      </c>
      <c r="J343" s="149">
        <v>90</v>
      </c>
      <c r="K343" s="66">
        <v>400</v>
      </c>
      <c r="L343" s="66">
        <v>2000</v>
      </c>
      <c r="M343" s="150">
        <v>24.740353550695264</v>
      </c>
      <c r="N343" s="78">
        <v>1341.4475857859998</v>
      </c>
      <c r="O343" s="110">
        <v>38655.971694807013</v>
      </c>
      <c r="P343" s="111">
        <v>47774.691221870868</v>
      </c>
      <c r="Q343" s="110">
        <v>32161.160348045276</v>
      </c>
      <c r="R343" s="258">
        <v>70817.132042852289</v>
      </c>
      <c r="S343" s="259">
        <v>79935.851569916151</v>
      </c>
      <c r="U343" s="7" t="s">
        <v>2404</v>
      </c>
    </row>
    <row r="344" spans="1:21" ht="16.5" thickBot="1">
      <c r="A344" s="41" t="s">
        <v>31</v>
      </c>
      <c r="B344" s="42">
        <f t="shared" si="18"/>
        <v>90</v>
      </c>
      <c r="C344" s="42" t="s">
        <v>3</v>
      </c>
      <c r="D344" s="42">
        <f t="shared" si="19"/>
        <v>400</v>
      </c>
      <c r="E344" s="42" t="s">
        <v>3</v>
      </c>
      <c r="F344" s="90">
        <f t="shared" si="20"/>
        <v>2050</v>
      </c>
      <c r="G344" s="42" t="s">
        <v>3</v>
      </c>
      <c r="H344" s="39">
        <v>4</v>
      </c>
      <c r="I344" s="40" t="s">
        <v>40</v>
      </c>
      <c r="J344" s="149">
        <v>90</v>
      </c>
      <c r="K344" s="66">
        <v>400</v>
      </c>
      <c r="L344" s="66">
        <v>2050</v>
      </c>
      <c r="M344" s="150">
        <v>25.311390540192107</v>
      </c>
      <c r="N344" s="78">
        <v>1382.0975126279998</v>
      </c>
      <c r="O344" s="110">
        <v>39427.079510495234</v>
      </c>
      <c r="P344" s="111">
        <v>48754.010281445691</v>
      </c>
      <c r="Q344" s="110">
        <v>32817.767450804015</v>
      </c>
      <c r="R344" s="258">
        <v>72244.846961299249</v>
      </c>
      <c r="S344" s="259">
        <v>81571.777732249699</v>
      </c>
      <c r="U344" s="7" t="s">
        <v>2405</v>
      </c>
    </row>
    <row r="345" spans="1:21" ht="16.5" thickBot="1">
      <c r="A345" s="38" t="s">
        <v>31</v>
      </c>
      <c r="B345" s="39">
        <f t="shared" si="18"/>
        <v>90</v>
      </c>
      <c r="C345" s="39" t="s">
        <v>3</v>
      </c>
      <c r="D345" s="39">
        <f t="shared" si="19"/>
        <v>400</v>
      </c>
      <c r="E345" s="39" t="s">
        <v>3</v>
      </c>
      <c r="F345" s="90">
        <f t="shared" si="20"/>
        <v>2100</v>
      </c>
      <c r="G345" s="39" t="s">
        <v>3</v>
      </c>
      <c r="H345" s="39">
        <v>4</v>
      </c>
      <c r="I345" s="40" t="s">
        <v>40</v>
      </c>
      <c r="J345" s="149">
        <v>90</v>
      </c>
      <c r="K345" s="66">
        <v>400</v>
      </c>
      <c r="L345" s="66">
        <v>2100</v>
      </c>
      <c r="M345" s="150">
        <v>25.899467529688948</v>
      </c>
      <c r="N345" s="78">
        <v>1422.74743947</v>
      </c>
      <c r="O345" s="110">
        <v>40198.187326183448</v>
      </c>
      <c r="P345" s="111">
        <v>49733.329187991745</v>
      </c>
      <c r="Q345" s="110">
        <v>33725.708538317755</v>
      </c>
      <c r="R345" s="258">
        <v>73923.895864501203</v>
      </c>
      <c r="S345" s="259">
        <v>83459.0377263095</v>
      </c>
      <c r="U345" s="7" t="s">
        <v>2406</v>
      </c>
    </row>
    <row r="346" spans="1:21" ht="16.5" thickBot="1">
      <c r="A346" s="41" t="s">
        <v>31</v>
      </c>
      <c r="B346" s="42">
        <f t="shared" si="18"/>
        <v>90</v>
      </c>
      <c r="C346" s="42" t="s">
        <v>3</v>
      </c>
      <c r="D346" s="42">
        <f t="shared" si="19"/>
        <v>400</v>
      </c>
      <c r="E346" s="42" t="s">
        <v>3</v>
      </c>
      <c r="F346" s="90">
        <f t="shared" si="20"/>
        <v>2150</v>
      </c>
      <c r="G346" s="42" t="s">
        <v>3</v>
      </c>
      <c r="H346" s="39">
        <v>4</v>
      </c>
      <c r="I346" s="40" t="s">
        <v>40</v>
      </c>
      <c r="J346" s="149">
        <v>90</v>
      </c>
      <c r="K346" s="66">
        <v>400</v>
      </c>
      <c r="L346" s="66">
        <v>2150</v>
      </c>
      <c r="M346" s="150">
        <v>26.470504519185791</v>
      </c>
      <c r="N346" s="78">
        <v>1463.3973663119998</v>
      </c>
      <c r="O346" s="110">
        <v>40969.295141871669</v>
      </c>
      <c r="P346" s="111">
        <v>50712.648247566569</v>
      </c>
      <c r="Q346" s="110">
        <v>34382.315641076493</v>
      </c>
      <c r="R346" s="258">
        <v>75351.610782948163</v>
      </c>
      <c r="S346" s="259">
        <v>85094.963888643062</v>
      </c>
      <c r="U346" s="7" t="s">
        <v>2407</v>
      </c>
    </row>
    <row r="347" spans="1:21" ht="16.5" thickBot="1">
      <c r="A347" s="41" t="s">
        <v>31</v>
      </c>
      <c r="B347" s="42">
        <f t="shared" si="18"/>
        <v>90</v>
      </c>
      <c r="C347" s="42" t="s">
        <v>3</v>
      </c>
      <c r="D347" s="42">
        <f t="shared" si="19"/>
        <v>400</v>
      </c>
      <c r="E347" s="42" t="s">
        <v>3</v>
      </c>
      <c r="F347" s="90">
        <f t="shared" si="20"/>
        <v>2200</v>
      </c>
      <c r="G347" s="42" t="s">
        <v>3</v>
      </c>
      <c r="H347" s="39">
        <v>4</v>
      </c>
      <c r="I347" s="40" t="s">
        <v>40</v>
      </c>
      <c r="J347" s="149">
        <v>90</v>
      </c>
      <c r="K347" s="66">
        <v>400</v>
      </c>
      <c r="L347" s="66">
        <v>2200</v>
      </c>
      <c r="M347" s="150">
        <v>27.058581508682636</v>
      </c>
      <c r="N347" s="78">
        <v>1504.047293154</v>
      </c>
      <c r="O347" s="110">
        <v>41740.402957559883</v>
      </c>
      <c r="P347" s="111">
        <v>51691.967307141393</v>
      </c>
      <c r="Q347" s="110">
        <v>35290.256728590233</v>
      </c>
      <c r="R347" s="258">
        <v>77030.659686150117</v>
      </c>
      <c r="S347" s="259">
        <v>86982.224035731633</v>
      </c>
      <c r="U347" s="7" t="s">
        <v>2408</v>
      </c>
    </row>
    <row r="348" spans="1:21" ht="16.5" thickBot="1">
      <c r="A348" s="41" t="s">
        <v>31</v>
      </c>
      <c r="B348" s="42">
        <f t="shared" si="18"/>
        <v>90</v>
      </c>
      <c r="C348" s="42" t="s">
        <v>3</v>
      </c>
      <c r="D348" s="42">
        <f t="shared" si="19"/>
        <v>400</v>
      </c>
      <c r="E348" s="42" t="s">
        <v>3</v>
      </c>
      <c r="F348" s="90">
        <f t="shared" si="20"/>
        <v>2250</v>
      </c>
      <c r="G348" s="42" t="s">
        <v>3</v>
      </c>
      <c r="H348" s="39">
        <v>4</v>
      </c>
      <c r="I348" s="40" t="s">
        <v>40</v>
      </c>
      <c r="J348" s="149">
        <v>90</v>
      </c>
      <c r="K348" s="66">
        <v>400</v>
      </c>
      <c r="L348" s="66">
        <v>2250</v>
      </c>
      <c r="M348" s="150">
        <v>27.629618498179475</v>
      </c>
      <c r="N348" s="78">
        <v>1544.6972199959998</v>
      </c>
      <c r="O348" s="110">
        <v>42511.510773248105</v>
      </c>
      <c r="P348" s="111">
        <v>52671.286366716209</v>
      </c>
      <c r="Q348" s="110">
        <v>35946.863831348819</v>
      </c>
      <c r="R348" s="258">
        <v>78458.374604596931</v>
      </c>
      <c r="S348" s="259">
        <v>88618.150198065036</v>
      </c>
      <c r="U348" s="7" t="s">
        <v>2409</v>
      </c>
    </row>
    <row r="349" spans="1:21" ht="16.5" thickBot="1">
      <c r="A349" s="41" t="s">
        <v>31</v>
      </c>
      <c r="B349" s="42">
        <f t="shared" si="18"/>
        <v>90</v>
      </c>
      <c r="C349" s="42" t="s">
        <v>3</v>
      </c>
      <c r="D349" s="42">
        <f t="shared" si="19"/>
        <v>400</v>
      </c>
      <c r="E349" s="42" t="s">
        <v>3</v>
      </c>
      <c r="F349" s="90">
        <f t="shared" si="20"/>
        <v>2300</v>
      </c>
      <c r="G349" s="42" t="s">
        <v>3</v>
      </c>
      <c r="H349" s="39">
        <v>4</v>
      </c>
      <c r="I349" s="40" t="s">
        <v>40</v>
      </c>
      <c r="J349" s="149">
        <v>90</v>
      </c>
      <c r="K349" s="66">
        <v>400</v>
      </c>
      <c r="L349" s="66">
        <v>2300</v>
      </c>
      <c r="M349" s="150">
        <v>28.200655487676315</v>
      </c>
      <c r="N349" s="78">
        <v>1585.3471468379998</v>
      </c>
      <c r="O349" s="110">
        <v>43282.618588936319</v>
      </c>
      <c r="P349" s="111">
        <v>53650.60527326227</v>
      </c>
      <c r="Q349" s="110">
        <v>36603.470781078948</v>
      </c>
      <c r="R349" s="258">
        <v>79886.089370015266</v>
      </c>
      <c r="S349" s="259">
        <v>90254.076054341218</v>
      </c>
      <c r="U349" s="7" t="s">
        <v>2410</v>
      </c>
    </row>
    <row r="350" spans="1:21" ht="16.5" thickBot="1">
      <c r="A350" s="41" t="s">
        <v>31</v>
      </c>
      <c r="B350" s="42">
        <f t="shared" si="18"/>
        <v>90</v>
      </c>
      <c r="C350" s="42" t="s">
        <v>3</v>
      </c>
      <c r="D350" s="42">
        <f t="shared" si="19"/>
        <v>400</v>
      </c>
      <c r="E350" s="42" t="s">
        <v>3</v>
      </c>
      <c r="F350" s="90">
        <f t="shared" si="20"/>
        <v>2350</v>
      </c>
      <c r="G350" s="42" t="s">
        <v>3</v>
      </c>
      <c r="H350" s="39">
        <v>4</v>
      </c>
      <c r="I350" s="40" t="s">
        <v>40</v>
      </c>
      <c r="J350" s="149">
        <v>90</v>
      </c>
      <c r="K350" s="66">
        <v>400</v>
      </c>
      <c r="L350" s="66">
        <v>2350</v>
      </c>
      <c r="M350" s="150">
        <v>28.788732477173156</v>
      </c>
      <c r="N350" s="78">
        <v>1625.9970736799999</v>
      </c>
      <c r="O350" s="110">
        <v>44053.726404624533</v>
      </c>
      <c r="P350" s="111">
        <v>54629.924332837094</v>
      </c>
      <c r="Q350" s="110">
        <v>37511.412021621458</v>
      </c>
      <c r="R350" s="258">
        <v>81565.138426245991</v>
      </c>
      <c r="S350" s="259">
        <v>92141.336354458559</v>
      </c>
      <c r="U350" s="7" t="s">
        <v>2411</v>
      </c>
    </row>
    <row r="351" spans="1:21" ht="16.5" thickBot="1">
      <c r="A351" s="41" t="s">
        <v>31</v>
      </c>
      <c r="B351" s="42">
        <f t="shared" si="18"/>
        <v>90</v>
      </c>
      <c r="C351" s="42" t="s">
        <v>3</v>
      </c>
      <c r="D351" s="42">
        <f t="shared" si="19"/>
        <v>400</v>
      </c>
      <c r="E351" s="42" t="s">
        <v>3</v>
      </c>
      <c r="F351" s="90">
        <f t="shared" si="20"/>
        <v>2400</v>
      </c>
      <c r="G351" s="42" t="s">
        <v>3</v>
      </c>
      <c r="H351" s="39">
        <v>4</v>
      </c>
      <c r="I351" s="40" t="s">
        <v>40</v>
      </c>
      <c r="J351" s="149">
        <v>90</v>
      </c>
      <c r="K351" s="66">
        <v>400</v>
      </c>
      <c r="L351" s="66">
        <v>2400</v>
      </c>
      <c r="M351" s="150">
        <v>29.359769466669995</v>
      </c>
      <c r="N351" s="78">
        <v>1666.6470005220001</v>
      </c>
      <c r="O351" s="110">
        <v>44824.834220312754</v>
      </c>
      <c r="P351" s="111">
        <v>55609.24339241191</v>
      </c>
      <c r="Q351" s="110">
        <v>38168.019124380196</v>
      </c>
      <c r="R351" s="258">
        <v>82992.85334469295</v>
      </c>
      <c r="S351" s="259">
        <v>93777.262516792107</v>
      </c>
      <c r="U351" s="7" t="s">
        <v>2412</v>
      </c>
    </row>
    <row r="352" spans="1:21" ht="16.5" thickBot="1">
      <c r="A352" s="41" t="s">
        <v>31</v>
      </c>
      <c r="B352" s="42">
        <f t="shared" si="18"/>
        <v>90</v>
      </c>
      <c r="C352" s="42" t="s">
        <v>3</v>
      </c>
      <c r="D352" s="42">
        <f t="shared" si="19"/>
        <v>400</v>
      </c>
      <c r="E352" s="42" t="s">
        <v>3</v>
      </c>
      <c r="F352" s="90">
        <f t="shared" si="20"/>
        <v>2450</v>
      </c>
      <c r="G352" s="42" t="s">
        <v>3</v>
      </c>
      <c r="H352" s="39">
        <v>4</v>
      </c>
      <c r="I352" s="40" t="s">
        <v>40</v>
      </c>
      <c r="J352" s="149">
        <v>90</v>
      </c>
      <c r="K352" s="66">
        <v>400</v>
      </c>
      <c r="L352" s="66">
        <v>2450</v>
      </c>
      <c r="M352" s="150">
        <v>30.144413108966841</v>
      </c>
      <c r="N352" s="78">
        <v>1707.2969273639999</v>
      </c>
      <c r="O352" s="110">
        <v>46479.457743226812</v>
      </c>
      <c r="P352" s="111">
        <v>57422.340749971656</v>
      </c>
      <c r="Q352" s="110">
        <v>39075.960211893937</v>
      </c>
      <c r="R352" s="258">
        <v>85555.417955120749</v>
      </c>
      <c r="S352" s="259">
        <v>96498.300961865592</v>
      </c>
      <c r="U352" s="7" t="s">
        <v>2413</v>
      </c>
    </row>
    <row r="353" spans="1:21" ht="16.5" thickBot="1">
      <c r="A353" s="41" t="s">
        <v>31</v>
      </c>
      <c r="B353" s="42">
        <f t="shared" si="18"/>
        <v>90</v>
      </c>
      <c r="C353" s="42" t="s">
        <v>3</v>
      </c>
      <c r="D353" s="42">
        <f t="shared" si="19"/>
        <v>400</v>
      </c>
      <c r="E353" s="42" t="s">
        <v>3</v>
      </c>
      <c r="F353" s="90">
        <f t="shared" si="20"/>
        <v>2500</v>
      </c>
      <c r="G353" s="42" t="s">
        <v>3</v>
      </c>
      <c r="H353" s="39">
        <v>4</v>
      </c>
      <c r="I353" s="40" t="s">
        <v>40</v>
      </c>
      <c r="J353" s="149">
        <v>90</v>
      </c>
      <c r="K353" s="66">
        <v>400</v>
      </c>
      <c r="L353" s="66">
        <v>2500</v>
      </c>
      <c r="M353" s="150">
        <v>30.715450098463684</v>
      </c>
      <c r="N353" s="78">
        <v>1747.9468542059999</v>
      </c>
      <c r="O353" s="110">
        <v>47250.565558915034</v>
      </c>
      <c r="P353" s="111">
        <v>58401.65980954648</v>
      </c>
      <c r="Q353" s="110">
        <v>39732.567314652675</v>
      </c>
      <c r="R353" s="258">
        <v>86983.132873567709</v>
      </c>
      <c r="S353" s="259">
        <v>98134.227124199155</v>
      </c>
      <c r="U353" s="7" t="s">
        <v>2414</v>
      </c>
    </row>
    <row r="354" spans="1:21" ht="16.5" thickBot="1">
      <c r="A354" s="41" t="s">
        <v>31</v>
      </c>
      <c r="B354" s="42">
        <f t="shared" si="18"/>
        <v>90</v>
      </c>
      <c r="C354" s="42" t="s">
        <v>3</v>
      </c>
      <c r="D354" s="42">
        <f t="shared" si="19"/>
        <v>400</v>
      </c>
      <c r="E354" s="42" t="s">
        <v>3</v>
      </c>
      <c r="F354" s="90">
        <f t="shared" si="20"/>
        <v>2550</v>
      </c>
      <c r="G354" s="42" t="s">
        <v>3</v>
      </c>
      <c r="H354" s="39">
        <v>4</v>
      </c>
      <c r="I354" s="40" t="s">
        <v>40</v>
      </c>
      <c r="J354" s="149">
        <v>90</v>
      </c>
      <c r="K354" s="66">
        <v>400</v>
      </c>
      <c r="L354" s="66">
        <v>2550</v>
      </c>
      <c r="M354" s="150">
        <v>31.303527087960525</v>
      </c>
      <c r="N354" s="78">
        <v>1788.5967810479999</v>
      </c>
      <c r="O354" s="110">
        <v>48021.673374603248</v>
      </c>
      <c r="P354" s="111">
        <v>59380.978869121296</v>
      </c>
      <c r="Q354" s="110">
        <v>40640.508402166415</v>
      </c>
      <c r="R354" s="258">
        <v>88662.181776769663</v>
      </c>
      <c r="S354" s="259">
        <v>100021.48727128771</v>
      </c>
      <c r="U354" s="7" t="s">
        <v>2415</v>
      </c>
    </row>
    <row r="355" spans="1:21" ht="16.5" thickBot="1">
      <c r="A355" s="38" t="s">
        <v>31</v>
      </c>
      <c r="B355" s="39">
        <f t="shared" si="18"/>
        <v>90</v>
      </c>
      <c r="C355" s="39" t="s">
        <v>3</v>
      </c>
      <c r="D355" s="39">
        <f t="shared" si="19"/>
        <v>400</v>
      </c>
      <c r="E355" s="39" t="s">
        <v>3</v>
      </c>
      <c r="F355" s="90">
        <f t="shared" si="20"/>
        <v>2600</v>
      </c>
      <c r="G355" s="39" t="s">
        <v>3</v>
      </c>
      <c r="H355" s="39">
        <v>4</v>
      </c>
      <c r="I355" s="40" t="s">
        <v>40</v>
      </c>
      <c r="J355" s="149">
        <v>90</v>
      </c>
      <c r="K355" s="66">
        <v>400</v>
      </c>
      <c r="L355" s="66">
        <v>2600</v>
      </c>
      <c r="M355" s="150">
        <v>31.874564077457372</v>
      </c>
      <c r="N355" s="78">
        <v>1829.2467078899999</v>
      </c>
      <c r="O355" s="110">
        <v>48792.781190291469</v>
      </c>
      <c r="P355" s="111">
        <v>60360.297775667357</v>
      </c>
      <c r="Q355" s="110">
        <v>41297.115504925154</v>
      </c>
      <c r="R355" s="258">
        <v>90089.896695216623</v>
      </c>
      <c r="S355" s="259">
        <v>101657.4132805925</v>
      </c>
      <c r="U355" s="7" t="s">
        <v>2416</v>
      </c>
    </row>
    <row r="356" spans="1:21" ht="16.5" thickBot="1">
      <c r="A356" s="41" t="s">
        <v>31</v>
      </c>
      <c r="B356" s="42">
        <f t="shared" si="18"/>
        <v>90</v>
      </c>
      <c r="C356" s="42" t="s">
        <v>3</v>
      </c>
      <c r="D356" s="42">
        <f t="shared" si="19"/>
        <v>400</v>
      </c>
      <c r="E356" s="42" t="s">
        <v>3</v>
      </c>
      <c r="F356" s="90">
        <f t="shared" si="20"/>
        <v>2650</v>
      </c>
      <c r="G356" s="42" t="s">
        <v>3</v>
      </c>
      <c r="H356" s="39">
        <v>4</v>
      </c>
      <c r="I356" s="40" t="s">
        <v>40</v>
      </c>
      <c r="J356" s="149">
        <v>90</v>
      </c>
      <c r="K356" s="66">
        <v>400</v>
      </c>
      <c r="L356" s="66">
        <v>2650</v>
      </c>
      <c r="M356" s="150">
        <v>32.462641066954212</v>
      </c>
      <c r="N356" s="78">
        <v>1869.8966347319999</v>
      </c>
      <c r="O356" s="110">
        <v>49563.889005979683</v>
      </c>
      <c r="P356" s="111">
        <v>61339.616835242181</v>
      </c>
      <c r="Q356" s="110">
        <v>42205.056592438901</v>
      </c>
      <c r="R356" s="258">
        <v>91768.945598418592</v>
      </c>
      <c r="S356" s="259">
        <v>103544.67342768109</v>
      </c>
      <c r="U356" s="7" t="s">
        <v>2417</v>
      </c>
    </row>
    <row r="357" spans="1:21" ht="16.5" thickBot="1">
      <c r="A357" s="41" t="s">
        <v>31</v>
      </c>
      <c r="B357" s="42">
        <f t="shared" si="18"/>
        <v>90</v>
      </c>
      <c r="C357" s="42" t="s">
        <v>3</v>
      </c>
      <c r="D357" s="42">
        <f t="shared" si="19"/>
        <v>400</v>
      </c>
      <c r="E357" s="42" t="s">
        <v>3</v>
      </c>
      <c r="F357" s="90">
        <f t="shared" si="20"/>
        <v>2700</v>
      </c>
      <c r="G357" s="42" t="s">
        <v>3</v>
      </c>
      <c r="H357" s="39">
        <v>4</v>
      </c>
      <c r="I357" s="40" t="s">
        <v>40</v>
      </c>
      <c r="J357" s="149">
        <v>90</v>
      </c>
      <c r="K357" s="66">
        <v>400</v>
      </c>
      <c r="L357" s="66">
        <v>2700</v>
      </c>
      <c r="M357" s="150">
        <v>33.112178056451057</v>
      </c>
      <c r="N357" s="78">
        <v>1910.5465615740002</v>
      </c>
      <c r="O357" s="110">
        <v>50419.095156801224</v>
      </c>
      <c r="P357" s="111">
        <v>62403.547641457328</v>
      </c>
      <c r="Q357" s="110">
        <v>42861.66369519764</v>
      </c>
      <c r="R357" s="258">
        <v>93280.758851998864</v>
      </c>
      <c r="S357" s="259">
        <v>105265.21133665496</v>
      </c>
      <c r="U357" s="7" t="s">
        <v>2418</v>
      </c>
    </row>
    <row r="358" spans="1:21" ht="16.5" thickBot="1">
      <c r="A358" s="41" t="s">
        <v>31</v>
      </c>
      <c r="B358" s="42">
        <f t="shared" si="18"/>
        <v>90</v>
      </c>
      <c r="C358" s="42" t="s">
        <v>3</v>
      </c>
      <c r="D358" s="42">
        <f t="shared" si="19"/>
        <v>400</v>
      </c>
      <c r="E358" s="42" t="s">
        <v>3</v>
      </c>
      <c r="F358" s="90">
        <f t="shared" si="20"/>
        <v>2750</v>
      </c>
      <c r="G358" s="42" t="s">
        <v>3</v>
      </c>
      <c r="H358" s="39">
        <v>4</v>
      </c>
      <c r="I358" s="40" t="s">
        <v>40</v>
      </c>
      <c r="J358" s="149">
        <v>90</v>
      </c>
      <c r="K358" s="66">
        <v>400</v>
      </c>
      <c r="L358" s="66">
        <v>2750</v>
      </c>
      <c r="M358" s="150">
        <v>33.683215045947897</v>
      </c>
      <c r="N358" s="78">
        <v>1951.1964884159997</v>
      </c>
      <c r="O358" s="110">
        <v>51190.202972489453</v>
      </c>
      <c r="P358" s="111">
        <v>63382.866548003381</v>
      </c>
      <c r="Q358" s="110">
        <v>43518.270644927608</v>
      </c>
      <c r="R358" s="258">
        <v>94708.473617417068</v>
      </c>
      <c r="S358" s="259">
        <v>106901.137192931</v>
      </c>
      <c r="U358" s="7" t="s">
        <v>2419</v>
      </c>
    </row>
    <row r="359" spans="1:21" ht="16.5" thickBot="1">
      <c r="A359" s="41" t="s">
        <v>31</v>
      </c>
      <c r="B359" s="42">
        <f t="shared" si="18"/>
        <v>90</v>
      </c>
      <c r="C359" s="42" t="s">
        <v>3</v>
      </c>
      <c r="D359" s="42">
        <f t="shared" si="19"/>
        <v>400</v>
      </c>
      <c r="E359" s="42" t="s">
        <v>3</v>
      </c>
      <c r="F359" s="90">
        <f t="shared" si="20"/>
        <v>2800</v>
      </c>
      <c r="G359" s="42" t="s">
        <v>3</v>
      </c>
      <c r="H359" s="39">
        <v>4</v>
      </c>
      <c r="I359" s="40" t="s">
        <v>40</v>
      </c>
      <c r="J359" s="149">
        <v>90</v>
      </c>
      <c r="K359" s="66">
        <v>400</v>
      </c>
      <c r="L359" s="66">
        <v>2800</v>
      </c>
      <c r="M359" s="150">
        <v>34.271292035444738</v>
      </c>
      <c r="N359" s="78">
        <v>1991.846415258</v>
      </c>
      <c r="O359" s="110">
        <v>51961.31078817766</v>
      </c>
      <c r="P359" s="111">
        <v>64362.185607578198</v>
      </c>
      <c r="Q359" s="110">
        <v>44426.211885470118</v>
      </c>
      <c r="R359" s="258">
        <v>96387.522673647778</v>
      </c>
      <c r="S359" s="259">
        <v>108788.39749304831</v>
      </c>
      <c r="U359" s="7" t="s">
        <v>2420</v>
      </c>
    </row>
    <row r="360" spans="1:21" ht="16.5" thickBot="1">
      <c r="A360" s="41" t="s">
        <v>31</v>
      </c>
      <c r="B360" s="42">
        <f t="shared" si="18"/>
        <v>90</v>
      </c>
      <c r="C360" s="42" t="s">
        <v>3</v>
      </c>
      <c r="D360" s="42">
        <f t="shared" si="19"/>
        <v>400</v>
      </c>
      <c r="E360" s="42" t="s">
        <v>3</v>
      </c>
      <c r="F360" s="90">
        <f t="shared" si="20"/>
        <v>2850</v>
      </c>
      <c r="G360" s="42" t="s">
        <v>3</v>
      </c>
      <c r="H360" s="39">
        <v>4</v>
      </c>
      <c r="I360" s="40" t="s">
        <v>40</v>
      </c>
      <c r="J360" s="149">
        <v>90</v>
      </c>
      <c r="K360" s="66">
        <v>400</v>
      </c>
      <c r="L360" s="66">
        <v>2850</v>
      </c>
      <c r="M360" s="150">
        <v>34.842329024941584</v>
      </c>
      <c r="N360" s="78">
        <v>2032.4963421</v>
      </c>
      <c r="O360" s="110">
        <v>52732.418603865874</v>
      </c>
      <c r="P360" s="111">
        <v>65341.504667153029</v>
      </c>
      <c r="Q360" s="110">
        <v>45082.818835200087</v>
      </c>
      <c r="R360" s="258">
        <v>97815.237439065968</v>
      </c>
      <c r="S360" s="259">
        <v>110424.32350235312</v>
      </c>
      <c r="U360" s="7" t="s">
        <v>2421</v>
      </c>
    </row>
    <row r="361" spans="1:21" ht="16.5" thickBot="1">
      <c r="A361" s="41" t="s">
        <v>31</v>
      </c>
      <c r="B361" s="42">
        <f t="shared" si="18"/>
        <v>90</v>
      </c>
      <c r="C361" s="42" t="s">
        <v>3</v>
      </c>
      <c r="D361" s="42">
        <f t="shared" si="19"/>
        <v>400</v>
      </c>
      <c r="E361" s="42" t="s">
        <v>3</v>
      </c>
      <c r="F361" s="90">
        <f t="shared" si="20"/>
        <v>2900</v>
      </c>
      <c r="G361" s="42" t="s">
        <v>3</v>
      </c>
      <c r="H361" s="39">
        <v>4</v>
      </c>
      <c r="I361" s="40" t="s">
        <v>40</v>
      </c>
      <c r="J361" s="149">
        <v>90</v>
      </c>
      <c r="K361" s="66">
        <v>400</v>
      </c>
      <c r="L361" s="66">
        <v>2900</v>
      </c>
      <c r="M361" s="150">
        <v>35.430406014438418</v>
      </c>
      <c r="N361" s="78">
        <v>2073.146268942</v>
      </c>
      <c r="O361" s="110">
        <v>53503.526419554095</v>
      </c>
      <c r="P361" s="111">
        <v>66320.823726727845</v>
      </c>
      <c r="Q361" s="110">
        <v>45990.760075742597</v>
      </c>
      <c r="R361" s="258">
        <v>99494.286495296692</v>
      </c>
      <c r="S361" s="259">
        <v>112311.58380247044</v>
      </c>
      <c r="U361" s="7" t="s">
        <v>2422</v>
      </c>
    </row>
    <row r="362" spans="1:21" ht="16.5" thickBot="1">
      <c r="A362" s="41" t="s">
        <v>31</v>
      </c>
      <c r="B362" s="42">
        <f t="shared" si="18"/>
        <v>90</v>
      </c>
      <c r="C362" s="42" t="s">
        <v>3</v>
      </c>
      <c r="D362" s="42">
        <f t="shared" si="19"/>
        <v>400</v>
      </c>
      <c r="E362" s="42" t="s">
        <v>3</v>
      </c>
      <c r="F362" s="90">
        <f t="shared" si="20"/>
        <v>2950</v>
      </c>
      <c r="G362" s="42" t="s">
        <v>3</v>
      </c>
      <c r="H362" s="39">
        <v>4</v>
      </c>
      <c r="I362" s="40" t="s">
        <v>40</v>
      </c>
      <c r="J362" s="149">
        <v>90</v>
      </c>
      <c r="K362" s="66">
        <v>400</v>
      </c>
      <c r="L362" s="66">
        <v>2950</v>
      </c>
      <c r="M362" s="150">
        <v>36.001443003935265</v>
      </c>
      <c r="N362" s="78">
        <v>2113.7961957840002</v>
      </c>
      <c r="O362" s="110">
        <v>54274.634235242309</v>
      </c>
      <c r="P362" s="111">
        <v>67300.142633273907</v>
      </c>
      <c r="Q362" s="110">
        <v>46647.367025472573</v>
      </c>
      <c r="R362" s="258">
        <v>100922.00126071488</v>
      </c>
      <c r="S362" s="259">
        <v>113947.50965874648</v>
      </c>
      <c r="U362" s="7" t="s">
        <v>2423</v>
      </c>
    </row>
    <row r="363" spans="1:21" ht="16.5" thickBot="1">
      <c r="A363" s="43" t="s">
        <v>31</v>
      </c>
      <c r="B363" s="44">
        <f t="shared" si="18"/>
        <v>90</v>
      </c>
      <c r="C363" s="44" t="s">
        <v>3</v>
      </c>
      <c r="D363" s="44">
        <f t="shared" si="19"/>
        <v>400</v>
      </c>
      <c r="E363" s="44" t="s">
        <v>3</v>
      </c>
      <c r="F363" s="91">
        <f t="shared" si="20"/>
        <v>3000</v>
      </c>
      <c r="G363" s="44" t="s">
        <v>3</v>
      </c>
      <c r="H363" s="46">
        <v>4</v>
      </c>
      <c r="I363" s="45" t="s">
        <v>40</v>
      </c>
      <c r="J363" s="151">
        <v>90</v>
      </c>
      <c r="K363" s="126">
        <v>400</v>
      </c>
      <c r="L363" s="126">
        <v>3000</v>
      </c>
      <c r="M363" s="152">
        <v>36.589519993432106</v>
      </c>
      <c r="N363" s="127">
        <v>2154.446122626</v>
      </c>
      <c r="O363" s="136">
        <v>56326.663667345027</v>
      </c>
      <c r="P363" s="135">
        <v>68279.461692848723</v>
      </c>
      <c r="Q363" s="136">
        <v>47555.308266015076</v>
      </c>
      <c r="R363" s="260">
        <v>103881.9719333601</v>
      </c>
      <c r="S363" s="261">
        <v>115834.76995886379</v>
      </c>
      <c r="U363" s="7" t="s">
        <v>2424</v>
      </c>
    </row>
    <row r="364" spans="1:21" ht="16.5" thickBot="1">
      <c r="A364" s="2974" t="s">
        <v>114</v>
      </c>
      <c r="B364" s="2975"/>
      <c r="C364" s="2975"/>
      <c r="D364" s="2975"/>
      <c r="E364" s="2975"/>
      <c r="F364" s="2975"/>
      <c r="G364" s="2975"/>
      <c r="H364" s="2975"/>
      <c r="I364" s="2975"/>
      <c r="J364" s="2975"/>
      <c r="K364" s="2975"/>
      <c r="L364" s="2975"/>
      <c r="M364" s="2975"/>
      <c r="N364" s="2975"/>
      <c r="O364" s="2975"/>
      <c r="P364" s="2975"/>
      <c r="Q364" s="2975"/>
      <c r="R364" s="2975"/>
      <c r="S364" s="2976"/>
      <c r="U364" s="7"/>
    </row>
    <row r="365" spans="1:21" ht="16.5" thickBot="1">
      <c r="A365" s="38" t="s">
        <v>31</v>
      </c>
      <c r="B365" s="39">
        <f>J365</f>
        <v>90</v>
      </c>
      <c r="C365" s="39" t="s">
        <v>3</v>
      </c>
      <c r="D365" s="39">
        <f>K365</f>
        <v>400</v>
      </c>
      <c r="E365" s="39" t="s">
        <v>3</v>
      </c>
      <c r="F365" s="90">
        <f>L365</f>
        <v>600</v>
      </c>
      <c r="G365" s="39" t="s">
        <v>3</v>
      </c>
      <c r="H365" s="39">
        <v>6</v>
      </c>
      <c r="I365" s="40" t="s">
        <v>40</v>
      </c>
      <c r="J365" s="146">
        <v>90</v>
      </c>
      <c r="K365" s="122">
        <v>400</v>
      </c>
      <c r="L365" s="122">
        <v>600</v>
      </c>
      <c r="M365" s="147">
        <v>8.6092225796386863</v>
      </c>
      <c r="N365" s="123">
        <v>250.79999999999998</v>
      </c>
      <c r="O365" s="139">
        <v>18276.792390453542</v>
      </c>
      <c r="P365" s="148">
        <v>21565.025067168408</v>
      </c>
      <c r="Q365" s="139">
        <v>10760.15380676932</v>
      </c>
      <c r="R365" s="256">
        <v>29036.94619722286</v>
      </c>
      <c r="S365" s="257">
        <v>32325.17887393773</v>
      </c>
      <c r="U365" s="7" t="s">
        <v>2425</v>
      </c>
    </row>
    <row r="366" spans="1:21" ht="16.5" thickBot="1">
      <c r="A366" s="41" t="s">
        <v>31</v>
      </c>
      <c r="B366" s="42">
        <f t="shared" ref="B366:B413" si="21">J366</f>
        <v>90</v>
      </c>
      <c r="C366" s="42" t="s">
        <v>3</v>
      </c>
      <c r="D366" s="42">
        <f t="shared" ref="D366:D413" si="22">K366</f>
        <v>400</v>
      </c>
      <c r="E366" s="42" t="s">
        <v>3</v>
      </c>
      <c r="F366" s="90">
        <f t="shared" ref="F366:F413" si="23">L366</f>
        <v>650</v>
      </c>
      <c r="G366" s="42" t="s">
        <v>3</v>
      </c>
      <c r="H366" s="39">
        <v>6</v>
      </c>
      <c r="I366" s="40" t="s">
        <v>40</v>
      </c>
      <c r="J366" s="149">
        <v>90</v>
      </c>
      <c r="K366" s="66">
        <v>400</v>
      </c>
      <c r="L366" s="66">
        <v>650</v>
      </c>
      <c r="M366" s="150">
        <v>9.2468819590155267</v>
      </c>
      <c r="N366" s="78">
        <v>300.95999999999998</v>
      </c>
      <c r="O366" s="110">
        <v>19274.499692503312</v>
      </c>
      <c r="P366" s="111">
        <v>22774.401451081547</v>
      </c>
      <c r="Q366" s="110">
        <v>11416.760909528057</v>
      </c>
      <c r="R366" s="258">
        <v>30691.260602031369</v>
      </c>
      <c r="S366" s="259">
        <v>34191.162360609604</v>
      </c>
      <c r="U366" s="7" t="s">
        <v>2426</v>
      </c>
    </row>
    <row r="367" spans="1:21" ht="16.5" thickBot="1">
      <c r="A367" s="41" t="s">
        <v>31</v>
      </c>
      <c r="B367" s="42">
        <f t="shared" si="21"/>
        <v>90</v>
      </c>
      <c r="C367" s="42" t="s">
        <v>3</v>
      </c>
      <c r="D367" s="42">
        <f t="shared" si="22"/>
        <v>400</v>
      </c>
      <c r="E367" s="42" t="s">
        <v>3</v>
      </c>
      <c r="F367" s="90">
        <f t="shared" si="23"/>
        <v>700</v>
      </c>
      <c r="G367" s="42" t="s">
        <v>3</v>
      </c>
      <c r="H367" s="39">
        <v>6</v>
      </c>
      <c r="I367" s="40" t="s">
        <v>40</v>
      </c>
      <c r="J367" s="149">
        <v>90</v>
      </c>
      <c r="K367" s="66">
        <v>400</v>
      </c>
      <c r="L367" s="66">
        <v>700</v>
      </c>
      <c r="M367" s="150">
        <v>9.9015813383923685</v>
      </c>
      <c r="N367" s="78">
        <v>351.12</v>
      </c>
      <c r="O367" s="110">
        <v>20272.207147581852</v>
      </c>
      <c r="P367" s="111">
        <v>23983.777988023456</v>
      </c>
      <c r="Q367" s="110">
        <v>12324.7019970418</v>
      </c>
      <c r="R367" s="258">
        <v>32596.909144623653</v>
      </c>
      <c r="S367" s="259">
        <v>36308.479985065256</v>
      </c>
      <c r="U367" s="7" t="s">
        <v>2427</v>
      </c>
    </row>
    <row r="368" spans="1:21" ht="16.5" thickBot="1">
      <c r="A368" s="41" t="s">
        <v>31</v>
      </c>
      <c r="B368" s="42">
        <f t="shared" si="21"/>
        <v>90</v>
      </c>
      <c r="C368" s="42" t="s">
        <v>3</v>
      </c>
      <c r="D368" s="42">
        <f t="shared" si="22"/>
        <v>400</v>
      </c>
      <c r="E368" s="42" t="s">
        <v>3</v>
      </c>
      <c r="F368" s="90">
        <f t="shared" si="23"/>
        <v>750</v>
      </c>
      <c r="G368" s="42" t="s">
        <v>3</v>
      </c>
      <c r="H368" s="39">
        <v>6</v>
      </c>
      <c r="I368" s="40" t="s">
        <v>40</v>
      </c>
      <c r="J368" s="149">
        <v>90</v>
      </c>
      <c r="K368" s="66">
        <v>400</v>
      </c>
      <c r="L368" s="66">
        <v>750</v>
      </c>
      <c r="M368" s="150">
        <v>10.539240717769211</v>
      </c>
      <c r="N368" s="78">
        <v>401.28</v>
      </c>
      <c r="O368" s="110">
        <v>21269.914602660392</v>
      </c>
      <c r="P368" s="111">
        <v>25193.154524965361</v>
      </c>
      <c r="Q368" s="110">
        <v>12981.309099800537</v>
      </c>
      <c r="R368" s="258">
        <v>34251.223702460928</v>
      </c>
      <c r="S368" s="259">
        <v>38174.4636247659</v>
      </c>
      <c r="U368" s="7" t="s">
        <v>2428</v>
      </c>
    </row>
    <row r="369" spans="1:21" ht="16.5" thickBot="1">
      <c r="A369" s="41" t="s">
        <v>31</v>
      </c>
      <c r="B369" s="42">
        <f t="shared" si="21"/>
        <v>90</v>
      </c>
      <c r="C369" s="42" t="s">
        <v>3</v>
      </c>
      <c r="D369" s="42">
        <f t="shared" si="22"/>
        <v>400</v>
      </c>
      <c r="E369" s="42" t="s">
        <v>3</v>
      </c>
      <c r="F369" s="90">
        <f t="shared" si="23"/>
        <v>800</v>
      </c>
      <c r="G369" s="42" t="s">
        <v>3</v>
      </c>
      <c r="H369" s="39">
        <v>6</v>
      </c>
      <c r="I369" s="40" t="s">
        <v>40</v>
      </c>
      <c r="J369" s="149">
        <v>90</v>
      </c>
      <c r="K369" s="66">
        <v>400</v>
      </c>
      <c r="L369" s="66">
        <v>800</v>
      </c>
      <c r="M369" s="150">
        <v>11.176900097146053</v>
      </c>
      <c r="N369" s="78">
        <v>451.44</v>
      </c>
      <c r="O369" s="110">
        <v>22267.621904710162</v>
      </c>
      <c r="P369" s="111">
        <v>26402.530908878503</v>
      </c>
      <c r="Q369" s="110">
        <v>13637.916049530511</v>
      </c>
      <c r="R369" s="258">
        <v>35905.537954240674</v>
      </c>
      <c r="S369" s="259">
        <v>40040.446958409011</v>
      </c>
      <c r="U369" s="7" t="s">
        <v>2429</v>
      </c>
    </row>
    <row r="370" spans="1:21" ht="16.5" thickBot="1">
      <c r="A370" s="41" t="s">
        <v>31</v>
      </c>
      <c r="B370" s="42">
        <f t="shared" si="21"/>
        <v>90</v>
      </c>
      <c r="C370" s="42" t="s">
        <v>3</v>
      </c>
      <c r="D370" s="42">
        <f t="shared" si="22"/>
        <v>400</v>
      </c>
      <c r="E370" s="42" t="s">
        <v>3</v>
      </c>
      <c r="F370" s="90">
        <f t="shared" si="23"/>
        <v>850</v>
      </c>
      <c r="G370" s="42" t="s">
        <v>3</v>
      </c>
      <c r="H370" s="39">
        <v>6</v>
      </c>
      <c r="I370" s="40" t="s">
        <v>40</v>
      </c>
      <c r="J370" s="149">
        <v>90</v>
      </c>
      <c r="K370" s="66">
        <v>400</v>
      </c>
      <c r="L370" s="66">
        <v>850</v>
      </c>
      <c r="M370" s="150">
        <v>11.831599476522895</v>
      </c>
      <c r="N370" s="78">
        <v>501.59999999999997</v>
      </c>
      <c r="O370" s="110">
        <v>23265.329359788699</v>
      </c>
      <c r="P370" s="111">
        <v>27611.907445820412</v>
      </c>
      <c r="Q370" s="110">
        <v>14545.85729007302</v>
      </c>
      <c r="R370" s="258">
        <v>37811.186649861716</v>
      </c>
      <c r="S370" s="259">
        <v>42157.764735893434</v>
      </c>
      <c r="U370" s="7" t="s">
        <v>2430</v>
      </c>
    </row>
    <row r="371" spans="1:21" ht="16.5" thickBot="1">
      <c r="A371" s="41" t="s">
        <v>31</v>
      </c>
      <c r="B371" s="42">
        <f t="shared" si="21"/>
        <v>90</v>
      </c>
      <c r="C371" s="42" t="s">
        <v>3</v>
      </c>
      <c r="D371" s="42">
        <f t="shared" si="22"/>
        <v>400</v>
      </c>
      <c r="E371" s="42" t="s">
        <v>3</v>
      </c>
      <c r="F371" s="90">
        <f t="shared" si="23"/>
        <v>900</v>
      </c>
      <c r="G371" s="42" t="s">
        <v>3</v>
      </c>
      <c r="H371" s="39">
        <v>6</v>
      </c>
      <c r="I371" s="40" t="s">
        <v>40</v>
      </c>
      <c r="J371" s="149">
        <v>90</v>
      </c>
      <c r="K371" s="66">
        <v>400</v>
      </c>
      <c r="L371" s="66">
        <v>900</v>
      </c>
      <c r="M371" s="150">
        <v>12.469258855899739</v>
      </c>
      <c r="N371" s="78">
        <v>551.76</v>
      </c>
      <c r="O371" s="110">
        <v>24263.036814867239</v>
      </c>
      <c r="P371" s="111">
        <v>28821.283829733555</v>
      </c>
      <c r="Q371" s="110">
        <v>15202.464239802994</v>
      </c>
      <c r="R371" s="258">
        <v>39465.501054670232</v>
      </c>
      <c r="S371" s="259">
        <v>44023.748069536552</v>
      </c>
      <c r="U371" s="7" t="s">
        <v>2431</v>
      </c>
    </row>
    <row r="372" spans="1:21" ht="16.5" thickBot="1">
      <c r="A372" s="41" t="s">
        <v>31</v>
      </c>
      <c r="B372" s="42">
        <f t="shared" si="21"/>
        <v>90</v>
      </c>
      <c r="C372" s="42" t="s">
        <v>3</v>
      </c>
      <c r="D372" s="42">
        <f t="shared" si="22"/>
        <v>400</v>
      </c>
      <c r="E372" s="42" t="s">
        <v>3</v>
      </c>
      <c r="F372" s="90">
        <f t="shared" si="23"/>
        <v>950</v>
      </c>
      <c r="G372" s="42" t="s">
        <v>3</v>
      </c>
      <c r="H372" s="39">
        <v>6</v>
      </c>
      <c r="I372" s="40" t="s">
        <v>40</v>
      </c>
      <c r="J372" s="149">
        <v>90</v>
      </c>
      <c r="K372" s="66">
        <v>400</v>
      </c>
      <c r="L372" s="66">
        <v>950</v>
      </c>
      <c r="M372" s="150">
        <v>13.123958235276579</v>
      </c>
      <c r="N372" s="78">
        <v>601.91999999999996</v>
      </c>
      <c r="O372" s="110">
        <v>25260.744269945775</v>
      </c>
      <c r="P372" s="111">
        <v>30030.660366675464</v>
      </c>
      <c r="Q372" s="110">
        <v>16110.4054803455</v>
      </c>
      <c r="R372" s="258">
        <v>41371.149750291275</v>
      </c>
      <c r="S372" s="259">
        <v>46141.06584702096</v>
      </c>
      <c r="U372" s="7" t="s">
        <v>2432</v>
      </c>
    </row>
    <row r="373" spans="1:21" ht="16.5" thickBot="1">
      <c r="A373" s="41" t="s">
        <v>31</v>
      </c>
      <c r="B373" s="42">
        <f t="shared" si="21"/>
        <v>90</v>
      </c>
      <c r="C373" s="42" t="s">
        <v>3</v>
      </c>
      <c r="D373" s="42">
        <f t="shared" si="22"/>
        <v>400</v>
      </c>
      <c r="E373" s="42" t="s">
        <v>3</v>
      </c>
      <c r="F373" s="90">
        <f t="shared" si="23"/>
        <v>1000</v>
      </c>
      <c r="G373" s="42" t="s">
        <v>3</v>
      </c>
      <c r="H373" s="39">
        <v>6</v>
      </c>
      <c r="I373" s="40" t="s">
        <v>40</v>
      </c>
      <c r="J373" s="149">
        <v>90</v>
      </c>
      <c r="K373" s="66">
        <v>400</v>
      </c>
      <c r="L373" s="66">
        <v>1000</v>
      </c>
      <c r="M373" s="150">
        <v>13.761617614653421</v>
      </c>
      <c r="N373" s="78">
        <v>652.07999999999993</v>
      </c>
      <c r="O373" s="110">
        <v>26258.451571995545</v>
      </c>
      <c r="P373" s="111">
        <v>31240.036903617372</v>
      </c>
      <c r="Q373" s="110">
        <v>16767.012583104239</v>
      </c>
      <c r="R373" s="258">
        <v>43025.464155099784</v>
      </c>
      <c r="S373" s="259">
        <v>48007.049486721611</v>
      </c>
      <c r="U373" s="7" t="s">
        <v>2433</v>
      </c>
    </row>
    <row r="374" spans="1:21" ht="16.5" thickBot="1">
      <c r="A374" s="41" t="s">
        <v>31</v>
      </c>
      <c r="B374" s="42">
        <f t="shared" si="21"/>
        <v>90</v>
      </c>
      <c r="C374" s="42" t="s">
        <v>3</v>
      </c>
      <c r="D374" s="42">
        <f t="shared" si="22"/>
        <v>400</v>
      </c>
      <c r="E374" s="42" t="s">
        <v>3</v>
      </c>
      <c r="F374" s="90">
        <f t="shared" si="23"/>
        <v>1050</v>
      </c>
      <c r="G374" s="42" t="s">
        <v>3</v>
      </c>
      <c r="H374" s="39">
        <v>6</v>
      </c>
      <c r="I374" s="40" t="s">
        <v>40</v>
      </c>
      <c r="J374" s="149">
        <v>90</v>
      </c>
      <c r="K374" s="66">
        <v>400</v>
      </c>
      <c r="L374" s="66">
        <v>1050</v>
      </c>
      <c r="M374" s="150">
        <v>14.416316994030261</v>
      </c>
      <c r="N374" s="78">
        <v>702.24</v>
      </c>
      <c r="O374" s="110">
        <v>27256.159027074082</v>
      </c>
      <c r="P374" s="111">
        <v>32449.413287530515</v>
      </c>
      <c r="Q374" s="110">
        <v>17674.953670617982</v>
      </c>
      <c r="R374" s="258">
        <v>44931.112697692064</v>
      </c>
      <c r="S374" s="259">
        <v>50124.366958148501</v>
      </c>
      <c r="U374" s="7" t="s">
        <v>2434</v>
      </c>
    </row>
    <row r="375" spans="1:21" ht="16.5" thickBot="1">
      <c r="A375" s="38" t="s">
        <v>31</v>
      </c>
      <c r="B375" s="39">
        <f t="shared" si="21"/>
        <v>90</v>
      </c>
      <c r="C375" s="39" t="s">
        <v>3</v>
      </c>
      <c r="D375" s="39">
        <f t="shared" si="22"/>
        <v>400</v>
      </c>
      <c r="E375" s="39" t="s">
        <v>3</v>
      </c>
      <c r="F375" s="90">
        <f t="shared" si="23"/>
        <v>1100</v>
      </c>
      <c r="G375" s="39" t="s">
        <v>3</v>
      </c>
      <c r="H375" s="39">
        <v>6</v>
      </c>
      <c r="I375" s="40" t="s">
        <v>40</v>
      </c>
      <c r="J375" s="149">
        <v>90</v>
      </c>
      <c r="K375" s="66">
        <v>400</v>
      </c>
      <c r="L375" s="66">
        <v>1100</v>
      </c>
      <c r="M375" s="150">
        <v>15.053976373407107</v>
      </c>
      <c r="N375" s="78">
        <v>752.4</v>
      </c>
      <c r="O375" s="110">
        <v>28097.023015970582</v>
      </c>
      <c r="P375" s="111">
        <v>33500.988857306998</v>
      </c>
      <c r="Q375" s="110">
        <v>18331.560773376717</v>
      </c>
      <c r="R375" s="258">
        <v>46428.5837893473</v>
      </c>
      <c r="S375" s="259">
        <v>51832.549630683716</v>
      </c>
      <c r="U375" s="7" t="s">
        <v>2435</v>
      </c>
    </row>
    <row r="376" spans="1:21" ht="16.5" thickBot="1">
      <c r="A376" s="41" t="s">
        <v>31</v>
      </c>
      <c r="B376" s="42">
        <f t="shared" si="21"/>
        <v>90</v>
      </c>
      <c r="C376" s="42" t="s">
        <v>3</v>
      </c>
      <c r="D376" s="42">
        <f t="shared" si="22"/>
        <v>400</v>
      </c>
      <c r="E376" s="42" t="s">
        <v>3</v>
      </c>
      <c r="F376" s="90">
        <f t="shared" si="23"/>
        <v>1150</v>
      </c>
      <c r="G376" s="42" t="s">
        <v>3</v>
      </c>
      <c r="H376" s="39">
        <v>6</v>
      </c>
      <c r="I376" s="40" t="s">
        <v>40</v>
      </c>
      <c r="J376" s="149">
        <v>90</v>
      </c>
      <c r="K376" s="66">
        <v>400</v>
      </c>
      <c r="L376" s="66">
        <v>1150</v>
      </c>
      <c r="M376" s="150">
        <v>15.691635752783949</v>
      </c>
      <c r="N376" s="78">
        <v>802.56</v>
      </c>
      <c r="O376" s="110">
        <v>29329.995517293413</v>
      </c>
      <c r="P376" s="111">
        <v>34947.066768482655</v>
      </c>
      <c r="Q376" s="110">
        <v>18988.167723106693</v>
      </c>
      <c r="R376" s="258">
        <v>48318.163240400107</v>
      </c>
      <c r="S376" s="259">
        <v>53935.234491589348</v>
      </c>
      <c r="U376" s="7" t="s">
        <v>2436</v>
      </c>
    </row>
    <row r="377" spans="1:21" ht="16.5" thickBot="1">
      <c r="A377" s="41" t="s">
        <v>31</v>
      </c>
      <c r="B377" s="42">
        <f t="shared" si="21"/>
        <v>90</v>
      </c>
      <c r="C377" s="42" t="s">
        <v>3</v>
      </c>
      <c r="D377" s="42">
        <f t="shared" si="22"/>
        <v>400</v>
      </c>
      <c r="E377" s="42" t="s">
        <v>3</v>
      </c>
      <c r="F377" s="90">
        <f t="shared" si="23"/>
        <v>1200</v>
      </c>
      <c r="G377" s="42" t="s">
        <v>3</v>
      </c>
      <c r="H377" s="39">
        <v>6</v>
      </c>
      <c r="I377" s="40" t="s">
        <v>40</v>
      </c>
      <c r="J377" s="149">
        <v>90</v>
      </c>
      <c r="K377" s="66">
        <v>400</v>
      </c>
      <c r="L377" s="66">
        <v>1200</v>
      </c>
      <c r="M377" s="150">
        <v>16.46408513216079</v>
      </c>
      <c r="N377" s="78">
        <v>852.72</v>
      </c>
      <c r="O377" s="110">
        <v>30461.801467135927</v>
      </c>
      <c r="P377" s="111">
        <v>36291.36035105319</v>
      </c>
      <c r="Q377" s="110">
        <v>19896.1089636492</v>
      </c>
      <c r="R377" s="258">
        <v>50357.910430785123</v>
      </c>
      <c r="S377" s="259">
        <v>56187.469314702394</v>
      </c>
      <c r="U377" s="7" t="s">
        <v>2437</v>
      </c>
    </row>
    <row r="378" spans="1:21" ht="16.5" thickBot="1">
      <c r="A378" s="41" t="s">
        <v>31</v>
      </c>
      <c r="B378" s="42">
        <f t="shared" si="21"/>
        <v>90</v>
      </c>
      <c r="C378" s="42" t="s">
        <v>3</v>
      </c>
      <c r="D378" s="42">
        <f t="shared" si="22"/>
        <v>400</v>
      </c>
      <c r="E378" s="42" t="s">
        <v>3</v>
      </c>
      <c r="F378" s="90">
        <f t="shared" si="23"/>
        <v>1250</v>
      </c>
      <c r="G378" s="42" t="s">
        <v>3</v>
      </c>
      <c r="H378" s="39">
        <v>6</v>
      </c>
      <c r="I378" s="40" t="s">
        <v>40</v>
      </c>
      <c r="J378" s="149">
        <v>90</v>
      </c>
      <c r="K378" s="66">
        <v>400</v>
      </c>
      <c r="L378" s="66">
        <v>1250</v>
      </c>
      <c r="M378" s="150">
        <v>17.101744511537632</v>
      </c>
      <c r="N378" s="78">
        <v>902.88</v>
      </c>
      <c r="O378" s="110">
        <v>31459.508922214463</v>
      </c>
      <c r="P378" s="111">
        <v>37500.736887995103</v>
      </c>
      <c r="Q378" s="110">
        <v>20552.715913379172</v>
      </c>
      <c r="R378" s="258">
        <v>52012.224835593632</v>
      </c>
      <c r="S378" s="259">
        <v>58053.452801374275</v>
      </c>
      <c r="U378" s="7" t="s">
        <v>2438</v>
      </c>
    </row>
    <row r="379" spans="1:21" ht="16.5" thickBot="1">
      <c r="A379" s="41" t="s">
        <v>31</v>
      </c>
      <c r="B379" s="42">
        <f t="shared" si="21"/>
        <v>90</v>
      </c>
      <c r="C379" s="42" t="s">
        <v>3</v>
      </c>
      <c r="D379" s="42">
        <f t="shared" si="22"/>
        <v>400</v>
      </c>
      <c r="E379" s="42" t="s">
        <v>3</v>
      </c>
      <c r="F379" s="90">
        <f t="shared" si="23"/>
        <v>1300</v>
      </c>
      <c r="G379" s="42" t="s">
        <v>3</v>
      </c>
      <c r="H379" s="39">
        <v>6</v>
      </c>
      <c r="I379" s="40" t="s">
        <v>40</v>
      </c>
      <c r="J379" s="149">
        <v>90</v>
      </c>
      <c r="K379" s="66">
        <v>400</v>
      </c>
      <c r="L379" s="66">
        <v>1300</v>
      </c>
      <c r="M379" s="150">
        <v>17.756443890914476</v>
      </c>
      <c r="N379" s="78">
        <v>953.04</v>
      </c>
      <c r="O379" s="110">
        <v>32457.216377293003</v>
      </c>
      <c r="P379" s="111">
        <v>38710.113271908245</v>
      </c>
      <c r="Q379" s="110">
        <v>21460.657153921682</v>
      </c>
      <c r="R379" s="258">
        <v>53917.873531214689</v>
      </c>
      <c r="S379" s="259">
        <v>60170.770425829927</v>
      </c>
      <c r="U379" s="7" t="s">
        <v>2439</v>
      </c>
    </row>
    <row r="380" spans="1:21" ht="16.5" thickBot="1">
      <c r="A380" s="41" t="s">
        <v>31</v>
      </c>
      <c r="B380" s="42">
        <f t="shared" si="21"/>
        <v>90</v>
      </c>
      <c r="C380" s="42" t="s">
        <v>3</v>
      </c>
      <c r="D380" s="42">
        <f t="shared" si="22"/>
        <v>400</v>
      </c>
      <c r="E380" s="42" t="s">
        <v>3</v>
      </c>
      <c r="F380" s="90">
        <f t="shared" si="23"/>
        <v>1350</v>
      </c>
      <c r="G380" s="42" t="s">
        <v>3</v>
      </c>
      <c r="H380" s="39">
        <v>6</v>
      </c>
      <c r="I380" s="40" t="s">
        <v>40</v>
      </c>
      <c r="J380" s="149">
        <v>90</v>
      </c>
      <c r="K380" s="66">
        <v>400</v>
      </c>
      <c r="L380" s="66">
        <v>1350</v>
      </c>
      <c r="M380" s="150">
        <v>18.394103270291318</v>
      </c>
      <c r="N380" s="78">
        <v>1003.1999999999999</v>
      </c>
      <c r="O380" s="110">
        <v>33454.92367934277</v>
      </c>
      <c r="P380" s="111">
        <v>39919.48980885015</v>
      </c>
      <c r="Q380" s="110">
        <v>22117.264103651651</v>
      </c>
      <c r="R380" s="258">
        <v>55572.187782994421</v>
      </c>
      <c r="S380" s="259">
        <v>62036.753912501801</v>
      </c>
      <c r="U380" s="7" t="s">
        <v>2440</v>
      </c>
    </row>
    <row r="381" spans="1:21" ht="16.5" thickBot="1">
      <c r="A381" s="41" t="s">
        <v>31</v>
      </c>
      <c r="B381" s="42">
        <f t="shared" si="21"/>
        <v>90</v>
      </c>
      <c r="C381" s="42" t="s">
        <v>3</v>
      </c>
      <c r="D381" s="42">
        <f t="shared" si="22"/>
        <v>400</v>
      </c>
      <c r="E381" s="42" t="s">
        <v>3</v>
      </c>
      <c r="F381" s="90">
        <f t="shared" si="23"/>
        <v>1400</v>
      </c>
      <c r="G381" s="42" t="s">
        <v>3</v>
      </c>
      <c r="H381" s="39">
        <v>6</v>
      </c>
      <c r="I381" s="40" t="s">
        <v>40</v>
      </c>
      <c r="J381" s="149">
        <v>90</v>
      </c>
      <c r="K381" s="66">
        <v>400</v>
      </c>
      <c r="L381" s="66">
        <v>1400</v>
      </c>
      <c r="M381" s="150">
        <v>19.048802649668158</v>
      </c>
      <c r="N381" s="78">
        <v>1053.3599999999999</v>
      </c>
      <c r="O381" s="110">
        <v>34452.63113442131</v>
      </c>
      <c r="P381" s="111">
        <v>41128.866345792056</v>
      </c>
      <c r="Q381" s="110">
        <v>23025.205344194161</v>
      </c>
      <c r="R381" s="258">
        <v>57477.836478615471</v>
      </c>
      <c r="S381" s="259">
        <v>64154.071689986216</v>
      </c>
      <c r="U381" s="7" t="s">
        <v>2441</v>
      </c>
    </row>
    <row r="382" spans="1:21" ht="16.5" thickBot="1">
      <c r="A382" s="41" t="s">
        <v>31</v>
      </c>
      <c r="B382" s="42">
        <f t="shared" si="21"/>
        <v>90</v>
      </c>
      <c r="C382" s="42" t="s">
        <v>3</v>
      </c>
      <c r="D382" s="42">
        <f t="shared" si="22"/>
        <v>400</v>
      </c>
      <c r="E382" s="42" t="s">
        <v>3</v>
      </c>
      <c r="F382" s="90">
        <f t="shared" si="23"/>
        <v>1450</v>
      </c>
      <c r="G382" s="42" t="s">
        <v>3</v>
      </c>
      <c r="H382" s="39">
        <v>6</v>
      </c>
      <c r="I382" s="40" t="s">
        <v>40</v>
      </c>
      <c r="J382" s="149">
        <v>90</v>
      </c>
      <c r="K382" s="66">
        <v>400</v>
      </c>
      <c r="L382" s="66">
        <v>1450</v>
      </c>
      <c r="M382" s="150">
        <v>19.686462029045</v>
      </c>
      <c r="N382" s="78">
        <v>1103.52</v>
      </c>
      <c r="O382" s="110">
        <v>35450.338589499843</v>
      </c>
      <c r="P382" s="111">
        <v>42338.242729705198</v>
      </c>
      <c r="Q382" s="110">
        <v>23681.812293924133</v>
      </c>
      <c r="R382" s="258">
        <v>59132.150883423979</v>
      </c>
      <c r="S382" s="259">
        <v>66020.055023629335</v>
      </c>
      <c r="U382" s="7" t="s">
        <v>2442</v>
      </c>
    </row>
    <row r="383" spans="1:21" ht="16.5" thickBot="1">
      <c r="A383" s="41" t="s">
        <v>31</v>
      </c>
      <c r="B383" s="42">
        <f t="shared" si="21"/>
        <v>90</v>
      </c>
      <c r="C383" s="42" t="s">
        <v>3</v>
      </c>
      <c r="D383" s="42">
        <f t="shared" si="22"/>
        <v>400</v>
      </c>
      <c r="E383" s="42" t="s">
        <v>3</v>
      </c>
      <c r="F383" s="90">
        <f t="shared" si="23"/>
        <v>1500</v>
      </c>
      <c r="G383" s="42" t="s">
        <v>3</v>
      </c>
      <c r="H383" s="39">
        <v>6</v>
      </c>
      <c r="I383" s="40" t="s">
        <v>40</v>
      </c>
      <c r="J383" s="149">
        <v>90</v>
      </c>
      <c r="K383" s="66">
        <v>400</v>
      </c>
      <c r="L383" s="66">
        <v>1500</v>
      </c>
      <c r="M383" s="150">
        <v>20.537728061221845</v>
      </c>
      <c r="N383" s="78">
        <v>1153.6799999999998</v>
      </c>
      <c r="O383" s="110">
        <v>37331.561598775465</v>
      </c>
      <c r="P383" s="111">
        <v>44381.397564632025</v>
      </c>
      <c r="Q383" s="110">
        <v>24589.753534466639</v>
      </c>
      <c r="R383" s="258">
        <v>61921.315133242104</v>
      </c>
      <c r="S383" s="259">
        <v>68971.151099098672</v>
      </c>
      <c r="U383" s="7" t="s">
        <v>2443</v>
      </c>
    </row>
    <row r="384" spans="1:21" ht="16.5" thickBot="1">
      <c r="A384" s="41" t="s">
        <v>31</v>
      </c>
      <c r="B384" s="42">
        <f t="shared" si="21"/>
        <v>90</v>
      </c>
      <c r="C384" s="42" t="s">
        <v>3</v>
      </c>
      <c r="D384" s="42">
        <f t="shared" si="22"/>
        <v>400</v>
      </c>
      <c r="E384" s="42" t="s">
        <v>3</v>
      </c>
      <c r="F384" s="90">
        <f t="shared" si="23"/>
        <v>1550</v>
      </c>
      <c r="G384" s="42" t="s">
        <v>3</v>
      </c>
      <c r="H384" s="39">
        <v>6</v>
      </c>
      <c r="I384" s="40" t="s">
        <v>40</v>
      </c>
      <c r="J384" s="149">
        <v>90</v>
      </c>
      <c r="K384" s="66">
        <v>400</v>
      </c>
      <c r="L384" s="66">
        <v>1550</v>
      </c>
      <c r="M384" s="150">
        <v>21.175387440598683</v>
      </c>
      <c r="N384" s="78">
        <v>1203.8399999999999</v>
      </c>
      <c r="O384" s="110">
        <v>38329.269053854005</v>
      </c>
      <c r="P384" s="111">
        <v>45590.774101573938</v>
      </c>
      <c r="Q384" s="110">
        <v>25246.360484196612</v>
      </c>
      <c r="R384" s="258">
        <v>63575.62953805062</v>
      </c>
      <c r="S384" s="259">
        <v>70837.134585770546</v>
      </c>
      <c r="U384" s="7" t="s">
        <v>2444</v>
      </c>
    </row>
    <row r="385" spans="1:21" ht="16.5" thickBot="1">
      <c r="A385" s="38" t="s">
        <v>31</v>
      </c>
      <c r="B385" s="39">
        <f t="shared" si="21"/>
        <v>90</v>
      </c>
      <c r="C385" s="39" t="s">
        <v>3</v>
      </c>
      <c r="D385" s="39">
        <f t="shared" si="22"/>
        <v>400</v>
      </c>
      <c r="E385" s="39" t="s">
        <v>3</v>
      </c>
      <c r="F385" s="90">
        <f t="shared" si="23"/>
        <v>1600</v>
      </c>
      <c r="G385" s="39" t="s">
        <v>3</v>
      </c>
      <c r="H385" s="39">
        <v>6</v>
      </c>
      <c r="I385" s="40" t="s">
        <v>40</v>
      </c>
      <c r="J385" s="149">
        <v>90</v>
      </c>
      <c r="K385" s="66">
        <v>400</v>
      </c>
      <c r="L385" s="66">
        <v>1600</v>
      </c>
      <c r="M385" s="150">
        <v>21.813046819975526</v>
      </c>
      <c r="N385" s="78">
        <v>1254</v>
      </c>
      <c r="O385" s="110">
        <v>39326.976508932545</v>
      </c>
      <c r="P385" s="111">
        <v>46800.150638515835</v>
      </c>
      <c r="Q385" s="110">
        <v>25902.96758695535</v>
      </c>
      <c r="R385" s="258">
        <v>65229.944095887899</v>
      </c>
      <c r="S385" s="259">
        <v>72703.118225471189</v>
      </c>
      <c r="U385" s="7" t="s">
        <v>2445</v>
      </c>
    </row>
    <row r="386" spans="1:21" ht="16.5" thickBot="1">
      <c r="A386" s="41" t="s">
        <v>31</v>
      </c>
      <c r="B386" s="42">
        <f t="shared" si="21"/>
        <v>90</v>
      </c>
      <c r="C386" s="42" t="s">
        <v>3</v>
      </c>
      <c r="D386" s="42">
        <f t="shared" si="22"/>
        <v>400</v>
      </c>
      <c r="E386" s="42" t="s">
        <v>3</v>
      </c>
      <c r="F386" s="90">
        <f t="shared" si="23"/>
        <v>1650</v>
      </c>
      <c r="G386" s="42" t="s">
        <v>3</v>
      </c>
      <c r="H386" s="39">
        <v>6</v>
      </c>
      <c r="I386" s="40" t="s">
        <v>40</v>
      </c>
      <c r="J386" s="149">
        <v>90</v>
      </c>
      <c r="K386" s="66">
        <v>400</v>
      </c>
      <c r="L386" s="66">
        <v>1650</v>
      </c>
      <c r="M386" s="150">
        <v>22.467746199352369</v>
      </c>
      <c r="N386" s="78">
        <v>1304.1599999999999</v>
      </c>
      <c r="O386" s="110">
        <v>40324.683810982315</v>
      </c>
      <c r="P386" s="111">
        <v>48009.527022428978</v>
      </c>
      <c r="Q386" s="110">
        <v>26810.908827497857</v>
      </c>
      <c r="R386" s="258">
        <v>67135.592638480171</v>
      </c>
      <c r="S386" s="259">
        <v>74820.435849926842</v>
      </c>
      <c r="U386" s="7" t="s">
        <v>2446</v>
      </c>
    </row>
    <row r="387" spans="1:21" ht="16.5" thickBot="1">
      <c r="A387" s="41" t="s">
        <v>31</v>
      </c>
      <c r="B387" s="42">
        <f t="shared" si="21"/>
        <v>90</v>
      </c>
      <c r="C387" s="42" t="s">
        <v>3</v>
      </c>
      <c r="D387" s="42">
        <f t="shared" si="22"/>
        <v>400</v>
      </c>
      <c r="E387" s="42" t="s">
        <v>3</v>
      </c>
      <c r="F387" s="90">
        <f t="shared" si="23"/>
        <v>1700</v>
      </c>
      <c r="G387" s="42" t="s">
        <v>3</v>
      </c>
      <c r="H387" s="39">
        <v>6</v>
      </c>
      <c r="I387" s="40" t="s">
        <v>40</v>
      </c>
      <c r="J387" s="149">
        <v>90</v>
      </c>
      <c r="K387" s="66">
        <v>400</v>
      </c>
      <c r="L387" s="66">
        <v>1700</v>
      </c>
      <c r="M387" s="150">
        <v>23.105405578729211</v>
      </c>
      <c r="N387" s="78">
        <v>1354.32</v>
      </c>
      <c r="O387" s="110">
        <v>41322.391266060848</v>
      </c>
      <c r="P387" s="111">
        <v>49218.90355937089</v>
      </c>
      <c r="Q387" s="110">
        <v>27467.515777227836</v>
      </c>
      <c r="R387" s="258">
        <v>68789.90704328868</v>
      </c>
      <c r="S387" s="259">
        <v>76686.41933659873</v>
      </c>
      <c r="U387" s="7" t="s">
        <v>2447</v>
      </c>
    </row>
    <row r="388" spans="1:21" ht="16.5" thickBot="1">
      <c r="A388" s="41" t="s">
        <v>31</v>
      </c>
      <c r="B388" s="42">
        <f t="shared" si="21"/>
        <v>90</v>
      </c>
      <c r="C388" s="42" t="s">
        <v>3</v>
      </c>
      <c r="D388" s="42">
        <f t="shared" si="22"/>
        <v>400</v>
      </c>
      <c r="E388" s="42" t="s">
        <v>3</v>
      </c>
      <c r="F388" s="90">
        <f t="shared" si="23"/>
        <v>1750</v>
      </c>
      <c r="G388" s="42" t="s">
        <v>3</v>
      </c>
      <c r="H388" s="39">
        <v>6</v>
      </c>
      <c r="I388" s="40" t="s">
        <v>40</v>
      </c>
      <c r="J388" s="149">
        <v>90</v>
      </c>
      <c r="K388" s="66">
        <v>400</v>
      </c>
      <c r="L388" s="66">
        <v>1750</v>
      </c>
      <c r="M388" s="150">
        <v>23.760104958106051</v>
      </c>
      <c r="N388" s="78">
        <v>1404.48</v>
      </c>
      <c r="O388" s="110">
        <v>42320.098721139395</v>
      </c>
      <c r="P388" s="111">
        <v>50428.279943284033</v>
      </c>
      <c r="Q388" s="110">
        <v>28375.457017770343</v>
      </c>
      <c r="R388" s="258">
        <v>70695.555738909738</v>
      </c>
      <c r="S388" s="259">
        <v>78803.736961054383</v>
      </c>
      <c r="U388" s="7" t="s">
        <v>2448</v>
      </c>
    </row>
    <row r="389" spans="1:21" ht="16.5" thickBot="1">
      <c r="A389" s="41" t="s">
        <v>31</v>
      </c>
      <c r="B389" s="42">
        <f t="shared" si="21"/>
        <v>90</v>
      </c>
      <c r="C389" s="42" t="s">
        <v>3</v>
      </c>
      <c r="D389" s="42">
        <f t="shared" si="22"/>
        <v>400</v>
      </c>
      <c r="E389" s="42" t="s">
        <v>3</v>
      </c>
      <c r="F389" s="90">
        <f t="shared" si="23"/>
        <v>1800</v>
      </c>
      <c r="G389" s="42" t="s">
        <v>3</v>
      </c>
      <c r="H389" s="39">
        <v>6</v>
      </c>
      <c r="I389" s="40" t="s">
        <v>40</v>
      </c>
      <c r="J389" s="149">
        <v>90</v>
      </c>
      <c r="K389" s="66">
        <v>400</v>
      </c>
      <c r="L389" s="66">
        <v>1800</v>
      </c>
      <c r="M389" s="150">
        <v>24.397764337482894</v>
      </c>
      <c r="N389" s="78">
        <v>1454.64</v>
      </c>
      <c r="O389" s="110">
        <v>43317.806176217928</v>
      </c>
      <c r="P389" s="111">
        <v>51637.656480225931</v>
      </c>
      <c r="Q389" s="110">
        <v>29032.063967500315</v>
      </c>
      <c r="R389" s="258">
        <v>72349.870143718246</v>
      </c>
      <c r="S389" s="259">
        <v>80669.720447726242</v>
      </c>
      <c r="U389" s="7" t="s">
        <v>2449</v>
      </c>
    </row>
    <row r="390" spans="1:21" ht="16.5" thickBot="1">
      <c r="A390" s="41" t="s">
        <v>31</v>
      </c>
      <c r="B390" s="42">
        <f t="shared" si="21"/>
        <v>90</v>
      </c>
      <c r="C390" s="42" t="s">
        <v>3</v>
      </c>
      <c r="D390" s="42">
        <f t="shared" si="22"/>
        <v>400</v>
      </c>
      <c r="E390" s="42" t="s">
        <v>3</v>
      </c>
      <c r="F390" s="90">
        <f t="shared" si="23"/>
        <v>1850</v>
      </c>
      <c r="G390" s="42" t="s">
        <v>3</v>
      </c>
      <c r="H390" s="39">
        <v>6</v>
      </c>
      <c r="I390" s="40" t="s">
        <v>40</v>
      </c>
      <c r="J390" s="149">
        <v>90</v>
      </c>
      <c r="K390" s="66">
        <v>400</v>
      </c>
      <c r="L390" s="66">
        <v>1850</v>
      </c>
      <c r="M390" s="150">
        <v>25.052463716859741</v>
      </c>
      <c r="N390" s="78">
        <v>1504.8</v>
      </c>
      <c r="O390" s="110">
        <v>44315.513478267698</v>
      </c>
      <c r="P390" s="111">
        <v>52847.033017167851</v>
      </c>
      <c r="Q390" s="110">
        <v>29940.005208042821</v>
      </c>
      <c r="R390" s="258">
        <v>74255.518686310519</v>
      </c>
      <c r="S390" s="259">
        <v>82787.038225210679</v>
      </c>
      <c r="U390" s="7" t="s">
        <v>2450</v>
      </c>
    </row>
    <row r="391" spans="1:21" ht="16.5" thickBot="1">
      <c r="A391" s="41" t="s">
        <v>31</v>
      </c>
      <c r="B391" s="42">
        <f t="shared" si="21"/>
        <v>90</v>
      </c>
      <c r="C391" s="42" t="s">
        <v>3</v>
      </c>
      <c r="D391" s="42">
        <f t="shared" si="22"/>
        <v>400</v>
      </c>
      <c r="E391" s="42" t="s">
        <v>3</v>
      </c>
      <c r="F391" s="90">
        <f t="shared" si="23"/>
        <v>1900</v>
      </c>
      <c r="G391" s="42" t="s">
        <v>3</v>
      </c>
      <c r="H391" s="39">
        <v>6</v>
      </c>
      <c r="I391" s="40" t="s">
        <v>40</v>
      </c>
      <c r="J391" s="149">
        <v>90</v>
      </c>
      <c r="K391" s="66">
        <v>400</v>
      </c>
      <c r="L391" s="66">
        <v>1900</v>
      </c>
      <c r="M391" s="150">
        <v>25.690123096236576</v>
      </c>
      <c r="N391" s="78">
        <v>1554.9599999999998</v>
      </c>
      <c r="O391" s="110">
        <v>45313.220933346238</v>
      </c>
      <c r="P391" s="111">
        <v>54056.409401080986</v>
      </c>
      <c r="Q391" s="110">
        <v>30596.612157772794</v>
      </c>
      <c r="R391" s="258">
        <v>75909.833091119028</v>
      </c>
      <c r="S391" s="259">
        <v>84653.021558853783</v>
      </c>
      <c r="U391" s="7" t="s">
        <v>2451</v>
      </c>
    </row>
    <row r="392" spans="1:21" ht="16.5" thickBot="1">
      <c r="A392" s="41" t="s">
        <v>31</v>
      </c>
      <c r="B392" s="42">
        <f t="shared" si="21"/>
        <v>90</v>
      </c>
      <c r="C392" s="42" t="s">
        <v>3</v>
      </c>
      <c r="D392" s="42">
        <f t="shared" si="22"/>
        <v>400</v>
      </c>
      <c r="E392" s="42" t="s">
        <v>3</v>
      </c>
      <c r="F392" s="90">
        <f t="shared" si="23"/>
        <v>1950</v>
      </c>
      <c r="G392" s="42" t="s">
        <v>3</v>
      </c>
      <c r="H392" s="39">
        <v>6</v>
      </c>
      <c r="I392" s="40" t="s">
        <v>40</v>
      </c>
      <c r="J392" s="149">
        <v>90</v>
      </c>
      <c r="K392" s="66">
        <v>400</v>
      </c>
      <c r="L392" s="66">
        <v>1950</v>
      </c>
      <c r="M392" s="150">
        <v>26.445532475613426</v>
      </c>
      <c r="N392" s="78">
        <v>1605.12</v>
      </c>
      <c r="O392" s="110">
        <v>46445.026883188752</v>
      </c>
      <c r="P392" s="111">
        <v>55400.703136680291</v>
      </c>
      <c r="Q392" s="110">
        <v>31253.219260531532</v>
      </c>
      <c r="R392" s="258">
        <v>77698.246143720287</v>
      </c>
      <c r="S392" s="259">
        <v>86653.92239721182</v>
      </c>
      <c r="U392" s="7" t="s">
        <v>2452</v>
      </c>
    </row>
    <row r="393" spans="1:21" ht="16.5" thickBot="1">
      <c r="A393" s="41" t="s">
        <v>31</v>
      </c>
      <c r="B393" s="42">
        <f t="shared" si="21"/>
        <v>90</v>
      </c>
      <c r="C393" s="42" t="s">
        <v>3</v>
      </c>
      <c r="D393" s="42">
        <f t="shared" si="22"/>
        <v>400</v>
      </c>
      <c r="E393" s="42" t="s">
        <v>3</v>
      </c>
      <c r="F393" s="90">
        <f t="shared" si="23"/>
        <v>2000</v>
      </c>
      <c r="G393" s="42" t="s">
        <v>3</v>
      </c>
      <c r="H393" s="39">
        <v>6</v>
      </c>
      <c r="I393" s="40" t="s">
        <v>40</v>
      </c>
      <c r="J393" s="149">
        <v>90</v>
      </c>
      <c r="K393" s="66">
        <v>400</v>
      </c>
      <c r="L393" s="66">
        <v>2000</v>
      </c>
      <c r="M393" s="150">
        <v>27.191794254990267</v>
      </c>
      <c r="N393" s="78">
        <v>1655.28</v>
      </c>
      <c r="O393" s="110">
        <v>47694.026087083119</v>
      </c>
      <c r="P393" s="111">
        <v>56950.901666618236</v>
      </c>
      <c r="Q393" s="110">
        <v>32161.160348045276</v>
      </c>
      <c r="R393" s="258">
        <v>79855.186435128388</v>
      </c>
      <c r="S393" s="259">
        <v>89112.062014663505</v>
      </c>
      <c r="U393" s="7" t="s">
        <v>2453</v>
      </c>
    </row>
    <row r="394" spans="1:21" ht="16.5" thickBot="1">
      <c r="A394" s="41" t="s">
        <v>31</v>
      </c>
      <c r="B394" s="42">
        <f t="shared" si="21"/>
        <v>90</v>
      </c>
      <c r="C394" s="42" t="s">
        <v>3</v>
      </c>
      <c r="D394" s="42">
        <f t="shared" si="22"/>
        <v>400</v>
      </c>
      <c r="E394" s="42" t="s">
        <v>3</v>
      </c>
      <c r="F394" s="90">
        <f t="shared" si="23"/>
        <v>2050</v>
      </c>
      <c r="G394" s="42" t="s">
        <v>3</v>
      </c>
      <c r="H394" s="39">
        <v>6</v>
      </c>
      <c r="I394" s="40" t="s">
        <v>40</v>
      </c>
      <c r="J394" s="149">
        <v>90</v>
      </c>
      <c r="K394" s="66">
        <v>400</v>
      </c>
      <c r="L394" s="66">
        <v>2050</v>
      </c>
      <c r="M394" s="150">
        <v>27.829453634367106</v>
      </c>
      <c r="N394" s="78">
        <v>1705.44</v>
      </c>
      <c r="O394" s="110">
        <v>48691.733542161659</v>
      </c>
      <c r="P394" s="111">
        <v>58160.278050531379</v>
      </c>
      <c r="Q394" s="110">
        <v>32817.767450804015</v>
      </c>
      <c r="R394" s="258">
        <v>81509.500992965681</v>
      </c>
      <c r="S394" s="259">
        <v>90978.045501335393</v>
      </c>
      <c r="U394" s="7" t="s">
        <v>2454</v>
      </c>
    </row>
    <row r="395" spans="1:21" ht="16.5" thickBot="1">
      <c r="A395" s="38" t="s">
        <v>31</v>
      </c>
      <c r="B395" s="39">
        <f t="shared" si="21"/>
        <v>90</v>
      </c>
      <c r="C395" s="39" t="s">
        <v>3</v>
      </c>
      <c r="D395" s="39">
        <f t="shared" si="22"/>
        <v>400</v>
      </c>
      <c r="E395" s="39" t="s">
        <v>3</v>
      </c>
      <c r="F395" s="90">
        <f t="shared" si="23"/>
        <v>2100</v>
      </c>
      <c r="G395" s="39" t="s">
        <v>3</v>
      </c>
      <c r="H395" s="39">
        <v>6</v>
      </c>
      <c r="I395" s="40" t="s">
        <v>40</v>
      </c>
      <c r="J395" s="149">
        <v>90</v>
      </c>
      <c r="K395" s="66">
        <v>400</v>
      </c>
      <c r="L395" s="66">
        <v>2100</v>
      </c>
      <c r="M395" s="150">
        <v>28.484153013743946</v>
      </c>
      <c r="N395" s="78">
        <v>1755.6</v>
      </c>
      <c r="O395" s="110">
        <v>49689.440997240192</v>
      </c>
      <c r="P395" s="111">
        <v>59369.654587473284</v>
      </c>
      <c r="Q395" s="110">
        <v>33725.708538317755</v>
      </c>
      <c r="R395" s="258">
        <v>83415.149535557954</v>
      </c>
      <c r="S395" s="259">
        <v>93095.363125791046</v>
      </c>
      <c r="U395" s="7" t="s">
        <v>2455</v>
      </c>
    </row>
    <row r="396" spans="1:21" ht="16.5" thickBot="1">
      <c r="A396" s="41" t="s">
        <v>31</v>
      </c>
      <c r="B396" s="42">
        <f t="shared" si="21"/>
        <v>90</v>
      </c>
      <c r="C396" s="42" t="s">
        <v>3</v>
      </c>
      <c r="D396" s="42">
        <f t="shared" si="22"/>
        <v>400</v>
      </c>
      <c r="E396" s="42" t="s">
        <v>3</v>
      </c>
      <c r="F396" s="90">
        <f t="shared" si="23"/>
        <v>2150</v>
      </c>
      <c r="G396" s="42" t="s">
        <v>3</v>
      </c>
      <c r="H396" s="39">
        <v>6</v>
      </c>
      <c r="I396" s="40" t="s">
        <v>40</v>
      </c>
      <c r="J396" s="149">
        <v>90</v>
      </c>
      <c r="K396" s="66">
        <v>400</v>
      </c>
      <c r="L396" s="66">
        <v>2150</v>
      </c>
      <c r="M396" s="150">
        <v>29.121812393120791</v>
      </c>
      <c r="N396" s="78">
        <v>1805.76</v>
      </c>
      <c r="O396" s="110">
        <v>50687.148452318732</v>
      </c>
      <c r="P396" s="111">
        <v>60579.031124415189</v>
      </c>
      <c r="Q396" s="110">
        <v>34382.315641076493</v>
      </c>
      <c r="R396" s="258">
        <v>85069.464093395218</v>
      </c>
      <c r="S396" s="259">
        <v>94961.346765491675</v>
      </c>
      <c r="U396" s="7" t="s">
        <v>2456</v>
      </c>
    </row>
    <row r="397" spans="1:21" ht="16.5" thickBot="1">
      <c r="A397" s="41" t="s">
        <v>31</v>
      </c>
      <c r="B397" s="42">
        <f t="shared" si="21"/>
        <v>90</v>
      </c>
      <c r="C397" s="42" t="s">
        <v>3</v>
      </c>
      <c r="D397" s="42">
        <f t="shared" si="22"/>
        <v>400</v>
      </c>
      <c r="E397" s="42" t="s">
        <v>3</v>
      </c>
      <c r="F397" s="90">
        <f t="shared" si="23"/>
        <v>2200</v>
      </c>
      <c r="G397" s="42" t="s">
        <v>3</v>
      </c>
      <c r="H397" s="39">
        <v>6</v>
      </c>
      <c r="I397" s="40" t="s">
        <v>40</v>
      </c>
      <c r="J397" s="149">
        <v>90</v>
      </c>
      <c r="K397" s="66">
        <v>400</v>
      </c>
      <c r="L397" s="66">
        <v>2200</v>
      </c>
      <c r="M397" s="150">
        <v>29.776511772497635</v>
      </c>
      <c r="N397" s="78">
        <v>1855.9199999999998</v>
      </c>
      <c r="O397" s="110">
        <v>51684.855754368509</v>
      </c>
      <c r="P397" s="111">
        <v>61788.407508328186</v>
      </c>
      <c r="Q397" s="110">
        <v>35290.256728590233</v>
      </c>
      <c r="R397" s="258">
        <v>86975.112482958735</v>
      </c>
      <c r="S397" s="259">
        <v>97078.664236918412</v>
      </c>
      <c r="U397" s="7" t="s">
        <v>2457</v>
      </c>
    </row>
    <row r="398" spans="1:21" ht="16.5" thickBot="1">
      <c r="A398" s="41" t="s">
        <v>31</v>
      </c>
      <c r="B398" s="42">
        <f t="shared" si="21"/>
        <v>90</v>
      </c>
      <c r="C398" s="42" t="s">
        <v>3</v>
      </c>
      <c r="D398" s="42">
        <f t="shared" si="22"/>
        <v>400</v>
      </c>
      <c r="E398" s="42" t="s">
        <v>3</v>
      </c>
      <c r="F398" s="90">
        <f t="shared" si="23"/>
        <v>2250</v>
      </c>
      <c r="G398" s="42" t="s">
        <v>3</v>
      </c>
      <c r="H398" s="39">
        <v>6</v>
      </c>
      <c r="I398" s="40" t="s">
        <v>40</v>
      </c>
      <c r="J398" s="149">
        <v>90</v>
      </c>
      <c r="K398" s="66">
        <v>400</v>
      </c>
      <c r="L398" s="66">
        <v>2250</v>
      </c>
      <c r="M398" s="150">
        <v>30.41417115187447</v>
      </c>
      <c r="N398" s="78">
        <v>1906.08</v>
      </c>
      <c r="O398" s="110">
        <v>52682.563209447042</v>
      </c>
      <c r="P398" s="111">
        <v>62997.784045270244</v>
      </c>
      <c r="Q398" s="110">
        <v>35946.863831348819</v>
      </c>
      <c r="R398" s="258">
        <v>88629.427040795854</v>
      </c>
      <c r="S398" s="259">
        <v>98944.64787661907</v>
      </c>
      <c r="U398" s="7" t="s">
        <v>2458</v>
      </c>
    </row>
    <row r="399" spans="1:21" ht="16.5" thickBot="1">
      <c r="A399" s="41" t="s">
        <v>31</v>
      </c>
      <c r="B399" s="42">
        <f t="shared" si="21"/>
        <v>90</v>
      </c>
      <c r="C399" s="42" t="s">
        <v>3</v>
      </c>
      <c r="D399" s="42">
        <f t="shared" si="22"/>
        <v>400</v>
      </c>
      <c r="E399" s="42" t="s">
        <v>3</v>
      </c>
      <c r="F399" s="90">
        <f t="shared" si="23"/>
        <v>2300</v>
      </c>
      <c r="G399" s="42" t="s">
        <v>3</v>
      </c>
      <c r="H399" s="39">
        <v>6</v>
      </c>
      <c r="I399" s="40" t="s">
        <v>40</v>
      </c>
      <c r="J399" s="149">
        <v>90</v>
      </c>
      <c r="K399" s="66">
        <v>400</v>
      </c>
      <c r="L399" s="66">
        <v>2300</v>
      </c>
      <c r="M399" s="150">
        <v>31.051830531251319</v>
      </c>
      <c r="N399" s="78">
        <v>1956.24</v>
      </c>
      <c r="O399" s="110">
        <v>53680.270664525582</v>
      </c>
      <c r="P399" s="111">
        <v>64207.160429183386</v>
      </c>
      <c r="Q399" s="110">
        <v>36603.470781078948</v>
      </c>
      <c r="R399" s="258">
        <v>90283.741445604537</v>
      </c>
      <c r="S399" s="259">
        <v>100810.63121026233</v>
      </c>
      <c r="U399" s="7" t="s">
        <v>2459</v>
      </c>
    </row>
    <row r="400" spans="1:21" ht="16.5" thickBot="1">
      <c r="A400" s="41" t="s">
        <v>31</v>
      </c>
      <c r="B400" s="42">
        <f t="shared" si="21"/>
        <v>90</v>
      </c>
      <c r="C400" s="42" t="s">
        <v>3</v>
      </c>
      <c r="D400" s="42">
        <f t="shared" si="22"/>
        <v>400</v>
      </c>
      <c r="E400" s="42" t="s">
        <v>3</v>
      </c>
      <c r="F400" s="90">
        <f t="shared" si="23"/>
        <v>2350</v>
      </c>
      <c r="G400" s="42" t="s">
        <v>3</v>
      </c>
      <c r="H400" s="39">
        <v>6</v>
      </c>
      <c r="I400" s="40" t="s">
        <v>40</v>
      </c>
      <c r="J400" s="149">
        <v>90</v>
      </c>
      <c r="K400" s="66">
        <v>400</v>
      </c>
      <c r="L400" s="66">
        <v>2350</v>
      </c>
      <c r="M400" s="150">
        <v>31.706529910628156</v>
      </c>
      <c r="N400" s="78">
        <v>2006.3999999999999</v>
      </c>
      <c r="O400" s="110">
        <v>54677.978119604115</v>
      </c>
      <c r="P400" s="111">
        <v>65416.536966125292</v>
      </c>
      <c r="Q400" s="110">
        <v>37511.412021621458</v>
      </c>
      <c r="R400" s="258">
        <v>92189.390141225565</v>
      </c>
      <c r="S400" s="259">
        <v>102927.94898774676</v>
      </c>
      <c r="U400" s="7" t="s">
        <v>2460</v>
      </c>
    </row>
    <row r="401" spans="1:21" ht="16.5" thickBot="1">
      <c r="A401" s="41" t="s">
        <v>31</v>
      </c>
      <c r="B401" s="42">
        <f t="shared" si="21"/>
        <v>90</v>
      </c>
      <c r="C401" s="42" t="s">
        <v>3</v>
      </c>
      <c r="D401" s="42">
        <f t="shared" si="22"/>
        <v>400</v>
      </c>
      <c r="E401" s="42" t="s">
        <v>3</v>
      </c>
      <c r="F401" s="90">
        <f t="shared" si="23"/>
        <v>2400</v>
      </c>
      <c r="G401" s="42" t="s">
        <v>3</v>
      </c>
      <c r="H401" s="39">
        <v>6</v>
      </c>
      <c r="I401" s="40" t="s">
        <v>40</v>
      </c>
      <c r="J401" s="149">
        <v>90</v>
      </c>
      <c r="K401" s="66">
        <v>400</v>
      </c>
      <c r="L401" s="66">
        <v>2400</v>
      </c>
      <c r="M401" s="150">
        <v>32.344189290004998</v>
      </c>
      <c r="N401" s="78">
        <v>2056.56</v>
      </c>
      <c r="O401" s="110">
        <v>55675.685421653892</v>
      </c>
      <c r="P401" s="111">
        <v>66625.913503067204</v>
      </c>
      <c r="Q401" s="110">
        <v>38168.019124380196</v>
      </c>
      <c r="R401" s="258">
        <v>93843.704546034089</v>
      </c>
      <c r="S401" s="259">
        <v>104793.9326274474</v>
      </c>
      <c r="U401" s="7" t="s">
        <v>2461</v>
      </c>
    </row>
    <row r="402" spans="1:21" ht="16.5" thickBot="1">
      <c r="A402" s="41" t="s">
        <v>31</v>
      </c>
      <c r="B402" s="42">
        <f t="shared" si="21"/>
        <v>90</v>
      </c>
      <c r="C402" s="42" t="s">
        <v>3</v>
      </c>
      <c r="D402" s="42">
        <f t="shared" si="22"/>
        <v>400</v>
      </c>
      <c r="E402" s="42" t="s">
        <v>3</v>
      </c>
      <c r="F402" s="90">
        <f t="shared" si="23"/>
        <v>2450</v>
      </c>
      <c r="G402" s="42" t="s">
        <v>3</v>
      </c>
      <c r="H402" s="39">
        <v>6</v>
      </c>
      <c r="I402" s="40" t="s">
        <v>40</v>
      </c>
      <c r="J402" s="149">
        <v>90</v>
      </c>
      <c r="K402" s="66">
        <v>400</v>
      </c>
      <c r="L402" s="66">
        <v>2450</v>
      </c>
      <c r="M402" s="150">
        <v>33.195455322181843</v>
      </c>
      <c r="N402" s="78">
        <v>2106.7199999999998</v>
      </c>
      <c r="O402" s="110">
        <v>57556.908583958269</v>
      </c>
      <c r="P402" s="111">
        <v>68669.068337994031</v>
      </c>
      <c r="Q402" s="110">
        <v>39075.960211893937</v>
      </c>
      <c r="R402" s="258">
        <v>96632.868795852206</v>
      </c>
      <c r="S402" s="259">
        <v>107745.02854988797</v>
      </c>
      <c r="U402" s="7" t="s">
        <v>2462</v>
      </c>
    </row>
    <row r="403" spans="1:21" ht="16.5" thickBot="1">
      <c r="A403" s="41" t="s">
        <v>31</v>
      </c>
      <c r="B403" s="42">
        <f t="shared" si="21"/>
        <v>90</v>
      </c>
      <c r="C403" s="42" t="s">
        <v>3</v>
      </c>
      <c r="D403" s="42">
        <f t="shared" si="22"/>
        <v>400</v>
      </c>
      <c r="E403" s="42" t="s">
        <v>3</v>
      </c>
      <c r="F403" s="90">
        <f t="shared" si="23"/>
        <v>2500</v>
      </c>
      <c r="G403" s="42" t="s">
        <v>3</v>
      </c>
      <c r="H403" s="39">
        <v>6</v>
      </c>
      <c r="I403" s="40" t="s">
        <v>40</v>
      </c>
      <c r="J403" s="149">
        <v>90</v>
      </c>
      <c r="K403" s="66">
        <v>400</v>
      </c>
      <c r="L403" s="66">
        <v>2500</v>
      </c>
      <c r="M403" s="150">
        <v>33.833114701558685</v>
      </c>
      <c r="N403" s="78">
        <v>2156.88</v>
      </c>
      <c r="O403" s="110">
        <v>58554.61603903681</v>
      </c>
      <c r="P403" s="111">
        <v>69878.444721907174</v>
      </c>
      <c r="Q403" s="110">
        <v>39732.567314652675</v>
      </c>
      <c r="R403" s="258">
        <v>98287.183353689485</v>
      </c>
      <c r="S403" s="259">
        <v>109611.01203655984</v>
      </c>
      <c r="U403" s="7" t="s">
        <v>2463</v>
      </c>
    </row>
    <row r="404" spans="1:21" ht="16.5" thickBot="1">
      <c r="A404" s="41" t="s">
        <v>31</v>
      </c>
      <c r="B404" s="42">
        <f t="shared" si="21"/>
        <v>90</v>
      </c>
      <c r="C404" s="42" t="s">
        <v>3</v>
      </c>
      <c r="D404" s="42">
        <f t="shared" si="22"/>
        <v>400</v>
      </c>
      <c r="E404" s="42" t="s">
        <v>3</v>
      </c>
      <c r="F404" s="90">
        <f t="shared" si="23"/>
        <v>2550</v>
      </c>
      <c r="G404" s="42" t="s">
        <v>3</v>
      </c>
      <c r="H404" s="39">
        <v>6</v>
      </c>
      <c r="I404" s="40" t="s">
        <v>40</v>
      </c>
      <c r="J404" s="149">
        <v>90</v>
      </c>
      <c r="K404" s="66">
        <v>400</v>
      </c>
      <c r="L404" s="66">
        <v>2550</v>
      </c>
      <c r="M404" s="150">
        <v>34.487814080935529</v>
      </c>
      <c r="N404" s="78">
        <v>2207.04</v>
      </c>
      <c r="O404" s="110">
        <v>59552.32334108658</v>
      </c>
      <c r="P404" s="111">
        <v>71087.821258848911</v>
      </c>
      <c r="Q404" s="110">
        <v>40640.508402166415</v>
      </c>
      <c r="R404" s="258">
        <v>100192.83174325299</v>
      </c>
      <c r="S404" s="259">
        <v>111728.32966101533</v>
      </c>
      <c r="U404" s="7" t="s">
        <v>2464</v>
      </c>
    </row>
    <row r="405" spans="1:21" ht="16.5" thickBot="1">
      <c r="A405" s="38" t="s">
        <v>31</v>
      </c>
      <c r="B405" s="39">
        <f t="shared" si="21"/>
        <v>90</v>
      </c>
      <c r="C405" s="39" t="s">
        <v>3</v>
      </c>
      <c r="D405" s="39">
        <f t="shared" si="22"/>
        <v>400</v>
      </c>
      <c r="E405" s="39" t="s">
        <v>3</v>
      </c>
      <c r="F405" s="90">
        <f t="shared" si="23"/>
        <v>2600</v>
      </c>
      <c r="G405" s="39" t="s">
        <v>3</v>
      </c>
      <c r="H405" s="39">
        <v>6</v>
      </c>
      <c r="I405" s="40" t="s">
        <v>40</v>
      </c>
      <c r="J405" s="149">
        <v>90</v>
      </c>
      <c r="K405" s="66">
        <v>400</v>
      </c>
      <c r="L405" s="66">
        <v>2600</v>
      </c>
      <c r="M405" s="150">
        <v>35.125473460312371</v>
      </c>
      <c r="N405" s="78">
        <v>2257.1999999999998</v>
      </c>
      <c r="O405" s="110">
        <v>60550.03079616512</v>
      </c>
      <c r="P405" s="111">
        <v>72297.197795790969</v>
      </c>
      <c r="Q405" s="110">
        <v>41297.115504925154</v>
      </c>
      <c r="R405" s="258">
        <v>101847.14630109028</v>
      </c>
      <c r="S405" s="259">
        <v>113594.31330071612</v>
      </c>
      <c r="U405" s="7" t="s">
        <v>2465</v>
      </c>
    </row>
    <row r="406" spans="1:21" ht="16.5" thickBot="1">
      <c r="A406" s="41" t="s">
        <v>31</v>
      </c>
      <c r="B406" s="42">
        <f t="shared" si="21"/>
        <v>90</v>
      </c>
      <c r="C406" s="42" t="s">
        <v>3</v>
      </c>
      <c r="D406" s="42">
        <f t="shared" si="22"/>
        <v>400</v>
      </c>
      <c r="E406" s="42" t="s">
        <v>3</v>
      </c>
      <c r="F406" s="90">
        <f t="shared" si="23"/>
        <v>2650</v>
      </c>
      <c r="G406" s="42" t="s">
        <v>3</v>
      </c>
      <c r="H406" s="39">
        <v>6</v>
      </c>
      <c r="I406" s="40" t="s">
        <v>40</v>
      </c>
      <c r="J406" s="149">
        <v>90</v>
      </c>
      <c r="K406" s="66">
        <v>400</v>
      </c>
      <c r="L406" s="66">
        <v>2650</v>
      </c>
      <c r="M406" s="150">
        <v>35.780172839689214</v>
      </c>
      <c r="N406" s="78">
        <v>2307.3599999999997</v>
      </c>
      <c r="O406" s="110">
        <v>61547.73825124366</v>
      </c>
      <c r="P406" s="111">
        <v>73506.574179704112</v>
      </c>
      <c r="Q406" s="110">
        <v>42205.056592438901</v>
      </c>
      <c r="R406" s="258">
        <v>103752.79484368255</v>
      </c>
      <c r="S406" s="259">
        <v>115711.63077214302</v>
      </c>
      <c r="U406" s="7" t="s">
        <v>2466</v>
      </c>
    </row>
    <row r="407" spans="1:21" ht="16.5" thickBot="1">
      <c r="A407" s="41" t="s">
        <v>31</v>
      </c>
      <c r="B407" s="42">
        <f t="shared" si="21"/>
        <v>90</v>
      </c>
      <c r="C407" s="42" t="s">
        <v>3</v>
      </c>
      <c r="D407" s="42">
        <f t="shared" si="22"/>
        <v>400</v>
      </c>
      <c r="E407" s="42" t="s">
        <v>3</v>
      </c>
      <c r="F407" s="90">
        <f t="shared" si="23"/>
        <v>2700</v>
      </c>
      <c r="G407" s="42" t="s">
        <v>3</v>
      </c>
      <c r="H407" s="39">
        <v>6</v>
      </c>
      <c r="I407" s="40" t="s">
        <v>40</v>
      </c>
      <c r="J407" s="149">
        <v>90</v>
      </c>
      <c r="K407" s="66">
        <v>400</v>
      </c>
      <c r="L407" s="66">
        <v>2700</v>
      </c>
      <c r="M407" s="150">
        <v>36.535582219066058</v>
      </c>
      <c r="N407" s="78">
        <v>2357.52</v>
      </c>
      <c r="O407" s="110">
        <v>62679.544201086173</v>
      </c>
      <c r="P407" s="111">
        <v>74850.867915303417</v>
      </c>
      <c r="Q407" s="110">
        <v>42861.66369519764</v>
      </c>
      <c r="R407" s="258">
        <v>105541.20789628381</v>
      </c>
      <c r="S407" s="259">
        <v>117712.53161050106</v>
      </c>
      <c r="U407" s="7" t="s">
        <v>2467</v>
      </c>
    </row>
    <row r="408" spans="1:21" ht="16.5" thickBot="1">
      <c r="A408" s="41" t="s">
        <v>31</v>
      </c>
      <c r="B408" s="42">
        <f t="shared" si="21"/>
        <v>90</v>
      </c>
      <c r="C408" s="42" t="s">
        <v>3</v>
      </c>
      <c r="D408" s="42">
        <f t="shared" si="22"/>
        <v>400</v>
      </c>
      <c r="E408" s="42" t="s">
        <v>3</v>
      </c>
      <c r="F408" s="90">
        <f t="shared" si="23"/>
        <v>2750</v>
      </c>
      <c r="G408" s="42" t="s">
        <v>3</v>
      </c>
      <c r="H408" s="39">
        <v>6</v>
      </c>
      <c r="I408" s="40" t="s">
        <v>40</v>
      </c>
      <c r="J408" s="149">
        <v>90</v>
      </c>
      <c r="K408" s="66">
        <v>400</v>
      </c>
      <c r="L408" s="66">
        <v>2750</v>
      </c>
      <c r="M408" s="150">
        <v>37.1732415984429</v>
      </c>
      <c r="N408" s="78">
        <v>2407.6799999999998</v>
      </c>
      <c r="O408" s="110">
        <v>63677.251503135943</v>
      </c>
      <c r="P408" s="111">
        <v>76060.24429921656</v>
      </c>
      <c r="Q408" s="110">
        <v>43518.270644927608</v>
      </c>
      <c r="R408" s="258">
        <v>107195.52214806355</v>
      </c>
      <c r="S408" s="259">
        <v>119578.51494414418</v>
      </c>
      <c r="U408" s="7" t="s">
        <v>2468</v>
      </c>
    </row>
    <row r="409" spans="1:21" ht="16.5" thickBot="1">
      <c r="A409" s="41" t="s">
        <v>31</v>
      </c>
      <c r="B409" s="42">
        <f t="shared" si="21"/>
        <v>90</v>
      </c>
      <c r="C409" s="42" t="s">
        <v>3</v>
      </c>
      <c r="D409" s="42">
        <f t="shared" si="22"/>
        <v>400</v>
      </c>
      <c r="E409" s="42" t="s">
        <v>3</v>
      </c>
      <c r="F409" s="90">
        <f t="shared" si="23"/>
        <v>2800</v>
      </c>
      <c r="G409" s="42" t="s">
        <v>3</v>
      </c>
      <c r="H409" s="39">
        <v>6</v>
      </c>
      <c r="I409" s="40" t="s">
        <v>40</v>
      </c>
      <c r="J409" s="149">
        <v>90</v>
      </c>
      <c r="K409" s="66">
        <v>400</v>
      </c>
      <c r="L409" s="66">
        <v>2800</v>
      </c>
      <c r="M409" s="150">
        <v>37.827940977819736</v>
      </c>
      <c r="N409" s="78">
        <v>2457.8399999999997</v>
      </c>
      <c r="O409" s="110">
        <v>64674.958958214484</v>
      </c>
      <c r="P409" s="111">
        <v>77269.620836158472</v>
      </c>
      <c r="Q409" s="110">
        <v>44426.211885470118</v>
      </c>
      <c r="R409" s="258">
        <v>109101.17084368461</v>
      </c>
      <c r="S409" s="259">
        <v>121695.8327216286</v>
      </c>
      <c r="U409" s="7" t="s">
        <v>2469</v>
      </c>
    </row>
    <row r="410" spans="1:21" ht="16.5" thickBot="1">
      <c r="A410" s="41" t="s">
        <v>31</v>
      </c>
      <c r="B410" s="42">
        <f t="shared" si="21"/>
        <v>90</v>
      </c>
      <c r="C410" s="42" t="s">
        <v>3</v>
      </c>
      <c r="D410" s="42">
        <f t="shared" si="22"/>
        <v>400</v>
      </c>
      <c r="E410" s="42" t="s">
        <v>3</v>
      </c>
      <c r="F410" s="90">
        <f t="shared" si="23"/>
        <v>2850</v>
      </c>
      <c r="G410" s="42" t="s">
        <v>3</v>
      </c>
      <c r="H410" s="39">
        <v>6</v>
      </c>
      <c r="I410" s="40" t="s">
        <v>40</v>
      </c>
      <c r="J410" s="149">
        <v>90</v>
      </c>
      <c r="K410" s="66">
        <v>400</v>
      </c>
      <c r="L410" s="66">
        <v>2850</v>
      </c>
      <c r="M410" s="150">
        <v>38.465600357196578</v>
      </c>
      <c r="N410" s="78">
        <v>2508</v>
      </c>
      <c r="O410" s="110">
        <v>65672.666413293016</v>
      </c>
      <c r="P410" s="111">
        <v>78478.997373100385</v>
      </c>
      <c r="Q410" s="110">
        <v>45082.818835200087</v>
      </c>
      <c r="R410" s="258">
        <v>110755.4852484931</v>
      </c>
      <c r="S410" s="259">
        <v>123561.81620830047</v>
      </c>
      <c r="U410" s="7" t="s">
        <v>2470</v>
      </c>
    </row>
    <row r="411" spans="1:21" ht="16.5" thickBot="1">
      <c r="A411" s="41" t="s">
        <v>31</v>
      </c>
      <c r="B411" s="42">
        <f t="shared" si="21"/>
        <v>90</v>
      </c>
      <c r="C411" s="42" t="s">
        <v>3</v>
      </c>
      <c r="D411" s="42">
        <f t="shared" si="22"/>
        <v>400</v>
      </c>
      <c r="E411" s="42" t="s">
        <v>3</v>
      </c>
      <c r="F411" s="90">
        <f t="shared" si="23"/>
        <v>2900</v>
      </c>
      <c r="G411" s="42" t="s">
        <v>3</v>
      </c>
      <c r="H411" s="39">
        <v>6</v>
      </c>
      <c r="I411" s="40" t="s">
        <v>40</v>
      </c>
      <c r="J411" s="149">
        <v>90</v>
      </c>
      <c r="K411" s="66">
        <v>400</v>
      </c>
      <c r="L411" s="66">
        <v>2900</v>
      </c>
      <c r="M411" s="150">
        <v>39.120299736573415</v>
      </c>
      <c r="N411" s="78">
        <v>2558.1600000000003</v>
      </c>
      <c r="O411" s="110">
        <v>66670.373715342779</v>
      </c>
      <c r="P411" s="111">
        <v>79688.373757013527</v>
      </c>
      <c r="Q411" s="110">
        <v>45990.760075742597</v>
      </c>
      <c r="R411" s="258">
        <v>112661.13379108538</v>
      </c>
      <c r="S411" s="259">
        <v>125679.13383275612</v>
      </c>
      <c r="U411" s="7" t="s">
        <v>2471</v>
      </c>
    </row>
    <row r="412" spans="1:21" ht="16.5" thickBot="1">
      <c r="A412" s="41" t="s">
        <v>31</v>
      </c>
      <c r="B412" s="42">
        <f t="shared" si="21"/>
        <v>90</v>
      </c>
      <c r="C412" s="42" t="s">
        <v>3</v>
      </c>
      <c r="D412" s="42">
        <f t="shared" si="22"/>
        <v>400</v>
      </c>
      <c r="E412" s="42" t="s">
        <v>3</v>
      </c>
      <c r="F412" s="90">
        <f t="shared" si="23"/>
        <v>2950</v>
      </c>
      <c r="G412" s="42" t="s">
        <v>3</v>
      </c>
      <c r="H412" s="39">
        <v>6</v>
      </c>
      <c r="I412" s="40" t="s">
        <v>40</v>
      </c>
      <c r="J412" s="149">
        <v>90</v>
      </c>
      <c r="K412" s="66">
        <v>400</v>
      </c>
      <c r="L412" s="66">
        <v>2950</v>
      </c>
      <c r="M412" s="150">
        <v>39.757959115950264</v>
      </c>
      <c r="N412" s="78">
        <v>2608.3199999999997</v>
      </c>
      <c r="O412" s="110">
        <v>67668.081170421327</v>
      </c>
      <c r="P412" s="111">
        <v>80897.75029395544</v>
      </c>
      <c r="Q412" s="110">
        <v>46647.367025472573</v>
      </c>
      <c r="R412" s="258">
        <v>114315.4481958939</v>
      </c>
      <c r="S412" s="259">
        <v>127545.11731942801</v>
      </c>
      <c r="U412" s="7" t="s">
        <v>2472</v>
      </c>
    </row>
    <row r="413" spans="1:21" ht="16.5" thickBot="1">
      <c r="A413" s="41" t="s">
        <v>31</v>
      </c>
      <c r="B413" s="42">
        <f t="shared" si="21"/>
        <v>90</v>
      </c>
      <c r="C413" s="42" t="s">
        <v>3</v>
      </c>
      <c r="D413" s="42">
        <f t="shared" si="22"/>
        <v>400</v>
      </c>
      <c r="E413" s="42" t="s">
        <v>3</v>
      </c>
      <c r="F413" s="90">
        <f t="shared" si="23"/>
        <v>3000</v>
      </c>
      <c r="G413" s="42" t="s">
        <v>3</v>
      </c>
      <c r="H413" s="39">
        <v>6</v>
      </c>
      <c r="I413" s="40" t="s">
        <v>40</v>
      </c>
      <c r="J413" s="151">
        <v>90</v>
      </c>
      <c r="K413" s="126">
        <v>400</v>
      </c>
      <c r="L413" s="126">
        <v>3000</v>
      </c>
      <c r="M413" s="152">
        <v>40.412658495327101</v>
      </c>
      <c r="N413" s="127">
        <v>2658.48</v>
      </c>
      <c r="O413" s="136">
        <v>69946.710241914363</v>
      </c>
      <c r="P413" s="135">
        <v>82107.126677868582</v>
      </c>
      <c r="Q413" s="136">
        <v>47555.308266015076</v>
      </c>
      <c r="R413" s="260">
        <v>117502.01850792943</v>
      </c>
      <c r="S413" s="261">
        <v>129662.43494388365</v>
      </c>
      <c r="U413" s="7" t="s">
        <v>2473</v>
      </c>
    </row>
    <row r="414" spans="1:21">
      <c r="A414" s="114"/>
      <c r="B414" s="114"/>
      <c r="C414" s="114"/>
      <c r="D414" s="114"/>
      <c r="E414" s="114"/>
      <c r="F414" s="115"/>
      <c r="G414" s="114"/>
      <c r="H414" s="114"/>
      <c r="I414" s="114"/>
      <c r="J414" s="114"/>
    </row>
  </sheetData>
  <mergeCells count="24">
    <mergeCell ref="Q4:Q5"/>
    <mergeCell ref="R4:R5"/>
    <mergeCell ref="S4:S5"/>
    <mergeCell ref="O6:S6"/>
    <mergeCell ref="A4:I6"/>
    <mergeCell ref="J4:M5"/>
    <mergeCell ref="N4:N6"/>
    <mergeCell ref="O4:O5"/>
    <mergeCell ref="P4:P5"/>
    <mergeCell ref="A263:S263"/>
    <mergeCell ref="A313:S313"/>
    <mergeCell ref="A314:S314"/>
    <mergeCell ref="A364:S364"/>
    <mergeCell ref="A7:S7"/>
    <mergeCell ref="A8:S8"/>
    <mergeCell ref="A9:S9"/>
    <mergeCell ref="A110:S110"/>
    <mergeCell ref="A111:S111"/>
    <mergeCell ref="A161:S161"/>
    <mergeCell ref="A162:S162"/>
    <mergeCell ref="A212:S212"/>
    <mergeCell ref="A262:S262"/>
    <mergeCell ref="A59:S59"/>
    <mergeCell ref="A60:S60"/>
  </mergeCells>
  <hyperlinks>
    <hyperlink ref="A1:I1" location="Главная!A1" display="Вернуться на главную страницу" xr:uid="{00000000-0004-0000-1400-000000000000}"/>
    <hyperlink ref="A2" location="'Калькулятор теплоотдач ВК'!R1C1" display="Вернуться Калькулятор теплоотдач ВК" xr:uid="{00000000-0004-0000-1400-000001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3">
    <tabColor rgb="FFFFC000"/>
  </sheetPr>
  <dimension ref="A1:U413"/>
  <sheetViews>
    <sheetView zoomScale="70" zoomScaleNormal="70" workbookViewId="0">
      <pane ySplit="6" topLeftCell="A7" activePane="bottomLeft" state="frozen"/>
      <selection pane="bottomLeft" activeCell="AA363" sqref="AA363"/>
    </sheetView>
  </sheetViews>
  <sheetFormatPr defaultRowHeight="15.75"/>
  <cols>
    <col min="1" max="1" width="3.710937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4.5703125" style="7" customWidth="1"/>
    <col min="10" max="10" width="11.28515625" style="7" customWidth="1"/>
    <col min="11" max="12" width="11.28515625" style="87" customWidth="1"/>
    <col min="13" max="13" width="15.5703125" style="9" customWidth="1"/>
    <col min="14" max="14" width="19.140625" style="7" customWidth="1"/>
    <col min="15" max="15" width="27.7109375" style="112" customWidth="1"/>
    <col min="16" max="16" width="27.7109375" style="106" customWidth="1"/>
    <col min="17" max="17" width="26.28515625" style="107" customWidth="1"/>
    <col min="18" max="18" width="27.7109375" style="112" customWidth="1"/>
    <col min="19" max="19" width="27.7109375" style="107" customWidth="1"/>
    <col min="21" max="21" width="22.42578125" customWidth="1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0"/>
      <c r="O1" s="107"/>
      <c r="P1" s="107"/>
      <c r="R1" s="107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s="65" customFormat="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1"/>
      <c r="N3" s="7"/>
      <c r="O3" s="106"/>
      <c r="P3" s="106"/>
      <c r="Q3" s="107"/>
      <c r="R3" s="107"/>
      <c r="S3" s="107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142</v>
      </c>
      <c r="P4" s="3008" t="s">
        <v>138</v>
      </c>
      <c r="Q4" s="3045" t="s">
        <v>143</v>
      </c>
      <c r="R4" s="3020" t="s">
        <v>420</v>
      </c>
      <c r="S4" s="2981" t="s">
        <v>421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s="65" customFormat="1" ht="22.5" customHeight="1" thickBot="1">
      <c r="A7" s="2968" t="s">
        <v>472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s="65" customFormat="1" ht="22.5" customHeight="1" thickBot="1">
      <c r="A8" s="2971" t="s">
        <v>62</v>
      </c>
      <c r="B8" s="2972"/>
      <c r="C8" s="2972"/>
      <c r="D8" s="2972"/>
      <c r="E8" s="2972"/>
      <c r="F8" s="2972"/>
      <c r="G8" s="2972"/>
      <c r="H8" s="2972"/>
      <c r="I8" s="2972"/>
      <c r="J8" s="2972"/>
      <c r="K8" s="2972"/>
      <c r="L8" s="2972"/>
      <c r="M8" s="2972"/>
      <c r="N8" s="2972"/>
      <c r="O8" s="2972"/>
      <c r="P8" s="2972"/>
      <c r="Q8" s="2972"/>
      <c r="R8" s="2972"/>
      <c r="S8" s="2973"/>
    </row>
    <row r="9" spans="1:21" s="65" customFormat="1" ht="16.5" customHeight="1" thickBot="1">
      <c r="A9" s="2974" t="s">
        <v>112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5"/>
      <c r="R9" s="3022"/>
      <c r="S9" s="3023"/>
    </row>
    <row r="10" spans="1:21" s="65" customFormat="1" ht="16.5" customHeight="1" thickBot="1">
      <c r="A10" s="38" t="s">
        <v>31</v>
      </c>
      <c r="B10" s="39">
        <f>J10</f>
        <v>110</v>
      </c>
      <c r="C10" s="39" t="s">
        <v>3</v>
      </c>
      <c r="D10" s="39">
        <f>K10</f>
        <v>160</v>
      </c>
      <c r="E10" s="39" t="s">
        <v>3</v>
      </c>
      <c r="F10" s="101">
        <f>L10</f>
        <v>600</v>
      </c>
      <c r="G10" s="39" t="s">
        <v>3</v>
      </c>
      <c r="H10" s="39">
        <v>2</v>
      </c>
      <c r="I10" s="40" t="s">
        <v>40</v>
      </c>
      <c r="J10" s="146">
        <v>110</v>
      </c>
      <c r="K10" s="138">
        <v>160</v>
      </c>
      <c r="L10" s="138">
        <v>600</v>
      </c>
      <c r="M10" s="147">
        <v>4.97146841562025</v>
      </c>
      <c r="N10" s="123">
        <v>110.91153918239998</v>
      </c>
      <c r="O10" s="148">
        <v>10609.343193594807</v>
      </c>
      <c r="P10" s="148">
        <v>12668.393279383932</v>
      </c>
      <c r="Q10" s="253">
        <v>6395.7962266903232</v>
      </c>
      <c r="R10" s="256">
        <v>17005.13942028513</v>
      </c>
      <c r="S10" s="257">
        <v>19064.189506074254</v>
      </c>
      <c r="U10" s="7" t="s">
        <v>2474</v>
      </c>
    </row>
    <row r="11" spans="1:21" s="65" customFormat="1" ht="16.5" customHeight="1" thickBot="1">
      <c r="A11" s="41" t="s">
        <v>31</v>
      </c>
      <c r="B11" s="42">
        <f t="shared" ref="B11:B58" si="0">J11</f>
        <v>110</v>
      </c>
      <c r="C11" s="42" t="s">
        <v>3</v>
      </c>
      <c r="D11" s="42">
        <f t="shared" ref="D11:D58" si="1">K11</f>
        <v>160</v>
      </c>
      <c r="E11" s="42" t="s">
        <v>3</v>
      </c>
      <c r="F11" s="101">
        <f t="shared" ref="F11:F58" si="2">L11</f>
        <v>650</v>
      </c>
      <c r="G11" s="42" t="s">
        <v>3</v>
      </c>
      <c r="H11" s="39">
        <v>2</v>
      </c>
      <c r="I11" s="40" t="s">
        <v>40</v>
      </c>
      <c r="J11" s="149">
        <v>110</v>
      </c>
      <c r="K11" s="104">
        <v>160</v>
      </c>
      <c r="L11" s="104">
        <v>650</v>
      </c>
      <c r="M11" s="150">
        <v>5.3197801901062496</v>
      </c>
      <c r="N11" s="78">
        <v>133.09384701887996</v>
      </c>
      <c r="O11" s="111">
        <v>11047.553304831456</v>
      </c>
      <c r="P11" s="111">
        <v>13238.369267917757</v>
      </c>
      <c r="Q11" s="254">
        <v>6733.286477412059</v>
      </c>
      <c r="R11" s="258">
        <v>17780.839782243514</v>
      </c>
      <c r="S11" s="259">
        <v>19971.655745329816</v>
      </c>
      <c r="U11" s="7" t="s">
        <v>2475</v>
      </c>
    </row>
    <row r="12" spans="1:21" s="65" customFormat="1" ht="16.5" customHeight="1" thickBot="1">
      <c r="A12" s="41" t="s">
        <v>31</v>
      </c>
      <c r="B12" s="42">
        <f t="shared" si="0"/>
        <v>110</v>
      </c>
      <c r="C12" s="42" t="s">
        <v>3</v>
      </c>
      <c r="D12" s="42">
        <f t="shared" si="1"/>
        <v>160</v>
      </c>
      <c r="E12" s="42" t="s">
        <v>3</v>
      </c>
      <c r="F12" s="101">
        <f t="shared" si="2"/>
        <v>700</v>
      </c>
      <c r="G12" s="42" t="s">
        <v>3</v>
      </c>
      <c r="H12" s="39">
        <v>2</v>
      </c>
      <c r="I12" s="40" t="s">
        <v>40</v>
      </c>
      <c r="J12" s="149">
        <v>110</v>
      </c>
      <c r="K12" s="104">
        <v>160</v>
      </c>
      <c r="L12" s="104">
        <v>700</v>
      </c>
      <c r="M12" s="150">
        <v>5.6842799645922488</v>
      </c>
      <c r="N12" s="78">
        <v>155.27615485535998</v>
      </c>
      <c r="O12" s="111">
        <v>11485.763416068103</v>
      </c>
      <c r="P12" s="111">
        <v>13808.345103422815</v>
      </c>
      <c r="Q12" s="254">
        <v>7322.1107128887988</v>
      </c>
      <c r="R12" s="258">
        <v>18807.874128956901</v>
      </c>
      <c r="S12" s="259">
        <v>21130.455816311613</v>
      </c>
      <c r="U12" s="7" t="s">
        <v>2476</v>
      </c>
    </row>
    <row r="13" spans="1:21" s="65" customFormat="1" ht="16.5" customHeight="1" thickBot="1">
      <c r="A13" s="41" t="s">
        <v>31</v>
      </c>
      <c r="B13" s="42">
        <f t="shared" si="0"/>
        <v>110</v>
      </c>
      <c r="C13" s="42" t="s">
        <v>3</v>
      </c>
      <c r="D13" s="42">
        <f t="shared" si="1"/>
        <v>160</v>
      </c>
      <c r="E13" s="42" t="s">
        <v>3</v>
      </c>
      <c r="F13" s="101">
        <f t="shared" si="2"/>
        <v>750</v>
      </c>
      <c r="G13" s="42" t="s">
        <v>3</v>
      </c>
      <c r="H13" s="39">
        <v>2</v>
      </c>
      <c r="I13" s="40" t="s">
        <v>40</v>
      </c>
      <c r="J13" s="149">
        <v>110</v>
      </c>
      <c r="K13" s="104">
        <v>160</v>
      </c>
      <c r="L13" s="104">
        <v>750</v>
      </c>
      <c r="M13" s="150">
        <v>6.0325917390782493</v>
      </c>
      <c r="N13" s="78">
        <v>177.45846269183997</v>
      </c>
      <c r="O13" s="111">
        <v>11923.973374275985</v>
      </c>
      <c r="P13" s="111">
        <v>14378.321091956639</v>
      </c>
      <c r="Q13" s="254">
        <v>7659.6009636105346</v>
      </c>
      <c r="R13" s="258">
        <v>19583.574337886519</v>
      </c>
      <c r="S13" s="259">
        <v>22037.922055567175</v>
      </c>
      <c r="U13" s="7" t="s">
        <v>2477</v>
      </c>
    </row>
    <row r="14" spans="1:21" s="65" customFormat="1" ht="16.5" customHeight="1" thickBot="1">
      <c r="A14" s="41" t="s">
        <v>31</v>
      </c>
      <c r="B14" s="42">
        <f t="shared" si="0"/>
        <v>110</v>
      </c>
      <c r="C14" s="42" t="s">
        <v>3</v>
      </c>
      <c r="D14" s="42">
        <f t="shared" si="1"/>
        <v>160</v>
      </c>
      <c r="E14" s="42" t="s">
        <v>3</v>
      </c>
      <c r="F14" s="101">
        <f t="shared" si="2"/>
        <v>800</v>
      </c>
      <c r="G14" s="42" t="s">
        <v>3</v>
      </c>
      <c r="H14" s="39">
        <v>2</v>
      </c>
      <c r="I14" s="40" t="s">
        <v>40</v>
      </c>
      <c r="J14" s="149">
        <v>110</v>
      </c>
      <c r="K14" s="104">
        <v>160</v>
      </c>
      <c r="L14" s="104">
        <v>800</v>
      </c>
      <c r="M14" s="150">
        <v>6.3809035135642507</v>
      </c>
      <c r="N14" s="78">
        <v>199.64077052831996</v>
      </c>
      <c r="O14" s="111">
        <v>12362.183485512633</v>
      </c>
      <c r="P14" s="111">
        <v>14948.297080490462</v>
      </c>
      <c r="Q14" s="254">
        <v>7997.0912143322694</v>
      </c>
      <c r="R14" s="258">
        <v>20359.2746998449</v>
      </c>
      <c r="S14" s="259">
        <v>22945.388294822733</v>
      </c>
      <c r="U14" s="7" t="s">
        <v>2478</v>
      </c>
    </row>
    <row r="15" spans="1:21" s="65" customFormat="1" ht="16.5" customHeight="1" thickBot="1">
      <c r="A15" s="41" t="s">
        <v>31</v>
      </c>
      <c r="B15" s="42">
        <f t="shared" si="0"/>
        <v>110</v>
      </c>
      <c r="C15" s="42" t="s">
        <v>3</v>
      </c>
      <c r="D15" s="42">
        <f t="shared" si="1"/>
        <v>160</v>
      </c>
      <c r="E15" s="42" t="s">
        <v>3</v>
      </c>
      <c r="F15" s="101">
        <f t="shared" si="2"/>
        <v>850</v>
      </c>
      <c r="G15" s="42" t="s">
        <v>3</v>
      </c>
      <c r="H15" s="39">
        <v>2</v>
      </c>
      <c r="I15" s="40" t="s">
        <v>40</v>
      </c>
      <c r="J15" s="149">
        <v>110</v>
      </c>
      <c r="K15" s="104">
        <v>160</v>
      </c>
      <c r="L15" s="104">
        <v>850</v>
      </c>
      <c r="M15" s="150">
        <v>6.7454032880502499</v>
      </c>
      <c r="N15" s="78">
        <v>221.82307836479995</v>
      </c>
      <c r="O15" s="111">
        <v>12800.393596749282</v>
      </c>
      <c r="P15" s="111">
        <v>15518.272915995522</v>
      </c>
      <c r="Q15" s="254">
        <v>8585.9156028377747</v>
      </c>
      <c r="R15" s="258">
        <v>21386.309199587056</v>
      </c>
      <c r="S15" s="259">
        <v>24104.188518833296</v>
      </c>
      <c r="U15" s="7" t="s">
        <v>2479</v>
      </c>
    </row>
    <row r="16" spans="1:21" s="65" customFormat="1" ht="16.5" customHeight="1" thickBot="1">
      <c r="A16" s="41" t="s">
        <v>31</v>
      </c>
      <c r="B16" s="42">
        <f t="shared" si="0"/>
        <v>110</v>
      </c>
      <c r="C16" s="42" t="s">
        <v>3</v>
      </c>
      <c r="D16" s="42">
        <f t="shared" si="1"/>
        <v>160</v>
      </c>
      <c r="E16" s="42" t="s">
        <v>3</v>
      </c>
      <c r="F16" s="101">
        <f t="shared" si="2"/>
        <v>900</v>
      </c>
      <c r="G16" s="42" t="s">
        <v>3</v>
      </c>
      <c r="H16" s="39">
        <v>2</v>
      </c>
      <c r="I16" s="40" t="s">
        <v>40</v>
      </c>
      <c r="J16" s="149">
        <v>110</v>
      </c>
      <c r="K16" s="104">
        <v>160</v>
      </c>
      <c r="L16" s="104">
        <v>900</v>
      </c>
      <c r="M16" s="150">
        <v>7.0937150625362513</v>
      </c>
      <c r="N16" s="78">
        <v>244.00538620127998</v>
      </c>
      <c r="O16" s="111">
        <v>13238.603707985929</v>
      </c>
      <c r="P16" s="111">
        <v>16088.248904529348</v>
      </c>
      <c r="Q16" s="254">
        <v>8923.4057005307459</v>
      </c>
      <c r="R16" s="258">
        <v>22162.009408516675</v>
      </c>
      <c r="S16" s="259">
        <v>25011.654605060095</v>
      </c>
      <c r="U16" s="7" t="s">
        <v>2480</v>
      </c>
    </row>
    <row r="17" spans="1:21" s="65" customFormat="1" ht="16.5" customHeight="1" thickBot="1">
      <c r="A17" s="41" t="s">
        <v>31</v>
      </c>
      <c r="B17" s="42">
        <f t="shared" si="0"/>
        <v>110</v>
      </c>
      <c r="C17" s="42" t="s">
        <v>3</v>
      </c>
      <c r="D17" s="42">
        <f t="shared" si="1"/>
        <v>160</v>
      </c>
      <c r="E17" s="42" t="s">
        <v>3</v>
      </c>
      <c r="F17" s="101">
        <f t="shared" si="2"/>
        <v>950</v>
      </c>
      <c r="G17" s="42" t="s">
        <v>3</v>
      </c>
      <c r="H17" s="39">
        <v>2</v>
      </c>
      <c r="I17" s="40" t="s">
        <v>40</v>
      </c>
      <c r="J17" s="149">
        <v>110</v>
      </c>
      <c r="K17" s="104">
        <v>160</v>
      </c>
      <c r="L17" s="104">
        <v>950</v>
      </c>
      <c r="M17" s="150">
        <v>7.4582148370222505</v>
      </c>
      <c r="N17" s="78">
        <v>266.18769403775991</v>
      </c>
      <c r="O17" s="111">
        <v>14396.646133551594</v>
      </c>
      <c r="P17" s="111">
        <v>16658.224893063172</v>
      </c>
      <c r="Q17" s="254">
        <v>9512.2300890362512</v>
      </c>
      <c r="R17" s="258">
        <v>23908.876222587845</v>
      </c>
      <c r="S17" s="259">
        <v>26170.454982099422</v>
      </c>
      <c r="U17" s="7" t="s">
        <v>2481</v>
      </c>
    </row>
    <row r="18" spans="1:21" s="65" customFormat="1" ht="16.5" customHeight="1" thickBot="1">
      <c r="A18" s="41" t="s">
        <v>31</v>
      </c>
      <c r="B18" s="42">
        <f t="shared" si="0"/>
        <v>110</v>
      </c>
      <c r="C18" s="42" t="s">
        <v>3</v>
      </c>
      <c r="D18" s="42">
        <f t="shared" si="1"/>
        <v>160</v>
      </c>
      <c r="E18" s="42" t="s">
        <v>3</v>
      </c>
      <c r="F18" s="101">
        <f t="shared" si="2"/>
        <v>1000</v>
      </c>
      <c r="G18" s="42" t="s">
        <v>3</v>
      </c>
      <c r="H18" s="39">
        <v>2</v>
      </c>
      <c r="I18" s="40" t="s">
        <v>40</v>
      </c>
      <c r="J18" s="149">
        <v>110</v>
      </c>
      <c r="K18" s="104">
        <v>160</v>
      </c>
      <c r="L18" s="104">
        <v>1000</v>
      </c>
      <c r="M18" s="150">
        <v>6.8916469315082498</v>
      </c>
      <c r="N18" s="78">
        <v>288.3700018742399</v>
      </c>
      <c r="O18" s="111">
        <v>14857.919822095289</v>
      </c>
      <c r="P18" s="111">
        <v>17228.20072856823</v>
      </c>
      <c r="Q18" s="254">
        <v>9849.7203397579869</v>
      </c>
      <c r="R18" s="258">
        <v>24707.640161853276</v>
      </c>
      <c r="S18" s="259">
        <v>27077.921068326217</v>
      </c>
      <c r="U18" s="7" t="s">
        <v>2482</v>
      </c>
    </row>
    <row r="19" spans="1:21" s="65" customFormat="1" ht="16.5" customHeight="1" thickBot="1">
      <c r="A19" s="41" t="s">
        <v>31</v>
      </c>
      <c r="B19" s="42">
        <f t="shared" si="0"/>
        <v>110</v>
      </c>
      <c r="C19" s="42" t="s">
        <v>3</v>
      </c>
      <c r="D19" s="42">
        <f t="shared" si="1"/>
        <v>160</v>
      </c>
      <c r="E19" s="42" t="s">
        <v>3</v>
      </c>
      <c r="F19" s="101">
        <f t="shared" si="2"/>
        <v>1050</v>
      </c>
      <c r="G19" s="42" t="s">
        <v>3</v>
      </c>
      <c r="H19" s="39">
        <v>2</v>
      </c>
      <c r="I19" s="40" t="s">
        <v>40</v>
      </c>
      <c r="J19" s="149">
        <v>110</v>
      </c>
      <c r="K19" s="104">
        <v>160</v>
      </c>
      <c r="L19" s="104">
        <v>1050</v>
      </c>
      <c r="M19" s="150">
        <v>8.1710263859942494</v>
      </c>
      <c r="N19" s="78">
        <v>310.55230971071995</v>
      </c>
      <c r="O19" s="111">
        <v>15319.193663667751</v>
      </c>
      <c r="P19" s="111">
        <v>17798.176717102055</v>
      </c>
      <c r="Q19" s="254">
        <v>10438.544728263492</v>
      </c>
      <c r="R19" s="258">
        <v>25757.738391931241</v>
      </c>
      <c r="S19" s="259">
        <v>28236.721445365547</v>
      </c>
      <c r="U19" s="7" t="s">
        <v>2483</v>
      </c>
    </row>
    <row r="20" spans="1:21" s="65" customFormat="1" ht="16.5" customHeight="1" thickBot="1">
      <c r="A20" s="38" t="s">
        <v>31</v>
      </c>
      <c r="B20" s="39">
        <f t="shared" si="0"/>
        <v>110</v>
      </c>
      <c r="C20" s="39" t="s">
        <v>3</v>
      </c>
      <c r="D20" s="39">
        <f t="shared" si="1"/>
        <v>160</v>
      </c>
      <c r="E20" s="39" t="s">
        <v>3</v>
      </c>
      <c r="F20" s="101">
        <f t="shared" si="2"/>
        <v>1100</v>
      </c>
      <c r="G20" s="39" t="s">
        <v>3</v>
      </c>
      <c r="H20" s="39">
        <v>2</v>
      </c>
      <c r="I20" s="40" t="s">
        <v>40</v>
      </c>
      <c r="J20" s="149">
        <v>110</v>
      </c>
      <c r="K20" s="104">
        <v>160</v>
      </c>
      <c r="L20" s="104">
        <v>1100</v>
      </c>
      <c r="M20" s="150">
        <v>8.5193381604802507</v>
      </c>
      <c r="N20" s="78">
        <v>332.73461754719989</v>
      </c>
      <c r="O20" s="111">
        <v>15780.467505240214</v>
      </c>
      <c r="P20" s="111">
        <v>18368.152705635879</v>
      </c>
      <c r="Q20" s="254">
        <v>10776.034825956463</v>
      </c>
      <c r="R20" s="258">
        <v>26556.50233119668</v>
      </c>
      <c r="S20" s="259">
        <v>29144.187531592343</v>
      </c>
      <c r="U20" s="7" t="s">
        <v>2484</v>
      </c>
    </row>
    <row r="21" spans="1:21" s="65" customFormat="1" ht="16.5" customHeight="1" thickBot="1">
      <c r="A21" s="41" t="s">
        <v>31</v>
      </c>
      <c r="B21" s="42">
        <f t="shared" si="0"/>
        <v>110</v>
      </c>
      <c r="C21" s="42" t="s">
        <v>3</v>
      </c>
      <c r="D21" s="42">
        <f t="shared" si="1"/>
        <v>160</v>
      </c>
      <c r="E21" s="42" t="s">
        <v>3</v>
      </c>
      <c r="F21" s="101">
        <f t="shared" si="2"/>
        <v>1150</v>
      </c>
      <c r="G21" s="42" t="s">
        <v>3</v>
      </c>
      <c r="H21" s="39">
        <v>2</v>
      </c>
      <c r="I21" s="40" t="s">
        <v>40</v>
      </c>
      <c r="J21" s="149">
        <v>110</v>
      </c>
      <c r="K21" s="104">
        <v>160</v>
      </c>
      <c r="L21" s="104">
        <v>1150</v>
      </c>
      <c r="M21" s="150">
        <v>8.8676499349662503</v>
      </c>
      <c r="N21" s="78">
        <v>354.91692538367994</v>
      </c>
      <c r="O21" s="111">
        <v>16241.74119378391</v>
      </c>
      <c r="P21" s="111">
        <v>18938.128541140937</v>
      </c>
      <c r="Q21" s="254">
        <v>11113.525076678199</v>
      </c>
      <c r="R21" s="258">
        <v>27355.266270462111</v>
      </c>
      <c r="S21" s="259">
        <v>30051.653617819138</v>
      </c>
      <c r="U21" s="7" t="s">
        <v>2485</v>
      </c>
    </row>
    <row r="22" spans="1:21" s="65" customFormat="1" ht="16.5" customHeight="1" thickBot="1">
      <c r="A22" s="41" t="s">
        <v>31</v>
      </c>
      <c r="B22" s="42">
        <f t="shared" si="0"/>
        <v>110</v>
      </c>
      <c r="C22" s="42" t="s">
        <v>3</v>
      </c>
      <c r="D22" s="42">
        <f t="shared" si="1"/>
        <v>160</v>
      </c>
      <c r="E22" s="42" t="s">
        <v>3</v>
      </c>
      <c r="F22" s="101">
        <f t="shared" si="2"/>
        <v>1200</v>
      </c>
      <c r="G22" s="42" t="s">
        <v>3</v>
      </c>
      <c r="H22" s="39">
        <v>2</v>
      </c>
      <c r="I22" s="40" t="s">
        <v>40</v>
      </c>
      <c r="J22" s="149">
        <v>110</v>
      </c>
      <c r="K22" s="104">
        <v>160</v>
      </c>
      <c r="L22" s="104">
        <v>1200</v>
      </c>
      <c r="M22" s="150">
        <v>9.2694372094522492</v>
      </c>
      <c r="N22" s="78">
        <v>377.09923322015987</v>
      </c>
      <c r="O22" s="111">
        <v>16752.890170485913</v>
      </c>
      <c r="P22" s="111">
        <v>19558.409981691835</v>
      </c>
      <c r="Q22" s="254">
        <v>11702.349465183703</v>
      </c>
      <c r="R22" s="258">
        <v>28455.239635669615</v>
      </c>
      <c r="S22" s="259">
        <v>31260.759446875538</v>
      </c>
      <c r="U22" s="7" t="s">
        <v>2486</v>
      </c>
    </row>
    <row r="23" spans="1:21" s="65" customFormat="1" ht="16.5" customHeight="1" thickBot="1">
      <c r="A23" s="41" t="s">
        <v>31</v>
      </c>
      <c r="B23" s="42">
        <f t="shared" si="0"/>
        <v>110</v>
      </c>
      <c r="C23" s="42" t="s">
        <v>3</v>
      </c>
      <c r="D23" s="42">
        <f t="shared" si="1"/>
        <v>160</v>
      </c>
      <c r="E23" s="42" t="s">
        <v>3</v>
      </c>
      <c r="F23" s="101">
        <f t="shared" si="2"/>
        <v>1250</v>
      </c>
      <c r="G23" s="42" t="s">
        <v>3</v>
      </c>
      <c r="H23" s="39">
        <v>2</v>
      </c>
      <c r="I23" s="40" t="s">
        <v>40</v>
      </c>
      <c r="J23" s="149">
        <v>110</v>
      </c>
      <c r="K23" s="104">
        <v>160</v>
      </c>
      <c r="L23" s="104">
        <v>1250</v>
      </c>
      <c r="M23" s="150">
        <v>9.6177489839382488</v>
      </c>
      <c r="N23" s="78">
        <v>399.28154105663992</v>
      </c>
      <c r="O23" s="111">
        <v>17214.164012058376</v>
      </c>
      <c r="P23" s="111">
        <v>20128.385970225656</v>
      </c>
      <c r="Q23" s="254">
        <v>12039.83971590544</v>
      </c>
      <c r="R23" s="258">
        <v>29254.003727963816</v>
      </c>
      <c r="S23" s="259">
        <v>32168.225686131096</v>
      </c>
      <c r="U23" s="7" t="s">
        <v>2487</v>
      </c>
    </row>
    <row r="24" spans="1:21" s="65" customFormat="1" ht="16.5" customHeight="1" thickBot="1">
      <c r="A24" s="41" t="s">
        <v>31</v>
      </c>
      <c r="B24" s="42">
        <f t="shared" si="0"/>
        <v>110</v>
      </c>
      <c r="C24" s="42" t="s">
        <v>3</v>
      </c>
      <c r="D24" s="42">
        <f t="shared" si="1"/>
        <v>160</v>
      </c>
      <c r="E24" s="42" t="s">
        <v>3</v>
      </c>
      <c r="F24" s="101">
        <f t="shared" si="2"/>
        <v>1300</v>
      </c>
      <c r="G24" s="42" t="s">
        <v>3</v>
      </c>
      <c r="H24" s="39">
        <v>2</v>
      </c>
      <c r="I24" s="40" t="s">
        <v>40</v>
      </c>
      <c r="J24" s="149">
        <v>110</v>
      </c>
      <c r="K24" s="104">
        <v>160</v>
      </c>
      <c r="L24" s="104">
        <v>1300</v>
      </c>
      <c r="M24" s="150">
        <v>9.9822487584242499</v>
      </c>
      <c r="N24" s="78">
        <v>421.46384889311997</v>
      </c>
      <c r="O24" s="111">
        <v>17675.437853630836</v>
      </c>
      <c r="P24" s="111">
        <v>20698.361805730718</v>
      </c>
      <c r="Q24" s="254">
        <v>12628.663951382177</v>
      </c>
      <c r="R24" s="258">
        <v>30304.101805013015</v>
      </c>
      <c r="S24" s="259">
        <v>33327.025757112897</v>
      </c>
      <c r="U24" s="7" t="s">
        <v>2488</v>
      </c>
    </row>
    <row r="25" spans="1:21" s="65" customFormat="1" ht="16.5" customHeight="1" thickBot="1">
      <c r="A25" s="41" t="s">
        <v>31</v>
      </c>
      <c r="B25" s="42">
        <f t="shared" si="0"/>
        <v>110</v>
      </c>
      <c r="C25" s="42" t="s">
        <v>3</v>
      </c>
      <c r="D25" s="42">
        <f t="shared" si="1"/>
        <v>160</v>
      </c>
      <c r="E25" s="42" t="s">
        <v>3</v>
      </c>
      <c r="F25" s="101">
        <f t="shared" si="2"/>
        <v>1350</v>
      </c>
      <c r="G25" s="42" t="s">
        <v>3</v>
      </c>
      <c r="H25" s="39">
        <v>2</v>
      </c>
      <c r="I25" s="40" t="s">
        <v>40</v>
      </c>
      <c r="J25" s="149">
        <v>110</v>
      </c>
      <c r="K25" s="104">
        <v>160</v>
      </c>
      <c r="L25" s="104">
        <v>1350</v>
      </c>
      <c r="M25" s="150">
        <v>10.330560532910251</v>
      </c>
      <c r="N25" s="78">
        <v>443.64615672959991</v>
      </c>
      <c r="O25" s="111">
        <v>18136.711542174533</v>
      </c>
      <c r="P25" s="111">
        <v>21268.337794264542</v>
      </c>
      <c r="Q25" s="254">
        <v>12966.154202103913</v>
      </c>
      <c r="R25" s="258">
        <v>31102.865744278446</v>
      </c>
      <c r="S25" s="259">
        <v>34234.491996368452</v>
      </c>
      <c r="U25" s="7" t="s">
        <v>2489</v>
      </c>
    </row>
    <row r="26" spans="1:21" s="65" customFormat="1" ht="16.5" customHeight="1" thickBot="1">
      <c r="A26" s="41" t="s">
        <v>31</v>
      </c>
      <c r="B26" s="42">
        <f t="shared" si="0"/>
        <v>110</v>
      </c>
      <c r="C26" s="42" t="s">
        <v>3</v>
      </c>
      <c r="D26" s="42">
        <f t="shared" si="1"/>
        <v>160</v>
      </c>
      <c r="E26" s="42" t="s">
        <v>3</v>
      </c>
      <c r="F26" s="101">
        <f t="shared" si="2"/>
        <v>1400</v>
      </c>
      <c r="G26" s="42" t="s">
        <v>3</v>
      </c>
      <c r="H26" s="39">
        <v>2</v>
      </c>
      <c r="I26" s="40" t="s">
        <v>40</v>
      </c>
      <c r="J26" s="149">
        <v>110</v>
      </c>
      <c r="K26" s="104">
        <v>160</v>
      </c>
      <c r="L26" s="104">
        <v>1400</v>
      </c>
      <c r="M26" s="150">
        <v>10.695060307396249</v>
      </c>
      <c r="N26" s="78">
        <v>465.8284645660799</v>
      </c>
      <c r="O26" s="111">
        <v>18597.985383746996</v>
      </c>
      <c r="P26" s="111">
        <v>21838.313782798366</v>
      </c>
      <c r="Q26" s="254">
        <v>13554.97859060942</v>
      </c>
      <c r="R26" s="258">
        <v>32152.963974356418</v>
      </c>
      <c r="S26" s="259">
        <v>35393.292373407785</v>
      </c>
      <c r="U26" s="7" t="s">
        <v>2490</v>
      </c>
    </row>
    <row r="27" spans="1:21" s="65" customFormat="1" ht="16.5" customHeight="1" thickBot="1">
      <c r="A27" s="41" t="s">
        <v>31</v>
      </c>
      <c r="B27" s="42">
        <f t="shared" si="0"/>
        <v>110</v>
      </c>
      <c r="C27" s="42" t="s">
        <v>3</v>
      </c>
      <c r="D27" s="42">
        <f t="shared" si="1"/>
        <v>160</v>
      </c>
      <c r="E27" s="42" t="s">
        <v>3</v>
      </c>
      <c r="F27" s="101">
        <f t="shared" si="2"/>
        <v>1450</v>
      </c>
      <c r="G27" s="42" t="s">
        <v>3</v>
      </c>
      <c r="H27" s="39">
        <v>2</v>
      </c>
      <c r="I27" s="40" t="s">
        <v>40</v>
      </c>
      <c r="J27" s="149">
        <v>110</v>
      </c>
      <c r="K27" s="104">
        <v>160</v>
      </c>
      <c r="L27" s="104">
        <v>1450</v>
      </c>
      <c r="M27" s="150">
        <v>11.04337208188225</v>
      </c>
      <c r="N27" s="78">
        <v>488.01077240255995</v>
      </c>
      <c r="O27" s="111">
        <v>19059.259072290693</v>
      </c>
      <c r="P27" s="111">
        <v>22408.289618303425</v>
      </c>
      <c r="Q27" s="254">
        <v>13892.468841331156</v>
      </c>
      <c r="R27" s="258">
        <v>32951.727913621849</v>
      </c>
      <c r="S27" s="259">
        <v>36300.758459634584</v>
      </c>
      <c r="U27" s="7" t="s">
        <v>2491</v>
      </c>
    </row>
    <row r="28" spans="1:21" s="65" customFormat="1" ht="16.5" customHeight="1" thickBot="1">
      <c r="A28" s="41" t="s">
        <v>31</v>
      </c>
      <c r="B28" s="42">
        <f t="shared" si="0"/>
        <v>110</v>
      </c>
      <c r="C28" s="42" t="s">
        <v>3</v>
      </c>
      <c r="D28" s="42">
        <f t="shared" si="1"/>
        <v>160</v>
      </c>
      <c r="E28" s="42" t="s">
        <v>3</v>
      </c>
      <c r="F28" s="101">
        <f t="shared" si="2"/>
        <v>1500</v>
      </c>
      <c r="G28" s="42" t="s">
        <v>3</v>
      </c>
      <c r="H28" s="39">
        <v>2</v>
      </c>
      <c r="I28" s="40" t="s">
        <v>40</v>
      </c>
      <c r="J28" s="149">
        <v>110</v>
      </c>
      <c r="K28" s="104">
        <v>160</v>
      </c>
      <c r="L28" s="104">
        <v>1500</v>
      </c>
      <c r="M28" s="150">
        <v>11.49926224583025</v>
      </c>
      <c r="N28" s="78">
        <v>510.19308023903983</v>
      </c>
      <c r="O28" s="111">
        <v>20124.880081216645</v>
      </c>
      <c r="P28" s="111">
        <v>23458.726348009848</v>
      </c>
      <c r="Q28" s="254">
        <v>14481.293076807897</v>
      </c>
      <c r="R28" s="258">
        <v>34606.17315802454</v>
      </c>
      <c r="S28" s="259">
        <v>37940.019424817743</v>
      </c>
      <c r="U28" s="7" t="s">
        <v>2492</v>
      </c>
    </row>
    <row r="29" spans="1:21" s="65" customFormat="1" ht="16.5" customHeight="1" thickBot="1">
      <c r="A29" s="41" t="s">
        <v>31</v>
      </c>
      <c r="B29" s="42">
        <f t="shared" si="0"/>
        <v>110</v>
      </c>
      <c r="C29" s="42" t="s">
        <v>3</v>
      </c>
      <c r="D29" s="42">
        <f t="shared" si="1"/>
        <v>160</v>
      </c>
      <c r="E29" s="42" t="s">
        <v>3</v>
      </c>
      <c r="F29" s="101">
        <f t="shared" si="2"/>
        <v>1550</v>
      </c>
      <c r="G29" s="42" t="s">
        <v>3</v>
      </c>
      <c r="H29" s="39">
        <v>2</v>
      </c>
      <c r="I29" s="40" t="s">
        <v>40</v>
      </c>
      <c r="J29" s="149">
        <v>110</v>
      </c>
      <c r="K29" s="104">
        <v>160</v>
      </c>
      <c r="L29" s="104">
        <v>1550</v>
      </c>
      <c r="M29" s="150">
        <v>11.847574020316248</v>
      </c>
      <c r="N29" s="78">
        <v>532.37538807551982</v>
      </c>
      <c r="O29" s="111">
        <v>20586.153922789108</v>
      </c>
      <c r="P29" s="111">
        <v>24028.70218351491</v>
      </c>
      <c r="Q29" s="254">
        <v>14818.783327529631</v>
      </c>
      <c r="R29" s="258">
        <v>35404.937250318741</v>
      </c>
      <c r="S29" s="259">
        <v>38847.485511044542</v>
      </c>
      <c r="U29" s="7" t="s">
        <v>2493</v>
      </c>
    </row>
    <row r="30" spans="1:21" s="65" customFormat="1" ht="16.5" customHeight="1" thickBot="1">
      <c r="A30" s="38" t="s">
        <v>31</v>
      </c>
      <c r="B30" s="39">
        <f t="shared" si="0"/>
        <v>110</v>
      </c>
      <c r="C30" s="39" t="s">
        <v>3</v>
      </c>
      <c r="D30" s="39">
        <f t="shared" si="1"/>
        <v>160</v>
      </c>
      <c r="E30" s="39" t="s">
        <v>3</v>
      </c>
      <c r="F30" s="101">
        <f t="shared" si="2"/>
        <v>1600</v>
      </c>
      <c r="G30" s="39" t="s">
        <v>3</v>
      </c>
      <c r="H30" s="39">
        <v>2</v>
      </c>
      <c r="I30" s="40" t="s">
        <v>40</v>
      </c>
      <c r="J30" s="149">
        <v>110</v>
      </c>
      <c r="K30" s="104">
        <v>160</v>
      </c>
      <c r="L30" s="104">
        <v>1600</v>
      </c>
      <c r="M30" s="150">
        <v>12.195885794802249</v>
      </c>
      <c r="N30" s="78">
        <v>554.55769591199987</v>
      </c>
      <c r="O30" s="111">
        <v>21047.427764361568</v>
      </c>
      <c r="P30" s="111">
        <v>24598.678172048731</v>
      </c>
      <c r="Q30" s="254">
        <v>15156.273578251366</v>
      </c>
      <c r="R30" s="258">
        <v>36203.701342612934</v>
      </c>
      <c r="S30" s="259">
        <v>39754.951750300097</v>
      </c>
      <c r="U30" s="7" t="s">
        <v>2494</v>
      </c>
    </row>
    <row r="31" spans="1:21" s="65" customFormat="1" ht="16.5" customHeight="1" thickBot="1">
      <c r="A31" s="41" t="s">
        <v>31</v>
      </c>
      <c r="B31" s="42">
        <f t="shared" si="0"/>
        <v>110</v>
      </c>
      <c r="C31" s="42" t="s">
        <v>3</v>
      </c>
      <c r="D31" s="42">
        <f t="shared" si="1"/>
        <v>160</v>
      </c>
      <c r="E31" s="42" t="s">
        <v>3</v>
      </c>
      <c r="F31" s="101">
        <f t="shared" si="2"/>
        <v>1650</v>
      </c>
      <c r="G31" s="42" t="s">
        <v>3</v>
      </c>
      <c r="H31" s="39">
        <v>2</v>
      </c>
      <c r="I31" s="40" t="s">
        <v>40</v>
      </c>
      <c r="J31" s="149">
        <v>110</v>
      </c>
      <c r="K31" s="104">
        <v>160</v>
      </c>
      <c r="L31" s="104">
        <v>1650</v>
      </c>
      <c r="M31" s="150">
        <v>12.560385569288247</v>
      </c>
      <c r="N31" s="78">
        <v>576.74000374847981</v>
      </c>
      <c r="O31" s="111">
        <v>21508.701452905265</v>
      </c>
      <c r="P31" s="111">
        <v>25168.654160582559</v>
      </c>
      <c r="Q31" s="254">
        <v>15745.097966756874</v>
      </c>
      <c r="R31" s="258">
        <v>37253.799419662137</v>
      </c>
      <c r="S31" s="259">
        <v>40913.75212733943</v>
      </c>
      <c r="U31" s="7" t="s">
        <v>2495</v>
      </c>
    </row>
    <row r="32" spans="1:21" s="65" customFormat="1" ht="16.5" customHeight="1" thickBot="1">
      <c r="A32" s="41" t="s">
        <v>31</v>
      </c>
      <c r="B32" s="42">
        <f t="shared" si="0"/>
        <v>110</v>
      </c>
      <c r="C32" s="42" t="s">
        <v>3</v>
      </c>
      <c r="D32" s="42">
        <f t="shared" si="1"/>
        <v>160</v>
      </c>
      <c r="E32" s="42" t="s">
        <v>3</v>
      </c>
      <c r="F32" s="101">
        <f t="shared" si="2"/>
        <v>1700</v>
      </c>
      <c r="G32" s="42" t="s">
        <v>3</v>
      </c>
      <c r="H32" s="39">
        <v>2</v>
      </c>
      <c r="I32" s="40" t="s">
        <v>40</v>
      </c>
      <c r="J32" s="149">
        <v>110</v>
      </c>
      <c r="K32" s="104">
        <v>160</v>
      </c>
      <c r="L32" s="104">
        <v>1700</v>
      </c>
      <c r="M32" s="150">
        <v>12.90869734377425</v>
      </c>
      <c r="N32" s="78">
        <v>598.92231158495986</v>
      </c>
      <c r="O32" s="111">
        <v>21969.975294477728</v>
      </c>
      <c r="P32" s="111">
        <v>25738.629996087613</v>
      </c>
      <c r="Q32" s="254">
        <v>16082.58806444969</v>
      </c>
      <c r="R32" s="258">
        <v>38052.563358927422</v>
      </c>
      <c r="S32" s="259">
        <v>41821.2180605373</v>
      </c>
      <c r="U32" s="7" t="s">
        <v>2496</v>
      </c>
    </row>
    <row r="33" spans="1:21" s="65" customFormat="1" ht="16.5" customHeight="1" thickBot="1">
      <c r="A33" s="41" t="s">
        <v>31</v>
      </c>
      <c r="B33" s="42">
        <f t="shared" si="0"/>
        <v>110</v>
      </c>
      <c r="C33" s="42" t="s">
        <v>3</v>
      </c>
      <c r="D33" s="42">
        <f t="shared" si="1"/>
        <v>160</v>
      </c>
      <c r="E33" s="42" t="s">
        <v>3</v>
      </c>
      <c r="F33" s="101">
        <f t="shared" si="2"/>
        <v>1750</v>
      </c>
      <c r="G33" s="42" t="s">
        <v>3</v>
      </c>
      <c r="H33" s="39">
        <v>2</v>
      </c>
      <c r="I33" s="40" t="s">
        <v>40</v>
      </c>
      <c r="J33" s="149">
        <v>110</v>
      </c>
      <c r="K33" s="104">
        <v>160</v>
      </c>
      <c r="L33" s="104">
        <v>1750</v>
      </c>
      <c r="M33" s="150">
        <v>13.273197118260249</v>
      </c>
      <c r="N33" s="78">
        <v>621.10461942143991</v>
      </c>
      <c r="O33" s="111">
        <v>22431.248983021422</v>
      </c>
      <c r="P33" s="111">
        <v>26308.605984621438</v>
      </c>
      <c r="Q33" s="254">
        <v>16671.412452955348</v>
      </c>
      <c r="R33" s="258">
        <v>39102.66143597677</v>
      </c>
      <c r="S33" s="259">
        <v>42980.018437576786</v>
      </c>
      <c r="U33" s="7" t="s">
        <v>2497</v>
      </c>
    </row>
    <row r="34" spans="1:21" s="65" customFormat="1" ht="16.5" customHeight="1" thickBot="1">
      <c r="A34" s="41" t="s">
        <v>31</v>
      </c>
      <c r="B34" s="42">
        <f t="shared" si="0"/>
        <v>110</v>
      </c>
      <c r="C34" s="42" t="s">
        <v>3</v>
      </c>
      <c r="D34" s="42">
        <f t="shared" si="1"/>
        <v>160</v>
      </c>
      <c r="E34" s="42" t="s">
        <v>3</v>
      </c>
      <c r="F34" s="101">
        <f t="shared" si="2"/>
        <v>1800</v>
      </c>
      <c r="G34" s="42" t="s">
        <v>3</v>
      </c>
      <c r="H34" s="39">
        <v>2</v>
      </c>
      <c r="I34" s="40" t="s">
        <v>40</v>
      </c>
      <c r="J34" s="149">
        <v>110</v>
      </c>
      <c r="K34" s="104">
        <v>160</v>
      </c>
      <c r="L34" s="104">
        <v>1800</v>
      </c>
      <c r="M34" s="150">
        <v>13.621508892746249</v>
      </c>
      <c r="N34" s="78">
        <v>643.28692725791984</v>
      </c>
      <c r="O34" s="111">
        <v>22892.522824593885</v>
      </c>
      <c r="P34" s="111">
        <v>26878.581973155262</v>
      </c>
      <c r="Q34" s="254">
        <v>17008.902703677086</v>
      </c>
      <c r="R34" s="258">
        <v>39901.425528270971</v>
      </c>
      <c r="S34" s="259">
        <v>43887.484676832348</v>
      </c>
      <c r="U34" s="7" t="s">
        <v>2498</v>
      </c>
    </row>
    <row r="35" spans="1:21" s="65" customFormat="1" ht="16.5" customHeight="1" thickBot="1">
      <c r="A35" s="41" t="s">
        <v>31</v>
      </c>
      <c r="B35" s="42">
        <f t="shared" si="0"/>
        <v>110</v>
      </c>
      <c r="C35" s="42" t="s">
        <v>3</v>
      </c>
      <c r="D35" s="42">
        <f t="shared" si="1"/>
        <v>160</v>
      </c>
      <c r="E35" s="42" t="s">
        <v>3</v>
      </c>
      <c r="F35" s="101">
        <f t="shared" si="2"/>
        <v>1850</v>
      </c>
      <c r="G35" s="42" t="s">
        <v>3</v>
      </c>
      <c r="H35" s="39">
        <v>2</v>
      </c>
      <c r="I35" s="40" t="s">
        <v>40</v>
      </c>
      <c r="J35" s="149">
        <v>110</v>
      </c>
      <c r="K35" s="104">
        <v>160</v>
      </c>
      <c r="L35" s="104">
        <v>1850</v>
      </c>
      <c r="M35" s="150">
        <v>13.986008667232246</v>
      </c>
      <c r="N35" s="78">
        <v>665.46923509439978</v>
      </c>
      <c r="O35" s="111">
        <v>23353.796666166349</v>
      </c>
      <c r="P35" s="111">
        <v>27448.557808660324</v>
      </c>
      <c r="Q35" s="254">
        <v>17597.727092182588</v>
      </c>
      <c r="R35" s="258">
        <v>40951.523758348936</v>
      </c>
      <c r="S35" s="259">
        <v>45046.284900842911</v>
      </c>
      <c r="U35" s="7" t="s">
        <v>2499</v>
      </c>
    </row>
    <row r="36" spans="1:21" s="65" customFormat="1" ht="16.5" customHeight="1" thickBot="1">
      <c r="A36" s="41" t="s">
        <v>31</v>
      </c>
      <c r="B36" s="42">
        <f t="shared" si="0"/>
        <v>110</v>
      </c>
      <c r="C36" s="42" t="s">
        <v>3</v>
      </c>
      <c r="D36" s="42">
        <f t="shared" si="1"/>
        <v>160</v>
      </c>
      <c r="E36" s="42" t="s">
        <v>3</v>
      </c>
      <c r="F36" s="101">
        <f t="shared" si="2"/>
        <v>1900</v>
      </c>
      <c r="G36" s="42" t="s">
        <v>3</v>
      </c>
      <c r="H36" s="39">
        <v>2</v>
      </c>
      <c r="I36" s="40" t="s">
        <v>40</v>
      </c>
      <c r="J36" s="149">
        <v>110</v>
      </c>
      <c r="K36" s="104">
        <v>160</v>
      </c>
      <c r="L36" s="104">
        <v>1900</v>
      </c>
      <c r="M36" s="150">
        <v>14.334320441718249</v>
      </c>
      <c r="N36" s="78">
        <v>687.65154293087994</v>
      </c>
      <c r="O36" s="111">
        <v>23815.070354710046</v>
      </c>
      <c r="P36" s="111">
        <v>28018.533797194148</v>
      </c>
      <c r="Q36" s="254">
        <v>17935.217189875559</v>
      </c>
      <c r="R36" s="258">
        <v>41750.287544585604</v>
      </c>
      <c r="S36" s="259">
        <v>45953.75098706971</v>
      </c>
      <c r="U36" s="7" t="s">
        <v>2500</v>
      </c>
    </row>
    <row r="37" spans="1:21" s="65" customFormat="1" ht="16.5" customHeight="1" thickBot="1">
      <c r="A37" s="41" t="s">
        <v>31</v>
      </c>
      <c r="B37" s="42">
        <f t="shared" si="0"/>
        <v>110</v>
      </c>
      <c r="C37" s="42" t="s">
        <v>3</v>
      </c>
      <c r="D37" s="42">
        <f t="shared" si="1"/>
        <v>160</v>
      </c>
      <c r="E37" s="42" t="s">
        <v>3</v>
      </c>
      <c r="F37" s="101">
        <f t="shared" si="2"/>
        <v>1950</v>
      </c>
      <c r="G37" s="42" t="s">
        <v>3</v>
      </c>
      <c r="H37" s="39">
        <v>2</v>
      </c>
      <c r="I37" s="40" t="s">
        <v>40</v>
      </c>
      <c r="J37" s="149">
        <v>110</v>
      </c>
      <c r="K37" s="104">
        <v>160</v>
      </c>
      <c r="L37" s="104">
        <v>1950</v>
      </c>
      <c r="M37" s="150">
        <v>14.719919716204251</v>
      </c>
      <c r="N37" s="78">
        <v>709.83385076735988</v>
      </c>
      <c r="O37" s="111">
        <v>24326.219331412045</v>
      </c>
      <c r="P37" s="111">
        <v>28638.815237745042</v>
      </c>
      <c r="Q37" s="254">
        <v>18272.707440597296</v>
      </c>
      <c r="R37" s="258">
        <v>42598.926772009341</v>
      </c>
      <c r="S37" s="259">
        <v>46911.522678342342</v>
      </c>
      <c r="U37" s="7" t="s">
        <v>2501</v>
      </c>
    </row>
    <row r="38" spans="1:21" s="65" customFormat="1" ht="16.5" customHeight="1" thickBot="1">
      <c r="A38" s="41" t="s">
        <v>31</v>
      </c>
      <c r="B38" s="42">
        <f t="shared" si="0"/>
        <v>110</v>
      </c>
      <c r="C38" s="42" t="s">
        <v>3</v>
      </c>
      <c r="D38" s="42">
        <f t="shared" si="1"/>
        <v>160</v>
      </c>
      <c r="E38" s="42" t="s">
        <v>3</v>
      </c>
      <c r="F38" s="101">
        <f t="shared" si="2"/>
        <v>2000</v>
      </c>
      <c r="G38" s="42" t="s">
        <v>3</v>
      </c>
      <c r="H38" s="39">
        <v>2</v>
      </c>
      <c r="I38" s="40" t="s">
        <v>40</v>
      </c>
      <c r="J38" s="149">
        <v>110</v>
      </c>
      <c r="K38" s="104">
        <v>160</v>
      </c>
      <c r="L38" s="104">
        <v>2000</v>
      </c>
      <c r="M38" s="150">
        <v>15.171403770690251</v>
      </c>
      <c r="N38" s="78">
        <v>732.01615860383981</v>
      </c>
      <c r="O38" s="111">
        <v>25038.156891748265</v>
      </c>
      <c r="P38" s="111">
        <v>29549.613219274903</v>
      </c>
      <c r="Q38" s="254">
        <v>18861.531829102802</v>
      </c>
      <c r="R38" s="258">
        <v>43899.688720851067</v>
      </c>
      <c r="S38" s="259">
        <v>48411.145048377701</v>
      </c>
      <c r="U38" s="7" t="s">
        <v>2502</v>
      </c>
    </row>
    <row r="39" spans="1:21" s="65" customFormat="1" ht="16.5" customHeight="1" thickBot="1">
      <c r="A39" s="41" t="s">
        <v>31</v>
      </c>
      <c r="B39" s="42">
        <f t="shared" si="0"/>
        <v>110</v>
      </c>
      <c r="C39" s="42" t="s">
        <v>3</v>
      </c>
      <c r="D39" s="42">
        <f t="shared" si="1"/>
        <v>160</v>
      </c>
      <c r="E39" s="42" t="s">
        <v>3</v>
      </c>
      <c r="F39" s="101">
        <f t="shared" si="2"/>
        <v>2050</v>
      </c>
      <c r="G39" s="42" t="s">
        <v>3</v>
      </c>
      <c r="H39" s="39">
        <v>2</v>
      </c>
      <c r="I39" s="40" t="s">
        <v>40</v>
      </c>
      <c r="J39" s="149">
        <v>110</v>
      </c>
      <c r="K39" s="104">
        <v>160</v>
      </c>
      <c r="L39" s="104">
        <v>2050</v>
      </c>
      <c r="M39" s="150">
        <v>15.519715545176252</v>
      </c>
      <c r="N39" s="78">
        <v>754.19846644031975</v>
      </c>
      <c r="O39" s="111">
        <v>25499.430580291963</v>
      </c>
      <c r="P39" s="111">
        <v>30119.589054779961</v>
      </c>
      <c r="Q39" s="254">
        <v>19199.022079824535</v>
      </c>
      <c r="R39" s="258">
        <v>44698.452660116498</v>
      </c>
      <c r="S39" s="259">
        <v>49318.611134604493</v>
      </c>
      <c r="U39" s="7" t="s">
        <v>2503</v>
      </c>
    </row>
    <row r="40" spans="1:21" s="65" customFormat="1" ht="16.5" customHeight="1" thickBot="1">
      <c r="A40" s="38" t="s">
        <v>31</v>
      </c>
      <c r="B40" s="39">
        <f t="shared" si="0"/>
        <v>110</v>
      </c>
      <c r="C40" s="39" t="s">
        <v>3</v>
      </c>
      <c r="D40" s="39">
        <f t="shared" si="1"/>
        <v>160</v>
      </c>
      <c r="E40" s="39" t="s">
        <v>3</v>
      </c>
      <c r="F40" s="101">
        <f t="shared" si="2"/>
        <v>2100</v>
      </c>
      <c r="G40" s="39" t="s">
        <v>3</v>
      </c>
      <c r="H40" s="39">
        <v>2</v>
      </c>
      <c r="I40" s="40" t="s">
        <v>40</v>
      </c>
      <c r="J40" s="149">
        <v>110</v>
      </c>
      <c r="K40" s="104">
        <v>160</v>
      </c>
      <c r="L40" s="104">
        <v>2100</v>
      </c>
      <c r="M40" s="150">
        <v>15.88421531966225</v>
      </c>
      <c r="N40" s="78">
        <v>776.38077427679991</v>
      </c>
      <c r="O40" s="111">
        <v>25960.704421864422</v>
      </c>
      <c r="P40" s="111">
        <v>30689.565043313789</v>
      </c>
      <c r="Q40" s="254">
        <v>19787.846468330041</v>
      </c>
      <c r="R40" s="258">
        <v>45748.550890194463</v>
      </c>
      <c r="S40" s="259">
        <v>50477.411511643833</v>
      </c>
      <c r="U40" s="7" t="s">
        <v>2504</v>
      </c>
    </row>
    <row r="41" spans="1:21" s="65" customFormat="1" ht="16.5" customHeight="1" thickBot="1">
      <c r="A41" s="41" t="s">
        <v>31</v>
      </c>
      <c r="B41" s="42">
        <f t="shared" si="0"/>
        <v>110</v>
      </c>
      <c r="C41" s="42" t="s">
        <v>3</v>
      </c>
      <c r="D41" s="42">
        <f t="shared" si="1"/>
        <v>160</v>
      </c>
      <c r="E41" s="42" t="s">
        <v>3</v>
      </c>
      <c r="F41" s="101">
        <f t="shared" si="2"/>
        <v>2150</v>
      </c>
      <c r="G41" s="42" t="s">
        <v>3</v>
      </c>
      <c r="H41" s="39">
        <v>2</v>
      </c>
      <c r="I41" s="40" t="s">
        <v>40</v>
      </c>
      <c r="J41" s="149">
        <v>110</v>
      </c>
      <c r="K41" s="104">
        <v>160</v>
      </c>
      <c r="L41" s="104">
        <v>2150</v>
      </c>
      <c r="M41" s="150">
        <v>16.232527094148253</v>
      </c>
      <c r="N41" s="78">
        <v>798.56308211327985</v>
      </c>
      <c r="O41" s="111">
        <v>26421.978110408119</v>
      </c>
      <c r="P41" s="111">
        <v>31259.540878818847</v>
      </c>
      <c r="Q41" s="254">
        <v>20125.336566023012</v>
      </c>
      <c r="R41" s="258">
        <v>46547.314676431131</v>
      </c>
      <c r="S41" s="259">
        <v>51384.877444841855</v>
      </c>
      <c r="U41" s="7" t="s">
        <v>2505</v>
      </c>
    </row>
    <row r="42" spans="1:21" s="65" customFormat="1" ht="16.5" customHeight="1" thickBot="1">
      <c r="A42" s="41" t="s">
        <v>31</v>
      </c>
      <c r="B42" s="42">
        <f t="shared" si="0"/>
        <v>110</v>
      </c>
      <c r="C42" s="42" t="s">
        <v>3</v>
      </c>
      <c r="D42" s="42">
        <f t="shared" si="1"/>
        <v>160</v>
      </c>
      <c r="E42" s="42" t="s">
        <v>3</v>
      </c>
      <c r="F42" s="101">
        <f t="shared" si="2"/>
        <v>2200</v>
      </c>
      <c r="G42" s="42" t="s">
        <v>3</v>
      </c>
      <c r="H42" s="39">
        <v>2</v>
      </c>
      <c r="I42" s="40" t="s">
        <v>40</v>
      </c>
      <c r="J42" s="149">
        <v>110</v>
      </c>
      <c r="K42" s="104">
        <v>160</v>
      </c>
      <c r="L42" s="104">
        <v>2200</v>
      </c>
      <c r="M42" s="150">
        <v>16.597026868634245</v>
      </c>
      <c r="N42" s="78">
        <v>820.74538994975978</v>
      </c>
      <c r="O42" s="111">
        <v>26883.251951980579</v>
      </c>
      <c r="P42" s="111">
        <v>31829.516867352671</v>
      </c>
      <c r="Q42" s="254">
        <v>20714.160954528517</v>
      </c>
      <c r="R42" s="258">
        <v>47597.412906509097</v>
      </c>
      <c r="S42" s="259">
        <v>52543.677821881189</v>
      </c>
      <c r="U42" s="7" t="s">
        <v>2506</v>
      </c>
    </row>
    <row r="43" spans="1:21" s="65" customFormat="1" ht="16.5" customHeight="1" thickBot="1">
      <c r="A43" s="41" t="s">
        <v>31</v>
      </c>
      <c r="B43" s="42">
        <f t="shared" si="0"/>
        <v>110</v>
      </c>
      <c r="C43" s="42" t="s">
        <v>3</v>
      </c>
      <c r="D43" s="42">
        <f t="shared" si="1"/>
        <v>160</v>
      </c>
      <c r="E43" s="42" t="s">
        <v>3</v>
      </c>
      <c r="F43" s="101">
        <f t="shared" si="2"/>
        <v>2250</v>
      </c>
      <c r="G43" s="42" t="s">
        <v>3</v>
      </c>
      <c r="H43" s="39">
        <v>2</v>
      </c>
      <c r="I43" s="40" t="s">
        <v>40</v>
      </c>
      <c r="J43" s="149">
        <v>110</v>
      </c>
      <c r="K43" s="104">
        <v>160</v>
      </c>
      <c r="L43" s="104">
        <v>2250</v>
      </c>
      <c r="M43" s="150">
        <v>16.945338643120248</v>
      </c>
      <c r="N43" s="78">
        <v>842.92769778623995</v>
      </c>
      <c r="O43" s="111">
        <v>27344.52564052428</v>
      </c>
      <c r="P43" s="111">
        <v>32399.492855886492</v>
      </c>
      <c r="Q43" s="254">
        <v>21051.651205250255</v>
      </c>
      <c r="R43" s="258">
        <v>48396.176845774535</v>
      </c>
      <c r="S43" s="259">
        <v>53451.144061136743</v>
      </c>
      <c r="U43" s="7" t="s">
        <v>2507</v>
      </c>
    </row>
    <row r="44" spans="1:21" s="65" customFormat="1" ht="16.5" customHeight="1" thickBot="1">
      <c r="A44" s="41" t="s">
        <v>31</v>
      </c>
      <c r="B44" s="42">
        <f t="shared" si="0"/>
        <v>110</v>
      </c>
      <c r="C44" s="42" t="s">
        <v>3</v>
      </c>
      <c r="D44" s="42">
        <f t="shared" si="1"/>
        <v>160</v>
      </c>
      <c r="E44" s="42" t="s">
        <v>3</v>
      </c>
      <c r="F44" s="101">
        <f t="shared" si="2"/>
        <v>2300</v>
      </c>
      <c r="G44" s="42" t="s">
        <v>3</v>
      </c>
      <c r="H44" s="39">
        <v>2</v>
      </c>
      <c r="I44" s="40" t="s">
        <v>40</v>
      </c>
      <c r="J44" s="149">
        <v>110</v>
      </c>
      <c r="K44" s="104">
        <v>160</v>
      </c>
      <c r="L44" s="104">
        <v>2300</v>
      </c>
      <c r="M44" s="150">
        <v>17.293650417606248</v>
      </c>
      <c r="N44" s="78">
        <v>865.11000562271977</v>
      </c>
      <c r="O44" s="111">
        <v>27805.799482096743</v>
      </c>
      <c r="P44" s="111">
        <v>32969.468691391558</v>
      </c>
      <c r="Q44" s="254">
        <v>21389.141302943226</v>
      </c>
      <c r="R44" s="258">
        <v>49194.940785039973</v>
      </c>
      <c r="S44" s="259">
        <v>54358.60999433478</v>
      </c>
      <c r="U44" s="7" t="s">
        <v>2508</v>
      </c>
    </row>
    <row r="45" spans="1:21" s="65" customFormat="1" ht="16.5" customHeight="1" thickBot="1">
      <c r="A45" s="41" t="s">
        <v>31</v>
      </c>
      <c r="B45" s="42">
        <f t="shared" si="0"/>
        <v>110</v>
      </c>
      <c r="C45" s="42" t="s">
        <v>3</v>
      </c>
      <c r="D45" s="42">
        <f t="shared" si="1"/>
        <v>160</v>
      </c>
      <c r="E45" s="42" t="s">
        <v>3</v>
      </c>
      <c r="F45" s="101">
        <f t="shared" si="2"/>
        <v>2350</v>
      </c>
      <c r="G45" s="42" t="s">
        <v>3</v>
      </c>
      <c r="H45" s="39">
        <v>2</v>
      </c>
      <c r="I45" s="40" t="s">
        <v>40</v>
      </c>
      <c r="J45" s="149">
        <v>110</v>
      </c>
      <c r="K45" s="104">
        <v>160</v>
      </c>
      <c r="L45" s="104">
        <v>2350</v>
      </c>
      <c r="M45" s="150">
        <v>17.658150192092251</v>
      </c>
      <c r="N45" s="78">
        <v>887.29231345919982</v>
      </c>
      <c r="O45" s="111">
        <v>28267.073323669203</v>
      </c>
      <c r="P45" s="111">
        <v>33539.444679925378</v>
      </c>
      <c r="Q45" s="254">
        <v>21977.965691448728</v>
      </c>
      <c r="R45" s="258">
        <v>50245.039015117931</v>
      </c>
      <c r="S45" s="259">
        <v>55517.410371374106</v>
      </c>
      <c r="U45" s="7" t="s">
        <v>2509</v>
      </c>
    </row>
    <row r="46" spans="1:21" s="65" customFormat="1" ht="16.5" customHeight="1" thickBot="1">
      <c r="A46" s="41" t="s">
        <v>31</v>
      </c>
      <c r="B46" s="42">
        <f t="shared" si="0"/>
        <v>110</v>
      </c>
      <c r="C46" s="42" t="s">
        <v>3</v>
      </c>
      <c r="D46" s="42">
        <f t="shared" si="1"/>
        <v>160</v>
      </c>
      <c r="E46" s="42" t="s">
        <v>3</v>
      </c>
      <c r="F46" s="101">
        <f t="shared" si="2"/>
        <v>2400</v>
      </c>
      <c r="G46" s="42" t="s">
        <v>3</v>
      </c>
      <c r="H46" s="39">
        <v>2</v>
      </c>
      <c r="I46" s="40" t="s">
        <v>40</v>
      </c>
      <c r="J46" s="149">
        <v>110</v>
      </c>
      <c r="K46" s="104">
        <v>160</v>
      </c>
      <c r="L46" s="104">
        <v>2400</v>
      </c>
      <c r="M46" s="150">
        <v>18.00646196657825</v>
      </c>
      <c r="N46" s="78">
        <v>909.47462129567975</v>
      </c>
      <c r="O46" s="111">
        <v>28728.3470122129</v>
      </c>
      <c r="P46" s="111">
        <v>34109.420668459199</v>
      </c>
      <c r="Q46" s="254">
        <v>22315.455942170465</v>
      </c>
      <c r="R46" s="258">
        <v>51043.802954383369</v>
      </c>
      <c r="S46" s="259">
        <v>56424.876610629668</v>
      </c>
      <c r="U46" s="7" t="s">
        <v>2510</v>
      </c>
    </row>
    <row r="47" spans="1:21" s="65" customFormat="1" ht="16.5" customHeight="1" thickBot="1">
      <c r="A47" s="41" t="s">
        <v>31</v>
      </c>
      <c r="B47" s="42">
        <f t="shared" si="0"/>
        <v>110</v>
      </c>
      <c r="C47" s="42" t="s">
        <v>3</v>
      </c>
      <c r="D47" s="42">
        <f t="shared" si="1"/>
        <v>160</v>
      </c>
      <c r="E47" s="42" t="s">
        <v>3</v>
      </c>
      <c r="F47" s="101">
        <f t="shared" si="2"/>
        <v>2450</v>
      </c>
      <c r="G47" s="42" t="s">
        <v>3</v>
      </c>
      <c r="H47" s="39">
        <v>2</v>
      </c>
      <c r="I47" s="40" t="s">
        <v>40</v>
      </c>
      <c r="J47" s="149">
        <v>110</v>
      </c>
      <c r="K47" s="104">
        <v>160</v>
      </c>
      <c r="L47" s="104">
        <v>2450</v>
      </c>
      <c r="M47" s="150">
        <v>18.462352130526249</v>
      </c>
      <c r="N47" s="78">
        <v>931.6569291321598</v>
      </c>
      <c r="O47" s="111">
        <v>29793.968021138855</v>
      </c>
      <c r="P47" s="111">
        <v>35159.857245136867</v>
      </c>
      <c r="Q47" s="254">
        <v>22904.280330675971</v>
      </c>
      <c r="R47" s="258">
        <v>52698.248351814822</v>
      </c>
      <c r="S47" s="259">
        <v>58064.137575812842</v>
      </c>
      <c r="U47" s="7" t="s">
        <v>2511</v>
      </c>
    </row>
    <row r="48" spans="1:21" s="65" customFormat="1" ht="16.5" customHeight="1" thickBot="1">
      <c r="A48" s="41" t="s">
        <v>31</v>
      </c>
      <c r="B48" s="42">
        <f t="shared" si="0"/>
        <v>110</v>
      </c>
      <c r="C48" s="42" t="s">
        <v>3</v>
      </c>
      <c r="D48" s="42">
        <f t="shared" si="1"/>
        <v>160</v>
      </c>
      <c r="E48" s="42" t="s">
        <v>3</v>
      </c>
      <c r="F48" s="101">
        <f t="shared" si="2"/>
        <v>2500</v>
      </c>
      <c r="G48" s="42" t="s">
        <v>3</v>
      </c>
      <c r="H48" s="39">
        <v>2</v>
      </c>
      <c r="I48" s="40" t="s">
        <v>40</v>
      </c>
      <c r="J48" s="149">
        <v>110</v>
      </c>
      <c r="K48" s="104">
        <v>160</v>
      </c>
      <c r="L48" s="104">
        <v>2500</v>
      </c>
      <c r="M48" s="150">
        <v>18.810663905012245</v>
      </c>
      <c r="N48" s="78">
        <v>953.83923696863985</v>
      </c>
      <c r="O48" s="111">
        <v>30255.241862711315</v>
      </c>
      <c r="P48" s="111">
        <v>35729.833233670688</v>
      </c>
      <c r="Q48" s="254">
        <v>23241.770581397705</v>
      </c>
      <c r="R48" s="258">
        <v>53497.012444109016</v>
      </c>
      <c r="S48" s="259">
        <v>58971.603815068389</v>
      </c>
      <c r="U48" s="7" t="s">
        <v>2512</v>
      </c>
    </row>
    <row r="49" spans="1:21" s="65" customFormat="1" ht="16.5" customHeight="1" thickBot="1">
      <c r="A49" s="41" t="s">
        <v>31</v>
      </c>
      <c r="B49" s="42">
        <f t="shared" si="0"/>
        <v>110</v>
      </c>
      <c r="C49" s="42" t="s">
        <v>3</v>
      </c>
      <c r="D49" s="42">
        <f t="shared" si="1"/>
        <v>160</v>
      </c>
      <c r="E49" s="42" t="s">
        <v>3</v>
      </c>
      <c r="F49" s="101">
        <f t="shared" si="2"/>
        <v>2550</v>
      </c>
      <c r="G49" s="42" t="s">
        <v>3</v>
      </c>
      <c r="H49" s="39">
        <v>2</v>
      </c>
      <c r="I49" s="40" t="s">
        <v>40</v>
      </c>
      <c r="J49" s="149">
        <v>110</v>
      </c>
      <c r="K49" s="104">
        <v>160</v>
      </c>
      <c r="L49" s="104">
        <v>2550</v>
      </c>
      <c r="M49" s="150">
        <v>19.175163679498247</v>
      </c>
      <c r="N49" s="78">
        <v>976.0215448051199</v>
      </c>
      <c r="O49" s="111">
        <v>30716.515704283778</v>
      </c>
      <c r="P49" s="111">
        <v>36299.809222204509</v>
      </c>
      <c r="Q49" s="254">
        <v>23830.594816874447</v>
      </c>
      <c r="R49" s="258">
        <v>54547.110521158225</v>
      </c>
      <c r="S49" s="259">
        <v>60130.40403907896</v>
      </c>
      <c r="U49" s="7" t="s">
        <v>2513</v>
      </c>
    </row>
    <row r="50" spans="1:21" s="65" customFormat="1" ht="16.5" customHeight="1" thickBot="1">
      <c r="A50" s="38" t="s">
        <v>31</v>
      </c>
      <c r="B50" s="39">
        <f t="shared" si="0"/>
        <v>110</v>
      </c>
      <c r="C50" s="39" t="s">
        <v>3</v>
      </c>
      <c r="D50" s="39">
        <f t="shared" si="1"/>
        <v>160</v>
      </c>
      <c r="E50" s="39" t="s">
        <v>3</v>
      </c>
      <c r="F50" s="101">
        <f t="shared" si="2"/>
        <v>2600</v>
      </c>
      <c r="G50" s="39" t="s">
        <v>3</v>
      </c>
      <c r="H50" s="39">
        <v>2</v>
      </c>
      <c r="I50" s="40" t="s">
        <v>40</v>
      </c>
      <c r="J50" s="149">
        <v>110</v>
      </c>
      <c r="K50" s="104">
        <v>160</v>
      </c>
      <c r="L50" s="104">
        <v>2600</v>
      </c>
      <c r="M50" s="150">
        <v>19.523475453984251</v>
      </c>
      <c r="N50" s="78">
        <v>998.20385264159972</v>
      </c>
      <c r="O50" s="111">
        <v>31177.789392827475</v>
      </c>
      <c r="P50" s="111">
        <v>36869.785057709567</v>
      </c>
      <c r="Q50" s="254">
        <v>24168.085067596181</v>
      </c>
      <c r="R50" s="258">
        <v>55345.874460423656</v>
      </c>
      <c r="S50" s="259">
        <v>61037.870125305752</v>
      </c>
      <c r="U50" s="7" t="s">
        <v>2514</v>
      </c>
    </row>
    <row r="51" spans="1:21" s="65" customFormat="1" ht="16.5" customHeight="1" thickBot="1">
      <c r="A51" s="41" t="s">
        <v>31</v>
      </c>
      <c r="B51" s="42">
        <f t="shared" si="0"/>
        <v>110</v>
      </c>
      <c r="C51" s="42" t="s">
        <v>3</v>
      </c>
      <c r="D51" s="42">
        <f t="shared" si="1"/>
        <v>160</v>
      </c>
      <c r="E51" s="42" t="s">
        <v>3</v>
      </c>
      <c r="F51" s="101">
        <f t="shared" si="2"/>
        <v>2650</v>
      </c>
      <c r="G51" s="42" t="s">
        <v>3</v>
      </c>
      <c r="H51" s="39">
        <v>2</v>
      </c>
      <c r="I51" s="40" t="s">
        <v>40</v>
      </c>
      <c r="J51" s="149">
        <v>110</v>
      </c>
      <c r="K51" s="104">
        <v>160</v>
      </c>
      <c r="L51" s="104">
        <v>2650</v>
      </c>
      <c r="M51" s="150">
        <v>19.88797522847025</v>
      </c>
      <c r="N51" s="78">
        <v>1020.3861604780797</v>
      </c>
      <c r="O51" s="111">
        <v>31639.063234399935</v>
      </c>
      <c r="P51" s="111">
        <v>37439.761046243388</v>
      </c>
      <c r="Q51" s="254">
        <v>24756.909456101686</v>
      </c>
      <c r="R51" s="258">
        <v>56395.972690501621</v>
      </c>
      <c r="S51" s="259">
        <v>62196.670502345078</v>
      </c>
      <c r="U51" s="7" t="s">
        <v>2515</v>
      </c>
    </row>
    <row r="52" spans="1:21" s="65" customFormat="1" ht="16.5" customHeight="1" thickBot="1">
      <c r="A52" s="41" t="s">
        <v>31</v>
      </c>
      <c r="B52" s="42">
        <f t="shared" si="0"/>
        <v>110</v>
      </c>
      <c r="C52" s="42" t="s">
        <v>3</v>
      </c>
      <c r="D52" s="42">
        <f t="shared" si="1"/>
        <v>160</v>
      </c>
      <c r="E52" s="42" t="s">
        <v>3</v>
      </c>
      <c r="F52" s="101">
        <f t="shared" si="2"/>
        <v>2700</v>
      </c>
      <c r="G52" s="42" t="s">
        <v>3</v>
      </c>
      <c r="H52" s="39">
        <v>2</v>
      </c>
      <c r="I52" s="40" t="s">
        <v>40</v>
      </c>
      <c r="J52" s="149">
        <v>110</v>
      </c>
      <c r="K52" s="104">
        <v>160</v>
      </c>
      <c r="L52" s="104">
        <v>2700</v>
      </c>
      <c r="M52" s="150">
        <v>20.273574502956247</v>
      </c>
      <c r="N52" s="78">
        <v>1042.5684683145598</v>
      </c>
      <c r="O52" s="111">
        <v>32150.212211101934</v>
      </c>
      <c r="P52" s="111">
        <v>38060.042486794286</v>
      </c>
      <c r="Q52" s="254">
        <v>25094.399706823424</v>
      </c>
      <c r="R52" s="258">
        <v>57244.611917925358</v>
      </c>
      <c r="S52" s="259">
        <v>63154.44219361771</v>
      </c>
      <c r="U52" s="7" t="s">
        <v>2516</v>
      </c>
    </row>
    <row r="53" spans="1:21" s="65" customFormat="1" ht="16.5" customHeight="1" thickBot="1">
      <c r="A53" s="41" t="s">
        <v>31</v>
      </c>
      <c r="B53" s="42">
        <f t="shared" si="0"/>
        <v>110</v>
      </c>
      <c r="C53" s="42" t="s">
        <v>3</v>
      </c>
      <c r="D53" s="42">
        <f t="shared" si="1"/>
        <v>160</v>
      </c>
      <c r="E53" s="42" t="s">
        <v>3</v>
      </c>
      <c r="F53" s="101">
        <f t="shared" si="2"/>
        <v>2750</v>
      </c>
      <c r="G53" s="42" t="s">
        <v>3</v>
      </c>
      <c r="H53" s="39">
        <v>2</v>
      </c>
      <c r="I53" s="40" t="s">
        <v>40</v>
      </c>
      <c r="J53" s="149">
        <v>110</v>
      </c>
      <c r="K53" s="104">
        <v>160</v>
      </c>
      <c r="L53" s="104">
        <v>2750</v>
      </c>
      <c r="M53" s="150">
        <v>20.621886277442247</v>
      </c>
      <c r="N53" s="78">
        <v>1064.7507761510396</v>
      </c>
      <c r="O53" s="111">
        <v>32611.486052674401</v>
      </c>
      <c r="P53" s="111">
        <v>38630.018322299351</v>
      </c>
      <c r="Q53" s="254">
        <v>25431.889804516391</v>
      </c>
      <c r="R53" s="258">
        <v>58043.375857190797</v>
      </c>
      <c r="S53" s="259">
        <v>64061.908126815746</v>
      </c>
      <c r="U53" s="7" t="s">
        <v>2517</v>
      </c>
    </row>
    <row r="54" spans="1:21" s="65" customFormat="1" ht="16.5" customHeight="1" thickBot="1">
      <c r="A54" s="41" t="s">
        <v>31</v>
      </c>
      <c r="B54" s="42">
        <f t="shared" si="0"/>
        <v>110</v>
      </c>
      <c r="C54" s="42" t="s">
        <v>3</v>
      </c>
      <c r="D54" s="42">
        <f t="shared" si="1"/>
        <v>160</v>
      </c>
      <c r="E54" s="42" t="s">
        <v>3</v>
      </c>
      <c r="F54" s="101">
        <f t="shared" si="2"/>
        <v>2800</v>
      </c>
      <c r="G54" s="42" t="s">
        <v>3</v>
      </c>
      <c r="H54" s="39">
        <v>2</v>
      </c>
      <c r="I54" s="40" t="s">
        <v>40</v>
      </c>
      <c r="J54" s="149">
        <v>110</v>
      </c>
      <c r="K54" s="104">
        <v>160</v>
      </c>
      <c r="L54" s="104">
        <v>2800</v>
      </c>
      <c r="M54" s="150">
        <v>20.98638605192825</v>
      </c>
      <c r="N54" s="78">
        <v>1086.9330839875199</v>
      </c>
      <c r="O54" s="111">
        <v>33072.759741218098</v>
      </c>
      <c r="P54" s="111">
        <v>39199.994310833172</v>
      </c>
      <c r="Q54" s="254">
        <v>26020.714193021897</v>
      </c>
      <c r="R54" s="258">
        <v>59093.473934239999</v>
      </c>
      <c r="S54" s="259">
        <v>65220.708503855072</v>
      </c>
      <c r="U54" s="7" t="s">
        <v>2518</v>
      </c>
    </row>
    <row r="55" spans="1:21" s="65" customFormat="1" ht="16.5" customHeight="1" thickBot="1">
      <c r="A55" s="41" t="s">
        <v>31</v>
      </c>
      <c r="B55" s="42">
        <f t="shared" si="0"/>
        <v>110</v>
      </c>
      <c r="C55" s="42" t="s">
        <v>3</v>
      </c>
      <c r="D55" s="42">
        <f t="shared" si="1"/>
        <v>160</v>
      </c>
      <c r="E55" s="42" t="s">
        <v>3</v>
      </c>
      <c r="F55" s="101">
        <f t="shared" si="2"/>
        <v>2850</v>
      </c>
      <c r="G55" s="42" t="s">
        <v>3</v>
      </c>
      <c r="H55" s="39">
        <v>2</v>
      </c>
      <c r="I55" s="40" t="s">
        <v>40</v>
      </c>
      <c r="J55" s="149">
        <v>110</v>
      </c>
      <c r="K55" s="104">
        <v>160</v>
      </c>
      <c r="L55" s="104">
        <v>2850</v>
      </c>
      <c r="M55" s="150">
        <v>21.334697826414249</v>
      </c>
      <c r="N55" s="78">
        <v>1109.1153918239997</v>
      </c>
      <c r="O55" s="111">
        <v>33534.033582790558</v>
      </c>
      <c r="P55" s="111">
        <v>39769.970299367</v>
      </c>
      <c r="Q55" s="254">
        <v>26358.204443743634</v>
      </c>
      <c r="R55" s="258">
        <v>59892.238026534193</v>
      </c>
      <c r="S55" s="259">
        <v>66128.174743110634</v>
      </c>
      <c r="U55" s="7" t="s">
        <v>2519</v>
      </c>
    </row>
    <row r="56" spans="1:21" s="65" customFormat="1" ht="16.5" customHeight="1" thickBot="1">
      <c r="A56" s="41" t="s">
        <v>31</v>
      </c>
      <c r="B56" s="42">
        <f t="shared" si="0"/>
        <v>110</v>
      </c>
      <c r="C56" s="42" t="s">
        <v>3</v>
      </c>
      <c r="D56" s="42">
        <f t="shared" si="1"/>
        <v>160</v>
      </c>
      <c r="E56" s="42" t="s">
        <v>3</v>
      </c>
      <c r="F56" s="101">
        <f t="shared" si="2"/>
        <v>2900</v>
      </c>
      <c r="G56" s="42" t="s">
        <v>3</v>
      </c>
      <c r="H56" s="39">
        <v>2</v>
      </c>
      <c r="I56" s="40" t="s">
        <v>40</v>
      </c>
      <c r="J56" s="149">
        <v>110</v>
      </c>
      <c r="K56" s="104">
        <v>160</v>
      </c>
      <c r="L56" s="104">
        <v>2900</v>
      </c>
      <c r="M56" s="150">
        <v>21.699197600900249</v>
      </c>
      <c r="N56" s="78">
        <v>1131.2976996604798</v>
      </c>
      <c r="O56" s="111">
        <v>33995.307271334255</v>
      </c>
      <c r="P56" s="111">
        <v>40339.946134872051</v>
      </c>
      <c r="Q56" s="254">
        <v>26947.028832249136</v>
      </c>
      <c r="R56" s="258">
        <v>60942.336103583395</v>
      </c>
      <c r="S56" s="259">
        <v>67286.97496712119</v>
      </c>
      <c r="U56" s="7" t="s">
        <v>2520</v>
      </c>
    </row>
    <row r="57" spans="1:21" s="65" customFormat="1" ht="16.5" customHeight="1" thickBot="1">
      <c r="A57" s="41" t="s">
        <v>31</v>
      </c>
      <c r="B57" s="42">
        <f t="shared" si="0"/>
        <v>110</v>
      </c>
      <c r="C57" s="42" t="s">
        <v>3</v>
      </c>
      <c r="D57" s="42">
        <f t="shared" si="1"/>
        <v>160</v>
      </c>
      <c r="E57" s="42" t="s">
        <v>3</v>
      </c>
      <c r="F57" s="101">
        <f t="shared" si="2"/>
        <v>2950</v>
      </c>
      <c r="G57" s="42" t="s">
        <v>3</v>
      </c>
      <c r="H57" s="39">
        <v>2</v>
      </c>
      <c r="I57" s="40" t="s">
        <v>40</v>
      </c>
      <c r="J57" s="149">
        <v>110</v>
      </c>
      <c r="K57" s="104">
        <v>160</v>
      </c>
      <c r="L57" s="104">
        <v>2950</v>
      </c>
      <c r="M57" s="150">
        <v>22.047509375386248</v>
      </c>
      <c r="N57" s="78">
        <v>1153.4800074969596</v>
      </c>
      <c r="O57" s="111">
        <v>34456.581112906715</v>
      </c>
      <c r="P57" s="111">
        <v>40909.922123405886</v>
      </c>
      <c r="Q57" s="254">
        <v>27284.518929942107</v>
      </c>
      <c r="R57" s="258">
        <v>61741.100042848819</v>
      </c>
      <c r="S57" s="259">
        <v>68194.441053347997</v>
      </c>
      <c r="U57" s="7" t="s">
        <v>2521</v>
      </c>
    </row>
    <row r="58" spans="1:21" s="65" customFormat="1" ht="16.5" customHeight="1" thickBot="1">
      <c r="A58" s="43" t="s">
        <v>31</v>
      </c>
      <c r="B58" s="44">
        <f t="shared" si="0"/>
        <v>110</v>
      </c>
      <c r="C58" s="44" t="s">
        <v>3</v>
      </c>
      <c r="D58" s="44">
        <f t="shared" si="1"/>
        <v>160</v>
      </c>
      <c r="E58" s="44" t="s">
        <v>3</v>
      </c>
      <c r="F58" s="102">
        <f t="shared" si="2"/>
        <v>3000</v>
      </c>
      <c r="G58" s="44" t="s">
        <v>3</v>
      </c>
      <c r="H58" s="46">
        <v>2</v>
      </c>
      <c r="I58" s="45" t="s">
        <v>40</v>
      </c>
      <c r="J58" s="151">
        <v>110</v>
      </c>
      <c r="K58" s="134">
        <v>160</v>
      </c>
      <c r="L58" s="134">
        <v>3000</v>
      </c>
      <c r="M58" s="152">
        <v>22.412009149872251</v>
      </c>
      <c r="N58" s="127">
        <v>1175.6623153334399</v>
      </c>
      <c r="O58" s="135">
        <v>36195.574137925913</v>
      </c>
      <c r="P58" s="135">
        <v>41479.897958910937</v>
      </c>
      <c r="Q58" s="255">
        <v>27873.343318447616</v>
      </c>
      <c r="R58" s="260">
        <v>64068.917456373529</v>
      </c>
      <c r="S58" s="261">
        <v>69353.241277358553</v>
      </c>
      <c r="U58" s="7" t="s">
        <v>2522</v>
      </c>
    </row>
    <row r="59" spans="1:21" ht="22.5" customHeight="1" thickBot="1">
      <c r="A59" s="2968" t="s">
        <v>473</v>
      </c>
      <c r="B59" s="2969"/>
      <c r="C59" s="2969"/>
      <c r="D59" s="2969"/>
      <c r="E59" s="2969"/>
      <c r="F59" s="2969"/>
      <c r="G59" s="2969"/>
      <c r="H59" s="2969"/>
      <c r="I59" s="2969"/>
      <c r="J59" s="2969"/>
      <c r="K59" s="2969"/>
      <c r="L59" s="2969"/>
      <c r="M59" s="2969"/>
      <c r="N59" s="2969"/>
      <c r="O59" s="2969"/>
      <c r="P59" s="2969"/>
      <c r="Q59" s="2969"/>
      <c r="R59" s="3018"/>
      <c r="S59" s="3019"/>
      <c r="U59" s="7"/>
    </row>
    <row r="60" spans="1:21" ht="16.5" customHeight="1" thickBot="1">
      <c r="A60" s="2974" t="s">
        <v>112</v>
      </c>
      <c r="B60" s="2975"/>
      <c r="C60" s="2975"/>
      <c r="D60" s="2975"/>
      <c r="E60" s="2975"/>
      <c r="F60" s="2975"/>
      <c r="G60" s="2975"/>
      <c r="H60" s="2975"/>
      <c r="I60" s="2975"/>
      <c r="J60" s="2975"/>
      <c r="K60" s="2975"/>
      <c r="L60" s="2975"/>
      <c r="M60" s="2975"/>
      <c r="N60" s="2975"/>
      <c r="O60" s="2975"/>
      <c r="P60" s="2975"/>
      <c r="Q60" s="2975"/>
      <c r="R60" s="2975"/>
      <c r="S60" s="2976"/>
      <c r="U60" s="7"/>
    </row>
    <row r="61" spans="1:21" ht="16.5" customHeight="1" thickBot="1">
      <c r="A61" s="38" t="s">
        <v>31</v>
      </c>
      <c r="B61" s="39">
        <f>J61</f>
        <v>110</v>
      </c>
      <c r="C61" s="39" t="s">
        <v>3</v>
      </c>
      <c r="D61" s="39">
        <f>K61</f>
        <v>200</v>
      </c>
      <c r="E61" s="39" t="s">
        <v>3</v>
      </c>
      <c r="F61" s="90">
        <f>L61</f>
        <v>600</v>
      </c>
      <c r="G61" s="39" t="s">
        <v>3</v>
      </c>
      <c r="H61" s="39">
        <v>2</v>
      </c>
      <c r="I61" s="40" t="s">
        <v>40</v>
      </c>
      <c r="J61" s="146">
        <v>110</v>
      </c>
      <c r="K61" s="122">
        <v>200</v>
      </c>
      <c r="L61" s="122">
        <v>600</v>
      </c>
      <c r="M61" s="155">
        <v>5.2280884823813167</v>
      </c>
      <c r="N61" s="123">
        <v>126.03583997999998</v>
      </c>
      <c r="O61" s="124">
        <v>11167.729701630655</v>
      </c>
      <c r="P61" s="153">
        <v>13402.312656686532</v>
      </c>
      <c r="Q61" s="139">
        <v>7123.1890801891068</v>
      </c>
      <c r="R61" s="256">
        <v>18290.918781819761</v>
      </c>
      <c r="S61" s="257">
        <v>20525.501736875638</v>
      </c>
      <c r="U61" s="7" t="s">
        <v>2523</v>
      </c>
    </row>
    <row r="62" spans="1:21" ht="16.5" customHeight="1" thickBot="1">
      <c r="A62" s="41" t="s">
        <v>31</v>
      </c>
      <c r="B62" s="42">
        <f t="shared" ref="B62:B109" si="3">J62</f>
        <v>110</v>
      </c>
      <c r="C62" s="42" t="s">
        <v>3</v>
      </c>
      <c r="D62" s="42">
        <f t="shared" ref="D62:D109" si="4">K62</f>
        <v>200</v>
      </c>
      <c r="E62" s="42" t="s">
        <v>3</v>
      </c>
      <c r="F62" s="90">
        <f t="shared" ref="F62:F109" si="5">L62</f>
        <v>650</v>
      </c>
      <c r="G62" s="42" t="s">
        <v>3</v>
      </c>
      <c r="H62" s="39">
        <v>2</v>
      </c>
      <c r="I62" s="40" t="s">
        <v>40</v>
      </c>
      <c r="J62" s="149">
        <v>110</v>
      </c>
      <c r="K62" s="66">
        <v>200</v>
      </c>
      <c r="L62" s="66">
        <v>650</v>
      </c>
      <c r="M62" s="156">
        <v>5.5894850925244732</v>
      </c>
      <c r="N62" s="78">
        <v>151.24300797599997</v>
      </c>
      <c r="O62" s="113">
        <v>11629.003390174352</v>
      </c>
      <c r="P62" s="109">
        <v>14008.076105261252</v>
      </c>
      <c r="Q62" s="110">
        <v>7513.8655494313916</v>
      </c>
      <c r="R62" s="258">
        <v>19142.868939605745</v>
      </c>
      <c r="S62" s="259">
        <v>21521.941654692644</v>
      </c>
      <c r="U62" s="7" t="s">
        <v>2524</v>
      </c>
    </row>
    <row r="63" spans="1:21" ht="16.5" customHeight="1" thickBot="1">
      <c r="A63" s="41" t="s">
        <v>31</v>
      </c>
      <c r="B63" s="42">
        <f t="shared" si="3"/>
        <v>110</v>
      </c>
      <c r="C63" s="42" t="s">
        <v>3</v>
      </c>
      <c r="D63" s="42">
        <f t="shared" si="4"/>
        <v>200</v>
      </c>
      <c r="E63" s="42" t="s">
        <v>3</v>
      </c>
      <c r="F63" s="90">
        <f t="shared" si="5"/>
        <v>700</v>
      </c>
      <c r="G63" s="42" t="s">
        <v>3</v>
      </c>
      <c r="H63" s="39">
        <v>2</v>
      </c>
      <c r="I63" s="40" t="s">
        <v>40</v>
      </c>
      <c r="J63" s="149">
        <v>110</v>
      </c>
      <c r="K63" s="66">
        <v>200</v>
      </c>
      <c r="L63" s="66">
        <v>700</v>
      </c>
      <c r="M63" s="156">
        <v>5.9679217026676312</v>
      </c>
      <c r="N63" s="78">
        <v>176.45017597200001</v>
      </c>
      <c r="O63" s="113">
        <v>12090.277231746813</v>
      </c>
      <c r="P63" s="109">
        <v>14613.839553835976</v>
      </c>
      <c r="Q63" s="110">
        <v>8155.8760034286815</v>
      </c>
      <c r="R63" s="258">
        <v>20246.153235175494</v>
      </c>
      <c r="S63" s="259">
        <v>22769.715557264659</v>
      </c>
      <c r="U63" s="7" t="s">
        <v>2525</v>
      </c>
    </row>
    <row r="64" spans="1:21" ht="16.5" customHeight="1" thickBot="1">
      <c r="A64" s="41" t="s">
        <v>31</v>
      </c>
      <c r="B64" s="42">
        <f t="shared" si="3"/>
        <v>110</v>
      </c>
      <c r="C64" s="42" t="s">
        <v>3</v>
      </c>
      <c r="D64" s="42">
        <f t="shared" si="4"/>
        <v>200</v>
      </c>
      <c r="E64" s="42" t="s">
        <v>3</v>
      </c>
      <c r="F64" s="90">
        <f t="shared" si="5"/>
        <v>750</v>
      </c>
      <c r="G64" s="42" t="s">
        <v>3</v>
      </c>
      <c r="H64" s="39">
        <v>2</v>
      </c>
      <c r="I64" s="40" t="s">
        <v>40</v>
      </c>
      <c r="J64" s="149">
        <v>110</v>
      </c>
      <c r="K64" s="66">
        <v>200</v>
      </c>
      <c r="L64" s="66">
        <v>750</v>
      </c>
      <c r="M64" s="156">
        <v>6.3293183128107895</v>
      </c>
      <c r="N64" s="78">
        <v>201.65734396799996</v>
      </c>
      <c r="O64" s="113">
        <v>12551.550920290509</v>
      </c>
      <c r="P64" s="109">
        <v>15219.603002410697</v>
      </c>
      <c r="Q64" s="110">
        <v>8546.5523196422018</v>
      </c>
      <c r="R64" s="258">
        <v>21098.103239932709</v>
      </c>
      <c r="S64" s="259">
        <v>23766.155322052899</v>
      </c>
      <c r="U64" s="7" t="s">
        <v>2526</v>
      </c>
    </row>
    <row r="65" spans="1:21" ht="16.5" customHeight="1" thickBot="1">
      <c r="A65" s="41" t="s">
        <v>31</v>
      </c>
      <c r="B65" s="42">
        <f t="shared" si="3"/>
        <v>110</v>
      </c>
      <c r="C65" s="42" t="s">
        <v>3</v>
      </c>
      <c r="D65" s="42">
        <f t="shared" si="4"/>
        <v>200</v>
      </c>
      <c r="E65" s="42" t="s">
        <v>3</v>
      </c>
      <c r="F65" s="90">
        <f t="shared" si="5"/>
        <v>800</v>
      </c>
      <c r="G65" s="42" t="s">
        <v>3</v>
      </c>
      <c r="H65" s="39">
        <v>2</v>
      </c>
      <c r="I65" s="40" t="s">
        <v>40</v>
      </c>
      <c r="J65" s="149">
        <v>110</v>
      </c>
      <c r="K65" s="66">
        <v>200</v>
      </c>
      <c r="L65" s="66">
        <v>800</v>
      </c>
      <c r="M65" s="156">
        <v>6.690714922953946</v>
      </c>
      <c r="N65" s="78">
        <v>226.86451196399997</v>
      </c>
      <c r="O65" s="113">
        <v>13012.824761862972</v>
      </c>
      <c r="P65" s="109">
        <v>15825.366450985421</v>
      </c>
      <c r="Q65" s="110">
        <v>8937.2286358557212</v>
      </c>
      <c r="R65" s="258">
        <v>21950.053397718693</v>
      </c>
      <c r="S65" s="259">
        <v>24762.595086841142</v>
      </c>
      <c r="U65" s="7" t="s">
        <v>2527</v>
      </c>
    </row>
    <row r="66" spans="1:21" ht="16.5" customHeight="1" thickBot="1">
      <c r="A66" s="41" t="s">
        <v>31</v>
      </c>
      <c r="B66" s="42">
        <f t="shared" si="3"/>
        <v>110</v>
      </c>
      <c r="C66" s="42" t="s">
        <v>3</v>
      </c>
      <c r="D66" s="42">
        <f t="shared" si="4"/>
        <v>200</v>
      </c>
      <c r="E66" s="42" t="s">
        <v>3</v>
      </c>
      <c r="F66" s="90">
        <f t="shared" si="5"/>
        <v>850</v>
      </c>
      <c r="G66" s="42" t="s">
        <v>3</v>
      </c>
      <c r="H66" s="39">
        <v>2</v>
      </c>
      <c r="I66" s="40" t="s">
        <v>40</v>
      </c>
      <c r="J66" s="149">
        <v>110</v>
      </c>
      <c r="K66" s="66">
        <v>200</v>
      </c>
      <c r="L66" s="66">
        <v>850</v>
      </c>
      <c r="M66" s="156">
        <v>7.0691515330971049</v>
      </c>
      <c r="N66" s="78">
        <v>252.07167995999995</v>
      </c>
      <c r="O66" s="113">
        <v>13474.098603435434</v>
      </c>
      <c r="P66" s="109">
        <v>16431.129899560139</v>
      </c>
      <c r="Q66" s="110">
        <v>9579.239089853012</v>
      </c>
      <c r="R66" s="258">
        <v>23053.337693288446</v>
      </c>
      <c r="S66" s="259">
        <v>26010.368989413153</v>
      </c>
      <c r="U66" s="7" t="s">
        <v>2528</v>
      </c>
    </row>
    <row r="67" spans="1:21" ht="16.5" customHeight="1" thickBot="1">
      <c r="A67" s="41" t="s">
        <v>31</v>
      </c>
      <c r="B67" s="42">
        <f t="shared" si="3"/>
        <v>110</v>
      </c>
      <c r="C67" s="42" t="s">
        <v>3</v>
      </c>
      <c r="D67" s="42">
        <f t="shared" si="4"/>
        <v>200</v>
      </c>
      <c r="E67" s="42" t="s">
        <v>3</v>
      </c>
      <c r="F67" s="90">
        <f t="shared" si="5"/>
        <v>900</v>
      </c>
      <c r="G67" s="42" t="s">
        <v>3</v>
      </c>
      <c r="H67" s="39">
        <v>2</v>
      </c>
      <c r="I67" s="40" t="s">
        <v>40</v>
      </c>
      <c r="J67" s="149">
        <v>110</v>
      </c>
      <c r="K67" s="66">
        <v>200</v>
      </c>
      <c r="L67" s="66">
        <v>900</v>
      </c>
      <c r="M67" s="156">
        <v>7.430548143240264</v>
      </c>
      <c r="N67" s="78">
        <v>277.27884795599994</v>
      </c>
      <c r="O67" s="113">
        <v>13935.372291979133</v>
      </c>
      <c r="P67" s="109">
        <v>17036.893348134861</v>
      </c>
      <c r="Q67" s="110">
        <v>9969.915559095296</v>
      </c>
      <c r="R67" s="258">
        <v>23905.287851074427</v>
      </c>
      <c r="S67" s="259">
        <v>27006.808907230159</v>
      </c>
      <c r="U67" s="7" t="s">
        <v>2529</v>
      </c>
    </row>
    <row r="68" spans="1:21" ht="16.5" customHeight="1" thickBot="1">
      <c r="A68" s="41" t="s">
        <v>31</v>
      </c>
      <c r="B68" s="42">
        <f t="shared" si="3"/>
        <v>110</v>
      </c>
      <c r="C68" s="42" t="s">
        <v>3</v>
      </c>
      <c r="D68" s="42">
        <f t="shared" si="4"/>
        <v>200</v>
      </c>
      <c r="E68" s="42" t="s">
        <v>3</v>
      </c>
      <c r="F68" s="90">
        <f t="shared" si="5"/>
        <v>950</v>
      </c>
      <c r="G68" s="42" t="s">
        <v>3</v>
      </c>
      <c r="H68" s="39">
        <v>2</v>
      </c>
      <c r="I68" s="40" t="s">
        <v>40</v>
      </c>
      <c r="J68" s="149">
        <v>110</v>
      </c>
      <c r="K68" s="66">
        <v>200</v>
      </c>
      <c r="L68" s="66">
        <v>950</v>
      </c>
      <c r="M68" s="156">
        <v>7.8089847533834202</v>
      </c>
      <c r="N68" s="78">
        <v>302.48601595199995</v>
      </c>
      <c r="O68" s="113">
        <v>15154.364391377667</v>
      </c>
      <c r="P68" s="109">
        <v>17642.656796709583</v>
      </c>
      <c r="Q68" s="110">
        <v>10611.926013092587</v>
      </c>
      <c r="R68" s="258">
        <v>25766.290404470252</v>
      </c>
      <c r="S68" s="259">
        <v>28254.58280980217</v>
      </c>
      <c r="U68" s="7" t="s">
        <v>2530</v>
      </c>
    </row>
    <row r="69" spans="1:21" ht="16.5" customHeight="1" thickBot="1">
      <c r="A69" s="41" t="s">
        <v>31</v>
      </c>
      <c r="B69" s="42">
        <f t="shared" si="3"/>
        <v>110</v>
      </c>
      <c r="C69" s="42" t="s">
        <v>3</v>
      </c>
      <c r="D69" s="42">
        <f t="shared" si="4"/>
        <v>200</v>
      </c>
      <c r="E69" s="42" t="s">
        <v>3</v>
      </c>
      <c r="F69" s="90">
        <f t="shared" si="5"/>
        <v>1000</v>
      </c>
      <c r="G69" s="42" t="s">
        <v>3</v>
      </c>
      <c r="H69" s="39">
        <v>2</v>
      </c>
      <c r="I69" s="40" t="s">
        <v>40</v>
      </c>
      <c r="J69" s="149">
        <v>110</v>
      </c>
      <c r="K69" s="66">
        <v>200</v>
      </c>
      <c r="L69" s="66">
        <v>1000</v>
      </c>
      <c r="M69" s="156">
        <v>8.1703813635265785</v>
      </c>
      <c r="N69" s="78">
        <v>327.69318394800001</v>
      </c>
      <c r="O69" s="113">
        <v>15639.91563442215</v>
      </c>
      <c r="P69" s="109">
        <v>18248.420245284306</v>
      </c>
      <c r="Q69" s="110">
        <v>11002.602329306106</v>
      </c>
      <c r="R69" s="258">
        <v>26642.517963728256</v>
      </c>
      <c r="S69" s="259">
        <v>29251.02257459041</v>
      </c>
      <c r="U69" s="7" t="s">
        <v>2531</v>
      </c>
    </row>
    <row r="70" spans="1:21" ht="16.5" customHeight="1" thickBot="1">
      <c r="A70" s="41" t="s">
        <v>31</v>
      </c>
      <c r="B70" s="42">
        <f t="shared" si="3"/>
        <v>110</v>
      </c>
      <c r="C70" s="42" t="s">
        <v>3</v>
      </c>
      <c r="D70" s="42">
        <f t="shared" si="4"/>
        <v>200</v>
      </c>
      <c r="E70" s="42" t="s">
        <v>3</v>
      </c>
      <c r="F70" s="90">
        <f t="shared" si="5"/>
        <v>1050</v>
      </c>
      <c r="G70" s="42" t="s">
        <v>3</v>
      </c>
      <c r="H70" s="39">
        <v>2</v>
      </c>
      <c r="I70" s="40" t="s">
        <v>40</v>
      </c>
      <c r="J70" s="149">
        <v>110</v>
      </c>
      <c r="K70" s="66">
        <v>200</v>
      </c>
      <c r="L70" s="66">
        <v>1050</v>
      </c>
      <c r="M70" s="156">
        <v>8.5488179736697365</v>
      </c>
      <c r="N70" s="78">
        <v>352.90035194400002</v>
      </c>
      <c r="O70" s="113">
        <v>16125.4670304954</v>
      </c>
      <c r="P70" s="109">
        <v>18854.183693859028</v>
      </c>
      <c r="Q70" s="110">
        <v>11644.612783303395</v>
      </c>
      <c r="R70" s="258">
        <v>27770.079813798795</v>
      </c>
      <c r="S70" s="259">
        <v>30498.796477162425</v>
      </c>
      <c r="U70" s="7" t="s">
        <v>2532</v>
      </c>
    </row>
    <row r="71" spans="1:21" ht="16.5" customHeight="1" thickBot="1">
      <c r="A71" s="38" t="s">
        <v>31</v>
      </c>
      <c r="B71" s="39">
        <f t="shared" si="3"/>
        <v>110</v>
      </c>
      <c r="C71" s="39" t="s">
        <v>3</v>
      </c>
      <c r="D71" s="39">
        <f t="shared" si="4"/>
        <v>200</v>
      </c>
      <c r="E71" s="39" t="s">
        <v>3</v>
      </c>
      <c r="F71" s="90">
        <f t="shared" si="5"/>
        <v>1100</v>
      </c>
      <c r="G71" s="39" t="s">
        <v>3</v>
      </c>
      <c r="H71" s="39">
        <v>2</v>
      </c>
      <c r="I71" s="40" t="s">
        <v>40</v>
      </c>
      <c r="J71" s="149">
        <v>110</v>
      </c>
      <c r="K71" s="66">
        <v>200</v>
      </c>
      <c r="L71" s="66">
        <v>1100</v>
      </c>
      <c r="M71" s="156">
        <v>8.9102145838128948</v>
      </c>
      <c r="N71" s="78">
        <v>378.10751993999992</v>
      </c>
      <c r="O71" s="113">
        <v>16611.018426568648</v>
      </c>
      <c r="P71" s="109">
        <v>19459.947295462516</v>
      </c>
      <c r="Q71" s="110">
        <v>12035.289252545683</v>
      </c>
      <c r="R71" s="258">
        <v>28646.307679114332</v>
      </c>
      <c r="S71" s="259">
        <v>31495.236548008201</v>
      </c>
      <c r="U71" s="7" t="s">
        <v>2533</v>
      </c>
    </row>
    <row r="72" spans="1:21" ht="16.5" customHeight="1" thickBot="1">
      <c r="A72" s="41" t="s">
        <v>31</v>
      </c>
      <c r="B72" s="42">
        <f t="shared" si="3"/>
        <v>110</v>
      </c>
      <c r="C72" s="42" t="s">
        <v>3</v>
      </c>
      <c r="D72" s="42">
        <f t="shared" si="4"/>
        <v>200</v>
      </c>
      <c r="E72" s="42" t="s">
        <v>3</v>
      </c>
      <c r="F72" s="90">
        <f t="shared" si="5"/>
        <v>1150</v>
      </c>
      <c r="G72" s="42" t="s">
        <v>3</v>
      </c>
      <c r="H72" s="39">
        <v>2</v>
      </c>
      <c r="I72" s="40" t="s">
        <v>40</v>
      </c>
      <c r="J72" s="149">
        <v>110</v>
      </c>
      <c r="K72" s="66">
        <v>200</v>
      </c>
      <c r="L72" s="66">
        <v>1150</v>
      </c>
      <c r="M72" s="156">
        <v>9.271611193956053</v>
      </c>
      <c r="N72" s="78">
        <v>403.31468793599993</v>
      </c>
      <c r="O72" s="113">
        <v>17096.569669613127</v>
      </c>
      <c r="P72" s="109">
        <v>20065.710744037238</v>
      </c>
      <c r="Q72" s="110">
        <v>12425.965568759202</v>
      </c>
      <c r="R72" s="258">
        <v>29522.535238372329</v>
      </c>
      <c r="S72" s="259">
        <v>32491.67631279644</v>
      </c>
      <c r="U72" s="7" t="s">
        <v>2534</v>
      </c>
    </row>
    <row r="73" spans="1:21" ht="16.5" customHeight="1" thickBot="1">
      <c r="A73" s="41" t="s">
        <v>31</v>
      </c>
      <c r="B73" s="42">
        <f t="shared" si="3"/>
        <v>110</v>
      </c>
      <c r="C73" s="42" t="s">
        <v>3</v>
      </c>
      <c r="D73" s="42">
        <f t="shared" si="4"/>
        <v>200</v>
      </c>
      <c r="E73" s="42" t="s">
        <v>3</v>
      </c>
      <c r="F73" s="90">
        <f t="shared" si="5"/>
        <v>1200</v>
      </c>
      <c r="G73" s="42" t="s">
        <v>3</v>
      </c>
      <c r="H73" s="39">
        <v>2</v>
      </c>
      <c r="I73" s="40" t="s">
        <v>40</v>
      </c>
      <c r="J73" s="149">
        <v>110</v>
      </c>
      <c r="K73" s="66">
        <v>200</v>
      </c>
      <c r="L73" s="66">
        <v>1200</v>
      </c>
      <c r="M73" s="156">
        <v>9.6892978040992102</v>
      </c>
      <c r="N73" s="78">
        <v>428.52185593199994</v>
      </c>
      <c r="O73" s="113">
        <v>17634.621256252871</v>
      </c>
      <c r="P73" s="109">
        <v>20721.77964462903</v>
      </c>
      <c r="Q73" s="110">
        <v>13067.976022756491</v>
      </c>
      <c r="R73" s="258">
        <v>30702.597279009362</v>
      </c>
      <c r="S73" s="259">
        <v>33789.755667385522</v>
      </c>
      <c r="U73" s="7" t="s">
        <v>2535</v>
      </c>
    </row>
    <row r="74" spans="1:21" ht="16.5" customHeight="1" thickBot="1">
      <c r="A74" s="41" t="s">
        <v>31</v>
      </c>
      <c r="B74" s="42">
        <f t="shared" si="3"/>
        <v>110</v>
      </c>
      <c r="C74" s="42" t="s">
        <v>3</v>
      </c>
      <c r="D74" s="42">
        <f t="shared" si="4"/>
        <v>200</v>
      </c>
      <c r="E74" s="42" t="s">
        <v>3</v>
      </c>
      <c r="F74" s="90">
        <f t="shared" si="5"/>
        <v>1250</v>
      </c>
      <c r="G74" s="42" t="s">
        <v>3</v>
      </c>
      <c r="H74" s="39">
        <v>2</v>
      </c>
      <c r="I74" s="40" t="s">
        <v>40</v>
      </c>
      <c r="J74" s="149">
        <v>110</v>
      </c>
      <c r="K74" s="66">
        <v>200</v>
      </c>
      <c r="L74" s="66">
        <v>1250</v>
      </c>
      <c r="M74" s="156">
        <v>10.050694414242368</v>
      </c>
      <c r="N74" s="78">
        <v>453.72902392799995</v>
      </c>
      <c r="O74" s="113">
        <v>18120.17265232612</v>
      </c>
      <c r="P74" s="109">
        <v>21327.543093203753</v>
      </c>
      <c r="Q74" s="110">
        <v>13458.652338970012</v>
      </c>
      <c r="R74" s="258">
        <v>31578.824991296133</v>
      </c>
      <c r="S74" s="259">
        <v>34786.195432173765</v>
      </c>
      <c r="U74" s="7" t="s">
        <v>2536</v>
      </c>
    </row>
    <row r="75" spans="1:21" ht="16.5" customHeight="1" thickBot="1">
      <c r="A75" s="41" t="s">
        <v>31</v>
      </c>
      <c r="B75" s="42">
        <f t="shared" si="3"/>
        <v>110</v>
      </c>
      <c r="C75" s="42" t="s">
        <v>3</v>
      </c>
      <c r="D75" s="42">
        <f t="shared" si="4"/>
        <v>200</v>
      </c>
      <c r="E75" s="42" t="s">
        <v>3</v>
      </c>
      <c r="F75" s="90">
        <f t="shared" si="5"/>
        <v>1300</v>
      </c>
      <c r="G75" s="42" t="s">
        <v>3</v>
      </c>
      <c r="H75" s="39">
        <v>2</v>
      </c>
      <c r="I75" s="40" t="s">
        <v>40</v>
      </c>
      <c r="J75" s="149">
        <v>110</v>
      </c>
      <c r="K75" s="66">
        <v>200</v>
      </c>
      <c r="L75" s="66">
        <v>1300</v>
      </c>
      <c r="M75" s="156">
        <v>10.429131024385526</v>
      </c>
      <c r="N75" s="78">
        <v>478.93619192399996</v>
      </c>
      <c r="O75" s="113">
        <v>18605.724048399366</v>
      </c>
      <c r="P75" s="109">
        <v>21933.306541778475</v>
      </c>
      <c r="Q75" s="110">
        <v>14100.662792967301</v>
      </c>
      <c r="R75" s="258">
        <v>32706.386841366668</v>
      </c>
      <c r="S75" s="259">
        <v>36033.96933474578</v>
      </c>
      <c r="U75" s="7" t="s">
        <v>2537</v>
      </c>
    </row>
    <row r="76" spans="1:21" ht="16.5" customHeight="1" thickBot="1">
      <c r="A76" s="41" t="s">
        <v>31</v>
      </c>
      <c r="B76" s="42">
        <f t="shared" si="3"/>
        <v>110</v>
      </c>
      <c r="C76" s="42" t="s">
        <v>3</v>
      </c>
      <c r="D76" s="42">
        <f t="shared" si="4"/>
        <v>200</v>
      </c>
      <c r="E76" s="42" t="s">
        <v>3</v>
      </c>
      <c r="F76" s="90">
        <f t="shared" si="5"/>
        <v>1350</v>
      </c>
      <c r="G76" s="42" t="s">
        <v>3</v>
      </c>
      <c r="H76" s="39">
        <v>2</v>
      </c>
      <c r="I76" s="40" t="s">
        <v>40</v>
      </c>
      <c r="J76" s="149">
        <v>110</v>
      </c>
      <c r="K76" s="66">
        <v>200</v>
      </c>
      <c r="L76" s="66">
        <v>1350</v>
      </c>
      <c r="M76" s="156">
        <v>10.790527634528683</v>
      </c>
      <c r="N76" s="78">
        <v>504.14335991999991</v>
      </c>
      <c r="O76" s="113">
        <v>19091.27529144385</v>
      </c>
      <c r="P76" s="109">
        <v>22539.069990353197</v>
      </c>
      <c r="Q76" s="110">
        <v>14491.339262209587</v>
      </c>
      <c r="R76" s="258">
        <v>33582.614553653439</v>
      </c>
      <c r="S76" s="259">
        <v>37030.409252562786</v>
      </c>
      <c r="U76" s="7" t="s">
        <v>2538</v>
      </c>
    </row>
    <row r="77" spans="1:21" ht="16.5" customHeight="1" thickBot="1">
      <c r="A77" s="41" t="s">
        <v>31</v>
      </c>
      <c r="B77" s="42">
        <f t="shared" si="3"/>
        <v>110</v>
      </c>
      <c r="C77" s="42" t="s">
        <v>3</v>
      </c>
      <c r="D77" s="42">
        <f t="shared" si="4"/>
        <v>200</v>
      </c>
      <c r="E77" s="42" t="s">
        <v>3</v>
      </c>
      <c r="F77" s="90">
        <f t="shared" si="5"/>
        <v>1400</v>
      </c>
      <c r="G77" s="42" t="s">
        <v>3</v>
      </c>
      <c r="H77" s="39">
        <v>2</v>
      </c>
      <c r="I77" s="40" t="s">
        <v>40</v>
      </c>
      <c r="J77" s="149">
        <v>110</v>
      </c>
      <c r="K77" s="66">
        <v>200</v>
      </c>
      <c r="L77" s="66">
        <v>1400</v>
      </c>
      <c r="M77" s="156">
        <v>11.168964244671841</v>
      </c>
      <c r="N77" s="78">
        <v>529.35052791599992</v>
      </c>
      <c r="O77" s="113">
        <v>19576.826687517096</v>
      </c>
      <c r="P77" s="109">
        <v>23144.833438927919</v>
      </c>
      <c r="Q77" s="110">
        <v>15133.349716206876</v>
      </c>
      <c r="R77" s="258">
        <v>34710.17640372397</v>
      </c>
      <c r="S77" s="259">
        <v>38278.183155134793</v>
      </c>
      <c r="U77" s="7" t="s">
        <v>2539</v>
      </c>
    </row>
    <row r="78" spans="1:21" ht="16.5" customHeight="1" thickBot="1">
      <c r="A78" s="41" t="s">
        <v>31</v>
      </c>
      <c r="B78" s="42">
        <f t="shared" si="3"/>
        <v>110</v>
      </c>
      <c r="C78" s="42" t="s">
        <v>3</v>
      </c>
      <c r="D78" s="42">
        <f t="shared" si="4"/>
        <v>200</v>
      </c>
      <c r="E78" s="42" t="s">
        <v>3</v>
      </c>
      <c r="F78" s="90">
        <f t="shared" si="5"/>
        <v>1450</v>
      </c>
      <c r="G78" s="42" t="s">
        <v>3</v>
      </c>
      <c r="H78" s="39">
        <v>2</v>
      </c>
      <c r="I78" s="40" t="s">
        <v>40</v>
      </c>
      <c r="J78" s="149">
        <v>110</v>
      </c>
      <c r="K78" s="66">
        <v>200</v>
      </c>
      <c r="L78" s="66">
        <v>1450</v>
      </c>
      <c r="M78" s="156">
        <v>11.530360854815001</v>
      </c>
      <c r="N78" s="78">
        <v>554.55769591199987</v>
      </c>
      <c r="O78" s="113">
        <v>20062.378083590345</v>
      </c>
      <c r="P78" s="109">
        <v>23750.596887502641</v>
      </c>
      <c r="Q78" s="110">
        <v>15524.026032420395</v>
      </c>
      <c r="R78" s="258">
        <v>35586.404116010744</v>
      </c>
      <c r="S78" s="259">
        <v>39274.622919923037</v>
      </c>
      <c r="U78" s="7" t="s">
        <v>2540</v>
      </c>
    </row>
    <row r="79" spans="1:21" ht="16.5" customHeight="1" thickBot="1">
      <c r="A79" s="41" t="s">
        <v>31</v>
      </c>
      <c r="B79" s="42">
        <f t="shared" si="3"/>
        <v>110</v>
      </c>
      <c r="C79" s="42" t="s">
        <v>3</v>
      </c>
      <c r="D79" s="42">
        <f t="shared" si="4"/>
        <v>200</v>
      </c>
      <c r="E79" s="42" t="s">
        <v>3</v>
      </c>
      <c r="F79" s="90">
        <f t="shared" si="5"/>
        <v>1500</v>
      </c>
      <c r="G79" s="42" t="s">
        <v>3</v>
      </c>
      <c r="H79" s="39">
        <v>2</v>
      </c>
      <c r="I79" s="40" t="s">
        <v>40</v>
      </c>
      <c r="J79" s="149">
        <v>110</v>
      </c>
      <c r="K79" s="66">
        <v>200</v>
      </c>
      <c r="L79" s="66">
        <v>1500</v>
      </c>
      <c r="M79" s="156">
        <v>12.015823587258158</v>
      </c>
      <c r="N79" s="78">
        <v>579.76486390799994</v>
      </c>
      <c r="O79" s="113">
        <v>21184.084440992141</v>
      </c>
      <c r="P79" s="109">
        <v>24894.0714337147</v>
      </c>
      <c r="Q79" s="110">
        <v>16166.036486417688</v>
      </c>
      <c r="R79" s="258">
        <v>37350.120927409829</v>
      </c>
      <c r="S79" s="259">
        <v>41060.107920132388</v>
      </c>
      <c r="U79" s="7" t="s">
        <v>2541</v>
      </c>
    </row>
    <row r="80" spans="1:21" ht="16.5" customHeight="1" thickBot="1">
      <c r="A80" s="41" t="s">
        <v>31</v>
      </c>
      <c r="B80" s="42">
        <f t="shared" si="3"/>
        <v>110</v>
      </c>
      <c r="C80" s="42" t="s">
        <v>3</v>
      </c>
      <c r="D80" s="42">
        <f t="shared" si="4"/>
        <v>200</v>
      </c>
      <c r="E80" s="42" t="s">
        <v>3</v>
      </c>
      <c r="F80" s="90">
        <f t="shared" si="5"/>
        <v>1550</v>
      </c>
      <c r="G80" s="42" t="s">
        <v>3</v>
      </c>
      <c r="H80" s="39">
        <v>2</v>
      </c>
      <c r="I80" s="40" t="s">
        <v>40</v>
      </c>
      <c r="J80" s="149">
        <v>110</v>
      </c>
      <c r="K80" s="66">
        <v>200</v>
      </c>
      <c r="L80" s="66">
        <v>1550</v>
      </c>
      <c r="M80" s="156">
        <v>12.377220197401314</v>
      </c>
      <c r="N80" s="78">
        <v>604.97203190399989</v>
      </c>
      <c r="O80" s="113">
        <v>21669.635684036621</v>
      </c>
      <c r="P80" s="109">
        <v>25499.834882289419</v>
      </c>
      <c r="Q80" s="110">
        <v>16556.712955659972</v>
      </c>
      <c r="R80" s="258">
        <v>38226.348639696589</v>
      </c>
      <c r="S80" s="259">
        <v>42056.547837949387</v>
      </c>
      <c r="U80" s="7" t="s">
        <v>2542</v>
      </c>
    </row>
    <row r="81" spans="1:21" ht="16.5" customHeight="1" thickBot="1">
      <c r="A81" s="38" t="s">
        <v>31</v>
      </c>
      <c r="B81" s="39">
        <f t="shared" si="3"/>
        <v>110</v>
      </c>
      <c r="C81" s="39" t="s">
        <v>3</v>
      </c>
      <c r="D81" s="39">
        <f t="shared" si="4"/>
        <v>200</v>
      </c>
      <c r="E81" s="39" t="s">
        <v>3</v>
      </c>
      <c r="F81" s="90">
        <f t="shared" si="5"/>
        <v>1600</v>
      </c>
      <c r="G81" s="39" t="s">
        <v>3</v>
      </c>
      <c r="H81" s="39">
        <v>2</v>
      </c>
      <c r="I81" s="40" t="s">
        <v>40</v>
      </c>
      <c r="J81" s="149">
        <v>110</v>
      </c>
      <c r="K81" s="66">
        <v>200</v>
      </c>
      <c r="L81" s="66">
        <v>1600</v>
      </c>
      <c r="M81" s="156">
        <v>12.738616807544471</v>
      </c>
      <c r="N81" s="78">
        <v>630.17919989999984</v>
      </c>
      <c r="O81" s="113">
        <v>22155.18708010987</v>
      </c>
      <c r="P81" s="109">
        <v>26105.598330864148</v>
      </c>
      <c r="Q81" s="110">
        <v>16947.389271873493</v>
      </c>
      <c r="R81" s="258">
        <v>39102.576351983364</v>
      </c>
      <c r="S81" s="259">
        <v>43052.987602737645</v>
      </c>
      <c r="U81" s="7" t="s">
        <v>2543</v>
      </c>
    </row>
    <row r="82" spans="1:21" ht="16.5" customHeight="1" thickBot="1">
      <c r="A82" s="41" t="s">
        <v>31</v>
      </c>
      <c r="B82" s="42">
        <f t="shared" si="3"/>
        <v>110</v>
      </c>
      <c r="C82" s="42" t="s">
        <v>3</v>
      </c>
      <c r="D82" s="42">
        <f t="shared" si="4"/>
        <v>200</v>
      </c>
      <c r="E82" s="42" t="s">
        <v>3</v>
      </c>
      <c r="F82" s="90">
        <f t="shared" si="5"/>
        <v>1650</v>
      </c>
      <c r="G82" s="42" t="s">
        <v>3</v>
      </c>
      <c r="H82" s="39">
        <v>2</v>
      </c>
      <c r="I82" s="40" t="s">
        <v>40</v>
      </c>
      <c r="J82" s="149">
        <v>110</v>
      </c>
      <c r="K82" s="66">
        <v>200</v>
      </c>
      <c r="L82" s="66">
        <v>1650</v>
      </c>
      <c r="M82" s="156">
        <v>13.117053417687632</v>
      </c>
      <c r="N82" s="78">
        <v>655.38636789600002</v>
      </c>
      <c r="O82" s="113">
        <v>22640.738476183116</v>
      </c>
      <c r="P82" s="109">
        <v>26711.361779438867</v>
      </c>
      <c r="Q82" s="110">
        <v>17589.399725870782</v>
      </c>
      <c r="R82" s="258">
        <v>40230.138202053902</v>
      </c>
      <c r="S82" s="259">
        <v>44300.761505309652</v>
      </c>
      <c r="U82" s="7" t="s">
        <v>2544</v>
      </c>
    </row>
    <row r="83" spans="1:21" ht="16.5" customHeight="1" thickBot="1">
      <c r="A83" s="41" t="s">
        <v>31</v>
      </c>
      <c r="B83" s="42">
        <f t="shared" si="3"/>
        <v>110</v>
      </c>
      <c r="C83" s="42" t="s">
        <v>3</v>
      </c>
      <c r="D83" s="42">
        <f t="shared" si="4"/>
        <v>200</v>
      </c>
      <c r="E83" s="42" t="s">
        <v>3</v>
      </c>
      <c r="F83" s="90">
        <f t="shared" si="5"/>
        <v>1700</v>
      </c>
      <c r="G83" s="42" t="s">
        <v>3</v>
      </c>
      <c r="H83" s="39">
        <v>2</v>
      </c>
      <c r="I83" s="40" t="s">
        <v>40</v>
      </c>
      <c r="J83" s="149">
        <v>110</v>
      </c>
      <c r="K83" s="66">
        <v>200</v>
      </c>
      <c r="L83" s="66">
        <v>1700</v>
      </c>
      <c r="M83" s="156">
        <v>13.478450027830789</v>
      </c>
      <c r="N83" s="78">
        <v>680.59353589199998</v>
      </c>
      <c r="O83" s="113">
        <v>23126.289719227603</v>
      </c>
      <c r="P83" s="109">
        <v>27317.125381042355</v>
      </c>
      <c r="Q83" s="110">
        <v>17980.076042084303</v>
      </c>
      <c r="R83" s="258">
        <v>41106.365761311907</v>
      </c>
      <c r="S83" s="259">
        <v>45297.201423126658</v>
      </c>
      <c r="U83" s="7" t="s">
        <v>2545</v>
      </c>
    </row>
    <row r="84" spans="1:21" ht="16.5" customHeight="1" thickBot="1">
      <c r="A84" s="41" t="s">
        <v>31</v>
      </c>
      <c r="B84" s="42">
        <f t="shared" si="3"/>
        <v>110</v>
      </c>
      <c r="C84" s="42" t="s">
        <v>3</v>
      </c>
      <c r="D84" s="42">
        <f t="shared" si="4"/>
        <v>200</v>
      </c>
      <c r="E84" s="42" t="s">
        <v>3</v>
      </c>
      <c r="F84" s="90">
        <f t="shared" si="5"/>
        <v>1750</v>
      </c>
      <c r="G84" s="42" t="s">
        <v>3</v>
      </c>
      <c r="H84" s="39">
        <v>2</v>
      </c>
      <c r="I84" s="40" t="s">
        <v>40</v>
      </c>
      <c r="J84" s="149">
        <v>110</v>
      </c>
      <c r="K84" s="66">
        <v>200</v>
      </c>
      <c r="L84" s="66">
        <v>1750</v>
      </c>
      <c r="M84" s="156">
        <v>13.856886637973947</v>
      </c>
      <c r="N84" s="78">
        <v>705.80070388800004</v>
      </c>
      <c r="O84" s="113">
        <v>23611.841115300849</v>
      </c>
      <c r="P84" s="109">
        <v>27922.888829617073</v>
      </c>
      <c r="Q84" s="110">
        <v>18622.086496081592</v>
      </c>
      <c r="R84" s="258">
        <v>42233.927611382445</v>
      </c>
      <c r="S84" s="259">
        <v>46544.975325698666</v>
      </c>
      <c r="U84" s="7" t="s">
        <v>2546</v>
      </c>
    </row>
    <row r="85" spans="1:21" ht="16.5" customHeight="1" thickBot="1">
      <c r="A85" s="41" t="s">
        <v>31</v>
      </c>
      <c r="B85" s="42">
        <f t="shared" si="3"/>
        <v>110</v>
      </c>
      <c r="C85" s="42" t="s">
        <v>3</v>
      </c>
      <c r="D85" s="42">
        <f t="shared" si="4"/>
        <v>200</v>
      </c>
      <c r="E85" s="42" t="s">
        <v>3</v>
      </c>
      <c r="F85" s="90">
        <f t="shared" si="5"/>
        <v>1800</v>
      </c>
      <c r="G85" s="42" t="s">
        <v>3</v>
      </c>
      <c r="H85" s="39">
        <v>2</v>
      </c>
      <c r="I85" s="40" t="s">
        <v>40</v>
      </c>
      <c r="J85" s="149">
        <v>110</v>
      </c>
      <c r="K85" s="66">
        <v>200</v>
      </c>
      <c r="L85" s="66">
        <v>1800</v>
      </c>
      <c r="M85" s="156">
        <v>14.218283248117105</v>
      </c>
      <c r="N85" s="78">
        <v>731.007871884</v>
      </c>
      <c r="O85" s="113">
        <v>24097.392511374095</v>
      </c>
      <c r="P85" s="109">
        <v>28528.652278191796</v>
      </c>
      <c r="Q85" s="110">
        <v>19012.762965323876</v>
      </c>
      <c r="R85" s="258">
        <v>43110.155476697968</v>
      </c>
      <c r="S85" s="259">
        <v>47541.415243515672</v>
      </c>
      <c r="U85" s="7" t="s">
        <v>2547</v>
      </c>
    </row>
    <row r="86" spans="1:21" ht="16.5" customHeight="1" thickBot="1">
      <c r="A86" s="41" t="s">
        <v>31</v>
      </c>
      <c r="B86" s="42">
        <f t="shared" si="3"/>
        <v>110</v>
      </c>
      <c r="C86" s="42" t="s">
        <v>3</v>
      </c>
      <c r="D86" s="42">
        <f t="shared" si="4"/>
        <v>200</v>
      </c>
      <c r="E86" s="42" t="s">
        <v>3</v>
      </c>
      <c r="F86" s="90">
        <f t="shared" si="5"/>
        <v>1850</v>
      </c>
      <c r="G86" s="42" t="s">
        <v>3</v>
      </c>
      <c r="H86" s="39">
        <v>2</v>
      </c>
      <c r="I86" s="40" t="s">
        <v>40</v>
      </c>
      <c r="J86" s="149">
        <v>110</v>
      </c>
      <c r="K86" s="66">
        <v>200</v>
      </c>
      <c r="L86" s="66">
        <v>1850</v>
      </c>
      <c r="M86" s="156">
        <v>14.596719858260263</v>
      </c>
      <c r="N86" s="78">
        <v>756.21503987999984</v>
      </c>
      <c r="O86" s="113">
        <v>24582.943754418578</v>
      </c>
      <c r="P86" s="109">
        <v>29134.415726766521</v>
      </c>
      <c r="Q86" s="110">
        <v>19654.773419321165</v>
      </c>
      <c r="R86" s="258">
        <v>44237.717173739744</v>
      </c>
      <c r="S86" s="259">
        <v>48789.189146087687</v>
      </c>
      <c r="U86" s="7" t="s">
        <v>2548</v>
      </c>
    </row>
    <row r="87" spans="1:21" ht="16.5" customHeight="1" thickBot="1">
      <c r="A87" s="41" t="s">
        <v>31</v>
      </c>
      <c r="B87" s="42">
        <f t="shared" si="3"/>
        <v>110</v>
      </c>
      <c r="C87" s="42" t="s">
        <v>3</v>
      </c>
      <c r="D87" s="42">
        <f t="shared" si="4"/>
        <v>200</v>
      </c>
      <c r="E87" s="42" t="s">
        <v>3</v>
      </c>
      <c r="F87" s="90">
        <f t="shared" si="5"/>
        <v>1900</v>
      </c>
      <c r="G87" s="42" t="s">
        <v>3</v>
      </c>
      <c r="H87" s="39">
        <v>2</v>
      </c>
      <c r="I87" s="40" t="s">
        <v>40</v>
      </c>
      <c r="J87" s="149">
        <v>110</v>
      </c>
      <c r="K87" s="66">
        <v>200</v>
      </c>
      <c r="L87" s="66">
        <v>1900</v>
      </c>
      <c r="M87" s="156">
        <v>14.958116468403418</v>
      </c>
      <c r="N87" s="78">
        <v>781.4222078759999</v>
      </c>
      <c r="O87" s="113">
        <v>25068.495150491828</v>
      </c>
      <c r="P87" s="109">
        <v>29740.179175341244</v>
      </c>
      <c r="Q87" s="110">
        <v>20045.449735534687</v>
      </c>
      <c r="R87" s="258">
        <v>45113.944886026511</v>
      </c>
      <c r="S87" s="259">
        <v>49785.62891087593</v>
      </c>
      <c r="U87" s="7" t="s">
        <v>2549</v>
      </c>
    </row>
    <row r="88" spans="1:21" ht="16.5" customHeight="1" thickBot="1">
      <c r="A88" s="41" t="s">
        <v>31</v>
      </c>
      <c r="B88" s="42">
        <f t="shared" si="3"/>
        <v>110</v>
      </c>
      <c r="C88" s="42" t="s">
        <v>3</v>
      </c>
      <c r="D88" s="42">
        <f t="shared" si="4"/>
        <v>200</v>
      </c>
      <c r="E88" s="42" t="s">
        <v>3</v>
      </c>
      <c r="F88" s="90">
        <f t="shared" si="5"/>
        <v>1950</v>
      </c>
      <c r="G88" s="42" t="s">
        <v>3</v>
      </c>
      <c r="H88" s="39">
        <v>2</v>
      </c>
      <c r="I88" s="40" t="s">
        <v>40</v>
      </c>
      <c r="J88" s="149">
        <v>110</v>
      </c>
      <c r="K88" s="66">
        <v>200</v>
      </c>
      <c r="L88" s="66">
        <v>1950</v>
      </c>
      <c r="M88" s="156">
        <v>15.358763078546581</v>
      </c>
      <c r="N88" s="78">
        <v>806.62937587199986</v>
      </c>
      <c r="O88" s="113">
        <v>25606.546737131572</v>
      </c>
      <c r="P88" s="109">
        <v>30396.248075933036</v>
      </c>
      <c r="Q88" s="110">
        <v>20436.126051748208</v>
      </c>
      <c r="R88" s="258">
        <v>46042.672788879776</v>
      </c>
      <c r="S88" s="259">
        <v>50832.374127681243</v>
      </c>
      <c r="U88" s="7" t="s">
        <v>2550</v>
      </c>
    </row>
    <row r="89" spans="1:21" ht="16.5" customHeight="1" thickBot="1">
      <c r="A89" s="41" t="s">
        <v>31</v>
      </c>
      <c r="B89" s="42">
        <f t="shared" si="3"/>
        <v>110</v>
      </c>
      <c r="C89" s="42" t="s">
        <v>3</v>
      </c>
      <c r="D89" s="42">
        <f t="shared" si="4"/>
        <v>200</v>
      </c>
      <c r="E89" s="42" t="s">
        <v>3</v>
      </c>
      <c r="F89" s="90">
        <f t="shared" si="5"/>
        <v>2000</v>
      </c>
      <c r="G89" s="42" t="s">
        <v>3</v>
      </c>
      <c r="H89" s="39">
        <v>2</v>
      </c>
      <c r="I89" s="40" t="s">
        <v>40</v>
      </c>
      <c r="J89" s="149">
        <v>110</v>
      </c>
      <c r="K89" s="66">
        <v>200</v>
      </c>
      <c r="L89" s="66">
        <v>2000</v>
      </c>
      <c r="M89" s="156">
        <v>15.828762088689738</v>
      </c>
      <c r="N89" s="78">
        <v>831.83654386799992</v>
      </c>
      <c r="O89" s="113">
        <v>26104.94551015212</v>
      </c>
      <c r="P89" s="109">
        <v>31342.833517503794</v>
      </c>
      <c r="Q89" s="110">
        <v>21078.136658774263</v>
      </c>
      <c r="R89" s="258">
        <v>47183.082168926383</v>
      </c>
      <c r="S89" s="259">
        <v>52420.970176278061</v>
      </c>
      <c r="U89" s="7" t="s">
        <v>2551</v>
      </c>
    </row>
    <row r="90" spans="1:21" ht="16.5" customHeight="1" thickBot="1">
      <c r="A90" s="41" t="s">
        <v>31</v>
      </c>
      <c r="B90" s="42">
        <f t="shared" si="3"/>
        <v>110</v>
      </c>
      <c r="C90" s="42" t="s">
        <v>3</v>
      </c>
      <c r="D90" s="42">
        <f t="shared" si="4"/>
        <v>200</v>
      </c>
      <c r="E90" s="42" t="s">
        <v>3</v>
      </c>
      <c r="F90" s="90">
        <f t="shared" si="5"/>
        <v>2050</v>
      </c>
      <c r="G90" s="42" t="s">
        <v>3</v>
      </c>
      <c r="H90" s="39">
        <v>2</v>
      </c>
      <c r="I90" s="40" t="s">
        <v>40</v>
      </c>
      <c r="J90" s="149">
        <v>110</v>
      </c>
      <c r="K90" s="66">
        <v>200</v>
      </c>
      <c r="L90" s="66">
        <v>2050</v>
      </c>
      <c r="M90" s="156">
        <v>16.190158698832892</v>
      </c>
      <c r="N90" s="78">
        <v>857.04371186399987</v>
      </c>
      <c r="O90" s="113">
        <v>26585.872529972057</v>
      </c>
      <c r="P90" s="109">
        <v>31948.597119107282</v>
      </c>
      <c r="Q90" s="110">
        <v>21468.812974987781</v>
      </c>
      <c r="R90" s="258">
        <v>48054.685504959838</v>
      </c>
      <c r="S90" s="259">
        <v>53417.410094095059</v>
      </c>
      <c r="U90" s="7" t="s">
        <v>2552</v>
      </c>
    </row>
    <row r="91" spans="1:21" ht="16.5" customHeight="1" thickBot="1">
      <c r="A91" s="38" t="s">
        <v>31</v>
      </c>
      <c r="B91" s="39">
        <f t="shared" si="3"/>
        <v>110</v>
      </c>
      <c r="C91" s="39" t="s">
        <v>3</v>
      </c>
      <c r="D91" s="39">
        <f t="shared" si="4"/>
        <v>200</v>
      </c>
      <c r="E91" s="39" t="s">
        <v>3</v>
      </c>
      <c r="F91" s="90">
        <f t="shared" si="5"/>
        <v>2100</v>
      </c>
      <c r="G91" s="39" t="s">
        <v>3</v>
      </c>
      <c r="H91" s="39">
        <v>2</v>
      </c>
      <c r="I91" s="40" t="s">
        <v>40</v>
      </c>
      <c r="J91" s="149">
        <v>110</v>
      </c>
      <c r="K91" s="66">
        <v>200</v>
      </c>
      <c r="L91" s="66">
        <v>2100</v>
      </c>
      <c r="M91" s="156">
        <v>16.56859530897605</v>
      </c>
      <c r="N91" s="78">
        <v>882.25087985999983</v>
      </c>
      <c r="O91" s="113">
        <v>27066.799549791991</v>
      </c>
      <c r="P91" s="109">
        <v>32554.360567682004</v>
      </c>
      <c r="Q91" s="110">
        <v>22110.823428985073</v>
      </c>
      <c r="R91" s="258">
        <v>49177.622978777064</v>
      </c>
      <c r="S91" s="259">
        <v>54665.183996667081</v>
      </c>
      <c r="U91" s="7" t="s">
        <v>2553</v>
      </c>
    </row>
    <row r="92" spans="1:21" ht="16.5" customHeight="1" thickBot="1">
      <c r="A92" s="41" t="s">
        <v>31</v>
      </c>
      <c r="B92" s="42">
        <f t="shared" si="3"/>
        <v>110</v>
      </c>
      <c r="C92" s="42" t="s">
        <v>3</v>
      </c>
      <c r="D92" s="42">
        <f t="shared" si="4"/>
        <v>200</v>
      </c>
      <c r="E92" s="42" t="s">
        <v>3</v>
      </c>
      <c r="F92" s="90">
        <f t="shared" si="5"/>
        <v>2150</v>
      </c>
      <c r="G92" s="42" t="s">
        <v>3</v>
      </c>
      <c r="H92" s="39">
        <v>2</v>
      </c>
      <c r="I92" s="40" t="s">
        <v>40</v>
      </c>
      <c r="J92" s="149">
        <v>110</v>
      </c>
      <c r="K92" s="66">
        <v>200</v>
      </c>
      <c r="L92" s="66">
        <v>2150</v>
      </c>
      <c r="M92" s="156">
        <v>16.92999191911921</v>
      </c>
      <c r="N92" s="78">
        <v>907.45804785599989</v>
      </c>
      <c r="O92" s="113">
        <v>27547.726569611928</v>
      </c>
      <c r="P92" s="109">
        <v>33160.124016256726</v>
      </c>
      <c r="Q92" s="110">
        <v>22501.499745198591</v>
      </c>
      <c r="R92" s="258">
        <v>50049.226314810519</v>
      </c>
      <c r="S92" s="259">
        <v>55661.623761455317</v>
      </c>
      <c r="U92" s="7" t="s">
        <v>2554</v>
      </c>
    </row>
    <row r="93" spans="1:21" ht="16.5" customHeight="1" thickBot="1">
      <c r="A93" s="41" t="s">
        <v>31</v>
      </c>
      <c r="B93" s="42">
        <f t="shared" si="3"/>
        <v>110</v>
      </c>
      <c r="C93" s="42" t="s">
        <v>3</v>
      </c>
      <c r="D93" s="42">
        <f t="shared" si="4"/>
        <v>200</v>
      </c>
      <c r="E93" s="42" t="s">
        <v>3</v>
      </c>
      <c r="F93" s="90">
        <f t="shared" si="5"/>
        <v>2200</v>
      </c>
      <c r="G93" s="42" t="s">
        <v>3</v>
      </c>
      <c r="H93" s="39">
        <v>2</v>
      </c>
      <c r="I93" s="40" t="s">
        <v>40</v>
      </c>
      <c r="J93" s="149">
        <v>110</v>
      </c>
      <c r="K93" s="66">
        <v>200</v>
      </c>
      <c r="L93" s="66">
        <v>2200</v>
      </c>
      <c r="M93" s="156">
        <v>17.308428529262368</v>
      </c>
      <c r="N93" s="78">
        <v>932.66521585199985</v>
      </c>
      <c r="O93" s="113">
        <v>28028.653589431866</v>
      </c>
      <c r="P93" s="109">
        <v>33765.887464831445</v>
      </c>
      <c r="Q93" s="110">
        <v>23143.510199195884</v>
      </c>
      <c r="R93" s="258">
        <v>51172.163788627746</v>
      </c>
      <c r="S93" s="259">
        <v>56909.397664027332</v>
      </c>
      <c r="U93" s="7" t="s">
        <v>2555</v>
      </c>
    </row>
    <row r="94" spans="1:21" ht="16.5" customHeight="1" thickBot="1">
      <c r="A94" s="41" t="s">
        <v>31</v>
      </c>
      <c r="B94" s="42">
        <f t="shared" si="3"/>
        <v>110</v>
      </c>
      <c r="C94" s="42" t="s">
        <v>3</v>
      </c>
      <c r="D94" s="42">
        <f t="shared" si="4"/>
        <v>200</v>
      </c>
      <c r="E94" s="42" t="s">
        <v>3</v>
      </c>
      <c r="F94" s="90">
        <f t="shared" si="5"/>
        <v>2250</v>
      </c>
      <c r="G94" s="42" t="s">
        <v>3</v>
      </c>
      <c r="H94" s="39">
        <v>2</v>
      </c>
      <c r="I94" s="40" t="s">
        <v>40</v>
      </c>
      <c r="J94" s="149">
        <v>110</v>
      </c>
      <c r="K94" s="66">
        <v>200</v>
      </c>
      <c r="L94" s="66">
        <v>2250</v>
      </c>
      <c r="M94" s="156">
        <v>17.669825139405525</v>
      </c>
      <c r="N94" s="78">
        <v>957.87238384799991</v>
      </c>
      <c r="O94" s="113">
        <v>28509.580762280562</v>
      </c>
      <c r="P94" s="109">
        <v>34371.650913406171</v>
      </c>
      <c r="Q94" s="110">
        <v>23534.186668438168</v>
      </c>
      <c r="R94" s="258">
        <v>52043.767430718726</v>
      </c>
      <c r="S94" s="259">
        <v>57905.837581844338</v>
      </c>
      <c r="U94" s="7" t="s">
        <v>2556</v>
      </c>
    </row>
    <row r="95" spans="1:21" ht="16.5" customHeight="1" thickBot="1">
      <c r="A95" s="41" t="s">
        <v>31</v>
      </c>
      <c r="B95" s="42">
        <f t="shared" si="3"/>
        <v>110</v>
      </c>
      <c r="C95" s="42" t="s">
        <v>3</v>
      </c>
      <c r="D95" s="42">
        <f t="shared" si="4"/>
        <v>200</v>
      </c>
      <c r="E95" s="42" t="s">
        <v>3</v>
      </c>
      <c r="F95" s="90">
        <f t="shared" si="5"/>
        <v>2300</v>
      </c>
      <c r="G95" s="42" t="s">
        <v>3</v>
      </c>
      <c r="H95" s="39">
        <v>2</v>
      </c>
      <c r="I95" s="40" t="s">
        <v>40</v>
      </c>
      <c r="J95" s="149">
        <v>110</v>
      </c>
      <c r="K95" s="66">
        <v>200</v>
      </c>
      <c r="L95" s="66">
        <v>2300</v>
      </c>
      <c r="M95" s="156">
        <v>18.031221749548685</v>
      </c>
      <c r="N95" s="78">
        <v>983.07955184399987</v>
      </c>
      <c r="O95" s="113">
        <v>28990.5077821005</v>
      </c>
      <c r="P95" s="109">
        <v>34977.414361980889</v>
      </c>
      <c r="Q95" s="110">
        <v>23924.862984651689</v>
      </c>
      <c r="R95" s="258">
        <v>52915.370766752189</v>
      </c>
      <c r="S95" s="259">
        <v>58902.277346632574</v>
      </c>
      <c r="U95" s="7" t="s">
        <v>2557</v>
      </c>
    </row>
    <row r="96" spans="1:21" ht="16.5" customHeight="1" thickBot="1">
      <c r="A96" s="41" t="s">
        <v>31</v>
      </c>
      <c r="B96" s="42">
        <f t="shared" si="3"/>
        <v>110</v>
      </c>
      <c r="C96" s="42" t="s">
        <v>3</v>
      </c>
      <c r="D96" s="42">
        <f t="shared" si="4"/>
        <v>200</v>
      </c>
      <c r="E96" s="42" t="s">
        <v>3</v>
      </c>
      <c r="F96" s="90">
        <f t="shared" si="5"/>
        <v>2350</v>
      </c>
      <c r="G96" s="42" t="s">
        <v>3</v>
      </c>
      <c r="H96" s="39">
        <v>2</v>
      </c>
      <c r="I96" s="40" t="s">
        <v>40</v>
      </c>
      <c r="J96" s="149">
        <v>110</v>
      </c>
      <c r="K96" s="66">
        <v>200</v>
      </c>
      <c r="L96" s="66">
        <v>2350</v>
      </c>
      <c r="M96" s="156">
        <v>18.409658359691843</v>
      </c>
      <c r="N96" s="78">
        <v>1008.2867198399998</v>
      </c>
      <c r="O96" s="113">
        <v>29471.434801920434</v>
      </c>
      <c r="P96" s="109">
        <v>35583.177810555608</v>
      </c>
      <c r="Q96" s="110">
        <v>24566.873438648978</v>
      </c>
      <c r="R96" s="258">
        <v>54038.308240569415</v>
      </c>
      <c r="S96" s="259">
        <v>60150.051249204582</v>
      </c>
      <c r="U96" s="7" t="s">
        <v>2558</v>
      </c>
    </row>
    <row r="97" spans="1:21" ht="16.5" customHeight="1" thickBot="1">
      <c r="A97" s="41" t="s">
        <v>31</v>
      </c>
      <c r="B97" s="42">
        <f t="shared" si="3"/>
        <v>110</v>
      </c>
      <c r="C97" s="42" t="s">
        <v>3</v>
      </c>
      <c r="D97" s="42">
        <f t="shared" si="4"/>
        <v>200</v>
      </c>
      <c r="E97" s="42" t="s">
        <v>3</v>
      </c>
      <c r="F97" s="90">
        <f t="shared" si="5"/>
        <v>2400</v>
      </c>
      <c r="G97" s="42" t="s">
        <v>3</v>
      </c>
      <c r="H97" s="39">
        <v>2</v>
      </c>
      <c r="I97" s="40" t="s">
        <v>40</v>
      </c>
      <c r="J97" s="149">
        <v>110</v>
      </c>
      <c r="K97" s="66">
        <v>200</v>
      </c>
      <c r="L97" s="66">
        <v>2400</v>
      </c>
      <c r="M97" s="156">
        <v>18.771054969834999</v>
      </c>
      <c r="N97" s="78">
        <v>1033.4938878359999</v>
      </c>
      <c r="O97" s="113">
        <v>29952.361821740371</v>
      </c>
      <c r="P97" s="109">
        <v>36188.941259130333</v>
      </c>
      <c r="Q97" s="110">
        <v>24957.549754862499</v>
      </c>
      <c r="R97" s="258">
        <v>54909.91157660287</v>
      </c>
      <c r="S97" s="259">
        <v>61146.491013992832</v>
      </c>
      <c r="U97" s="7" t="s">
        <v>2559</v>
      </c>
    </row>
    <row r="98" spans="1:21" ht="16.5" customHeight="1" thickBot="1">
      <c r="A98" s="41" t="s">
        <v>31</v>
      </c>
      <c r="B98" s="42">
        <f t="shared" si="3"/>
        <v>110</v>
      </c>
      <c r="C98" s="42" t="s">
        <v>3</v>
      </c>
      <c r="D98" s="42">
        <f t="shared" si="4"/>
        <v>200</v>
      </c>
      <c r="E98" s="42" t="s">
        <v>3</v>
      </c>
      <c r="F98" s="90">
        <f t="shared" si="5"/>
        <v>2450</v>
      </c>
      <c r="G98" s="42" t="s">
        <v>3</v>
      </c>
      <c r="H98" s="39">
        <v>2</v>
      </c>
      <c r="I98" s="40" t="s">
        <v>40</v>
      </c>
      <c r="J98" s="149">
        <v>110</v>
      </c>
      <c r="K98" s="66">
        <v>200</v>
      </c>
      <c r="L98" s="66">
        <v>2450</v>
      </c>
      <c r="M98" s="156">
        <v>19.256517702278156</v>
      </c>
      <c r="N98" s="78">
        <v>1058.7010558319998</v>
      </c>
      <c r="O98" s="113">
        <v>31063.385241048789</v>
      </c>
      <c r="P98" s="109">
        <v>37332.415805342396</v>
      </c>
      <c r="Q98" s="110">
        <v>25599.560361888554</v>
      </c>
      <c r="R98" s="258">
        <v>56662.94560293734</v>
      </c>
      <c r="S98" s="259">
        <v>62931.976167230954</v>
      </c>
      <c r="U98" s="7" t="s">
        <v>2560</v>
      </c>
    </row>
    <row r="99" spans="1:21" ht="16.5" customHeight="1" thickBot="1">
      <c r="A99" s="41" t="s">
        <v>31</v>
      </c>
      <c r="B99" s="42">
        <f t="shared" si="3"/>
        <v>110</v>
      </c>
      <c r="C99" s="42" t="s">
        <v>3</v>
      </c>
      <c r="D99" s="42">
        <f t="shared" si="4"/>
        <v>200</v>
      </c>
      <c r="E99" s="42" t="s">
        <v>3</v>
      </c>
      <c r="F99" s="90">
        <f t="shared" si="5"/>
        <v>2500</v>
      </c>
      <c r="G99" s="42" t="s">
        <v>3</v>
      </c>
      <c r="H99" s="39">
        <v>2</v>
      </c>
      <c r="I99" s="40" t="s">
        <v>40</v>
      </c>
      <c r="J99" s="149">
        <v>110</v>
      </c>
      <c r="K99" s="66">
        <v>200</v>
      </c>
      <c r="L99" s="66">
        <v>2500</v>
      </c>
      <c r="M99" s="156">
        <v>19.61791431242132</v>
      </c>
      <c r="N99" s="78">
        <v>1083.9082238279998</v>
      </c>
      <c r="O99" s="113">
        <v>31544.312260868726</v>
      </c>
      <c r="P99" s="109">
        <v>37938.179253917115</v>
      </c>
      <c r="Q99" s="110">
        <v>25990.236678102072</v>
      </c>
      <c r="R99" s="258">
        <v>57534.548938970795</v>
      </c>
      <c r="S99" s="259">
        <v>63928.415932019183</v>
      </c>
      <c r="U99" s="7" t="s">
        <v>2561</v>
      </c>
    </row>
    <row r="100" spans="1:21" ht="16.5" customHeight="1" thickBot="1">
      <c r="A100" s="41" t="s">
        <v>31</v>
      </c>
      <c r="B100" s="42">
        <f t="shared" si="3"/>
        <v>110</v>
      </c>
      <c r="C100" s="42" t="s">
        <v>3</v>
      </c>
      <c r="D100" s="42">
        <f t="shared" si="4"/>
        <v>200</v>
      </c>
      <c r="E100" s="42" t="s">
        <v>3</v>
      </c>
      <c r="F100" s="90">
        <f t="shared" si="5"/>
        <v>2550</v>
      </c>
      <c r="G100" s="42" t="s">
        <v>3</v>
      </c>
      <c r="H100" s="39">
        <v>2</v>
      </c>
      <c r="I100" s="40" t="s">
        <v>40</v>
      </c>
      <c r="J100" s="149">
        <v>110</v>
      </c>
      <c r="K100" s="66">
        <v>200</v>
      </c>
      <c r="L100" s="66">
        <v>2550</v>
      </c>
      <c r="M100" s="156">
        <v>19.996350922564471</v>
      </c>
      <c r="N100" s="78">
        <v>1109.1153918239997</v>
      </c>
      <c r="O100" s="113">
        <v>32025.239433717423</v>
      </c>
      <c r="P100" s="109">
        <v>38543.942702491833</v>
      </c>
      <c r="Q100" s="110">
        <v>26632.247132099365</v>
      </c>
      <c r="R100" s="258">
        <v>58657.486565816784</v>
      </c>
      <c r="S100" s="259">
        <v>65176.189834591198</v>
      </c>
      <c r="U100" s="7" t="s">
        <v>2562</v>
      </c>
    </row>
    <row r="101" spans="1:21" ht="16.5" customHeight="1" thickBot="1">
      <c r="A101" s="38" t="s">
        <v>31</v>
      </c>
      <c r="B101" s="39">
        <f t="shared" si="3"/>
        <v>110</v>
      </c>
      <c r="C101" s="39" t="s">
        <v>3</v>
      </c>
      <c r="D101" s="39">
        <f t="shared" si="4"/>
        <v>200</v>
      </c>
      <c r="E101" s="39" t="s">
        <v>3</v>
      </c>
      <c r="F101" s="90">
        <f t="shared" si="5"/>
        <v>2600</v>
      </c>
      <c r="G101" s="39" t="s">
        <v>3</v>
      </c>
      <c r="H101" s="39">
        <v>2</v>
      </c>
      <c r="I101" s="40" t="s">
        <v>40</v>
      </c>
      <c r="J101" s="149">
        <v>110</v>
      </c>
      <c r="K101" s="66">
        <v>200</v>
      </c>
      <c r="L101" s="66">
        <v>2600</v>
      </c>
      <c r="M101" s="156">
        <v>20.357747532707634</v>
      </c>
      <c r="N101" s="78">
        <v>1134.3225598199999</v>
      </c>
      <c r="O101" s="113">
        <v>32506.16645353736</v>
      </c>
      <c r="P101" s="109">
        <v>39149.706151066559</v>
      </c>
      <c r="Q101" s="110">
        <v>27022.923448312882</v>
      </c>
      <c r="R101" s="258">
        <v>59529.089901850239</v>
      </c>
      <c r="S101" s="259">
        <v>66172.629599379434</v>
      </c>
      <c r="U101" s="7" t="s">
        <v>2563</v>
      </c>
    </row>
    <row r="102" spans="1:21" ht="16.5" customHeight="1" thickBot="1">
      <c r="A102" s="41" t="s">
        <v>31</v>
      </c>
      <c r="B102" s="42">
        <f t="shared" si="3"/>
        <v>110</v>
      </c>
      <c r="C102" s="42" t="s">
        <v>3</v>
      </c>
      <c r="D102" s="42">
        <f t="shared" si="4"/>
        <v>200</v>
      </c>
      <c r="E102" s="42" t="s">
        <v>3</v>
      </c>
      <c r="F102" s="90">
        <f t="shared" si="5"/>
        <v>2650</v>
      </c>
      <c r="G102" s="42" t="s">
        <v>3</v>
      </c>
      <c r="H102" s="39">
        <v>2</v>
      </c>
      <c r="I102" s="40" t="s">
        <v>40</v>
      </c>
      <c r="J102" s="149">
        <v>110</v>
      </c>
      <c r="K102" s="66">
        <v>200</v>
      </c>
      <c r="L102" s="66">
        <v>2650</v>
      </c>
      <c r="M102" s="156">
        <v>20.736184142850796</v>
      </c>
      <c r="N102" s="78">
        <v>1159.5297278159999</v>
      </c>
      <c r="O102" s="113">
        <v>32987.093473357294</v>
      </c>
      <c r="P102" s="109">
        <v>39755.469599641285</v>
      </c>
      <c r="Q102" s="110">
        <v>27664.933902310175</v>
      </c>
      <c r="R102" s="258">
        <v>60652.027375667472</v>
      </c>
      <c r="S102" s="259">
        <v>67420.403501951456</v>
      </c>
      <c r="U102" s="7" t="s">
        <v>2564</v>
      </c>
    </row>
    <row r="103" spans="1:21" ht="16.5" customHeight="1" thickBot="1">
      <c r="A103" s="41" t="s">
        <v>31</v>
      </c>
      <c r="B103" s="42">
        <f t="shared" si="3"/>
        <v>110</v>
      </c>
      <c r="C103" s="42" t="s">
        <v>3</v>
      </c>
      <c r="D103" s="42">
        <f t="shared" si="4"/>
        <v>200</v>
      </c>
      <c r="E103" s="42" t="s">
        <v>3</v>
      </c>
      <c r="F103" s="90">
        <f t="shared" si="5"/>
        <v>2700</v>
      </c>
      <c r="G103" s="42" t="s">
        <v>3</v>
      </c>
      <c r="H103" s="39">
        <v>2</v>
      </c>
      <c r="I103" s="40" t="s">
        <v>40</v>
      </c>
      <c r="J103" s="149">
        <v>110</v>
      </c>
      <c r="K103" s="66">
        <v>200</v>
      </c>
      <c r="L103" s="66">
        <v>2700</v>
      </c>
      <c r="M103" s="156">
        <v>21.136830752993951</v>
      </c>
      <c r="N103" s="78">
        <v>1184.7368958119998</v>
      </c>
      <c r="O103" s="113">
        <v>33520.020738768064</v>
      </c>
      <c r="P103" s="109">
        <v>40411.538653261836</v>
      </c>
      <c r="Q103" s="110">
        <v>28055.610371552459</v>
      </c>
      <c r="R103" s="258">
        <v>61575.631110320523</v>
      </c>
      <c r="S103" s="259">
        <v>68467.149024814295</v>
      </c>
      <c r="U103" s="7" t="s">
        <v>2565</v>
      </c>
    </row>
    <row r="104" spans="1:21" ht="16.5" customHeight="1" thickBot="1">
      <c r="A104" s="41" t="s">
        <v>31</v>
      </c>
      <c r="B104" s="42">
        <f t="shared" si="3"/>
        <v>110</v>
      </c>
      <c r="C104" s="42" t="s">
        <v>3</v>
      </c>
      <c r="D104" s="42">
        <f t="shared" si="4"/>
        <v>200</v>
      </c>
      <c r="E104" s="42" t="s">
        <v>3</v>
      </c>
      <c r="F104" s="90">
        <f t="shared" si="5"/>
        <v>2750</v>
      </c>
      <c r="G104" s="42" t="s">
        <v>3</v>
      </c>
      <c r="H104" s="39">
        <v>2</v>
      </c>
      <c r="I104" s="40" t="s">
        <v>40</v>
      </c>
      <c r="J104" s="149">
        <v>110</v>
      </c>
      <c r="K104" s="66">
        <v>200</v>
      </c>
      <c r="L104" s="66">
        <v>2750</v>
      </c>
      <c r="M104" s="156">
        <v>21.498227363137104</v>
      </c>
      <c r="N104" s="78">
        <v>1209.9440638079998</v>
      </c>
      <c r="O104" s="113">
        <v>34000.947758588001</v>
      </c>
      <c r="P104" s="109">
        <v>41017.302101836562</v>
      </c>
      <c r="Q104" s="110">
        <v>28446.286687765976</v>
      </c>
      <c r="R104" s="258">
        <v>62447.234446353978</v>
      </c>
      <c r="S104" s="259">
        <v>69463.588789602538</v>
      </c>
      <c r="U104" s="7" t="s">
        <v>2566</v>
      </c>
    </row>
    <row r="105" spans="1:21" ht="16.5" customHeight="1" thickBot="1">
      <c r="A105" s="41" t="s">
        <v>31</v>
      </c>
      <c r="B105" s="42">
        <f t="shared" si="3"/>
        <v>110</v>
      </c>
      <c r="C105" s="42" t="s">
        <v>3</v>
      </c>
      <c r="D105" s="42">
        <f t="shared" si="4"/>
        <v>200</v>
      </c>
      <c r="E105" s="42" t="s">
        <v>3</v>
      </c>
      <c r="F105" s="90">
        <f t="shared" si="5"/>
        <v>2800</v>
      </c>
      <c r="G105" s="42" t="s">
        <v>3</v>
      </c>
      <c r="H105" s="39">
        <v>2</v>
      </c>
      <c r="I105" s="40" t="s">
        <v>40</v>
      </c>
      <c r="J105" s="149">
        <v>110</v>
      </c>
      <c r="K105" s="66">
        <v>200</v>
      </c>
      <c r="L105" s="66">
        <v>2800</v>
      </c>
      <c r="M105" s="156">
        <v>21.876663973280266</v>
      </c>
      <c r="N105" s="78">
        <v>1235.1512318039997</v>
      </c>
      <c r="O105" s="113">
        <v>34481.874778407931</v>
      </c>
      <c r="P105" s="109">
        <v>41623.065550411287</v>
      </c>
      <c r="Q105" s="110">
        <v>29088.297141763269</v>
      </c>
      <c r="R105" s="258">
        <v>63570.171920171197</v>
      </c>
      <c r="S105" s="259">
        <v>70711.36269217456</v>
      </c>
      <c r="U105" s="7" t="s">
        <v>2567</v>
      </c>
    </row>
    <row r="106" spans="1:21" ht="16.5" customHeight="1" thickBot="1">
      <c r="A106" s="41" t="s">
        <v>31</v>
      </c>
      <c r="B106" s="42">
        <f t="shared" si="3"/>
        <v>110</v>
      </c>
      <c r="C106" s="42" t="s">
        <v>3</v>
      </c>
      <c r="D106" s="42">
        <f t="shared" si="4"/>
        <v>200</v>
      </c>
      <c r="E106" s="42" t="s">
        <v>3</v>
      </c>
      <c r="F106" s="90">
        <f t="shared" si="5"/>
        <v>2850</v>
      </c>
      <c r="G106" s="42" t="s">
        <v>3</v>
      </c>
      <c r="H106" s="39">
        <v>2</v>
      </c>
      <c r="I106" s="40" t="s">
        <v>40</v>
      </c>
      <c r="J106" s="149">
        <v>110</v>
      </c>
      <c r="K106" s="66">
        <v>200</v>
      </c>
      <c r="L106" s="66">
        <v>2850</v>
      </c>
      <c r="M106" s="156">
        <v>22.238060583423422</v>
      </c>
      <c r="N106" s="78">
        <v>1260.3583997999997</v>
      </c>
      <c r="O106" s="113">
        <v>34962.801951256632</v>
      </c>
      <c r="P106" s="109">
        <v>42228.828998986006</v>
      </c>
      <c r="Q106" s="110">
        <v>29478.973457976786</v>
      </c>
      <c r="R106" s="258">
        <v>64441.775409233422</v>
      </c>
      <c r="S106" s="259">
        <v>71707.802456962789</v>
      </c>
      <c r="U106" s="7" t="s">
        <v>2568</v>
      </c>
    </row>
    <row r="107" spans="1:21" ht="16.5" customHeight="1" thickBot="1">
      <c r="A107" s="41" t="s">
        <v>31</v>
      </c>
      <c r="B107" s="42">
        <f t="shared" si="3"/>
        <v>110</v>
      </c>
      <c r="C107" s="42" t="s">
        <v>3</v>
      </c>
      <c r="D107" s="42">
        <f t="shared" si="4"/>
        <v>200</v>
      </c>
      <c r="E107" s="42" t="s">
        <v>3</v>
      </c>
      <c r="F107" s="90">
        <f t="shared" si="5"/>
        <v>2900</v>
      </c>
      <c r="G107" s="42" t="s">
        <v>3</v>
      </c>
      <c r="H107" s="39">
        <v>2</v>
      </c>
      <c r="I107" s="40" t="s">
        <v>40</v>
      </c>
      <c r="J107" s="149">
        <v>110</v>
      </c>
      <c r="K107" s="66">
        <v>200</v>
      </c>
      <c r="L107" s="66">
        <v>2900</v>
      </c>
      <c r="M107" s="156">
        <v>22.61649719356658</v>
      </c>
      <c r="N107" s="78">
        <v>1285.5655677959996</v>
      </c>
      <c r="O107" s="113">
        <v>35443.728971076569</v>
      </c>
      <c r="P107" s="109">
        <v>42834.592447560724</v>
      </c>
      <c r="Q107" s="110">
        <v>30120.983911974079</v>
      </c>
      <c r="R107" s="258">
        <v>65564.712883050641</v>
      </c>
      <c r="S107" s="259">
        <v>72955.576359534811</v>
      </c>
      <c r="U107" s="7" t="s">
        <v>2569</v>
      </c>
    </row>
    <row r="108" spans="1:21" ht="16.5" customHeight="1" thickBot="1">
      <c r="A108" s="41" t="s">
        <v>31</v>
      </c>
      <c r="B108" s="42">
        <f t="shared" si="3"/>
        <v>110</v>
      </c>
      <c r="C108" s="42" t="s">
        <v>3</v>
      </c>
      <c r="D108" s="42">
        <f t="shared" si="4"/>
        <v>200</v>
      </c>
      <c r="E108" s="42" t="s">
        <v>3</v>
      </c>
      <c r="F108" s="90">
        <f t="shared" si="5"/>
        <v>2950</v>
      </c>
      <c r="G108" s="42" t="s">
        <v>3</v>
      </c>
      <c r="H108" s="39">
        <v>2</v>
      </c>
      <c r="I108" s="40" t="s">
        <v>40</v>
      </c>
      <c r="J108" s="149">
        <v>110</v>
      </c>
      <c r="K108" s="66">
        <v>200</v>
      </c>
      <c r="L108" s="66">
        <v>2950</v>
      </c>
      <c r="M108" s="156">
        <v>22.97789380370974</v>
      </c>
      <c r="N108" s="78">
        <v>1310.772735792</v>
      </c>
      <c r="O108" s="113">
        <v>35924.655990896506</v>
      </c>
      <c r="P108" s="109">
        <v>43440.35589613545</v>
      </c>
      <c r="Q108" s="110">
        <v>30511.660381216363</v>
      </c>
      <c r="R108" s="258">
        <v>66436.316372112866</v>
      </c>
      <c r="S108" s="259">
        <v>73952.01627735181</v>
      </c>
      <c r="U108" s="7" t="s">
        <v>2570</v>
      </c>
    </row>
    <row r="109" spans="1:21" ht="16.5" customHeight="1" thickBot="1">
      <c r="A109" s="43" t="s">
        <v>31</v>
      </c>
      <c r="B109" s="44">
        <f t="shared" si="3"/>
        <v>110</v>
      </c>
      <c r="C109" s="44" t="s">
        <v>3</v>
      </c>
      <c r="D109" s="44">
        <f t="shared" si="4"/>
        <v>200</v>
      </c>
      <c r="E109" s="44" t="s">
        <v>3</v>
      </c>
      <c r="F109" s="91">
        <f t="shared" si="5"/>
        <v>3000</v>
      </c>
      <c r="G109" s="44" t="s">
        <v>3</v>
      </c>
      <c r="H109" s="46">
        <v>2</v>
      </c>
      <c r="I109" s="45" t="s">
        <v>40</v>
      </c>
      <c r="J109" s="151">
        <v>110</v>
      </c>
      <c r="K109" s="126">
        <v>200</v>
      </c>
      <c r="L109" s="126">
        <v>3000</v>
      </c>
      <c r="M109" s="157">
        <v>23.356330413852895</v>
      </c>
      <c r="N109" s="127">
        <v>1335.979903788</v>
      </c>
      <c r="O109" s="128">
        <v>37737.74141221257</v>
      </c>
      <c r="P109" s="154">
        <v>44046.119344710176</v>
      </c>
      <c r="Q109" s="136">
        <v>31153.670835213656</v>
      </c>
      <c r="R109" s="260">
        <v>68891.412247426226</v>
      </c>
      <c r="S109" s="261">
        <v>75199.790179923832</v>
      </c>
      <c r="U109" s="7" t="s">
        <v>2571</v>
      </c>
    </row>
    <row r="110" spans="1:21" ht="22.5" customHeight="1" thickBot="1">
      <c r="A110" s="2968" t="s">
        <v>468</v>
      </c>
      <c r="B110" s="2969"/>
      <c r="C110" s="2969"/>
      <c r="D110" s="2969"/>
      <c r="E110" s="2969"/>
      <c r="F110" s="2969"/>
      <c r="G110" s="2969"/>
      <c r="H110" s="2969"/>
      <c r="I110" s="2969"/>
      <c r="J110" s="2969"/>
      <c r="K110" s="2969"/>
      <c r="L110" s="2969"/>
      <c r="M110" s="2969"/>
      <c r="N110" s="2969"/>
      <c r="O110" s="2969"/>
      <c r="P110" s="2969"/>
      <c r="Q110" s="2969"/>
      <c r="R110" s="2969"/>
      <c r="S110" s="2970"/>
      <c r="U110" s="7"/>
    </row>
    <row r="111" spans="1:21" ht="16.5" customHeight="1" thickBot="1">
      <c r="A111" s="2974" t="s">
        <v>112</v>
      </c>
      <c r="B111" s="2975"/>
      <c r="C111" s="2975"/>
      <c r="D111" s="2975"/>
      <c r="E111" s="2975"/>
      <c r="F111" s="2975"/>
      <c r="G111" s="2975"/>
      <c r="H111" s="2975"/>
      <c r="I111" s="2975"/>
      <c r="J111" s="2975"/>
      <c r="K111" s="2975"/>
      <c r="L111" s="2975"/>
      <c r="M111" s="2975"/>
      <c r="N111" s="2975"/>
      <c r="O111" s="2975"/>
      <c r="P111" s="2975"/>
      <c r="Q111" s="2975"/>
      <c r="R111" s="2975"/>
      <c r="S111" s="2976"/>
      <c r="U111" s="7"/>
    </row>
    <row r="112" spans="1:21" ht="16.5" thickBot="1">
      <c r="A112" s="38" t="s">
        <v>31</v>
      </c>
      <c r="B112" s="39">
        <f>J112</f>
        <v>110</v>
      </c>
      <c r="C112" s="39" t="s">
        <v>3</v>
      </c>
      <c r="D112" s="39">
        <f>K112</f>
        <v>260</v>
      </c>
      <c r="E112" s="39" t="s">
        <v>3</v>
      </c>
      <c r="F112" s="90">
        <f>L112</f>
        <v>600</v>
      </c>
      <c r="G112" s="39" t="s">
        <v>3</v>
      </c>
      <c r="H112" s="39">
        <v>2</v>
      </c>
      <c r="I112" s="40" t="s">
        <v>40</v>
      </c>
      <c r="J112" s="146">
        <v>110</v>
      </c>
      <c r="K112" s="122">
        <v>260</v>
      </c>
      <c r="L112" s="122">
        <v>600</v>
      </c>
      <c r="M112" s="155">
        <v>6.0517067900655253</v>
      </c>
      <c r="N112" s="123">
        <v>159.24957839158705</v>
      </c>
      <c r="O112" s="124">
        <v>11872.601617823522</v>
      </c>
      <c r="P112" s="153">
        <v>14512.79114056234</v>
      </c>
      <c r="Q112" s="139">
        <v>8214.2785134660462</v>
      </c>
      <c r="R112" s="256">
        <v>20086.880131289567</v>
      </c>
      <c r="S112" s="257">
        <v>22727.069654028386</v>
      </c>
      <c r="U112" s="7" t="s">
        <v>2572</v>
      </c>
    </row>
    <row r="113" spans="1:21" ht="16.5" thickBot="1">
      <c r="A113" s="41" t="s">
        <v>31</v>
      </c>
      <c r="B113" s="42">
        <f t="shared" ref="B113:B160" si="6">J113</f>
        <v>110</v>
      </c>
      <c r="C113" s="42" t="s">
        <v>3</v>
      </c>
      <c r="D113" s="42">
        <f t="shared" ref="D113:D160" si="7">K113</f>
        <v>260</v>
      </c>
      <c r="E113" s="42" t="s">
        <v>3</v>
      </c>
      <c r="F113" s="90">
        <f t="shared" ref="F113:F160" si="8">L113</f>
        <v>650</v>
      </c>
      <c r="G113" s="42" t="s">
        <v>3</v>
      </c>
      <c r="H113" s="39">
        <v>2</v>
      </c>
      <c r="I113" s="40" t="s">
        <v>40</v>
      </c>
      <c r="J113" s="149">
        <v>110</v>
      </c>
      <c r="K113" s="66">
        <v>260</v>
      </c>
      <c r="L113" s="66">
        <v>650</v>
      </c>
      <c r="M113" s="156">
        <v>6.4608839620507901</v>
      </c>
      <c r="N113" s="78">
        <v>191.09949406990447</v>
      </c>
      <c r="O113" s="113">
        <v>12365.681110968329</v>
      </c>
      <c r="P113" s="109">
        <v>15172.23585571279</v>
      </c>
      <c r="Q113" s="110">
        <v>8684.7340809460093</v>
      </c>
      <c r="R113" s="258">
        <v>21050.415191914341</v>
      </c>
      <c r="S113" s="259">
        <v>23856.969936658799</v>
      </c>
      <c r="U113" s="7" t="s">
        <v>2573</v>
      </c>
    </row>
    <row r="114" spans="1:21" ht="16.5" thickBot="1">
      <c r="A114" s="41" t="s">
        <v>31</v>
      </c>
      <c r="B114" s="42">
        <f t="shared" si="6"/>
        <v>110</v>
      </c>
      <c r="C114" s="42" t="s">
        <v>3</v>
      </c>
      <c r="D114" s="42">
        <f t="shared" si="7"/>
        <v>260</v>
      </c>
      <c r="E114" s="42" t="s">
        <v>3</v>
      </c>
      <c r="F114" s="90">
        <f t="shared" si="8"/>
        <v>700</v>
      </c>
      <c r="G114" s="42" t="s">
        <v>3</v>
      </c>
      <c r="H114" s="39">
        <v>2</v>
      </c>
      <c r="I114" s="40" t="s">
        <v>40</v>
      </c>
      <c r="J114" s="149">
        <v>110</v>
      </c>
      <c r="K114" s="66">
        <v>260</v>
      </c>
      <c r="L114" s="66">
        <v>700</v>
      </c>
      <c r="M114" s="156">
        <v>6.887101134036052</v>
      </c>
      <c r="N114" s="78">
        <v>222.94940974822188</v>
      </c>
      <c r="O114" s="113">
        <v>12858.760604113137</v>
      </c>
      <c r="P114" s="109">
        <v>15831.680570863242</v>
      </c>
      <c r="Q114" s="110">
        <v>9406.5237862097401</v>
      </c>
      <c r="R114" s="258">
        <v>22265.284390322879</v>
      </c>
      <c r="S114" s="259">
        <v>25238.20435707298</v>
      </c>
      <c r="U114" s="7" t="s">
        <v>2574</v>
      </c>
    </row>
    <row r="115" spans="1:21" ht="16.5" thickBot="1">
      <c r="A115" s="41" t="s">
        <v>31</v>
      </c>
      <c r="B115" s="42">
        <f t="shared" si="6"/>
        <v>110</v>
      </c>
      <c r="C115" s="42" t="s">
        <v>3</v>
      </c>
      <c r="D115" s="42">
        <f t="shared" si="7"/>
        <v>260</v>
      </c>
      <c r="E115" s="42" t="s">
        <v>3</v>
      </c>
      <c r="F115" s="90">
        <f t="shared" si="8"/>
        <v>750</v>
      </c>
      <c r="G115" s="42" t="s">
        <v>3</v>
      </c>
      <c r="H115" s="39">
        <v>2</v>
      </c>
      <c r="I115" s="40" t="s">
        <v>40</v>
      </c>
      <c r="J115" s="149">
        <v>110</v>
      </c>
      <c r="K115" s="66">
        <v>260</v>
      </c>
      <c r="L115" s="66">
        <v>750</v>
      </c>
      <c r="M115" s="156">
        <v>7.296278306021315</v>
      </c>
      <c r="N115" s="78">
        <v>254.79932542653927</v>
      </c>
      <c r="O115" s="113">
        <v>13351.84025028671</v>
      </c>
      <c r="P115" s="109">
        <v>16491.125439042458</v>
      </c>
      <c r="Q115" s="110">
        <v>9876.9793536897032</v>
      </c>
      <c r="R115" s="258">
        <v>23228.819603976415</v>
      </c>
      <c r="S115" s="259">
        <v>26368.104792732163</v>
      </c>
      <c r="U115" s="7" t="s">
        <v>2575</v>
      </c>
    </row>
    <row r="116" spans="1:21" ht="16.5" thickBot="1">
      <c r="A116" s="41" t="s">
        <v>31</v>
      </c>
      <c r="B116" s="42">
        <f t="shared" si="6"/>
        <v>110</v>
      </c>
      <c r="C116" s="42" t="s">
        <v>3</v>
      </c>
      <c r="D116" s="42">
        <f t="shared" si="7"/>
        <v>260</v>
      </c>
      <c r="E116" s="42" t="s">
        <v>3</v>
      </c>
      <c r="F116" s="90">
        <f t="shared" si="8"/>
        <v>800</v>
      </c>
      <c r="G116" s="42" t="s">
        <v>3</v>
      </c>
      <c r="H116" s="39">
        <v>2</v>
      </c>
      <c r="I116" s="40" t="s">
        <v>40</v>
      </c>
      <c r="J116" s="149">
        <v>110</v>
      </c>
      <c r="K116" s="66">
        <v>260</v>
      </c>
      <c r="L116" s="66">
        <v>800</v>
      </c>
      <c r="M116" s="156">
        <v>7.7054554780065789</v>
      </c>
      <c r="N116" s="78">
        <v>286.64924110485669</v>
      </c>
      <c r="O116" s="113">
        <v>13844.919743431516</v>
      </c>
      <c r="P116" s="109">
        <v>17150.570154192908</v>
      </c>
      <c r="Q116" s="110">
        <v>10347.434921169664</v>
      </c>
      <c r="R116" s="258">
        <v>24192.354664601182</v>
      </c>
      <c r="S116" s="259">
        <v>27498.005075362573</v>
      </c>
      <c r="U116" s="7" t="s">
        <v>2576</v>
      </c>
    </row>
    <row r="117" spans="1:21" ht="16.5" thickBot="1">
      <c r="A117" s="41" t="s">
        <v>31</v>
      </c>
      <c r="B117" s="42">
        <f t="shared" si="6"/>
        <v>110</v>
      </c>
      <c r="C117" s="42" t="s">
        <v>3</v>
      </c>
      <c r="D117" s="42">
        <f t="shared" si="7"/>
        <v>260</v>
      </c>
      <c r="E117" s="42" t="s">
        <v>3</v>
      </c>
      <c r="F117" s="90">
        <f t="shared" si="8"/>
        <v>850</v>
      </c>
      <c r="G117" s="42" t="s">
        <v>3</v>
      </c>
      <c r="H117" s="39">
        <v>2</v>
      </c>
      <c r="I117" s="40" t="s">
        <v>40</v>
      </c>
      <c r="J117" s="149">
        <v>110</v>
      </c>
      <c r="K117" s="66">
        <v>260</v>
      </c>
      <c r="L117" s="66">
        <v>850</v>
      </c>
      <c r="M117" s="156">
        <v>8.1316726499918417</v>
      </c>
      <c r="N117" s="78">
        <v>318.4991567831741</v>
      </c>
      <c r="O117" s="113">
        <v>14337.999236576321</v>
      </c>
      <c r="P117" s="109">
        <v>17810.014869343358</v>
      </c>
      <c r="Q117" s="110">
        <v>11069.224626433395</v>
      </c>
      <c r="R117" s="258">
        <v>25407.223863009716</v>
      </c>
      <c r="S117" s="259">
        <v>28879.239495776754</v>
      </c>
      <c r="U117" s="7" t="s">
        <v>2577</v>
      </c>
    </row>
    <row r="118" spans="1:21" ht="16.5" thickBot="1">
      <c r="A118" s="41" t="s">
        <v>31</v>
      </c>
      <c r="B118" s="42">
        <f t="shared" si="6"/>
        <v>110</v>
      </c>
      <c r="C118" s="42" t="s">
        <v>3</v>
      </c>
      <c r="D118" s="42">
        <f t="shared" si="7"/>
        <v>260</v>
      </c>
      <c r="E118" s="42" t="s">
        <v>3</v>
      </c>
      <c r="F118" s="90">
        <f t="shared" si="8"/>
        <v>900</v>
      </c>
      <c r="G118" s="42" t="s">
        <v>3</v>
      </c>
      <c r="H118" s="39">
        <v>2</v>
      </c>
      <c r="I118" s="40" t="s">
        <v>40</v>
      </c>
      <c r="J118" s="149">
        <v>110</v>
      </c>
      <c r="K118" s="66">
        <v>260</v>
      </c>
      <c r="L118" s="66">
        <v>900</v>
      </c>
      <c r="M118" s="156">
        <v>8.5408498219771047</v>
      </c>
      <c r="N118" s="78">
        <v>350.34907246149152</v>
      </c>
      <c r="O118" s="113">
        <v>14831.078882749895</v>
      </c>
      <c r="P118" s="109">
        <v>18469.459584493812</v>
      </c>
      <c r="Q118" s="110">
        <v>11539.680193913358</v>
      </c>
      <c r="R118" s="258">
        <v>26370.759076663253</v>
      </c>
      <c r="S118" s="259">
        <v>30009.139778407171</v>
      </c>
      <c r="U118" s="7" t="s">
        <v>2578</v>
      </c>
    </row>
    <row r="119" spans="1:21" ht="16.5" thickBot="1">
      <c r="A119" s="41" t="s">
        <v>31</v>
      </c>
      <c r="B119" s="42">
        <f t="shared" si="6"/>
        <v>110</v>
      </c>
      <c r="C119" s="42" t="s">
        <v>3</v>
      </c>
      <c r="D119" s="42">
        <f t="shared" si="7"/>
        <v>260</v>
      </c>
      <c r="E119" s="42" t="s">
        <v>3</v>
      </c>
      <c r="F119" s="90">
        <f t="shared" si="8"/>
        <v>950</v>
      </c>
      <c r="G119" s="42" t="s">
        <v>3</v>
      </c>
      <c r="H119" s="39">
        <v>2</v>
      </c>
      <c r="I119" s="40" t="s">
        <v>40</v>
      </c>
      <c r="J119" s="149">
        <v>110</v>
      </c>
      <c r="K119" s="66">
        <v>260</v>
      </c>
      <c r="L119" s="66">
        <v>950</v>
      </c>
      <c r="M119" s="156">
        <v>8.9670669939623693</v>
      </c>
      <c r="N119" s="78">
        <v>382.19898813980893</v>
      </c>
      <c r="O119" s="113">
        <v>15324.158375894704</v>
      </c>
      <c r="P119" s="109">
        <v>19128.904452673029</v>
      </c>
      <c r="Q119" s="110">
        <v>12261.469899177091</v>
      </c>
      <c r="R119" s="258">
        <v>27585.628275071795</v>
      </c>
      <c r="S119" s="259">
        <v>31390.374351850121</v>
      </c>
      <c r="U119" s="7" t="s">
        <v>2579</v>
      </c>
    </row>
    <row r="120" spans="1:21" ht="16.5" thickBot="1">
      <c r="A120" s="41" t="s">
        <v>31</v>
      </c>
      <c r="B120" s="42">
        <f t="shared" si="6"/>
        <v>110</v>
      </c>
      <c r="C120" s="42" t="s">
        <v>3</v>
      </c>
      <c r="D120" s="42">
        <f t="shared" si="7"/>
        <v>260</v>
      </c>
      <c r="E120" s="42" t="s">
        <v>3</v>
      </c>
      <c r="F120" s="90">
        <f t="shared" si="8"/>
        <v>1000</v>
      </c>
      <c r="G120" s="42" t="s">
        <v>3</v>
      </c>
      <c r="H120" s="39">
        <v>2</v>
      </c>
      <c r="I120" s="40" t="s">
        <v>40</v>
      </c>
      <c r="J120" s="149">
        <v>110</v>
      </c>
      <c r="K120" s="66">
        <v>260</v>
      </c>
      <c r="L120" s="66">
        <v>1000</v>
      </c>
      <c r="M120" s="156">
        <v>9.3762441659476323</v>
      </c>
      <c r="N120" s="78">
        <v>414.04890381812635</v>
      </c>
      <c r="O120" s="113">
        <v>15817.237869039509</v>
      </c>
      <c r="P120" s="109">
        <v>19788.349167823479</v>
      </c>
      <c r="Q120" s="110">
        <v>12731.925466657052</v>
      </c>
      <c r="R120" s="258">
        <v>28549.163335696561</v>
      </c>
      <c r="S120" s="259">
        <v>32520.274634480531</v>
      </c>
      <c r="U120" s="7" t="s">
        <v>2580</v>
      </c>
    </row>
    <row r="121" spans="1:21" ht="16.5" thickBot="1">
      <c r="A121" s="41" t="s">
        <v>31</v>
      </c>
      <c r="B121" s="42">
        <f t="shared" si="6"/>
        <v>110</v>
      </c>
      <c r="C121" s="42" t="s">
        <v>3</v>
      </c>
      <c r="D121" s="42">
        <f t="shared" si="7"/>
        <v>260</v>
      </c>
      <c r="E121" s="42" t="s">
        <v>3</v>
      </c>
      <c r="F121" s="90">
        <f t="shared" si="8"/>
        <v>1050</v>
      </c>
      <c r="G121" s="42" t="s">
        <v>3</v>
      </c>
      <c r="H121" s="39">
        <v>2</v>
      </c>
      <c r="I121" s="40" t="s">
        <v>40</v>
      </c>
      <c r="J121" s="149">
        <v>110</v>
      </c>
      <c r="K121" s="66">
        <v>260</v>
      </c>
      <c r="L121" s="66">
        <v>1050</v>
      </c>
      <c r="M121" s="156">
        <v>9.8024613379328951</v>
      </c>
      <c r="N121" s="78">
        <v>445.89881949644376</v>
      </c>
      <c r="O121" s="113">
        <v>16310.317515213081</v>
      </c>
      <c r="P121" s="109">
        <v>20447.793882973929</v>
      </c>
      <c r="Q121" s="110">
        <v>13453.71501889202</v>
      </c>
      <c r="R121" s="258">
        <v>29764.032534105099</v>
      </c>
      <c r="S121" s="259">
        <v>33901.508901865949</v>
      </c>
      <c r="U121" s="7" t="s">
        <v>2581</v>
      </c>
    </row>
    <row r="122" spans="1:21" ht="16.5" thickBot="1">
      <c r="A122" s="38" t="s">
        <v>31</v>
      </c>
      <c r="B122" s="39">
        <f t="shared" si="6"/>
        <v>110</v>
      </c>
      <c r="C122" s="39" t="s">
        <v>3</v>
      </c>
      <c r="D122" s="39">
        <f t="shared" si="7"/>
        <v>260</v>
      </c>
      <c r="E122" s="39" t="s">
        <v>3</v>
      </c>
      <c r="F122" s="90">
        <f t="shared" si="8"/>
        <v>1100</v>
      </c>
      <c r="G122" s="39" t="s">
        <v>3</v>
      </c>
      <c r="H122" s="39">
        <v>2</v>
      </c>
      <c r="I122" s="40" t="s">
        <v>40</v>
      </c>
      <c r="J122" s="149">
        <v>110</v>
      </c>
      <c r="K122" s="66">
        <v>260</v>
      </c>
      <c r="L122" s="66">
        <v>1100</v>
      </c>
      <c r="M122" s="156">
        <v>10.21163850991816</v>
      </c>
      <c r="N122" s="78">
        <v>477.74873517476107</v>
      </c>
      <c r="O122" s="113">
        <v>16803.39700835789</v>
      </c>
      <c r="P122" s="109">
        <v>21107.238598124379</v>
      </c>
      <c r="Q122" s="110">
        <v>13924.170586371982</v>
      </c>
      <c r="R122" s="258">
        <v>30727.567594729873</v>
      </c>
      <c r="S122" s="259">
        <v>35031.409184496362</v>
      </c>
      <c r="U122" s="7" t="s">
        <v>2582</v>
      </c>
    </row>
    <row r="123" spans="1:21" ht="16.5" thickBot="1">
      <c r="A123" s="41" t="s">
        <v>31</v>
      </c>
      <c r="B123" s="42">
        <f t="shared" si="6"/>
        <v>110</v>
      </c>
      <c r="C123" s="42" t="s">
        <v>3</v>
      </c>
      <c r="D123" s="42">
        <f t="shared" si="7"/>
        <v>260</v>
      </c>
      <c r="E123" s="42" t="s">
        <v>3</v>
      </c>
      <c r="F123" s="90">
        <f t="shared" si="8"/>
        <v>1150</v>
      </c>
      <c r="G123" s="42" t="s">
        <v>3</v>
      </c>
      <c r="H123" s="39">
        <v>2</v>
      </c>
      <c r="I123" s="40" t="s">
        <v>40</v>
      </c>
      <c r="J123" s="149">
        <v>110</v>
      </c>
      <c r="K123" s="66">
        <v>260</v>
      </c>
      <c r="L123" s="66">
        <v>1150</v>
      </c>
      <c r="M123" s="156">
        <v>10.620815681903421</v>
      </c>
      <c r="N123" s="78">
        <v>509.59865085307854</v>
      </c>
      <c r="O123" s="113">
        <v>17296.476501502697</v>
      </c>
      <c r="P123" s="109">
        <v>21766.683466303595</v>
      </c>
      <c r="Q123" s="110">
        <v>14394.626153851941</v>
      </c>
      <c r="R123" s="258">
        <v>31691.10265535464</v>
      </c>
      <c r="S123" s="259">
        <v>36161.309620155538</v>
      </c>
      <c r="U123" s="7" t="s">
        <v>2583</v>
      </c>
    </row>
    <row r="124" spans="1:21" ht="16.5" thickBot="1">
      <c r="A124" s="41" t="s">
        <v>31</v>
      </c>
      <c r="B124" s="42">
        <f t="shared" si="6"/>
        <v>110</v>
      </c>
      <c r="C124" s="42" t="s">
        <v>3</v>
      </c>
      <c r="D124" s="42">
        <f t="shared" si="7"/>
        <v>260</v>
      </c>
      <c r="E124" s="42" t="s">
        <v>3</v>
      </c>
      <c r="F124" s="90">
        <f t="shared" si="8"/>
        <v>1200</v>
      </c>
      <c r="G124" s="42" t="s">
        <v>3</v>
      </c>
      <c r="H124" s="39">
        <v>2</v>
      </c>
      <c r="I124" s="40" t="s">
        <v>40</v>
      </c>
      <c r="J124" s="149">
        <v>110</v>
      </c>
      <c r="K124" s="66">
        <v>260</v>
      </c>
      <c r="L124" s="66">
        <v>1200</v>
      </c>
      <c r="M124" s="156">
        <v>11.086282853888683</v>
      </c>
      <c r="N124" s="78">
        <v>541.44856653139595</v>
      </c>
      <c r="O124" s="113">
        <v>17839.556307306913</v>
      </c>
      <c r="P124" s="109">
        <v>22476.433633471119</v>
      </c>
      <c r="Q124" s="110">
        <v>15116.415859115676</v>
      </c>
      <c r="R124" s="258">
        <v>32955.972166422587</v>
      </c>
      <c r="S124" s="259">
        <v>37592.849492586793</v>
      </c>
      <c r="U124" s="7" t="s">
        <v>2584</v>
      </c>
    </row>
    <row r="125" spans="1:21" ht="16.5" thickBot="1">
      <c r="A125" s="41" t="s">
        <v>31</v>
      </c>
      <c r="B125" s="42">
        <f t="shared" si="6"/>
        <v>110</v>
      </c>
      <c r="C125" s="42" t="s">
        <v>3</v>
      </c>
      <c r="D125" s="42">
        <f t="shared" si="7"/>
        <v>260</v>
      </c>
      <c r="E125" s="42" t="s">
        <v>3</v>
      </c>
      <c r="F125" s="90">
        <f t="shared" si="8"/>
        <v>1250</v>
      </c>
      <c r="G125" s="42" t="s">
        <v>3</v>
      </c>
      <c r="H125" s="39">
        <v>2</v>
      </c>
      <c r="I125" s="40" t="s">
        <v>40</v>
      </c>
      <c r="J125" s="149">
        <v>110</v>
      </c>
      <c r="K125" s="66">
        <v>260</v>
      </c>
      <c r="L125" s="66">
        <v>1250</v>
      </c>
      <c r="M125" s="156">
        <v>11.495460025873946</v>
      </c>
      <c r="N125" s="78">
        <v>573.29848220971337</v>
      </c>
      <c r="O125" s="113">
        <v>18332.635800451724</v>
      </c>
      <c r="P125" s="109">
        <v>23135.878501650335</v>
      </c>
      <c r="Q125" s="110">
        <v>15586.871426595639</v>
      </c>
      <c r="R125" s="258">
        <v>33919.507227047361</v>
      </c>
      <c r="S125" s="259">
        <v>38722.749928245976</v>
      </c>
      <c r="U125" s="7" t="s">
        <v>2585</v>
      </c>
    </row>
    <row r="126" spans="1:21" ht="16.5" thickBot="1">
      <c r="A126" s="41" t="s">
        <v>31</v>
      </c>
      <c r="B126" s="42">
        <f t="shared" si="6"/>
        <v>110</v>
      </c>
      <c r="C126" s="42" t="s">
        <v>3</v>
      </c>
      <c r="D126" s="42">
        <f t="shared" si="7"/>
        <v>260</v>
      </c>
      <c r="E126" s="42" t="s">
        <v>3</v>
      </c>
      <c r="F126" s="90">
        <f t="shared" si="8"/>
        <v>1300</v>
      </c>
      <c r="G126" s="42" t="s">
        <v>3</v>
      </c>
      <c r="H126" s="39">
        <v>2</v>
      </c>
      <c r="I126" s="40" t="s">
        <v>40</v>
      </c>
      <c r="J126" s="149">
        <v>110</v>
      </c>
      <c r="K126" s="66">
        <v>260</v>
      </c>
      <c r="L126" s="66">
        <v>1300</v>
      </c>
      <c r="M126" s="156">
        <v>11.921677197859211</v>
      </c>
      <c r="N126" s="78">
        <v>605.14839788803079</v>
      </c>
      <c r="O126" s="113">
        <v>18825.715293596528</v>
      </c>
      <c r="P126" s="109">
        <v>23795.323216800785</v>
      </c>
      <c r="Q126" s="110">
        <v>16308.66113185937</v>
      </c>
      <c r="R126" s="258">
        <v>35134.376425455899</v>
      </c>
      <c r="S126" s="259">
        <v>40103.984348660153</v>
      </c>
      <c r="U126" s="7" t="s">
        <v>2586</v>
      </c>
    </row>
    <row r="127" spans="1:21" ht="16.5" thickBot="1">
      <c r="A127" s="41" t="s">
        <v>31</v>
      </c>
      <c r="B127" s="42">
        <f t="shared" si="6"/>
        <v>110</v>
      </c>
      <c r="C127" s="42" t="s">
        <v>3</v>
      </c>
      <c r="D127" s="42">
        <f t="shared" si="7"/>
        <v>260</v>
      </c>
      <c r="E127" s="42" t="s">
        <v>3</v>
      </c>
      <c r="F127" s="90">
        <f t="shared" si="8"/>
        <v>1350</v>
      </c>
      <c r="G127" s="42" t="s">
        <v>3</v>
      </c>
      <c r="H127" s="39">
        <v>2</v>
      </c>
      <c r="I127" s="40" t="s">
        <v>40</v>
      </c>
      <c r="J127" s="149">
        <v>110</v>
      </c>
      <c r="K127" s="66">
        <v>260</v>
      </c>
      <c r="L127" s="66">
        <v>1350</v>
      </c>
      <c r="M127" s="156">
        <v>12.330854369844475</v>
      </c>
      <c r="N127" s="78">
        <v>636.9983135663482</v>
      </c>
      <c r="O127" s="113">
        <v>19318.794939770101</v>
      </c>
      <c r="P127" s="109">
        <v>24454.767931951235</v>
      </c>
      <c r="Q127" s="110">
        <v>16779.116699339331</v>
      </c>
      <c r="R127" s="258">
        <v>36097.911639109429</v>
      </c>
      <c r="S127" s="259">
        <v>41233.884631290566</v>
      </c>
      <c r="U127" s="7" t="s">
        <v>2587</v>
      </c>
    </row>
    <row r="128" spans="1:21" ht="16.5" thickBot="1">
      <c r="A128" s="41" t="s">
        <v>31</v>
      </c>
      <c r="B128" s="42">
        <f t="shared" si="6"/>
        <v>110</v>
      </c>
      <c r="C128" s="42" t="s">
        <v>3</v>
      </c>
      <c r="D128" s="42">
        <f t="shared" si="7"/>
        <v>260</v>
      </c>
      <c r="E128" s="42" t="s">
        <v>3</v>
      </c>
      <c r="F128" s="90">
        <f t="shared" si="8"/>
        <v>1400</v>
      </c>
      <c r="G128" s="42" t="s">
        <v>3</v>
      </c>
      <c r="H128" s="39">
        <v>2</v>
      </c>
      <c r="I128" s="40" t="s">
        <v>40</v>
      </c>
      <c r="J128" s="149">
        <v>110</v>
      </c>
      <c r="K128" s="66">
        <v>260</v>
      </c>
      <c r="L128" s="66">
        <v>1400</v>
      </c>
      <c r="M128" s="156">
        <v>12.757071541829736</v>
      </c>
      <c r="N128" s="78">
        <v>668.8482292446655</v>
      </c>
      <c r="O128" s="113">
        <v>19811.874432914909</v>
      </c>
      <c r="P128" s="109">
        <v>25114.212647101685</v>
      </c>
      <c r="Q128" s="110">
        <v>17500.906404603062</v>
      </c>
      <c r="R128" s="258">
        <v>37312.780837517974</v>
      </c>
      <c r="S128" s="259">
        <v>42615.119051704751</v>
      </c>
      <c r="U128" s="7" t="s">
        <v>2588</v>
      </c>
    </row>
    <row r="129" spans="1:21" ht="16.5" thickBot="1">
      <c r="A129" s="41" t="s">
        <v>31</v>
      </c>
      <c r="B129" s="42">
        <f t="shared" si="6"/>
        <v>110</v>
      </c>
      <c r="C129" s="42" t="s">
        <v>3</v>
      </c>
      <c r="D129" s="42">
        <f t="shared" si="7"/>
        <v>260</v>
      </c>
      <c r="E129" s="42" t="s">
        <v>3</v>
      </c>
      <c r="F129" s="90">
        <f t="shared" si="8"/>
        <v>1450</v>
      </c>
      <c r="G129" s="42" t="s">
        <v>3</v>
      </c>
      <c r="H129" s="39">
        <v>2</v>
      </c>
      <c r="I129" s="40" t="s">
        <v>40</v>
      </c>
      <c r="J129" s="149">
        <v>110</v>
      </c>
      <c r="K129" s="66">
        <v>260</v>
      </c>
      <c r="L129" s="66">
        <v>1450</v>
      </c>
      <c r="M129" s="156">
        <v>13.166248713815</v>
      </c>
      <c r="N129" s="78">
        <v>700.69814492298303</v>
      </c>
      <c r="O129" s="113">
        <v>20304.953926059716</v>
      </c>
      <c r="P129" s="109">
        <v>25773.657515280902</v>
      </c>
      <c r="Q129" s="110">
        <v>17971.361972083025</v>
      </c>
      <c r="R129" s="258">
        <v>38276.31589814274</v>
      </c>
      <c r="S129" s="259">
        <v>43745.019487363927</v>
      </c>
      <c r="U129" s="7" t="s">
        <v>2589</v>
      </c>
    </row>
    <row r="130" spans="1:21" ht="16.5" thickBot="1">
      <c r="A130" s="41" t="s">
        <v>31</v>
      </c>
      <c r="B130" s="42">
        <f t="shared" si="6"/>
        <v>110</v>
      </c>
      <c r="C130" s="42" t="s">
        <v>3</v>
      </c>
      <c r="D130" s="42">
        <f t="shared" si="7"/>
        <v>260</v>
      </c>
      <c r="E130" s="42" t="s">
        <v>3</v>
      </c>
      <c r="F130" s="90">
        <f t="shared" si="8"/>
        <v>1500</v>
      </c>
      <c r="G130" s="42" t="s">
        <v>3</v>
      </c>
      <c r="H130" s="39">
        <v>2</v>
      </c>
      <c r="I130" s="40" t="s">
        <v>40</v>
      </c>
      <c r="J130" s="149">
        <v>110</v>
      </c>
      <c r="K130" s="66">
        <v>260</v>
      </c>
      <c r="L130" s="66">
        <v>1500</v>
      </c>
      <c r="M130" s="156">
        <v>13.735568229100263</v>
      </c>
      <c r="N130" s="78">
        <v>732.54806060130034</v>
      </c>
      <c r="O130" s="113">
        <v>21464.391361848258</v>
      </c>
      <c r="P130" s="109">
        <v>27059.088583346111</v>
      </c>
      <c r="Q130" s="110">
        <v>18693.151677346756</v>
      </c>
      <c r="R130" s="258">
        <v>40157.543039195014</v>
      </c>
      <c r="S130" s="259">
        <v>45752.240260692866</v>
      </c>
      <c r="U130" s="7" t="s">
        <v>2590</v>
      </c>
    </row>
    <row r="131" spans="1:21" ht="16.5" thickBot="1">
      <c r="A131" s="41" t="s">
        <v>31</v>
      </c>
      <c r="B131" s="42">
        <f t="shared" si="6"/>
        <v>110</v>
      </c>
      <c r="C131" s="42" t="s">
        <v>3</v>
      </c>
      <c r="D131" s="42">
        <f t="shared" si="7"/>
        <v>260</v>
      </c>
      <c r="E131" s="42" t="s">
        <v>3</v>
      </c>
      <c r="F131" s="90">
        <f t="shared" si="8"/>
        <v>1550</v>
      </c>
      <c r="G131" s="42" t="s">
        <v>3</v>
      </c>
      <c r="H131" s="39">
        <v>2</v>
      </c>
      <c r="I131" s="40" t="s">
        <v>40</v>
      </c>
      <c r="J131" s="149">
        <v>110</v>
      </c>
      <c r="K131" s="66">
        <v>260</v>
      </c>
      <c r="L131" s="66">
        <v>1550</v>
      </c>
      <c r="M131" s="156">
        <v>14.144745401085526</v>
      </c>
      <c r="N131" s="78">
        <v>764.39797627961786</v>
      </c>
      <c r="O131" s="113">
        <v>21957.470854993069</v>
      </c>
      <c r="P131" s="109">
        <v>27718.533451525327</v>
      </c>
      <c r="Q131" s="110">
        <v>19163.607244826719</v>
      </c>
      <c r="R131" s="258">
        <v>41121.078099819788</v>
      </c>
      <c r="S131" s="259">
        <v>46882.140696352042</v>
      </c>
      <c r="U131" s="7" t="s">
        <v>2591</v>
      </c>
    </row>
    <row r="132" spans="1:21" ht="16.5" thickBot="1">
      <c r="A132" s="38" t="s">
        <v>31</v>
      </c>
      <c r="B132" s="39">
        <f t="shared" si="6"/>
        <v>110</v>
      </c>
      <c r="C132" s="39" t="s">
        <v>3</v>
      </c>
      <c r="D132" s="39">
        <f t="shared" si="7"/>
        <v>260</v>
      </c>
      <c r="E132" s="39" t="s">
        <v>3</v>
      </c>
      <c r="F132" s="90">
        <f t="shared" si="8"/>
        <v>1600</v>
      </c>
      <c r="G132" s="39" t="s">
        <v>3</v>
      </c>
      <c r="H132" s="39">
        <v>2</v>
      </c>
      <c r="I132" s="40" t="s">
        <v>40</v>
      </c>
      <c r="J132" s="149">
        <v>110</v>
      </c>
      <c r="K132" s="66">
        <v>260</v>
      </c>
      <c r="L132" s="66">
        <v>1600</v>
      </c>
      <c r="M132" s="156">
        <v>14.553922573070789</v>
      </c>
      <c r="N132" s="78">
        <v>796.24789195793517</v>
      </c>
      <c r="O132" s="113">
        <v>22450.550348137873</v>
      </c>
      <c r="P132" s="109">
        <v>28377.978166675777</v>
      </c>
      <c r="Q132" s="110">
        <v>19634.062812306682</v>
      </c>
      <c r="R132" s="258">
        <v>42084.613160444555</v>
      </c>
      <c r="S132" s="259">
        <v>48012.040978982463</v>
      </c>
      <c r="U132" s="7" t="s">
        <v>2592</v>
      </c>
    </row>
    <row r="133" spans="1:21" ht="16.5" thickBot="1">
      <c r="A133" s="41" t="s">
        <v>31</v>
      </c>
      <c r="B133" s="42">
        <f t="shared" si="6"/>
        <v>110</v>
      </c>
      <c r="C133" s="42" t="s">
        <v>3</v>
      </c>
      <c r="D133" s="42">
        <f t="shared" si="7"/>
        <v>260</v>
      </c>
      <c r="E133" s="42" t="s">
        <v>3</v>
      </c>
      <c r="F133" s="90">
        <f t="shared" si="8"/>
        <v>1650</v>
      </c>
      <c r="G133" s="42" t="s">
        <v>3</v>
      </c>
      <c r="H133" s="39">
        <v>2</v>
      </c>
      <c r="I133" s="40" t="s">
        <v>40</v>
      </c>
      <c r="J133" s="149">
        <v>110</v>
      </c>
      <c r="K133" s="66">
        <v>260</v>
      </c>
      <c r="L133" s="66">
        <v>1650</v>
      </c>
      <c r="M133" s="156">
        <v>14.980139745056054</v>
      </c>
      <c r="N133" s="78">
        <v>828.0978076362527</v>
      </c>
      <c r="O133" s="113">
        <v>22943.629994311446</v>
      </c>
      <c r="P133" s="109">
        <v>29037.422881826224</v>
      </c>
      <c r="Q133" s="110">
        <v>20355.852364541646</v>
      </c>
      <c r="R133" s="258">
        <v>43299.482358853093</v>
      </c>
      <c r="S133" s="259">
        <v>49393.27524636787</v>
      </c>
      <c r="U133" s="7" t="s">
        <v>2593</v>
      </c>
    </row>
    <row r="134" spans="1:21" ht="16.5" thickBot="1">
      <c r="A134" s="41" t="s">
        <v>31</v>
      </c>
      <c r="B134" s="42">
        <f t="shared" si="6"/>
        <v>110</v>
      </c>
      <c r="C134" s="42" t="s">
        <v>3</v>
      </c>
      <c r="D134" s="42">
        <f t="shared" si="7"/>
        <v>260</v>
      </c>
      <c r="E134" s="42" t="s">
        <v>3</v>
      </c>
      <c r="F134" s="90">
        <f t="shared" si="8"/>
        <v>1700</v>
      </c>
      <c r="G134" s="42" t="s">
        <v>3</v>
      </c>
      <c r="H134" s="39">
        <v>2</v>
      </c>
      <c r="I134" s="40" t="s">
        <v>40</v>
      </c>
      <c r="J134" s="149">
        <v>110</v>
      </c>
      <c r="K134" s="66">
        <v>260</v>
      </c>
      <c r="L134" s="66">
        <v>1700</v>
      </c>
      <c r="M134" s="156">
        <v>15.389316917041317</v>
      </c>
      <c r="N134" s="78">
        <v>859.94772331457</v>
      </c>
      <c r="O134" s="113">
        <v>23436.709487456254</v>
      </c>
      <c r="P134" s="109">
        <v>29696.867596976674</v>
      </c>
      <c r="Q134" s="110">
        <v>20826.307932021609</v>
      </c>
      <c r="R134" s="258">
        <v>44263.017419477866</v>
      </c>
      <c r="S134" s="259">
        <v>50523.175528998283</v>
      </c>
      <c r="U134" s="7" t="s">
        <v>2594</v>
      </c>
    </row>
    <row r="135" spans="1:21" ht="16.5" thickBot="1">
      <c r="A135" s="41" t="s">
        <v>31</v>
      </c>
      <c r="B135" s="42">
        <f t="shared" si="6"/>
        <v>110</v>
      </c>
      <c r="C135" s="42" t="s">
        <v>3</v>
      </c>
      <c r="D135" s="42">
        <f t="shared" si="7"/>
        <v>260</v>
      </c>
      <c r="E135" s="42" t="s">
        <v>3</v>
      </c>
      <c r="F135" s="90">
        <f t="shared" si="8"/>
        <v>1750</v>
      </c>
      <c r="G135" s="42" t="s">
        <v>3</v>
      </c>
      <c r="H135" s="39">
        <v>2</v>
      </c>
      <c r="I135" s="40" t="s">
        <v>40</v>
      </c>
      <c r="J135" s="149">
        <v>110</v>
      </c>
      <c r="K135" s="66">
        <v>260</v>
      </c>
      <c r="L135" s="66">
        <v>1750</v>
      </c>
      <c r="M135" s="156">
        <v>15.815534089026578</v>
      </c>
      <c r="N135" s="78">
        <v>891.79763899288753</v>
      </c>
      <c r="O135" s="113">
        <v>23929.788980601061</v>
      </c>
      <c r="P135" s="109">
        <v>30356.31246515589</v>
      </c>
      <c r="Q135" s="110">
        <v>21548.09763728534</v>
      </c>
      <c r="R135" s="258">
        <v>45477.886617886397</v>
      </c>
      <c r="S135" s="259">
        <v>51904.41010244123</v>
      </c>
      <c r="U135" s="7" t="s">
        <v>2595</v>
      </c>
    </row>
    <row r="136" spans="1:21" ht="16.5" thickBot="1">
      <c r="A136" s="41" t="s">
        <v>31</v>
      </c>
      <c r="B136" s="42">
        <f t="shared" si="6"/>
        <v>110</v>
      </c>
      <c r="C136" s="42" t="s">
        <v>3</v>
      </c>
      <c r="D136" s="42">
        <f t="shared" si="7"/>
        <v>260</v>
      </c>
      <c r="E136" s="42" t="s">
        <v>3</v>
      </c>
      <c r="F136" s="90">
        <f t="shared" si="8"/>
        <v>1800</v>
      </c>
      <c r="G136" s="42" t="s">
        <v>3</v>
      </c>
      <c r="H136" s="39">
        <v>2</v>
      </c>
      <c r="I136" s="40" t="s">
        <v>40</v>
      </c>
      <c r="J136" s="149">
        <v>110</v>
      </c>
      <c r="K136" s="66">
        <v>260</v>
      </c>
      <c r="L136" s="66">
        <v>1800</v>
      </c>
      <c r="M136" s="156">
        <v>16.224711261011841</v>
      </c>
      <c r="N136" s="78">
        <v>923.64755467120483</v>
      </c>
      <c r="O136" s="113">
        <v>24422.868473745868</v>
      </c>
      <c r="P136" s="109">
        <v>31015.757180306347</v>
      </c>
      <c r="Q136" s="110">
        <v>22018.553204765303</v>
      </c>
      <c r="R136" s="258">
        <v>46441.421678511171</v>
      </c>
      <c r="S136" s="259">
        <v>53034.310385071651</v>
      </c>
      <c r="U136" s="7" t="s">
        <v>2596</v>
      </c>
    </row>
    <row r="137" spans="1:21" ht="16.5" thickBot="1">
      <c r="A137" s="41" t="s">
        <v>31</v>
      </c>
      <c r="B137" s="42">
        <f t="shared" si="6"/>
        <v>110</v>
      </c>
      <c r="C137" s="42" t="s">
        <v>3</v>
      </c>
      <c r="D137" s="42">
        <f t="shared" si="7"/>
        <v>260</v>
      </c>
      <c r="E137" s="42" t="s">
        <v>3</v>
      </c>
      <c r="F137" s="90">
        <f t="shared" si="8"/>
        <v>1850</v>
      </c>
      <c r="G137" s="42" t="s">
        <v>3</v>
      </c>
      <c r="H137" s="39">
        <v>2</v>
      </c>
      <c r="I137" s="40" t="s">
        <v>40</v>
      </c>
      <c r="J137" s="149">
        <v>110</v>
      </c>
      <c r="K137" s="66">
        <v>260</v>
      </c>
      <c r="L137" s="66">
        <v>1850</v>
      </c>
      <c r="M137" s="156">
        <v>16.650928432997105</v>
      </c>
      <c r="N137" s="78">
        <v>955.49747034952213</v>
      </c>
      <c r="O137" s="113">
        <v>24915.948119919442</v>
      </c>
      <c r="P137" s="109">
        <v>31675.201895456798</v>
      </c>
      <c r="Q137" s="110">
        <v>22740.342910029034</v>
      </c>
      <c r="R137" s="258">
        <v>47656.291029948479</v>
      </c>
      <c r="S137" s="259">
        <v>54415.544805485828</v>
      </c>
      <c r="U137" s="7" t="s">
        <v>2597</v>
      </c>
    </row>
    <row r="138" spans="1:21" ht="16.5" thickBot="1">
      <c r="A138" s="41" t="s">
        <v>31</v>
      </c>
      <c r="B138" s="42">
        <f t="shared" si="6"/>
        <v>110</v>
      </c>
      <c r="C138" s="42" t="s">
        <v>3</v>
      </c>
      <c r="D138" s="42">
        <f t="shared" si="7"/>
        <v>260</v>
      </c>
      <c r="E138" s="42" t="s">
        <v>3</v>
      </c>
      <c r="F138" s="90">
        <f t="shared" si="8"/>
        <v>1900</v>
      </c>
      <c r="G138" s="42" t="s">
        <v>3</v>
      </c>
      <c r="H138" s="39">
        <v>2</v>
      </c>
      <c r="I138" s="40" t="s">
        <v>40</v>
      </c>
      <c r="J138" s="149">
        <v>110</v>
      </c>
      <c r="K138" s="66">
        <v>260</v>
      </c>
      <c r="L138" s="66">
        <v>1900</v>
      </c>
      <c r="M138" s="156">
        <v>17.060105604982368</v>
      </c>
      <c r="N138" s="78">
        <v>987.34738602783966</v>
      </c>
      <c r="O138" s="113">
        <v>25409.027613064245</v>
      </c>
      <c r="P138" s="109">
        <v>32334.646610607248</v>
      </c>
      <c r="Q138" s="110">
        <v>23210.798477508997</v>
      </c>
      <c r="R138" s="258">
        <v>48619.826090573246</v>
      </c>
      <c r="S138" s="259">
        <v>55545.445088116248</v>
      </c>
      <c r="U138" s="7" t="s">
        <v>2598</v>
      </c>
    </row>
    <row r="139" spans="1:21" ht="16.5" thickBot="1">
      <c r="A139" s="41" t="s">
        <v>31</v>
      </c>
      <c r="B139" s="42">
        <f t="shared" si="6"/>
        <v>110</v>
      </c>
      <c r="C139" s="42" t="s">
        <v>3</v>
      </c>
      <c r="D139" s="42">
        <f t="shared" si="7"/>
        <v>260</v>
      </c>
      <c r="E139" s="42" t="s">
        <v>3</v>
      </c>
      <c r="F139" s="90">
        <f t="shared" si="8"/>
        <v>1950</v>
      </c>
      <c r="G139" s="42" t="s">
        <v>3</v>
      </c>
      <c r="H139" s="39">
        <v>2</v>
      </c>
      <c r="I139" s="40" t="s">
        <v>40</v>
      </c>
      <c r="J139" s="149">
        <v>110</v>
      </c>
      <c r="K139" s="66">
        <v>260</v>
      </c>
      <c r="L139" s="66">
        <v>1950</v>
      </c>
      <c r="M139" s="156">
        <v>17.50853277696763</v>
      </c>
      <c r="N139" s="78">
        <v>1019.1973017061571</v>
      </c>
      <c r="O139" s="113">
        <v>25952.107418868469</v>
      </c>
      <c r="P139" s="109">
        <v>33044.39693080353</v>
      </c>
      <c r="Q139" s="110">
        <v>23681.25404498896</v>
      </c>
      <c r="R139" s="258">
        <v>49633.361463857429</v>
      </c>
      <c r="S139" s="259">
        <v>56725.650975792494</v>
      </c>
      <c r="U139" s="7" t="s">
        <v>2599</v>
      </c>
    </row>
    <row r="140" spans="1:21" ht="16.5" thickBot="1">
      <c r="A140" s="41" t="s">
        <v>31</v>
      </c>
      <c r="B140" s="42">
        <f t="shared" si="6"/>
        <v>110</v>
      </c>
      <c r="C140" s="42" t="s">
        <v>3</v>
      </c>
      <c r="D140" s="42">
        <f t="shared" si="7"/>
        <v>260</v>
      </c>
      <c r="E140" s="42" t="s">
        <v>3</v>
      </c>
      <c r="F140" s="90">
        <f t="shared" si="8"/>
        <v>2000</v>
      </c>
      <c r="G140" s="42" t="s">
        <v>3</v>
      </c>
      <c r="H140" s="39">
        <v>2</v>
      </c>
      <c r="I140" s="40" t="s">
        <v>40</v>
      </c>
      <c r="J140" s="149">
        <v>110</v>
      </c>
      <c r="K140" s="66">
        <v>260</v>
      </c>
      <c r="L140" s="66">
        <v>2000</v>
      </c>
      <c r="M140" s="156">
        <v>18.026312348952896</v>
      </c>
      <c r="N140" s="78">
        <v>1051.0472173844744</v>
      </c>
      <c r="O140" s="113">
        <v>26696.478813857866</v>
      </c>
      <c r="P140" s="109">
        <v>34044.663638950027</v>
      </c>
      <c r="Q140" s="110">
        <v>24403.043750252691</v>
      </c>
      <c r="R140" s="258">
        <v>51099.522564110557</v>
      </c>
      <c r="S140" s="259">
        <v>58447.707389202718</v>
      </c>
      <c r="U140" s="7" t="s">
        <v>2600</v>
      </c>
    </row>
    <row r="141" spans="1:21" ht="16.5" thickBot="1">
      <c r="A141" s="41" t="s">
        <v>31</v>
      </c>
      <c r="B141" s="42">
        <f t="shared" si="6"/>
        <v>110</v>
      </c>
      <c r="C141" s="42" t="s">
        <v>3</v>
      </c>
      <c r="D141" s="42">
        <f t="shared" si="7"/>
        <v>260</v>
      </c>
      <c r="E141" s="42" t="s">
        <v>3</v>
      </c>
      <c r="F141" s="90">
        <f t="shared" si="8"/>
        <v>2050</v>
      </c>
      <c r="G141" s="42" t="s">
        <v>3</v>
      </c>
      <c r="H141" s="39">
        <v>2</v>
      </c>
      <c r="I141" s="40" t="s">
        <v>40</v>
      </c>
      <c r="J141" s="149">
        <v>110</v>
      </c>
      <c r="K141" s="66">
        <v>260</v>
      </c>
      <c r="L141" s="66">
        <v>2050</v>
      </c>
      <c r="M141" s="156">
        <v>18.435489520938159</v>
      </c>
      <c r="N141" s="78">
        <v>1082.8971330627919</v>
      </c>
      <c r="O141" s="113">
        <v>27189.558307002681</v>
      </c>
      <c r="P141" s="109">
        <v>34704.108507129233</v>
      </c>
      <c r="Q141" s="110">
        <v>24873.499317732651</v>
      </c>
      <c r="R141" s="258">
        <v>52063.057624735331</v>
      </c>
      <c r="S141" s="259">
        <v>59577.607824861887</v>
      </c>
      <c r="U141" s="7" t="s">
        <v>2601</v>
      </c>
    </row>
    <row r="142" spans="1:21" ht="16.5" thickBot="1">
      <c r="A142" s="38" t="s">
        <v>31</v>
      </c>
      <c r="B142" s="39">
        <f t="shared" si="6"/>
        <v>110</v>
      </c>
      <c r="C142" s="39" t="s">
        <v>3</v>
      </c>
      <c r="D142" s="39">
        <f t="shared" si="7"/>
        <v>260</v>
      </c>
      <c r="E142" s="39" t="s">
        <v>3</v>
      </c>
      <c r="F142" s="90">
        <f t="shared" si="8"/>
        <v>2100</v>
      </c>
      <c r="G142" s="39" t="s">
        <v>3</v>
      </c>
      <c r="H142" s="39">
        <v>2</v>
      </c>
      <c r="I142" s="40" t="s">
        <v>40</v>
      </c>
      <c r="J142" s="149">
        <v>110</v>
      </c>
      <c r="K142" s="66">
        <v>260</v>
      </c>
      <c r="L142" s="66">
        <v>2100</v>
      </c>
      <c r="M142" s="156">
        <v>18.86170669292342</v>
      </c>
      <c r="N142" s="78">
        <v>1114.7470487411092</v>
      </c>
      <c r="O142" s="113">
        <v>27682.63795317625</v>
      </c>
      <c r="P142" s="109">
        <v>35363.55322227969</v>
      </c>
      <c r="Q142" s="110">
        <v>25595.289022996385</v>
      </c>
      <c r="R142" s="258">
        <v>53277.926976172632</v>
      </c>
      <c r="S142" s="259">
        <v>60958.842245276071</v>
      </c>
      <c r="U142" s="7" t="s">
        <v>2602</v>
      </c>
    </row>
    <row r="143" spans="1:21" ht="16.5" thickBot="1">
      <c r="A143" s="41" t="s">
        <v>31</v>
      </c>
      <c r="B143" s="42">
        <f t="shared" si="6"/>
        <v>110</v>
      </c>
      <c r="C143" s="42" t="s">
        <v>3</v>
      </c>
      <c r="D143" s="42">
        <f t="shared" si="7"/>
        <v>260</v>
      </c>
      <c r="E143" s="42" t="s">
        <v>3</v>
      </c>
      <c r="F143" s="90">
        <f t="shared" si="8"/>
        <v>2150</v>
      </c>
      <c r="G143" s="42" t="s">
        <v>3</v>
      </c>
      <c r="H143" s="39">
        <v>2</v>
      </c>
      <c r="I143" s="40" t="s">
        <v>40</v>
      </c>
      <c r="J143" s="149">
        <v>110</v>
      </c>
      <c r="K143" s="66">
        <v>260</v>
      </c>
      <c r="L143" s="66">
        <v>2150</v>
      </c>
      <c r="M143" s="156">
        <v>19.270883864908683</v>
      </c>
      <c r="N143" s="78">
        <v>1146.5969644194267</v>
      </c>
      <c r="O143" s="113">
        <v>28175.717446321058</v>
      </c>
      <c r="P143" s="109">
        <v>36022.99793743014</v>
      </c>
      <c r="Q143" s="110">
        <v>26065.744590476344</v>
      </c>
      <c r="R143" s="258">
        <v>54241.462036797398</v>
      </c>
      <c r="S143" s="259">
        <v>62088.742527906485</v>
      </c>
      <c r="U143" s="7" t="s">
        <v>2603</v>
      </c>
    </row>
    <row r="144" spans="1:21" ht="16.5" thickBot="1">
      <c r="A144" s="41" t="s">
        <v>31</v>
      </c>
      <c r="B144" s="42">
        <f t="shared" si="6"/>
        <v>110</v>
      </c>
      <c r="C144" s="42" t="s">
        <v>3</v>
      </c>
      <c r="D144" s="42">
        <f t="shared" si="7"/>
        <v>260</v>
      </c>
      <c r="E144" s="42" t="s">
        <v>3</v>
      </c>
      <c r="F144" s="90">
        <f t="shared" si="8"/>
        <v>2200</v>
      </c>
      <c r="G144" s="42" t="s">
        <v>3</v>
      </c>
      <c r="H144" s="39">
        <v>2</v>
      </c>
      <c r="I144" s="40" t="s">
        <v>40</v>
      </c>
      <c r="J144" s="149">
        <v>110</v>
      </c>
      <c r="K144" s="66">
        <v>260</v>
      </c>
      <c r="L144" s="66">
        <v>2200</v>
      </c>
      <c r="M144" s="156">
        <v>19.697101036893947</v>
      </c>
      <c r="N144" s="78">
        <v>1178.446880097744</v>
      </c>
      <c r="O144" s="113">
        <v>28668.796939465865</v>
      </c>
      <c r="P144" s="109">
        <v>36682.44280560936</v>
      </c>
      <c r="Q144" s="110">
        <v>26787.534295740079</v>
      </c>
      <c r="R144" s="258">
        <v>55456.331235205944</v>
      </c>
      <c r="S144" s="259">
        <v>63469.977101349439</v>
      </c>
      <c r="U144" s="7" t="s">
        <v>2604</v>
      </c>
    </row>
    <row r="145" spans="1:21" ht="16.5" thickBot="1">
      <c r="A145" s="41" t="s">
        <v>31</v>
      </c>
      <c r="B145" s="42">
        <f t="shared" si="6"/>
        <v>110</v>
      </c>
      <c r="C145" s="42" t="s">
        <v>3</v>
      </c>
      <c r="D145" s="42">
        <f t="shared" si="7"/>
        <v>260</v>
      </c>
      <c r="E145" s="42" t="s">
        <v>3</v>
      </c>
      <c r="F145" s="90">
        <f t="shared" si="8"/>
        <v>2250</v>
      </c>
      <c r="G145" s="42" t="s">
        <v>3</v>
      </c>
      <c r="H145" s="39">
        <v>2</v>
      </c>
      <c r="I145" s="40" t="s">
        <v>40</v>
      </c>
      <c r="J145" s="149">
        <v>110</v>
      </c>
      <c r="K145" s="66">
        <v>260</v>
      </c>
      <c r="L145" s="66">
        <v>2250</v>
      </c>
      <c r="M145" s="156">
        <v>20.10627820887921</v>
      </c>
      <c r="N145" s="78">
        <v>1210.2967957760616</v>
      </c>
      <c r="O145" s="113">
        <v>29161.876432610668</v>
      </c>
      <c r="P145" s="109">
        <v>37341.88752075981</v>
      </c>
      <c r="Q145" s="110">
        <v>27257.989710191272</v>
      </c>
      <c r="R145" s="258">
        <v>56419.86614280194</v>
      </c>
      <c r="S145" s="259">
        <v>64599.877230951082</v>
      </c>
      <c r="U145" s="7" t="s">
        <v>2605</v>
      </c>
    </row>
    <row r="146" spans="1:21" ht="16.5" thickBot="1">
      <c r="A146" s="41" t="s">
        <v>31</v>
      </c>
      <c r="B146" s="42">
        <f t="shared" si="6"/>
        <v>110</v>
      </c>
      <c r="C146" s="42" t="s">
        <v>3</v>
      </c>
      <c r="D146" s="42">
        <f t="shared" si="7"/>
        <v>260</v>
      </c>
      <c r="E146" s="42" t="s">
        <v>3</v>
      </c>
      <c r="F146" s="90">
        <f t="shared" si="8"/>
        <v>2300</v>
      </c>
      <c r="G146" s="42" t="s">
        <v>3</v>
      </c>
      <c r="H146" s="39">
        <v>2</v>
      </c>
      <c r="I146" s="40" t="s">
        <v>40</v>
      </c>
      <c r="J146" s="149">
        <v>110</v>
      </c>
      <c r="K146" s="66">
        <v>260</v>
      </c>
      <c r="L146" s="66">
        <v>2300</v>
      </c>
      <c r="M146" s="156">
        <v>20.515455380864474</v>
      </c>
      <c r="N146" s="78">
        <v>1242.1467114543789</v>
      </c>
      <c r="O146" s="113">
        <v>29654.956078784242</v>
      </c>
      <c r="P146" s="109">
        <v>38001.332235910253</v>
      </c>
      <c r="Q146" s="110">
        <v>27728.445277671239</v>
      </c>
      <c r="R146" s="258">
        <v>57383.401356455477</v>
      </c>
      <c r="S146" s="259">
        <v>65729.777513581488</v>
      </c>
      <c r="U146" s="7" t="s">
        <v>2606</v>
      </c>
    </row>
    <row r="147" spans="1:21" ht="16.5" thickBot="1">
      <c r="A147" s="41" t="s">
        <v>31</v>
      </c>
      <c r="B147" s="42">
        <f t="shared" si="6"/>
        <v>110</v>
      </c>
      <c r="C147" s="42" t="s">
        <v>3</v>
      </c>
      <c r="D147" s="42">
        <f t="shared" si="7"/>
        <v>260</v>
      </c>
      <c r="E147" s="42" t="s">
        <v>3</v>
      </c>
      <c r="F147" s="90">
        <f t="shared" si="8"/>
        <v>2350</v>
      </c>
      <c r="G147" s="42" t="s">
        <v>3</v>
      </c>
      <c r="H147" s="39">
        <v>2</v>
      </c>
      <c r="I147" s="40" t="s">
        <v>40</v>
      </c>
      <c r="J147" s="149">
        <v>110</v>
      </c>
      <c r="K147" s="66">
        <v>260</v>
      </c>
      <c r="L147" s="66">
        <v>2350</v>
      </c>
      <c r="M147" s="156">
        <v>20.941672552849738</v>
      </c>
      <c r="N147" s="78">
        <v>1273.9966271326964</v>
      </c>
      <c r="O147" s="113">
        <v>30148.035571929046</v>
      </c>
      <c r="P147" s="109">
        <v>38660.776951060703</v>
      </c>
      <c r="Q147" s="110">
        <v>28450.234982934966</v>
      </c>
      <c r="R147" s="258">
        <v>58598.270554864008</v>
      </c>
      <c r="S147" s="259">
        <v>67111.011933995673</v>
      </c>
      <c r="U147" s="7" t="s">
        <v>2607</v>
      </c>
    </row>
    <row r="148" spans="1:21" ht="16.5" thickBot="1">
      <c r="A148" s="41" t="s">
        <v>31</v>
      </c>
      <c r="B148" s="42">
        <f t="shared" si="6"/>
        <v>110</v>
      </c>
      <c r="C148" s="42" t="s">
        <v>3</v>
      </c>
      <c r="D148" s="42">
        <f t="shared" si="7"/>
        <v>260</v>
      </c>
      <c r="E148" s="42" t="s">
        <v>3</v>
      </c>
      <c r="F148" s="90">
        <f t="shared" si="8"/>
        <v>2400</v>
      </c>
      <c r="G148" s="42" t="s">
        <v>3</v>
      </c>
      <c r="H148" s="39">
        <v>2</v>
      </c>
      <c r="I148" s="40" t="s">
        <v>40</v>
      </c>
      <c r="J148" s="149">
        <v>110</v>
      </c>
      <c r="K148" s="66">
        <v>260</v>
      </c>
      <c r="L148" s="66">
        <v>2400</v>
      </c>
      <c r="M148" s="156">
        <v>21.350849724835001</v>
      </c>
      <c r="N148" s="78">
        <v>1305.8465428110135</v>
      </c>
      <c r="O148" s="113">
        <v>30641.11506507386</v>
      </c>
      <c r="P148" s="109">
        <v>39320.221819239923</v>
      </c>
      <c r="Q148" s="110">
        <v>28920.690550414929</v>
      </c>
      <c r="R148" s="258">
        <v>59561.805615488789</v>
      </c>
      <c r="S148" s="259">
        <v>68240.912369654849</v>
      </c>
      <c r="U148" s="7" t="s">
        <v>2608</v>
      </c>
    </row>
    <row r="149" spans="1:21" ht="16.5" thickBot="1">
      <c r="A149" s="41" t="s">
        <v>31</v>
      </c>
      <c r="B149" s="42">
        <f t="shared" si="6"/>
        <v>110</v>
      </c>
      <c r="C149" s="42" t="s">
        <v>3</v>
      </c>
      <c r="D149" s="42">
        <f t="shared" si="7"/>
        <v>260</v>
      </c>
      <c r="E149" s="42" t="s">
        <v>3</v>
      </c>
      <c r="F149" s="90">
        <f t="shared" si="8"/>
        <v>2450</v>
      </c>
      <c r="G149" s="42" t="s">
        <v>3</v>
      </c>
      <c r="H149" s="39">
        <v>2</v>
      </c>
      <c r="I149" s="40" t="s">
        <v>40</v>
      </c>
      <c r="J149" s="149">
        <v>110</v>
      </c>
      <c r="K149" s="66">
        <v>260</v>
      </c>
      <c r="L149" s="66">
        <v>2450</v>
      </c>
      <c r="M149" s="156">
        <v>21.920169240120263</v>
      </c>
      <c r="N149" s="78">
        <v>1337.696458489331</v>
      </c>
      <c r="O149" s="113">
        <v>31800.552500862399</v>
      </c>
      <c r="P149" s="109">
        <v>40605.652887305128</v>
      </c>
      <c r="Q149" s="110">
        <v>29642.480255678664</v>
      </c>
      <c r="R149" s="258">
        <v>61443.032756541063</v>
      </c>
      <c r="S149" s="259">
        <v>70248.133142983788</v>
      </c>
      <c r="U149" s="7" t="s">
        <v>2609</v>
      </c>
    </row>
    <row r="150" spans="1:21" ht="16.5" thickBot="1">
      <c r="A150" s="41" t="s">
        <v>31</v>
      </c>
      <c r="B150" s="42">
        <f t="shared" si="6"/>
        <v>110</v>
      </c>
      <c r="C150" s="42" t="s">
        <v>3</v>
      </c>
      <c r="D150" s="42">
        <f t="shared" si="7"/>
        <v>260</v>
      </c>
      <c r="E150" s="42" t="s">
        <v>3</v>
      </c>
      <c r="F150" s="90">
        <f t="shared" si="8"/>
        <v>2500</v>
      </c>
      <c r="G150" s="42" t="s">
        <v>3</v>
      </c>
      <c r="H150" s="39">
        <v>2</v>
      </c>
      <c r="I150" s="40" t="s">
        <v>40</v>
      </c>
      <c r="J150" s="149">
        <v>110</v>
      </c>
      <c r="K150" s="66">
        <v>260</v>
      </c>
      <c r="L150" s="66">
        <v>2500</v>
      </c>
      <c r="M150" s="156">
        <v>22.329346412105529</v>
      </c>
      <c r="N150" s="78">
        <v>1369.5463741676488</v>
      </c>
      <c r="O150" s="113">
        <v>32293.63199400721</v>
      </c>
      <c r="P150" s="109">
        <v>41265.097755484348</v>
      </c>
      <c r="Q150" s="110">
        <v>30112.935823158623</v>
      </c>
      <c r="R150" s="258">
        <v>62406.567817165836</v>
      </c>
      <c r="S150" s="259">
        <v>71378.033578642964</v>
      </c>
      <c r="U150" s="7" t="s">
        <v>2610</v>
      </c>
    </row>
    <row r="151" spans="1:21" ht="16.5" thickBot="1">
      <c r="A151" s="41" t="s">
        <v>31</v>
      </c>
      <c r="B151" s="42">
        <f t="shared" si="6"/>
        <v>110</v>
      </c>
      <c r="C151" s="42" t="s">
        <v>3</v>
      </c>
      <c r="D151" s="42">
        <f t="shared" si="7"/>
        <v>260</v>
      </c>
      <c r="E151" s="42" t="s">
        <v>3</v>
      </c>
      <c r="F151" s="90">
        <f t="shared" si="8"/>
        <v>2550</v>
      </c>
      <c r="G151" s="42" t="s">
        <v>3</v>
      </c>
      <c r="H151" s="39">
        <v>2</v>
      </c>
      <c r="I151" s="40" t="s">
        <v>40</v>
      </c>
      <c r="J151" s="149">
        <v>110</v>
      </c>
      <c r="K151" s="66">
        <v>260</v>
      </c>
      <c r="L151" s="66">
        <v>2550</v>
      </c>
      <c r="M151" s="156">
        <v>22.755563584090787</v>
      </c>
      <c r="N151" s="78">
        <v>1401.3962898459661</v>
      </c>
      <c r="O151" s="113">
        <v>32786.711487152017</v>
      </c>
      <c r="P151" s="109">
        <v>41924.542470634799</v>
      </c>
      <c r="Q151" s="110">
        <v>30834.725528422357</v>
      </c>
      <c r="R151" s="258">
        <v>63621.437015574375</v>
      </c>
      <c r="S151" s="259">
        <v>72759.267999057163</v>
      </c>
      <c r="U151" s="7" t="s">
        <v>2611</v>
      </c>
    </row>
    <row r="152" spans="1:21" ht="16.5" thickBot="1">
      <c r="A152" s="38" t="s">
        <v>31</v>
      </c>
      <c r="B152" s="39">
        <f t="shared" si="6"/>
        <v>110</v>
      </c>
      <c r="C152" s="39" t="s">
        <v>3</v>
      </c>
      <c r="D152" s="39">
        <f t="shared" si="7"/>
        <v>260</v>
      </c>
      <c r="E152" s="39" t="s">
        <v>3</v>
      </c>
      <c r="F152" s="90">
        <f t="shared" si="8"/>
        <v>2600</v>
      </c>
      <c r="G152" s="39" t="s">
        <v>3</v>
      </c>
      <c r="H152" s="39">
        <v>2</v>
      </c>
      <c r="I152" s="40" t="s">
        <v>40</v>
      </c>
      <c r="J152" s="149">
        <v>110</v>
      </c>
      <c r="K152" s="66">
        <v>260</v>
      </c>
      <c r="L152" s="66">
        <v>2600</v>
      </c>
      <c r="M152" s="156">
        <v>23.164740756076057</v>
      </c>
      <c r="N152" s="78">
        <v>1433.2462055242834</v>
      </c>
      <c r="O152" s="113">
        <v>33279.791133325591</v>
      </c>
      <c r="P152" s="109">
        <v>42583.987185785249</v>
      </c>
      <c r="Q152" s="110">
        <v>31305.181095902317</v>
      </c>
      <c r="R152" s="258">
        <v>64584.972229227904</v>
      </c>
      <c r="S152" s="259">
        <v>73889.168281687569</v>
      </c>
      <c r="U152" s="7" t="s">
        <v>2612</v>
      </c>
    </row>
    <row r="153" spans="1:21" ht="16.5" thickBot="1">
      <c r="A153" s="41" t="s">
        <v>31</v>
      </c>
      <c r="B153" s="42">
        <f t="shared" si="6"/>
        <v>110</v>
      </c>
      <c r="C153" s="42" t="s">
        <v>3</v>
      </c>
      <c r="D153" s="42">
        <f t="shared" si="7"/>
        <v>260</v>
      </c>
      <c r="E153" s="42" t="s">
        <v>3</v>
      </c>
      <c r="F153" s="90">
        <f t="shared" si="8"/>
        <v>2650</v>
      </c>
      <c r="G153" s="42" t="s">
        <v>3</v>
      </c>
      <c r="H153" s="39">
        <v>2</v>
      </c>
      <c r="I153" s="40" t="s">
        <v>40</v>
      </c>
      <c r="J153" s="149">
        <v>110</v>
      </c>
      <c r="K153" s="66">
        <v>260</v>
      </c>
      <c r="L153" s="66">
        <v>2650</v>
      </c>
      <c r="M153" s="156">
        <v>23.590957928061318</v>
      </c>
      <c r="N153" s="78">
        <v>1465.0961212026007</v>
      </c>
      <c r="O153" s="113">
        <v>33772.870626470394</v>
      </c>
      <c r="P153" s="109">
        <v>43243.431900935699</v>
      </c>
      <c r="Q153" s="110">
        <v>32026.970801166051</v>
      </c>
      <c r="R153" s="258">
        <v>65799.841427636449</v>
      </c>
      <c r="S153" s="259">
        <v>75270.402702101754</v>
      </c>
      <c r="U153" s="7" t="s">
        <v>2613</v>
      </c>
    </row>
    <row r="154" spans="1:21" ht="16.5" thickBot="1">
      <c r="A154" s="41" t="s">
        <v>31</v>
      </c>
      <c r="B154" s="42">
        <f t="shared" si="6"/>
        <v>110</v>
      </c>
      <c r="C154" s="42" t="s">
        <v>3</v>
      </c>
      <c r="D154" s="42">
        <f t="shared" si="7"/>
        <v>260</v>
      </c>
      <c r="E154" s="42" t="s">
        <v>3</v>
      </c>
      <c r="F154" s="90">
        <f t="shared" si="8"/>
        <v>2700</v>
      </c>
      <c r="G154" s="42" t="s">
        <v>3</v>
      </c>
      <c r="H154" s="39">
        <v>2</v>
      </c>
      <c r="I154" s="40" t="s">
        <v>40</v>
      </c>
      <c r="J154" s="149">
        <v>110</v>
      </c>
      <c r="K154" s="66">
        <v>260</v>
      </c>
      <c r="L154" s="66">
        <v>2700</v>
      </c>
      <c r="M154" s="156">
        <v>24.039385100046584</v>
      </c>
      <c r="N154" s="78">
        <v>1496.9460368809182</v>
      </c>
      <c r="O154" s="113">
        <v>34315.950432274614</v>
      </c>
      <c r="P154" s="109">
        <v>43953.182221131989</v>
      </c>
      <c r="Q154" s="110">
        <v>32497.426368646011</v>
      </c>
      <c r="R154" s="258">
        <v>66813.376800920625</v>
      </c>
      <c r="S154" s="259">
        <v>76450.608589777999</v>
      </c>
      <c r="U154" s="7" t="s">
        <v>2614</v>
      </c>
    </row>
    <row r="155" spans="1:21" ht="16.5" thickBot="1">
      <c r="A155" s="41" t="s">
        <v>31</v>
      </c>
      <c r="B155" s="42">
        <f t="shared" si="6"/>
        <v>110</v>
      </c>
      <c r="C155" s="42" t="s">
        <v>3</v>
      </c>
      <c r="D155" s="42">
        <f t="shared" si="7"/>
        <v>260</v>
      </c>
      <c r="E155" s="42" t="s">
        <v>3</v>
      </c>
      <c r="F155" s="90">
        <f t="shared" si="8"/>
        <v>2750</v>
      </c>
      <c r="G155" s="42" t="s">
        <v>3</v>
      </c>
      <c r="H155" s="39">
        <v>2</v>
      </c>
      <c r="I155" s="40" t="s">
        <v>40</v>
      </c>
      <c r="J155" s="149">
        <v>110</v>
      </c>
      <c r="K155" s="66">
        <v>260</v>
      </c>
      <c r="L155" s="66">
        <v>2750</v>
      </c>
      <c r="M155" s="156">
        <v>24.448562272031843</v>
      </c>
      <c r="N155" s="78">
        <v>1528.7959525592357</v>
      </c>
      <c r="O155" s="113">
        <v>34809.029925419418</v>
      </c>
      <c r="P155" s="109">
        <v>44612.626936282439</v>
      </c>
      <c r="Q155" s="110">
        <v>32967.881936125974</v>
      </c>
      <c r="R155" s="258">
        <v>67776.911861545392</v>
      </c>
      <c r="S155" s="259">
        <v>77580.50887240842</v>
      </c>
      <c r="U155" s="7" t="s">
        <v>2615</v>
      </c>
    </row>
    <row r="156" spans="1:21" ht="16.5" thickBot="1">
      <c r="A156" s="41" t="s">
        <v>31</v>
      </c>
      <c r="B156" s="42">
        <f t="shared" si="6"/>
        <v>110</v>
      </c>
      <c r="C156" s="42" t="s">
        <v>3</v>
      </c>
      <c r="D156" s="42">
        <f t="shared" si="7"/>
        <v>260</v>
      </c>
      <c r="E156" s="42" t="s">
        <v>3</v>
      </c>
      <c r="F156" s="90">
        <f t="shared" si="8"/>
        <v>2800</v>
      </c>
      <c r="G156" s="42" t="s">
        <v>3</v>
      </c>
      <c r="H156" s="39">
        <v>2</v>
      </c>
      <c r="I156" s="40" t="s">
        <v>40</v>
      </c>
      <c r="J156" s="149">
        <v>110</v>
      </c>
      <c r="K156" s="66">
        <v>260</v>
      </c>
      <c r="L156" s="66">
        <v>2800</v>
      </c>
      <c r="M156" s="156">
        <v>24.874779444017108</v>
      </c>
      <c r="N156" s="78">
        <v>1560.6458682375528</v>
      </c>
      <c r="O156" s="113">
        <v>35302.109418564229</v>
      </c>
      <c r="P156" s="109">
        <v>45272.071651432889</v>
      </c>
      <c r="Q156" s="110">
        <v>33689.671488360938</v>
      </c>
      <c r="R156" s="258">
        <v>68991.780906925167</v>
      </c>
      <c r="S156" s="259">
        <v>78961.743139793834</v>
      </c>
      <c r="U156" s="7" t="s">
        <v>2616</v>
      </c>
    </row>
    <row r="157" spans="1:21" ht="16.5" thickBot="1">
      <c r="A157" s="41" t="s">
        <v>31</v>
      </c>
      <c r="B157" s="42">
        <f t="shared" si="6"/>
        <v>110</v>
      </c>
      <c r="C157" s="42" t="s">
        <v>3</v>
      </c>
      <c r="D157" s="42">
        <f t="shared" si="7"/>
        <v>260</v>
      </c>
      <c r="E157" s="42" t="s">
        <v>3</v>
      </c>
      <c r="F157" s="90">
        <f t="shared" si="8"/>
        <v>2850</v>
      </c>
      <c r="G157" s="42" t="s">
        <v>3</v>
      </c>
      <c r="H157" s="39">
        <v>2</v>
      </c>
      <c r="I157" s="40" t="s">
        <v>40</v>
      </c>
      <c r="J157" s="149">
        <v>110</v>
      </c>
      <c r="K157" s="66">
        <v>260</v>
      </c>
      <c r="L157" s="66">
        <v>2850</v>
      </c>
      <c r="M157" s="156">
        <v>25.283956616002371</v>
      </c>
      <c r="N157" s="78">
        <v>1592.4957839158703</v>
      </c>
      <c r="O157" s="113">
        <v>35795.189064737795</v>
      </c>
      <c r="P157" s="109">
        <v>45931.516519612102</v>
      </c>
      <c r="Q157" s="110">
        <v>34160.127055840901</v>
      </c>
      <c r="R157" s="258">
        <v>69955.316120578704</v>
      </c>
      <c r="S157" s="259">
        <v>80091.643575452996</v>
      </c>
      <c r="U157" s="7" t="s">
        <v>2617</v>
      </c>
    </row>
    <row r="158" spans="1:21" ht="16.5" thickBot="1">
      <c r="A158" s="41" t="s">
        <v>31</v>
      </c>
      <c r="B158" s="42">
        <f t="shared" si="6"/>
        <v>110</v>
      </c>
      <c r="C158" s="42" t="s">
        <v>3</v>
      </c>
      <c r="D158" s="42">
        <f t="shared" si="7"/>
        <v>260</v>
      </c>
      <c r="E158" s="42" t="s">
        <v>3</v>
      </c>
      <c r="F158" s="90">
        <f t="shared" si="8"/>
        <v>2900</v>
      </c>
      <c r="G158" s="42" t="s">
        <v>3</v>
      </c>
      <c r="H158" s="39">
        <v>2</v>
      </c>
      <c r="I158" s="40" t="s">
        <v>40</v>
      </c>
      <c r="J158" s="149">
        <v>110</v>
      </c>
      <c r="K158" s="66">
        <v>260</v>
      </c>
      <c r="L158" s="66">
        <v>2900</v>
      </c>
      <c r="M158" s="156">
        <v>25.710173787987628</v>
      </c>
      <c r="N158" s="78">
        <v>1624.3456995941879</v>
      </c>
      <c r="O158" s="113">
        <v>36288.268557882613</v>
      </c>
      <c r="P158" s="109">
        <v>46590.961234762559</v>
      </c>
      <c r="Q158" s="110">
        <v>34881.916761104636</v>
      </c>
      <c r="R158" s="258">
        <v>71170.185318987249</v>
      </c>
      <c r="S158" s="259">
        <v>81472.877995867195</v>
      </c>
      <c r="U158" s="7" t="s">
        <v>2618</v>
      </c>
    </row>
    <row r="159" spans="1:21" ht="16.5" thickBot="1">
      <c r="A159" s="41" t="s">
        <v>31</v>
      </c>
      <c r="B159" s="42">
        <f t="shared" si="6"/>
        <v>110</v>
      </c>
      <c r="C159" s="42" t="s">
        <v>3</v>
      </c>
      <c r="D159" s="42">
        <f t="shared" si="7"/>
        <v>260</v>
      </c>
      <c r="E159" s="42" t="s">
        <v>3</v>
      </c>
      <c r="F159" s="90">
        <f t="shared" si="8"/>
        <v>2950</v>
      </c>
      <c r="G159" s="42" t="s">
        <v>3</v>
      </c>
      <c r="H159" s="39">
        <v>2</v>
      </c>
      <c r="I159" s="40" t="s">
        <v>40</v>
      </c>
      <c r="J159" s="149">
        <v>110</v>
      </c>
      <c r="K159" s="66">
        <v>260</v>
      </c>
      <c r="L159" s="66">
        <v>2950</v>
      </c>
      <c r="M159" s="156">
        <v>26.119350959972895</v>
      </c>
      <c r="N159" s="78">
        <v>1656.1956152725054</v>
      </c>
      <c r="O159" s="113">
        <v>36781.348051027417</v>
      </c>
      <c r="P159" s="109">
        <v>47250.405949913009</v>
      </c>
      <c r="Q159" s="110">
        <v>35352.372328584599</v>
      </c>
      <c r="R159" s="258">
        <v>72133.720379612016</v>
      </c>
      <c r="S159" s="259">
        <v>82602.778278497601</v>
      </c>
      <c r="U159" s="7" t="s">
        <v>2619</v>
      </c>
    </row>
    <row r="160" spans="1:21" ht="16.5" thickBot="1">
      <c r="A160" s="43" t="s">
        <v>31</v>
      </c>
      <c r="B160" s="44">
        <f t="shared" si="6"/>
        <v>110</v>
      </c>
      <c r="C160" s="44" t="s">
        <v>3</v>
      </c>
      <c r="D160" s="44">
        <f t="shared" si="7"/>
        <v>260</v>
      </c>
      <c r="E160" s="44" t="s">
        <v>3</v>
      </c>
      <c r="F160" s="91">
        <f t="shared" si="8"/>
        <v>3000</v>
      </c>
      <c r="G160" s="44" t="s">
        <v>3</v>
      </c>
      <c r="H160" s="46">
        <v>2</v>
      </c>
      <c r="I160" s="45" t="s">
        <v>40</v>
      </c>
      <c r="J160" s="151">
        <v>110</v>
      </c>
      <c r="K160" s="126">
        <v>260</v>
      </c>
      <c r="L160" s="126">
        <v>3000</v>
      </c>
      <c r="M160" s="157">
        <v>26.545568131958156</v>
      </c>
      <c r="N160" s="127">
        <v>1688.0455309508227</v>
      </c>
      <c r="O160" s="128">
        <v>38555.349160586724</v>
      </c>
      <c r="P160" s="154">
        <v>47909.850818092222</v>
      </c>
      <c r="Q160" s="136">
        <v>36074.162033848326</v>
      </c>
      <c r="R160" s="260">
        <v>74629.51119443505</v>
      </c>
      <c r="S160" s="261">
        <v>83984.012851940555</v>
      </c>
      <c r="U160" s="7" t="s">
        <v>2620</v>
      </c>
    </row>
    <row r="161" spans="1:21" ht="22.5" customHeight="1" thickBot="1">
      <c r="A161" s="2968" t="s">
        <v>474</v>
      </c>
      <c r="B161" s="2969"/>
      <c r="C161" s="2969"/>
      <c r="D161" s="2969"/>
      <c r="E161" s="2969"/>
      <c r="F161" s="2969"/>
      <c r="G161" s="2969"/>
      <c r="H161" s="2969"/>
      <c r="I161" s="2969"/>
      <c r="J161" s="2969"/>
      <c r="K161" s="2969"/>
      <c r="L161" s="2969"/>
      <c r="M161" s="2969"/>
      <c r="N161" s="2969"/>
      <c r="O161" s="2969"/>
      <c r="P161" s="2969"/>
      <c r="Q161" s="2969"/>
      <c r="R161" s="2969"/>
      <c r="S161" s="2970"/>
      <c r="U161" s="7"/>
    </row>
    <row r="162" spans="1:21" ht="16.5" thickBot="1">
      <c r="A162" s="2974" t="s">
        <v>112</v>
      </c>
      <c r="B162" s="2975"/>
      <c r="C162" s="2975"/>
      <c r="D162" s="2975"/>
      <c r="E162" s="2975"/>
      <c r="F162" s="2975"/>
      <c r="G162" s="2975"/>
      <c r="H162" s="2975"/>
      <c r="I162" s="2975"/>
      <c r="J162" s="2975"/>
      <c r="K162" s="2975"/>
      <c r="L162" s="2975"/>
      <c r="M162" s="2975"/>
      <c r="N162" s="2975"/>
      <c r="O162" s="2975"/>
      <c r="P162" s="2975"/>
      <c r="Q162" s="2975"/>
      <c r="R162" s="2975"/>
      <c r="S162" s="2976"/>
      <c r="U162" s="7"/>
    </row>
    <row r="163" spans="1:21" ht="16.5" thickBot="1">
      <c r="A163" s="38" t="s">
        <v>31</v>
      </c>
      <c r="B163" s="39">
        <f>J163</f>
        <v>110</v>
      </c>
      <c r="C163" s="39" t="s">
        <v>3</v>
      </c>
      <c r="D163" s="39">
        <f>K163</f>
        <v>300</v>
      </c>
      <c r="E163" s="39" t="s">
        <v>3</v>
      </c>
      <c r="F163" s="90">
        <f>L163</f>
        <v>600</v>
      </c>
      <c r="G163" s="39" t="s">
        <v>3</v>
      </c>
      <c r="H163" s="39">
        <v>2</v>
      </c>
      <c r="I163" s="40" t="s">
        <v>40</v>
      </c>
      <c r="J163" s="146">
        <v>110</v>
      </c>
      <c r="K163" s="122">
        <v>300</v>
      </c>
      <c r="L163" s="122">
        <v>600</v>
      </c>
      <c r="M163" s="155">
        <v>6.6007856618550012</v>
      </c>
      <c r="N163" s="123">
        <v>170.57802169237814</v>
      </c>
      <c r="O163" s="124">
        <v>12440.472848721818</v>
      </c>
      <c r="P163" s="148">
        <v>15323.506932441565</v>
      </c>
      <c r="Q163" s="139">
        <v>8941.6715199935952</v>
      </c>
      <c r="R163" s="256">
        <v>21382.144368715413</v>
      </c>
      <c r="S163" s="257">
        <v>24265.178452435161</v>
      </c>
      <c r="U163" s="7" t="s">
        <v>2621</v>
      </c>
    </row>
    <row r="164" spans="1:21" ht="16.5" thickBot="1">
      <c r="A164" s="41" t="s">
        <v>31</v>
      </c>
      <c r="B164" s="42">
        <f t="shared" ref="B164:B211" si="9">J164</f>
        <v>110</v>
      </c>
      <c r="C164" s="42" t="s">
        <v>3</v>
      </c>
      <c r="D164" s="42">
        <f t="shared" ref="D164:D211" si="10">K164</f>
        <v>300</v>
      </c>
      <c r="E164" s="42" t="s">
        <v>3</v>
      </c>
      <c r="F164" s="90">
        <f t="shared" ref="F164:F211" si="11">L164</f>
        <v>650</v>
      </c>
      <c r="G164" s="42" t="s">
        <v>3</v>
      </c>
      <c r="H164" s="39">
        <v>2</v>
      </c>
      <c r="I164" s="40" t="s">
        <v>40</v>
      </c>
      <c r="J164" s="149">
        <v>110</v>
      </c>
      <c r="K164" s="66">
        <v>300</v>
      </c>
      <c r="L164" s="66">
        <v>650</v>
      </c>
      <c r="M164" s="156">
        <v>7.0418165417350007</v>
      </c>
      <c r="N164" s="78">
        <v>204.69362603085372</v>
      </c>
      <c r="O164" s="113">
        <v>12953.985507729938</v>
      </c>
      <c r="P164" s="111">
        <v>16018.73926066168</v>
      </c>
      <c r="Q164" s="110">
        <v>9465.3131529653438</v>
      </c>
      <c r="R164" s="258">
        <v>22419.298660695284</v>
      </c>
      <c r="S164" s="259">
        <v>25484.052413627025</v>
      </c>
      <c r="U164" s="7" t="s">
        <v>2622</v>
      </c>
    </row>
    <row r="165" spans="1:21" ht="16.5" thickBot="1">
      <c r="A165" s="41" t="s">
        <v>31</v>
      </c>
      <c r="B165" s="42">
        <f t="shared" si="9"/>
        <v>110</v>
      </c>
      <c r="C165" s="42" t="s">
        <v>3</v>
      </c>
      <c r="D165" s="42">
        <f t="shared" si="10"/>
        <v>300</v>
      </c>
      <c r="E165" s="42" t="s">
        <v>3</v>
      </c>
      <c r="F165" s="90">
        <f t="shared" si="11"/>
        <v>700</v>
      </c>
      <c r="G165" s="42" t="s">
        <v>3</v>
      </c>
      <c r="H165" s="39">
        <v>2</v>
      </c>
      <c r="I165" s="40" t="s">
        <v>40</v>
      </c>
      <c r="J165" s="149">
        <v>110</v>
      </c>
      <c r="K165" s="66">
        <v>300</v>
      </c>
      <c r="L165" s="66">
        <v>700</v>
      </c>
      <c r="M165" s="156">
        <v>7.499887421615</v>
      </c>
      <c r="N165" s="78">
        <v>238.80923036932938</v>
      </c>
      <c r="O165" s="113">
        <v>13467.498166738062</v>
      </c>
      <c r="P165" s="111">
        <v>16713.971435853025</v>
      </c>
      <c r="Q165" s="110">
        <v>10240.289076749623</v>
      </c>
      <c r="R165" s="258">
        <v>23707.787243487684</v>
      </c>
      <c r="S165" s="259">
        <v>26954.260512602646</v>
      </c>
      <c r="U165" s="7" t="s">
        <v>2623</v>
      </c>
    </row>
    <row r="166" spans="1:21" ht="16.5" thickBot="1">
      <c r="A166" s="41" t="s">
        <v>31</v>
      </c>
      <c r="B166" s="42">
        <f t="shared" si="9"/>
        <v>110</v>
      </c>
      <c r="C166" s="42" t="s">
        <v>3</v>
      </c>
      <c r="D166" s="42">
        <f t="shared" si="10"/>
        <v>300</v>
      </c>
      <c r="E166" s="42" t="s">
        <v>3</v>
      </c>
      <c r="F166" s="90">
        <f t="shared" si="11"/>
        <v>750</v>
      </c>
      <c r="G166" s="42" t="s">
        <v>3</v>
      </c>
      <c r="H166" s="39">
        <v>2</v>
      </c>
      <c r="I166" s="40" t="s">
        <v>40</v>
      </c>
      <c r="J166" s="149">
        <v>110</v>
      </c>
      <c r="K166" s="66">
        <v>300</v>
      </c>
      <c r="L166" s="66">
        <v>750</v>
      </c>
      <c r="M166" s="156">
        <v>7.9409183014949996</v>
      </c>
      <c r="N166" s="78">
        <v>272.92483470780502</v>
      </c>
      <c r="O166" s="113">
        <v>13981.010825746183</v>
      </c>
      <c r="P166" s="111">
        <v>17409.20376407314</v>
      </c>
      <c r="Q166" s="110">
        <v>10763.930709721371</v>
      </c>
      <c r="R166" s="258">
        <v>24744.941535467555</v>
      </c>
      <c r="S166" s="259">
        <v>28173.134473794511</v>
      </c>
      <c r="U166" s="7" t="s">
        <v>2624</v>
      </c>
    </row>
    <row r="167" spans="1:21" ht="16.5" thickBot="1">
      <c r="A167" s="41" t="s">
        <v>31</v>
      </c>
      <c r="B167" s="42">
        <f t="shared" si="9"/>
        <v>110</v>
      </c>
      <c r="C167" s="42" t="s">
        <v>3</v>
      </c>
      <c r="D167" s="42">
        <f t="shared" si="10"/>
        <v>300</v>
      </c>
      <c r="E167" s="42" t="s">
        <v>3</v>
      </c>
      <c r="F167" s="90">
        <f t="shared" si="11"/>
        <v>800</v>
      </c>
      <c r="G167" s="42" t="s">
        <v>3</v>
      </c>
      <c r="H167" s="39">
        <v>2</v>
      </c>
      <c r="I167" s="40" t="s">
        <v>40</v>
      </c>
      <c r="J167" s="149">
        <v>110</v>
      </c>
      <c r="K167" s="66">
        <v>300</v>
      </c>
      <c r="L167" s="66">
        <v>800</v>
      </c>
      <c r="M167" s="156">
        <v>8.3819491813749991</v>
      </c>
      <c r="N167" s="78">
        <v>307.04043904628065</v>
      </c>
      <c r="O167" s="113">
        <v>14494.523484754307</v>
      </c>
      <c r="P167" s="111">
        <v>18104.436092293254</v>
      </c>
      <c r="Q167" s="110">
        <v>11287.572342693116</v>
      </c>
      <c r="R167" s="258">
        <v>25782.095827447425</v>
      </c>
      <c r="S167" s="259">
        <v>29392.008434986368</v>
      </c>
      <c r="U167" s="7" t="s">
        <v>2625</v>
      </c>
    </row>
    <row r="168" spans="1:21" ht="16.5" thickBot="1">
      <c r="A168" s="41" t="s">
        <v>31</v>
      </c>
      <c r="B168" s="42">
        <f t="shared" si="9"/>
        <v>110</v>
      </c>
      <c r="C168" s="42" t="s">
        <v>3</v>
      </c>
      <c r="D168" s="42">
        <f t="shared" si="10"/>
        <v>300</v>
      </c>
      <c r="E168" s="42" t="s">
        <v>3</v>
      </c>
      <c r="F168" s="90">
        <f t="shared" si="11"/>
        <v>850</v>
      </c>
      <c r="G168" s="42" t="s">
        <v>3</v>
      </c>
      <c r="H168" s="39">
        <v>2</v>
      </c>
      <c r="I168" s="40" t="s">
        <v>40</v>
      </c>
      <c r="J168" s="149">
        <v>110</v>
      </c>
      <c r="K168" s="66">
        <v>300</v>
      </c>
      <c r="L168" s="66">
        <v>850</v>
      </c>
      <c r="M168" s="156">
        <v>8.8400200612550002</v>
      </c>
      <c r="N168" s="78">
        <v>341.15604338475629</v>
      </c>
      <c r="O168" s="113">
        <v>15008.036143762429</v>
      </c>
      <c r="P168" s="111">
        <v>18799.668267484605</v>
      </c>
      <c r="Q168" s="110">
        <v>12062.548266477399</v>
      </c>
      <c r="R168" s="258">
        <v>27070.584410239826</v>
      </c>
      <c r="S168" s="259">
        <v>30862.216533962004</v>
      </c>
      <c r="U168" s="7" t="s">
        <v>2626</v>
      </c>
    </row>
    <row r="169" spans="1:21" ht="16.5" thickBot="1">
      <c r="A169" s="41" t="s">
        <v>31</v>
      </c>
      <c r="B169" s="42">
        <f t="shared" si="9"/>
        <v>110</v>
      </c>
      <c r="C169" s="42" t="s">
        <v>3</v>
      </c>
      <c r="D169" s="42">
        <f t="shared" si="10"/>
        <v>300</v>
      </c>
      <c r="E169" s="42" t="s">
        <v>3</v>
      </c>
      <c r="F169" s="90">
        <f t="shared" si="11"/>
        <v>900</v>
      </c>
      <c r="G169" s="42" t="s">
        <v>3</v>
      </c>
      <c r="H169" s="39">
        <v>2</v>
      </c>
      <c r="I169" s="40" t="s">
        <v>40</v>
      </c>
      <c r="J169" s="149">
        <v>110</v>
      </c>
      <c r="K169" s="66">
        <v>300</v>
      </c>
      <c r="L169" s="66">
        <v>900</v>
      </c>
      <c r="M169" s="156">
        <v>9.2810509411349997</v>
      </c>
      <c r="N169" s="78">
        <v>375.27164772323187</v>
      </c>
      <c r="O169" s="113">
        <v>15521.548802770552</v>
      </c>
      <c r="P169" s="111">
        <v>19494.900595704719</v>
      </c>
      <c r="Q169" s="110">
        <v>12586.189899449146</v>
      </c>
      <c r="R169" s="258">
        <v>28107.7387022197</v>
      </c>
      <c r="S169" s="259">
        <v>32081.090495153865</v>
      </c>
      <c r="U169" s="7" t="s">
        <v>2627</v>
      </c>
    </row>
    <row r="170" spans="1:21" ht="16.5" thickBot="1">
      <c r="A170" s="41" t="s">
        <v>31</v>
      </c>
      <c r="B170" s="42">
        <f t="shared" si="9"/>
        <v>110</v>
      </c>
      <c r="C170" s="42" t="s">
        <v>3</v>
      </c>
      <c r="D170" s="42">
        <f t="shared" si="10"/>
        <v>300</v>
      </c>
      <c r="E170" s="42" t="s">
        <v>3</v>
      </c>
      <c r="F170" s="90">
        <f t="shared" si="11"/>
        <v>950</v>
      </c>
      <c r="G170" s="42" t="s">
        <v>3</v>
      </c>
      <c r="H170" s="39">
        <v>2</v>
      </c>
      <c r="I170" s="40" t="s">
        <v>40</v>
      </c>
      <c r="J170" s="149">
        <v>110</v>
      </c>
      <c r="K170" s="66">
        <v>300</v>
      </c>
      <c r="L170" s="66">
        <v>950</v>
      </c>
      <c r="M170" s="156">
        <v>9.7391218210150008</v>
      </c>
      <c r="N170" s="78">
        <v>409.38725206170744</v>
      </c>
      <c r="O170" s="113">
        <v>16035.061461778676</v>
      </c>
      <c r="P170" s="111">
        <v>20190.132923924833</v>
      </c>
      <c r="Q170" s="110">
        <v>13361.165670204662</v>
      </c>
      <c r="R170" s="258">
        <v>29396.227131983338</v>
      </c>
      <c r="S170" s="259">
        <v>33551.298594129497</v>
      </c>
      <c r="U170" s="7" t="s">
        <v>2628</v>
      </c>
    </row>
    <row r="171" spans="1:21" ht="16.5" thickBot="1">
      <c r="A171" s="41" t="s">
        <v>31</v>
      </c>
      <c r="B171" s="42">
        <f t="shared" si="9"/>
        <v>110</v>
      </c>
      <c r="C171" s="42" t="s">
        <v>3</v>
      </c>
      <c r="D171" s="42">
        <f t="shared" si="10"/>
        <v>300</v>
      </c>
      <c r="E171" s="42" t="s">
        <v>3</v>
      </c>
      <c r="F171" s="90">
        <f t="shared" si="11"/>
        <v>1000</v>
      </c>
      <c r="G171" s="42" t="s">
        <v>3</v>
      </c>
      <c r="H171" s="39">
        <v>2</v>
      </c>
      <c r="I171" s="40" t="s">
        <v>40</v>
      </c>
      <c r="J171" s="149">
        <v>110</v>
      </c>
      <c r="K171" s="66">
        <v>300</v>
      </c>
      <c r="L171" s="66">
        <v>1000</v>
      </c>
      <c r="M171" s="156">
        <v>10.180152700895</v>
      </c>
      <c r="N171" s="78">
        <v>443.50285640018319</v>
      </c>
      <c r="O171" s="113">
        <v>16548.574120786798</v>
      </c>
      <c r="P171" s="111">
        <v>20885.365252144944</v>
      </c>
      <c r="Q171" s="110">
        <v>13884.807456205173</v>
      </c>
      <c r="R171" s="258">
        <v>30433.381576991971</v>
      </c>
      <c r="S171" s="259">
        <v>34770.172708350117</v>
      </c>
      <c r="U171" s="7" t="s">
        <v>2629</v>
      </c>
    </row>
    <row r="172" spans="1:21" ht="16.5" thickBot="1">
      <c r="A172" s="41" t="s">
        <v>31</v>
      </c>
      <c r="B172" s="42">
        <f t="shared" si="9"/>
        <v>110</v>
      </c>
      <c r="C172" s="42" t="s">
        <v>3</v>
      </c>
      <c r="D172" s="42">
        <f t="shared" si="10"/>
        <v>300</v>
      </c>
      <c r="E172" s="42" t="s">
        <v>3</v>
      </c>
      <c r="F172" s="90">
        <f t="shared" si="11"/>
        <v>1050</v>
      </c>
      <c r="G172" s="42" t="s">
        <v>3</v>
      </c>
      <c r="H172" s="39">
        <v>2</v>
      </c>
      <c r="I172" s="40" t="s">
        <v>40</v>
      </c>
      <c r="J172" s="149">
        <v>110</v>
      </c>
      <c r="K172" s="66">
        <v>300</v>
      </c>
      <c r="L172" s="66">
        <v>1050</v>
      </c>
      <c r="M172" s="156">
        <v>10.638223580775</v>
      </c>
      <c r="N172" s="78">
        <v>477.61846073865877</v>
      </c>
      <c r="O172" s="113">
        <v>17062.086779794921</v>
      </c>
      <c r="P172" s="111">
        <v>21580.597427336292</v>
      </c>
      <c r="Q172" s="110">
        <v>14659.78322696069</v>
      </c>
      <c r="R172" s="258">
        <v>31721.870006755613</v>
      </c>
      <c r="S172" s="259">
        <v>36240.380654296983</v>
      </c>
      <c r="U172" s="7" t="s">
        <v>2630</v>
      </c>
    </row>
    <row r="173" spans="1:21" ht="16.5" thickBot="1">
      <c r="A173" s="38" t="s">
        <v>31</v>
      </c>
      <c r="B173" s="39">
        <f t="shared" si="9"/>
        <v>110</v>
      </c>
      <c r="C173" s="39" t="s">
        <v>3</v>
      </c>
      <c r="D173" s="39">
        <f t="shared" si="10"/>
        <v>300</v>
      </c>
      <c r="E173" s="39" t="s">
        <v>3</v>
      </c>
      <c r="F173" s="90">
        <f t="shared" si="11"/>
        <v>1100</v>
      </c>
      <c r="G173" s="39" t="s">
        <v>3</v>
      </c>
      <c r="H173" s="39">
        <v>2</v>
      </c>
      <c r="I173" s="40" t="s">
        <v>40</v>
      </c>
      <c r="J173" s="149">
        <v>110</v>
      </c>
      <c r="K173" s="66">
        <v>300</v>
      </c>
      <c r="L173" s="66">
        <v>1100</v>
      </c>
      <c r="M173" s="156">
        <v>11.079254460655001</v>
      </c>
      <c r="N173" s="78">
        <v>511.7340650771344</v>
      </c>
      <c r="O173" s="113">
        <v>17575.599438803045</v>
      </c>
      <c r="P173" s="111">
        <v>22275.829755556406</v>
      </c>
      <c r="Q173" s="110">
        <v>15183.425012961201</v>
      </c>
      <c r="R173" s="258">
        <v>32759.024451764246</v>
      </c>
      <c r="S173" s="259">
        <v>37459.254768517611</v>
      </c>
      <c r="U173" s="7" t="s">
        <v>2631</v>
      </c>
    </row>
    <row r="174" spans="1:21" ht="16.5" thickBot="1">
      <c r="A174" s="41" t="s">
        <v>31</v>
      </c>
      <c r="B174" s="42">
        <f t="shared" si="9"/>
        <v>110</v>
      </c>
      <c r="C174" s="42" t="s">
        <v>3</v>
      </c>
      <c r="D174" s="42">
        <f t="shared" si="10"/>
        <v>300</v>
      </c>
      <c r="E174" s="42" t="s">
        <v>3</v>
      </c>
      <c r="F174" s="90">
        <f t="shared" si="11"/>
        <v>1150</v>
      </c>
      <c r="G174" s="42" t="s">
        <v>3</v>
      </c>
      <c r="H174" s="39">
        <v>2</v>
      </c>
      <c r="I174" s="40" t="s">
        <v>40</v>
      </c>
      <c r="J174" s="149">
        <v>110</v>
      </c>
      <c r="K174" s="66">
        <v>300</v>
      </c>
      <c r="L174" s="66">
        <v>1150</v>
      </c>
      <c r="M174" s="156">
        <v>11.520285340535001</v>
      </c>
      <c r="N174" s="78">
        <v>545.84966941561004</v>
      </c>
      <c r="O174" s="113">
        <v>18089.112097811012</v>
      </c>
      <c r="P174" s="111">
        <v>22971.06208377652</v>
      </c>
      <c r="Q174" s="110">
        <v>15707.066645932946</v>
      </c>
      <c r="R174" s="258">
        <v>33796.178743743956</v>
      </c>
      <c r="S174" s="259">
        <v>38678.128729709468</v>
      </c>
      <c r="U174" s="7" t="s">
        <v>2632</v>
      </c>
    </row>
    <row r="175" spans="1:21" ht="16.5" thickBot="1">
      <c r="A175" s="41" t="s">
        <v>31</v>
      </c>
      <c r="B175" s="42">
        <f t="shared" si="9"/>
        <v>110</v>
      </c>
      <c r="C175" s="42" t="s">
        <v>3</v>
      </c>
      <c r="D175" s="42">
        <f t="shared" si="10"/>
        <v>300</v>
      </c>
      <c r="E175" s="42" t="s">
        <v>3</v>
      </c>
      <c r="F175" s="90">
        <f t="shared" si="11"/>
        <v>1200</v>
      </c>
      <c r="G175" s="42" t="s">
        <v>3</v>
      </c>
      <c r="H175" s="39">
        <v>2</v>
      </c>
      <c r="I175" s="40" t="s">
        <v>40</v>
      </c>
      <c r="J175" s="149">
        <v>110</v>
      </c>
      <c r="K175" s="66">
        <v>300</v>
      </c>
      <c r="L175" s="66">
        <v>1200</v>
      </c>
      <c r="M175" s="156">
        <v>12.017606220415001</v>
      </c>
      <c r="N175" s="78">
        <v>579.96527375408562</v>
      </c>
      <c r="O175" s="113">
        <v>18652.624916449939</v>
      </c>
      <c r="P175" s="111">
        <v>23716.599864013704</v>
      </c>
      <c r="Q175" s="110">
        <v>16482.042416688462</v>
      </c>
      <c r="R175" s="258">
        <v>35134.667333138401</v>
      </c>
      <c r="S175" s="259">
        <v>40198.642280702166</v>
      </c>
      <c r="U175" s="7" t="s">
        <v>2633</v>
      </c>
    </row>
    <row r="176" spans="1:21" ht="16.5" thickBot="1">
      <c r="A176" s="41" t="s">
        <v>31</v>
      </c>
      <c r="B176" s="42">
        <f t="shared" si="9"/>
        <v>110</v>
      </c>
      <c r="C176" s="42" t="s">
        <v>3</v>
      </c>
      <c r="D176" s="42">
        <f t="shared" si="10"/>
        <v>300</v>
      </c>
      <c r="E176" s="42" t="s">
        <v>3</v>
      </c>
      <c r="F176" s="90">
        <f t="shared" si="11"/>
        <v>1250</v>
      </c>
      <c r="G176" s="42" t="s">
        <v>3</v>
      </c>
      <c r="H176" s="39">
        <v>2</v>
      </c>
      <c r="I176" s="40" t="s">
        <v>40</v>
      </c>
      <c r="J176" s="149">
        <v>110</v>
      </c>
      <c r="K176" s="66">
        <v>300</v>
      </c>
      <c r="L176" s="66">
        <v>1250</v>
      </c>
      <c r="M176" s="156">
        <v>12.458637100294998</v>
      </c>
      <c r="N176" s="78">
        <v>614.08087809256131</v>
      </c>
      <c r="O176" s="113">
        <v>19166.137575458062</v>
      </c>
      <c r="P176" s="111">
        <v>24411.832192233818</v>
      </c>
      <c r="Q176" s="110">
        <v>17005.684202688975</v>
      </c>
      <c r="R176" s="258">
        <v>36171.821778147038</v>
      </c>
      <c r="S176" s="259">
        <v>41417.516394922794</v>
      </c>
      <c r="U176" s="7" t="s">
        <v>2634</v>
      </c>
    </row>
    <row r="177" spans="1:21" ht="16.5" thickBot="1">
      <c r="A177" s="41" t="s">
        <v>31</v>
      </c>
      <c r="B177" s="42">
        <f t="shared" si="9"/>
        <v>110</v>
      </c>
      <c r="C177" s="42" t="s">
        <v>3</v>
      </c>
      <c r="D177" s="42">
        <f t="shared" si="10"/>
        <v>300</v>
      </c>
      <c r="E177" s="42" t="s">
        <v>3</v>
      </c>
      <c r="F177" s="90">
        <f t="shared" si="11"/>
        <v>1300</v>
      </c>
      <c r="G177" s="42" t="s">
        <v>3</v>
      </c>
      <c r="H177" s="39">
        <v>2</v>
      </c>
      <c r="I177" s="40" t="s">
        <v>40</v>
      </c>
      <c r="J177" s="149">
        <v>110</v>
      </c>
      <c r="K177" s="66">
        <v>300</v>
      </c>
      <c r="L177" s="66">
        <v>1300</v>
      </c>
      <c r="M177" s="156">
        <v>12.916707980175001</v>
      </c>
      <c r="N177" s="78">
        <v>648.196482431037</v>
      </c>
      <c r="O177" s="113">
        <v>19679.650234466182</v>
      </c>
      <c r="P177" s="111">
        <v>25107.064367425166</v>
      </c>
      <c r="Q177" s="110">
        <v>17780.65997344449</v>
      </c>
      <c r="R177" s="258">
        <v>37460.310207910676</v>
      </c>
      <c r="S177" s="259">
        <v>42887.724340869652</v>
      </c>
      <c r="U177" s="7" t="s">
        <v>2635</v>
      </c>
    </row>
    <row r="178" spans="1:21" ht="16.5" thickBot="1">
      <c r="A178" s="41" t="s">
        <v>31</v>
      </c>
      <c r="B178" s="42">
        <f t="shared" si="9"/>
        <v>110</v>
      </c>
      <c r="C178" s="42" t="s">
        <v>3</v>
      </c>
      <c r="D178" s="42">
        <f t="shared" si="10"/>
        <v>300</v>
      </c>
      <c r="E178" s="42" t="s">
        <v>3</v>
      </c>
      <c r="F178" s="90">
        <f t="shared" si="11"/>
        <v>1350</v>
      </c>
      <c r="G178" s="42" t="s">
        <v>3</v>
      </c>
      <c r="H178" s="39">
        <v>2</v>
      </c>
      <c r="I178" s="40" t="s">
        <v>40</v>
      </c>
      <c r="J178" s="149">
        <v>110</v>
      </c>
      <c r="K178" s="66">
        <v>300</v>
      </c>
      <c r="L178" s="66">
        <v>1350</v>
      </c>
      <c r="M178" s="156">
        <v>13.357738860055001</v>
      </c>
      <c r="N178" s="78">
        <v>682.31208676951258</v>
      </c>
      <c r="O178" s="113">
        <v>20193.162893474306</v>
      </c>
      <c r="P178" s="111">
        <v>25802.29669564528</v>
      </c>
      <c r="Q178" s="110">
        <v>18304.301606416237</v>
      </c>
      <c r="R178" s="258">
        <v>38497.464499890542</v>
      </c>
      <c r="S178" s="259">
        <v>44106.598302061517</v>
      </c>
      <c r="U178" s="7" t="s">
        <v>2636</v>
      </c>
    </row>
    <row r="179" spans="1:21" ht="16.5" thickBot="1">
      <c r="A179" s="41" t="s">
        <v>31</v>
      </c>
      <c r="B179" s="42">
        <f t="shared" si="9"/>
        <v>110</v>
      </c>
      <c r="C179" s="42" t="s">
        <v>3</v>
      </c>
      <c r="D179" s="42">
        <f t="shared" si="10"/>
        <v>300</v>
      </c>
      <c r="E179" s="42" t="s">
        <v>3</v>
      </c>
      <c r="F179" s="90">
        <f t="shared" si="11"/>
        <v>1400</v>
      </c>
      <c r="G179" s="42" t="s">
        <v>3</v>
      </c>
      <c r="H179" s="39">
        <v>2</v>
      </c>
      <c r="I179" s="40" t="s">
        <v>40</v>
      </c>
      <c r="J179" s="149">
        <v>110</v>
      </c>
      <c r="K179" s="66">
        <v>300</v>
      </c>
      <c r="L179" s="66">
        <v>1400</v>
      </c>
      <c r="M179" s="156">
        <v>13.815809739935002</v>
      </c>
      <c r="N179" s="78">
        <v>716.42769110798815</v>
      </c>
      <c r="O179" s="113">
        <v>20706.675552482429</v>
      </c>
      <c r="P179" s="111">
        <v>26497.529023865394</v>
      </c>
      <c r="Q179" s="110">
        <v>19079.277530200521</v>
      </c>
      <c r="R179" s="258">
        <v>39785.95308268295</v>
      </c>
      <c r="S179" s="259">
        <v>45576.806554065915</v>
      </c>
      <c r="U179" s="7" t="s">
        <v>2637</v>
      </c>
    </row>
    <row r="180" spans="1:21" ht="16.5" thickBot="1">
      <c r="A180" s="41" t="s">
        <v>31</v>
      </c>
      <c r="B180" s="42">
        <f t="shared" si="9"/>
        <v>110</v>
      </c>
      <c r="C180" s="42" t="s">
        <v>3</v>
      </c>
      <c r="D180" s="42">
        <f t="shared" si="10"/>
        <v>300</v>
      </c>
      <c r="E180" s="42" t="s">
        <v>3</v>
      </c>
      <c r="F180" s="90">
        <f t="shared" si="11"/>
        <v>1450</v>
      </c>
      <c r="G180" s="42" t="s">
        <v>3</v>
      </c>
      <c r="H180" s="39">
        <v>2</v>
      </c>
      <c r="I180" s="40" t="s">
        <v>40</v>
      </c>
      <c r="J180" s="149">
        <v>110</v>
      </c>
      <c r="K180" s="66">
        <v>300</v>
      </c>
      <c r="L180" s="66">
        <v>1450</v>
      </c>
      <c r="M180" s="156">
        <v>14.256840619815002</v>
      </c>
      <c r="N180" s="78">
        <v>750.54329544646373</v>
      </c>
      <c r="O180" s="113">
        <v>21220.188211490553</v>
      </c>
      <c r="P180" s="111">
        <v>27192.761199056742</v>
      </c>
      <c r="Q180" s="110">
        <v>19602.919163172111</v>
      </c>
      <c r="R180" s="258">
        <v>40823.107374662664</v>
      </c>
      <c r="S180" s="259">
        <v>46795.680362228857</v>
      </c>
      <c r="U180" s="7" t="s">
        <v>2638</v>
      </c>
    </row>
    <row r="181" spans="1:21" ht="16.5" thickBot="1">
      <c r="A181" s="41" t="s">
        <v>31</v>
      </c>
      <c r="B181" s="42">
        <f t="shared" si="9"/>
        <v>110</v>
      </c>
      <c r="C181" s="42" t="s">
        <v>3</v>
      </c>
      <c r="D181" s="42">
        <f t="shared" si="10"/>
        <v>300</v>
      </c>
      <c r="E181" s="42" t="s">
        <v>3</v>
      </c>
      <c r="F181" s="90">
        <f t="shared" si="11"/>
        <v>1500</v>
      </c>
      <c r="G181" s="42" t="s">
        <v>3</v>
      </c>
      <c r="H181" s="39">
        <v>2</v>
      </c>
      <c r="I181" s="40" t="s">
        <v>40</v>
      </c>
      <c r="J181" s="149">
        <v>110</v>
      </c>
      <c r="K181" s="66">
        <v>300</v>
      </c>
      <c r="L181" s="66">
        <v>1500</v>
      </c>
      <c r="M181" s="156">
        <v>14.882064656995</v>
      </c>
      <c r="N181" s="78">
        <v>784.65889978493942</v>
      </c>
      <c r="O181" s="113">
        <v>22501.34763460606</v>
      </c>
      <c r="P181" s="111">
        <v>28609.628520459046</v>
      </c>
      <c r="Q181" s="110">
        <v>20377.895086956549</v>
      </c>
      <c r="R181" s="258">
        <v>42879.242721562608</v>
      </c>
      <c r="S181" s="259">
        <v>48987.523607415598</v>
      </c>
      <c r="U181" s="7" t="s">
        <v>2639</v>
      </c>
    </row>
    <row r="182" spans="1:21" ht="16.5" thickBot="1">
      <c r="A182" s="41" t="s">
        <v>31</v>
      </c>
      <c r="B182" s="42">
        <f t="shared" si="9"/>
        <v>110</v>
      </c>
      <c r="C182" s="42" t="s">
        <v>3</v>
      </c>
      <c r="D182" s="42">
        <f t="shared" si="10"/>
        <v>300</v>
      </c>
      <c r="E182" s="42" t="s">
        <v>3</v>
      </c>
      <c r="F182" s="90">
        <f t="shared" si="11"/>
        <v>1550</v>
      </c>
      <c r="G182" s="42" t="s">
        <v>3</v>
      </c>
      <c r="H182" s="39">
        <v>2</v>
      </c>
      <c r="I182" s="40" t="s">
        <v>40</v>
      </c>
      <c r="J182" s="149">
        <v>110</v>
      </c>
      <c r="K182" s="66">
        <v>300</v>
      </c>
      <c r="L182" s="66">
        <v>1550</v>
      </c>
      <c r="M182" s="156">
        <v>15.323095536875002</v>
      </c>
      <c r="N182" s="78">
        <v>818.77450412341489</v>
      </c>
      <c r="O182" s="113">
        <v>23014.86029361418</v>
      </c>
      <c r="P182" s="111">
        <v>29304.86084867916</v>
      </c>
      <c r="Q182" s="110">
        <v>20901.536719928292</v>
      </c>
      <c r="R182" s="258">
        <v>43916.397013542475</v>
      </c>
      <c r="S182" s="259">
        <v>50206.397568607455</v>
      </c>
      <c r="U182" s="7" t="s">
        <v>2640</v>
      </c>
    </row>
    <row r="183" spans="1:21" ht="16.5" thickBot="1">
      <c r="A183" s="38" t="s">
        <v>31</v>
      </c>
      <c r="B183" s="39">
        <f t="shared" si="9"/>
        <v>110</v>
      </c>
      <c r="C183" s="39" t="s">
        <v>3</v>
      </c>
      <c r="D183" s="39">
        <f t="shared" si="10"/>
        <v>300</v>
      </c>
      <c r="E183" s="39" t="s">
        <v>3</v>
      </c>
      <c r="F183" s="90">
        <f t="shared" si="11"/>
        <v>1600</v>
      </c>
      <c r="G183" s="39" t="s">
        <v>3</v>
      </c>
      <c r="H183" s="39">
        <v>2</v>
      </c>
      <c r="I183" s="40" t="s">
        <v>40</v>
      </c>
      <c r="J183" s="149">
        <v>110</v>
      </c>
      <c r="K183" s="66">
        <v>300</v>
      </c>
      <c r="L183" s="66">
        <v>1600</v>
      </c>
      <c r="M183" s="156">
        <v>15.764126416754999</v>
      </c>
      <c r="N183" s="78">
        <v>852.89010846189069</v>
      </c>
      <c r="O183" s="113">
        <v>23528.37310565107</v>
      </c>
      <c r="P183" s="111">
        <v>30000.093176899274</v>
      </c>
      <c r="Q183" s="110">
        <v>21425.178352900039</v>
      </c>
      <c r="R183" s="258">
        <v>44953.551458551112</v>
      </c>
      <c r="S183" s="259">
        <v>51425.271529799313</v>
      </c>
      <c r="U183" s="7" t="s">
        <v>2641</v>
      </c>
    </row>
    <row r="184" spans="1:21" ht="16.5" thickBot="1">
      <c r="A184" s="41" t="s">
        <v>31</v>
      </c>
      <c r="B184" s="42">
        <f t="shared" si="9"/>
        <v>110</v>
      </c>
      <c r="C184" s="42" t="s">
        <v>3</v>
      </c>
      <c r="D184" s="42">
        <f t="shared" si="10"/>
        <v>300</v>
      </c>
      <c r="E184" s="42" t="s">
        <v>3</v>
      </c>
      <c r="F184" s="90">
        <f t="shared" si="11"/>
        <v>1650</v>
      </c>
      <c r="G184" s="42" t="s">
        <v>3</v>
      </c>
      <c r="H184" s="39">
        <v>2</v>
      </c>
      <c r="I184" s="40" t="s">
        <v>40</v>
      </c>
      <c r="J184" s="149">
        <v>110</v>
      </c>
      <c r="K184" s="66">
        <v>300</v>
      </c>
      <c r="L184" s="66">
        <v>1650</v>
      </c>
      <c r="M184" s="156">
        <v>16.222197296635002</v>
      </c>
      <c r="N184" s="78">
        <v>887.00571280036638</v>
      </c>
      <c r="O184" s="113">
        <v>24041.88576465919</v>
      </c>
      <c r="P184" s="111">
        <v>30695.325352090622</v>
      </c>
      <c r="Q184" s="110">
        <v>22200.154276684319</v>
      </c>
      <c r="R184" s="258">
        <v>46242.040041343513</v>
      </c>
      <c r="S184" s="259">
        <v>52895.479628774941</v>
      </c>
      <c r="U184" s="7" t="s">
        <v>2642</v>
      </c>
    </row>
    <row r="185" spans="1:21" ht="16.5" thickBot="1">
      <c r="A185" s="41" t="s">
        <v>31</v>
      </c>
      <c r="B185" s="42">
        <f t="shared" si="9"/>
        <v>110</v>
      </c>
      <c r="C185" s="42" t="s">
        <v>3</v>
      </c>
      <c r="D185" s="42">
        <f t="shared" si="10"/>
        <v>300</v>
      </c>
      <c r="E185" s="42" t="s">
        <v>3</v>
      </c>
      <c r="F185" s="90">
        <f t="shared" si="11"/>
        <v>1700</v>
      </c>
      <c r="G185" s="42" t="s">
        <v>3</v>
      </c>
      <c r="H185" s="39">
        <v>2</v>
      </c>
      <c r="I185" s="40" t="s">
        <v>40</v>
      </c>
      <c r="J185" s="149">
        <v>110</v>
      </c>
      <c r="K185" s="66">
        <v>300</v>
      </c>
      <c r="L185" s="66">
        <v>1700</v>
      </c>
      <c r="M185" s="156">
        <v>16.663228176515002</v>
      </c>
      <c r="N185" s="78">
        <v>921.12131713884196</v>
      </c>
      <c r="O185" s="113">
        <v>24555.398423667313</v>
      </c>
      <c r="P185" s="111">
        <v>31390.557680310736</v>
      </c>
      <c r="Q185" s="110">
        <v>22723.795909656066</v>
      </c>
      <c r="R185" s="258">
        <v>47279.194333323379</v>
      </c>
      <c r="S185" s="259">
        <v>54114.353589966806</v>
      </c>
      <c r="U185" s="7" t="s">
        <v>2643</v>
      </c>
    </row>
    <row r="186" spans="1:21" ht="16.5" thickBot="1">
      <c r="A186" s="41" t="s">
        <v>31</v>
      </c>
      <c r="B186" s="42">
        <f t="shared" si="9"/>
        <v>110</v>
      </c>
      <c r="C186" s="42" t="s">
        <v>3</v>
      </c>
      <c r="D186" s="42">
        <f t="shared" si="10"/>
        <v>300</v>
      </c>
      <c r="E186" s="42" t="s">
        <v>3</v>
      </c>
      <c r="F186" s="90">
        <f t="shared" si="11"/>
        <v>1750</v>
      </c>
      <c r="G186" s="42" t="s">
        <v>3</v>
      </c>
      <c r="H186" s="39">
        <v>2</v>
      </c>
      <c r="I186" s="40" t="s">
        <v>40</v>
      </c>
      <c r="J186" s="149">
        <v>110</v>
      </c>
      <c r="K186" s="66">
        <v>300</v>
      </c>
      <c r="L186" s="66">
        <v>1750</v>
      </c>
      <c r="M186" s="156">
        <v>17.121299056394999</v>
      </c>
      <c r="N186" s="78">
        <v>955.23692147731754</v>
      </c>
      <c r="O186" s="113">
        <v>25068.911082675437</v>
      </c>
      <c r="P186" s="111">
        <v>32085.79000853085</v>
      </c>
      <c r="Q186" s="110">
        <v>23498.771833440347</v>
      </c>
      <c r="R186" s="258">
        <v>48567.68291611578</v>
      </c>
      <c r="S186" s="259">
        <v>55584.561841971197</v>
      </c>
      <c r="U186" s="7" t="s">
        <v>2644</v>
      </c>
    </row>
    <row r="187" spans="1:21" ht="16.5" thickBot="1">
      <c r="A187" s="41" t="s">
        <v>31</v>
      </c>
      <c r="B187" s="42">
        <f t="shared" si="9"/>
        <v>110</v>
      </c>
      <c r="C187" s="42" t="s">
        <v>3</v>
      </c>
      <c r="D187" s="42">
        <f t="shared" si="10"/>
        <v>300</v>
      </c>
      <c r="E187" s="42" t="s">
        <v>3</v>
      </c>
      <c r="F187" s="90">
        <f t="shared" si="11"/>
        <v>1800</v>
      </c>
      <c r="G187" s="42" t="s">
        <v>3</v>
      </c>
      <c r="H187" s="39">
        <v>2</v>
      </c>
      <c r="I187" s="40" t="s">
        <v>40</v>
      </c>
      <c r="J187" s="149">
        <v>110</v>
      </c>
      <c r="K187" s="66">
        <v>300</v>
      </c>
      <c r="L187" s="66">
        <v>1800</v>
      </c>
      <c r="M187" s="156">
        <v>17.562329936274999</v>
      </c>
      <c r="N187" s="78">
        <v>989.35252581579311</v>
      </c>
      <c r="O187" s="113">
        <v>25582.42374168356</v>
      </c>
      <c r="P187" s="111">
        <v>32781.022336750961</v>
      </c>
      <c r="Q187" s="110">
        <v>24022.413466412094</v>
      </c>
      <c r="R187" s="258">
        <v>49604.837208095654</v>
      </c>
      <c r="S187" s="259">
        <v>56803.435803163055</v>
      </c>
      <c r="U187" s="7" t="s">
        <v>2645</v>
      </c>
    </row>
    <row r="188" spans="1:21" ht="16.5" thickBot="1">
      <c r="A188" s="41" t="s">
        <v>31</v>
      </c>
      <c r="B188" s="42">
        <f t="shared" si="9"/>
        <v>110</v>
      </c>
      <c r="C188" s="42" t="s">
        <v>3</v>
      </c>
      <c r="D188" s="42">
        <f t="shared" si="10"/>
        <v>300</v>
      </c>
      <c r="E188" s="42" t="s">
        <v>3</v>
      </c>
      <c r="F188" s="90">
        <f t="shared" si="11"/>
        <v>1850</v>
      </c>
      <c r="G188" s="42" t="s">
        <v>3</v>
      </c>
      <c r="H188" s="39">
        <v>2</v>
      </c>
      <c r="I188" s="40" t="s">
        <v>40</v>
      </c>
      <c r="J188" s="149">
        <v>110</v>
      </c>
      <c r="K188" s="66">
        <v>300</v>
      </c>
      <c r="L188" s="66">
        <v>1850</v>
      </c>
      <c r="M188" s="156">
        <v>18.020400816155004</v>
      </c>
      <c r="N188" s="78">
        <v>1023.4681301542688</v>
      </c>
      <c r="O188" s="113">
        <v>26095.936400691684</v>
      </c>
      <c r="P188" s="111">
        <v>33476.254511942308</v>
      </c>
      <c r="Q188" s="110">
        <v>24797.389237167612</v>
      </c>
      <c r="R188" s="258">
        <v>50893.325637859292</v>
      </c>
      <c r="S188" s="259">
        <v>58273.64374910992</v>
      </c>
      <c r="U188" s="7" t="s">
        <v>2646</v>
      </c>
    </row>
    <row r="189" spans="1:21" ht="16.5" thickBot="1">
      <c r="A189" s="41" t="s">
        <v>31</v>
      </c>
      <c r="B189" s="42">
        <f t="shared" si="9"/>
        <v>110</v>
      </c>
      <c r="C189" s="42" t="s">
        <v>3</v>
      </c>
      <c r="D189" s="42">
        <f t="shared" si="10"/>
        <v>300</v>
      </c>
      <c r="E189" s="42" t="s">
        <v>3</v>
      </c>
      <c r="F189" s="90">
        <f t="shared" si="11"/>
        <v>1900</v>
      </c>
      <c r="G189" s="42" t="s">
        <v>3</v>
      </c>
      <c r="H189" s="39">
        <v>2</v>
      </c>
      <c r="I189" s="40" t="s">
        <v>40</v>
      </c>
      <c r="J189" s="149">
        <v>110</v>
      </c>
      <c r="K189" s="66">
        <v>300</v>
      </c>
      <c r="L189" s="66">
        <v>1900</v>
      </c>
      <c r="M189" s="156">
        <v>18.461431696035</v>
      </c>
      <c r="N189" s="78">
        <v>1057.5837344927443</v>
      </c>
      <c r="O189" s="113">
        <v>26609.449059699808</v>
      </c>
      <c r="P189" s="111">
        <v>34171.486840162426</v>
      </c>
      <c r="Q189" s="110">
        <v>25321.031023168125</v>
      </c>
      <c r="R189" s="258">
        <v>51930.480082867929</v>
      </c>
      <c r="S189" s="259">
        <v>59492.517863330548</v>
      </c>
      <c r="U189" s="7" t="s">
        <v>2647</v>
      </c>
    </row>
    <row r="190" spans="1:21" ht="16.5" thickBot="1">
      <c r="A190" s="41" t="s">
        <v>31</v>
      </c>
      <c r="B190" s="42">
        <f t="shared" si="9"/>
        <v>110</v>
      </c>
      <c r="C190" s="42" t="s">
        <v>3</v>
      </c>
      <c r="D190" s="42">
        <f t="shared" si="10"/>
        <v>300</v>
      </c>
      <c r="E190" s="42" t="s">
        <v>3</v>
      </c>
      <c r="F190" s="90">
        <f t="shared" si="11"/>
        <v>1950</v>
      </c>
      <c r="G190" s="42" t="s">
        <v>3</v>
      </c>
      <c r="H190" s="39">
        <v>2</v>
      </c>
      <c r="I190" s="40" t="s">
        <v>40</v>
      </c>
      <c r="J190" s="149">
        <v>110</v>
      </c>
      <c r="K190" s="66">
        <v>300</v>
      </c>
      <c r="L190" s="66">
        <v>1950</v>
      </c>
      <c r="M190" s="156">
        <v>18.941712575915005</v>
      </c>
      <c r="N190" s="78">
        <v>1091.6993388312201</v>
      </c>
      <c r="O190" s="113">
        <v>27172.961878338578</v>
      </c>
      <c r="P190" s="111">
        <v>34917.024620399614</v>
      </c>
      <c r="Q190" s="110">
        <v>25844.672656139872</v>
      </c>
      <c r="R190" s="258">
        <v>53017.634534478449</v>
      </c>
      <c r="S190" s="259">
        <v>60761.697276539489</v>
      </c>
      <c r="U190" s="7" t="s">
        <v>2648</v>
      </c>
    </row>
    <row r="191" spans="1:21" ht="16.5" thickBot="1">
      <c r="A191" s="41" t="s">
        <v>31</v>
      </c>
      <c r="B191" s="42">
        <f t="shared" si="9"/>
        <v>110</v>
      </c>
      <c r="C191" s="42" t="s">
        <v>3</v>
      </c>
      <c r="D191" s="42">
        <f t="shared" si="10"/>
        <v>300</v>
      </c>
      <c r="E191" s="42" t="s">
        <v>3</v>
      </c>
      <c r="F191" s="90">
        <f t="shared" si="11"/>
        <v>2000</v>
      </c>
      <c r="G191" s="42" t="s">
        <v>3</v>
      </c>
      <c r="H191" s="39">
        <v>2</v>
      </c>
      <c r="I191" s="40" t="s">
        <v>40</v>
      </c>
      <c r="J191" s="149">
        <v>110</v>
      </c>
      <c r="K191" s="66">
        <v>300</v>
      </c>
      <c r="L191" s="66">
        <v>2000</v>
      </c>
      <c r="M191" s="156">
        <v>19.491345855795</v>
      </c>
      <c r="N191" s="78">
        <v>1125.8149431696957</v>
      </c>
      <c r="O191" s="113">
        <v>27937.766439191291</v>
      </c>
      <c r="P191" s="111">
        <v>35953.078941615764</v>
      </c>
      <c r="Q191" s="110">
        <v>26619.648426895383</v>
      </c>
      <c r="R191" s="258">
        <v>54557.414866086678</v>
      </c>
      <c r="S191" s="259">
        <v>62572.727368511143</v>
      </c>
      <c r="U191" s="7" t="s">
        <v>2649</v>
      </c>
    </row>
    <row r="192" spans="1:21" ht="16.5" thickBot="1">
      <c r="A192" s="41" t="s">
        <v>31</v>
      </c>
      <c r="B192" s="42">
        <f t="shared" si="9"/>
        <v>110</v>
      </c>
      <c r="C192" s="42" t="s">
        <v>3</v>
      </c>
      <c r="D192" s="42">
        <f t="shared" si="10"/>
        <v>300</v>
      </c>
      <c r="E192" s="42" t="s">
        <v>3</v>
      </c>
      <c r="F192" s="90">
        <f t="shared" si="11"/>
        <v>2050</v>
      </c>
      <c r="G192" s="42" t="s">
        <v>3</v>
      </c>
      <c r="H192" s="39">
        <v>2</v>
      </c>
      <c r="I192" s="40" t="s">
        <v>40</v>
      </c>
      <c r="J192" s="149">
        <v>110</v>
      </c>
      <c r="K192" s="66">
        <v>300</v>
      </c>
      <c r="L192" s="66">
        <v>2050</v>
      </c>
      <c r="M192" s="156">
        <v>19.932376735675</v>
      </c>
      <c r="N192" s="78">
        <v>1159.9305475081712</v>
      </c>
      <c r="O192" s="113">
        <v>28451.279098199415</v>
      </c>
      <c r="P192" s="111">
        <v>36648.311269835875</v>
      </c>
      <c r="Q192" s="110">
        <v>27143.290212895896</v>
      </c>
      <c r="R192" s="258">
        <v>55594.569311095314</v>
      </c>
      <c r="S192" s="259">
        <v>63791.60148273177</v>
      </c>
      <c r="U192" s="7" t="s">
        <v>2650</v>
      </c>
    </row>
    <row r="193" spans="1:21" ht="16.5" thickBot="1">
      <c r="A193" s="38" t="s">
        <v>31</v>
      </c>
      <c r="B193" s="39">
        <f t="shared" si="9"/>
        <v>110</v>
      </c>
      <c r="C193" s="39" t="s">
        <v>3</v>
      </c>
      <c r="D193" s="39">
        <f t="shared" si="10"/>
        <v>300</v>
      </c>
      <c r="E193" s="39" t="s">
        <v>3</v>
      </c>
      <c r="F193" s="90">
        <f t="shared" si="11"/>
        <v>2100</v>
      </c>
      <c r="G193" s="39" t="s">
        <v>3</v>
      </c>
      <c r="H193" s="39">
        <v>2</v>
      </c>
      <c r="I193" s="40" t="s">
        <v>40</v>
      </c>
      <c r="J193" s="149">
        <v>110</v>
      </c>
      <c r="K193" s="66">
        <v>300</v>
      </c>
      <c r="L193" s="66">
        <v>2100</v>
      </c>
      <c r="M193" s="156">
        <v>20.390447615555001</v>
      </c>
      <c r="N193" s="78">
        <v>1194.046151846647</v>
      </c>
      <c r="O193" s="113">
        <v>28964.791757207535</v>
      </c>
      <c r="P193" s="111">
        <v>37343.543445027222</v>
      </c>
      <c r="Q193" s="110">
        <v>27918.265983651414</v>
      </c>
      <c r="R193" s="258">
        <v>56883.057740858945</v>
      </c>
      <c r="S193" s="259">
        <v>65261.809428678636</v>
      </c>
      <c r="U193" s="7" t="s">
        <v>2651</v>
      </c>
    </row>
    <row r="194" spans="1:21" ht="16.5" thickBot="1">
      <c r="A194" s="41" t="s">
        <v>31</v>
      </c>
      <c r="B194" s="42">
        <f t="shared" si="9"/>
        <v>110</v>
      </c>
      <c r="C194" s="42" t="s">
        <v>3</v>
      </c>
      <c r="D194" s="42">
        <f t="shared" si="10"/>
        <v>300</v>
      </c>
      <c r="E194" s="42" t="s">
        <v>3</v>
      </c>
      <c r="F194" s="90">
        <f t="shared" si="11"/>
        <v>2150</v>
      </c>
      <c r="G194" s="42" t="s">
        <v>3</v>
      </c>
      <c r="H194" s="39">
        <v>2</v>
      </c>
      <c r="I194" s="40" t="s">
        <v>40</v>
      </c>
      <c r="J194" s="149">
        <v>110</v>
      </c>
      <c r="K194" s="66">
        <v>300</v>
      </c>
      <c r="L194" s="66">
        <v>2150</v>
      </c>
      <c r="M194" s="156">
        <v>20.831478495435</v>
      </c>
      <c r="N194" s="78">
        <v>1228.1617561851226</v>
      </c>
      <c r="O194" s="113">
        <v>29478.304416215658</v>
      </c>
      <c r="P194" s="111">
        <v>38038.77577324734</v>
      </c>
      <c r="Q194" s="110">
        <v>28441.907769651927</v>
      </c>
      <c r="R194" s="258">
        <v>57920.212185867582</v>
      </c>
      <c r="S194" s="259">
        <v>66480.683542899264</v>
      </c>
      <c r="U194" s="7" t="s">
        <v>2652</v>
      </c>
    </row>
    <row r="195" spans="1:21" ht="16.5" thickBot="1">
      <c r="A195" s="41" t="s">
        <v>31</v>
      </c>
      <c r="B195" s="42">
        <f t="shared" si="9"/>
        <v>110</v>
      </c>
      <c r="C195" s="42" t="s">
        <v>3</v>
      </c>
      <c r="D195" s="42">
        <f t="shared" si="10"/>
        <v>300</v>
      </c>
      <c r="E195" s="42" t="s">
        <v>3</v>
      </c>
      <c r="F195" s="90">
        <f t="shared" si="11"/>
        <v>2200</v>
      </c>
      <c r="G195" s="42" t="s">
        <v>3</v>
      </c>
      <c r="H195" s="39">
        <v>2</v>
      </c>
      <c r="I195" s="40" t="s">
        <v>40</v>
      </c>
      <c r="J195" s="149">
        <v>110</v>
      </c>
      <c r="K195" s="66">
        <v>300</v>
      </c>
      <c r="L195" s="66">
        <v>2200</v>
      </c>
      <c r="M195" s="156">
        <v>21.289549375315001</v>
      </c>
      <c r="N195" s="78">
        <v>1262.2773605235982</v>
      </c>
      <c r="O195" s="113">
        <v>29991.817075223782</v>
      </c>
      <c r="P195" s="111">
        <v>38734.008101467451</v>
      </c>
      <c r="Q195" s="110">
        <v>29216.883540407438</v>
      </c>
      <c r="R195" s="258">
        <v>59208.70061563122</v>
      </c>
      <c r="S195" s="259">
        <v>67950.891641874885</v>
      </c>
      <c r="U195" s="7" t="s">
        <v>2653</v>
      </c>
    </row>
    <row r="196" spans="1:21" ht="16.5" thickBot="1">
      <c r="A196" s="41" t="s">
        <v>31</v>
      </c>
      <c r="B196" s="42">
        <f t="shared" si="9"/>
        <v>110</v>
      </c>
      <c r="C196" s="42" t="s">
        <v>3</v>
      </c>
      <c r="D196" s="42">
        <f t="shared" si="10"/>
        <v>300</v>
      </c>
      <c r="E196" s="42" t="s">
        <v>3</v>
      </c>
      <c r="F196" s="90">
        <f t="shared" si="11"/>
        <v>2250</v>
      </c>
      <c r="G196" s="42" t="s">
        <v>3</v>
      </c>
      <c r="H196" s="39">
        <v>2</v>
      </c>
      <c r="I196" s="40" t="s">
        <v>40</v>
      </c>
      <c r="J196" s="149">
        <v>110</v>
      </c>
      <c r="K196" s="66">
        <v>300</v>
      </c>
      <c r="L196" s="66">
        <v>2250</v>
      </c>
      <c r="M196" s="156">
        <v>21.730580255195001</v>
      </c>
      <c r="N196" s="78">
        <v>1296.392964862074</v>
      </c>
      <c r="O196" s="113">
        <v>30505.329734231906</v>
      </c>
      <c r="P196" s="111">
        <v>39429.240429687568</v>
      </c>
      <c r="Q196" s="110">
        <v>29740.525173379188</v>
      </c>
      <c r="R196" s="258">
        <v>60245.854907611094</v>
      </c>
      <c r="S196" s="259">
        <v>69169.765603066757</v>
      </c>
      <c r="U196" s="7" t="s">
        <v>2654</v>
      </c>
    </row>
    <row r="197" spans="1:21" ht="16.5" thickBot="1">
      <c r="A197" s="41" t="s">
        <v>31</v>
      </c>
      <c r="B197" s="42">
        <f t="shared" si="9"/>
        <v>110</v>
      </c>
      <c r="C197" s="42" t="s">
        <v>3</v>
      </c>
      <c r="D197" s="42">
        <f t="shared" si="10"/>
        <v>300</v>
      </c>
      <c r="E197" s="42" t="s">
        <v>3</v>
      </c>
      <c r="F197" s="90">
        <f t="shared" si="11"/>
        <v>2300</v>
      </c>
      <c r="G197" s="42" t="s">
        <v>3</v>
      </c>
      <c r="H197" s="39">
        <v>2</v>
      </c>
      <c r="I197" s="40" t="s">
        <v>40</v>
      </c>
      <c r="J197" s="149">
        <v>110</v>
      </c>
      <c r="K197" s="66">
        <v>300</v>
      </c>
      <c r="L197" s="66">
        <v>2300</v>
      </c>
      <c r="M197" s="156">
        <v>22.171611135075</v>
      </c>
      <c r="N197" s="78">
        <v>1330.5085692005493</v>
      </c>
      <c r="O197" s="113">
        <v>31018.842393240029</v>
      </c>
      <c r="P197" s="111">
        <v>40124.472604878909</v>
      </c>
      <c r="Q197" s="110">
        <v>30264.166959379701</v>
      </c>
      <c r="R197" s="258">
        <v>61283.009352619731</v>
      </c>
      <c r="S197" s="259">
        <v>70388.639564258614</v>
      </c>
      <c r="U197" s="7" t="s">
        <v>2655</v>
      </c>
    </row>
    <row r="198" spans="1:21" ht="16.5" thickBot="1">
      <c r="A198" s="41" t="s">
        <v>31</v>
      </c>
      <c r="B198" s="42">
        <f t="shared" si="9"/>
        <v>110</v>
      </c>
      <c r="C198" s="42" t="s">
        <v>3</v>
      </c>
      <c r="D198" s="42">
        <f t="shared" si="10"/>
        <v>300</v>
      </c>
      <c r="E198" s="42" t="s">
        <v>3</v>
      </c>
      <c r="F198" s="90">
        <f t="shared" si="11"/>
        <v>2350</v>
      </c>
      <c r="G198" s="42" t="s">
        <v>3</v>
      </c>
      <c r="H198" s="39">
        <v>2</v>
      </c>
      <c r="I198" s="40" t="s">
        <v>40</v>
      </c>
      <c r="J198" s="149">
        <v>110</v>
      </c>
      <c r="K198" s="66">
        <v>300</v>
      </c>
      <c r="L198" s="66">
        <v>2350</v>
      </c>
      <c r="M198" s="156">
        <v>22.629682014955002</v>
      </c>
      <c r="N198" s="78">
        <v>1364.6241735390252</v>
      </c>
      <c r="O198" s="113">
        <v>31532.355052248149</v>
      </c>
      <c r="P198" s="111">
        <v>40819.704933099027</v>
      </c>
      <c r="Q198" s="110">
        <v>31039.142730135216</v>
      </c>
      <c r="R198" s="258">
        <v>62571.497782383361</v>
      </c>
      <c r="S198" s="259">
        <v>71858.84766323425</v>
      </c>
      <c r="U198" s="7" t="s">
        <v>2656</v>
      </c>
    </row>
    <row r="199" spans="1:21" ht="16.5" thickBot="1">
      <c r="A199" s="41" t="s">
        <v>31</v>
      </c>
      <c r="B199" s="42">
        <f t="shared" si="9"/>
        <v>110</v>
      </c>
      <c r="C199" s="42" t="s">
        <v>3</v>
      </c>
      <c r="D199" s="42">
        <f t="shared" si="10"/>
        <v>300</v>
      </c>
      <c r="E199" s="42" t="s">
        <v>3</v>
      </c>
      <c r="F199" s="90">
        <f t="shared" si="11"/>
        <v>2400</v>
      </c>
      <c r="G199" s="42" t="s">
        <v>3</v>
      </c>
      <c r="H199" s="39">
        <v>2</v>
      </c>
      <c r="I199" s="40" t="s">
        <v>40</v>
      </c>
      <c r="J199" s="149">
        <v>110</v>
      </c>
      <c r="K199" s="66">
        <v>300</v>
      </c>
      <c r="L199" s="66">
        <v>2400</v>
      </c>
      <c r="M199" s="156">
        <v>23.070712894835001</v>
      </c>
      <c r="N199" s="78">
        <v>1398.7397778775005</v>
      </c>
      <c r="O199" s="113">
        <v>32045.867711256273</v>
      </c>
      <c r="P199" s="111">
        <v>41514.937261319137</v>
      </c>
      <c r="Q199" s="110">
        <v>31562.784363106966</v>
      </c>
      <c r="R199" s="258">
        <v>63608.652074363243</v>
      </c>
      <c r="S199" s="259">
        <v>73077.721624426107</v>
      </c>
      <c r="U199" s="7" t="s">
        <v>2657</v>
      </c>
    </row>
    <row r="200" spans="1:21" ht="16.5" thickBot="1">
      <c r="A200" s="41" t="s">
        <v>31</v>
      </c>
      <c r="B200" s="42">
        <f t="shared" si="9"/>
        <v>110</v>
      </c>
      <c r="C200" s="42" t="s">
        <v>3</v>
      </c>
      <c r="D200" s="42">
        <f t="shared" si="10"/>
        <v>300</v>
      </c>
      <c r="E200" s="42" t="s">
        <v>3</v>
      </c>
      <c r="F200" s="90">
        <f t="shared" si="11"/>
        <v>2450</v>
      </c>
      <c r="G200" s="42" t="s">
        <v>3</v>
      </c>
      <c r="H200" s="39">
        <v>2</v>
      </c>
      <c r="I200" s="40" t="s">
        <v>40</v>
      </c>
      <c r="J200" s="149">
        <v>110</v>
      </c>
      <c r="K200" s="66">
        <v>300</v>
      </c>
      <c r="L200" s="66">
        <v>2450</v>
      </c>
      <c r="M200" s="156">
        <v>23.695936932015002</v>
      </c>
      <c r="N200" s="78">
        <v>1432.8553822159763</v>
      </c>
      <c r="O200" s="113">
        <v>33327.027134371783</v>
      </c>
      <c r="P200" s="111">
        <v>42931.804429692682</v>
      </c>
      <c r="Q200" s="110">
        <v>32337.760286891244</v>
      </c>
      <c r="R200" s="258">
        <v>65664.787421263027</v>
      </c>
      <c r="S200" s="259">
        <v>75269.564716583933</v>
      </c>
      <c r="U200" s="7" t="s">
        <v>2658</v>
      </c>
    </row>
    <row r="201" spans="1:21" ht="16.5" thickBot="1">
      <c r="A201" s="41" t="s">
        <v>31</v>
      </c>
      <c r="B201" s="42">
        <f t="shared" si="9"/>
        <v>110</v>
      </c>
      <c r="C201" s="42" t="s">
        <v>3</v>
      </c>
      <c r="D201" s="42">
        <f t="shared" si="10"/>
        <v>300</v>
      </c>
      <c r="E201" s="42" t="s">
        <v>3</v>
      </c>
      <c r="F201" s="90">
        <f t="shared" si="11"/>
        <v>2500</v>
      </c>
      <c r="G201" s="42" t="s">
        <v>3</v>
      </c>
      <c r="H201" s="39">
        <v>2</v>
      </c>
      <c r="I201" s="40" t="s">
        <v>40</v>
      </c>
      <c r="J201" s="149">
        <v>110</v>
      </c>
      <c r="K201" s="66">
        <v>300</v>
      </c>
      <c r="L201" s="66">
        <v>2500</v>
      </c>
      <c r="M201" s="156">
        <v>24.136967811895001</v>
      </c>
      <c r="N201" s="78">
        <v>1466.9709865544521</v>
      </c>
      <c r="O201" s="113">
        <v>33840.539793379903</v>
      </c>
      <c r="P201" s="111">
        <v>43627.036757912792</v>
      </c>
      <c r="Q201" s="110">
        <v>32861.40191986299</v>
      </c>
      <c r="R201" s="258">
        <v>66701.941713242893</v>
      </c>
      <c r="S201" s="259">
        <v>76488.43867777579</v>
      </c>
      <c r="U201" s="7" t="s">
        <v>2659</v>
      </c>
    </row>
    <row r="202" spans="1:21" ht="16.5" thickBot="1">
      <c r="A202" s="41" t="s">
        <v>31</v>
      </c>
      <c r="B202" s="42">
        <f t="shared" si="9"/>
        <v>110</v>
      </c>
      <c r="C202" s="42" t="s">
        <v>3</v>
      </c>
      <c r="D202" s="42">
        <f t="shared" si="10"/>
        <v>300</v>
      </c>
      <c r="E202" s="42" t="s">
        <v>3</v>
      </c>
      <c r="F202" s="90">
        <f t="shared" si="11"/>
        <v>2550</v>
      </c>
      <c r="G202" s="42" t="s">
        <v>3</v>
      </c>
      <c r="H202" s="39">
        <v>2</v>
      </c>
      <c r="I202" s="40" t="s">
        <v>40</v>
      </c>
      <c r="J202" s="149">
        <v>110</v>
      </c>
      <c r="K202" s="66">
        <v>300</v>
      </c>
      <c r="L202" s="66">
        <v>2550</v>
      </c>
      <c r="M202" s="156">
        <v>24.595038691775002</v>
      </c>
      <c r="N202" s="78">
        <v>1501.0865908929275</v>
      </c>
      <c r="O202" s="113">
        <v>34354.05245238803</v>
      </c>
      <c r="P202" s="111">
        <v>44322.26908613291</v>
      </c>
      <c r="Q202" s="110">
        <v>33636.377843647271</v>
      </c>
      <c r="R202" s="258">
        <v>67990.430296035309</v>
      </c>
      <c r="S202" s="259">
        <v>77958.646929780181</v>
      </c>
      <c r="U202" s="7" t="s">
        <v>2660</v>
      </c>
    </row>
    <row r="203" spans="1:21" ht="16.5" thickBot="1">
      <c r="A203" s="38" t="s">
        <v>31</v>
      </c>
      <c r="B203" s="39">
        <f t="shared" si="9"/>
        <v>110</v>
      </c>
      <c r="C203" s="39" t="s">
        <v>3</v>
      </c>
      <c r="D203" s="39">
        <f t="shared" si="10"/>
        <v>300</v>
      </c>
      <c r="E203" s="39" t="s">
        <v>3</v>
      </c>
      <c r="F203" s="90">
        <f t="shared" si="11"/>
        <v>2600</v>
      </c>
      <c r="G203" s="39" t="s">
        <v>3</v>
      </c>
      <c r="H203" s="39">
        <v>2</v>
      </c>
      <c r="I203" s="40" t="s">
        <v>40</v>
      </c>
      <c r="J203" s="149">
        <v>110</v>
      </c>
      <c r="K203" s="66">
        <v>300</v>
      </c>
      <c r="L203" s="66">
        <v>2600</v>
      </c>
      <c r="M203" s="156">
        <v>25.036069571655002</v>
      </c>
      <c r="N203" s="78">
        <v>1535.2021952314033</v>
      </c>
      <c r="O203" s="113">
        <v>34867.56511139615</v>
      </c>
      <c r="P203" s="111">
        <v>45017.501414353021</v>
      </c>
      <c r="Q203" s="110">
        <v>34160.019476619018</v>
      </c>
      <c r="R203" s="258">
        <v>69027.584588015161</v>
      </c>
      <c r="S203" s="259">
        <v>79177.520890972039</v>
      </c>
      <c r="U203" s="7" t="s">
        <v>2661</v>
      </c>
    </row>
    <row r="204" spans="1:21" ht="16.5" thickBot="1">
      <c r="A204" s="41" t="s">
        <v>31</v>
      </c>
      <c r="B204" s="42">
        <f t="shared" si="9"/>
        <v>110</v>
      </c>
      <c r="C204" s="42" t="s">
        <v>3</v>
      </c>
      <c r="D204" s="42">
        <f t="shared" si="10"/>
        <v>300</v>
      </c>
      <c r="E204" s="42" t="s">
        <v>3</v>
      </c>
      <c r="F204" s="90">
        <f t="shared" si="11"/>
        <v>2650</v>
      </c>
      <c r="G204" s="42" t="s">
        <v>3</v>
      </c>
      <c r="H204" s="39">
        <v>2</v>
      </c>
      <c r="I204" s="40" t="s">
        <v>40</v>
      </c>
      <c r="J204" s="149">
        <v>110</v>
      </c>
      <c r="K204" s="66">
        <v>300</v>
      </c>
      <c r="L204" s="66">
        <v>2650</v>
      </c>
      <c r="M204" s="156">
        <v>25.494140451534999</v>
      </c>
      <c r="N204" s="78">
        <v>1569.3177995698788</v>
      </c>
      <c r="O204" s="113">
        <v>35381.07777040427</v>
      </c>
      <c r="P204" s="111">
        <v>45712.733589544368</v>
      </c>
      <c r="Q204" s="110">
        <v>34934.995247374536</v>
      </c>
      <c r="R204" s="258">
        <v>70316.073017778806</v>
      </c>
      <c r="S204" s="259">
        <v>80647.728836918905</v>
      </c>
      <c r="U204" s="7" t="s">
        <v>2662</v>
      </c>
    </row>
    <row r="205" spans="1:21" ht="16.5" thickBot="1">
      <c r="A205" s="41" t="s">
        <v>31</v>
      </c>
      <c r="B205" s="42">
        <f t="shared" si="9"/>
        <v>110</v>
      </c>
      <c r="C205" s="42" t="s">
        <v>3</v>
      </c>
      <c r="D205" s="42">
        <f t="shared" si="10"/>
        <v>300</v>
      </c>
      <c r="E205" s="42" t="s">
        <v>3</v>
      </c>
      <c r="F205" s="90">
        <f t="shared" si="11"/>
        <v>2700</v>
      </c>
      <c r="G205" s="42" t="s">
        <v>3</v>
      </c>
      <c r="H205" s="39">
        <v>2</v>
      </c>
      <c r="I205" s="40" t="s">
        <v>40</v>
      </c>
      <c r="J205" s="149">
        <v>110</v>
      </c>
      <c r="K205" s="66">
        <v>300</v>
      </c>
      <c r="L205" s="66">
        <v>2700</v>
      </c>
      <c r="M205" s="156">
        <v>25.974421331415002</v>
      </c>
      <c r="N205" s="78">
        <v>1603.4334039083546</v>
      </c>
      <c r="O205" s="113">
        <v>35944.590742071807</v>
      </c>
      <c r="P205" s="111">
        <v>46458.271369781556</v>
      </c>
      <c r="Q205" s="110">
        <v>35458.637033375046</v>
      </c>
      <c r="R205" s="258">
        <v>71403.227775446852</v>
      </c>
      <c r="S205" s="259">
        <v>81916.908403156602</v>
      </c>
      <c r="U205" s="7" t="s">
        <v>2663</v>
      </c>
    </row>
    <row r="206" spans="1:21" ht="16.5" thickBot="1">
      <c r="A206" s="41" t="s">
        <v>31</v>
      </c>
      <c r="B206" s="42">
        <f t="shared" si="9"/>
        <v>110</v>
      </c>
      <c r="C206" s="42" t="s">
        <v>3</v>
      </c>
      <c r="D206" s="42">
        <f t="shared" si="10"/>
        <v>300</v>
      </c>
      <c r="E206" s="42" t="s">
        <v>3</v>
      </c>
      <c r="F206" s="90">
        <f t="shared" si="11"/>
        <v>2750</v>
      </c>
      <c r="G206" s="42" t="s">
        <v>3</v>
      </c>
      <c r="H206" s="39">
        <v>2</v>
      </c>
      <c r="I206" s="40" t="s">
        <v>40</v>
      </c>
      <c r="J206" s="149">
        <v>110</v>
      </c>
      <c r="K206" s="66">
        <v>300</v>
      </c>
      <c r="L206" s="66">
        <v>2750</v>
      </c>
      <c r="M206" s="156">
        <v>26.415452211295005</v>
      </c>
      <c r="N206" s="78">
        <v>1637.5490082468298</v>
      </c>
      <c r="O206" s="113">
        <v>36458.103401079934</v>
      </c>
      <c r="P206" s="111">
        <v>47153.503698001667</v>
      </c>
      <c r="Q206" s="110">
        <v>35982.278666346792</v>
      </c>
      <c r="R206" s="258">
        <v>72440.382067426719</v>
      </c>
      <c r="S206" s="259">
        <v>83135.782364348459</v>
      </c>
      <c r="U206" s="7" t="s">
        <v>2664</v>
      </c>
    </row>
    <row r="207" spans="1:21" ht="16.5" thickBot="1">
      <c r="A207" s="41" t="s">
        <v>31</v>
      </c>
      <c r="B207" s="42">
        <f t="shared" si="9"/>
        <v>110</v>
      </c>
      <c r="C207" s="42" t="s">
        <v>3</v>
      </c>
      <c r="D207" s="42">
        <f t="shared" si="10"/>
        <v>300</v>
      </c>
      <c r="E207" s="42" t="s">
        <v>3</v>
      </c>
      <c r="F207" s="90">
        <f t="shared" si="11"/>
        <v>2800</v>
      </c>
      <c r="G207" s="42" t="s">
        <v>3</v>
      </c>
      <c r="H207" s="39">
        <v>2</v>
      </c>
      <c r="I207" s="40" t="s">
        <v>40</v>
      </c>
      <c r="J207" s="149">
        <v>110</v>
      </c>
      <c r="K207" s="66">
        <v>300</v>
      </c>
      <c r="L207" s="66">
        <v>2800</v>
      </c>
      <c r="M207" s="156">
        <v>26.873523091175002</v>
      </c>
      <c r="N207" s="78">
        <v>1671.6646125853056</v>
      </c>
      <c r="O207" s="113">
        <v>36971.616060088054</v>
      </c>
      <c r="P207" s="111">
        <v>47848.736026221784</v>
      </c>
      <c r="Q207" s="110">
        <v>36757.25443710231</v>
      </c>
      <c r="R207" s="258">
        <v>73728.870497190364</v>
      </c>
      <c r="S207" s="259">
        <v>84605.990463324095</v>
      </c>
      <c r="U207" s="7" t="s">
        <v>2665</v>
      </c>
    </row>
    <row r="208" spans="1:21" ht="16.5" thickBot="1">
      <c r="A208" s="41" t="s">
        <v>31</v>
      </c>
      <c r="B208" s="42">
        <f t="shared" si="9"/>
        <v>110</v>
      </c>
      <c r="C208" s="42" t="s">
        <v>3</v>
      </c>
      <c r="D208" s="42">
        <f t="shared" si="10"/>
        <v>300</v>
      </c>
      <c r="E208" s="42" t="s">
        <v>3</v>
      </c>
      <c r="F208" s="90">
        <f t="shared" si="11"/>
        <v>2850</v>
      </c>
      <c r="G208" s="42" t="s">
        <v>3</v>
      </c>
      <c r="H208" s="39">
        <v>2</v>
      </c>
      <c r="I208" s="40" t="s">
        <v>40</v>
      </c>
      <c r="J208" s="149">
        <v>110</v>
      </c>
      <c r="K208" s="66">
        <v>300</v>
      </c>
      <c r="L208" s="66">
        <v>2850</v>
      </c>
      <c r="M208" s="156">
        <v>27.314553971055002</v>
      </c>
      <c r="N208" s="78">
        <v>1705.7802169237814</v>
      </c>
      <c r="O208" s="113">
        <v>37485.128719096181</v>
      </c>
      <c r="P208" s="111">
        <v>48543.968354441895</v>
      </c>
      <c r="Q208" s="110">
        <v>37280.89622310282</v>
      </c>
      <c r="R208" s="258">
        <v>74766.024942199001</v>
      </c>
      <c r="S208" s="259">
        <v>85824.864577544708</v>
      </c>
      <c r="U208" s="7" t="s">
        <v>2666</v>
      </c>
    </row>
    <row r="209" spans="1:21" ht="16.5" thickBot="1">
      <c r="A209" s="41" t="s">
        <v>31</v>
      </c>
      <c r="B209" s="42">
        <f t="shared" si="9"/>
        <v>110</v>
      </c>
      <c r="C209" s="42" t="s">
        <v>3</v>
      </c>
      <c r="D209" s="42">
        <f t="shared" si="10"/>
        <v>300</v>
      </c>
      <c r="E209" s="42" t="s">
        <v>3</v>
      </c>
      <c r="F209" s="90">
        <f t="shared" si="11"/>
        <v>2900</v>
      </c>
      <c r="G209" s="42" t="s">
        <v>3</v>
      </c>
      <c r="H209" s="39">
        <v>2</v>
      </c>
      <c r="I209" s="40" t="s">
        <v>40</v>
      </c>
      <c r="J209" s="149">
        <v>110</v>
      </c>
      <c r="K209" s="66">
        <v>300</v>
      </c>
      <c r="L209" s="66">
        <v>2900</v>
      </c>
      <c r="M209" s="156">
        <v>27.772624850935003</v>
      </c>
      <c r="N209" s="78">
        <v>1739.895821262257</v>
      </c>
      <c r="O209" s="113">
        <v>37998.641378104301</v>
      </c>
      <c r="P209" s="111">
        <v>49239.200529633243</v>
      </c>
      <c r="Q209" s="110">
        <v>38055.871993858338</v>
      </c>
      <c r="R209" s="258">
        <v>76054.513371962646</v>
      </c>
      <c r="S209" s="259">
        <v>87295.072523491574</v>
      </c>
      <c r="U209" s="7" t="s">
        <v>2667</v>
      </c>
    </row>
    <row r="210" spans="1:21" ht="16.5" thickBot="1">
      <c r="A210" s="41" t="s">
        <v>31</v>
      </c>
      <c r="B210" s="42">
        <f t="shared" si="9"/>
        <v>110</v>
      </c>
      <c r="C210" s="42" t="s">
        <v>3</v>
      </c>
      <c r="D210" s="42">
        <f t="shared" si="10"/>
        <v>300</v>
      </c>
      <c r="E210" s="42" t="s">
        <v>3</v>
      </c>
      <c r="F210" s="90">
        <f t="shared" si="11"/>
        <v>2950</v>
      </c>
      <c r="G210" s="42" t="s">
        <v>3</v>
      </c>
      <c r="H210" s="39">
        <v>2</v>
      </c>
      <c r="I210" s="40" t="s">
        <v>40</v>
      </c>
      <c r="J210" s="149">
        <v>110</v>
      </c>
      <c r="K210" s="66">
        <v>300</v>
      </c>
      <c r="L210" s="66">
        <v>2950</v>
      </c>
      <c r="M210" s="156">
        <v>28.213655730815006</v>
      </c>
      <c r="N210" s="78">
        <v>1774.0114256007328</v>
      </c>
      <c r="O210" s="113">
        <v>38512.154037112421</v>
      </c>
      <c r="P210" s="111">
        <v>49934.43285785336</v>
      </c>
      <c r="Q210" s="110">
        <v>38579.513779858848</v>
      </c>
      <c r="R210" s="258">
        <v>77091.667816971269</v>
      </c>
      <c r="S210" s="259">
        <v>88513.946637712215</v>
      </c>
      <c r="U210" s="7" t="s">
        <v>2668</v>
      </c>
    </row>
    <row r="211" spans="1:21" ht="16.5" thickBot="1">
      <c r="A211" s="43" t="s">
        <v>31</v>
      </c>
      <c r="B211" s="44">
        <f t="shared" si="9"/>
        <v>110</v>
      </c>
      <c r="C211" s="44" t="s">
        <v>3</v>
      </c>
      <c r="D211" s="44">
        <f t="shared" si="10"/>
        <v>300</v>
      </c>
      <c r="E211" s="44" t="s">
        <v>3</v>
      </c>
      <c r="F211" s="91">
        <f t="shared" si="11"/>
        <v>3000</v>
      </c>
      <c r="G211" s="44" t="s">
        <v>3</v>
      </c>
      <c r="H211" s="46">
        <v>2</v>
      </c>
      <c r="I211" s="45" t="s">
        <v>40</v>
      </c>
      <c r="J211" s="151">
        <v>110</v>
      </c>
      <c r="K211" s="126">
        <v>300</v>
      </c>
      <c r="L211" s="126">
        <v>3000</v>
      </c>
      <c r="M211" s="157">
        <v>28.671726610695004</v>
      </c>
      <c r="N211" s="127">
        <v>1808.1270299392081</v>
      </c>
      <c r="O211" s="128">
        <v>40306.588312535045</v>
      </c>
      <c r="P211" s="135">
        <v>50629.665186073471</v>
      </c>
      <c r="Q211" s="136">
        <v>39354.489550614366</v>
      </c>
      <c r="R211" s="260">
        <v>79661.077863149403</v>
      </c>
      <c r="S211" s="261">
        <v>89984.154736687837</v>
      </c>
      <c r="U211" s="7" t="s">
        <v>2669</v>
      </c>
    </row>
    <row r="212" spans="1:21" ht="16.5" thickBot="1">
      <c r="A212" s="2974" t="s">
        <v>113</v>
      </c>
      <c r="B212" s="2975"/>
      <c r="C212" s="2975"/>
      <c r="D212" s="2975"/>
      <c r="E212" s="2975"/>
      <c r="F212" s="2975"/>
      <c r="G212" s="2975"/>
      <c r="H212" s="2975"/>
      <c r="I212" s="2975"/>
      <c r="J212" s="2975"/>
      <c r="K212" s="2975"/>
      <c r="L212" s="2975"/>
      <c r="M212" s="2975"/>
      <c r="N212" s="2975"/>
      <c r="O212" s="2975"/>
      <c r="P212" s="2975"/>
      <c r="Q212" s="2975"/>
      <c r="R212" s="2975"/>
      <c r="S212" s="2976"/>
      <c r="U212" s="7"/>
    </row>
    <row r="213" spans="1:21" ht="16.5" thickBot="1">
      <c r="A213" s="38" t="s">
        <v>31</v>
      </c>
      <c r="B213" s="39">
        <f>J213</f>
        <v>110</v>
      </c>
      <c r="C213" s="39" t="s">
        <v>3</v>
      </c>
      <c r="D213" s="39">
        <f>K213</f>
        <v>300</v>
      </c>
      <c r="E213" s="39" t="s">
        <v>3</v>
      </c>
      <c r="F213" s="90">
        <f>L213</f>
        <v>600</v>
      </c>
      <c r="G213" s="39" t="s">
        <v>3</v>
      </c>
      <c r="H213" s="39">
        <v>4</v>
      </c>
      <c r="I213" s="40" t="s">
        <v>40</v>
      </c>
      <c r="J213" s="146">
        <v>110</v>
      </c>
      <c r="K213" s="122">
        <v>300</v>
      </c>
      <c r="L213" s="122">
        <v>600</v>
      </c>
      <c r="M213" s="155">
        <v>7.1082994495100014</v>
      </c>
      <c r="N213" s="123">
        <v>216.96967236000003</v>
      </c>
      <c r="O213" s="124">
        <v>14845.09019648474</v>
      </c>
      <c r="P213" s="148">
        <v>17767.698130980873</v>
      </c>
      <c r="Q213" s="139">
        <v>8941.6715199935952</v>
      </c>
      <c r="R213" s="256">
        <v>23786.761716478337</v>
      </c>
      <c r="S213" s="257">
        <v>26709.36965097447</v>
      </c>
      <c r="U213" s="7" t="s">
        <v>2670</v>
      </c>
    </row>
    <row r="214" spans="1:21" ht="16.5" thickBot="1">
      <c r="A214" s="41" t="s">
        <v>31</v>
      </c>
      <c r="B214" s="42">
        <f t="shared" ref="B214:B261" si="12">J214</f>
        <v>110</v>
      </c>
      <c r="C214" s="42" t="s">
        <v>3</v>
      </c>
      <c r="D214" s="42">
        <f t="shared" ref="D214:D261" si="13">K214</f>
        <v>300</v>
      </c>
      <c r="E214" s="42" t="s">
        <v>3</v>
      </c>
      <c r="F214" s="90">
        <f t="shared" ref="F214:F261" si="14">L214</f>
        <v>650</v>
      </c>
      <c r="G214" s="42" t="s">
        <v>3</v>
      </c>
      <c r="H214" s="39">
        <v>4</v>
      </c>
      <c r="I214" s="40" t="s">
        <v>40</v>
      </c>
      <c r="J214" s="149">
        <v>110</v>
      </c>
      <c r="K214" s="66">
        <v>300</v>
      </c>
      <c r="L214" s="66">
        <v>650</v>
      </c>
      <c r="M214" s="156">
        <v>7.6159527192700001</v>
      </c>
      <c r="N214" s="78">
        <v>260.36360683200002</v>
      </c>
      <c r="O214" s="113">
        <v>15663.6242279742</v>
      </c>
      <c r="P214" s="111">
        <v>18771.888343636401</v>
      </c>
      <c r="Q214" s="110">
        <v>9465.3131529653438</v>
      </c>
      <c r="R214" s="258">
        <v>25128.937380939544</v>
      </c>
      <c r="S214" s="259">
        <v>28237.201496601745</v>
      </c>
      <c r="U214" s="7" t="s">
        <v>2671</v>
      </c>
    </row>
    <row r="215" spans="1:21" ht="16.5" thickBot="1">
      <c r="A215" s="41" t="s">
        <v>31</v>
      </c>
      <c r="B215" s="42">
        <f t="shared" si="12"/>
        <v>110</v>
      </c>
      <c r="C215" s="42" t="s">
        <v>3</v>
      </c>
      <c r="D215" s="42">
        <f t="shared" si="13"/>
        <v>300</v>
      </c>
      <c r="E215" s="42" t="s">
        <v>3</v>
      </c>
      <c r="F215" s="90">
        <f t="shared" si="14"/>
        <v>700</v>
      </c>
      <c r="G215" s="42" t="s">
        <v>3</v>
      </c>
      <c r="H215" s="39">
        <v>4</v>
      </c>
      <c r="I215" s="40" t="s">
        <v>40</v>
      </c>
      <c r="J215" s="149">
        <v>110</v>
      </c>
      <c r="K215" s="66">
        <v>300</v>
      </c>
      <c r="L215" s="66">
        <v>700</v>
      </c>
      <c r="M215" s="156">
        <v>8.1406459890300003</v>
      </c>
      <c r="N215" s="78">
        <v>303.75754130400003</v>
      </c>
      <c r="O215" s="113">
        <v>16403.73637334388</v>
      </c>
      <c r="P215" s="111">
        <v>19697.1781492236</v>
      </c>
      <c r="Q215" s="110">
        <v>10240.289076749623</v>
      </c>
      <c r="R215" s="258">
        <v>26644.025450093504</v>
      </c>
      <c r="S215" s="259">
        <v>29937.467225973225</v>
      </c>
      <c r="U215" s="7" t="s">
        <v>2672</v>
      </c>
    </row>
    <row r="216" spans="1:21" ht="16.5" thickBot="1">
      <c r="A216" s="41" t="s">
        <v>31</v>
      </c>
      <c r="B216" s="42">
        <f t="shared" si="12"/>
        <v>110</v>
      </c>
      <c r="C216" s="42" t="s">
        <v>3</v>
      </c>
      <c r="D216" s="42">
        <f t="shared" si="13"/>
        <v>300</v>
      </c>
      <c r="E216" s="42" t="s">
        <v>3</v>
      </c>
      <c r="F216" s="90">
        <f t="shared" si="14"/>
        <v>750</v>
      </c>
      <c r="G216" s="42" t="s">
        <v>3</v>
      </c>
      <c r="H216" s="39">
        <v>4</v>
      </c>
      <c r="I216" s="40" t="s">
        <v>40</v>
      </c>
      <c r="J216" s="149">
        <v>110</v>
      </c>
      <c r="K216" s="66">
        <v>300</v>
      </c>
      <c r="L216" s="66">
        <v>750</v>
      </c>
      <c r="M216" s="156">
        <v>8.6482992587900007</v>
      </c>
      <c r="N216" s="78">
        <v>347.1514757760001</v>
      </c>
      <c r="O216" s="113">
        <v>17143.848671742322</v>
      </c>
      <c r="P216" s="111">
        <v>20622.467801782033</v>
      </c>
      <c r="Q216" s="110">
        <v>10763.930709721371</v>
      </c>
      <c r="R216" s="258">
        <v>27907.779381463693</v>
      </c>
      <c r="S216" s="259">
        <v>31386.398511503405</v>
      </c>
      <c r="U216" s="7" t="s">
        <v>2673</v>
      </c>
    </row>
    <row r="217" spans="1:21" ht="16.5" thickBot="1">
      <c r="A217" s="41" t="s">
        <v>31</v>
      </c>
      <c r="B217" s="42">
        <f t="shared" si="12"/>
        <v>110</v>
      </c>
      <c r="C217" s="42" t="s">
        <v>3</v>
      </c>
      <c r="D217" s="42">
        <f t="shared" si="13"/>
        <v>300</v>
      </c>
      <c r="E217" s="42" t="s">
        <v>3</v>
      </c>
      <c r="F217" s="90">
        <f t="shared" si="14"/>
        <v>800</v>
      </c>
      <c r="G217" s="42" t="s">
        <v>3</v>
      </c>
      <c r="H217" s="39">
        <v>4</v>
      </c>
      <c r="I217" s="40" t="s">
        <v>40</v>
      </c>
      <c r="J217" s="149">
        <v>110</v>
      </c>
      <c r="K217" s="66">
        <v>300</v>
      </c>
      <c r="L217" s="66">
        <v>800</v>
      </c>
      <c r="M217" s="156">
        <v>9.1559525285499994</v>
      </c>
      <c r="N217" s="78">
        <v>390.54541024800005</v>
      </c>
      <c r="O217" s="113">
        <v>17883.960970140764</v>
      </c>
      <c r="P217" s="111">
        <v>21547.757607369233</v>
      </c>
      <c r="Q217" s="110">
        <v>11287.572342693116</v>
      </c>
      <c r="R217" s="258">
        <v>29171.533312833883</v>
      </c>
      <c r="S217" s="259">
        <v>32835.329950062347</v>
      </c>
      <c r="U217" s="7" t="s">
        <v>2674</v>
      </c>
    </row>
    <row r="218" spans="1:21" ht="16.5" thickBot="1">
      <c r="A218" s="41" t="s">
        <v>31</v>
      </c>
      <c r="B218" s="42">
        <f t="shared" si="12"/>
        <v>110</v>
      </c>
      <c r="C218" s="42" t="s">
        <v>3</v>
      </c>
      <c r="D218" s="42">
        <f t="shared" si="13"/>
        <v>300</v>
      </c>
      <c r="E218" s="42" t="s">
        <v>3</v>
      </c>
      <c r="F218" s="90">
        <f t="shared" si="14"/>
        <v>850</v>
      </c>
      <c r="G218" s="42" t="s">
        <v>3</v>
      </c>
      <c r="H218" s="39">
        <v>4</v>
      </c>
      <c r="I218" s="40" t="s">
        <v>40</v>
      </c>
      <c r="J218" s="149">
        <v>110</v>
      </c>
      <c r="K218" s="66">
        <v>300</v>
      </c>
      <c r="L218" s="66">
        <v>850</v>
      </c>
      <c r="M218" s="156">
        <v>9.6806457983099996</v>
      </c>
      <c r="N218" s="78">
        <v>433.93934472000007</v>
      </c>
      <c r="O218" s="113">
        <v>18624.07326853921</v>
      </c>
      <c r="P218" s="111">
        <v>22473.047259927665</v>
      </c>
      <c r="Q218" s="110">
        <v>12062.548266477399</v>
      </c>
      <c r="R218" s="258">
        <v>30686.621535016609</v>
      </c>
      <c r="S218" s="259">
        <v>34535.595526405064</v>
      </c>
      <c r="U218" s="7" t="s">
        <v>2675</v>
      </c>
    </row>
    <row r="219" spans="1:21" ht="16.5" thickBot="1">
      <c r="A219" s="41" t="s">
        <v>31</v>
      </c>
      <c r="B219" s="42">
        <f t="shared" si="12"/>
        <v>110</v>
      </c>
      <c r="C219" s="42" t="s">
        <v>3</v>
      </c>
      <c r="D219" s="42">
        <f t="shared" si="13"/>
        <v>300</v>
      </c>
      <c r="E219" s="42" t="s">
        <v>3</v>
      </c>
      <c r="F219" s="90">
        <f t="shared" si="14"/>
        <v>900</v>
      </c>
      <c r="G219" s="42" t="s">
        <v>3</v>
      </c>
      <c r="H219" s="39">
        <v>4</v>
      </c>
      <c r="I219" s="40" t="s">
        <v>40</v>
      </c>
      <c r="J219" s="149">
        <v>110</v>
      </c>
      <c r="K219" s="66">
        <v>300</v>
      </c>
      <c r="L219" s="66">
        <v>900</v>
      </c>
      <c r="M219" s="156">
        <v>10.188299068070002</v>
      </c>
      <c r="N219" s="78">
        <v>477.33327919200002</v>
      </c>
      <c r="O219" s="113">
        <v>19364.18541390889</v>
      </c>
      <c r="P219" s="111">
        <v>23398.337065514865</v>
      </c>
      <c r="Q219" s="110">
        <v>12586.189899449146</v>
      </c>
      <c r="R219" s="258">
        <v>31950.375313358036</v>
      </c>
      <c r="S219" s="259">
        <v>35984.52696496401</v>
      </c>
      <c r="U219" s="7" t="s">
        <v>2676</v>
      </c>
    </row>
    <row r="220" spans="1:21" ht="16.5" thickBot="1">
      <c r="A220" s="41" t="s">
        <v>31</v>
      </c>
      <c r="B220" s="42">
        <f t="shared" si="12"/>
        <v>110</v>
      </c>
      <c r="C220" s="42" t="s">
        <v>3</v>
      </c>
      <c r="D220" s="42">
        <f t="shared" si="13"/>
        <v>300</v>
      </c>
      <c r="E220" s="42" t="s">
        <v>3</v>
      </c>
      <c r="F220" s="90">
        <f t="shared" si="14"/>
        <v>950</v>
      </c>
      <c r="G220" s="42" t="s">
        <v>3</v>
      </c>
      <c r="H220" s="39">
        <v>4</v>
      </c>
      <c r="I220" s="40" t="s">
        <v>40</v>
      </c>
      <c r="J220" s="149">
        <v>110</v>
      </c>
      <c r="K220" s="66">
        <v>300</v>
      </c>
      <c r="L220" s="66">
        <v>950</v>
      </c>
      <c r="M220" s="156">
        <v>10.712992337829998</v>
      </c>
      <c r="N220" s="78">
        <v>520.72721366400003</v>
      </c>
      <c r="O220" s="113">
        <v>20104.297712307332</v>
      </c>
      <c r="P220" s="111">
        <v>24323.626871102064</v>
      </c>
      <c r="Q220" s="110">
        <v>13361.165670204662</v>
      </c>
      <c r="R220" s="258">
        <v>33465.463382511996</v>
      </c>
      <c r="S220" s="259">
        <v>37684.792541306728</v>
      </c>
      <c r="U220" s="7" t="s">
        <v>2677</v>
      </c>
    </row>
    <row r="221" spans="1:21" ht="16.5" thickBot="1">
      <c r="A221" s="41" t="s">
        <v>31</v>
      </c>
      <c r="B221" s="42">
        <f t="shared" si="12"/>
        <v>110</v>
      </c>
      <c r="C221" s="42" t="s">
        <v>3</v>
      </c>
      <c r="D221" s="42">
        <f t="shared" si="13"/>
        <v>300</v>
      </c>
      <c r="E221" s="42" t="s">
        <v>3</v>
      </c>
      <c r="F221" s="90">
        <f t="shared" si="14"/>
        <v>1000</v>
      </c>
      <c r="G221" s="42" t="s">
        <v>3</v>
      </c>
      <c r="H221" s="39">
        <v>4</v>
      </c>
      <c r="I221" s="40" t="s">
        <v>40</v>
      </c>
      <c r="J221" s="149">
        <v>110</v>
      </c>
      <c r="K221" s="66">
        <v>300</v>
      </c>
      <c r="L221" s="66">
        <v>1000</v>
      </c>
      <c r="M221" s="156">
        <v>11.220645607590001</v>
      </c>
      <c r="N221" s="78">
        <v>564.12114813599999</v>
      </c>
      <c r="O221" s="113">
        <v>20844.410010705775</v>
      </c>
      <c r="P221" s="111">
        <v>25248.916523660497</v>
      </c>
      <c r="Q221" s="110">
        <v>13884.807456205173</v>
      </c>
      <c r="R221" s="258">
        <v>34729.217466910952</v>
      </c>
      <c r="S221" s="259">
        <v>39133.723979865666</v>
      </c>
      <c r="U221" s="7" t="s">
        <v>2678</v>
      </c>
    </row>
    <row r="222" spans="1:21" ht="16.5" thickBot="1">
      <c r="A222" s="41" t="s">
        <v>31</v>
      </c>
      <c r="B222" s="42">
        <f t="shared" si="12"/>
        <v>110</v>
      </c>
      <c r="C222" s="42" t="s">
        <v>3</v>
      </c>
      <c r="D222" s="42">
        <f t="shared" si="13"/>
        <v>300</v>
      </c>
      <c r="E222" s="42" t="s">
        <v>3</v>
      </c>
      <c r="F222" s="90">
        <f t="shared" si="14"/>
        <v>1050</v>
      </c>
      <c r="G222" s="42" t="s">
        <v>3</v>
      </c>
      <c r="H222" s="39">
        <v>4</v>
      </c>
      <c r="I222" s="40" t="s">
        <v>40</v>
      </c>
      <c r="J222" s="149">
        <v>110</v>
      </c>
      <c r="K222" s="66">
        <v>300</v>
      </c>
      <c r="L222" s="66">
        <v>1050</v>
      </c>
      <c r="M222" s="156">
        <v>11.745338877349997</v>
      </c>
      <c r="N222" s="78">
        <v>607.51508260800006</v>
      </c>
      <c r="O222" s="113">
        <v>21584.522309104217</v>
      </c>
      <c r="P222" s="111">
        <v>26174.206329247696</v>
      </c>
      <c r="Q222" s="110">
        <v>14659.78322696069</v>
      </c>
      <c r="R222" s="258">
        <v>36244.305536064909</v>
      </c>
      <c r="S222" s="259">
        <v>40833.989556208384</v>
      </c>
      <c r="U222" s="7" t="s">
        <v>2679</v>
      </c>
    </row>
    <row r="223" spans="1:21" ht="16.5" thickBot="1">
      <c r="A223" s="38" t="s">
        <v>31</v>
      </c>
      <c r="B223" s="39">
        <f t="shared" si="12"/>
        <v>110</v>
      </c>
      <c r="C223" s="39" t="s">
        <v>3</v>
      </c>
      <c r="D223" s="39">
        <f t="shared" si="13"/>
        <v>300</v>
      </c>
      <c r="E223" s="39" t="s">
        <v>3</v>
      </c>
      <c r="F223" s="90">
        <f t="shared" si="14"/>
        <v>1100</v>
      </c>
      <c r="G223" s="39" t="s">
        <v>3</v>
      </c>
      <c r="H223" s="39">
        <v>4</v>
      </c>
      <c r="I223" s="40" t="s">
        <v>40</v>
      </c>
      <c r="J223" s="149">
        <v>110</v>
      </c>
      <c r="K223" s="66">
        <v>300</v>
      </c>
      <c r="L223" s="66">
        <v>1100</v>
      </c>
      <c r="M223" s="156">
        <v>12.25299214711</v>
      </c>
      <c r="N223" s="78">
        <v>650.90901708000001</v>
      </c>
      <c r="O223" s="113">
        <v>22324.634454473897</v>
      </c>
      <c r="P223" s="111">
        <v>27099.495981806129</v>
      </c>
      <c r="Q223" s="110">
        <v>15183.425012961201</v>
      </c>
      <c r="R223" s="258">
        <v>37508.059467435101</v>
      </c>
      <c r="S223" s="259">
        <v>42282.92099476733</v>
      </c>
      <c r="U223" s="7" t="s">
        <v>2680</v>
      </c>
    </row>
    <row r="224" spans="1:21" ht="16.5" thickBot="1">
      <c r="A224" s="41" t="s">
        <v>31</v>
      </c>
      <c r="B224" s="42">
        <f t="shared" si="12"/>
        <v>110</v>
      </c>
      <c r="C224" s="42" t="s">
        <v>3</v>
      </c>
      <c r="D224" s="42">
        <f t="shared" si="13"/>
        <v>300</v>
      </c>
      <c r="E224" s="42" t="s">
        <v>3</v>
      </c>
      <c r="F224" s="90">
        <f t="shared" si="14"/>
        <v>1150</v>
      </c>
      <c r="G224" s="42" t="s">
        <v>3</v>
      </c>
      <c r="H224" s="39">
        <v>4</v>
      </c>
      <c r="I224" s="40" t="s">
        <v>40</v>
      </c>
      <c r="J224" s="149">
        <v>110</v>
      </c>
      <c r="K224" s="66">
        <v>300</v>
      </c>
      <c r="L224" s="66">
        <v>1150</v>
      </c>
      <c r="M224" s="156">
        <v>12.760645416869998</v>
      </c>
      <c r="N224" s="78">
        <v>694.3029515520002</v>
      </c>
      <c r="O224" s="113">
        <v>23064.746752872186</v>
      </c>
      <c r="P224" s="111">
        <v>28024.785787393332</v>
      </c>
      <c r="Q224" s="110">
        <v>15707.066645932946</v>
      </c>
      <c r="R224" s="258">
        <v>38771.813398805134</v>
      </c>
      <c r="S224" s="259">
        <v>43731.852433326276</v>
      </c>
      <c r="U224" s="7" t="s">
        <v>2681</v>
      </c>
    </row>
    <row r="225" spans="1:21" ht="16.5" thickBot="1">
      <c r="A225" s="41" t="s">
        <v>31</v>
      </c>
      <c r="B225" s="42">
        <f t="shared" si="12"/>
        <v>110</v>
      </c>
      <c r="C225" s="42" t="s">
        <v>3</v>
      </c>
      <c r="D225" s="42">
        <f t="shared" si="13"/>
        <v>300</v>
      </c>
      <c r="E225" s="42" t="s">
        <v>3</v>
      </c>
      <c r="F225" s="90">
        <f t="shared" si="14"/>
        <v>1200</v>
      </c>
      <c r="G225" s="42" t="s">
        <v>3</v>
      </c>
      <c r="H225" s="39">
        <v>4</v>
      </c>
      <c r="I225" s="40" t="s">
        <v>40</v>
      </c>
      <c r="J225" s="149">
        <v>110</v>
      </c>
      <c r="K225" s="66">
        <v>300</v>
      </c>
      <c r="L225" s="66">
        <v>1200</v>
      </c>
      <c r="M225" s="156">
        <v>13.36383868663</v>
      </c>
      <c r="N225" s="78">
        <v>737.69688602400004</v>
      </c>
      <c r="O225" s="113">
        <v>23888.957233375349</v>
      </c>
      <c r="P225" s="111">
        <v>29034.687186592084</v>
      </c>
      <c r="Q225" s="110">
        <v>16482.042416688462</v>
      </c>
      <c r="R225" s="258">
        <v>40370.999650063808</v>
      </c>
      <c r="S225" s="259">
        <v>45516.729603280546</v>
      </c>
      <c r="U225" s="7" t="s">
        <v>2682</v>
      </c>
    </row>
    <row r="226" spans="1:21" ht="16.5" thickBot="1">
      <c r="A226" s="41" t="s">
        <v>31</v>
      </c>
      <c r="B226" s="42">
        <f t="shared" si="12"/>
        <v>110</v>
      </c>
      <c r="C226" s="42" t="s">
        <v>3</v>
      </c>
      <c r="D226" s="42">
        <f t="shared" si="13"/>
        <v>300</v>
      </c>
      <c r="E226" s="42" t="s">
        <v>3</v>
      </c>
      <c r="F226" s="90">
        <f t="shared" si="14"/>
        <v>1250</v>
      </c>
      <c r="G226" s="42" t="s">
        <v>3</v>
      </c>
      <c r="H226" s="39">
        <v>4</v>
      </c>
      <c r="I226" s="40" t="s">
        <v>40</v>
      </c>
      <c r="J226" s="149">
        <v>110</v>
      </c>
      <c r="K226" s="66">
        <v>300</v>
      </c>
      <c r="L226" s="66">
        <v>1250</v>
      </c>
      <c r="M226" s="156">
        <v>13.871491956389999</v>
      </c>
      <c r="N226" s="78">
        <v>781.09082049600011</v>
      </c>
      <c r="O226" s="113">
        <v>24629.069531773792</v>
      </c>
      <c r="P226" s="111">
        <v>29959.976992179283</v>
      </c>
      <c r="Q226" s="110">
        <v>17005.684202688975</v>
      </c>
      <c r="R226" s="258">
        <v>41634.753734462764</v>
      </c>
      <c r="S226" s="259">
        <v>46965.661194868255</v>
      </c>
      <c r="U226" s="7" t="s">
        <v>2683</v>
      </c>
    </row>
    <row r="227" spans="1:21" ht="16.5" thickBot="1">
      <c r="A227" s="41" t="s">
        <v>31</v>
      </c>
      <c r="B227" s="42">
        <f t="shared" si="12"/>
        <v>110</v>
      </c>
      <c r="C227" s="42" t="s">
        <v>3</v>
      </c>
      <c r="D227" s="42">
        <f t="shared" si="13"/>
        <v>300</v>
      </c>
      <c r="E227" s="42" t="s">
        <v>3</v>
      </c>
      <c r="F227" s="90">
        <f t="shared" si="14"/>
        <v>1300</v>
      </c>
      <c r="G227" s="42" t="s">
        <v>3</v>
      </c>
      <c r="H227" s="39">
        <v>4</v>
      </c>
      <c r="I227" s="40" t="s">
        <v>40</v>
      </c>
      <c r="J227" s="149">
        <v>110</v>
      </c>
      <c r="K227" s="66">
        <v>300</v>
      </c>
      <c r="L227" s="66">
        <v>1300</v>
      </c>
      <c r="M227" s="156">
        <v>14.396185226149999</v>
      </c>
      <c r="N227" s="78">
        <v>824.48475496800006</v>
      </c>
      <c r="O227" s="113">
        <v>25369.181830172234</v>
      </c>
      <c r="P227" s="111">
        <v>30885.266644737716</v>
      </c>
      <c r="Q227" s="110">
        <v>17780.65997344449</v>
      </c>
      <c r="R227" s="258">
        <v>43149.841803616728</v>
      </c>
      <c r="S227" s="259">
        <v>48665.926618182202</v>
      </c>
      <c r="U227" s="7" t="s">
        <v>2684</v>
      </c>
    </row>
    <row r="228" spans="1:21" ht="16.5" thickBot="1">
      <c r="A228" s="41" t="s">
        <v>31</v>
      </c>
      <c r="B228" s="42">
        <f t="shared" si="12"/>
        <v>110</v>
      </c>
      <c r="C228" s="42" t="s">
        <v>3</v>
      </c>
      <c r="D228" s="42">
        <f t="shared" si="13"/>
        <v>300</v>
      </c>
      <c r="E228" s="42" t="s">
        <v>3</v>
      </c>
      <c r="F228" s="90">
        <f t="shared" si="14"/>
        <v>1350</v>
      </c>
      <c r="G228" s="42" t="s">
        <v>3</v>
      </c>
      <c r="H228" s="39">
        <v>4</v>
      </c>
      <c r="I228" s="40" t="s">
        <v>40</v>
      </c>
      <c r="J228" s="149">
        <v>110</v>
      </c>
      <c r="K228" s="66">
        <v>300</v>
      </c>
      <c r="L228" s="66">
        <v>1350</v>
      </c>
      <c r="M228" s="156">
        <v>14.903838495910001</v>
      </c>
      <c r="N228" s="78">
        <v>867.87868944000013</v>
      </c>
      <c r="O228" s="113">
        <v>26109.294128570677</v>
      </c>
      <c r="P228" s="111">
        <v>31810.556450324915</v>
      </c>
      <c r="Q228" s="110">
        <v>18304.301606416237</v>
      </c>
      <c r="R228" s="258">
        <v>44413.595734986913</v>
      </c>
      <c r="S228" s="259">
        <v>50114.858056741155</v>
      </c>
      <c r="U228" s="7" t="s">
        <v>2685</v>
      </c>
    </row>
    <row r="229" spans="1:21" ht="16.5" thickBot="1">
      <c r="A229" s="41" t="s">
        <v>31</v>
      </c>
      <c r="B229" s="42">
        <f t="shared" si="12"/>
        <v>110</v>
      </c>
      <c r="C229" s="42" t="s">
        <v>3</v>
      </c>
      <c r="D229" s="42">
        <f t="shared" si="13"/>
        <v>300</v>
      </c>
      <c r="E229" s="42" t="s">
        <v>3</v>
      </c>
      <c r="F229" s="90">
        <f t="shared" si="14"/>
        <v>1400</v>
      </c>
      <c r="G229" s="42" t="s">
        <v>3</v>
      </c>
      <c r="H229" s="39">
        <v>4</v>
      </c>
      <c r="I229" s="40" t="s">
        <v>40</v>
      </c>
      <c r="J229" s="149">
        <v>110</v>
      </c>
      <c r="K229" s="66">
        <v>300</v>
      </c>
      <c r="L229" s="66">
        <v>1400</v>
      </c>
      <c r="M229" s="156">
        <v>15.428531765670002</v>
      </c>
      <c r="N229" s="78">
        <v>911.27262391200009</v>
      </c>
      <c r="O229" s="113">
        <v>26849.40627394036</v>
      </c>
      <c r="P229" s="111">
        <v>32735.846102883348</v>
      </c>
      <c r="Q229" s="110">
        <v>19079.277530200521</v>
      </c>
      <c r="R229" s="258">
        <v>45928.683804140877</v>
      </c>
      <c r="S229" s="259">
        <v>51815.123633083873</v>
      </c>
      <c r="U229" s="7" t="s">
        <v>2686</v>
      </c>
    </row>
    <row r="230" spans="1:21" ht="16.5" thickBot="1">
      <c r="A230" s="41" t="s">
        <v>31</v>
      </c>
      <c r="B230" s="42">
        <f t="shared" si="12"/>
        <v>110</v>
      </c>
      <c r="C230" s="42" t="s">
        <v>3</v>
      </c>
      <c r="D230" s="42">
        <f t="shared" si="13"/>
        <v>300</v>
      </c>
      <c r="E230" s="42" t="s">
        <v>3</v>
      </c>
      <c r="F230" s="90">
        <f t="shared" si="14"/>
        <v>1450</v>
      </c>
      <c r="G230" s="42" t="s">
        <v>3</v>
      </c>
      <c r="H230" s="39">
        <v>4</v>
      </c>
      <c r="I230" s="40" t="s">
        <v>40</v>
      </c>
      <c r="J230" s="149">
        <v>110</v>
      </c>
      <c r="K230" s="66">
        <v>300</v>
      </c>
      <c r="L230" s="66">
        <v>1450</v>
      </c>
      <c r="M230" s="156">
        <v>15.93618503543</v>
      </c>
      <c r="N230" s="78">
        <v>954.66655838400004</v>
      </c>
      <c r="O230" s="113">
        <v>27589.518572338802</v>
      </c>
      <c r="P230" s="111">
        <v>33661.135908470547</v>
      </c>
      <c r="Q230" s="110">
        <v>19602.919163172111</v>
      </c>
      <c r="R230" s="258">
        <v>47192.437735510917</v>
      </c>
      <c r="S230" s="259">
        <v>53264.055071642659</v>
      </c>
      <c r="U230" s="7" t="s">
        <v>2687</v>
      </c>
    </row>
    <row r="231" spans="1:21" ht="16.5" thickBot="1">
      <c r="A231" s="41" t="s">
        <v>31</v>
      </c>
      <c r="B231" s="42">
        <f t="shared" si="12"/>
        <v>110</v>
      </c>
      <c r="C231" s="42" t="s">
        <v>3</v>
      </c>
      <c r="D231" s="42">
        <f t="shared" si="13"/>
        <v>300</v>
      </c>
      <c r="E231" s="42" t="s">
        <v>3</v>
      </c>
      <c r="F231" s="90">
        <f t="shared" si="14"/>
        <v>1500</v>
      </c>
      <c r="G231" s="42" t="s">
        <v>3</v>
      </c>
      <c r="H231" s="39">
        <v>4</v>
      </c>
      <c r="I231" s="40" t="s">
        <v>40</v>
      </c>
      <c r="J231" s="149">
        <v>110</v>
      </c>
      <c r="K231" s="66">
        <v>300</v>
      </c>
      <c r="L231" s="66">
        <v>1500</v>
      </c>
      <c r="M231" s="156">
        <v>16.62803146249</v>
      </c>
      <c r="N231" s="78">
        <v>998.06049285600011</v>
      </c>
      <c r="O231" s="113">
        <v>29097.277634844631</v>
      </c>
      <c r="P231" s="111">
        <v>35308.060707239943</v>
      </c>
      <c r="Q231" s="110">
        <v>20377.895086956549</v>
      </c>
      <c r="R231" s="258">
        <v>49475.17272180118</v>
      </c>
      <c r="S231" s="259">
        <v>55685.955794196489</v>
      </c>
      <c r="U231" s="7" t="s">
        <v>2688</v>
      </c>
    </row>
    <row r="232" spans="1:21" ht="16.5" thickBot="1">
      <c r="A232" s="41" t="s">
        <v>31</v>
      </c>
      <c r="B232" s="42">
        <f t="shared" si="12"/>
        <v>110</v>
      </c>
      <c r="C232" s="42" t="s">
        <v>3</v>
      </c>
      <c r="D232" s="42">
        <f t="shared" si="13"/>
        <v>300</v>
      </c>
      <c r="E232" s="42" t="s">
        <v>3</v>
      </c>
      <c r="F232" s="90">
        <f t="shared" si="14"/>
        <v>1550</v>
      </c>
      <c r="G232" s="42" t="s">
        <v>3</v>
      </c>
      <c r="H232" s="39">
        <v>4</v>
      </c>
      <c r="I232" s="40" t="s">
        <v>40</v>
      </c>
      <c r="J232" s="149">
        <v>110</v>
      </c>
      <c r="K232" s="66">
        <v>300</v>
      </c>
      <c r="L232" s="66">
        <v>1550</v>
      </c>
      <c r="M232" s="156">
        <v>17.135684732249999</v>
      </c>
      <c r="N232" s="78">
        <v>1041.4544273280001</v>
      </c>
      <c r="O232" s="113">
        <v>29837.389933243074</v>
      </c>
      <c r="P232" s="111">
        <v>36233.350359798373</v>
      </c>
      <c r="Q232" s="110">
        <v>20901.536719928292</v>
      </c>
      <c r="R232" s="258">
        <v>50738.926653171366</v>
      </c>
      <c r="S232" s="259">
        <v>57134.887079726665</v>
      </c>
      <c r="U232" s="7" t="s">
        <v>2689</v>
      </c>
    </row>
    <row r="233" spans="1:21" ht="16.5" thickBot="1">
      <c r="A233" s="38" t="s">
        <v>31</v>
      </c>
      <c r="B233" s="39">
        <f t="shared" si="12"/>
        <v>110</v>
      </c>
      <c r="C233" s="39" t="s">
        <v>3</v>
      </c>
      <c r="D233" s="39">
        <f t="shared" si="13"/>
        <v>300</v>
      </c>
      <c r="E233" s="39" t="s">
        <v>3</v>
      </c>
      <c r="F233" s="90">
        <f t="shared" si="14"/>
        <v>1600</v>
      </c>
      <c r="G233" s="39" t="s">
        <v>3</v>
      </c>
      <c r="H233" s="39">
        <v>4</v>
      </c>
      <c r="I233" s="40" t="s">
        <v>40</v>
      </c>
      <c r="J233" s="149">
        <v>110</v>
      </c>
      <c r="K233" s="66">
        <v>300</v>
      </c>
      <c r="L233" s="66">
        <v>1600</v>
      </c>
      <c r="M233" s="156">
        <v>17.643338002009997</v>
      </c>
      <c r="N233" s="78">
        <v>1084.8483618</v>
      </c>
      <c r="O233" s="113">
        <v>30577.502078612746</v>
      </c>
      <c r="P233" s="111">
        <v>37158.640165385572</v>
      </c>
      <c r="Q233" s="110">
        <v>21425.178352900039</v>
      </c>
      <c r="R233" s="258">
        <v>52002.680431512781</v>
      </c>
      <c r="S233" s="259">
        <v>58583.81851828561</v>
      </c>
      <c r="U233" s="7" t="s">
        <v>2690</v>
      </c>
    </row>
    <row r="234" spans="1:21" ht="16.5" thickBot="1">
      <c r="A234" s="41" t="s">
        <v>31</v>
      </c>
      <c r="B234" s="42">
        <f t="shared" si="12"/>
        <v>110</v>
      </c>
      <c r="C234" s="42" t="s">
        <v>3</v>
      </c>
      <c r="D234" s="42">
        <f t="shared" si="13"/>
        <v>300</v>
      </c>
      <c r="E234" s="42" t="s">
        <v>3</v>
      </c>
      <c r="F234" s="90">
        <f t="shared" si="14"/>
        <v>1650</v>
      </c>
      <c r="G234" s="42" t="s">
        <v>3</v>
      </c>
      <c r="H234" s="39">
        <v>4</v>
      </c>
      <c r="I234" s="40" t="s">
        <v>40</v>
      </c>
      <c r="J234" s="149">
        <v>110</v>
      </c>
      <c r="K234" s="66">
        <v>300</v>
      </c>
      <c r="L234" s="66">
        <v>1650</v>
      </c>
      <c r="M234" s="156">
        <v>18.168031271770001</v>
      </c>
      <c r="N234" s="78">
        <v>1128.242296272</v>
      </c>
      <c r="O234" s="113">
        <v>31317.614377011196</v>
      </c>
      <c r="P234" s="111">
        <v>38083.929817944008</v>
      </c>
      <c r="Q234" s="110">
        <v>22200.154276684319</v>
      </c>
      <c r="R234" s="258">
        <v>53517.768653695515</v>
      </c>
      <c r="S234" s="259">
        <v>60284.084094628328</v>
      </c>
      <c r="U234" s="7" t="s">
        <v>2691</v>
      </c>
    </row>
    <row r="235" spans="1:21" ht="16.5" thickBot="1">
      <c r="A235" s="41" t="s">
        <v>31</v>
      </c>
      <c r="B235" s="42">
        <f t="shared" si="12"/>
        <v>110</v>
      </c>
      <c r="C235" s="42" t="s">
        <v>3</v>
      </c>
      <c r="D235" s="42">
        <f t="shared" si="13"/>
        <v>300</v>
      </c>
      <c r="E235" s="42" t="s">
        <v>3</v>
      </c>
      <c r="F235" s="90">
        <f t="shared" si="14"/>
        <v>1700</v>
      </c>
      <c r="G235" s="42" t="s">
        <v>3</v>
      </c>
      <c r="H235" s="39">
        <v>4</v>
      </c>
      <c r="I235" s="40" t="s">
        <v>40</v>
      </c>
      <c r="J235" s="149">
        <v>110</v>
      </c>
      <c r="K235" s="66">
        <v>300</v>
      </c>
      <c r="L235" s="66">
        <v>1700</v>
      </c>
      <c r="M235" s="156">
        <v>18.675684541530003</v>
      </c>
      <c r="N235" s="78">
        <v>1171.6362307440002</v>
      </c>
      <c r="O235" s="113">
        <v>32057.726675409638</v>
      </c>
      <c r="P235" s="111">
        <v>39009.219623531208</v>
      </c>
      <c r="Q235" s="110">
        <v>22723.795909656066</v>
      </c>
      <c r="R235" s="258">
        <v>54781.522585065701</v>
      </c>
      <c r="S235" s="259">
        <v>61733.015533187274</v>
      </c>
      <c r="U235" s="7" t="s">
        <v>2692</v>
      </c>
    </row>
    <row r="236" spans="1:21" ht="16.5" thickBot="1">
      <c r="A236" s="41" t="s">
        <v>31</v>
      </c>
      <c r="B236" s="42">
        <f t="shared" si="12"/>
        <v>110</v>
      </c>
      <c r="C236" s="42" t="s">
        <v>3</v>
      </c>
      <c r="D236" s="42">
        <f t="shared" si="13"/>
        <v>300</v>
      </c>
      <c r="E236" s="42" t="s">
        <v>3</v>
      </c>
      <c r="F236" s="90">
        <f t="shared" si="14"/>
        <v>1750</v>
      </c>
      <c r="G236" s="42" t="s">
        <v>3</v>
      </c>
      <c r="H236" s="39">
        <v>4</v>
      </c>
      <c r="I236" s="40" t="s">
        <v>40</v>
      </c>
      <c r="J236" s="149">
        <v>110</v>
      </c>
      <c r="K236" s="66">
        <v>300</v>
      </c>
      <c r="L236" s="66">
        <v>1750</v>
      </c>
      <c r="M236" s="156">
        <v>19.20037781129</v>
      </c>
      <c r="N236" s="78">
        <v>1215.0301652160001</v>
      </c>
      <c r="O236" s="113">
        <v>32797.83897380808</v>
      </c>
      <c r="P236" s="111">
        <v>39934.509429118407</v>
      </c>
      <c r="Q236" s="110">
        <v>23498.771833440347</v>
      </c>
      <c r="R236" s="258">
        <v>56296.610807248428</v>
      </c>
      <c r="S236" s="259">
        <v>63433.281262558754</v>
      </c>
      <c r="U236" s="7" t="s">
        <v>2693</v>
      </c>
    </row>
    <row r="237" spans="1:21" ht="16.5" thickBot="1">
      <c r="A237" s="41" t="s">
        <v>31</v>
      </c>
      <c r="B237" s="42">
        <f t="shared" si="12"/>
        <v>110</v>
      </c>
      <c r="C237" s="42" t="s">
        <v>3</v>
      </c>
      <c r="D237" s="42">
        <f t="shared" si="13"/>
        <v>300</v>
      </c>
      <c r="E237" s="42" t="s">
        <v>3</v>
      </c>
      <c r="F237" s="90">
        <f t="shared" si="14"/>
        <v>1800</v>
      </c>
      <c r="G237" s="42" t="s">
        <v>3</v>
      </c>
      <c r="H237" s="39">
        <v>4</v>
      </c>
      <c r="I237" s="40" t="s">
        <v>40</v>
      </c>
      <c r="J237" s="149">
        <v>110</v>
      </c>
      <c r="K237" s="66">
        <v>300</v>
      </c>
      <c r="L237" s="66">
        <v>1800</v>
      </c>
      <c r="M237" s="156">
        <v>19.708031081049999</v>
      </c>
      <c r="N237" s="78">
        <v>1258.4240996880001</v>
      </c>
      <c r="O237" s="113">
        <v>33537.951119177764</v>
      </c>
      <c r="P237" s="111">
        <v>40859.799081676836</v>
      </c>
      <c r="Q237" s="110">
        <v>24022.413466412094</v>
      </c>
      <c r="R237" s="258">
        <v>57560.364585589858</v>
      </c>
      <c r="S237" s="259">
        <v>64882.21254808893</v>
      </c>
      <c r="U237" s="7" t="s">
        <v>2694</v>
      </c>
    </row>
    <row r="238" spans="1:21" ht="16.5" thickBot="1">
      <c r="A238" s="41" t="s">
        <v>31</v>
      </c>
      <c r="B238" s="42">
        <f t="shared" si="12"/>
        <v>110</v>
      </c>
      <c r="C238" s="42" t="s">
        <v>3</v>
      </c>
      <c r="D238" s="42">
        <f t="shared" si="13"/>
        <v>300</v>
      </c>
      <c r="E238" s="42" t="s">
        <v>3</v>
      </c>
      <c r="F238" s="90">
        <f t="shared" si="14"/>
        <v>1850</v>
      </c>
      <c r="G238" s="42" t="s">
        <v>3</v>
      </c>
      <c r="H238" s="39">
        <v>4</v>
      </c>
      <c r="I238" s="40" t="s">
        <v>40</v>
      </c>
      <c r="J238" s="149">
        <v>110</v>
      </c>
      <c r="K238" s="66">
        <v>300</v>
      </c>
      <c r="L238" s="66">
        <v>1850</v>
      </c>
      <c r="M238" s="156">
        <v>20.232724350810003</v>
      </c>
      <c r="N238" s="78">
        <v>1301.81803416</v>
      </c>
      <c r="O238" s="113">
        <v>34278.063417576202</v>
      </c>
      <c r="P238" s="111">
        <v>41785.088887264035</v>
      </c>
      <c r="Q238" s="110">
        <v>24797.389237167612</v>
      </c>
      <c r="R238" s="258">
        <v>59075.452654743814</v>
      </c>
      <c r="S238" s="259">
        <v>66582.478124431655</v>
      </c>
      <c r="U238" s="7" t="s">
        <v>2695</v>
      </c>
    </row>
    <row r="239" spans="1:21" ht="16.5" thickBot="1">
      <c r="A239" s="41" t="s">
        <v>31</v>
      </c>
      <c r="B239" s="42">
        <f t="shared" si="12"/>
        <v>110</v>
      </c>
      <c r="C239" s="42" t="s">
        <v>3</v>
      </c>
      <c r="D239" s="42">
        <f t="shared" si="13"/>
        <v>300</v>
      </c>
      <c r="E239" s="42" t="s">
        <v>3</v>
      </c>
      <c r="F239" s="90">
        <f t="shared" si="14"/>
        <v>1900</v>
      </c>
      <c r="G239" s="42" t="s">
        <v>3</v>
      </c>
      <c r="H239" s="39">
        <v>4</v>
      </c>
      <c r="I239" s="40" t="s">
        <v>40</v>
      </c>
      <c r="J239" s="149">
        <v>110</v>
      </c>
      <c r="K239" s="66">
        <v>300</v>
      </c>
      <c r="L239" s="66">
        <v>1900</v>
      </c>
      <c r="M239" s="156">
        <v>20.740377620570001</v>
      </c>
      <c r="N239" s="78">
        <v>1345.211968632</v>
      </c>
      <c r="O239" s="113">
        <v>35018.175715974648</v>
      </c>
      <c r="P239" s="111">
        <v>42710.378539822472</v>
      </c>
      <c r="Q239" s="110">
        <v>25321.031023168125</v>
      </c>
      <c r="R239" s="258">
        <v>60339.20673914277</v>
      </c>
      <c r="S239" s="259">
        <v>68031.409562990593</v>
      </c>
      <c r="U239" s="7" t="s">
        <v>2696</v>
      </c>
    </row>
    <row r="240" spans="1:21" ht="16.5" thickBot="1">
      <c r="A240" s="41" t="s">
        <v>31</v>
      </c>
      <c r="B240" s="42">
        <f t="shared" si="12"/>
        <v>110</v>
      </c>
      <c r="C240" s="42" t="s">
        <v>3</v>
      </c>
      <c r="D240" s="42">
        <f t="shared" si="13"/>
        <v>300</v>
      </c>
      <c r="E240" s="42" t="s">
        <v>3</v>
      </c>
      <c r="F240" s="90">
        <f t="shared" si="14"/>
        <v>1950</v>
      </c>
      <c r="G240" s="42" t="s">
        <v>3</v>
      </c>
      <c r="H240" s="39">
        <v>4</v>
      </c>
      <c r="I240" s="40" t="s">
        <v>40</v>
      </c>
      <c r="J240" s="149">
        <v>110</v>
      </c>
      <c r="K240" s="66">
        <v>300</v>
      </c>
      <c r="L240" s="66">
        <v>1950</v>
      </c>
      <c r="M240" s="156">
        <v>21.326530890330005</v>
      </c>
      <c r="N240" s="78">
        <v>1388.6059031040004</v>
      </c>
      <c r="O240" s="113">
        <v>35842.386196477652</v>
      </c>
      <c r="P240" s="111">
        <v>43720.280092049994</v>
      </c>
      <c r="Q240" s="110">
        <v>25844.672656139872</v>
      </c>
      <c r="R240" s="258">
        <v>61687.058852617527</v>
      </c>
      <c r="S240" s="259">
        <v>69564.952748189869</v>
      </c>
      <c r="U240" s="7" t="s">
        <v>2697</v>
      </c>
    </row>
    <row r="241" spans="1:21" ht="16.5" thickBot="1">
      <c r="A241" s="41" t="s">
        <v>31</v>
      </c>
      <c r="B241" s="42">
        <f t="shared" si="12"/>
        <v>110</v>
      </c>
      <c r="C241" s="42" t="s">
        <v>3</v>
      </c>
      <c r="D241" s="42">
        <f t="shared" si="13"/>
        <v>300</v>
      </c>
      <c r="E241" s="42" t="s">
        <v>3</v>
      </c>
      <c r="F241" s="90">
        <f t="shared" si="14"/>
        <v>2000</v>
      </c>
      <c r="G241" s="42" t="s">
        <v>3</v>
      </c>
      <c r="H241" s="39">
        <v>4</v>
      </c>
      <c r="I241" s="40" t="s">
        <v>40</v>
      </c>
      <c r="J241" s="149">
        <v>110</v>
      </c>
      <c r="K241" s="66">
        <v>300</v>
      </c>
      <c r="L241" s="66">
        <v>2000</v>
      </c>
      <c r="M241" s="156">
        <v>21.942786560090003</v>
      </c>
      <c r="N241" s="78">
        <v>1431.9998375760003</v>
      </c>
      <c r="O241" s="113">
        <v>36833.790396720695</v>
      </c>
      <c r="P241" s="111">
        <v>44986.391737604463</v>
      </c>
      <c r="Q241" s="110">
        <v>26619.648426895383</v>
      </c>
      <c r="R241" s="258">
        <v>63453.438823616074</v>
      </c>
      <c r="S241" s="259">
        <v>71606.040164499849</v>
      </c>
      <c r="U241" s="7" t="s">
        <v>2698</v>
      </c>
    </row>
    <row r="242" spans="1:21" ht="16.5" thickBot="1">
      <c r="A242" s="41" t="s">
        <v>31</v>
      </c>
      <c r="B242" s="42">
        <f t="shared" si="12"/>
        <v>110</v>
      </c>
      <c r="C242" s="42" t="s">
        <v>3</v>
      </c>
      <c r="D242" s="42">
        <f t="shared" si="13"/>
        <v>300</v>
      </c>
      <c r="E242" s="42" t="s">
        <v>3</v>
      </c>
      <c r="F242" s="90">
        <f t="shared" si="14"/>
        <v>2050</v>
      </c>
      <c r="G242" s="42" t="s">
        <v>3</v>
      </c>
      <c r="H242" s="39">
        <v>4</v>
      </c>
      <c r="I242" s="40" t="s">
        <v>40</v>
      </c>
      <c r="J242" s="149">
        <v>110</v>
      </c>
      <c r="K242" s="66">
        <v>300</v>
      </c>
      <c r="L242" s="66">
        <v>2050</v>
      </c>
      <c r="M242" s="156">
        <v>22.450439829850001</v>
      </c>
      <c r="N242" s="78">
        <v>1475.3937720480001</v>
      </c>
      <c r="O242" s="113">
        <v>37573.902695119134</v>
      </c>
      <c r="P242" s="111">
        <v>45911.681543191662</v>
      </c>
      <c r="Q242" s="110">
        <v>27143.290212895896</v>
      </c>
      <c r="R242" s="258">
        <v>64717.192908015029</v>
      </c>
      <c r="S242" s="259">
        <v>73054.971756087558</v>
      </c>
      <c r="U242" s="7" t="s">
        <v>2699</v>
      </c>
    </row>
    <row r="243" spans="1:21" ht="16.5" thickBot="1">
      <c r="A243" s="38" t="s">
        <v>31</v>
      </c>
      <c r="B243" s="39">
        <f t="shared" si="12"/>
        <v>110</v>
      </c>
      <c r="C243" s="39" t="s">
        <v>3</v>
      </c>
      <c r="D243" s="39">
        <f t="shared" si="13"/>
        <v>300</v>
      </c>
      <c r="E243" s="39" t="s">
        <v>3</v>
      </c>
      <c r="F243" s="90">
        <f t="shared" si="14"/>
        <v>2100</v>
      </c>
      <c r="G243" s="39" t="s">
        <v>3</v>
      </c>
      <c r="H243" s="39">
        <v>4</v>
      </c>
      <c r="I243" s="40" t="s">
        <v>40</v>
      </c>
      <c r="J243" s="149">
        <v>110</v>
      </c>
      <c r="K243" s="66">
        <v>300</v>
      </c>
      <c r="L243" s="66">
        <v>2100</v>
      </c>
      <c r="M243" s="156">
        <v>22.975133099609998</v>
      </c>
      <c r="N243" s="78">
        <v>1518.78770652</v>
      </c>
      <c r="O243" s="113">
        <v>38314.014840488817</v>
      </c>
      <c r="P243" s="111">
        <v>46836.971348778861</v>
      </c>
      <c r="Q243" s="110">
        <v>27918.265983651414</v>
      </c>
      <c r="R243" s="258">
        <v>66232.280824140238</v>
      </c>
      <c r="S243" s="259">
        <v>74755.237332430275</v>
      </c>
      <c r="U243" s="7" t="s">
        <v>2700</v>
      </c>
    </row>
    <row r="244" spans="1:21" ht="16.5" thickBot="1">
      <c r="A244" s="41" t="s">
        <v>31</v>
      </c>
      <c r="B244" s="42">
        <f t="shared" si="12"/>
        <v>110</v>
      </c>
      <c r="C244" s="42" t="s">
        <v>3</v>
      </c>
      <c r="D244" s="42">
        <f t="shared" si="13"/>
        <v>300</v>
      </c>
      <c r="E244" s="42" t="s">
        <v>3</v>
      </c>
      <c r="F244" s="90">
        <f t="shared" si="14"/>
        <v>2150</v>
      </c>
      <c r="G244" s="42" t="s">
        <v>3</v>
      </c>
      <c r="H244" s="39">
        <v>4</v>
      </c>
      <c r="I244" s="40" t="s">
        <v>40</v>
      </c>
      <c r="J244" s="149">
        <v>110</v>
      </c>
      <c r="K244" s="66">
        <v>300</v>
      </c>
      <c r="L244" s="66">
        <v>2150</v>
      </c>
      <c r="M244" s="156">
        <v>23.482786369370004</v>
      </c>
      <c r="N244" s="78">
        <v>1562.1816409920002</v>
      </c>
      <c r="O244" s="113">
        <v>39054.127138887256</v>
      </c>
      <c r="P244" s="111">
        <v>47762.261001337298</v>
      </c>
      <c r="Q244" s="110">
        <v>28441.907769651927</v>
      </c>
      <c r="R244" s="258">
        <v>67496.034908539179</v>
      </c>
      <c r="S244" s="259">
        <v>76204.168770989229</v>
      </c>
      <c r="U244" s="7" t="s">
        <v>2701</v>
      </c>
    </row>
    <row r="245" spans="1:21" ht="16.5" thickBot="1">
      <c r="A245" s="41" t="s">
        <v>31</v>
      </c>
      <c r="B245" s="42">
        <f t="shared" si="12"/>
        <v>110</v>
      </c>
      <c r="C245" s="42" t="s">
        <v>3</v>
      </c>
      <c r="D245" s="42">
        <f t="shared" si="13"/>
        <v>300</v>
      </c>
      <c r="E245" s="42" t="s">
        <v>3</v>
      </c>
      <c r="F245" s="90">
        <f t="shared" si="14"/>
        <v>2200</v>
      </c>
      <c r="G245" s="42" t="s">
        <v>3</v>
      </c>
      <c r="H245" s="39">
        <v>4</v>
      </c>
      <c r="I245" s="40" t="s">
        <v>40</v>
      </c>
      <c r="J245" s="149">
        <v>110</v>
      </c>
      <c r="K245" s="66">
        <v>300</v>
      </c>
      <c r="L245" s="66">
        <v>2200</v>
      </c>
      <c r="M245" s="156">
        <v>24.007479639130004</v>
      </c>
      <c r="N245" s="78">
        <v>1605.5755754640002</v>
      </c>
      <c r="O245" s="113">
        <v>39794.239437285702</v>
      </c>
      <c r="P245" s="111">
        <v>48687.550806924497</v>
      </c>
      <c r="Q245" s="110">
        <v>29216.883540407438</v>
      </c>
      <c r="R245" s="258">
        <v>69011.122977693143</v>
      </c>
      <c r="S245" s="259">
        <v>77904.434347331931</v>
      </c>
      <c r="U245" s="7" t="s">
        <v>2702</v>
      </c>
    </row>
    <row r="246" spans="1:21" ht="16.5" thickBot="1">
      <c r="A246" s="41" t="s">
        <v>31</v>
      </c>
      <c r="B246" s="42">
        <f t="shared" si="12"/>
        <v>110</v>
      </c>
      <c r="C246" s="42" t="s">
        <v>3</v>
      </c>
      <c r="D246" s="42">
        <f t="shared" si="13"/>
        <v>300</v>
      </c>
      <c r="E246" s="42" t="s">
        <v>3</v>
      </c>
      <c r="F246" s="90">
        <f t="shared" si="14"/>
        <v>2250</v>
      </c>
      <c r="G246" s="42" t="s">
        <v>3</v>
      </c>
      <c r="H246" s="39">
        <v>4</v>
      </c>
      <c r="I246" s="40" t="s">
        <v>40</v>
      </c>
      <c r="J246" s="149">
        <v>110</v>
      </c>
      <c r="K246" s="66">
        <v>300</v>
      </c>
      <c r="L246" s="66">
        <v>2250</v>
      </c>
      <c r="M246" s="156">
        <v>24.515132908890003</v>
      </c>
      <c r="N246" s="78">
        <v>1648.9695099360001</v>
      </c>
      <c r="O246" s="113">
        <v>40534.35173568414</v>
      </c>
      <c r="P246" s="111">
        <v>49612.840459482926</v>
      </c>
      <c r="Q246" s="110">
        <v>29740.525173379188</v>
      </c>
      <c r="R246" s="258">
        <v>70274.876909063329</v>
      </c>
      <c r="S246" s="259">
        <v>79353.365632862115</v>
      </c>
      <c r="U246" s="7" t="s">
        <v>2703</v>
      </c>
    </row>
    <row r="247" spans="1:21" ht="16.5" thickBot="1">
      <c r="A247" s="41" t="s">
        <v>31</v>
      </c>
      <c r="B247" s="42">
        <f t="shared" si="12"/>
        <v>110</v>
      </c>
      <c r="C247" s="42" t="s">
        <v>3</v>
      </c>
      <c r="D247" s="42">
        <f t="shared" si="13"/>
        <v>300</v>
      </c>
      <c r="E247" s="42" t="s">
        <v>3</v>
      </c>
      <c r="F247" s="90">
        <f t="shared" si="14"/>
        <v>2300</v>
      </c>
      <c r="G247" s="42" t="s">
        <v>3</v>
      </c>
      <c r="H247" s="39">
        <v>4</v>
      </c>
      <c r="I247" s="40" t="s">
        <v>40</v>
      </c>
      <c r="J247" s="149">
        <v>110</v>
      </c>
      <c r="K247" s="66">
        <v>300</v>
      </c>
      <c r="L247" s="66">
        <v>2300</v>
      </c>
      <c r="M247" s="156">
        <v>25.022786178650001</v>
      </c>
      <c r="N247" s="78">
        <v>1692.3634444080001</v>
      </c>
      <c r="O247" s="113">
        <v>41274.463881053824</v>
      </c>
      <c r="P247" s="111">
        <v>50538.130265070118</v>
      </c>
      <c r="Q247" s="110">
        <v>30264.166959379701</v>
      </c>
      <c r="R247" s="258">
        <v>71538.630840433529</v>
      </c>
      <c r="S247" s="259">
        <v>80802.297224449823</v>
      </c>
      <c r="U247" s="7" t="s">
        <v>2704</v>
      </c>
    </row>
    <row r="248" spans="1:21" ht="16.5" thickBot="1">
      <c r="A248" s="41" t="s">
        <v>31</v>
      </c>
      <c r="B248" s="42">
        <f t="shared" si="12"/>
        <v>110</v>
      </c>
      <c r="C248" s="42" t="s">
        <v>3</v>
      </c>
      <c r="D248" s="42">
        <f t="shared" si="13"/>
        <v>300</v>
      </c>
      <c r="E248" s="42" t="s">
        <v>3</v>
      </c>
      <c r="F248" s="90">
        <f t="shared" si="14"/>
        <v>2350</v>
      </c>
      <c r="G248" s="42" t="s">
        <v>3</v>
      </c>
      <c r="H248" s="39">
        <v>4</v>
      </c>
      <c r="I248" s="40" t="s">
        <v>40</v>
      </c>
      <c r="J248" s="149">
        <v>110</v>
      </c>
      <c r="K248" s="66">
        <v>300</v>
      </c>
      <c r="L248" s="66">
        <v>2350</v>
      </c>
      <c r="M248" s="156">
        <v>25.547479448410002</v>
      </c>
      <c r="N248" s="78">
        <v>1735.7573788800003</v>
      </c>
      <c r="O248" s="113">
        <v>42014.576179452262</v>
      </c>
      <c r="P248" s="111">
        <v>51463.419917628562</v>
      </c>
      <c r="Q248" s="110">
        <v>31039.142730135216</v>
      </c>
      <c r="R248" s="258">
        <v>73053.718909587478</v>
      </c>
      <c r="S248" s="259">
        <v>82502.562647763785</v>
      </c>
      <c r="U248" s="7" t="s">
        <v>2705</v>
      </c>
    </row>
    <row r="249" spans="1:21" ht="16.5" thickBot="1">
      <c r="A249" s="41" t="s">
        <v>31</v>
      </c>
      <c r="B249" s="42">
        <f t="shared" si="12"/>
        <v>110</v>
      </c>
      <c r="C249" s="42" t="s">
        <v>3</v>
      </c>
      <c r="D249" s="42">
        <f t="shared" si="13"/>
        <v>300</v>
      </c>
      <c r="E249" s="42" t="s">
        <v>3</v>
      </c>
      <c r="F249" s="90">
        <f t="shared" si="14"/>
        <v>2400</v>
      </c>
      <c r="G249" s="42" t="s">
        <v>3</v>
      </c>
      <c r="H249" s="39">
        <v>4</v>
      </c>
      <c r="I249" s="40" t="s">
        <v>40</v>
      </c>
      <c r="J249" s="149">
        <v>110</v>
      </c>
      <c r="K249" s="66">
        <v>300</v>
      </c>
      <c r="L249" s="66">
        <v>2400</v>
      </c>
      <c r="M249" s="156">
        <v>26.05513271817</v>
      </c>
      <c r="N249" s="78">
        <v>1779.1513133520004</v>
      </c>
      <c r="O249" s="113">
        <v>42754.688477850708</v>
      </c>
      <c r="P249" s="111">
        <v>52388.709723215761</v>
      </c>
      <c r="Q249" s="110">
        <v>31562.784363106966</v>
      </c>
      <c r="R249" s="258">
        <v>74317.472840957678</v>
      </c>
      <c r="S249" s="259">
        <v>83951.494086322724</v>
      </c>
      <c r="U249" s="7" t="s">
        <v>2706</v>
      </c>
    </row>
    <row r="250" spans="1:21" ht="16.5" thickBot="1">
      <c r="A250" s="41" t="s">
        <v>31</v>
      </c>
      <c r="B250" s="42">
        <f t="shared" si="12"/>
        <v>110</v>
      </c>
      <c r="C250" s="42" t="s">
        <v>3</v>
      </c>
      <c r="D250" s="42">
        <f t="shared" si="13"/>
        <v>300</v>
      </c>
      <c r="E250" s="42" t="s">
        <v>3</v>
      </c>
      <c r="F250" s="90">
        <f t="shared" si="14"/>
        <v>2450</v>
      </c>
      <c r="G250" s="42" t="s">
        <v>3</v>
      </c>
      <c r="H250" s="39">
        <v>4</v>
      </c>
      <c r="I250" s="40" t="s">
        <v>40</v>
      </c>
      <c r="J250" s="149">
        <v>110</v>
      </c>
      <c r="K250" s="66">
        <v>300</v>
      </c>
      <c r="L250" s="66">
        <v>2450</v>
      </c>
      <c r="M250" s="156">
        <v>26.74697914523</v>
      </c>
      <c r="N250" s="78">
        <v>1822.5452478240002</v>
      </c>
      <c r="O250" s="113">
        <v>44262.447540356538</v>
      </c>
      <c r="P250" s="111">
        <v>54035.63452198515</v>
      </c>
      <c r="Q250" s="110">
        <v>32337.760286891244</v>
      </c>
      <c r="R250" s="258">
        <v>76600.207827247781</v>
      </c>
      <c r="S250" s="259">
        <v>86373.394808876386</v>
      </c>
      <c r="U250" s="7" t="s">
        <v>2707</v>
      </c>
    </row>
    <row r="251" spans="1:21" ht="16.5" thickBot="1">
      <c r="A251" s="41" t="s">
        <v>31</v>
      </c>
      <c r="B251" s="42">
        <f t="shared" si="12"/>
        <v>110</v>
      </c>
      <c r="C251" s="42" t="s">
        <v>3</v>
      </c>
      <c r="D251" s="42">
        <f t="shared" si="13"/>
        <v>300</v>
      </c>
      <c r="E251" s="42" t="s">
        <v>3</v>
      </c>
      <c r="F251" s="90">
        <f t="shared" si="14"/>
        <v>2500</v>
      </c>
      <c r="G251" s="42" t="s">
        <v>3</v>
      </c>
      <c r="H251" s="39">
        <v>4</v>
      </c>
      <c r="I251" s="40" t="s">
        <v>40</v>
      </c>
      <c r="J251" s="149">
        <v>110</v>
      </c>
      <c r="K251" s="66">
        <v>300</v>
      </c>
      <c r="L251" s="66">
        <v>2500</v>
      </c>
      <c r="M251" s="156">
        <v>27.254632414989999</v>
      </c>
      <c r="N251" s="78">
        <v>1865.9391822960001</v>
      </c>
      <c r="O251" s="113">
        <v>45002.559685726221</v>
      </c>
      <c r="P251" s="111">
        <v>54960.924174543579</v>
      </c>
      <c r="Q251" s="110">
        <v>32861.40191986299</v>
      </c>
      <c r="R251" s="258">
        <v>77863.961605589211</v>
      </c>
      <c r="S251" s="259">
        <v>87822.32609440657</v>
      </c>
      <c r="U251" s="7" t="s">
        <v>2708</v>
      </c>
    </row>
    <row r="252" spans="1:21" ht="16.5" thickBot="1">
      <c r="A252" s="41" t="s">
        <v>31</v>
      </c>
      <c r="B252" s="42">
        <f t="shared" si="12"/>
        <v>110</v>
      </c>
      <c r="C252" s="42" t="s">
        <v>3</v>
      </c>
      <c r="D252" s="42">
        <f t="shared" si="13"/>
        <v>300</v>
      </c>
      <c r="E252" s="42" t="s">
        <v>3</v>
      </c>
      <c r="F252" s="90">
        <f t="shared" si="14"/>
        <v>2550</v>
      </c>
      <c r="G252" s="42" t="s">
        <v>3</v>
      </c>
      <c r="H252" s="39">
        <v>4</v>
      </c>
      <c r="I252" s="40" t="s">
        <v>40</v>
      </c>
      <c r="J252" s="149">
        <v>110</v>
      </c>
      <c r="K252" s="66">
        <v>300</v>
      </c>
      <c r="L252" s="66">
        <v>2550</v>
      </c>
      <c r="M252" s="156">
        <v>27.779325684749999</v>
      </c>
      <c r="N252" s="78">
        <v>1909.3331167680001</v>
      </c>
      <c r="O252" s="113">
        <v>45742.67198412466</v>
      </c>
      <c r="P252" s="111">
        <v>55886.213980130779</v>
      </c>
      <c r="Q252" s="110">
        <v>33636.377843647271</v>
      </c>
      <c r="R252" s="258">
        <v>79379.049827771931</v>
      </c>
      <c r="S252" s="259">
        <v>89522.591823778057</v>
      </c>
      <c r="U252" s="7" t="s">
        <v>2709</v>
      </c>
    </row>
    <row r="253" spans="1:21" ht="16.5" thickBot="1">
      <c r="A253" s="38" t="s">
        <v>31</v>
      </c>
      <c r="B253" s="39">
        <f t="shared" si="12"/>
        <v>110</v>
      </c>
      <c r="C253" s="39" t="s">
        <v>3</v>
      </c>
      <c r="D253" s="39">
        <f t="shared" si="13"/>
        <v>300</v>
      </c>
      <c r="E253" s="39" t="s">
        <v>3</v>
      </c>
      <c r="F253" s="90">
        <f t="shared" si="14"/>
        <v>2600</v>
      </c>
      <c r="G253" s="39" t="s">
        <v>3</v>
      </c>
      <c r="H253" s="39">
        <v>4</v>
      </c>
      <c r="I253" s="40" t="s">
        <v>40</v>
      </c>
      <c r="J253" s="149">
        <v>110</v>
      </c>
      <c r="K253" s="66">
        <v>300</v>
      </c>
      <c r="L253" s="66">
        <v>2600</v>
      </c>
      <c r="M253" s="156">
        <v>28.286978954510005</v>
      </c>
      <c r="N253" s="78">
        <v>1952.72705124</v>
      </c>
      <c r="O253" s="113">
        <v>46482.784282523098</v>
      </c>
      <c r="P253" s="111">
        <v>56811.503632689215</v>
      </c>
      <c r="Q253" s="110">
        <v>34160.019476619018</v>
      </c>
      <c r="R253" s="258">
        <v>80642.803759142116</v>
      </c>
      <c r="S253" s="259">
        <v>90971.52310930824</v>
      </c>
      <c r="U253" s="7" t="s">
        <v>2710</v>
      </c>
    </row>
    <row r="254" spans="1:21" ht="16.5" thickBot="1">
      <c r="A254" s="41" t="s">
        <v>31</v>
      </c>
      <c r="B254" s="42">
        <f t="shared" si="12"/>
        <v>110</v>
      </c>
      <c r="C254" s="42" t="s">
        <v>3</v>
      </c>
      <c r="D254" s="42">
        <f t="shared" si="13"/>
        <v>300</v>
      </c>
      <c r="E254" s="42" t="s">
        <v>3</v>
      </c>
      <c r="F254" s="90">
        <f t="shared" si="14"/>
        <v>2650</v>
      </c>
      <c r="G254" s="42" t="s">
        <v>3</v>
      </c>
      <c r="H254" s="39">
        <v>4</v>
      </c>
      <c r="I254" s="40" t="s">
        <v>40</v>
      </c>
      <c r="J254" s="149">
        <v>110</v>
      </c>
      <c r="K254" s="66">
        <v>300</v>
      </c>
      <c r="L254" s="66">
        <v>2650</v>
      </c>
      <c r="M254" s="156">
        <v>28.811672224270001</v>
      </c>
      <c r="N254" s="78">
        <v>1996.1209857120002</v>
      </c>
      <c r="O254" s="113">
        <v>47222.896580921544</v>
      </c>
      <c r="P254" s="111">
        <v>57736.793438276414</v>
      </c>
      <c r="Q254" s="110">
        <v>34934.995247374536</v>
      </c>
      <c r="R254" s="258">
        <v>82157.89182829608</v>
      </c>
      <c r="S254" s="259">
        <v>92671.788685650943</v>
      </c>
      <c r="U254" s="7" t="s">
        <v>2711</v>
      </c>
    </row>
    <row r="255" spans="1:21" ht="16.5" thickBot="1">
      <c r="A255" s="41" t="s">
        <v>31</v>
      </c>
      <c r="B255" s="42">
        <f t="shared" si="12"/>
        <v>110</v>
      </c>
      <c r="C255" s="42" t="s">
        <v>3</v>
      </c>
      <c r="D255" s="42">
        <f t="shared" si="13"/>
        <v>300</v>
      </c>
      <c r="E255" s="42" t="s">
        <v>3</v>
      </c>
      <c r="F255" s="90">
        <f t="shared" si="14"/>
        <v>2700</v>
      </c>
      <c r="G255" s="42" t="s">
        <v>3</v>
      </c>
      <c r="H255" s="39">
        <v>4</v>
      </c>
      <c r="I255" s="40" t="s">
        <v>40</v>
      </c>
      <c r="J255" s="149">
        <v>110</v>
      </c>
      <c r="K255" s="66">
        <v>300</v>
      </c>
      <c r="L255" s="66">
        <v>2700</v>
      </c>
      <c r="M255" s="156">
        <v>29.397825494030002</v>
      </c>
      <c r="N255" s="78">
        <v>2039.5149201840004</v>
      </c>
      <c r="O255" s="113">
        <v>48047.107061424555</v>
      </c>
      <c r="P255" s="111">
        <v>58746.694837475174</v>
      </c>
      <c r="Q255" s="110">
        <v>35458.637033375046</v>
      </c>
      <c r="R255" s="258">
        <v>83505.744094799593</v>
      </c>
      <c r="S255" s="259">
        <v>94205.331870850219</v>
      </c>
      <c r="U255" s="7" t="s">
        <v>2712</v>
      </c>
    </row>
    <row r="256" spans="1:21" ht="16.5" thickBot="1">
      <c r="A256" s="41" t="s">
        <v>31</v>
      </c>
      <c r="B256" s="42">
        <f t="shared" si="12"/>
        <v>110</v>
      </c>
      <c r="C256" s="42" t="s">
        <v>3</v>
      </c>
      <c r="D256" s="42">
        <f t="shared" si="13"/>
        <v>300</v>
      </c>
      <c r="E256" s="42" t="s">
        <v>3</v>
      </c>
      <c r="F256" s="90">
        <f t="shared" si="14"/>
        <v>2750</v>
      </c>
      <c r="G256" s="42" t="s">
        <v>3</v>
      </c>
      <c r="H256" s="39">
        <v>4</v>
      </c>
      <c r="I256" s="40" t="s">
        <v>40</v>
      </c>
      <c r="J256" s="149">
        <v>110</v>
      </c>
      <c r="K256" s="66">
        <v>300</v>
      </c>
      <c r="L256" s="66">
        <v>2750</v>
      </c>
      <c r="M256" s="156">
        <v>29.905478763790004</v>
      </c>
      <c r="N256" s="78">
        <v>2082.9088546560001</v>
      </c>
      <c r="O256" s="113">
        <v>48787.219359823001</v>
      </c>
      <c r="P256" s="111">
        <v>59671.984643062373</v>
      </c>
      <c r="Q256" s="110">
        <v>35982.278666346792</v>
      </c>
      <c r="R256" s="258">
        <v>84769.498026169793</v>
      </c>
      <c r="S256" s="259">
        <v>95654.263309409173</v>
      </c>
      <c r="U256" s="7" t="s">
        <v>2713</v>
      </c>
    </row>
    <row r="257" spans="1:21" ht="16.5" thickBot="1">
      <c r="A257" s="41" t="s">
        <v>31</v>
      </c>
      <c r="B257" s="42">
        <f t="shared" si="12"/>
        <v>110</v>
      </c>
      <c r="C257" s="42" t="s">
        <v>3</v>
      </c>
      <c r="D257" s="42">
        <f t="shared" si="13"/>
        <v>300</v>
      </c>
      <c r="E257" s="42" t="s">
        <v>3</v>
      </c>
      <c r="F257" s="90">
        <f t="shared" si="14"/>
        <v>2800</v>
      </c>
      <c r="G257" s="42" t="s">
        <v>3</v>
      </c>
      <c r="H257" s="39">
        <v>4</v>
      </c>
      <c r="I257" s="40" t="s">
        <v>40</v>
      </c>
      <c r="J257" s="149">
        <v>110</v>
      </c>
      <c r="K257" s="66">
        <v>300</v>
      </c>
      <c r="L257" s="66">
        <v>2800</v>
      </c>
      <c r="M257" s="156">
        <v>30.430172033550001</v>
      </c>
      <c r="N257" s="78">
        <v>2126.3027891280003</v>
      </c>
      <c r="O257" s="113">
        <v>49527.331658221439</v>
      </c>
      <c r="P257" s="111">
        <v>60597.274295620809</v>
      </c>
      <c r="Q257" s="110">
        <v>36757.25443710231</v>
      </c>
      <c r="R257" s="258">
        <v>86284.586095323757</v>
      </c>
      <c r="S257" s="259">
        <v>97354.52873272312</v>
      </c>
      <c r="U257" s="7" t="s">
        <v>2714</v>
      </c>
    </row>
    <row r="258" spans="1:21" ht="16.5" thickBot="1">
      <c r="A258" s="41" t="s">
        <v>31</v>
      </c>
      <c r="B258" s="42">
        <f t="shared" si="12"/>
        <v>110</v>
      </c>
      <c r="C258" s="42" t="s">
        <v>3</v>
      </c>
      <c r="D258" s="42">
        <f t="shared" si="13"/>
        <v>300</v>
      </c>
      <c r="E258" s="42" t="s">
        <v>3</v>
      </c>
      <c r="F258" s="90">
        <f t="shared" si="14"/>
        <v>2850</v>
      </c>
      <c r="G258" s="42" t="s">
        <v>3</v>
      </c>
      <c r="H258" s="39">
        <v>4</v>
      </c>
      <c r="I258" s="40" t="s">
        <v>40</v>
      </c>
      <c r="J258" s="149">
        <v>110</v>
      </c>
      <c r="K258" s="66">
        <v>300</v>
      </c>
      <c r="L258" s="66">
        <v>2850</v>
      </c>
      <c r="M258" s="156">
        <v>30.937825303309999</v>
      </c>
      <c r="N258" s="78">
        <v>2169.6967236</v>
      </c>
      <c r="O258" s="113">
        <v>50267.443803591115</v>
      </c>
      <c r="P258" s="111">
        <v>61522.564101207994</v>
      </c>
      <c r="Q258" s="110">
        <v>37280.89622310282</v>
      </c>
      <c r="R258" s="258">
        <v>87548.340026693942</v>
      </c>
      <c r="S258" s="259">
        <v>98803.460324310814</v>
      </c>
      <c r="U258" s="7" t="s">
        <v>2715</v>
      </c>
    </row>
    <row r="259" spans="1:21" ht="16.5" thickBot="1">
      <c r="A259" s="41" t="s">
        <v>31</v>
      </c>
      <c r="B259" s="42">
        <f t="shared" si="12"/>
        <v>110</v>
      </c>
      <c r="C259" s="42" t="s">
        <v>3</v>
      </c>
      <c r="D259" s="42">
        <f t="shared" si="13"/>
        <v>300</v>
      </c>
      <c r="E259" s="42" t="s">
        <v>3</v>
      </c>
      <c r="F259" s="90">
        <f t="shared" si="14"/>
        <v>2900</v>
      </c>
      <c r="G259" s="42" t="s">
        <v>3</v>
      </c>
      <c r="H259" s="39">
        <v>4</v>
      </c>
      <c r="I259" s="40" t="s">
        <v>40</v>
      </c>
      <c r="J259" s="149">
        <v>110</v>
      </c>
      <c r="K259" s="66">
        <v>300</v>
      </c>
      <c r="L259" s="66">
        <v>2900</v>
      </c>
      <c r="M259" s="156">
        <v>31.46251857307</v>
      </c>
      <c r="N259" s="78">
        <v>2213.0906580720002</v>
      </c>
      <c r="O259" s="113">
        <v>51007.556101989561</v>
      </c>
      <c r="P259" s="111">
        <v>62447.853906795201</v>
      </c>
      <c r="Q259" s="110">
        <v>38055.871993858338</v>
      </c>
      <c r="R259" s="258">
        <v>89063.428095847892</v>
      </c>
      <c r="S259" s="259">
        <v>100503.72590065355</v>
      </c>
      <c r="U259" s="7" t="s">
        <v>2716</v>
      </c>
    </row>
    <row r="260" spans="1:21" ht="16.5" thickBot="1">
      <c r="A260" s="41" t="s">
        <v>31</v>
      </c>
      <c r="B260" s="42">
        <f t="shared" si="12"/>
        <v>110</v>
      </c>
      <c r="C260" s="42" t="s">
        <v>3</v>
      </c>
      <c r="D260" s="42">
        <f t="shared" si="13"/>
        <v>300</v>
      </c>
      <c r="E260" s="42" t="s">
        <v>3</v>
      </c>
      <c r="F260" s="90">
        <f t="shared" si="14"/>
        <v>2950</v>
      </c>
      <c r="G260" s="42" t="s">
        <v>3</v>
      </c>
      <c r="H260" s="39">
        <v>4</v>
      </c>
      <c r="I260" s="40" t="s">
        <v>40</v>
      </c>
      <c r="J260" s="149">
        <v>110</v>
      </c>
      <c r="K260" s="66">
        <v>300</v>
      </c>
      <c r="L260" s="66">
        <v>2950</v>
      </c>
      <c r="M260" s="156">
        <v>31.970171842830005</v>
      </c>
      <c r="N260" s="78">
        <v>2256.484592544</v>
      </c>
      <c r="O260" s="113">
        <v>51747.668400388015</v>
      </c>
      <c r="P260" s="111">
        <v>63373.143559353637</v>
      </c>
      <c r="Q260" s="110">
        <v>38579.513779858848</v>
      </c>
      <c r="R260" s="258">
        <v>90327.182180246862</v>
      </c>
      <c r="S260" s="259">
        <v>101952.65733921248</v>
      </c>
      <c r="U260" s="7" t="s">
        <v>2717</v>
      </c>
    </row>
    <row r="261" spans="1:21" ht="16.5" thickBot="1">
      <c r="A261" s="43" t="s">
        <v>31</v>
      </c>
      <c r="B261" s="44">
        <f t="shared" si="12"/>
        <v>110</v>
      </c>
      <c r="C261" s="44" t="s">
        <v>3</v>
      </c>
      <c r="D261" s="44">
        <f t="shared" si="13"/>
        <v>300</v>
      </c>
      <c r="E261" s="44" t="s">
        <v>3</v>
      </c>
      <c r="F261" s="91">
        <f t="shared" si="14"/>
        <v>3000</v>
      </c>
      <c r="G261" s="44" t="s">
        <v>3</v>
      </c>
      <c r="H261" s="46">
        <v>4</v>
      </c>
      <c r="I261" s="45" t="s">
        <v>40</v>
      </c>
      <c r="J261" s="151">
        <v>110</v>
      </c>
      <c r="K261" s="126">
        <v>300</v>
      </c>
      <c r="L261" s="126">
        <v>3000</v>
      </c>
      <c r="M261" s="157">
        <v>32.494865112589999</v>
      </c>
      <c r="N261" s="127">
        <v>2299.8785270160001</v>
      </c>
      <c r="O261" s="128">
        <v>53768.702162172187</v>
      </c>
      <c r="P261" s="135">
        <v>64298.433364940836</v>
      </c>
      <c r="Q261" s="136">
        <v>39354.489550614366</v>
      </c>
      <c r="R261" s="260">
        <v>93123.19171278656</v>
      </c>
      <c r="S261" s="261">
        <v>103652.9229155552</v>
      </c>
      <c r="U261" s="7" t="s">
        <v>2718</v>
      </c>
    </row>
    <row r="262" spans="1:21" ht="22.5" customHeight="1" thickBot="1">
      <c r="A262" s="2968" t="s">
        <v>475</v>
      </c>
      <c r="B262" s="2969"/>
      <c r="C262" s="2969"/>
      <c r="D262" s="2969"/>
      <c r="E262" s="2969"/>
      <c r="F262" s="2969"/>
      <c r="G262" s="2969"/>
      <c r="H262" s="2969"/>
      <c r="I262" s="2969"/>
      <c r="J262" s="2969"/>
      <c r="K262" s="2969"/>
      <c r="L262" s="2969"/>
      <c r="M262" s="2969"/>
      <c r="N262" s="2969"/>
      <c r="O262" s="2969"/>
      <c r="P262" s="2969"/>
      <c r="Q262" s="2969"/>
      <c r="R262" s="2969"/>
      <c r="S262" s="2970"/>
      <c r="U262" s="7"/>
    </row>
    <row r="263" spans="1:21" ht="16.5" thickBot="1">
      <c r="A263" s="2974" t="s">
        <v>113</v>
      </c>
      <c r="B263" s="2975"/>
      <c r="C263" s="2975"/>
      <c r="D263" s="2975"/>
      <c r="E263" s="2975"/>
      <c r="F263" s="2975"/>
      <c r="G263" s="2975"/>
      <c r="H263" s="2975"/>
      <c r="I263" s="2975"/>
      <c r="J263" s="2975"/>
      <c r="K263" s="2975"/>
      <c r="L263" s="2975"/>
      <c r="M263" s="2975"/>
      <c r="N263" s="2975"/>
      <c r="O263" s="2975"/>
      <c r="P263" s="2975"/>
      <c r="Q263" s="2975"/>
      <c r="R263" s="2975"/>
      <c r="S263" s="2976"/>
      <c r="U263" s="7"/>
    </row>
    <row r="264" spans="1:21" ht="16.5" thickBot="1">
      <c r="A264" s="38" t="s">
        <v>31</v>
      </c>
      <c r="B264" s="39">
        <f>J264</f>
        <v>110</v>
      </c>
      <c r="C264" s="39" t="s">
        <v>3</v>
      </c>
      <c r="D264" s="39">
        <f>K264</f>
        <v>360</v>
      </c>
      <c r="E264" s="39" t="s">
        <v>3</v>
      </c>
      <c r="F264" s="90">
        <f>L264</f>
        <v>600</v>
      </c>
      <c r="G264" s="39" t="s">
        <v>3</v>
      </c>
      <c r="H264" s="39">
        <v>4</v>
      </c>
      <c r="I264" s="40" t="s">
        <v>40</v>
      </c>
      <c r="J264" s="146">
        <v>110</v>
      </c>
      <c r="K264" s="122">
        <v>360</v>
      </c>
      <c r="L264" s="122">
        <v>600</v>
      </c>
      <c r="M264" s="155">
        <v>7.9319177571942117</v>
      </c>
      <c r="N264" s="123">
        <v>235.68702076259999</v>
      </c>
      <c r="O264" s="124">
        <v>15662.914021475257</v>
      </c>
      <c r="P264" s="148">
        <v>19026.377934557051</v>
      </c>
      <c r="Q264" s="139">
        <v>10032.760953270536</v>
      </c>
      <c r="R264" s="256">
        <v>25695.674974745794</v>
      </c>
      <c r="S264" s="257">
        <v>29059.138887827587</v>
      </c>
      <c r="U264" s="7" t="s">
        <v>2719</v>
      </c>
    </row>
    <row r="265" spans="1:21" ht="16.5" thickBot="1">
      <c r="A265" s="41" t="s">
        <v>31</v>
      </c>
      <c r="B265" s="42">
        <f t="shared" ref="B265:B312" si="15">J265</f>
        <v>110</v>
      </c>
      <c r="C265" s="42" t="s">
        <v>3</v>
      </c>
      <c r="D265" s="42">
        <f t="shared" ref="D265:D312" si="16">K265</f>
        <v>360</v>
      </c>
      <c r="E265" s="42" t="s">
        <v>3</v>
      </c>
      <c r="F265" s="90">
        <f t="shared" ref="F265:F312" si="17">L265</f>
        <v>650</v>
      </c>
      <c r="G265" s="42" t="s">
        <v>3</v>
      </c>
      <c r="H265" s="39">
        <v>4</v>
      </c>
      <c r="I265" s="40" t="s">
        <v>40</v>
      </c>
      <c r="J265" s="149">
        <v>110</v>
      </c>
      <c r="K265" s="66">
        <v>360</v>
      </c>
      <c r="L265" s="66">
        <v>650</v>
      </c>
      <c r="M265" s="156">
        <v>8.4873515887963151</v>
      </c>
      <c r="N265" s="78">
        <v>282.82442491512001</v>
      </c>
      <c r="O265" s="113">
        <v>16433.675992154291</v>
      </c>
      <c r="P265" s="111">
        <v>20005.349006719975</v>
      </c>
      <c r="Q265" s="110">
        <v>10636.181837508726</v>
      </c>
      <c r="R265" s="258">
        <v>27069.857829663015</v>
      </c>
      <c r="S265" s="259">
        <v>30641.530844228699</v>
      </c>
      <c r="U265" s="7" t="s">
        <v>2720</v>
      </c>
    </row>
    <row r="266" spans="1:21" ht="16.5" thickBot="1">
      <c r="A266" s="41" t="s">
        <v>31</v>
      </c>
      <c r="B266" s="42">
        <f t="shared" si="15"/>
        <v>110</v>
      </c>
      <c r="C266" s="42" t="s">
        <v>3</v>
      </c>
      <c r="D266" s="42">
        <f t="shared" si="16"/>
        <v>360</v>
      </c>
      <c r="E266" s="42" t="s">
        <v>3</v>
      </c>
      <c r="F266" s="90">
        <f t="shared" si="17"/>
        <v>700</v>
      </c>
      <c r="G266" s="42" t="s">
        <v>3</v>
      </c>
      <c r="H266" s="39">
        <v>4</v>
      </c>
      <c r="I266" s="40" t="s">
        <v>40</v>
      </c>
      <c r="J266" s="149">
        <v>110</v>
      </c>
      <c r="K266" s="66">
        <v>360</v>
      </c>
      <c r="L266" s="66">
        <v>700</v>
      </c>
      <c r="M266" s="156">
        <v>9.0598254203984201</v>
      </c>
      <c r="N266" s="78">
        <v>329.96182906764</v>
      </c>
      <c r="O266" s="113">
        <v>17204.437962833326</v>
      </c>
      <c r="P266" s="111">
        <v>20984.320078882905</v>
      </c>
      <c r="Q266" s="110">
        <v>11490.936859530682</v>
      </c>
      <c r="R266" s="258">
        <v>28695.374822364007</v>
      </c>
      <c r="S266" s="259">
        <v>32475.256938413586</v>
      </c>
      <c r="U266" s="7" t="s">
        <v>2721</v>
      </c>
    </row>
    <row r="267" spans="1:21" ht="16.5" thickBot="1">
      <c r="A267" s="41" t="s">
        <v>31</v>
      </c>
      <c r="B267" s="42">
        <f t="shared" si="15"/>
        <v>110</v>
      </c>
      <c r="C267" s="42" t="s">
        <v>3</v>
      </c>
      <c r="D267" s="42">
        <f t="shared" si="16"/>
        <v>360</v>
      </c>
      <c r="E267" s="42" t="s">
        <v>3</v>
      </c>
      <c r="F267" s="90">
        <f t="shared" si="17"/>
        <v>750</v>
      </c>
      <c r="G267" s="42" t="s">
        <v>3</v>
      </c>
      <c r="H267" s="39">
        <v>4</v>
      </c>
      <c r="I267" s="40" t="s">
        <v>40</v>
      </c>
      <c r="J267" s="149">
        <v>110</v>
      </c>
      <c r="K267" s="66">
        <v>360</v>
      </c>
      <c r="L267" s="66">
        <v>750</v>
      </c>
      <c r="M267" s="156">
        <v>9.6152592520005271</v>
      </c>
      <c r="N267" s="78">
        <v>377.09923322015999</v>
      </c>
      <c r="O267" s="113">
        <v>17975.199933512358</v>
      </c>
      <c r="P267" s="111">
        <v>21963.291151045829</v>
      </c>
      <c r="Q267" s="110">
        <v>12094.357743768871</v>
      </c>
      <c r="R267" s="258">
        <v>30069.557677281227</v>
      </c>
      <c r="S267" s="259">
        <v>34057.648894814702</v>
      </c>
      <c r="U267" s="7" t="s">
        <v>2722</v>
      </c>
    </row>
    <row r="268" spans="1:21" ht="16.5" thickBot="1">
      <c r="A268" s="41" t="s">
        <v>31</v>
      </c>
      <c r="B268" s="42">
        <f t="shared" si="15"/>
        <v>110</v>
      </c>
      <c r="C268" s="42" t="s">
        <v>3</v>
      </c>
      <c r="D268" s="42">
        <f t="shared" si="16"/>
        <v>360</v>
      </c>
      <c r="E268" s="42" t="s">
        <v>3</v>
      </c>
      <c r="F268" s="90">
        <f t="shared" si="17"/>
        <v>800</v>
      </c>
      <c r="G268" s="42" t="s">
        <v>3</v>
      </c>
      <c r="H268" s="39">
        <v>4</v>
      </c>
      <c r="I268" s="40" t="s">
        <v>40</v>
      </c>
      <c r="J268" s="149">
        <v>110</v>
      </c>
      <c r="K268" s="66">
        <v>360</v>
      </c>
      <c r="L268" s="66">
        <v>800</v>
      </c>
      <c r="M268" s="156">
        <v>10.170693083602632</v>
      </c>
      <c r="N268" s="78">
        <v>424.23663737268004</v>
      </c>
      <c r="O268" s="113">
        <v>18745.961751162631</v>
      </c>
      <c r="P268" s="111">
        <v>22942.262070179997</v>
      </c>
      <c r="Q268" s="110">
        <v>12697.77862800706</v>
      </c>
      <c r="R268" s="258">
        <v>31443.740379169692</v>
      </c>
      <c r="S268" s="259">
        <v>35640.040698187055</v>
      </c>
      <c r="U268" s="7" t="s">
        <v>2723</v>
      </c>
    </row>
    <row r="269" spans="1:21" ht="16.5" thickBot="1">
      <c r="A269" s="41" t="s">
        <v>31</v>
      </c>
      <c r="B269" s="42">
        <f t="shared" si="15"/>
        <v>110</v>
      </c>
      <c r="C269" s="42" t="s">
        <v>3</v>
      </c>
      <c r="D269" s="42">
        <f t="shared" si="16"/>
        <v>360</v>
      </c>
      <c r="E269" s="42" t="s">
        <v>3</v>
      </c>
      <c r="F269" s="90">
        <f t="shared" si="17"/>
        <v>850</v>
      </c>
      <c r="G269" s="42" t="s">
        <v>3</v>
      </c>
      <c r="H269" s="39">
        <v>4</v>
      </c>
      <c r="I269" s="40" t="s">
        <v>40</v>
      </c>
      <c r="J269" s="149">
        <v>110</v>
      </c>
      <c r="K269" s="66">
        <v>360</v>
      </c>
      <c r="L269" s="66">
        <v>850</v>
      </c>
      <c r="M269" s="156">
        <v>10.743166915204737</v>
      </c>
      <c r="N269" s="78">
        <v>471.37404152519997</v>
      </c>
      <c r="O269" s="113">
        <v>19516.723721841663</v>
      </c>
      <c r="P269" s="111">
        <v>23921.23314234292</v>
      </c>
      <c r="Q269" s="110">
        <v>13552.533650029018</v>
      </c>
      <c r="R269" s="258">
        <v>33069.257371870684</v>
      </c>
      <c r="S269" s="259">
        <v>37473.766792371942</v>
      </c>
      <c r="U269" s="7" t="s">
        <v>2724</v>
      </c>
    </row>
    <row r="270" spans="1:21" ht="16.5" thickBot="1">
      <c r="A270" s="41" t="s">
        <v>31</v>
      </c>
      <c r="B270" s="42">
        <f t="shared" si="15"/>
        <v>110</v>
      </c>
      <c r="C270" s="42" t="s">
        <v>3</v>
      </c>
      <c r="D270" s="42">
        <f t="shared" si="16"/>
        <v>360</v>
      </c>
      <c r="E270" s="42" t="s">
        <v>3</v>
      </c>
      <c r="F270" s="90">
        <f t="shared" si="17"/>
        <v>900</v>
      </c>
      <c r="G270" s="42" t="s">
        <v>3</v>
      </c>
      <c r="H270" s="39">
        <v>4</v>
      </c>
      <c r="I270" s="40" t="s">
        <v>40</v>
      </c>
      <c r="J270" s="149">
        <v>110</v>
      </c>
      <c r="K270" s="66">
        <v>360</v>
      </c>
      <c r="L270" s="66">
        <v>900</v>
      </c>
      <c r="M270" s="156">
        <v>11.298600746806844</v>
      </c>
      <c r="N270" s="78">
        <v>518.51144567771996</v>
      </c>
      <c r="O270" s="113">
        <v>20287.485692520699</v>
      </c>
      <c r="P270" s="111">
        <v>24900.204214505851</v>
      </c>
      <c r="Q270" s="110">
        <v>14155.954534267206</v>
      </c>
      <c r="R270" s="258">
        <v>34443.440226787905</v>
      </c>
      <c r="S270" s="259">
        <v>39056.158748773058</v>
      </c>
      <c r="U270" s="7" t="s">
        <v>2725</v>
      </c>
    </row>
    <row r="271" spans="1:21" ht="16.5" thickBot="1">
      <c r="A271" s="41" t="s">
        <v>31</v>
      </c>
      <c r="B271" s="42">
        <f t="shared" si="15"/>
        <v>110</v>
      </c>
      <c r="C271" s="42" t="s">
        <v>3</v>
      </c>
      <c r="D271" s="42">
        <f t="shared" si="16"/>
        <v>360</v>
      </c>
      <c r="E271" s="42" t="s">
        <v>3</v>
      </c>
      <c r="F271" s="90">
        <f t="shared" si="17"/>
        <v>950</v>
      </c>
      <c r="G271" s="42" t="s">
        <v>3</v>
      </c>
      <c r="H271" s="39">
        <v>4</v>
      </c>
      <c r="I271" s="40" t="s">
        <v>40</v>
      </c>
      <c r="J271" s="149">
        <v>110</v>
      </c>
      <c r="K271" s="66">
        <v>360</v>
      </c>
      <c r="L271" s="66">
        <v>950</v>
      </c>
      <c r="M271" s="156">
        <v>11.871074578408946</v>
      </c>
      <c r="N271" s="78">
        <v>565.64884983024001</v>
      </c>
      <c r="O271" s="113">
        <v>21058.247663199731</v>
      </c>
      <c r="P271" s="111">
        <v>25879.175286668778</v>
      </c>
      <c r="Q271" s="110">
        <v>15010.709556289165</v>
      </c>
      <c r="R271" s="258">
        <v>36068.957219488897</v>
      </c>
      <c r="S271" s="259">
        <v>40889.884842957945</v>
      </c>
      <c r="U271" s="7" t="s">
        <v>2726</v>
      </c>
    </row>
    <row r="272" spans="1:21" ht="16.5" thickBot="1">
      <c r="A272" s="41" t="s">
        <v>31</v>
      </c>
      <c r="B272" s="42">
        <f t="shared" si="15"/>
        <v>110</v>
      </c>
      <c r="C272" s="42" t="s">
        <v>3</v>
      </c>
      <c r="D272" s="42">
        <f t="shared" si="16"/>
        <v>360</v>
      </c>
      <c r="E272" s="42" t="s">
        <v>3</v>
      </c>
      <c r="F272" s="90">
        <f t="shared" si="17"/>
        <v>1000</v>
      </c>
      <c r="G272" s="42" t="s">
        <v>3</v>
      </c>
      <c r="H272" s="39">
        <v>4</v>
      </c>
      <c r="I272" s="40" t="s">
        <v>40</v>
      </c>
      <c r="J272" s="149">
        <v>110</v>
      </c>
      <c r="K272" s="66">
        <v>360</v>
      </c>
      <c r="L272" s="66">
        <v>1000</v>
      </c>
      <c r="M272" s="156">
        <v>12.426508410011053</v>
      </c>
      <c r="N272" s="78">
        <v>612.78625398275994</v>
      </c>
      <c r="O272" s="113">
        <v>21829.009633878766</v>
      </c>
      <c r="P272" s="111">
        <v>26858.146205802943</v>
      </c>
      <c r="Q272" s="110">
        <v>15614.130440527351</v>
      </c>
      <c r="R272" s="258">
        <v>37443.140074406117</v>
      </c>
      <c r="S272" s="259">
        <v>42472.276646330298</v>
      </c>
      <c r="U272" s="7" t="s">
        <v>2727</v>
      </c>
    </row>
    <row r="273" spans="1:21" ht="16.5" thickBot="1">
      <c r="A273" s="41" t="s">
        <v>31</v>
      </c>
      <c r="B273" s="42">
        <f t="shared" si="15"/>
        <v>110</v>
      </c>
      <c r="C273" s="42" t="s">
        <v>3</v>
      </c>
      <c r="D273" s="42">
        <f t="shared" si="16"/>
        <v>360</v>
      </c>
      <c r="E273" s="42" t="s">
        <v>3</v>
      </c>
      <c r="F273" s="90">
        <f t="shared" si="17"/>
        <v>1050</v>
      </c>
      <c r="G273" s="42" t="s">
        <v>3</v>
      </c>
      <c r="H273" s="39">
        <v>4</v>
      </c>
      <c r="I273" s="40" t="s">
        <v>40</v>
      </c>
      <c r="J273" s="149">
        <v>110</v>
      </c>
      <c r="K273" s="66">
        <v>360</v>
      </c>
      <c r="L273" s="66">
        <v>1050</v>
      </c>
      <c r="M273" s="156">
        <v>12.998982241613156</v>
      </c>
      <c r="N273" s="78">
        <v>659.92365813527999</v>
      </c>
      <c r="O273" s="113">
        <v>22599.771604557802</v>
      </c>
      <c r="P273" s="111">
        <v>27837.11727796587</v>
      </c>
      <c r="Q273" s="110">
        <v>16468.885462549311</v>
      </c>
      <c r="R273" s="258">
        <v>39068.657067107109</v>
      </c>
      <c r="S273" s="259">
        <v>44306.002740515178</v>
      </c>
      <c r="U273" s="7" t="s">
        <v>2728</v>
      </c>
    </row>
    <row r="274" spans="1:21" ht="16.5" thickBot="1">
      <c r="A274" s="38" t="s">
        <v>31</v>
      </c>
      <c r="B274" s="39">
        <f t="shared" si="15"/>
        <v>110</v>
      </c>
      <c r="C274" s="39" t="s">
        <v>3</v>
      </c>
      <c r="D274" s="39">
        <f t="shared" si="16"/>
        <v>360</v>
      </c>
      <c r="E274" s="39" t="s">
        <v>3</v>
      </c>
      <c r="F274" s="90">
        <f t="shared" si="17"/>
        <v>1100</v>
      </c>
      <c r="G274" s="39" t="s">
        <v>3</v>
      </c>
      <c r="H274" s="39">
        <v>4</v>
      </c>
      <c r="I274" s="40" t="s">
        <v>40</v>
      </c>
      <c r="J274" s="149">
        <v>110</v>
      </c>
      <c r="K274" s="66">
        <v>360</v>
      </c>
      <c r="L274" s="66">
        <v>1100</v>
      </c>
      <c r="M274" s="156">
        <v>13.554416073215263</v>
      </c>
      <c r="N274" s="78">
        <v>707.06106228780004</v>
      </c>
      <c r="O274" s="113">
        <v>23370.533422208067</v>
      </c>
      <c r="P274" s="111">
        <v>28816.088350128801</v>
      </c>
      <c r="Q274" s="110">
        <v>17072.3063467875</v>
      </c>
      <c r="R274" s="258">
        <v>40442.839768995567</v>
      </c>
      <c r="S274" s="259">
        <v>45888.394696916301</v>
      </c>
      <c r="U274" s="7" t="s">
        <v>2729</v>
      </c>
    </row>
    <row r="275" spans="1:21" ht="16.5" thickBot="1">
      <c r="A275" s="41" t="s">
        <v>31</v>
      </c>
      <c r="B275" s="42">
        <f t="shared" si="15"/>
        <v>110</v>
      </c>
      <c r="C275" s="42" t="s">
        <v>3</v>
      </c>
      <c r="D275" s="42">
        <f t="shared" si="16"/>
        <v>360</v>
      </c>
      <c r="E275" s="42" t="s">
        <v>3</v>
      </c>
      <c r="F275" s="90">
        <f t="shared" si="17"/>
        <v>1150</v>
      </c>
      <c r="G275" s="42" t="s">
        <v>3</v>
      </c>
      <c r="H275" s="39">
        <v>4</v>
      </c>
      <c r="I275" s="40" t="s">
        <v>40</v>
      </c>
      <c r="J275" s="149">
        <v>110</v>
      </c>
      <c r="K275" s="66">
        <v>360</v>
      </c>
      <c r="L275" s="66">
        <v>1150</v>
      </c>
      <c r="M275" s="156">
        <v>14.109849904817368</v>
      </c>
      <c r="N275" s="78">
        <v>754.19846644031998</v>
      </c>
      <c r="O275" s="113">
        <v>24141.295392887103</v>
      </c>
      <c r="P275" s="111">
        <v>29795.059422291721</v>
      </c>
      <c r="Q275" s="110">
        <v>17675.727231025689</v>
      </c>
      <c r="R275" s="258">
        <v>41817.022623912795</v>
      </c>
      <c r="S275" s="259">
        <v>47470.786653317409</v>
      </c>
      <c r="U275" s="7" t="s">
        <v>2730</v>
      </c>
    </row>
    <row r="276" spans="1:21" ht="16.5" thickBot="1">
      <c r="A276" s="41" t="s">
        <v>31</v>
      </c>
      <c r="B276" s="42">
        <f t="shared" si="15"/>
        <v>110</v>
      </c>
      <c r="C276" s="42" t="s">
        <v>3</v>
      </c>
      <c r="D276" s="42">
        <f t="shared" si="16"/>
        <v>360</v>
      </c>
      <c r="E276" s="42" t="s">
        <v>3</v>
      </c>
      <c r="F276" s="90">
        <f t="shared" si="17"/>
        <v>1200</v>
      </c>
      <c r="G276" s="42" t="s">
        <v>3</v>
      </c>
      <c r="H276" s="39">
        <v>4</v>
      </c>
      <c r="I276" s="40" t="s">
        <v>40</v>
      </c>
      <c r="J276" s="149">
        <v>110</v>
      </c>
      <c r="K276" s="66">
        <v>360</v>
      </c>
      <c r="L276" s="66">
        <v>1200</v>
      </c>
      <c r="M276" s="156">
        <v>14.760823736419471</v>
      </c>
      <c r="N276" s="78">
        <v>801.33587059284002</v>
      </c>
      <c r="O276" s="113">
        <v>24996.155698699469</v>
      </c>
      <c r="P276" s="111">
        <v>30858.642088066212</v>
      </c>
      <c r="Q276" s="110">
        <v>18530.482406076411</v>
      </c>
      <c r="R276" s="258">
        <v>43526.638104775877</v>
      </c>
      <c r="S276" s="259">
        <v>49389.124494142627</v>
      </c>
      <c r="U276" s="7" t="s">
        <v>2731</v>
      </c>
    </row>
    <row r="277" spans="1:21" ht="16.5" thickBot="1">
      <c r="A277" s="41" t="s">
        <v>31</v>
      </c>
      <c r="B277" s="42">
        <f t="shared" si="15"/>
        <v>110</v>
      </c>
      <c r="C277" s="42" t="s">
        <v>3</v>
      </c>
      <c r="D277" s="42">
        <f t="shared" si="16"/>
        <v>360</v>
      </c>
      <c r="E277" s="42" t="s">
        <v>3</v>
      </c>
      <c r="F277" s="90">
        <f t="shared" si="17"/>
        <v>1250</v>
      </c>
      <c r="G277" s="42" t="s">
        <v>3</v>
      </c>
      <c r="H277" s="39">
        <v>4</v>
      </c>
      <c r="I277" s="40" t="s">
        <v>40</v>
      </c>
      <c r="J277" s="149">
        <v>110</v>
      </c>
      <c r="K277" s="66">
        <v>360</v>
      </c>
      <c r="L277" s="66">
        <v>1250</v>
      </c>
      <c r="M277" s="156">
        <v>15.31625756802158</v>
      </c>
      <c r="N277" s="78">
        <v>848.47327474536007</v>
      </c>
      <c r="O277" s="113">
        <v>25766.917669378501</v>
      </c>
      <c r="P277" s="111">
        <v>31837.613160229139</v>
      </c>
      <c r="Q277" s="110">
        <v>19133.9032903146</v>
      </c>
      <c r="R277" s="258">
        <v>44900.820959693097</v>
      </c>
      <c r="S277" s="259">
        <v>50971.516450543742</v>
      </c>
      <c r="U277" s="7" t="s">
        <v>2732</v>
      </c>
    </row>
    <row r="278" spans="1:21" ht="16.5" thickBot="1">
      <c r="A278" s="41" t="s">
        <v>31</v>
      </c>
      <c r="B278" s="42">
        <f t="shared" si="15"/>
        <v>110</v>
      </c>
      <c r="C278" s="42" t="s">
        <v>3</v>
      </c>
      <c r="D278" s="42">
        <f t="shared" si="16"/>
        <v>360</v>
      </c>
      <c r="E278" s="42" t="s">
        <v>3</v>
      </c>
      <c r="F278" s="90">
        <f t="shared" si="17"/>
        <v>1300</v>
      </c>
      <c r="G278" s="42" t="s">
        <v>3</v>
      </c>
      <c r="H278" s="39">
        <v>4</v>
      </c>
      <c r="I278" s="40" t="s">
        <v>40</v>
      </c>
      <c r="J278" s="149">
        <v>110</v>
      </c>
      <c r="K278" s="66">
        <v>360</v>
      </c>
      <c r="L278" s="66">
        <v>1300</v>
      </c>
      <c r="M278" s="156">
        <v>15.888731399623683</v>
      </c>
      <c r="N278" s="78">
        <v>895.61067889787989</v>
      </c>
      <c r="O278" s="113">
        <v>26537.67948702877</v>
      </c>
      <c r="P278" s="111">
        <v>32816.584232392066</v>
      </c>
      <c r="Q278" s="110">
        <v>19988.658312336556</v>
      </c>
      <c r="R278" s="258">
        <v>46526.337799365327</v>
      </c>
      <c r="S278" s="259">
        <v>52805.242544728622</v>
      </c>
      <c r="U278" s="7" t="s">
        <v>2733</v>
      </c>
    </row>
    <row r="279" spans="1:21" ht="16.5" thickBot="1">
      <c r="A279" s="41" t="s">
        <v>31</v>
      </c>
      <c r="B279" s="42">
        <f t="shared" si="15"/>
        <v>110</v>
      </c>
      <c r="C279" s="42" t="s">
        <v>3</v>
      </c>
      <c r="D279" s="42">
        <f t="shared" si="16"/>
        <v>360</v>
      </c>
      <c r="E279" s="42" t="s">
        <v>3</v>
      </c>
      <c r="F279" s="90">
        <f t="shared" si="17"/>
        <v>1350</v>
      </c>
      <c r="G279" s="42" t="s">
        <v>3</v>
      </c>
      <c r="H279" s="39">
        <v>4</v>
      </c>
      <c r="I279" s="40" t="s">
        <v>40</v>
      </c>
      <c r="J279" s="149">
        <v>110</v>
      </c>
      <c r="K279" s="66">
        <v>360</v>
      </c>
      <c r="L279" s="66">
        <v>1350</v>
      </c>
      <c r="M279" s="156">
        <v>16.444165231225789</v>
      </c>
      <c r="N279" s="78">
        <v>942.74808305039994</v>
      </c>
      <c r="O279" s="113">
        <v>27308.441457707806</v>
      </c>
      <c r="P279" s="111">
        <v>33795.55530455499</v>
      </c>
      <c r="Q279" s="110">
        <v>20592.079196574745</v>
      </c>
      <c r="R279" s="258">
        <v>47900.520654282547</v>
      </c>
      <c r="S279" s="259">
        <v>54387.634501129738</v>
      </c>
      <c r="U279" s="7" t="s">
        <v>2734</v>
      </c>
    </row>
    <row r="280" spans="1:21" ht="16.5" thickBot="1">
      <c r="A280" s="41" t="s">
        <v>31</v>
      </c>
      <c r="B280" s="42">
        <f t="shared" si="15"/>
        <v>110</v>
      </c>
      <c r="C280" s="42" t="s">
        <v>3</v>
      </c>
      <c r="D280" s="42">
        <f t="shared" si="16"/>
        <v>360</v>
      </c>
      <c r="E280" s="42" t="s">
        <v>3</v>
      </c>
      <c r="F280" s="90">
        <f t="shared" si="17"/>
        <v>1400</v>
      </c>
      <c r="G280" s="42" t="s">
        <v>3</v>
      </c>
      <c r="H280" s="39">
        <v>4</v>
      </c>
      <c r="I280" s="40" t="s">
        <v>40</v>
      </c>
      <c r="J280" s="149">
        <v>110</v>
      </c>
      <c r="K280" s="66">
        <v>360</v>
      </c>
      <c r="L280" s="66">
        <v>1400</v>
      </c>
      <c r="M280" s="156">
        <v>17.016639062827892</v>
      </c>
      <c r="N280" s="78">
        <v>989.88548720291999</v>
      </c>
      <c r="O280" s="113">
        <v>28079.203428386838</v>
      </c>
      <c r="P280" s="111">
        <v>34774.526223689158</v>
      </c>
      <c r="Q280" s="110">
        <v>21446.834218596705</v>
      </c>
      <c r="R280" s="258">
        <v>49526.037646983546</v>
      </c>
      <c r="S280" s="259">
        <v>56221.360442285863</v>
      </c>
      <c r="U280" s="7" t="s">
        <v>2735</v>
      </c>
    </row>
    <row r="281" spans="1:21" ht="16.5" thickBot="1">
      <c r="A281" s="41" t="s">
        <v>31</v>
      </c>
      <c r="B281" s="42">
        <f t="shared" si="15"/>
        <v>110</v>
      </c>
      <c r="C281" s="42" t="s">
        <v>3</v>
      </c>
      <c r="D281" s="42">
        <f t="shared" si="16"/>
        <v>360</v>
      </c>
      <c r="E281" s="42" t="s">
        <v>3</v>
      </c>
      <c r="F281" s="90">
        <f t="shared" si="17"/>
        <v>1450</v>
      </c>
      <c r="G281" s="42" t="s">
        <v>3</v>
      </c>
      <c r="H281" s="39">
        <v>4</v>
      </c>
      <c r="I281" s="40" t="s">
        <v>40</v>
      </c>
      <c r="J281" s="149">
        <v>110</v>
      </c>
      <c r="K281" s="66">
        <v>360</v>
      </c>
      <c r="L281" s="66">
        <v>1450</v>
      </c>
      <c r="M281" s="156">
        <v>17.572072894430001</v>
      </c>
      <c r="N281" s="78">
        <v>1037.0228913554399</v>
      </c>
      <c r="O281" s="113">
        <v>28849.965399065873</v>
      </c>
      <c r="P281" s="111">
        <v>35753.497295852081</v>
      </c>
      <c r="Q281" s="110">
        <v>22050.255102834893</v>
      </c>
      <c r="R281" s="258">
        <v>50900.220501900767</v>
      </c>
      <c r="S281" s="259">
        <v>57803.752398686978</v>
      </c>
      <c r="U281" s="7" t="s">
        <v>2736</v>
      </c>
    </row>
    <row r="282" spans="1:21" ht="16.5" thickBot="1">
      <c r="A282" s="41" t="s">
        <v>31</v>
      </c>
      <c r="B282" s="42">
        <f t="shared" si="15"/>
        <v>110</v>
      </c>
      <c r="C282" s="42" t="s">
        <v>3</v>
      </c>
      <c r="D282" s="42">
        <f t="shared" si="16"/>
        <v>360</v>
      </c>
      <c r="E282" s="42" t="s">
        <v>3</v>
      </c>
      <c r="F282" s="90">
        <f t="shared" si="17"/>
        <v>1500</v>
      </c>
      <c r="G282" s="42" t="s">
        <v>3</v>
      </c>
      <c r="H282" s="39">
        <v>4</v>
      </c>
      <c r="I282" s="40" t="s">
        <v>40</v>
      </c>
      <c r="J282" s="149">
        <v>110</v>
      </c>
      <c r="K282" s="66">
        <v>360</v>
      </c>
      <c r="L282" s="66">
        <v>1500</v>
      </c>
      <c r="M282" s="156">
        <v>18.347776104332105</v>
      </c>
      <c r="N282" s="78">
        <v>1084.16029550796</v>
      </c>
      <c r="O282" s="113">
        <v>30440.918855789441</v>
      </c>
      <c r="P282" s="111">
        <v>37537.578869256475</v>
      </c>
      <c r="Q282" s="110">
        <v>22905.01012485685</v>
      </c>
      <c r="R282" s="258">
        <v>53345.928980646291</v>
      </c>
      <c r="S282" s="259">
        <v>60442.588994113321</v>
      </c>
      <c r="U282" s="7" t="s">
        <v>2737</v>
      </c>
    </row>
    <row r="283" spans="1:21" ht="16.5" thickBot="1">
      <c r="A283" s="41" t="s">
        <v>31</v>
      </c>
      <c r="B283" s="42">
        <f t="shared" si="15"/>
        <v>110</v>
      </c>
      <c r="C283" s="42" t="s">
        <v>3</v>
      </c>
      <c r="D283" s="42">
        <f t="shared" si="16"/>
        <v>360</v>
      </c>
      <c r="E283" s="42" t="s">
        <v>3</v>
      </c>
      <c r="F283" s="90">
        <f t="shared" si="17"/>
        <v>1550</v>
      </c>
      <c r="G283" s="42" t="s">
        <v>3</v>
      </c>
      <c r="H283" s="39">
        <v>4</v>
      </c>
      <c r="I283" s="40" t="s">
        <v>40</v>
      </c>
      <c r="J283" s="149">
        <v>110</v>
      </c>
      <c r="K283" s="66">
        <v>360</v>
      </c>
      <c r="L283" s="66">
        <v>1550</v>
      </c>
      <c r="M283" s="156">
        <v>18.903209935934207</v>
      </c>
      <c r="N283" s="78">
        <v>1131.29769966048</v>
      </c>
      <c r="O283" s="113">
        <v>31211.680826468473</v>
      </c>
      <c r="P283" s="111">
        <v>38516.549941419406</v>
      </c>
      <c r="Q283" s="110">
        <v>23508.431009095038</v>
      </c>
      <c r="R283" s="258">
        <v>54720.111835563512</v>
      </c>
      <c r="S283" s="259">
        <v>62024.980950514444</v>
      </c>
      <c r="U283" s="7" t="s">
        <v>2738</v>
      </c>
    </row>
    <row r="284" spans="1:21" ht="16.5" thickBot="1">
      <c r="A284" s="38" t="s">
        <v>31</v>
      </c>
      <c r="B284" s="39">
        <f t="shared" si="15"/>
        <v>110</v>
      </c>
      <c r="C284" s="39" t="s">
        <v>3</v>
      </c>
      <c r="D284" s="39">
        <f t="shared" si="16"/>
        <v>360</v>
      </c>
      <c r="E284" s="39" t="s">
        <v>3</v>
      </c>
      <c r="F284" s="90">
        <f t="shared" si="17"/>
        <v>1600</v>
      </c>
      <c r="G284" s="39" t="s">
        <v>3</v>
      </c>
      <c r="H284" s="39">
        <v>4</v>
      </c>
      <c r="I284" s="40" t="s">
        <v>40</v>
      </c>
      <c r="J284" s="149">
        <v>110</v>
      </c>
      <c r="K284" s="66">
        <v>360</v>
      </c>
      <c r="L284" s="66">
        <v>1600</v>
      </c>
      <c r="M284" s="156">
        <v>19.458643767536312</v>
      </c>
      <c r="N284" s="78">
        <v>1178.4351038129998</v>
      </c>
      <c r="O284" s="113">
        <v>31982.442797147509</v>
      </c>
      <c r="P284" s="111">
        <v>39495.521013582329</v>
      </c>
      <c r="Q284" s="110">
        <v>24111.851893333227</v>
      </c>
      <c r="R284" s="258">
        <v>56094.294690480732</v>
      </c>
      <c r="S284" s="259">
        <v>63607.372906915552</v>
      </c>
      <c r="U284" s="7" t="s">
        <v>2739</v>
      </c>
    </row>
    <row r="285" spans="1:21" ht="16.5" thickBot="1">
      <c r="A285" s="41" t="s">
        <v>31</v>
      </c>
      <c r="B285" s="42">
        <f t="shared" si="15"/>
        <v>110</v>
      </c>
      <c r="C285" s="42" t="s">
        <v>3</v>
      </c>
      <c r="D285" s="42">
        <f t="shared" si="16"/>
        <v>360</v>
      </c>
      <c r="E285" s="42" t="s">
        <v>3</v>
      </c>
      <c r="F285" s="90">
        <f t="shared" si="17"/>
        <v>1650</v>
      </c>
      <c r="G285" s="42" t="s">
        <v>3</v>
      </c>
      <c r="H285" s="39">
        <v>4</v>
      </c>
      <c r="I285" s="40" t="s">
        <v>40</v>
      </c>
      <c r="J285" s="149">
        <v>110</v>
      </c>
      <c r="K285" s="66">
        <v>360</v>
      </c>
      <c r="L285" s="66">
        <v>1650</v>
      </c>
      <c r="M285" s="156">
        <v>20.031117599138422</v>
      </c>
      <c r="N285" s="78">
        <v>1225.5725079655199</v>
      </c>
      <c r="O285" s="113">
        <v>32753.204767826541</v>
      </c>
      <c r="P285" s="111">
        <v>40474.49208574526</v>
      </c>
      <c r="Q285" s="110">
        <v>24966.606915355183</v>
      </c>
      <c r="R285" s="258">
        <v>57719.811683181724</v>
      </c>
      <c r="S285" s="259">
        <v>65441.099001100447</v>
      </c>
      <c r="U285" s="7" t="s">
        <v>2740</v>
      </c>
    </row>
    <row r="286" spans="1:21" ht="16.5" thickBot="1">
      <c r="A286" s="41" t="s">
        <v>31</v>
      </c>
      <c r="B286" s="42">
        <f t="shared" si="15"/>
        <v>110</v>
      </c>
      <c r="C286" s="42" t="s">
        <v>3</v>
      </c>
      <c r="D286" s="42">
        <f t="shared" si="16"/>
        <v>360</v>
      </c>
      <c r="E286" s="42" t="s">
        <v>3</v>
      </c>
      <c r="F286" s="90">
        <f t="shared" si="17"/>
        <v>1700</v>
      </c>
      <c r="G286" s="42" t="s">
        <v>3</v>
      </c>
      <c r="H286" s="39">
        <v>4</v>
      </c>
      <c r="I286" s="40" t="s">
        <v>40</v>
      </c>
      <c r="J286" s="149">
        <v>110</v>
      </c>
      <c r="K286" s="66">
        <v>360</v>
      </c>
      <c r="L286" s="66">
        <v>1700</v>
      </c>
      <c r="M286" s="156">
        <v>20.586551430740528</v>
      </c>
      <c r="N286" s="78">
        <v>1272.7099121180399</v>
      </c>
      <c r="O286" s="113">
        <v>33523.96673850558</v>
      </c>
      <c r="P286" s="111">
        <v>41453.463004879421</v>
      </c>
      <c r="Q286" s="110">
        <v>25570.027799593372</v>
      </c>
      <c r="R286" s="258">
        <v>59093.994538098952</v>
      </c>
      <c r="S286" s="259">
        <v>67023.490804472793</v>
      </c>
      <c r="U286" s="7" t="s">
        <v>2741</v>
      </c>
    </row>
    <row r="287" spans="1:21" ht="16.5" thickBot="1">
      <c r="A287" s="41" t="s">
        <v>31</v>
      </c>
      <c r="B287" s="42">
        <f t="shared" si="15"/>
        <v>110</v>
      </c>
      <c r="C287" s="42" t="s">
        <v>3</v>
      </c>
      <c r="D287" s="42">
        <f t="shared" si="16"/>
        <v>360</v>
      </c>
      <c r="E287" s="42" t="s">
        <v>3</v>
      </c>
      <c r="F287" s="90">
        <f t="shared" si="17"/>
        <v>1750</v>
      </c>
      <c r="G287" s="42" t="s">
        <v>3</v>
      </c>
      <c r="H287" s="39">
        <v>4</v>
      </c>
      <c r="I287" s="40" t="s">
        <v>40</v>
      </c>
      <c r="J287" s="149">
        <v>110</v>
      </c>
      <c r="K287" s="66">
        <v>360</v>
      </c>
      <c r="L287" s="66">
        <v>1750</v>
      </c>
      <c r="M287" s="156">
        <v>21.159025262342627</v>
      </c>
      <c r="N287" s="78">
        <v>1319.84731627056</v>
      </c>
      <c r="O287" s="113">
        <v>34294.728556155846</v>
      </c>
      <c r="P287" s="111">
        <v>42432.434077042351</v>
      </c>
      <c r="Q287" s="110">
        <v>26424.782821615332</v>
      </c>
      <c r="R287" s="258">
        <v>60719.511377771181</v>
      </c>
      <c r="S287" s="259">
        <v>68857.216898657687</v>
      </c>
      <c r="U287" s="7" t="s">
        <v>2742</v>
      </c>
    </row>
    <row r="288" spans="1:21" ht="16.5" thickBot="1">
      <c r="A288" s="41" t="s">
        <v>31</v>
      </c>
      <c r="B288" s="42">
        <f t="shared" si="15"/>
        <v>110</v>
      </c>
      <c r="C288" s="42" t="s">
        <v>3</v>
      </c>
      <c r="D288" s="42">
        <f t="shared" si="16"/>
        <v>360</v>
      </c>
      <c r="E288" s="42" t="s">
        <v>3</v>
      </c>
      <c r="F288" s="90">
        <f t="shared" si="17"/>
        <v>1800</v>
      </c>
      <c r="G288" s="42" t="s">
        <v>3</v>
      </c>
      <c r="H288" s="39">
        <v>4</v>
      </c>
      <c r="I288" s="40" t="s">
        <v>40</v>
      </c>
      <c r="J288" s="149">
        <v>110</v>
      </c>
      <c r="K288" s="66">
        <v>360</v>
      </c>
      <c r="L288" s="66">
        <v>1800</v>
      </c>
      <c r="M288" s="156">
        <v>21.714459093944736</v>
      </c>
      <c r="N288" s="78">
        <v>1366.98472042308</v>
      </c>
      <c r="O288" s="113">
        <v>35065.490526834881</v>
      </c>
      <c r="P288" s="111">
        <v>43411.405149205275</v>
      </c>
      <c r="Q288" s="110">
        <v>27028.203705853517</v>
      </c>
      <c r="R288" s="258">
        <v>62093.694232688402</v>
      </c>
      <c r="S288" s="259">
        <v>70439.608855058788</v>
      </c>
      <c r="U288" s="7" t="s">
        <v>2743</v>
      </c>
    </row>
    <row r="289" spans="1:21" ht="16.5" thickBot="1">
      <c r="A289" s="41" t="s">
        <v>31</v>
      </c>
      <c r="B289" s="42">
        <f t="shared" si="15"/>
        <v>110</v>
      </c>
      <c r="C289" s="42" t="s">
        <v>3</v>
      </c>
      <c r="D289" s="42">
        <f t="shared" si="16"/>
        <v>360</v>
      </c>
      <c r="E289" s="42" t="s">
        <v>3</v>
      </c>
      <c r="F289" s="90">
        <f t="shared" si="17"/>
        <v>1850</v>
      </c>
      <c r="G289" s="42" t="s">
        <v>3</v>
      </c>
      <c r="H289" s="39">
        <v>4</v>
      </c>
      <c r="I289" s="40" t="s">
        <v>40</v>
      </c>
      <c r="J289" s="149">
        <v>110</v>
      </c>
      <c r="K289" s="66">
        <v>360</v>
      </c>
      <c r="L289" s="66">
        <v>1850</v>
      </c>
      <c r="M289" s="156">
        <v>22.286932925546843</v>
      </c>
      <c r="N289" s="78">
        <v>1414.1221245756001</v>
      </c>
      <c r="O289" s="113">
        <v>35836.252497513909</v>
      </c>
      <c r="P289" s="111">
        <v>44390.376221368206</v>
      </c>
      <c r="Q289" s="110">
        <v>27882.958880904247</v>
      </c>
      <c r="R289" s="258">
        <v>63719.211378418157</v>
      </c>
      <c r="S289" s="259">
        <v>72273.335102272453</v>
      </c>
      <c r="U289" s="7" t="s">
        <v>2744</v>
      </c>
    </row>
    <row r="290" spans="1:21" ht="16.5" thickBot="1">
      <c r="A290" s="41" t="s">
        <v>31</v>
      </c>
      <c r="B290" s="42">
        <f t="shared" si="15"/>
        <v>110</v>
      </c>
      <c r="C290" s="42" t="s">
        <v>3</v>
      </c>
      <c r="D290" s="42">
        <f t="shared" si="16"/>
        <v>360</v>
      </c>
      <c r="E290" s="42" t="s">
        <v>3</v>
      </c>
      <c r="F290" s="90">
        <f t="shared" si="17"/>
        <v>1900</v>
      </c>
      <c r="G290" s="42" t="s">
        <v>3</v>
      </c>
      <c r="H290" s="39">
        <v>4</v>
      </c>
      <c r="I290" s="40" t="s">
        <v>40</v>
      </c>
      <c r="J290" s="149">
        <v>110</v>
      </c>
      <c r="K290" s="66">
        <v>360</v>
      </c>
      <c r="L290" s="66">
        <v>1900</v>
      </c>
      <c r="M290" s="156">
        <v>22.842366757148948</v>
      </c>
      <c r="N290" s="78">
        <v>1461.2595287281201</v>
      </c>
      <c r="O290" s="113">
        <v>36607.014468192945</v>
      </c>
      <c r="P290" s="111">
        <v>45369.347140502367</v>
      </c>
      <c r="Q290" s="110">
        <v>28486.379765142432</v>
      </c>
      <c r="R290" s="258">
        <v>65093.394233335377</v>
      </c>
      <c r="S290" s="259">
        <v>73855.726905644799</v>
      </c>
      <c r="U290" s="7" t="s">
        <v>2745</v>
      </c>
    </row>
    <row r="291" spans="1:21" ht="16.5" thickBot="1">
      <c r="A291" s="41" t="s">
        <v>31</v>
      </c>
      <c r="B291" s="42">
        <f t="shared" si="15"/>
        <v>110</v>
      </c>
      <c r="C291" s="42" t="s">
        <v>3</v>
      </c>
      <c r="D291" s="42">
        <f t="shared" si="16"/>
        <v>360</v>
      </c>
      <c r="E291" s="42" t="s">
        <v>3</v>
      </c>
      <c r="F291" s="90">
        <f t="shared" si="17"/>
        <v>1950</v>
      </c>
      <c r="G291" s="42" t="s">
        <v>3</v>
      </c>
      <c r="H291" s="39">
        <v>4</v>
      </c>
      <c r="I291" s="40" t="s">
        <v>40</v>
      </c>
      <c r="J291" s="149">
        <v>110</v>
      </c>
      <c r="K291" s="66">
        <v>360</v>
      </c>
      <c r="L291" s="66">
        <v>1950</v>
      </c>
      <c r="M291" s="156">
        <v>23.476300588751055</v>
      </c>
      <c r="N291" s="78">
        <v>1508.39693288064</v>
      </c>
      <c r="O291" s="113">
        <v>37461.874620976545</v>
      </c>
      <c r="P291" s="111">
        <v>46432.92995930562</v>
      </c>
      <c r="Q291" s="110">
        <v>29089.800649380621</v>
      </c>
      <c r="R291" s="258">
        <v>66551.675270357169</v>
      </c>
      <c r="S291" s="259">
        <v>75522.730608686237</v>
      </c>
      <c r="U291" s="7" t="s">
        <v>2746</v>
      </c>
    </row>
    <row r="292" spans="1:21" ht="16.5" thickBot="1">
      <c r="A292" s="41" t="s">
        <v>31</v>
      </c>
      <c r="B292" s="42">
        <f t="shared" si="15"/>
        <v>110</v>
      </c>
      <c r="C292" s="42" t="s">
        <v>3</v>
      </c>
      <c r="D292" s="42">
        <f t="shared" si="16"/>
        <v>360</v>
      </c>
      <c r="E292" s="42" t="s">
        <v>3</v>
      </c>
      <c r="F292" s="90">
        <f t="shared" si="17"/>
        <v>2000</v>
      </c>
      <c r="G292" s="42" t="s">
        <v>3</v>
      </c>
      <c r="H292" s="39">
        <v>4</v>
      </c>
      <c r="I292" s="40" t="s">
        <v>40</v>
      </c>
      <c r="J292" s="149">
        <v>110</v>
      </c>
      <c r="K292" s="66">
        <v>360</v>
      </c>
      <c r="L292" s="66">
        <v>2000</v>
      </c>
      <c r="M292" s="156">
        <v>24.140336820353156</v>
      </c>
      <c r="N292" s="78">
        <v>1555.53433703316</v>
      </c>
      <c r="O292" s="113">
        <v>38483.928493500171</v>
      </c>
      <c r="P292" s="111">
        <v>47752.723024464583</v>
      </c>
      <c r="Q292" s="110">
        <v>29944.555671402581</v>
      </c>
      <c r="R292" s="258">
        <v>68428.484164902751</v>
      </c>
      <c r="S292" s="259">
        <v>77697.278695867164</v>
      </c>
      <c r="U292" s="7" t="s">
        <v>2747</v>
      </c>
    </row>
    <row r="293" spans="1:21" ht="16.5" thickBot="1">
      <c r="A293" s="41" t="s">
        <v>31</v>
      </c>
      <c r="B293" s="42">
        <f t="shared" si="15"/>
        <v>110</v>
      </c>
      <c r="C293" s="42" t="s">
        <v>3</v>
      </c>
      <c r="D293" s="42">
        <f t="shared" si="16"/>
        <v>360</v>
      </c>
      <c r="E293" s="42" t="s">
        <v>3</v>
      </c>
      <c r="F293" s="90">
        <f t="shared" si="17"/>
        <v>2050</v>
      </c>
      <c r="G293" s="42" t="s">
        <v>3</v>
      </c>
      <c r="H293" s="39">
        <v>4</v>
      </c>
      <c r="I293" s="40" t="s">
        <v>40</v>
      </c>
      <c r="J293" s="149">
        <v>110</v>
      </c>
      <c r="K293" s="66">
        <v>360</v>
      </c>
      <c r="L293" s="66">
        <v>2050</v>
      </c>
      <c r="M293" s="156">
        <v>24.695770651955264</v>
      </c>
      <c r="N293" s="78">
        <v>1602.67174118568</v>
      </c>
      <c r="O293" s="113">
        <v>39254.690464179213</v>
      </c>
      <c r="P293" s="111">
        <v>48731.694096627507</v>
      </c>
      <c r="Q293" s="110">
        <v>30547.976555640766</v>
      </c>
      <c r="R293" s="258">
        <v>69802.667019819986</v>
      </c>
      <c r="S293" s="259">
        <v>79279.67065226828</v>
      </c>
      <c r="U293" s="7" t="s">
        <v>2748</v>
      </c>
    </row>
    <row r="294" spans="1:21" ht="16.5" thickBot="1">
      <c r="A294" s="38" t="s">
        <v>31</v>
      </c>
      <c r="B294" s="39">
        <f t="shared" si="15"/>
        <v>110</v>
      </c>
      <c r="C294" s="39" t="s">
        <v>3</v>
      </c>
      <c r="D294" s="39">
        <f t="shared" si="16"/>
        <v>360</v>
      </c>
      <c r="E294" s="39" t="s">
        <v>3</v>
      </c>
      <c r="F294" s="90">
        <f t="shared" si="17"/>
        <v>2100</v>
      </c>
      <c r="G294" s="39" t="s">
        <v>3</v>
      </c>
      <c r="H294" s="39">
        <v>4</v>
      </c>
      <c r="I294" s="40" t="s">
        <v>40</v>
      </c>
      <c r="J294" s="149">
        <v>110</v>
      </c>
      <c r="K294" s="66">
        <v>360</v>
      </c>
      <c r="L294" s="66">
        <v>2100</v>
      </c>
      <c r="M294" s="156">
        <v>25.268244483557368</v>
      </c>
      <c r="N294" s="78">
        <v>1649.8091453382001</v>
      </c>
      <c r="O294" s="113">
        <v>40025.452434858242</v>
      </c>
      <c r="P294" s="111">
        <v>49710.665015761675</v>
      </c>
      <c r="Q294" s="110">
        <v>31402.731577662726</v>
      </c>
      <c r="R294" s="258">
        <v>71428.184012520971</v>
      </c>
      <c r="S294" s="259">
        <v>81113.396593424404</v>
      </c>
      <c r="U294" s="7" t="s">
        <v>2749</v>
      </c>
    </row>
    <row r="295" spans="1:21" ht="16.5" thickBot="1">
      <c r="A295" s="41" t="s">
        <v>31</v>
      </c>
      <c r="B295" s="42">
        <f t="shared" si="15"/>
        <v>110</v>
      </c>
      <c r="C295" s="42" t="s">
        <v>3</v>
      </c>
      <c r="D295" s="42">
        <f t="shared" si="16"/>
        <v>360</v>
      </c>
      <c r="E295" s="42" t="s">
        <v>3</v>
      </c>
      <c r="F295" s="90">
        <f t="shared" si="17"/>
        <v>2150</v>
      </c>
      <c r="G295" s="42" t="s">
        <v>3</v>
      </c>
      <c r="H295" s="39">
        <v>4</v>
      </c>
      <c r="I295" s="40" t="s">
        <v>40</v>
      </c>
      <c r="J295" s="149">
        <v>110</v>
      </c>
      <c r="K295" s="66">
        <v>360</v>
      </c>
      <c r="L295" s="66">
        <v>2150</v>
      </c>
      <c r="M295" s="156">
        <v>25.823678315159473</v>
      </c>
      <c r="N295" s="78">
        <v>1696.9465494907201</v>
      </c>
      <c r="O295" s="113">
        <v>40796.214252508515</v>
      </c>
      <c r="P295" s="111">
        <v>50689.636087924599</v>
      </c>
      <c r="Q295" s="110">
        <v>32006.152461900914</v>
      </c>
      <c r="R295" s="258">
        <v>72802.366714409436</v>
      </c>
      <c r="S295" s="259">
        <v>82695.78854982552</v>
      </c>
      <c r="U295" s="7" t="s">
        <v>2750</v>
      </c>
    </row>
    <row r="296" spans="1:21" ht="16.5" thickBot="1">
      <c r="A296" s="41" t="s">
        <v>31</v>
      </c>
      <c r="B296" s="42">
        <f t="shared" si="15"/>
        <v>110</v>
      </c>
      <c r="C296" s="42" t="s">
        <v>3</v>
      </c>
      <c r="D296" s="42">
        <f t="shared" si="16"/>
        <v>360</v>
      </c>
      <c r="E296" s="42" t="s">
        <v>3</v>
      </c>
      <c r="F296" s="90">
        <f t="shared" si="17"/>
        <v>2200</v>
      </c>
      <c r="G296" s="42" t="s">
        <v>3</v>
      </c>
      <c r="H296" s="39">
        <v>4</v>
      </c>
      <c r="I296" s="40" t="s">
        <v>40</v>
      </c>
      <c r="J296" s="149">
        <v>110</v>
      </c>
      <c r="K296" s="66">
        <v>360</v>
      </c>
      <c r="L296" s="66">
        <v>2200</v>
      </c>
      <c r="M296" s="156">
        <v>26.39615214676158</v>
      </c>
      <c r="N296" s="78">
        <v>1744.0839536432402</v>
      </c>
      <c r="O296" s="113">
        <v>41566.97622318755</v>
      </c>
      <c r="P296" s="111">
        <v>51668.607160087529</v>
      </c>
      <c r="Q296" s="110">
        <v>32860.907483922878</v>
      </c>
      <c r="R296" s="258">
        <v>74427.883707110421</v>
      </c>
      <c r="S296" s="259">
        <v>84529.5146440104</v>
      </c>
      <c r="U296" s="7" t="s">
        <v>2751</v>
      </c>
    </row>
    <row r="297" spans="1:21" ht="16.5" thickBot="1">
      <c r="A297" s="41" t="s">
        <v>31</v>
      </c>
      <c r="B297" s="42">
        <f t="shared" si="15"/>
        <v>110</v>
      </c>
      <c r="C297" s="42" t="s">
        <v>3</v>
      </c>
      <c r="D297" s="42">
        <f t="shared" si="16"/>
        <v>360</v>
      </c>
      <c r="E297" s="42" t="s">
        <v>3</v>
      </c>
      <c r="F297" s="90">
        <f t="shared" si="17"/>
        <v>2250</v>
      </c>
      <c r="G297" s="42" t="s">
        <v>3</v>
      </c>
      <c r="H297" s="39">
        <v>4</v>
      </c>
      <c r="I297" s="40" t="s">
        <v>40</v>
      </c>
      <c r="J297" s="149">
        <v>110</v>
      </c>
      <c r="K297" s="66">
        <v>360</v>
      </c>
      <c r="L297" s="66">
        <v>2250</v>
      </c>
      <c r="M297" s="156">
        <v>26.951585978363685</v>
      </c>
      <c r="N297" s="78">
        <v>1791.2213577957598</v>
      </c>
      <c r="O297" s="113">
        <v>42337.738193866579</v>
      </c>
      <c r="P297" s="111">
        <v>52647.57823225046</v>
      </c>
      <c r="Q297" s="110">
        <v>33464.328368161063</v>
      </c>
      <c r="R297" s="258">
        <v>75802.066562027641</v>
      </c>
      <c r="S297" s="259">
        <v>86111.906600411516</v>
      </c>
      <c r="U297" s="7" t="s">
        <v>2752</v>
      </c>
    </row>
    <row r="298" spans="1:21" ht="16.5" thickBot="1">
      <c r="A298" s="41" t="s">
        <v>31</v>
      </c>
      <c r="B298" s="42">
        <f t="shared" si="15"/>
        <v>110</v>
      </c>
      <c r="C298" s="42" t="s">
        <v>3</v>
      </c>
      <c r="D298" s="42">
        <f t="shared" si="16"/>
        <v>360</v>
      </c>
      <c r="E298" s="42" t="s">
        <v>3</v>
      </c>
      <c r="F298" s="90">
        <f t="shared" si="17"/>
        <v>2300</v>
      </c>
      <c r="G298" s="42" t="s">
        <v>3</v>
      </c>
      <c r="H298" s="39">
        <v>4</v>
      </c>
      <c r="I298" s="40" t="s">
        <v>40</v>
      </c>
      <c r="J298" s="149">
        <v>110</v>
      </c>
      <c r="K298" s="66">
        <v>360</v>
      </c>
      <c r="L298" s="66">
        <v>2300</v>
      </c>
      <c r="M298" s="156">
        <v>27.50701980996579</v>
      </c>
      <c r="N298" s="78">
        <v>1838.3587619482798</v>
      </c>
      <c r="O298" s="113">
        <v>43108.500164545614</v>
      </c>
      <c r="P298" s="111">
        <v>53626.549304413391</v>
      </c>
      <c r="Q298" s="110">
        <v>34067.749252399248</v>
      </c>
      <c r="R298" s="258">
        <v>77176.249416944862</v>
      </c>
      <c r="S298" s="259">
        <v>87694.298556812631</v>
      </c>
      <c r="U298" s="7" t="s">
        <v>2753</v>
      </c>
    </row>
    <row r="299" spans="1:21" ht="16.5" thickBot="1">
      <c r="A299" s="41" t="s">
        <v>31</v>
      </c>
      <c r="B299" s="42">
        <f t="shared" si="15"/>
        <v>110</v>
      </c>
      <c r="C299" s="42" t="s">
        <v>3</v>
      </c>
      <c r="D299" s="42">
        <f t="shared" si="16"/>
        <v>360</v>
      </c>
      <c r="E299" s="42" t="s">
        <v>3</v>
      </c>
      <c r="F299" s="90">
        <f t="shared" si="17"/>
        <v>2350</v>
      </c>
      <c r="G299" s="42" t="s">
        <v>3</v>
      </c>
      <c r="H299" s="39">
        <v>4</v>
      </c>
      <c r="I299" s="40" t="s">
        <v>40</v>
      </c>
      <c r="J299" s="149">
        <v>110</v>
      </c>
      <c r="K299" s="66">
        <v>360</v>
      </c>
      <c r="L299" s="66">
        <v>2350</v>
      </c>
      <c r="M299" s="156">
        <v>28.079493641567893</v>
      </c>
      <c r="N299" s="78">
        <v>1885.4961661007999</v>
      </c>
      <c r="O299" s="113">
        <v>43879.26213522465</v>
      </c>
      <c r="P299" s="111">
        <v>54605.520223547544</v>
      </c>
      <c r="Q299" s="110">
        <v>34922.504274421211</v>
      </c>
      <c r="R299" s="258">
        <v>78801.766409645861</v>
      </c>
      <c r="S299" s="259">
        <v>89528.024497968756</v>
      </c>
      <c r="U299" s="7" t="s">
        <v>2754</v>
      </c>
    </row>
    <row r="300" spans="1:21" ht="16.5" thickBot="1">
      <c r="A300" s="41" t="s">
        <v>31</v>
      </c>
      <c r="B300" s="42">
        <f t="shared" si="15"/>
        <v>110</v>
      </c>
      <c r="C300" s="42" t="s">
        <v>3</v>
      </c>
      <c r="D300" s="42">
        <f t="shared" si="16"/>
        <v>360</v>
      </c>
      <c r="E300" s="42" t="s">
        <v>3</v>
      </c>
      <c r="F300" s="90">
        <f t="shared" si="17"/>
        <v>2400</v>
      </c>
      <c r="G300" s="42" t="s">
        <v>3</v>
      </c>
      <c r="H300" s="39">
        <v>4</v>
      </c>
      <c r="I300" s="40" t="s">
        <v>40</v>
      </c>
      <c r="J300" s="149">
        <v>110</v>
      </c>
      <c r="K300" s="66">
        <v>360</v>
      </c>
      <c r="L300" s="66">
        <v>2400</v>
      </c>
      <c r="M300" s="156">
        <v>28.634927473169999</v>
      </c>
      <c r="N300" s="78">
        <v>1932.6335702533199</v>
      </c>
      <c r="O300" s="113">
        <v>44650.024105903685</v>
      </c>
      <c r="P300" s="111">
        <v>55584.491295710475</v>
      </c>
      <c r="Q300" s="110">
        <v>35525.925158659396</v>
      </c>
      <c r="R300" s="258">
        <v>80175.949264563082</v>
      </c>
      <c r="S300" s="259">
        <v>91110.416454369872</v>
      </c>
      <c r="U300" s="7" t="s">
        <v>2755</v>
      </c>
    </row>
    <row r="301" spans="1:21" ht="16.5" thickBot="1">
      <c r="A301" s="41" t="s">
        <v>31</v>
      </c>
      <c r="B301" s="42">
        <f t="shared" si="15"/>
        <v>110</v>
      </c>
      <c r="C301" s="42" t="s">
        <v>3</v>
      </c>
      <c r="D301" s="42">
        <f t="shared" si="16"/>
        <v>360</v>
      </c>
      <c r="E301" s="42" t="s">
        <v>3</v>
      </c>
      <c r="F301" s="90">
        <f t="shared" si="17"/>
        <v>2450</v>
      </c>
      <c r="G301" s="42" t="s">
        <v>3</v>
      </c>
      <c r="H301" s="39">
        <v>4</v>
      </c>
      <c r="I301" s="40" t="s">
        <v>40</v>
      </c>
      <c r="J301" s="149">
        <v>110</v>
      </c>
      <c r="K301" s="66">
        <v>360</v>
      </c>
      <c r="L301" s="66">
        <v>2450</v>
      </c>
      <c r="M301" s="156">
        <v>29.4106306830721</v>
      </c>
      <c r="N301" s="78">
        <v>1979.77097440584</v>
      </c>
      <c r="O301" s="113">
        <v>46240.977562627253</v>
      </c>
      <c r="P301" s="111">
        <v>57368.572869114869</v>
      </c>
      <c r="Q301" s="110">
        <v>36380.680180681353</v>
      </c>
      <c r="R301" s="258">
        <v>82621.657743308606</v>
      </c>
      <c r="S301" s="259">
        <v>93749.253049796214</v>
      </c>
      <c r="U301" s="7" t="s">
        <v>2756</v>
      </c>
    </row>
    <row r="302" spans="1:21" ht="16.5" thickBot="1">
      <c r="A302" s="41" t="s">
        <v>31</v>
      </c>
      <c r="B302" s="42">
        <f t="shared" si="15"/>
        <v>110</v>
      </c>
      <c r="C302" s="42" t="s">
        <v>3</v>
      </c>
      <c r="D302" s="42">
        <f t="shared" si="16"/>
        <v>360</v>
      </c>
      <c r="E302" s="42" t="s">
        <v>3</v>
      </c>
      <c r="F302" s="90">
        <f t="shared" si="17"/>
        <v>2500</v>
      </c>
      <c r="G302" s="42" t="s">
        <v>3</v>
      </c>
      <c r="H302" s="39">
        <v>4</v>
      </c>
      <c r="I302" s="40" t="s">
        <v>40</v>
      </c>
      <c r="J302" s="149">
        <v>110</v>
      </c>
      <c r="K302" s="66">
        <v>360</v>
      </c>
      <c r="L302" s="66">
        <v>2500</v>
      </c>
      <c r="M302" s="156">
        <v>29.966064514674208</v>
      </c>
      <c r="N302" s="78">
        <v>2026.90837855836</v>
      </c>
      <c r="O302" s="113">
        <v>47011.739533306281</v>
      </c>
      <c r="P302" s="111">
        <v>58347.5439412778</v>
      </c>
      <c r="Q302" s="110">
        <v>36984.101064919538</v>
      </c>
      <c r="R302" s="258">
        <v>83995.840598225826</v>
      </c>
      <c r="S302" s="259">
        <v>95331.64500619733</v>
      </c>
      <c r="U302" s="7" t="s">
        <v>2757</v>
      </c>
    </row>
    <row r="303" spans="1:21" ht="16.5" thickBot="1">
      <c r="A303" s="41" t="s">
        <v>31</v>
      </c>
      <c r="B303" s="42">
        <f t="shared" si="15"/>
        <v>110</v>
      </c>
      <c r="C303" s="42" t="s">
        <v>3</v>
      </c>
      <c r="D303" s="42">
        <f t="shared" si="16"/>
        <v>360</v>
      </c>
      <c r="E303" s="42" t="s">
        <v>3</v>
      </c>
      <c r="F303" s="90">
        <f t="shared" si="17"/>
        <v>2550</v>
      </c>
      <c r="G303" s="42" t="s">
        <v>3</v>
      </c>
      <c r="H303" s="39">
        <v>4</v>
      </c>
      <c r="I303" s="40" t="s">
        <v>40</v>
      </c>
      <c r="J303" s="149">
        <v>110</v>
      </c>
      <c r="K303" s="66">
        <v>360</v>
      </c>
      <c r="L303" s="66">
        <v>2550</v>
      </c>
      <c r="M303" s="156">
        <v>30.538538346276312</v>
      </c>
      <c r="N303" s="78">
        <v>2074.0457827108798</v>
      </c>
      <c r="O303" s="113">
        <v>47782.501503985317</v>
      </c>
      <c r="P303" s="111">
        <v>59326.515013440723</v>
      </c>
      <c r="Q303" s="110">
        <v>37838.856239970264</v>
      </c>
      <c r="R303" s="258">
        <v>85621.357743955581</v>
      </c>
      <c r="S303" s="259">
        <v>97165.371253410995</v>
      </c>
      <c r="U303" s="7" t="s">
        <v>2758</v>
      </c>
    </row>
    <row r="304" spans="1:21" ht="16.5" thickBot="1">
      <c r="A304" s="38" t="s">
        <v>31</v>
      </c>
      <c r="B304" s="39">
        <f t="shared" si="15"/>
        <v>110</v>
      </c>
      <c r="C304" s="39" t="s">
        <v>3</v>
      </c>
      <c r="D304" s="39">
        <f t="shared" si="16"/>
        <v>360</v>
      </c>
      <c r="E304" s="39" t="s">
        <v>3</v>
      </c>
      <c r="F304" s="90">
        <f t="shared" si="17"/>
        <v>2600</v>
      </c>
      <c r="G304" s="39" t="s">
        <v>3</v>
      </c>
      <c r="H304" s="39">
        <v>4</v>
      </c>
      <c r="I304" s="40" t="s">
        <v>40</v>
      </c>
      <c r="J304" s="149">
        <v>110</v>
      </c>
      <c r="K304" s="66">
        <v>360</v>
      </c>
      <c r="L304" s="66">
        <v>2600</v>
      </c>
      <c r="M304" s="156">
        <v>31.09397217787842</v>
      </c>
      <c r="N304" s="78">
        <v>2121.1831868633999</v>
      </c>
      <c r="O304" s="113">
        <v>48553.263321635583</v>
      </c>
      <c r="P304" s="111">
        <v>60305.486085603654</v>
      </c>
      <c r="Q304" s="110">
        <v>38442.277124208456</v>
      </c>
      <c r="R304" s="258">
        <v>86995.540445844032</v>
      </c>
      <c r="S304" s="259">
        <v>98747.76320981211</v>
      </c>
      <c r="U304" s="7" t="s">
        <v>2759</v>
      </c>
    </row>
    <row r="305" spans="1:21" ht="16.5" thickBot="1">
      <c r="A305" s="41" t="s">
        <v>31</v>
      </c>
      <c r="B305" s="42">
        <f t="shared" si="15"/>
        <v>110</v>
      </c>
      <c r="C305" s="42" t="s">
        <v>3</v>
      </c>
      <c r="D305" s="42">
        <f t="shared" si="16"/>
        <v>360</v>
      </c>
      <c r="E305" s="42" t="s">
        <v>3</v>
      </c>
      <c r="F305" s="90">
        <f t="shared" si="17"/>
        <v>2650</v>
      </c>
      <c r="G305" s="42" t="s">
        <v>3</v>
      </c>
      <c r="H305" s="39">
        <v>4</v>
      </c>
      <c r="I305" s="40" t="s">
        <v>40</v>
      </c>
      <c r="J305" s="149">
        <v>110</v>
      </c>
      <c r="K305" s="66">
        <v>360</v>
      </c>
      <c r="L305" s="66">
        <v>2650</v>
      </c>
      <c r="M305" s="156">
        <v>31.666446009480524</v>
      </c>
      <c r="N305" s="78">
        <v>2168.3205910159199</v>
      </c>
      <c r="O305" s="113">
        <v>49324.025292314625</v>
      </c>
      <c r="P305" s="111">
        <v>61284.457004737815</v>
      </c>
      <c r="Q305" s="110">
        <v>39297.032146230413</v>
      </c>
      <c r="R305" s="258">
        <v>88621.057438545045</v>
      </c>
      <c r="S305" s="259">
        <v>100581.48915096823</v>
      </c>
      <c r="U305" s="7" t="s">
        <v>2760</v>
      </c>
    </row>
    <row r="306" spans="1:21" ht="16.5" thickBot="1">
      <c r="A306" s="41" t="s">
        <v>31</v>
      </c>
      <c r="B306" s="42">
        <f t="shared" si="15"/>
        <v>110</v>
      </c>
      <c r="C306" s="42" t="s">
        <v>3</v>
      </c>
      <c r="D306" s="42">
        <f t="shared" si="16"/>
        <v>360</v>
      </c>
      <c r="E306" s="42" t="s">
        <v>3</v>
      </c>
      <c r="F306" s="90">
        <f t="shared" si="17"/>
        <v>2700</v>
      </c>
      <c r="G306" s="42" t="s">
        <v>3</v>
      </c>
      <c r="H306" s="39">
        <v>4</v>
      </c>
      <c r="I306" s="40" t="s">
        <v>40</v>
      </c>
      <c r="J306" s="149">
        <v>110</v>
      </c>
      <c r="K306" s="66">
        <v>360</v>
      </c>
      <c r="L306" s="66">
        <v>2700</v>
      </c>
      <c r="M306" s="156">
        <v>32.300379841082631</v>
      </c>
      <c r="N306" s="78">
        <v>2215.45799516844</v>
      </c>
      <c r="O306" s="113">
        <v>50178.885598126988</v>
      </c>
      <c r="P306" s="111">
        <v>62348.039823541068</v>
      </c>
      <c r="Q306" s="110">
        <v>39900.453030468605</v>
      </c>
      <c r="R306" s="258">
        <v>90079.338628595593</v>
      </c>
      <c r="S306" s="259">
        <v>102248.49285400967</v>
      </c>
      <c r="U306" s="7" t="s">
        <v>2761</v>
      </c>
    </row>
    <row r="307" spans="1:21" ht="16.5" thickBot="1">
      <c r="A307" s="41" t="s">
        <v>31</v>
      </c>
      <c r="B307" s="42">
        <f t="shared" si="15"/>
        <v>110</v>
      </c>
      <c r="C307" s="42" t="s">
        <v>3</v>
      </c>
      <c r="D307" s="42">
        <f t="shared" si="16"/>
        <v>360</v>
      </c>
      <c r="E307" s="42" t="s">
        <v>3</v>
      </c>
      <c r="F307" s="90">
        <f t="shared" si="17"/>
        <v>2750</v>
      </c>
      <c r="G307" s="42" t="s">
        <v>3</v>
      </c>
      <c r="H307" s="39">
        <v>4</v>
      </c>
      <c r="I307" s="40" t="s">
        <v>40</v>
      </c>
      <c r="J307" s="149">
        <v>110</v>
      </c>
      <c r="K307" s="66">
        <v>360</v>
      </c>
      <c r="L307" s="66">
        <v>2750</v>
      </c>
      <c r="M307" s="156">
        <v>32.855813672684732</v>
      </c>
      <c r="N307" s="78">
        <v>2262.59539932096</v>
      </c>
      <c r="O307" s="113">
        <v>50949.647568806016</v>
      </c>
      <c r="P307" s="111">
        <v>63327.010895703999</v>
      </c>
      <c r="Q307" s="110">
        <v>40503.87391470679</v>
      </c>
      <c r="R307" s="258">
        <v>91453.521483512799</v>
      </c>
      <c r="S307" s="259">
        <v>103830.88481041079</v>
      </c>
      <c r="U307" s="7" t="s">
        <v>2762</v>
      </c>
    </row>
    <row r="308" spans="1:21" ht="16.5" thickBot="1">
      <c r="A308" s="41" t="s">
        <v>31</v>
      </c>
      <c r="B308" s="42">
        <f t="shared" si="15"/>
        <v>110</v>
      </c>
      <c r="C308" s="42" t="s">
        <v>3</v>
      </c>
      <c r="D308" s="42">
        <f t="shared" si="16"/>
        <v>360</v>
      </c>
      <c r="E308" s="42" t="s">
        <v>3</v>
      </c>
      <c r="F308" s="90">
        <f t="shared" si="17"/>
        <v>2800</v>
      </c>
      <c r="G308" s="42" t="s">
        <v>3</v>
      </c>
      <c r="H308" s="39">
        <v>4</v>
      </c>
      <c r="I308" s="40" t="s">
        <v>40</v>
      </c>
      <c r="J308" s="149">
        <v>110</v>
      </c>
      <c r="K308" s="66">
        <v>360</v>
      </c>
      <c r="L308" s="66">
        <v>2800</v>
      </c>
      <c r="M308" s="156">
        <v>33.428287504286843</v>
      </c>
      <c r="N308" s="78">
        <v>2309.7328034734801</v>
      </c>
      <c r="O308" s="113">
        <v>51720.409386456289</v>
      </c>
      <c r="P308" s="111">
        <v>64305.981814838153</v>
      </c>
      <c r="Q308" s="110">
        <v>41358.628936728746</v>
      </c>
      <c r="R308" s="258">
        <v>93079.038323185028</v>
      </c>
      <c r="S308" s="259">
        <v>105664.6107515669</v>
      </c>
      <c r="U308" s="7" t="s">
        <v>2763</v>
      </c>
    </row>
    <row r="309" spans="1:21" ht="16.5" thickBot="1">
      <c r="A309" s="41" t="s">
        <v>31</v>
      </c>
      <c r="B309" s="42">
        <f t="shared" si="15"/>
        <v>110</v>
      </c>
      <c r="C309" s="42" t="s">
        <v>3</v>
      </c>
      <c r="D309" s="42">
        <f t="shared" si="16"/>
        <v>360</v>
      </c>
      <c r="E309" s="42" t="s">
        <v>3</v>
      </c>
      <c r="F309" s="90">
        <f t="shared" si="17"/>
        <v>2850</v>
      </c>
      <c r="G309" s="42" t="s">
        <v>3</v>
      </c>
      <c r="H309" s="39">
        <v>4</v>
      </c>
      <c r="I309" s="40" t="s">
        <v>40</v>
      </c>
      <c r="J309" s="149">
        <v>110</v>
      </c>
      <c r="K309" s="66">
        <v>360</v>
      </c>
      <c r="L309" s="66">
        <v>2850</v>
      </c>
      <c r="M309" s="156">
        <v>33.983721335888944</v>
      </c>
      <c r="N309" s="78">
        <v>2356.8702076259997</v>
      </c>
      <c r="O309" s="113">
        <v>52491.171357135332</v>
      </c>
      <c r="P309" s="111">
        <v>65284.952887001084</v>
      </c>
      <c r="Q309" s="110">
        <v>41962.049820966939</v>
      </c>
      <c r="R309" s="258">
        <v>94453.221178102278</v>
      </c>
      <c r="S309" s="259">
        <v>107247.00270796803</v>
      </c>
      <c r="U309" s="7" t="s">
        <v>2764</v>
      </c>
    </row>
    <row r="310" spans="1:21" ht="16.5" thickBot="1">
      <c r="A310" s="41" t="s">
        <v>31</v>
      </c>
      <c r="B310" s="42">
        <f t="shared" si="15"/>
        <v>110</v>
      </c>
      <c r="C310" s="42" t="s">
        <v>3</v>
      </c>
      <c r="D310" s="42">
        <f t="shared" si="16"/>
        <v>360</v>
      </c>
      <c r="E310" s="42" t="s">
        <v>3</v>
      </c>
      <c r="F310" s="90">
        <f t="shared" si="17"/>
        <v>2900</v>
      </c>
      <c r="G310" s="42" t="s">
        <v>3</v>
      </c>
      <c r="H310" s="39">
        <v>4</v>
      </c>
      <c r="I310" s="40" t="s">
        <v>40</v>
      </c>
      <c r="J310" s="149">
        <v>110</v>
      </c>
      <c r="K310" s="66">
        <v>360</v>
      </c>
      <c r="L310" s="66">
        <v>2900</v>
      </c>
      <c r="M310" s="156">
        <v>34.556195167491055</v>
      </c>
      <c r="N310" s="78">
        <v>2404.0076117785197</v>
      </c>
      <c r="O310" s="113">
        <v>53261.933327814353</v>
      </c>
      <c r="P310" s="111">
        <v>66263.923959164007</v>
      </c>
      <c r="Q310" s="110">
        <v>42816.804842988895</v>
      </c>
      <c r="R310" s="258">
        <v>96078.738170803248</v>
      </c>
      <c r="S310" s="259">
        <v>109080.72880215291</v>
      </c>
      <c r="U310" s="7" t="s">
        <v>2765</v>
      </c>
    </row>
    <row r="311" spans="1:21" ht="16.5" thickBot="1">
      <c r="A311" s="41" t="s">
        <v>31</v>
      </c>
      <c r="B311" s="42">
        <f t="shared" si="15"/>
        <v>110</v>
      </c>
      <c r="C311" s="42" t="s">
        <v>3</v>
      </c>
      <c r="D311" s="42">
        <f t="shared" si="16"/>
        <v>360</v>
      </c>
      <c r="E311" s="42" t="s">
        <v>3</v>
      </c>
      <c r="F311" s="90">
        <f t="shared" si="17"/>
        <v>2950</v>
      </c>
      <c r="G311" s="42" t="s">
        <v>3</v>
      </c>
      <c r="H311" s="39">
        <v>4</v>
      </c>
      <c r="I311" s="40" t="s">
        <v>40</v>
      </c>
      <c r="J311" s="149">
        <v>110</v>
      </c>
      <c r="K311" s="66">
        <v>360</v>
      </c>
      <c r="L311" s="66">
        <v>2950</v>
      </c>
      <c r="M311" s="156">
        <v>35.111628999093156</v>
      </c>
      <c r="N311" s="78">
        <v>2451.1450159310398</v>
      </c>
      <c r="O311" s="113">
        <v>54032.695298493389</v>
      </c>
      <c r="P311" s="111">
        <v>67242.895031326945</v>
      </c>
      <c r="Q311" s="110">
        <v>43420.22572722708</v>
      </c>
      <c r="R311" s="258">
        <v>97452.921025720469</v>
      </c>
      <c r="S311" s="259">
        <v>110663.12075855403</v>
      </c>
      <c r="U311" s="7" t="s">
        <v>2766</v>
      </c>
    </row>
    <row r="312" spans="1:21" ht="16.5" thickBot="1">
      <c r="A312" s="43" t="s">
        <v>31</v>
      </c>
      <c r="B312" s="44">
        <f t="shared" si="15"/>
        <v>110</v>
      </c>
      <c r="C312" s="44" t="s">
        <v>3</v>
      </c>
      <c r="D312" s="44">
        <f t="shared" si="16"/>
        <v>360</v>
      </c>
      <c r="E312" s="44" t="s">
        <v>3</v>
      </c>
      <c r="F312" s="91">
        <f t="shared" si="17"/>
        <v>3000</v>
      </c>
      <c r="G312" s="44" t="s">
        <v>3</v>
      </c>
      <c r="H312" s="46">
        <v>4</v>
      </c>
      <c r="I312" s="45" t="s">
        <v>40</v>
      </c>
      <c r="J312" s="151">
        <v>110</v>
      </c>
      <c r="K312" s="126">
        <v>360</v>
      </c>
      <c r="L312" s="126">
        <v>3000</v>
      </c>
      <c r="M312" s="157">
        <v>35.684102830695259</v>
      </c>
      <c r="N312" s="127">
        <v>2498.2824200835598</v>
      </c>
      <c r="O312" s="128">
        <v>56084.378732558165</v>
      </c>
      <c r="P312" s="135">
        <v>68221.865950461099</v>
      </c>
      <c r="Q312" s="136">
        <v>44274.980749249036</v>
      </c>
      <c r="R312" s="260">
        <v>100359.3594818072</v>
      </c>
      <c r="S312" s="261">
        <v>112496.84669971013</v>
      </c>
      <c r="U312" s="7" t="s">
        <v>2767</v>
      </c>
    </row>
    <row r="313" spans="1:21" ht="22.5" customHeight="1" thickBot="1">
      <c r="A313" s="2968" t="s">
        <v>476</v>
      </c>
      <c r="B313" s="2969"/>
      <c r="C313" s="2969"/>
      <c r="D313" s="2969"/>
      <c r="E313" s="2969"/>
      <c r="F313" s="2969"/>
      <c r="G313" s="2969"/>
      <c r="H313" s="2969"/>
      <c r="I313" s="2969"/>
      <c r="J313" s="2969"/>
      <c r="K313" s="2969"/>
      <c r="L313" s="2969"/>
      <c r="M313" s="2969"/>
      <c r="N313" s="2969"/>
      <c r="O313" s="2969"/>
      <c r="P313" s="2969"/>
      <c r="Q313" s="2969"/>
      <c r="R313" s="2969"/>
      <c r="S313" s="2970"/>
      <c r="U313" s="7"/>
    </row>
    <row r="314" spans="1:21" ht="16.5" thickBot="1">
      <c r="A314" s="2974" t="s">
        <v>113</v>
      </c>
      <c r="B314" s="2975"/>
      <c r="C314" s="2975"/>
      <c r="D314" s="2975"/>
      <c r="E314" s="2975"/>
      <c r="F314" s="2975"/>
      <c r="G314" s="2975"/>
      <c r="H314" s="2975"/>
      <c r="I314" s="2975"/>
      <c r="J314" s="2975"/>
      <c r="K314" s="2975"/>
      <c r="L314" s="2975"/>
      <c r="M314" s="2975"/>
      <c r="N314" s="2975"/>
      <c r="O314" s="2975"/>
      <c r="P314" s="2975"/>
      <c r="Q314" s="2975"/>
      <c r="R314" s="2975"/>
      <c r="S314" s="2976"/>
      <c r="U314" s="7"/>
    </row>
    <row r="315" spans="1:21" ht="16.5" thickBot="1">
      <c r="A315" s="38" t="s">
        <v>31</v>
      </c>
      <c r="B315" s="39">
        <f>J315</f>
        <v>110</v>
      </c>
      <c r="C315" s="39" t="s">
        <v>3</v>
      </c>
      <c r="D315" s="39">
        <f>K315</f>
        <v>400</v>
      </c>
      <c r="E315" s="39" t="s">
        <v>3</v>
      </c>
      <c r="F315" s="90">
        <f>L315</f>
        <v>600</v>
      </c>
      <c r="G315" s="39" t="s">
        <v>3</v>
      </c>
      <c r="H315" s="39">
        <v>4</v>
      </c>
      <c r="I315" s="40" t="s">
        <v>40</v>
      </c>
      <c r="J315" s="146">
        <v>110</v>
      </c>
      <c r="K315" s="122">
        <v>400</v>
      </c>
      <c r="L315" s="122">
        <v>600</v>
      </c>
      <c r="M315" s="155">
        <v>8.4809966289836858</v>
      </c>
      <c r="N315" s="123">
        <v>246.4534572030739</v>
      </c>
      <c r="O315" s="124">
        <v>16230.785252373553</v>
      </c>
      <c r="P315" s="148">
        <v>19837.093726436273</v>
      </c>
      <c r="Q315" s="139">
        <v>10760.15380676932</v>
      </c>
      <c r="R315" s="256">
        <v>26990.939059142875</v>
      </c>
      <c r="S315" s="257">
        <v>30597.247533205591</v>
      </c>
      <c r="U315" s="7" t="s">
        <v>2768</v>
      </c>
    </row>
    <row r="316" spans="1:21" ht="16.5" thickBot="1">
      <c r="A316" s="41" t="s">
        <v>31</v>
      </c>
      <c r="B316" s="42">
        <f t="shared" ref="B316:B363" si="18">J316</f>
        <v>110</v>
      </c>
      <c r="C316" s="42" t="s">
        <v>3</v>
      </c>
      <c r="D316" s="42">
        <f t="shared" ref="D316:D363" si="19">K316</f>
        <v>400</v>
      </c>
      <c r="E316" s="42" t="s">
        <v>3</v>
      </c>
      <c r="F316" s="90">
        <f t="shared" ref="F316:F363" si="20">L316</f>
        <v>650</v>
      </c>
      <c r="G316" s="42" t="s">
        <v>3</v>
      </c>
      <c r="H316" s="39">
        <v>4</v>
      </c>
      <c r="I316" s="40" t="s">
        <v>40</v>
      </c>
      <c r="J316" s="149">
        <v>110</v>
      </c>
      <c r="K316" s="66">
        <v>400</v>
      </c>
      <c r="L316" s="66">
        <v>650</v>
      </c>
      <c r="M316" s="156">
        <v>9.0682841684805275</v>
      </c>
      <c r="N316" s="78">
        <v>295.74414864368867</v>
      </c>
      <c r="O316" s="113">
        <v>17021.980235887138</v>
      </c>
      <c r="P316" s="111">
        <v>20851.852411668864</v>
      </c>
      <c r="Q316" s="110">
        <v>11416.760909528057</v>
      </c>
      <c r="R316" s="258">
        <v>28438.741145415195</v>
      </c>
      <c r="S316" s="259">
        <v>32268.613321196921</v>
      </c>
      <c r="U316" s="7" t="s">
        <v>2769</v>
      </c>
    </row>
    <row r="317" spans="1:21" ht="16.5" thickBot="1">
      <c r="A317" s="41" t="s">
        <v>31</v>
      </c>
      <c r="B317" s="42">
        <f t="shared" si="18"/>
        <v>110</v>
      </c>
      <c r="C317" s="42" t="s">
        <v>3</v>
      </c>
      <c r="D317" s="42">
        <f t="shared" si="19"/>
        <v>400</v>
      </c>
      <c r="E317" s="42" t="s">
        <v>3</v>
      </c>
      <c r="F317" s="90">
        <f t="shared" si="20"/>
        <v>700</v>
      </c>
      <c r="G317" s="42" t="s">
        <v>3</v>
      </c>
      <c r="H317" s="39">
        <v>4</v>
      </c>
      <c r="I317" s="40" t="s">
        <v>40</v>
      </c>
      <c r="J317" s="149">
        <v>110</v>
      </c>
      <c r="K317" s="66">
        <v>400</v>
      </c>
      <c r="L317" s="66">
        <v>700</v>
      </c>
      <c r="M317" s="156">
        <v>9.6726117079773672</v>
      </c>
      <c r="N317" s="78">
        <v>345.03484008430348</v>
      </c>
      <c r="O317" s="113">
        <v>17813.175372429487</v>
      </c>
      <c r="P317" s="111">
        <v>21866.610943872689</v>
      </c>
      <c r="Q317" s="110">
        <v>12324.7019970418</v>
      </c>
      <c r="R317" s="258">
        <v>30137.877369471287</v>
      </c>
      <c r="S317" s="259">
        <v>34191.312940914489</v>
      </c>
      <c r="U317" s="7" t="s">
        <v>2770</v>
      </c>
    </row>
    <row r="318" spans="1:21" ht="16.5" thickBot="1">
      <c r="A318" s="41" t="s">
        <v>31</v>
      </c>
      <c r="B318" s="42">
        <f t="shared" si="18"/>
        <v>110</v>
      </c>
      <c r="C318" s="42" t="s">
        <v>3</v>
      </c>
      <c r="D318" s="42">
        <f t="shared" si="19"/>
        <v>400</v>
      </c>
      <c r="E318" s="42" t="s">
        <v>3</v>
      </c>
      <c r="F318" s="90">
        <f t="shared" si="20"/>
        <v>750</v>
      </c>
      <c r="G318" s="42" t="s">
        <v>3</v>
      </c>
      <c r="H318" s="39">
        <v>4</v>
      </c>
      <c r="I318" s="40" t="s">
        <v>40</v>
      </c>
      <c r="J318" s="149">
        <v>110</v>
      </c>
      <c r="K318" s="66">
        <v>400</v>
      </c>
      <c r="L318" s="66">
        <v>750</v>
      </c>
      <c r="M318" s="156">
        <v>10.259899247474209</v>
      </c>
      <c r="N318" s="78">
        <v>394.32553152491823</v>
      </c>
      <c r="O318" s="113">
        <v>18604.370355943069</v>
      </c>
      <c r="P318" s="111">
        <v>22881.369476076514</v>
      </c>
      <c r="Q318" s="110">
        <v>12981.309099800537</v>
      </c>
      <c r="R318" s="258">
        <v>31585.679455743608</v>
      </c>
      <c r="S318" s="259">
        <v>35862.678575877049</v>
      </c>
      <c r="U318" s="7" t="s">
        <v>2771</v>
      </c>
    </row>
    <row r="319" spans="1:21" ht="16.5" thickBot="1">
      <c r="A319" s="41" t="s">
        <v>31</v>
      </c>
      <c r="B319" s="42">
        <f t="shared" si="18"/>
        <v>110</v>
      </c>
      <c r="C319" s="42" t="s">
        <v>3</v>
      </c>
      <c r="D319" s="42">
        <f t="shared" si="19"/>
        <v>400</v>
      </c>
      <c r="E319" s="42" t="s">
        <v>3</v>
      </c>
      <c r="F319" s="90">
        <f t="shared" si="20"/>
        <v>800</v>
      </c>
      <c r="G319" s="42" t="s">
        <v>3</v>
      </c>
      <c r="H319" s="39">
        <v>4</v>
      </c>
      <c r="I319" s="40" t="s">
        <v>40</v>
      </c>
      <c r="J319" s="149">
        <v>110</v>
      </c>
      <c r="K319" s="66">
        <v>400</v>
      </c>
      <c r="L319" s="66">
        <v>800</v>
      </c>
      <c r="M319" s="156">
        <v>10.847186786971054</v>
      </c>
      <c r="N319" s="78">
        <v>443.6162229655331</v>
      </c>
      <c r="O319" s="113">
        <v>19395.565492485421</v>
      </c>
      <c r="P319" s="111">
        <v>23896.128008280342</v>
      </c>
      <c r="Q319" s="110">
        <v>13637.916049530511</v>
      </c>
      <c r="R319" s="258">
        <v>33033.481542015928</v>
      </c>
      <c r="S319" s="259">
        <v>37534.044057810854</v>
      </c>
      <c r="U319" s="7" t="s">
        <v>2772</v>
      </c>
    </row>
    <row r="320" spans="1:21" ht="16.5" thickBot="1">
      <c r="A320" s="41" t="s">
        <v>31</v>
      </c>
      <c r="B320" s="42">
        <f t="shared" si="18"/>
        <v>110</v>
      </c>
      <c r="C320" s="42" t="s">
        <v>3</v>
      </c>
      <c r="D320" s="42">
        <f t="shared" si="19"/>
        <v>400</v>
      </c>
      <c r="E320" s="42" t="s">
        <v>3</v>
      </c>
      <c r="F320" s="90">
        <f t="shared" si="20"/>
        <v>850</v>
      </c>
      <c r="G320" s="42" t="s">
        <v>3</v>
      </c>
      <c r="H320" s="39">
        <v>4</v>
      </c>
      <c r="I320" s="40" t="s">
        <v>40</v>
      </c>
      <c r="J320" s="149">
        <v>110</v>
      </c>
      <c r="K320" s="66">
        <v>400</v>
      </c>
      <c r="L320" s="66">
        <v>850</v>
      </c>
      <c r="M320" s="156">
        <v>11.451514326467894</v>
      </c>
      <c r="N320" s="78">
        <v>492.90691440614779</v>
      </c>
      <c r="O320" s="113">
        <v>20186.760629027773</v>
      </c>
      <c r="P320" s="111">
        <v>24910.88669351293</v>
      </c>
      <c r="Q320" s="110">
        <v>14545.85729007302</v>
      </c>
      <c r="R320" s="258">
        <v>34732.61791910079</v>
      </c>
      <c r="S320" s="259">
        <v>39456.743983585948</v>
      </c>
      <c r="U320" s="7" t="s">
        <v>2773</v>
      </c>
    </row>
    <row r="321" spans="1:21" ht="16.5" thickBot="1">
      <c r="A321" s="41" t="s">
        <v>31</v>
      </c>
      <c r="B321" s="42">
        <f t="shared" si="18"/>
        <v>110</v>
      </c>
      <c r="C321" s="42" t="s">
        <v>3</v>
      </c>
      <c r="D321" s="42">
        <f t="shared" si="19"/>
        <v>400</v>
      </c>
      <c r="E321" s="42" t="s">
        <v>3</v>
      </c>
      <c r="F321" s="90">
        <f t="shared" si="20"/>
        <v>900</v>
      </c>
      <c r="G321" s="42" t="s">
        <v>3</v>
      </c>
      <c r="H321" s="39">
        <v>4</v>
      </c>
      <c r="I321" s="40" t="s">
        <v>40</v>
      </c>
      <c r="J321" s="149">
        <v>110</v>
      </c>
      <c r="K321" s="66">
        <v>400</v>
      </c>
      <c r="L321" s="66">
        <v>900</v>
      </c>
      <c r="M321" s="156">
        <v>12.038801865964739</v>
      </c>
      <c r="N321" s="78">
        <v>542.19760584676249</v>
      </c>
      <c r="O321" s="113">
        <v>20977.955612541355</v>
      </c>
      <c r="P321" s="111">
        <v>25925.645225716758</v>
      </c>
      <c r="Q321" s="110">
        <v>15202.464239802994</v>
      </c>
      <c r="R321" s="258">
        <v>36180.419852344348</v>
      </c>
      <c r="S321" s="259">
        <v>41128.109465519752</v>
      </c>
      <c r="U321" s="7" t="s">
        <v>2774</v>
      </c>
    </row>
    <row r="322" spans="1:21" ht="16.5" thickBot="1">
      <c r="A322" s="41" t="s">
        <v>31</v>
      </c>
      <c r="B322" s="42">
        <f t="shared" si="18"/>
        <v>110</v>
      </c>
      <c r="C322" s="42" t="s">
        <v>3</v>
      </c>
      <c r="D322" s="42">
        <f t="shared" si="19"/>
        <v>400</v>
      </c>
      <c r="E322" s="42" t="s">
        <v>3</v>
      </c>
      <c r="F322" s="90">
        <f t="shared" si="20"/>
        <v>950</v>
      </c>
      <c r="G322" s="42" t="s">
        <v>3</v>
      </c>
      <c r="H322" s="39">
        <v>4</v>
      </c>
      <c r="I322" s="40" t="s">
        <v>40</v>
      </c>
      <c r="J322" s="149">
        <v>110</v>
      </c>
      <c r="K322" s="66">
        <v>400</v>
      </c>
      <c r="L322" s="66">
        <v>950</v>
      </c>
      <c r="M322" s="156">
        <v>12.643129405461579</v>
      </c>
      <c r="N322" s="78">
        <v>591.48829728737735</v>
      </c>
      <c r="O322" s="113">
        <v>21769.150749083707</v>
      </c>
      <c r="P322" s="111">
        <v>26940.403757920583</v>
      </c>
      <c r="Q322" s="110">
        <v>16110.4054803455</v>
      </c>
      <c r="R322" s="258">
        <v>37879.556229429203</v>
      </c>
      <c r="S322" s="259">
        <v>43050.809238266083</v>
      </c>
      <c r="U322" s="7" t="s">
        <v>2775</v>
      </c>
    </row>
    <row r="323" spans="1:21" ht="16.5" thickBot="1">
      <c r="A323" s="41" t="s">
        <v>31</v>
      </c>
      <c r="B323" s="42">
        <f t="shared" si="18"/>
        <v>110</v>
      </c>
      <c r="C323" s="42" t="s">
        <v>3</v>
      </c>
      <c r="D323" s="42">
        <f t="shared" si="19"/>
        <v>400</v>
      </c>
      <c r="E323" s="42" t="s">
        <v>3</v>
      </c>
      <c r="F323" s="90">
        <f t="shared" si="20"/>
        <v>1000</v>
      </c>
      <c r="G323" s="42" t="s">
        <v>3</v>
      </c>
      <c r="H323" s="39">
        <v>4</v>
      </c>
      <c r="I323" s="40" t="s">
        <v>40</v>
      </c>
      <c r="J323" s="149">
        <v>110</v>
      </c>
      <c r="K323" s="66">
        <v>400</v>
      </c>
      <c r="L323" s="66">
        <v>1000</v>
      </c>
      <c r="M323" s="156">
        <v>13.230416944958421</v>
      </c>
      <c r="N323" s="78">
        <v>640.7789887279921</v>
      </c>
      <c r="O323" s="113">
        <v>22560.345732597289</v>
      </c>
      <c r="P323" s="111">
        <v>27955.162290124408</v>
      </c>
      <c r="Q323" s="110">
        <v>16767.012583104239</v>
      </c>
      <c r="R323" s="258">
        <v>39327.358315701524</v>
      </c>
      <c r="S323" s="259">
        <v>44722.174873228651</v>
      </c>
      <c r="U323" s="7" t="s">
        <v>2776</v>
      </c>
    </row>
    <row r="324" spans="1:21" ht="16.5" thickBot="1">
      <c r="A324" s="41" t="s">
        <v>31</v>
      </c>
      <c r="B324" s="42">
        <f t="shared" si="18"/>
        <v>110</v>
      </c>
      <c r="C324" s="42" t="s">
        <v>3</v>
      </c>
      <c r="D324" s="42">
        <f t="shared" si="19"/>
        <v>400</v>
      </c>
      <c r="E324" s="42" t="s">
        <v>3</v>
      </c>
      <c r="F324" s="90">
        <f t="shared" si="20"/>
        <v>1050</v>
      </c>
      <c r="G324" s="42" t="s">
        <v>3</v>
      </c>
      <c r="H324" s="39">
        <v>4</v>
      </c>
      <c r="I324" s="40" t="s">
        <v>40</v>
      </c>
      <c r="J324" s="149">
        <v>110</v>
      </c>
      <c r="K324" s="66">
        <v>400</v>
      </c>
      <c r="L324" s="66">
        <v>1050</v>
      </c>
      <c r="M324" s="156">
        <v>13.834744484455264</v>
      </c>
      <c r="N324" s="78">
        <v>690.06968016860696</v>
      </c>
      <c r="O324" s="113">
        <v>23351.540869139641</v>
      </c>
      <c r="P324" s="111">
        <v>28969.920822328237</v>
      </c>
      <c r="Q324" s="110">
        <v>17674.953670617982</v>
      </c>
      <c r="R324" s="258">
        <v>41026.494539757623</v>
      </c>
      <c r="S324" s="259">
        <v>46644.874492946219</v>
      </c>
      <c r="U324" s="7" t="s">
        <v>2777</v>
      </c>
    </row>
    <row r="325" spans="1:21" ht="16.5" thickBot="1">
      <c r="A325" s="38" t="s">
        <v>31</v>
      </c>
      <c r="B325" s="39">
        <f t="shared" si="18"/>
        <v>110</v>
      </c>
      <c r="C325" s="39" t="s">
        <v>3</v>
      </c>
      <c r="D325" s="39">
        <f t="shared" si="19"/>
        <v>400</v>
      </c>
      <c r="E325" s="39" t="s">
        <v>3</v>
      </c>
      <c r="F325" s="90">
        <f t="shared" si="20"/>
        <v>1100</v>
      </c>
      <c r="G325" s="39" t="s">
        <v>3</v>
      </c>
      <c r="H325" s="39">
        <v>4</v>
      </c>
      <c r="I325" s="40" t="s">
        <v>40</v>
      </c>
      <c r="J325" s="149">
        <v>110</v>
      </c>
      <c r="K325" s="66">
        <v>400</v>
      </c>
      <c r="L325" s="66">
        <v>1100</v>
      </c>
      <c r="M325" s="156">
        <v>14.422032023952106</v>
      </c>
      <c r="N325" s="78">
        <v>739.36037160922172</v>
      </c>
      <c r="O325" s="113">
        <v>24142.735852653226</v>
      </c>
      <c r="P325" s="111">
        <v>29984.679507560824</v>
      </c>
      <c r="Q325" s="110">
        <v>18331.560773376717</v>
      </c>
      <c r="R325" s="258">
        <v>42474.296626029944</v>
      </c>
      <c r="S325" s="259">
        <v>48316.240280937542</v>
      </c>
      <c r="U325" s="7" t="s">
        <v>2778</v>
      </c>
    </row>
    <row r="326" spans="1:21" ht="16.5" thickBot="1">
      <c r="A326" s="41" t="s">
        <v>31</v>
      </c>
      <c r="B326" s="42">
        <f t="shared" si="18"/>
        <v>110</v>
      </c>
      <c r="C326" s="42" t="s">
        <v>3</v>
      </c>
      <c r="D326" s="42">
        <f t="shared" si="19"/>
        <v>400</v>
      </c>
      <c r="E326" s="42" t="s">
        <v>3</v>
      </c>
      <c r="F326" s="90">
        <f t="shared" si="20"/>
        <v>1150</v>
      </c>
      <c r="G326" s="42" t="s">
        <v>3</v>
      </c>
      <c r="H326" s="39">
        <v>4</v>
      </c>
      <c r="I326" s="40" t="s">
        <v>40</v>
      </c>
      <c r="J326" s="149">
        <v>110</v>
      </c>
      <c r="K326" s="66">
        <v>400</v>
      </c>
      <c r="L326" s="66">
        <v>1150</v>
      </c>
      <c r="M326" s="156">
        <v>15.009319563448949</v>
      </c>
      <c r="N326" s="78">
        <v>788.65106304983647</v>
      </c>
      <c r="O326" s="113">
        <v>24933.930989195575</v>
      </c>
      <c r="P326" s="111">
        <v>30999.438039764649</v>
      </c>
      <c r="Q326" s="110">
        <v>18988.167723106693</v>
      </c>
      <c r="R326" s="258">
        <v>43922.098712302264</v>
      </c>
      <c r="S326" s="259">
        <v>49987.605762871346</v>
      </c>
      <c r="U326" s="7" t="s">
        <v>2779</v>
      </c>
    </row>
    <row r="327" spans="1:21" ht="16.5" thickBot="1">
      <c r="A327" s="41" t="s">
        <v>31</v>
      </c>
      <c r="B327" s="42">
        <f t="shared" si="18"/>
        <v>110</v>
      </c>
      <c r="C327" s="42" t="s">
        <v>3</v>
      </c>
      <c r="D327" s="42">
        <f t="shared" si="19"/>
        <v>400</v>
      </c>
      <c r="E327" s="42" t="s">
        <v>3</v>
      </c>
      <c r="F327" s="90">
        <f t="shared" si="20"/>
        <v>1200</v>
      </c>
      <c r="G327" s="42" t="s">
        <v>3</v>
      </c>
      <c r="H327" s="39">
        <v>4</v>
      </c>
      <c r="I327" s="40" t="s">
        <v>40</v>
      </c>
      <c r="J327" s="149">
        <v>110</v>
      </c>
      <c r="K327" s="66">
        <v>400</v>
      </c>
      <c r="L327" s="66">
        <v>1200</v>
      </c>
      <c r="M327" s="156">
        <v>15.692147102945789</v>
      </c>
      <c r="N327" s="78">
        <v>837.94175449045133</v>
      </c>
      <c r="O327" s="113">
        <v>25809.224307842491</v>
      </c>
      <c r="P327" s="111">
        <v>32098.808318608797</v>
      </c>
      <c r="Q327" s="110">
        <v>19896.1089636492</v>
      </c>
      <c r="R327" s="258">
        <v>45705.333271491691</v>
      </c>
      <c r="S327" s="259">
        <v>51994.917282258</v>
      </c>
      <c r="U327" s="7" t="s">
        <v>2780</v>
      </c>
    </row>
    <row r="328" spans="1:21" ht="16.5" thickBot="1">
      <c r="A328" s="41" t="s">
        <v>31</v>
      </c>
      <c r="B328" s="42">
        <f t="shared" si="18"/>
        <v>110</v>
      </c>
      <c r="C328" s="42" t="s">
        <v>3</v>
      </c>
      <c r="D328" s="42">
        <f t="shared" si="19"/>
        <v>400</v>
      </c>
      <c r="E328" s="42" t="s">
        <v>3</v>
      </c>
      <c r="F328" s="90">
        <f t="shared" si="20"/>
        <v>1250</v>
      </c>
      <c r="G328" s="42" t="s">
        <v>3</v>
      </c>
      <c r="H328" s="39">
        <v>4</v>
      </c>
      <c r="I328" s="40" t="s">
        <v>40</v>
      </c>
      <c r="J328" s="149">
        <v>110</v>
      </c>
      <c r="K328" s="66">
        <v>400</v>
      </c>
      <c r="L328" s="66">
        <v>1250</v>
      </c>
      <c r="M328" s="156">
        <v>16.279434642442631</v>
      </c>
      <c r="N328" s="78">
        <v>887.2324459310662</v>
      </c>
      <c r="O328" s="113">
        <v>26600.419444384839</v>
      </c>
      <c r="P328" s="111">
        <v>33113.566850812625</v>
      </c>
      <c r="Q328" s="110">
        <v>20552.715913379172</v>
      </c>
      <c r="R328" s="258">
        <v>47153.135357764011</v>
      </c>
      <c r="S328" s="259">
        <v>53666.282764191797</v>
      </c>
      <c r="U328" s="7" t="s">
        <v>2781</v>
      </c>
    </row>
    <row r="329" spans="1:21" ht="16.5" thickBot="1">
      <c r="A329" s="41" t="s">
        <v>31</v>
      </c>
      <c r="B329" s="42">
        <f t="shared" si="18"/>
        <v>110</v>
      </c>
      <c r="C329" s="42" t="s">
        <v>3</v>
      </c>
      <c r="D329" s="42">
        <f t="shared" si="19"/>
        <v>400</v>
      </c>
      <c r="E329" s="42" t="s">
        <v>3</v>
      </c>
      <c r="F329" s="90">
        <f t="shared" si="20"/>
        <v>1300</v>
      </c>
      <c r="G329" s="42" t="s">
        <v>3</v>
      </c>
      <c r="H329" s="39">
        <v>4</v>
      </c>
      <c r="I329" s="40" t="s">
        <v>40</v>
      </c>
      <c r="J329" s="149">
        <v>110</v>
      </c>
      <c r="K329" s="66">
        <v>400</v>
      </c>
      <c r="L329" s="66">
        <v>1300</v>
      </c>
      <c r="M329" s="156">
        <v>16.883762181939474</v>
      </c>
      <c r="N329" s="78">
        <v>936.52313737168072</v>
      </c>
      <c r="O329" s="113">
        <v>27391.614427898421</v>
      </c>
      <c r="P329" s="111">
        <v>34128.325383016447</v>
      </c>
      <c r="Q329" s="110">
        <v>21460.657153921682</v>
      </c>
      <c r="R329" s="258">
        <v>48852.271581820103</v>
      </c>
      <c r="S329" s="259">
        <v>55588.982536938129</v>
      </c>
      <c r="U329" s="7" t="s">
        <v>2782</v>
      </c>
    </row>
    <row r="330" spans="1:21" ht="16.5" thickBot="1">
      <c r="A330" s="41" t="s">
        <v>31</v>
      </c>
      <c r="B330" s="42">
        <f t="shared" si="18"/>
        <v>110</v>
      </c>
      <c r="C330" s="42" t="s">
        <v>3</v>
      </c>
      <c r="D330" s="42">
        <f t="shared" si="19"/>
        <v>400</v>
      </c>
      <c r="E330" s="42" t="s">
        <v>3</v>
      </c>
      <c r="F330" s="90">
        <f t="shared" si="20"/>
        <v>1350</v>
      </c>
      <c r="G330" s="42" t="s">
        <v>3</v>
      </c>
      <c r="H330" s="39">
        <v>4</v>
      </c>
      <c r="I330" s="40" t="s">
        <v>40</v>
      </c>
      <c r="J330" s="149">
        <v>110</v>
      </c>
      <c r="K330" s="66">
        <v>400</v>
      </c>
      <c r="L330" s="66">
        <v>1350</v>
      </c>
      <c r="M330" s="156">
        <v>17.471049721436316</v>
      </c>
      <c r="N330" s="78">
        <v>985.81382881229558</v>
      </c>
      <c r="O330" s="113">
        <v>28182.809564440777</v>
      </c>
      <c r="P330" s="111">
        <v>35143.084068249045</v>
      </c>
      <c r="Q330" s="110">
        <v>22117.264103651651</v>
      </c>
      <c r="R330" s="258">
        <v>50300.073668092431</v>
      </c>
      <c r="S330" s="259">
        <v>57260.348171900696</v>
      </c>
      <c r="U330" s="7" t="s">
        <v>2783</v>
      </c>
    </row>
    <row r="331" spans="1:21" ht="16.5" thickBot="1">
      <c r="A331" s="41" t="s">
        <v>31</v>
      </c>
      <c r="B331" s="42">
        <f t="shared" si="18"/>
        <v>110</v>
      </c>
      <c r="C331" s="42" t="s">
        <v>3</v>
      </c>
      <c r="D331" s="42">
        <f t="shared" si="19"/>
        <v>400</v>
      </c>
      <c r="E331" s="42" t="s">
        <v>3</v>
      </c>
      <c r="F331" s="90">
        <f t="shared" si="20"/>
        <v>1400</v>
      </c>
      <c r="G331" s="42" t="s">
        <v>3</v>
      </c>
      <c r="H331" s="39">
        <v>4</v>
      </c>
      <c r="I331" s="40" t="s">
        <v>40</v>
      </c>
      <c r="J331" s="149">
        <v>110</v>
      </c>
      <c r="K331" s="66">
        <v>400</v>
      </c>
      <c r="L331" s="66">
        <v>1400</v>
      </c>
      <c r="M331" s="156">
        <v>18.075377260933156</v>
      </c>
      <c r="N331" s="78">
        <v>1035.1045202529106</v>
      </c>
      <c r="O331" s="113">
        <v>28974.004547954359</v>
      </c>
      <c r="P331" s="111">
        <v>36157.842600452866</v>
      </c>
      <c r="Q331" s="110">
        <v>23025.205344194161</v>
      </c>
      <c r="R331" s="258">
        <v>51999.209892148516</v>
      </c>
      <c r="S331" s="259">
        <v>59183.047944647027</v>
      </c>
      <c r="U331" s="7" t="s">
        <v>2784</v>
      </c>
    </row>
    <row r="332" spans="1:21" ht="16.5" thickBot="1">
      <c r="A332" s="41" t="s">
        <v>31</v>
      </c>
      <c r="B332" s="42">
        <f t="shared" si="18"/>
        <v>110</v>
      </c>
      <c r="C332" s="42" t="s">
        <v>3</v>
      </c>
      <c r="D332" s="42">
        <f t="shared" si="19"/>
        <v>400</v>
      </c>
      <c r="E332" s="42" t="s">
        <v>3</v>
      </c>
      <c r="F332" s="90">
        <f t="shared" si="20"/>
        <v>1450</v>
      </c>
      <c r="G332" s="42" t="s">
        <v>3</v>
      </c>
      <c r="H332" s="39">
        <v>4</v>
      </c>
      <c r="I332" s="40" t="s">
        <v>40</v>
      </c>
      <c r="J332" s="149">
        <v>110</v>
      </c>
      <c r="K332" s="66">
        <v>400</v>
      </c>
      <c r="L332" s="66">
        <v>1450</v>
      </c>
      <c r="M332" s="156">
        <v>18.662664800430001</v>
      </c>
      <c r="N332" s="78">
        <v>1084.395211693525</v>
      </c>
      <c r="O332" s="113">
        <v>29765.199684496711</v>
      </c>
      <c r="P332" s="111">
        <v>37172.601132656695</v>
      </c>
      <c r="Q332" s="110">
        <v>23681.812293924133</v>
      </c>
      <c r="R332" s="258">
        <v>53447.011978420844</v>
      </c>
      <c r="S332" s="259">
        <v>60854.413426580824</v>
      </c>
      <c r="U332" s="7" t="s">
        <v>2785</v>
      </c>
    </row>
    <row r="333" spans="1:21" ht="16.5" thickBot="1">
      <c r="A333" s="41" t="s">
        <v>31</v>
      </c>
      <c r="B333" s="42">
        <f t="shared" si="18"/>
        <v>110</v>
      </c>
      <c r="C333" s="42" t="s">
        <v>3</v>
      </c>
      <c r="D333" s="42">
        <f t="shared" si="19"/>
        <v>400</v>
      </c>
      <c r="E333" s="42" t="s">
        <v>3</v>
      </c>
      <c r="F333" s="90">
        <f t="shared" si="20"/>
        <v>1500</v>
      </c>
      <c r="G333" s="42" t="s">
        <v>3</v>
      </c>
      <c r="H333" s="39">
        <v>4</v>
      </c>
      <c r="I333" s="40" t="s">
        <v>40</v>
      </c>
      <c r="J333" s="149">
        <v>110</v>
      </c>
      <c r="K333" s="66">
        <v>400</v>
      </c>
      <c r="L333" s="66">
        <v>1500</v>
      </c>
      <c r="M333" s="156">
        <v>19.494272532226844</v>
      </c>
      <c r="N333" s="78">
        <v>1133.6859031341398</v>
      </c>
      <c r="O333" s="113">
        <v>31477.875281576002</v>
      </c>
      <c r="P333" s="111">
        <v>39088.118806369414</v>
      </c>
      <c r="Q333" s="110">
        <v>24589.753534466639</v>
      </c>
      <c r="R333" s="258">
        <v>56067.628816042641</v>
      </c>
      <c r="S333" s="259">
        <v>63677.872340836053</v>
      </c>
      <c r="U333" s="7" t="s">
        <v>2786</v>
      </c>
    </row>
    <row r="334" spans="1:21" ht="16.5" thickBot="1">
      <c r="A334" s="41" t="s">
        <v>31</v>
      </c>
      <c r="B334" s="42">
        <f t="shared" si="18"/>
        <v>110</v>
      </c>
      <c r="C334" s="42" t="s">
        <v>3</v>
      </c>
      <c r="D334" s="42">
        <f t="shared" si="19"/>
        <v>400</v>
      </c>
      <c r="E334" s="42" t="s">
        <v>3</v>
      </c>
      <c r="F334" s="90">
        <f t="shared" si="20"/>
        <v>1550</v>
      </c>
      <c r="G334" s="42" t="s">
        <v>3</v>
      </c>
      <c r="H334" s="39">
        <v>4</v>
      </c>
      <c r="I334" s="40" t="s">
        <v>40</v>
      </c>
      <c r="J334" s="149">
        <v>110</v>
      </c>
      <c r="K334" s="66">
        <v>400</v>
      </c>
      <c r="L334" s="66">
        <v>1550</v>
      </c>
      <c r="M334" s="156">
        <v>20.081560071723686</v>
      </c>
      <c r="N334" s="78">
        <v>1182.9765945747547</v>
      </c>
      <c r="O334" s="113">
        <v>32269.07041811835</v>
      </c>
      <c r="P334" s="111">
        <v>40102.877338573235</v>
      </c>
      <c r="Q334" s="110">
        <v>25246.360484196612</v>
      </c>
      <c r="R334" s="258">
        <v>57515.430902314962</v>
      </c>
      <c r="S334" s="259">
        <v>65349.23782276985</v>
      </c>
      <c r="U334" s="7" t="s">
        <v>2787</v>
      </c>
    </row>
    <row r="335" spans="1:21" ht="16.5" thickBot="1">
      <c r="A335" s="38" t="s">
        <v>31</v>
      </c>
      <c r="B335" s="39">
        <f t="shared" si="18"/>
        <v>110</v>
      </c>
      <c r="C335" s="39" t="s">
        <v>3</v>
      </c>
      <c r="D335" s="39">
        <f t="shared" si="19"/>
        <v>400</v>
      </c>
      <c r="E335" s="39" t="s">
        <v>3</v>
      </c>
      <c r="F335" s="90">
        <f t="shared" si="20"/>
        <v>1600</v>
      </c>
      <c r="G335" s="39" t="s">
        <v>3</v>
      </c>
      <c r="H335" s="39">
        <v>4</v>
      </c>
      <c r="I335" s="40" t="s">
        <v>40</v>
      </c>
      <c r="J335" s="149">
        <v>110</v>
      </c>
      <c r="K335" s="66">
        <v>400</v>
      </c>
      <c r="L335" s="66">
        <v>1600</v>
      </c>
      <c r="M335" s="156">
        <v>20.668847611220528</v>
      </c>
      <c r="N335" s="78">
        <v>1232.2672860153693</v>
      </c>
      <c r="O335" s="113">
        <v>33060.265401631936</v>
      </c>
      <c r="P335" s="111">
        <v>41117.636023805833</v>
      </c>
      <c r="Q335" s="110">
        <v>25902.96758695535</v>
      </c>
      <c r="R335" s="258">
        <v>58963.23298858729</v>
      </c>
      <c r="S335" s="259">
        <v>67020.603610761187</v>
      </c>
      <c r="U335" s="7" t="s">
        <v>2788</v>
      </c>
    </row>
    <row r="336" spans="1:21" ht="16.5" thickBot="1">
      <c r="A336" s="41" t="s">
        <v>31</v>
      </c>
      <c r="B336" s="42">
        <f t="shared" si="18"/>
        <v>110</v>
      </c>
      <c r="C336" s="42" t="s">
        <v>3</v>
      </c>
      <c r="D336" s="42">
        <f t="shared" si="19"/>
        <v>400</v>
      </c>
      <c r="E336" s="42" t="s">
        <v>3</v>
      </c>
      <c r="F336" s="90">
        <f t="shared" si="20"/>
        <v>1650</v>
      </c>
      <c r="G336" s="42" t="s">
        <v>3</v>
      </c>
      <c r="H336" s="39">
        <v>4</v>
      </c>
      <c r="I336" s="40" t="s">
        <v>40</v>
      </c>
      <c r="J336" s="149">
        <v>110</v>
      </c>
      <c r="K336" s="66">
        <v>400</v>
      </c>
      <c r="L336" s="66">
        <v>1650</v>
      </c>
      <c r="M336" s="156">
        <v>21.273175150717371</v>
      </c>
      <c r="N336" s="78">
        <v>1281.5579774559842</v>
      </c>
      <c r="O336" s="113">
        <v>33851.460538174288</v>
      </c>
      <c r="P336" s="111">
        <v>42132.394556009654</v>
      </c>
      <c r="Q336" s="110">
        <v>26810.908827497857</v>
      </c>
      <c r="R336" s="258">
        <v>60662.369365672144</v>
      </c>
      <c r="S336" s="259">
        <v>68943.303383507504</v>
      </c>
      <c r="U336" s="7" t="s">
        <v>2789</v>
      </c>
    </row>
    <row r="337" spans="1:21" ht="16.5" thickBot="1">
      <c r="A337" s="41" t="s">
        <v>31</v>
      </c>
      <c r="B337" s="42">
        <f t="shared" si="18"/>
        <v>110</v>
      </c>
      <c r="C337" s="42" t="s">
        <v>3</v>
      </c>
      <c r="D337" s="42">
        <f t="shared" si="19"/>
        <v>400</v>
      </c>
      <c r="E337" s="42" t="s">
        <v>3</v>
      </c>
      <c r="F337" s="90">
        <f t="shared" si="20"/>
        <v>1700</v>
      </c>
      <c r="G337" s="42" t="s">
        <v>3</v>
      </c>
      <c r="H337" s="39">
        <v>4</v>
      </c>
      <c r="I337" s="40" t="s">
        <v>40</v>
      </c>
      <c r="J337" s="149">
        <v>110</v>
      </c>
      <c r="K337" s="66">
        <v>400</v>
      </c>
      <c r="L337" s="66">
        <v>1700</v>
      </c>
      <c r="M337" s="156">
        <v>21.860462690214213</v>
      </c>
      <c r="N337" s="78">
        <v>1330.8486688965991</v>
      </c>
      <c r="O337" s="113">
        <v>34642.65552168787</v>
      </c>
      <c r="P337" s="111">
        <v>43147.153088213483</v>
      </c>
      <c r="Q337" s="110">
        <v>27467.515777227836</v>
      </c>
      <c r="R337" s="258">
        <v>62110.171298915709</v>
      </c>
      <c r="S337" s="259">
        <v>70614.668865441316</v>
      </c>
      <c r="U337" s="7" t="s">
        <v>2790</v>
      </c>
    </row>
    <row r="338" spans="1:21" ht="16.5" thickBot="1">
      <c r="A338" s="41" t="s">
        <v>31</v>
      </c>
      <c r="B338" s="42">
        <f t="shared" si="18"/>
        <v>110</v>
      </c>
      <c r="C338" s="42" t="s">
        <v>3</v>
      </c>
      <c r="D338" s="42">
        <f t="shared" si="19"/>
        <v>400</v>
      </c>
      <c r="E338" s="42" t="s">
        <v>3</v>
      </c>
      <c r="F338" s="90">
        <f t="shared" si="20"/>
        <v>1750</v>
      </c>
      <c r="G338" s="42" t="s">
        <v>3</v>
      </c>
      <c r="H338" s="39">
        <v>4</v>
      </c>
      <c r="I338" s="40" t="s">
        <v>40</v>
      </c>
      <c r="J338" s="149">
        <v>110</v>
      </c>
      <c r="K338" s="66">
        <v>400</v>
      </c>
      <c r="L338" s="66">
        <v>1750</v>
      </c>
      <c r="M338" s="156">
        <v>22.464790229711049</v>
      </c>
      <c r="N338" s="78">
        <v>1380.1393603372139</v>
      </c>
      <c r="O338" s="113">
        <v>35433.850658230222</v>
      </c>
      <c r="P338" s="111">
        <v>44161.911620417304</v>
      </c>
      <c r="Q338" s="110">
        <v>28375.457017770343</v>
      </c>
      <c r="R338" s="258">
        <v>63809.307676000564</v>
      </c>
      <c r="S338" s="259">
        <v>72537.368638187647</v>
      </c>
      <c r="U338" s="7" t="s">
        <v>2791</v>
      </c>
    </row>
    <row r="339" spans="1:21" ht="16.5" thickBot="1">
      <c r="A339" s="41" t="s">
        <v>31</v>
      </c>
      <c r="B339" s="42">
        <f t="shared" si="18"/>
        <v>110</v>
      </c>
      <c r="C339" s="42" t="s">
        <v>3</v>
      </c>
      <c r="D339" s="42">
        <f t="shared" si="19"/>
        <v>400</v>
      </c>
      <c r="E339" s="42" t="s">
        <v>3</v>
      </c>
      <c r="F339" s="90">
        <f t="shared" si="20"/>
        <v>1800</v>
      </c>
      <c r="G339" s="42" t="s">
        <v>3</v>
      </c>
      <c r="H339" s="39">
        <v>4</v>
      </c>
      <c r="I339" s="40" t="s">
        <v>40</v>
      </c>
      <c r="J339" s="149">
        <v>110</v>
      </c>
      <c r="K339" s="66">
        <v>400</v>
      </c>
      <c r="L339" s="66">
        <v>1800</v>
      </c>
      <c r="M339" s="156">
        <v>23.052077769207898</v>
      </c>
      <c r="N339" s="78">
        <v>1429.4300517778286</v>
      </c>
      <c r="O339" s="113">
        <v>36225.045641743811</v>
      </c>
      <c r="P339" s="111">
        <v>45176.670305649895</v>
      </c>
      <c r="Q339" s="110">
        <v>29032.063967500315</v>
      </c>
      <c r="R339" s="258">
        <v>65257.109609244129</v>
      </c>
      <c r="S339" s="259">
        <v>74208.734273150214</v>
      </c>
      <c r="U339" s="7" t="s">
        <v>2792</v>
      </c>
    </row>
    <row r="340" spans="1:21" ht="16.5" thickBot="1">
      <c r="A340" s="41" t="s">
        <v>31</v>
      </c>
      <c r="B340" s="42">
        <f t="shared" si="18"/>
        <v>110</v>
      </c>
      <c r="C340" s="42" t="s">
        <v>3</v>
      </c>
      <c r="D340" s="42">
        <f t="shared" si="19"/>
        <v>400</v>
      </c>
      <c r="E340" s="42" t="s">
        <v>3</v>
      </c>
      <c r="F340" s="90">
        <f t="shared" si="20"/>
        <v>1850</v>
      </c>
      <c r="G340" s="42" t="s">
        <v>3</v>
      </c>
      <c r="H340" s="39">
        <v>4</v>
      </c>
      <c r="I340" s="40" t="s">
        <v>40</v>
      </c>
      <c r="J340" s="149">
        <v>110</v>
      </c>
      <c r="K340" s="66">
        <v>400</v>
      </c>
      <c r="L340" s="66">
        <v>1850</v>
      </c>
      <c r="M340" s="156">
        <v>23.656405308704741</v>
      </c>
      <c r="N340" s="78">
        <v>1478.7207432184434</v>
      </c>
      <c r="O340" s="113">
        <v>37016.240778286156</v>
      </c>
      <c r="P340" s="111">
        <v>46191.428837853724</v>
      </c>
      <c r="Q340" s="110">
        <v>29940.005208042821</v>
      </c>
      <c r="R340" s="258">
        <v>66956.245986328984</v>
      </c>
      <c r="S340" s="259">
        <v>76131.434045896545</v>
      </c>
      <c r="U340" s="7" t="s">
        <v>2793</v>
      </c>
    </row>
    <row r="341" spans="1:21" ht="16.5" thickBot="1">
      <c r="A341" s="41" t="s">
        <v>31</v>
      </c>
      <c r="B341" s="42">
        <f t="shared" si="18"/>
        <v>110</v>
      </c>
      <c r="C341" s="42" t="s">
        <v>3</v>
      </c>
      <c r="D341" s="42">
        <f t="shared" si="19"/>
        <v>400</v>
      </c>
      <c r="E341" s="42" t="s">
        <v>3</v>
      </c>
      <c r="F341" s="90">
        <f t="shared" si="20"/>
        <v>1900</v>
      </c>
      <c r="G341" s="42" t="s">
        <v>3</v>
      </c>
      <c r="H341" s="39">
        <v>4</v>
      </c>
      <c r="I341" s="40" t="s">
        <v>40</v>
      </c>
      <c r="J341" s="149">
        <v>110</v>
      </c>
      <c r="K341" s="66">
        <v>400</v>
      </c>
      <c r="L341" s="66">
        <v>1900</v>
      </c>
      <c r="M341" s="156">
        <v>24.243692848201583</v>
      </c>
      <c r="N341" s="78">
        <v>1528.0114346590583</v>
      </c>
      <c r="O341" s="113">
        <v>37807.435761799738</v>
      </c>
      <c r="P341" s="111">
        <v>47206.187370057545</v>
      </c>
      <c r="Q341" s="110">
        <v>30596.612157772794</v>
      </c>
      <c r="R341" s="258">
        <v>68404.047919572535</v>
      </c>
      <c r="S341" s="259">
        <v>77802.799527830342</v>
      </c>
      <c r="U341" s="7" t="s">
        <v>2794</v>
      </c>
    </row>
    <row r="342" spans="1:21" ht="16.5" thickBot="1">
      <c r="A342" s="41" t="s">
        <v>31</v>
      </c>
      <c r="B342" s="42">
        <f t="shared" si="18"/>
        <v>110</v>
      </c>
      <c r="C342" s="42" t="s">
        <v>3</v>
      </c>
      <c r="D342" s="42">
        <f t="shared" si="19"/>
        <v>400</v>
      </c>
      <c r="E342" s="42" t="s">
        <v>3</v>
      </c>
      <c r="F342" s="90">
        <f t="shared" si="20"/>
        <v>1950</v>
      </c>
      <c r="G342" s="42" t="s">
        <v>3</v>
      </c>
      <c r="H342" s="39">
        <v>4</v>
      </c>
      <c r="I342" s="40" t="s">
        <v>40</v>
      </c>
      <c r="J342" s="149">
        <v>110</v>
      </c>
      <c r="K342" s="66">
        <v>400</v>
      </c>
      <c r="L342" s="66">
        <v>1950</v>
      </c>
      <c r="M342" s="156">
        <v>24.909480387698427</v>
      </c>
      <c r="N342" s="78">
        <v>1577.3021260996729</v>
      </c>
      <c r="O342" s="113">
        <v>38682.729233475417</v>
      </c>
      <c r="P342" s="111">
        <v>48305.557648901697</v>
      </c>
      <c r="Q342" s="110">
        <v>31253.219260531532</v>
      </c>
      <c r="R342" s="258">
        <v>69935.948494006952</v>
      </c>
      <c r="S342" s="259">
        <v>79558.776909433233</v>
      </c>
      <c r="U342" s="7" t="s">
        <v>2795</v>
      </c>
    </row>
    <row r="343" spans="1:21" ht="16.5" thickBot="1">
      <c r="A343" s="41" t="s">
        <v>31</v>
      </c>
      <c r="B343" s="42">
        <f t="shared" si="18"/>
        <v>110</v>
      </c>
      <c r="C343" s="42" t="s">
        <v>3</v>
      </c>
      <c r="D343" s="42">
        <f t="shared" si="19"/>
        <v>400</v>
      </c>
      <c r="E343" s="42" t="s">
        <v>3</v>
      </c>
      <c r="F343" s="90">
        <f t="shared" si="20"/>
        <v>2000</v>
      </c>
      <c r="G343" s="42" t="s">
        <v>3</v>
      </c>
      <c r="H343" s="39">
        <v>4</v>
      </c>
      <c r="I343" s="40" t="s">
        <v>40</v>
      </c>
      <c r="J343" s="149">
        <v>110</v>
      </c>
      <c r="K343" s="66">
        <v>400</v>
      </c>
      <c r="L343" s="66">
        <v>2000</v>
      </c>
      <c r="M343" s="156">
        <v>25.605370327195267</v>
      </c>
      <c r="N343" s="78">
        <v>1626.5928175402878</v>
      </c>
      <c r="O343" s="113">
        <v>39725.216118833596</v>
      </c>
      <c r="P343" s="111">
        <v>49661.138174101558</v>
      </c>
      <c r="Q343" s="110">
        <v>32161.160348045276</v>
      </c>
      <c r="R343" s="258">
        <v>71886.376466878864</v>
      </c>
      <c r="S343" s="259">
        <v>81822.298522146826</v>
      </c>
      <c r="U343" s="7" t="s">
        <v>2796</v>
      </c>
    </row>
    <row r="344" spans="1:21" ht="16.5" thickBot="1">
      <c r="A344" s="41" t="s">
        <v>31</v>
      </c>
      <c r="B344" s="42">
        <f t="shared" si="18"/>
        <v>110</v>
      </c>
      <c r="C344" s="42" t="s">
        <v>3</v>
      </c>
      <c r="D344" s="42">
        <f t="shared" si="19"/>
        <v>400</v>
      </c>
      <c r="E344" s="42" t="s">
        <v>3</v>
      </c>
      <c r="F344" s="90">
        <f t="shared" si="20"/>
        <v>2050</v>
      </c>
      <c r="G344" s="42" t="s">
        <v>3</v>
      </c>
      <c r="H344" s="39">
        <v>4</v>
      </c>
      <c r="I344" s="40" t="s">
        <v>40</v>
      </c>
      <c r="J344" s="149">
        <v>110</v>
      </c>
      <c r="K344" s="66">
        <v>400</v>
      </c>
      <c r="L344" s="66">
        <v>2050</v>
      </c>
      <c r="M344" s="156">
        <v>26.192657866692109</v>
      </c>
      <c r="N344" s="78">
        <v>1675.8835089809027</v>
      </c>
      <c r="O344" s="113">
        <v>40516.411255375948</v>
      </c>
      <c r="P344" s="111">
        <v>50675.896859334149</v>
      </c>
      <c r="Q344" s="110">
        <v>32817.767450804015</v>
      </c>
      <c r="R344" s="258">
        <v>73334.178706179955</v>
      </c>
      <c r="S344" s="259">
        <v>83493.664310138163</v>
      </c>
      <c r="U344" s="7" t="s">
        <v>2797</v>
      </c>
    </row>
    <row r="345" spans="1:21" ht="16.5" thickBot="1">
      <c r="A345" s="38" t="s">
        <v>31</v>
      </c>
      <c r="B345" s="39">
        <f t="shared" si="18"/>
        <v>110</v>
      </c>
      <c r="C345" s="39" t="s">
        <v>3</v>
      </c>
      <c r="D345" s="39">
        <f t="shared" si="19"/>
        <v>400</v>
      </c>
      <c r="E345" s="39" t="s">
        <v>3</v>
      </c>
      <c r="F345" s="90">
        <f t="shared" si="20"/>
        <v>2100</v>
      </c>
      <c r="G345" s="39" t="s">
        <v>3</v>
      </c>
      <c r="H345" s="39">
        <v>4</v>
      </c>
      <c r="I345" s="40" t="s">
        <v>40</v>
      </c>
      <c r="J345" s="149">
        <v>110</v>
      </c>
      <c r="K345" s="66">
        <v>400</v>
      </c>
      <c r="L345" s="66">
        <v>2100</v>
      </c>
      <c r="M345" s="156">
        <v>26.796985406188949</v>
      </c>
      <c r="N345" s="78">
        <v>1725.1742004215173</v>
      </c>
      <c r="O345" s="113">
        <v>41307.60623888953</v>
      </c>
      <c r="P345" s="111">
        <v>51690.65539153797</v>
      </c>
      <c r="Q345" s="110">
        <v>33725.708538317755</v>
      </c>
      <c r="R345" s="258">
        <v>75033.314777207284</v>
      </c>
      <c r="S345" s="259">
        <v>85416.363929855725</v>
      </c>
      <c r="U345" s="7" t="s">
        <v>2798</v>
      </c>
    </row>
    <row r="346" spans="1:21" ht="16.5" thickBot="1">
      <c r="A346" s="41" t="s">
        <v>31</v>
      </c>
      <c r="B346" s="42">
        <f t="shared" si="18"/>
        <v>110</v>
      </c>
      <c r="C346" s="42" t="s">
        <v>3</v>
      </c>
      <c r="D346" s="42">
        <f t="shared" si="19"/>
        <v>400</v>
      </c>
      <c r="E346" s="42" t="s">
        <v>3</v>
      </c>
      <c r="F346" s="90">
        <f t="shared" si="20"/>
        <v>2150</v>
      </c>
      <c r="G346" s="42" t="s">
        <v>3</v>
      </c>
      <c r="H346" s="39">
        <v>4</v>
      </c>
      <c r="I346" s="40" t="s">
        <v>40</v>
      </c>
      <c r="J346" s="149">
        <v>110</v>
      </c>
      <c r="K346" s="66">
        <v>400</v>
      </c>
      <c r="L346" s="66">
        <v>2150</v>
      </c>
      <c r="M346" s="156">
        <v>27.384272945685794</v>
      </c>
      <c r="N346" s="78">
        <v>1774.4648918621324</v>
      </c>
      <c r="O346" s="113">
        <v>42098.801375431889</v>
      </c>
      <c r="P346" s="111">
        <v>52705.413923741806</v>
      </c>
      <c r="Q346" s="110">
        <v>34382.315641076493</v>
      </c>
      <c r="R346" s="258">
        <v>76481.117016508389</v>
      </c>
      <c r="S346" s="259">
        <v>87087.729564818292</v>
      </c>
      <c r="U346" s="7" t="s">
        <v>2799</v>
      </c>
    </row>
    <row r="347" spans="1:21" ht="16.5" thickBot="1">
      <c r="A347" s="41" t="s">
        <v>31</v>
      </c>
      <c r="B347" s="42">
        <f t="shared" si="18"/>
        <v>110</v>
      </c>
      <c r="C347" s="42" t="s">
        <v>3</v>
      </c>
      <c r="D347" s="42">
        <f t="shared" si="19"/>
        <v>400</v>
      </c>
      <c r="E347" s="42" t="s">
        <v>3</v>
      </c>
      <c r="F347" s="90">
        <f t="shared" si="20"/>
        <v>2200</v>
      </c>
      <c r="G347" s="42" t="s">
        <v>3</v>
      </c>
      <c r="H347" s="39">
        <v>4</v>
      </c>
      <c r="I347" s="40" t="s">
        <v>40</v>
      </c>
      <c r="J347" s="149">
        <v>110</v>
      </c>
      <c r="K347" s="66">
        <v>400</v>
      </c>
      <c r="L347" s="66">
        <v>2200</v>
      </c>
      <c r="M347" s="156">
        <v>27.98860048518263</v>
      </c>
      <c r="N347" s="78">
        <v>1823.755583302747</v>
      </c>
      <c r="O347" s="113">
        <v>42889.996358945471</v>
      </c>
      <c r="P347" s="111">
        <v>53720.172455945627</v>
      </c>
      <c r="Q347" s="110">
        <v>35290.256728590233</v>
      </c>
      <c r="R347" s="258">
        <v>78180.253087535704</v>
      </c>
      <c r="S347" s="259">
        <v>89010.429184535868</v>
      </c>
      <c r="U347" s="7" t="s">
        <v>2800</v>
      </c>
    </row>
    <row r="348" spans="1:21" ht="16.5" thickBot="1">
      <c r="A348" s="41" t="s">
        <v>31</v>
      </c>
      <c r="B348" s="42">
        <f t="shared" si="18"/>
        <v>110</v>
      </c>
      <c r="C348" s="42" t="s">
        <v>3</v>
      </c>
      <c r="D348" s="42">
        <f t="shared" si="19"/>
        <v>400</v>
      </c>
      <c r="E348" s="42" t="s">
        <v>3</v>
      </c>
      <c r="F348" s="90">
        <f t="shared" si="20"/>
        <v>2250</v>
      </c>
      <c r="G348" s="42" t="s">
        <v>3</v>
      </c>
      <c r="H348" s="39">
        <v>4</v>
      </c>
      <c r="I348" s="40" t="s">
        <v>40</v>
      </c>
      <c r="J348" s="149">
        <v>110</v>
      </c>
      <c r="K348" s="66">
        <v>400</v>
      </c>
      <c r="L348" s="66">
        <v>2250</v>
      </c>
      <c r="M348" s="156">
        <v>28.575888024679472</v>
      </c>
      <c r="N348" s="78">
        <v>1873.0462747433614</v>
      </c>
      <c r="O348" s="113">
        <v>43681.191495487816</v>
      </c>
      <c r="P348" s="111">
        <v>54734.931141178218</v>
      </c>
      <c r="Q348" s="110">
        <v>35946.863831348819</v>
      </c>
      <c r="R348" s="258">
        <v>79628.055326836635</v>
      </c>
      <c r="S348" s="259">
        <v>90681.794972527045</v>
      </c>
      <c r="U348" s="7" t="s">
        <v>2801</v>
      </c>
    </row>
    <row r="349" spans="1:21" ht="16.5" thickBot="1">
      <c r="A349" s="41" t="s">
        <v>31</v>
      </c>
      <c r="B349" s="42">
        <f t="shared" si="18"/>
        <v>110</v>
      </c>
      <c r="C349" s="42" t="s">
        <v>3</v>
      </c>
      <c r="D349" s="42">
        <f t="shared" si="19"/>
        <v>400</v>
      </c>
      <c r="E349" s="42" t="s">
        <v>3</v>
      </c>
      <c r="F349" s="90">
        <f t="shared" si="20"/>
        <v>2300</v>
      </c>
      <c r="G349" s="42" t="s">
        <v>3</v>
      </c>
      <c r="H349" s="39">
        <v>4</v>
      </c>
      <c r="I349" s="40" t="s">
        <v>40</v>
      </c>
      <c r="J349" s="149">
        <v>110</v>
      </c>
      <c r="K349" s="66">
        <v>400</v>
      </c>
      <c r="L349" s="66">
        <v>2300</v>
      </c>
      <c r="M349" s="156">
        <v>29.163175564176317</v>
      </c>
      <c r="N349" s="78">
        <v>1922.3369661839765</v>
      </c>
      <c r="O349" s="113">
        <v>44472.386479001405</v>
      </c>
      <c r="P349" s="111">
        <v>55749.689673382039</v>
      </c>
      <c r="Q349" s="110">
        <v>36603.470781078948</v>
      </c>
      <c r="R349" s="258">
        <v>81075.857260080345</v>
      </c>
      <c r="S349" s="259">
        <v>92353.160454460987</v>
      </c>
      <c r="U349" s="7" t="s">
        <v>2802</v>
      </c>
    </row>
    <row r="350" spans="1:21" ht="16.5" thickBot="1">
      <c r="A350" s="41" t="s">
        <v>31</v>
      </c>
      <c r="B350" s="42">
        <f t="shared" si="18"/>
        <v>110</v>
      </c>
      <c r="C350" s="42" t="s">
        <v>3</v>
      </c>
      <c r="D350" s="42">
        <f t="shared" si="19"/>
        <v>400</v>
      </c>
      <c r="E350" s="42" t="s">
        <v>3</v>
      </c>
      <c r="F350" s="90">
        <f t="shared" si="20"/>
        <v>2350</v>
      </c>
      <c r="G350" s="42" t="s">
        <v>3</v>
      </c>
      <c r="H350" s="39">
        <v>4</v>
      </c>
      <c r="I350" s="40" t="s">
        <v>40</v>
      </c>
      <c r="J350" s="149">
        <v>110</v>
      </c>
      <c r="K350" s="66">
        <v>400</v>
      </c>
      <c r="L350" s="66">
        <v>2350</v>
      </c>
      <c r="M350" s="156">
        <v>29.767503103673164</v>
      </c>
      <c r="N350" s="78">
        <v>1971.6276576245912</v>
      </c>
      <c r="O350" s="113">
        <v>45263.58161554375</v>
      </c>
      <c r="P350" s="111">
        <v>56764.448205585868</v>
      </c>
      <c r="Q350" s="110">
        <v>37511.412021621458</v>
      </c>
      <c r="R350" s="258">
        <v>82774.9936371652</v>
      </c>
      <c r="S350" s="259">
        <v>94275.860227207333</v>
      </c>
      <c r="U350" s="7" t="s">
        <v>2803</v>
      </c>
    </row>
    <row r="351" spans="1:21" ht="16.5" thickBot="1">
      <c r="A351" s="41" t="s">
        <v>31</v>
      </c>
      <c r="B351" s="42">
        <f t="shared" si="18"/>
        <v>110</v>
      </c>
      <c r="C351" s="42" t="s">
        <v>3</v>
      </c>
      <c r="D351" s="42">
        <f t="shared" si="19"/>
        <v>400</v>
      </c>
      <c r="E351" s="42" t="s">
        <v>3</v>
      </c>
      <c r="F351" s="90">
        <f t="shared" si="20"/>
        <v>2400</v>
      </c>
      <c r="G351" s="42" t="s">
        <v>3</v>
      </c>
      <c r="H351" s="39">
        <v>4</v>
      </c>
      <c r="I351" s="40" t="s">
        <v>40</v>
      </c>
      <c r="J351" s="149">
        <v>110</v>
      </c>
      <c r="K351" s="66">
        <v>400</v>
      </c>
      <c r="L351" s="66">
        <v>2400</v>
      </c>
      <c r="M351" s="156">
        <v>30.354790643169999</v>
      </c>
      <c r="N351" s="78">
        <v>2020.9183490652058</v>
      </c>
      <c r="O351" s="113">
        <v>46054.776599057339</v>
      </c>
      <c r="P351" s="111">
        <v>57779.206737789689</v>
      </c>
      <c r="Q351" s="110">
        <v>38168.019124380196</v>
      </c>
      <c r="R351" s="258">
        <v>84222.795723437535</v>
      </c>
      <c r="S351" s="259">
        <v>95947.225862169886</v>
      </c>
      <c r="U351" s="7" t="s">
        <v>2804</v>
      </c>
    </row>
    <row r="352" spans="1:21" ht="16.5" thickBot="1">
      <c r="A352" s="41" t="s">
        <v>31</v>
      </c>
      <c r="B352" s="42">
        <f t="shared" si="18"/>
        <v>110</v>
      </c>
      <c r="C352" s="42" t="s">
        <v>3</v>
      </c>
      <c r="D352" s="42">
        <f t="shared" si="19"/>
        <v>400</v>
      </c>
      <c r="E352" s="42" t="s">
        <v>3</v>
      </c>
      <c r="F352" s="90">
        <f t="shared" si="20"/>
        <v>2450</v>
      </c>
      <c r="G352" s="42" t="s">
        <v>3</v>
      </c>
      <c r="H352" s="39">
        <v>4</v>
      </c>
      <c r="I352" s="40" t="s">
        <v>40</v>
      </c>
      <c r="J352" s="149">
        <v>110</v>
      </c>
      <c r="K352" s="66">
        <v>400</v>
      </c>
      <c r="L352" s="66">
        <v>2450</v>
      </c>
      <c r="M352" s="156">
        <v>31.186398374966842</v>
      </c>
      <c r="N352" s="78">
        <v>2070.2090405058211</v>
      </c>
      <c r="O352" s="113">
        <v>47767.452349165396</v>
      </c>
      <c r="P352" s="111">
        <v>59694.724411502415</v>
      </c>
      <c r="Q352" s="110">
        <v>39075.960211893937</v>
      </c>
      <c r="R352" s="258">
        <v>86843.412561059333</v>
      </c>
      <c r="S352" s="259">
        <v>98770.684623396344</v>
      </c>
      <c r="U352" s="7" t="s">
        <v>2805</v>
      </c>
    </row>
    <row r="353" spans="1:21" ht="16.5" thickBot="1">
      <c r="A353" s="41" t="s">
        <v>31</v>
      </c>
      <c r="B353" s="42">
        <f t="shared" si="18"/>
        <v>110</v>
      </c>
      <c r="C353" s="42" t="s">
        <v>3</v>
      </c>
      <c r="D353" s="42">
        <f t="shared" si="19"/>
        <v>400</v>
      </c>
      <c r="E353" s="42" t="s">
        <v>3</v>
      </c>
      <c r="F353" s="90">
        <f t="shared" si="20"/>
        <v>2500</v>
      </c>
      <c r="G353" s="42" t="s">
        <v>3</v>
      </c>
      <c r="H353" s="39">
        <v>4</v>
      </c>
      <c r="I353" s="40" t="s">
        <v>40</v>
      </c>
      <c r="J353" s="149">
        <v>110</v>
      </c>
      <c r="K353" s="66">
        <v>400</v>
      </c>
      <c r="L353" s="66">
        <v>2500</v>
      </c>
      <c r="M353" s="156">
        <v>31.773685914463684</v>
      </c>
      <c r="N353" s="78">
        <v>2119.4997319464355</v>
      </c>
      <c r="O353" s="113">
        <v>48558.647332678986</v>
      </c>
      <c r="P353" s="111">
        <v>60709.483096735006</v>
      </c>
      <c r="Q353" s="110">
        <v>39732.567314652675</v>
      </c>
      <c r="R353" s="258">
        <v>88291.214647331653</v>
      </c>
      <c r="S353" s="259">
        <v>100442.05041138768</v>
      </c>
      <c r="U353" s="7" t="s">
        <v>2806</v>
      </c>
    </row>
    <row r="354" spans="1:21" ht="16.5" thickBot="1">
      <c r="A354" s="41" t="s">
        <v>31</v>
      </c>
      <c r="B354" s="42">
        <f t="shared" si="18"/>
        <v>110</v>
      </c>
      <c r="C354" s="42" t="s">
        <v>3</v>
      </c>
      <c r="D354" s="42">
        <f t="shared" si="19"/>
        <v>400</v>
      </c>
      <c r="E354" s="42" t="s">
        <v>3</v>
      </c>
      <c r="F354" s="90">
        <f t="shared" si="20"/>
        <v>2550</v>
      </c>
      <c r="G354" s="42" t="s">
        <v>3</v>
      </c>
      <c r="H354" s="39">
        <v>4</v>
      </c>
      <c r="I354" s="40" t="s">
        <v>40</v>
      </c>
      <c r="J354" s="149">
        <v>110</v>
      </c>
      <c r="K354" s="66">
        <v>400</v>
      </c>
      <c r="L354" s="66">
        <v>2550</v>
      </c>
      <c r="M354" s="156">
        <v>32.37801345396052</v>
      </c>
      <c r="N354" s="78">
        <v>2168.7904233870499</v>
      </c>
      <c r="O354" s="113">
        <v>49349.84246922133</v>
      </c>
      <c r="P354" s="111">
        <v>61724.241628938827</v>
      </c>
      <c r="Q354" s="110">
        <v>40640.508402166415</v>
      </c>
      <c r="R354" s="258">
        <v>89990.350871387753</v>
      </c>
      <c r="S354" s="259">
        <v>102364.75003110524</v>
      </c>
      <c r="U354" s="7" t="s">
        <v>2807</v>
      </c>
    </row>
    <row r="355" spans="1:21" ht="16.5" thickBot="1">
      <c r="A355" s="38" t="s">
        <v>31</v>
      </c>
      <c r="B355" s="39">
        <f t="shared" si="18"/>
        <v>110</v>
      </c>
      <c r="C355" s="39" t="s">
        <v>3</v>
      </c>
      <c r="D355" s="39">
        <f t="shared" si="19"/>
        <v>400</v>
      </c>
      <c r="E355" s="39" t="s">
        <v>3</v>
      </c>
      <c r="F355" s="90">
        <f t="shared" si="20"/>
        <v>2600</v>
      </c>
      <c r="G355" s="39" t="s">
        <v>3</v>
      </c>
      <c r="H355" s="39">
        <v>4</v>
      </c>
      <c r="I355" s="40" t="s">
        <v>40</v>
      </c>
      <c r="J355" s="149">
        <v>110</v>
      </c>
      <c r="K355" s="66">
        <v>400</v>
      </c>
      <c r="L355" s="66">
        <v>2600</v>
      </c>
      <c r="M355" s="156">
        <v>32.965300993457376</v>
      </c>
      <c r="N355" s="78">
        <v>2218.0811148276653</v>
      </c>
      <c r="O355" s="113">
        <v>50141.037452734912</v>
      </c>
      <c r="P355" s="111">
        <v>62739.000161142656</v>
      </c>
      <c r="Q355" s="110">
        <v>41297.115504925154</v>
      </c>
      <c r="R355" s="258">
        <v>91438.152957660059</v>
      </c>
      <c r="S355" s="259">
        <v>104036.11566606781</v>
      </c>
      <c r="U355" s="7" t="s">
        <v>2808</v>
      </c>
    </row>
    <row r="356" spans="1:21" ht="16.5" thickBot="1">
      <c r="A356" s="41" t="s">
        <v>31</v>
      </c>
      <c r="B356" s="42">
        <f t="shared" si="18"/>
        <v>110</v>
      </c>
      <c r="C356" s="42" t="s">
        <v>3</v>
      </c>
      <c r="D356" s="42">
        <f t="shared" si="19"/>
        <v>400</v>
      </c>
      <c r="E356" s="42" t="s">
        <v>3</v>
      </c>
      <c r="F356" s="90">
        <f t="shared" si="20"/>
        <v>2650</v>
      </c>
      <c r="G356" s="42" t="s">
        <v>3</v>
      </c>
      <c r="H356" s="39">
        <v>4</v>
      </c>
      <c r="I356" s="40" t="s">
        <v>40</v>
      </c>
      <c r="J356" s="149">
        <v>110</v>
      </c>
      <c r="K356" s="66">
        <v>400</v>
      </c>
      <c r="L356" s="66">
        <v>2650</v>
      </c>
      <c r="M356" s="156">
        <v>33.569628532954212</v>
      </c>
      <c r="N356" s="78">
        <v>2267.3718062682797</v>
      </c>
      <c r="O356" s="113">
        <v>50932.232589277264</v>
      </c>
      <c r="P356" s="111">
        <v>63753.758693346477</v>
      </c>
      <c r="Q356" s="110">
        <v>42205.056592438901</v>
      </c>
      <c r="R356" s="258">
        <v>93137.289181716158</v>
      </c>
      <c r="S356" s="259">
        <v>105958.81528578539</v>
      </c>
      <c r="U356" s="7" t="s">
        <v>2809</v>
      </c>
    </row>
    <row r="357" spans="1:21" ht="16.5" thickBot="1">
      <c r="A357" s="41" t="s">
        <v>31</v>
      </c>
      <c r="B357" s="42">
        <f t="shared" si="18"/>
        <v>110</v>
      </c>
      <c r="C357" s="42" t="s">
        <v>3</v>
      </c>
      <c r="D357" s="42">
        <f t="shared" si="19"/>
        <v>400</v>
      </c>
      <c r="E357" s="42" t="s">
        <v>3</v>
      </c>
      <c r="F357" s="90">
        <f t="shared" si="20"/>
        <v>2700</v>
      </c>
      <c r="G357" s="42" t="s">
        <v>3</v>
      </c>
      <c r="H357" s="39">
        <v>4</v>
      </c>
      <c r="I357" s="40" t="s">
        <v>40</v>
      </c>
      <c r="J357" s="149">
        <v>110</v>
      </c>
      <c r="K357" s="66">
        <v>400</v>
      </c>
      <c r="L357" s="66">
        <v>2700</v>
      </c>
      <c r="M357" s="156">
        <v>34.235416072451059</v>
      </c>
      <c r="N357" s="78">
        <v>2316.6624977088945</v>
      </c>
      <c r="O357" s="113">
        <v>51807.525907924173</v>
      </c>
      <c r="P357" s="111">
        <v>64853.128972190629</v>
      </c>
      <c r="Q357" s="110">
        <v>42861.66369519764</v>
      </c>
      <c r="R357" s="258">
        <v>94669.189603121806</v>
      </c>
      <c r="S357" s="259">
        <v>107714.79266738828</v>
      </c>
      <c r="U357" s="7" t="s">
        <v>2810</v>
      </c>
    </row>
    <row r="358" spans="1:21" ht="16.5" thickBot="1">
      <c r="A358" s="41" t="s">
        <v>31</v>
      </c>
      <c r="B358" s="42">
        <f t="shared" si="18"/>
        <v>110</v>
      </c>
      <c r="C358" s="42" t="s">
        <v>3</v>
      </c>
      <c r="D358" s="42">
        <f t="shared" si="19"/>
        <v>400</v>
      </c>
      <c r="E358" s="42" t="s">
        <v>3</v>
      </c>
      <c r="F358" s="90">
        <f t="shared" si="20"/>
        <v>2750</v>
      </c>
      <c r="G358" s="42" t="s">
        <v>3</v>
      </c>
      <c r="H358" s="39">
        <v>4</v>
      </c>
      <c r="I358" s="40" t="s">
        <v>40</v>
      </c>
      <c r="J358" s="149">
        <v>110</v>
      </c>
      <c r="K358" s="66">
        <v>400</v>
      </c>
      <c r="L358" s="66">
        <v>2750</v>
      </c>
      <c r="M358" s="156">
        <v>34.822703611947901</v>
      </c>
      <c r="N358" s="78">
        <v>2365.9531891495094</v>
      </c>
      <c r="O358" s="113">
        <v>52598.721044466525</v>
      </c>
      <c r="P358" s="111">
        <v>65867.887504394457</v>
      </c>
      <c r="Q358" s="110">
        <v>43518.270644927608</v>
      </c>
      <c r="R358" s="258">
        <v>96116.991689394141</v>
      </c>
      <c r="S358" s="259">
        <v>109386.15814932206</v>
      </c>
      <c r="U358" s="7" t="s">
        <v>2811</v>
      </c>
    </row>
    <row r="359" spans="1:21" ht="16.5" thickBot="1">
      <c r="A359" s="41" t="s">
        <v>31</v>
      </c>
      <c r="B359" s="42">
        <f t="shared" si="18"/>
        <v>110</v>
      </c>
      <c r="C359" s="42" t="s">
        <v>3</v>
      </c>
      <c r="D359" s="42">
        <f t="shared" si="19"/>
        <v>400</v>
      </c>
      <c r="E359" s="42" t="s">
        <v>3</v>
      </c>
      <c r="F359" s="90">
        <f t="shared" si="20"/>
        <v>2800</v>
      </c>
      <c r="G359" s="42" t="s">
        <v>3</v>
      </c>
      <c r="H359" s="39">
        <v>4</v>
      </c>
      <c r="I359" s="40" t="s">
        <v>40</v>
      </c>
      <c r="J359" s="149">
        <v>110</v>
      </c>
      <c r="K359" s="66">
        <v>400</v>
      </c>
      <c r="L359" s="66">
        <v>2800</v>
      </c>
      <c r="M359" s="156">
        <v>35.427031151444737</v>
      </c>
      <c r="N359" s="78">
        <v>2415.2438805901243</v>
      </c>
      <c r="O359" s="113">
        <v>53389.916027980107</v>
      </c>
      <c r="P359" s="111">
        <v>66882.646189627048</v>
      </c>
      <c r="Q359" s="110">
        <v>44426.211885470118</v>
      </c>
      <c r="R359" s="258">
        <v>97816.127913450226</v>
      </c>
      <c r="S359" s="259">
        <v>111308.85807509717</v>
      </c>
      <c r="U359" s="7" t="s">
        <v>2812</v>
      </c>
    </row>
    <row r="360" spans="1:21" ht="16.5" thickBot="1">
      <c r="A360" s="41" t="s">
        <v>31</v>
      </c>
      <c r="B360" s="42">
        <f t="shared" si="18"/>
        <v>110</v>
      </c>
      <c r="C360" s="42" t="s">
        <v>3</v>
      </c>
      <c r="D360" s="42">
        <f t="shared" si="19"/>
        <v>400</v>
      </c>
      <c r="E360" s="42" t="s">
        <v>3</v>
      </c>
      <c r="F360" s="90">
        <f t="shared" si="20"/>
        <v>2850</v>
      </c>
      <c r="G360" s="42" t="s">
        <v>3</v>
      </c>
      <c r="H360" s="39">
        <v>4</v>
      </c>
      <c r="I360" s="40" t="s">
        <v>40</v>
      </c>
      <c r="J360" s="149">
        <v>110</v>
      </c>
      <c r="K360" s="66">
        <v>400</v>
      </c>
      <c r="L360" s="66">
        <v>2850</v>
      </c>
      <c r="M360" s="156">
        <v>36.014318690941579</v>
      </c>
      <c r="N360" s="78">
        <v>2464.5345720307387</v>
      </c>
      <c r="O360" s="113">
        <v>54181.111164522466</v>
      </c>
      <c r="P360" s="111">
        <v>67897.40472183087</v>
      </c>
      <c r="Q360" s="110">
        <v>45082.818835200087</v>
      </c>
      <c r="R360" s="258">
        <v>99263.929999722546</v>
      </c>
      <c r="S360" s="259">
        <v>112980.22355703096</v>
      </c>
      <c r="U360" s="7" t="s">
        <v>2813</v>
      </c>
    </row>
    <row r="361" spans="1:21" ht="16.5" thickBot="1">
      <c r="A361" s="41" t="s">
        <v>31</v>
      </c>
      <c r="B361" s="42">
        <f t="shared" si="18"/>
        <v>110</v>
      </c>
      <c r="C361" s="42" t="s">
        <v>3</v>
      </c>
      <c r="D361" s="42">
        <f t="shared" si="19"/>
        <v>400</v>
      </c>
      <c r="E361" s="42" t="s">
        <v>3</v>
      </c>
      <c r="F361" s="90">
        <f t="shared" si="20"/>
        <v>2900</v>
      </c>
      <c r="G361" s="42" t="s">
        <v>3</v>
      </c>
      <c r="H361" s="39">
        <v>4</v>
      </c>
      <c r="I361" s="40" t="s">
        <v>40</v>
      </c>
      <c r="J361" s="149">
        <v>110</v>
      </c>
      <c r="K361" s="66">
        <v>400</v>
      </c>
      <c r="L361" s="66">
        <v>2900</v>
      </c>
      <c r="M361" s="156">
        <v>36.618646230438422</v>
      </c>
      <c r="N361" s="78">
        <v>2513.8252634713535</v>
      </c>
      <c r="O361" s="113">
        <v>54972.306148036048</v>
      </c>
      <c r="P361" s="111">
        <v>68912.163254034705</v>
      </c>
      <c r="Q361" s="110">
        <v>45990.760075742597</v>
      </c>
      <c r="R361" s="258">
        <v>100963.06622377865</v>
      </c>
      <c r="S361" s="259">
        <v>114902.9233297773</v>
      </c>
      <c r="U361" s="7" t="s">
        <v>2814</v>
      </c>
    </row>
    <row r="362" spans="1:21" ht="16.5" thickBot="1">
      <c r="A362" s="41" t="s">
        <v>31</v>
      </c>
      <c r="B362" s="42">
        <f t="shared" si="18"/>
        <v>110</v>
      </c>
      <c r="C362" s="42" t="s">
        <v>3</v>
      </c>
      <c r="D362" s="42">
        <f t="shared" si="19"/>
        <v>400</v>
      </c>
      <c r="E362" s="42" t="s">
        <v>3</v>
      </c>
      <c r="F362" s="90">
        <f t="shared" si="20"/>
        <v>2950</v>
      </c>
      <c r="G362" s="42" t="s">
        <v>3</v>
      </c>
      <c r="H362" s="39">
        <v>4</v>
      </c>
      <c r="I362" s="40" t="s">
        <v>40</v>
      </c>
      <c r="J362" s="149">
        <v>110</v>
      </c>
      <c r="K362" s="66">
        <v>400</v>
      </c>
      <c r="L362" s="66">
        <v>2950</v>
      </c>
      <c r="M362" s="156">
        <v>37.205933769935264</v>
      </c>
      <c r="N362" s="78">
        <v>2563.1159549119684</v>
      </c>
      <c r="O362" s="113">
        <v>55763.5012845784</v>
      </c>
      <c r="P362" s="111">
        <v>69926.921786238527</v>
      </c>
      <c r="Q362" s="110">
        <v>46647.367025472573</v>
      </c>
      <c r="R362" s="258">
        <v>102410.86831005098</v>
      </c>
      <c r="S362" s="259">
        <v>116574.2888117111</v>
      </c>
      <c r="U362" s="7" t="s">
        <v>2815</v>
      </c>
    </row>
    <row r="363" spans="1:21" ht="16.5" thickBot="1">
      <c r="A363" s="43" t="s">
        <v>31</v>
      </c>
      <c r="B363" s="44">
        <f t="shared" si="18"/>
        <v>110</v>
      </c>
      <c r="C363" s="44" t="s">
        <v>3</v>
      </c>
      <c r="D363" s="44">
        <f t="shared" si="19"/>
        <v>400</v>
      </c>
      <c r="E363" s="44" t="s">
        <v>3</v>
      </c>
      <c r="F363" s="91">
        <f t="shared" si="20"/>
        <v>3000</v>
      </c>
      <c r="G363" s="44" t="s">
        <v>3</v>
      </c>
      <c r="H363" s="46">
        <v>4</v>
      </c>
      <c r="I363" s="45" t="s">
        <v>40</v>
      </c>
      <c r="J363" s="151">
        <v>110</v>
      </c>
      <c r="K363" s="126">
        <v>400</v>
      </c>
      <c r="L363" s="126">
        <v>3000</v>
      </c>
      <c r="M363" s="157">
        <v>37.8102613094321</v>
      </c>
      <c r="N363" s="127">
        <v>2612.4066463525833</v>
      </c>
      <c r="O363" s="128">
        <v>57835.617884506486</v>
      </c>
      <c r="P363" s="135">
        <v>70941.680471471118</v>
      </c>
      <c r="Q363" s="136">
        <v>47555.308266015076</v>
      </c>
      <c r="R363" s="260">
        <v>105390.92615052155</v>
      </c>
      <c r="S363" s="261">
        <v>118496.98873748619</v>
      </c>
      <c r="U363" s="7" t="s">
        <v>2816</v>
      </c>
    </row>
    <row r="364" spans="1:21" ht="16.5" thickBot="1">
      <c r="A364" s="2974" t="s">
        <v>114</v>
      </c>
      <c r="B364" s="2975"/>
      <c r="C364" s="2975"/>
      <c r="D364" s="2975"/>
      <c r="E364" s="2975"/>
      <c r="F364" s="2975"/>
      <c r="G364" s="2975"/>
      <c r="H364" s="2975"/>
      <c r="I364" s="2975"/>
      <c r="J364" s="2975"/>
      <c r="K364" s="2975"/>
      <c r="L364" s="2975"/>
      <c r="M364" s="2975"/>
      <c r="N364" s="2975"/>
      <c r="O364" s="2975"/>
      <c r="P364" s="2975"/>
      <c r="Q364" s="2975"/>
      <c r="R364" s="2975"/>
      <c r="S364" s="2976"/>
      <c r="U364" s="7"/>
    </row>
    <row r="365" spans="1:21" ht="16.5" thickBot="1">
      <c r="A365" s="38" t="s">
        <v>31</v>
      </c>
      <c r="B365" s="39">
        <f>J365</f>
        <v>110</v>
      </c>
      <c r="C365" s="39" t="s">
        <v>3</v>
      </c>
      <c r="D365" s="39">
        <f>K365</f>
        <v>400</v>
      </c>
      <c r="E365" s="39" t="s">
        <v>3</v>
      </c>
      <c r="F365" s="90">
        <f>L365</f>
        <v>600</v>
      </c>
      <c r="G365" s="39" t="s">
        <v>3</v>
      </c>
      <c r="H365" s="39">
        <v>6</v>
      </c>
      <c r="I365" s="40" t="s">
        <v>40</v>
      </c>
      <c r="J365" s="146">
        <v>110</v>
      </c>
      <c r="K365" s="122">
        <v>400</v>
      </c>
      <c r="L365" s="122">
        <v>600</v>
      </c>
      <c r="M365" s="155">
        <v>8.128416287884999</v>
      </c>
      <c r="N365" s="123">
        <v>281.98876569599997</v>
      </c>
      <c r="O365" s="124">
        <v>18745.628760569718</v>
      </c>
      <c r="P365" s="148">
        <v>22392.184105917844</v>
      </c>
      <c r="Q365" s="139">
        <v>10760.15380676932</v>
      </c>
      <c r="R365" s="256">
        <v>29505.78256733904</v>
      </c>
      <c r="S365" s="257">
        <v>33152.337912687166</v>
      </c>
      <c r="U365" s="7" t="s">
        <v>2817</v>
      </c>
    </row>
    <row r="366" spans="1:21" ht="16.5" thickBot="1">
      <c r="A366" s="41" t="s">
        <v>31</v>
      </c>
      <c r="B366" s="42">
        <f t="shared" ref="B366:B413" si="21">J366</f>
        <v>110</v>
      </c>
      <c r="C366" s="42" t="s">
        <v>3</v>
      </c>
      <c r="D366" s="42">
        <f t="shared" ref="D366:D413" si="22">K366</f>
        <v>400</v>
      </c>
      <c r="E366" s="42" t="s">
        <v>3</v>
      </c>
      <c r="F366" s="90">
        <f t="shared" ref="F366:F413" si="23">L366</f>
        <v>650</v>
      </c>
      <c r="G366" s="42" t="s">
        <v>3</v>
      </c>
      <c r="H366" s="39">
        <v>6</v>
      </c>
      <c r="I366" s="40" t="s">
        <v>40</v>
      </c>
      <c r="J366" s="149">
        <v>110</v>
      </c>
      <c r="K366" s="66">
        <v>400</v>
      </c>
      <c r="L366" s="66">
        <v>650</v>
      </c>
      <c r="M366" s="156">
        <v>8.7823262172618435</v>
      </c>
      <c r="N366" s="78">
        <v>338.38651883520004</v>
      </c>
      <c r="O366" s="113">
        <v>19763.423383473622</v>
      </c>
      <c r="P366" s="111">
        <v>23637.000115488754</v>
      </c>
      <c r="Q366" s="110">
        <v>11416.760909528057</v>
      </c>
      <c r="R366" s="258">
        <v>31180.184293001679</v>
      </c>
      <c r="S366" s="259">
        <v>35053.761025016807</v>
      </c>
      <c r="U366" s="7" t="s">
        <v>2818</v>
      </c>
    </row>
    <row r="367" spans="1:21" ht="16.5" thickBot="1">
      <c r="A367" s="41" t="s">
        <v>31</v>
      </c>
      <c r="B367" s="42">
        <f t="shared" si="21"/>
        <v>110</v>
      </c>
      <c r="C367" s="42" t="s">
        <v>3</v>
      </c>
      <c r="D367" s="42">
        <f t="shared" si="22"/>
        <v>400</v>
      </c>
      <c r="E367" s="42" t="s">
        <v>3</v>
      </c>
      <c r="F367" s="90">
        <f t="shared" si="23"/>
        <v>700</v>
      </c>
      <c r="G367" s="42" t="s">
        <v>3</v>
      </c>
      <c r="H367" s="39">
        <v>6</v>
      </c>
      <c r="I367" s="40" t="s">
        <v>40</v>
      </c>
      <c r="J367" s="149">
        <v>110</v>
      </c>
      <c r="K367" s="66">
        <v>400</v>
      </c>
      <c r="L367" s="66">
        <v>700</v>
      </c>
      <c r="M367" s="156">
        <v>10.313370275392368</v>
      </c>
      <c r="N367" s="78">
        <v>394.78427197439993</v>
      </c>
      <c r="O367" s="113">
        <v>20781.218006377527</v>
      </c>
      <c r="P367" s="111">
        <v>24881.816125059664</v>
      </c>
      <c r="Q367" s="110">
        <v>12324.7019970418</v>
      </c>
      <c r="R367" s="258">
        <v>33105.920003419327</v>
      </c>
      <c r="S367" s="259">
        <v>37206.518122101465</v>
      </c>
      <c r="U367" s="7" t="s">
        <v>2819</v>
      </c>
    </row>
    <row r="368" spans="1:21" ht="16.5" thickBot="1">
      <c r="A368" s="41" t="s">
        <v>31</v>
      </c>
      <c r="B368" s="42">
        <f t="shared" si="21"/>
        <v>110</v>
      </c>
      <c r="C368" s="42" t="s">
        <v>3</v>
      </c>
      <c r="D368" s="42">
        <f t="shared" si="22"/>
        <v>400</v>
      </c>
      <c r="E368" s="42" t="s">
        <v>3</v>
      </c>
      <c r="F368" s="90">
        <f t="shared" si="23"/>
        <v>750</v>
      </c>
      <c r="G368" s="42" t="s">
        <v>3</v>
      </c>
      <c r="H368" s="39">
        <v>6</v>
      </c>
      <c r="I368" s="40" t="s">
        <v>40</v>
      </c>
      <c r="J368" s="149">
        <v>110</v>
      </c>
      <c r="K368" s="66">
        <v>400</v>
      </c>
      <c r="L368" s="66">
        <v>750</v>
      </c>
      <c r="M368" s="156">
        <v>10.96728020476921</v>
      </c>
      <c r="N368" s="78">
        <v>451.18202511359999</v>
      </c>
      <c r="O368" s="113">
        <v>21799.012782310198</v>
      </c>
      <c r="P368" s="111">
        <v>26126.632134630578</v>
      </c>
      <c r="Q368" s="110">
        <v>12981.309099800537</v>
      </c>
      <c r="R368" s="258">
        <v>34780.321882110737</v>
      </c>
      <c r="S368" s="259">
        <v>39107.941234431113</v>
      </c>
      <c r="U368" s="7" t="s">
        <v>2820</v>
      </c>
    </row>
    <row r="369" spans="1:21" ht="16.5" thickBot="1">
      <c r="A369" s="41" t="s">
        <v>31</v>
      </c>
      <c r="B369" s="42">
        <f t="shared" si="21"/>
        <v>110</v>
      </c>
      <c r="C369" s="42" t="s">
        <v>3</v>
      </c>
      <c r="D369" s="42">
        <f t="shared" si="22"/>
        <v>400</v>
      </c>
      <c r="E369" s="42" t="s">
        <v>3</v>
      </c>
      <c r="F369" s="90">
        <f t="shared" si="23"/>
        <v>800</v>
      </c>
      <c r="G369" s="42" t="s">
        <v>3</v>
      </c>
      <c r="H369" s="39">
        <v>6</v>
      </c>
      <c r="I369" s="40" t="s">
        <v>40</v>
      </c>
      <c r="J369" s="149">
        <v>110</v>
      </c>
      <c r="K369" s="66">
        <v>400</v>
      </c>
      <c r="L369" s="66">
        <v>800</v>
      </c>
      <c r="M369" s="156">
        <v>11.621190134146053</v>
      </c>
      <c r="N369" s="78">
        <v>507.5797782528</v>
      </c>
      <c r="O369" s="113">
        <v>22816.807405214102</v>
      </c>
      <c r="P369" s="111">
        <v>27371.448144201488</v>
      </c>
      <c r="Q369" s="110">
        <v>13637.916049530511</v>
      </c>
      <c r="R369" s="258">
        <v>36454.723454744613</v>
      </c>
      <c r="S369" s="259">
        <v>41009.364193731999</v>
      </c>
      <c r="U369" s="7" t="s">
        <v>2821</v>
      </c>
    </row>
    <row r="370" spans="1:21" ht="16.5" thickBot="1">
      <c r="A370" s="41" t="s">
        <v>31</v>
      </c>
      <c r="B370" s="42">
        <f t="shared" si="21"/>
        <v>110</v>
      </c>
      <c r="C370" s="42" t="s">
        <v>3</v>
      </c>
      <c r="D370" s="42">
        <f t="shared" si="22"/>
        <v>400</v>
      </c>
      <c r="E370" s="42" t="s">
        <v>3</v>
      </c>
      <c r="F370" s="90">
        <f t="shared" si="23"/>
        <v>850</v>
      </c>
      <c r="G370" s="42" t="s">
        <v>3</v>
      </c>
      <c r="H370" s="39">
        <v>6</v>
      </c>
      <c r="I370" s="40" t="s">
        <v>40</v>
      </c>
      <c r="J370" s="149">
        <v>110</v>
      </c>
      <c r="K370" s="66">
        <v>400</v>
      </c>
      <c r="L370" s="66">
        <v>850</v>
      </c>
      <c r="M370" s="156">
        <v>12.292140063522895</v>
      </c>
      <c r="N370" s="78">
        <v>563.97753139199995</v>
      </c>
      <c r="O370" s="113">
        <v>23834.60202811801</v>
      </c>
      <c r="P370" s="111">
        <v>28616.264153772401</v>
      </c>
      <c r="Q370" s="110">
        <v>14545.85729007302</v>
      </c>
      <c r="R370" s="258">
        <v>38380.459318191031</v>
      </c>
      <c r="S370" s="259">
        <v>43162.121443845419</v>
      </c>
      <c r="U370" s="7" t="s">
        <v>2822</v>
      </c>
    </row>
    <row r="371" spans="1:21" ht="16.5" thickBot="1">
      <c r="A371" s="41" t="s">
        <v>31</v>
      </c>
      <c r="B371" s="42">
        <f t="shared" si="21"/>
        <v>110</v>
      </c>
      <c r="C371" s="42" t="s">
        <v>3</v>
      </c>
      <c r="D371" s="42">
        <f t="shared" si="22"/>
        <v>400</v>
      </c>
      <c r="E371" s="42" t="s">
        <v>3</v>
      </c>
      <c r="F371" s="90">
        <f t="shared" si="23"/>
        <v>900</v>
      </c>
      <c r="G371" s="42" t="s">
        <v>3</v>
      </c>
      <c r="H371" s="39">
        <v>6</v>
      </c>
      <c r="I371" s="40" t="s">
        <v>40</v>
      </c>
      <c r="J371" s="149">
        <v>110</v>
      </c>
      <c r="K371" s="66">
        <v>400</v>
      </c>
      <c r="L371" s="66">
        <v>900</v>
      </c>
      <c r="M371" s="156">
        <v>12.946049992899738</v>
      </c>
      <c r="N371" s="78">
        <v>620.37528453120001</v>
      </c>
      <c r="O371" s="113">
        <v>24852.396651021914</v>
      </c>
      <c r="P371" s="111">
        <v>29861.080163343308</v>
      </c>
      <c r="Q371" s="110">
        <v>15202.464239802994</v>
      </c>
      <c r="R371" s="258">
        <v>40054.860890824908</v>
      </c>
      <c r="S371" s="259">
        <v>45063.544403146298</v>
      </c>
      <c r="U371" s="7" t="s">
        <v>2823</v>
      </c>
    </row>
    <row r="372" spans="1:21" ht="16.5" thickBot="1">
      <c r="A372" s="41" t="s">
        <v>31</v>
      </c>
      <c r="B372" s="42">
        <f t="shared" si="21"/>
        <v>110</v>
      </c>
      <c r="C372" s="42" t="s">
        <v>3</v>
      </c>
      <c r="D372" s="42">
        <f t="shared" si="22"/>
        <v>400</v>
      </c>
      <c r="E372" s="42" t="s">
        <v>3</v>
      </c>
      <c r="F372" s="90">
        <f t="shared" si="23"/>
        <v>950</v>
      </c>
      <c r="G372" s="42" t="s">
        <v>3</v>
      </c>
      <c r="H372" s="39">
        <v>6</v>
      </c>
      <c r="I372" s="40" t="s">
        <v>40</v>
      </c>
      <c r="J372" s="149">
        <v>110</v>
      </c>
      <c r="K372" s="66">
        <v>400</v>
      </c>
      <c r="L372" s="66">
        <v>950</v>
      </c>
      <c r="M372" s="156">
        <v>13.616999922276579</v>
      </c>
      <c r="N372" s="78">
        <v>676.77303767040007</v>
      </c>
      <c r="O372" s="113">
        <v>25870.191426954585</v>
      </c>
      <c r="P372" s="111">
        <v>31105.896172914217</v>
      </c>
      <c r="Q372" s="110">
        <v>16110.4054803455</v>
      </c>
      <c r="R372" s="258">
        <v>41980.596907300089</v>
      </c>
      <c r="S372" s="259">
        <v>47216.301653259718</v>
      </c>
      <c r="U372" s="7" t="s">
        <v>2824</v>
      </c>
    </row>
    <row r="373" spans="1:21" ht="16.5" thickBot="1">
      <c r="A373" s="41" t="s">
        <v>31</v>
      </c>
      <c r="B373" s="42">
        <f t="shared" si="21"/>
        <v>110</v>
      </c>
      <c r="C373" s="42" t="s">
        <v>3</v>
      </c>
      <c r="D373" s="42">
        <f t="shared" si="22"/>
        <v>400</v>
      </c>
      <c r="E373" s="42" t="s">
        <v>3</v>
      </c>
      <c r="F373" s="90">
        <f t="shared" si="23"/>
        <v>1000</v>
      </c>
      <c r="G373" s="42" t="s">
        <v>3</v>
      </c>
      <c r="H373" s="39">
        <v>6</v>
      </c>
      <c r="I373" s="40" t="s">
        <v>40</v>
      </c>
      <c r="J373" s="149">
        <v>110</v>
      </c>
      <c r="K373" s="66">
        <v>400</v>
      </c>
      <c r="L373" s="66">
        <v>1000</v>
      </c>
      <c r="M373" s="156">
        <v>14.270909851653421</v>
      </c>
      <c r="N373" s="78">
        <v>733.17079080960013</v>
      </c>
      <c r="O373" s="113">
        <v>26887.986049858489</v>
      </c>
      <c r="P373" s="111">
        <v>32350.712182485131</v>
      </c>
      <c r="Q373" s="110">
        <v>16767.012583104239</v>
      </c>
      <c r="R373" s="258">
        <v>43654.998632962728</v>
      </c>
      <c r="S373" s="259">
        <v>49117.724765589373</v>
      </c>
      <c r="U373" s="7" t="s">
        <v>2825</v>
      </c>
    </row>
    <row r="374" spans="1:21" ht="16.5" thickBot="1">
      <c r="A374" s="41" t="s">
        <v>31</v>
      </c>
      <c r="B374" s="42">
        <f t="shared" si="21"/>
        <v>110</v>
      </c>
      <c r="C374" s="42" t="s">
        <v>3</v>
      </c>
      <c r="D374" s="42">
        <f t="shared" si="22"/>
        <v>400</v>
      </c>
      <c r="E374" s="42" t="s">
        <v>3</v>
      </c>
      <c r="F374" s="90">
        <f t="shared" si="23"/>
        <v>1050</v>
      </c>
      <c r="G374" s="42" t="s">
        <v>3</v>
      </c>
      <c r="H374" s="39">
        <v>6</v>
      </c>
      <c r="I374" s="40" t="s">
        <v>40</v>
      </c>
      <c r="J374" s="149">
        <v>110</v>
      </c>
      <c r="K374" s="66">
        <v>400</v>
      </c>
      <c r="L374" s="66">
        <v>1050</v>
      </c>
      <c r="M374" s="156">
        <v>14.941859781030264</v>
      </c>
      <c r="N374" s="78">
        <v>789.56854394879986</v>
      </c>
      <c r="O374" s="113">
        <v>27905.780672762394</v>
      </c>
      <c r="P374" s="111">
        <v>33595.528192056045</v>
      </c>
      <c r="Q374" s="110">
        <v>17674.953670617982</v>
      </c>
      <c r="R374" s="258">
        <v>45580.734343380376</v>
      </c>
      <c r="S374" s="259">
        <v>51270.481862674031</v>
      </c>
      <c r="U374" s="7" t="s">
        <v>2826</v>
      </c>
    </row>
    <row r="375" spans="1:21" ht="16.5" thickBot="1">
      <c r="A375" s="38" t="s">
        <v>31</v>
      </c>
      <c r="B375" s="39">
        <f t="shared" si="21"/>
        <v>110</v>
      </c>
      <c r="C375" s="39" t="s">
        <v>3</v>
      </c>
      <c r="D375" s="39">
        <f t="shared" si="22"/>
        <v>400</v>
      </c>
      <c r="E375" s="39" t="s">
        <v>3</v>
      </c>
      <c r="F375" s="90">
        <f t="shared" si="23"/>
        <v>1100</v>
      </c>
      <c r="G375" s="39" t="s">
        <v>3</v>
      </c>
      <c r="H375" s="39">
        <v>6</v>
      </c>
      <c r="I375" s="40" t="s">
        <v>40</v>
      </c>
      <c r="J375" s="149">
        <v>110</v>
      </c>
      <c r="K375" s="66">
        <v>400</v>
      </c>
      <c r="L375" s="66">
        <v>1100</v>
      </c>
      <c r="M375" s="156">
        <v>15.595769710407104</v>
      </c>
      <c r="N375" s="78">
        <v>845.96629708799992</v>
      </c>
      <c r="O375" s="113">
        <v>28766.731982513033</v>
      </c>
      <c r="P375" s="111">
        <v>34682.543387490288</v>
      </c>
      <c r="Q375" s="110">
        <v>18331.560773376717</v>
      </c>
      <c r="R375" s="258">
        <v>47098.29275588975</v>
      </c>
      <c r="S375" s="259">
        <v>53014.104160867006</v>
      </c>
      <c r="U375" s="7" t="s">
        <v>2827</v>
      </c>
    </row>
    <row r="376" spans="1:21" ht="16.5" thickBot="1">
      <c r="A376" s="41" t="s">
        <v>31</v>
      </c>
      <c r="B376" s="42">
        <f t="shared" si="21"/>
        <v>110</v>
      </c>
      <c r="C376" s="42" t="s">
        <v>3</v>
      </c>
      <c r="D376" s="42">
        <f t="shared" si="22"/>
        <v>400</v>
      </c>
      <c r="E376" s="42" t="s">
        <v>3</v>
      </c>
      <c r="F376" s="90">
        <f t="shared" si="23"/>
        <v>1150</v>
      </c>
      <c r="G376" s="42" t="s">
        <v>3</v>
      </c>
      <c r="H376" s="39">
        <v>6</v>
      </c>
      <c r="I376" s="40" t="s">
        <v>40</v>
      </c>
      <c r="J376" s="149">
        <v>110</v>
      </c>
      <c r="K376" s="66">
        <v>400</v>
      </c>
      <c r="L376" s="66">
        <v>1150</v>
      </c>
      <c r="M376" s="156">
        <v>16.249679639783949</v>
      </c>
      <c r="N376" s="78">
        <v>902.36405022719998</v>
      </c>
      <c r="O376" s="113">
        <v>30019.791804689994</v>
      </c>
      <c r="P376" s="111">
        <v>36164.060771294957</v>
      </c>
      <c r="Q376" s="110">
        <v>18988.167723106693</v>
      </c>
      <c r="R376" s="258">
        <v>49007.959527796687</v>
      </c>
      <c r="S376" s="259">
        <v>55152.22849440165</v>
      </c>
      <c r="U376" s="7" t="s">
        <v>2828</v>
      </c>
    </row>
    <row r="377" spans="1:21" ht="16.5" thickBot="1">
      <c r="A377" s="41" t="s">
        <v>31</v>
      </c>
      <c r="B377" s="42">
        <f t="shared" si="21"/>
        <v>110</v>
      </c>
      <c r="C377" s="42" t="s">
        <v>3</v>
      </c>
      <c r="D377" s="42">
        <f t="shared" si="22"/>
        <v>400</v>
      </c>
      <c r="E377" s="42" t="s">
        <v>3</v>
      </c>
      <c r="F377" s="90">
        <f t="shared" si="23"/>
        <v>1200</v>
      </c>
      <c r="G377" s="42" t="s">
        <v>3</v>
      </c>
      <c r="H377" s="39">
        <v>6</v>
      </c>
      <c r="I377" s="40" t="s">
        <v>40</v>
      </c>
      <c r="J377" s="149">
        <v>110</v>
      </c>
      <c r="K377" s="66">
        <v>400</v>
      </c>
      <c r="L377" s="66">
        <v>1200</v>
      </c>
      <c r="M377" s="156">
        <v>17.038379569160789</v>
      </c>
      <c r="N377" s="78">
        <v>958.76180336639993</v>
      </c>
      <c r="O377" s="113">
        <v>31171.684922357872</v>
      </c>
      <c r="P377" s="111">
        <v>37543.793979523267</v>
      </c>
      <c r="Q377" s="110">
        <v>19896.1089636492</v>
      </c>
      <c r="R377" s="258">
        <v>51067.793886007072</v>
      </c>
      <c r="S377" s="259">
        <v>57439.902943172463</v>
      </c>
      <c r="U377" s="7" t="s">
        <v>2829</v>
      </c>
    </row>
    <row r="378" spans="1:21" ht="16.5" thickBot="1">
      <c r="A378" s="41" t="s">
        <v>31</v>
      </c>
      <c r="B378" s="42">
        <f t="shared" si="21"/>
        <v>110</v>
      </c>
      <c r="C378" s="42" t="s">
        <v>3</v>
      </c>
      <c r="D378" s="42">
        <f t="shared" si="22"/>
        <v>400</v>
      </c>
      <c r="E378" s="42" t="s">
        <v>3</v>
      </c>
      <c r="F378" s="90">
        <f t="shared" si="23"/>
        <v>1250</v>
      </c>
      <c r="G378" s="42" t="s">
        <v>3</v>
      </c>
      <c r="H378" s="39">
        <v>6</v>
      </c>
      <c r="I378" s="40" t="s">
        <v>40</v>
      </c>
      <c r="J378" s="149">
        <v>110</v>
      </c>
      <c r="K378" s="66">
        <v>400</v>
      </c>
      <c r="L378" s="66">
        <v>1250</v>
      </c>
      <c r="M378" s="156">
        <v>17.69228949853763</v>
      </c>
      <c r="N378" s="78">
        <v>1015.1595565056</v>
      </c>
      <c r="O378" s="113">
        <v>32189.479545261776</v>
      </c>
      <c r="P378" s="111">
        <v>38788.60998909417</v>
      </c>
      <c r="Q378" s="110">
        <v>20552.715913379172</v>
      </c>
      <c r="R378" s="258">
        <v>52742.195458640948</v>
      </c>
      <c r="S378" s="259">
        <v>59341.325902473342</v>
      </c>
      <c r="U378" s="7" t="s">
        <v>2830</v>
      </c>
    </row>
    <row r="379" spans="1:21" ht="16.5" thickBot="1">
      <c r="A379" s="41" t="s">
        <v>31</v>
      </c>
      <c r="B379" s="42">
        <f t="shared" si="21"/>
        <v>110</v>
      </c>
      <c r="C379" s="42" t="s">
        <v>3</v>
      </c>
      <c r="D379" s="42">
        <f t="shared" si="22"/>
        <v>400</v>
      </c>
      <c r="E379" s="42" t="s">
        <v>3</v>
      </c>
      <c r="F379" s="90">
        <f t="shared" si="23"/>
        <v>1300</v>
      </c>
      <c r="G379" s="42" t="s">
        <v>3</v>
      </c>
      <c r="H379" s="39">
        <v>6</v>
      </c>
      <c r="I379" s="40" t="s">
        <v>40</v>
      </c>
      <c r="J379" s="149">
        <v>110</v>
      </c>
      <c r="K379" s="66">
        <v>400</v>
      </c>
      <c r="L379" s="66">
        <v>1300</v>
      </c>
      <c r="M379" s="156">
        <v>18.363239427914475</v>
      </c>
      <c r="N379" s="78">
        <v>1071.5573096447999</v>
      </c>
      <c r="O379" s="113">
        <v>33207.274168165684</v>
      </c>
      <c r="P379" s="111">
        <v>40033.42599866508</v>
      </c>
      <c r="Q379" s="110">
        <v>21460.657153921682</v>
      </c>
      <c r="R379" s="258">
        <v>54667.931322087366</v>
      </c>
      <c r="S379" s="259">
        <v>61494.083152586762</v>
      </c>
      <c r="U379" s="7" t="s">
        <v>2831</v>
      </c>
    </row>
    <row r="380" spans="1:21" ht="16.5" thickBot="1">
      <c r="A380" s="41" t="s">
        <v>31</v>
      </c>
      <c r="B380" s="42">
        <f t="shared" si="21"/>
        <v>110</v>
      </c>
      <c r="C380" s="42" t="s">
        <v>3</v>
      </c>
      <c r="D380" s="42">
        <f t="shared" si="22"/>
        <v>400</v>
      </c>
      <c r="E380" s="42" t="s">
        <v>3</v>
      </c>
      <c r="F380" s="90">
        <f t="shared" si="23"/>
        <v>1350</v>
      </c>
      <c r="G380" s="42" t="s">
        <v>3</v>
      </c>
      <c r="H380" s="39">
        <v>6</v>
      </c>
      <c r="I380" s="40" t="s">
        <v>40</v>
      </c>
      <c r="J380" s="149">
        <v>110</v>
      </c>
      <c r="K380" s="66">
        <v>400</v>
      </c>
      <c r="L380" s="66">
        <v>1350</v>
      </c>
      <c r="M380" s="156">
        <v>19.017149357291316</v>
      </c>
      <c r="N380" s="78">
        <v>1127.9550627839999</v>
      </c>
      <c r="O380" s="113">
        <v>34225.068944098202</v>
      </c>
      <c r="P380" s="111">
        <v>41278.242008235997</v>
      </c>
      <c r="Q380" s="110">
        <v>22117.264103651651</v>
      </c>
      <c r="R380" s="258">
        <v>56342.333047749853</v>
      </c>
      <c r="S380" s="259">
        <v>63395.506111887647</v>
      </c>
      <c r="U380" s="7" t="s">
        <v>2832</v>
      </c>
    </row>
    <row r="381" spans="1:21" ht="16.5" thickBot="1">
      <c r="A381" s="41" t="s">
        <v>31</v>
      </c>
      <c r="B381" s="42">
        <f t="shared" si="21"/>
        <v>110</v>
      </c>
      <c r="C381" s="42" t="s">
        <v>3</v>
      </c>
      <c r="D381" s="42">
        <f t="shared" si="22"/>
        <v>400</v>
      </c>
      <c r="E381" s="42" t="s">
        <v>3</v>
      </c>
      <c r="F381" s="90">
        <f t="shared" si="23"/>
        <v>1400</v>
      </c>
      <c r="G381" s="42" t="s">
        <v>3</v>
      </c>
      <c r="H381" s="39">
        <v>6</v>
      </c>
      <c r="I381" s="40" t="s">
        <v>40</v>
      </c>
      <c r="J381" s="149">
        <v>110</v>
      </c>
      <c r="K381" s="66">
        <v>400</v>
      </c>
      <c r="L381" s="66">
        <v>1400</v>
      </c>
      <c r="M381" s="156">
        <v>19.688099286668159</v>
      </c>
      <c r="N381" s="78">
        <v>1184.3528159232001</v>
      </c>
      <c r="O381" s="113">
        <v>35242.863567002256</v>
      </c>
      <c r="P381" s="111">
        <v>42523.058017806907</v>
      </c>
      <c r="Q381" s="110">
        <v>23025.205344194161</v>
      </c>
      <c r="R381" s="258">
        <v>58268.068911196417</v>
      </c>
      <c r="S381" s="259">
        <v>65548.263362001075</v>
      </c>
      <c r="U381" s="7" t="s">
        <v>2833</v>
      </c>
    </row>
    <row r="382" spans="1:21" ht="16.5" thickBot="1">
      <c r="A382" s="41" t="s">
        <v>31</v>
      </c>
      <c r="B382" s="42">
        <f t="shared" si="21"/>
        <v>110</v>
      </c>
      <c r="C382" s="42" t="s">
        <v>3</v>
      </c>
      <c r="D382" s="42">
        <f t="shared" si="22"/>
        <v>400</v>
      </c>
      <c r="E382" s="42" t="s">
        <v>3</v>
      </c>
      <c r="F382" s="90">
        <f t="shared" si="23"/>
        <v>1450</v>
      </c>
      <c r="G382" s="42" t="s">
        <v>3</v>
      </c>
      <c r="H382" s="39">
        <v>6</v>
      </c>
      <c r="I382" s="40" t="s">
        <v>40</v>
      </c>
      <c r="J382" s="149">
        <v>110</v>
      </c>
      <c r="K382" s="66">
        <v>400</v>
      </c>
      <c r="L382" s="66">
        <v>1450</v>
      </c>
      <c r="M382" s="156">
        <v>20.342009216045003</v>
      </c>
      <c r="N382" s="78">
        <v>1240.7505690624</v>
      </c>
      <c r="O382" s="113">
        <v>36260.658189906164</v>
      </c>
      <c r="P382" s="111">
        <v>43767.874027377817</v>
      </c>
      <c r="Q382" s="110">
        <v>23681.812293924133</v>
      </c>
      <c r="R382" s="258">
        <v>59942.470483830301</v>
      </c>
      <c r="S382" s="259">
        <v>67449.686321301953</v>
      </c>
      <c r="U382" s="7" t="s">
        <v>2834</v>
      </c>
    </row>
    <row r="383" spans="1:21" ht="16.5" thickBot="1">
      <c r="A383" s="41" t="s">
        <v>31</v>
      </c>
      <c r="B383" s="42">
        <f t="shared" si="21"/>
        <v>110</v>
      </c>
      <c r="C383" s="42" t="s">
        <v>3</v>
      </c>
      <c r="D383" s="42">
        <f t="shared" si="22"/>
        <v>400</v>
      </c>
      <c r="E383" s="42" t="s">
        <v>3</v>
      </c>
      <c r="F383" s="90">
        <f t="shared" si="23"/>
        <v>1500</v>
      </c>
      <c r="G383" s="42" t="s">
        <v>3</v>
      </c>
      <c r="H383" s="39">
        <v>6</v>
      </c>
      <c r="I383" s="40" t="s">
        <v>40</v>
      </c>
      <c r="J383" s="149">
        <v>110</v>
      </c>
      <c r="K383" s="66">
        <v>400</v>
      </c>
      <c r="L383" s="66">
        <v>1500</v>
      </c>
      <c r="M383" s="156">
        <v>21.240239337721846</v>
      </c>
      <c r="N383" s="78">
        <v>1297.1483222016</v>
      </c>
      <c r="O383" s="113">
        <v>38199.933426375777</v>
      </c>
      <c r="P383" s="111">
        <v>45913.449178457624</v>
      </c>
      <c r="Q383" s="110">
        <v>24589.753534466639</v>
      </c>
      <c r="R383" s="258">
        <v>62789.686960842417</v>
      </c>
      <c r="S383" s="259">
        <v>70503.202712924263</v>
      </c>
      <c r="U383" s="7" t="s">
        <v>2835</v>
      </c>
    </row>
    <row r="384" spans="1:21" ht="16.5" thickBot="1">
      <c r="A384" s="41" t="s">
        <v>31</v>
      </c>
      <c r="B384" s="42">
        <f t="shared" si="21"/>
        <v>110</v>
      </c>
      <c r="C384" s="42" t="s">
        <v>3</v>
      </c>
      <c r="D384" s="42">
        <f t="shared" si="22"/>
        <v>400</v>
      </c>
      <c r="E384" s="42" t="s">
        <v>3</v>
      </c>
      <c r="F384" s="90">
        <f t="shared" si="23"/>
        <v>1550</v>
      </c>
      <c r="G384" s="42" t="s">
        <v>3</v>
      </c>
      <c r="H384" s="39">
        <v>6</v>
      </c>
      <c r="I384" s="40" t="s">
        <v>40</v>
      </c>
      <c r="J384" s="149">
        <v>110</v>
      </c>
      <c r="K384" s="66">
        <v>400</v>
      </c>
      <c r="L384" s="66">
        <v>1550</v>
      </c>
      <c r="M384" s="156">
        <v>21.894149267098687</v>
      </c>
      <c r="N384" s="78">
        <v>1353.5460753408001</v>
      </c>
      <c r="O384" s="113">
        <v>39217.728202308448</v>
      </c>
      <c r="P384" s="111">
        <v>47158.265188028534</v>
      </c>
      <c r="Q384" s="110">
        <v>25246.360484196612</v>
      </c>
      <c r="R384" s="258">
        <v>64464.088686505056</v>
      </c>
      <c r="S384" s="259">
        <v>72404.625672225142</v>
      </c>
      <c r="U384" s="7" t="s">
        <v>2836</v>
      </c>
    </row>
    <row r="385" spans="1:21" ht="16.5" thickBot="1">
      <c r="A385" s="38" t="s">
        <v>31</v>
      </c>
      <c r="B385" s="39">
        <f t="shared" si="21"/>
        <v>110</v>
      </c>
      <c r="C385" s="39" t="s">
        <v>3</v>
      </c>
      <c r="D385" s="39">
        <f t="shared" si="22"/>
        <v>400</v>
      </c>
      <c r="E385" s="39" t="s">
        <v>3</v>
      </c>
      <c r="F385" s="90">
        <f t="shared" si="23"/>
        <v>1600</v>
      </c>
      <c r="G385" s="39" t="s">
        <v>3</v>
      </c>
      <c r="H385" s="39">
        <v>6</v>
      </c>
      <c r="I385" s="40" t="s">
        <v>40</v>
      </c>
      <c r="J385" s="149">
        <v>110</v>
      </c>
      <c r="K385" s="66">
        <v>400</v>
      </c>
      <c r="L385" s="66">
        <v>1600</v>
      </c>
      <c r="M385" s="156">
        <v>22.548059196475528</v>
      </c>
      <c r="N385" s="78">
        <v>1409.9438284800001</v>
      </c>
      <c r="O385" s="113">
        <v>40235.522825212356</v>
      </c>
      <c r="P385" s="111">
        <v>48403.081197599444</v>
      </c>
      <c r="Q385" s="110">
        <v>25902.96758695535</v>
      </c>
      <c r="R385" s="258">
        <v>66138.49041216771</v>
      </c>
      <c r="S385" s="259">
        <v>74306.04878455479</v>
      </c>
      <c r="U385" s="7" t="s">
        <v>2837</v>
      </c>
    </row>
    <row r="386" spans="1:21" ht="16.5" thickBot="1">
      <c r="A386" s="41" t="s">
        <v>31</v>
      </c>
      <c r="B386" s="42">
        <f t="shared" si="21"/>
        <v>110</v>
      </c>
      <c r="C386" s="42" t="s">
        <v>3</v>
      </c>
      <c r="D386" s="42">
        <f t="shared" si="22"/>
        <v>400</v>
      </c>
      <c r="E386" s="42" t="s">
        <v>3</v>
      </c>
      <c r="F386" s="90">
        <f t="shared" si="23"/>
        <v>1650</v>
      </c>
      <c r="G386" s="42" t="s">
        <v>3</v>
      </c>
      <c r="H386" s="39">
        <v>6</v>
      </c>
      <c r="I386" s="40" t="s">
        <v>40</v>
      </c>
      <c r="J386" s="149">
        <v>110</v>
      </c>
      <c r="K386" s="66">
        <v>400</v>
      </c>
      <c r="L386" s="66">
        <v>1650</v>
      </c>
      <c r="M386" s="156">
        <v>23.219009125852367</v>
      </c>
      <c r="N386" s="78">
        <v>1466.3415816192003</v>
      </c>
      <c r="O386" s="113">
        <v>41253.317448116264</v>
      </c>
      <c r="P386" s="111">
        <v>49647.897207170354</v>
      </c>
      <c r="Q386" s="110">
        <v>26810.908827497857</v>
      </c>
      <c r="R386" s="258">
        <v>68064.226275614114</v>
      </c>
      <c r="S386" s="259">
        <v>76458.806034668203</v>
      </c>
      <c r="U386" s="7" t="s">
        <v>2838</v>
      </c>
    </row>
    <row r="387" spans="1:21" ht="16.5" thickBot="1">
      <c r="A387" s="41" t="s">
        <v>31</v>
      </c>
      <c r="B387" s="42">
        <f t="shared" si="21"/>
        <v>110</v>
      </c>
      <c r="C387" s="42" t="s">
        <v>3</v>
      </c>
      <c r="D387" s="42">
        <f t="shared" si="22"/>
        <v>400</v>
      </c>
      <c r="E387" s="42" t="s">
        <v>3</v>
      </c>
      <c r="F387" s="90">
        <f t="shared" si="23"/>
        <v>1700</v>
      </c>
      <c r="G387" s="42" t="s">
        <v>3</v>
      </c>
      <c r="H387" s="39">
        <v>6</v>
      </c>
      <c r="I387" s="40" t="s">
        <v>40</v>
      </c>
      <c r="J387" s="149">
        <v>110</v>
      </c>
      <c r="K387" s="66">
        <v>400</v>
      </c>
      <c r="L387" s="66">
        <v>1700</v>
      </c>
      <c r="M387" s="156">
        <v>23.872919055229211</v>
      </c>
      <c r="N387" s="78">
        <v>1522.7393347583998</v>
      </c>
      <c r="O387" s="113">
        <v>42271.112071020165</v>
      </c>
      <c r="P387" s="111">
        <v>50892.713369770026</v>
      </c>
      <c r="Q387" s="110">
        <v>27467.515777227836</v>
      </c>
      <c r="R387" s="258">
        <v>69738.627848247997</v>
      </c>
      <c r="S387" s="259">
        <v>78360.229146997866</v>
      </c>
      <c r="U387" s="7" t="s">
        <v>2839</v>
      </c>
    </row>
    <row r="388" spans="1:21" ht="16.5" thickBot="1">
      <c r="A388" s="41" t="s">
        <v>31</v>
      </c>
      <c r="B388" s="42">
        <f t="shared" si="21"/>
        <v>110</v>
      </c>
      <c r="C388" s="42" t="s">
        <v>3</v>
      </c>
      <c r="D388" s="42">
        <f t="shared" si="22"/>
        <v>400</v>
      </c>
      <c r="E388" s="42" t="s">
        <v>3</v>
      </c>
      <c r="F388" s="90">
        <f t="shared" si="23"/>
        <v>1750</v>
      </c>
      <c r="G388" s="42" t="s">
        <v>3</v>
      </c>
      <c r="H388" s="39">
        <v>6</v>
      </c>
      <c r="I388" s="40" t="s">
        <v>40</v>
      </c>
      <c r="J388" s="149">
        <v>110</v>
      </c>
      <c r="K388" s="66">
        <v>400</v>
      </c>
      <c r="L388" s="66">
        <v>1750</v>
      </c>
      <c r="M388" s="156">
        <v>24.54386898460605</v>
      </c>
      <c r="N388" s="78">
        <v>1579.1370878975997</v>
      </c>
      <c r="O388" s="113">
        <v>43288.906846952836</v>
      </c>
      <c r="P388" s="111">
        <v>52137.529379340936</v>
      </c>
      <c r="Q388" s="110">
        <v>28375.457017770343</v>
      </c>
      <c r="R388" s="258">
        <v>71664.363864723186</v>
      </c>
      <c r="S388" s="259">
        <v>80512.986397111279</v>
      </c>
      <c r="U388" s="7" t="s">
        <v>2840</v>
      </c>
    </row>
    <row r="389" spans="1:21" ht="16.5" thickBot="1">
      <c r="A389" s="41" t="s">
        <v>31</v>
      </c>
      <c r="B389" s="42">
        <f t="shared" si="21"/>
        <v>110</v>
      </c>
      <c r="C389" s="42" t="s">
        <v>3</v>
      </c>
      <c r="D389" s="42">
        <f t="shared" si="22"/>
        <v>400</v>
      </c>
      <c r="E389" s="42" t="s">
        <v>3</v>
      </c>
      <c r="F389" s="90">
        <f t="shared" si="23"/>
        <v>1800</v>
      </c>
      <c r="G389" s="42" t="s">
        <v>3</v>
      </c>
      <c r="H389" s="39">
        <v>6</v>
      </c>
      <c r="I389" s="40" t="s">
        <v>40</v>
      </c>
      <c r="J389" s="149">
        <v>110</v>
      </c>
      <c r="K389" s="66">
        <v>400</v>
      </c>
      <c r="L389" s="66">
        <v>1800</v>
      </c>
      <c r="M389" s="156">
        <v>25.197778913982894</v>
      </c>
      <c r="N389" s="78">
        <v>1635.5348410367999</v>
      </c>
      <c r="O389" s="113">
        <v>44306.701469856744</v>
      </c>
      <c r="P389" s="111">
        <v>53382.345388911854</v>
      </c>
      <c r="Q389" s="110">
        <v>29032.063967500315</v>
      </c>
      <c r="R389" s="258">
        <v>73338.765437357055</v>
      </c>
      <c r="S389" s="259">
        <v>82414.409356412172</v>
      </c>
      <c r="U389" s="7" t="s">
        <v>2841</v>
      </c>
    </row>
    <row r="390" spans="1:21" ht="16.5" thickBot="1">
      <c r="A390" s="41" t="s">
        <v>31</v>
      </c>
      <c r="B390" s="42">
        <f t="shared" si="21"/>
        <v>110</v>
      </c>
      <c r="C390" s="42" t="s">
        <v>3</v>
      </c>
      <c r="D390" s="42">
        <f t="shared" si="22"/>
        <v>400</v>
      </c>
      <c r="E390" s="42" t="s">
        <v>3</v>
      </c>
      <c r="F390" s="90">
        <f t="shared" si="23"/>
        <v>1850</v>
      </c>
      <c r="G390" s="42" t="s">
        <v>3</v>
      </c>
      <c r="H390" s="39">
        <v>6</v>
      </c>
      <c r="I390" s="40" t="s">
        <v>40</v>
      </c>
      <c r="J390" s="149">
        <v>110</v>
      </c>
      <c r="K390" s="66">
        <v>400</v>
      </c>
      <c r="L390" s="66">
        <v>1850</v>
      </c>
      <c r="M390" s="156">
        <v>25.86872884335974</v>
      </c>
      <c r="N390" s="78">
        <v>1691.9325941759998</v>
      </c>
      <c r="O390" s="113">
        <v>45324.496092760644</v>
      </c>
      <c r="P390" s="111">
        <v>54627.161398482764</v>
      </c>
      <c r="Q390" s="110">
        <v>29940.005208042821</v>
      </c>
      <c r="R390" s="258">
        <v>75264.501300803473</v>
      </c>
      <c r="S390" s="259">
        <v>84567.166606525585</v>
      </c>
      <c r="U390" s="7" t="s">
        <v>2842</v>
      </c>
    </row>
    <row r="391" spans="1:21" ht="16.5" thickBot="1">
      <c r="A391" s="41" t="s">
        <v>31</v>
      </c>
      <c r="B391" s="42">
        <f t="shared" si="21"/>
        <v>110</v>
      </c>
      <c r="C391" s="42" t="s">
        <v>3</v>
      </c>
      <c r="D391" s="42">
        <f t="shared" si="22"/>
        <v>400</v>
      </c>
      <c r="E391" s="42" t="s">
        <v>3</v>
      </c>
      <c r="F391" s="90">
        <f t="shared" si="23"/>
        <v>1900</v>
      </c>
      <c r="G391" s="42" t="s">
        <v>3</v>
      </c>
      <c r="H391" s="39">
        <v>6</v>
      </c>
      <c r="I391" s="40" t="s">
        <v>40</v>
      </c>
      <c r="J391" s="149">
        <v>110</v>
      </c>
      <c r="K391" s="66">
        <v>400</v>
      </c>
      <c r="L391" s="66">
        <v>1900</v>
      </c>
      <c r="M391" s="156">
        <v>26.522638772736585</v>
      </c>
      <c r="N391" s="78">
        <v>1748.3303473152</v>
      </c>
      <c r="O391" s="113">
        <v>46342.290715664552</v>
      </c>
      <c r="P391" s="111">
        <v>55871.977408053666</v>
      </c>
      <c r="Q391" s="110">
        <v>30596.612157772794</v>
      </c>
      <c r="R391" s="258">
        <v>76938.902873437342</v>
      </c>
      <c r="S391" s="259">
        <v>86468.589565826464</v>
      </c>
      <c r="U391" s="7" t="s">
        <v>2843</v>
      </c>
    </row>
    <row r="392" spans="1:21" ht="16.5" thickBot="1">
      <c r="A392" s="41" t="s">
        <v>31</v>
      </c>
      <c r="B392" s="42">
        <f t="shared" si="21"/>
        <v>110</v>
      </c>
      <c r="C392" s="42" t="s">
        <v>3</v>
      </c>
      <c r="D392" s="42">
        <f t="shared" si="22"/>
        <v>400</v>
      </c>
      <c r="E392" s="42" t="s">
        <v>3</v>
      </c>
      <c r="F392" s="90">
        <f t="shared" si="23"/>
        <v>1950</v>
      </c>
      <c r="G392" s="42" t="s">
        <v>3</v>
      </c>
      <c r="H392" s="39">
        <v>6</v>
      </c>
      <c r="I392" s="40" t="s">
        <v>40</v>
      </c>
      <c r="J392" s="149">
        <v>110</v>
      </c>
      <c r="K392" s="66">
        <v>400</v>
      </c>
      <c r="L392" s="66">
        <v>1950</v>
      </c>
      <c r="M392" s="156">
        <v>27.294298702113426</v>
      </c>
      <c r="N392" s="78">
        <v>1804.7281004544</v>
      </c>
      <c r="O392" s="113">
        <v>47494.183986361204</v>
      </c>
      <c r="P392" s="111">
        <v>57251.710616281976</v>
      </c>
      <c r="Q392" s="110">
        <v>31253.219260531532</v>
      </c>
      <c r="R392" s="258">
        <v>78747.403246892733</v>
      </c>
      <c r="S392" s="259">
        <v>88504.929876813505</v>
      </c>
      <c r="U392" s="7" t="s">
        <v>2844</v>
      </c>
    </row>
    <row r="393" spans="1:21" ht="16.5" thickBot="1">
      <c r="A393" s="41" t="s">
        <v>31</v>
      </c>
      <c r="B393" s="42">
        <f t="shared" si="21"/>
        <v>110</v>
      </c>
      <c r="C393" s="42" t="s">
        <v>3</v>
      </c>
      <c r="D393" s="42">
        <f t="shared" si="22"/>
        <v>400</v>
      </c>
      <c r="E393" s="42" t="s">
        <v>3</v>
      </c>
      <c r="F393" s="90">
        <f t="shared" si="23"/>
        <v>2000</v>
      </c>
      <c r="G393" s="42" t="s">
        <v>3</v>
      </c>
      <c r="H393" s="39">
        <v>6</v>
      </c>
      <c r="I393" s="40" t="s">
        <v>40</v>
      </c>
      <c r="J393" s="149">
        <v>110</v>
      </c>
      <c r="K393" s="66">
        <v>400</v>
      </c>
      <c r="L393" s="66">
        <v>2000</v>
      </c>
      <c r="M393" s="156">
        <v>28.05681103149027</v>
      </c>
      <c r="N393" s="78">
        <v>1861.1258535935999</v>
      </c>
      <c r="O393" s="113">
        <v>48763.270511109702</v>
      </c>
      <c r="P393" s="111">
        <v>58837.348618848926</v>
      </c>
      <c r="Q393" s="110">
        <v>32161.160348045276</v>
      </c>
      <c r="R393" s="258">
        <v>80924.430859154978</v>
      </c>
      <c r="S393" s="259">
        <v>90998.508966894209</v>
      </c>
      <c r="U393" s="7" t="s">
        <v>2845</v>
      </c>
    </row>
    <row r="394" spans="1:21" ht="16.5" thickBot="1">
      <c r="A394" s="41" t="s">
        <v>31</v>
      </c>
      <c r="B394" s="42">
        <f t="shared" si="21"/>
        <v>110</v>
      </c>
      <c r="C394" s="42" t="s">
        <v>3</v>
      </c>
      <c r="D394" s="42">
        <f t="shared" si="22"/>
        <v>400</v>
      </c>
      <c r="E394" s="42" t="s">
        <v>3</v>
      </c>
      <c r="F394" s="90">
        <f t="shared" si="23"/>
        <v>2050</v>
      </c>
      <c r="G394" s="42" t="s">
        <v>3</v>
      </c>
      <c r="H394" s="39">
        <v>6</v>
      </c>
      <c r="I394" s="40" t="s">
        <v>40</v>
      </c>
      <c r="J394" s="149">
        <v>110</v>
      </c>
      <c r="K394" s="66">
        <v>400</v>
      </c>
      <c r="L394" s="66">
        <v>2050</v>
      </c>
      <c r="M394" s="156">
        <v>28.710720960867107</v>
      </c>
      <c r="N394" s="78">
        <v>1917.5236067327999</v>
      </c>
      <c r="O394" s="113">
        <v>49781.06513401361</v>
      </c>
      <c r="P394" s="111">
        <v>60082.164628419843</v>
      </c>
      <c r="Q394" s="110">
        <v>32817.767450804015</v>
      </c>
      <c r="R394" s="258">
        <v>82598.832584817632</v>
      </c>
      <c r="S394" s="259">
        <v>92899.932079223858</v>
      </c>
      <c r="U394" s="7" t="s">
        <v>2846</v>
      </c>
    </row>
    <row r="395" spans="1:21" ht="16.5" thickBot="1">
      <c r="A395" s="38" t="s">
        <v>31</v>
      </c>
      <c r="B395" s="39">
        <f t="shared" si="21"/>
        <v>110</v>
      </c>
      <c r="C395" s="39" t="s">
        <v>3</v>
      </c>
      <c r="D395" s="39">
        <f t="shared" si="22"/>
        <v>400</v>
      </c>
      <c r="E395" s="39" t="s">
        <v>3</v>
      </c>
      <c r="F395" s="90">
        <f t="shared" si="23"/>
        <v>2100</v>
      </c>
      <c r="G395" s="39" t="s">
        <v>3</v>
      </c>
      <c r="H395" s="39">
        <v>6</v>
      </c>
      <c r="I395" s="40" t="s">
        <v>40</v>
      </c>
      <c r="J395" s="149">
        <v>110</v>
      </c>
      <c r="K395" s="66">
        <v>400</v>
      </c>
      <c r="L395" s="66">
        <v>2100</v>
      </c>
      <c r="M395" s="156">
        <v>29.381670890243949</v>
      </c>
      <c r="N395" s="78">
        <v>1973.921359872</v>
      </c>
      <c r="O395" s="113">
        <v>50798.859909946274</v>
      </c>
      <c r="P395" s="111">
        <v>61326.980637990746</v>
      </c>
      <c r="Q395" s="110">
        <v>33725.708538317755</v>
      </c>
      <c r="R395" s="258">
        <v>84524.568448264035</v>
      </c>
      <c r="S395" s="259">
        <v>95052.6891763085</v>
      </c>
      <c r="U395" s="7" t="s">
        <v>2847</v>
      </c>
    </row>
    <row r="396" spans="1:21" ht="16.5" thickBot="1">
      <c r="A396" s="41" t="s">
        <v>31</v>
      </c>
      <c r="B396" s="42">
        <f t="shared" si="21"/>
        <v>110</v>
      </c>
      <c r="C396" s="42" t="s">
        <v>3</v>
      </c>
      <c r="D396" s="42">
        <f t="shared" si="22"/>
        <v>400</v>
      </c>
      <c r="E396" s="42" t="s">
        <v>3</v>
      </c>
      <c r="F396" s="90">
        <f t="shared" si="23"/>
        <v>2150</v>
      </c>
      <c r="G396" s="42" t="s">
        <v>3</v>
      </c>
      <c r="H396" s="39">
        <v>6</v>
      </c>
      <c r="I396" s="40" t="s">
        <v>40</v>
      </c>
      <c r="J396" s="149">
        <v>110</v>
      </c>
      <c r="K396" s="66">
        <v>400</v>
      </c>
      <c r="L396" s="66">
        <v>2150</v>
      </c>
      <c r="M396" s="156">
        <v>30.03558081962079</v>
      </c>
      <c r="N396" s="78">
        <v>2030.3191130112</v>
      </c>
      <c r="O396" s="113">
        <v>51816.654532850182</v>
      </c>
      <c r="P396" s="111">
        <v>62571.796647561656</v>
      </c>
      <c r="Q396" s="110">
        <v>34382.315641076493</v>
      </c>
      <c r="R396" s="258">
        <v>86198.970173926675</v>
      </c>
      <c r="S396" s="259">
        <v>96954.112288638149</v>
      </c>
      <c r="U396" s="7" t="s">
        <v>2848</v>
      </c>
    </row>
    <row r="397" spans="1:21" ht="16.5" thickBot="1">
      <c r="A397" s="41" t="s">
        <v>31</v>
      </c>
      <c r="B397" s="42">
        <f t="shared" si="21"/>
        <v>110</v>
      </c>
      <c r="C397" s="42" t="s">
        <v>3</v>
      </c>
      <c r="D397" s="42">
        <f t="shared" si="22"/>
        <v>400</v>
      </c>
      <c r="E397" s="42" t="s">
        <v>3</v>
      </c>
      <c r="F397" s="90">
        <f t="shared" si="23"/>
        <v>2200</v>
      </c>
      <c r="G397" s="42" t="s">
        <v>3</v>
      </c>
      <c r="H397" s="39">
        <v>6</v>
      </c>
      <c r="I397" s="40" t="s">
        <v>40</v>
      </c>
      <c r="J397" s="149">
        <v>110</v>
      </c>
      <c r="K397" s="66">
        <v>400</v>
      </c>
      <c r="L397" s="66">
        <v>2200</v>
      </c>
      <c r="M397" s="156">
        <v>30.706530748997636</v>
      </c>
      <c r="N397" s="78">
        <v>2086.7168661503997</v>
      </c>
      <c r="O397" s="113">
        <v>52834.44915575409</v>
      </c>
      <c r="P397" s="111">
        <v>63816.612810161329</v>
      </c>
      <c r="Q397" s="110">
        <v>35290.256728590233</v>
      </c>
      <c r="R397" s="258">
        <v>88124.705884344323</v>
      </c>
      <c r="S397" s="259">
        <v>99106.869538751562</v>
      </c>
      <c r="U397" s="7" t="s">
        <v>2849</v>
      </c>
    </row>
    <row r="398" spans="1:21" ht="16.5" thickBot="1">
      <c r="A398" s="41" t="s">
        <v>31</v>
      </c>
      <c r="B398" s="42">
        <f t="shared" si="21"/>
        <v>110</v>
      </c>
      <c r="C398" s="42" t="s">
        <v>3</v>
      </c>
      <c r="D398" s="42">
        <f t="shared" si="22"/>
        <v>400</v>
      </c>
      <c r="E398" s="42" t="s">
        <v>3</v>
      </c>
      <c r="F398" s="90">
        <f t="shared" si="23"/>
        <v>2250</v>
      </c>
      <c r="G398" s="42" t="s">
        <v>3</v>
      </c>
      <c r="H398" s="39">
        <v>6</v>
      </c>
      <c r="I398" s="40" t="s">
        <v>40</v>
      </c>
      <c r="J398" s="149">
        <v>110</v>
      </c>
      <c r="K398" s="66">
        <v>400</v>
      </c>
      <c r="L398" s="66">
        <v>2250</v>
      </c>
      <c r="M398" s="156">
        <v>31.36044067837447</v>
      </c>
      <c r="N398" s="78">
        <v>2143.1146192895999</v>
      </c>
      <c r="O398" s="113">
        <v>53852.243778657998</v>
      </c>
      <c r="P398" s="111">
        <v>65061.428819732253</v>
      </c>
      <c r="Q398" s="110">
        <v>35946.863831348819</v>
      </c>
      <c r="R398" s="258">
        <v>89799.107610006817</v>
      </c>
      <c r="S398" s="259">
        <v>101008.29265108108</v>
      </c>
      <c r="U398" s="7" t="s">
        <v>2850</v>
      </c>
    </row>
    <row r="399" spans="1:21" ht="16.5" thickBot="1">
      <c r="A399" s="41" t="s">
        <v>31</v>
      </c>
      <c r="B399" s="42">
        <f t="shared" si="21"/>
        <v>110</v>
      </c>
      <c r="C399" s="42" t="s">
        <v>3</v>
      </c>
      <c r="D399" s="42">
        <f t="shared" si="22"/>
        <v>400</v>
      </c>
      <c r="E399" s="42" t="s">
        <v>3</v>
      </c>
      <c r="F399" s="90">
        <f t="shared" si="23"/>
        <v>2300</v>
      </c>
      <c r="G399" s="42" t="s">
        <v>3</v>
      </c>
      <c r="H399" s="39">
        <v>6</v>
      </c>
      <c r="I399" s="40" t="s">
        <v>40</v>
      </c>
      <c r="J399" s="149">
        <v>110</v>
      </c>
      <c r="K399" s="66">
        <v>400</v>
      </c>
      <c r="L399" s="66">
        <v>2300</v>
      </c>
      <c r="M399" s="156">
        <v>32.014350607751325</v>
      </c>
      <c r="N399" s="78">
        <v>2199.5123724287996</v>
      </c>
      <c r="O399" s="113">
        <v>54870.038554590661</v>
      </c>
      <c r="P399" s="111">
        <v>66306.244829303163</v>
      </c>
      <c r="Q399" s="110">
        <v>36603.470781078948</v>
      </c>
      <c r="R399" s="258">
        <v>91473.509335669602</v>
      </c>
      <c r="S399" s="259">
        <v>102909.71561038212</v>
      </c>
      <c r="U399" s="7" t="s">
        <v>2851</v>
      </c>
    </row>
    <row r="400" spans="1:21" ht="16.5" thickBot="1">
      <c r="A400" s="41" t="s">
        <v>31</v>
      </c>
      <c r="B400" s="42">
        <f t="shared" si="21"/>
        <v>110</v>
      </c>
      <c r="C400" s="42" t="s">
        <v>3</v>
      </c>
      <c r="D400" s="42">
        <f t="shared" si="22"/>
        <v>400</v>
      </c>
      <c r="E400" s="42" t="s">
        <v>3</v>
      </c>
      <c r="F400" s="90">
        <f t="shared" si="23"/>
        <v>2350</v>
      </c>
      <c r="G400" s="42" t="s">
        <v>3</v>
      </c>
      <c r="H400" s="39">
        <v>6</v>
      </c>
      <c r="I400" s="40" t="s">
        <v>40</v>
      </c>
      <c r="J400" s="149">
        <v>110</v>
      </c>
      <c r="K400" s="66">
        <v>400</v>
      </c>
      <c r="L400" s="66">
        <v>2350</v>
      </c>
      <c r="M400" s="156">
        <v>32.685300537128157</v>
      </c>
      <c r="N400" s="78">
        <v>2255.9101255679998</v>
      </c>
      <c r="O400" s="113">
        <v>55887.833177494569</v>
      </c>
      <c r="P400" s="111">
        <v>67551.060838874066</v>
      </c>
      <c r="Q400" s="110">
        <v>37511.412021621458</v>
      </c>
      <c r="R400" s="258">
        <v>93399.245199116034</v>
      </c>
      <c r="S400" s="259">
        <v>105062.47286049553</v>
      </c>
      <c r="U400" s="7" t="s">
        <v>2852</v>
      </c>
    </row>
    <row r="401" spans="1:21" ht="16.5" thickBot="1">
      <c r="A401" s="41" t="s">
        <v>31</v>
      </c>
      <c r="B401" s="42">
        <f t="shared" si="21"/>
        <v>110</v>
      </c>
      <c r="C401" s="42" t="s">
        <v>3</v>
      </c>
      <c r="D401" s="42">
        <f t="shared" si="22"/>
        <v>400</v>
      </c>
      <c r="E401" s="42" t="s">
        <v>3</v>
      </c>
      <c r="F401" s="90">
        <f t="shared" si="23"/>
        <v>2400</v>
      </c>
      <c r="G401" s="42" t="s">
        <v>3</v>
      </c>
      <c r="H401" s="39">
        <v>6</v>
      </c>
      <c r="I401" s="40" t="s">
        <v>40</v>
      </c>
      <c r="J401" s="149">
        <v>110</v>
      </c>
      <c r="K401" s="66">
        <v>400</v>
      </c>
      <c r="L401" s="66">
        <v>2400</v>
      </c>
      <c r="M401" s="156">
        <v>33.339210466505001</v>
      </c>
      <c r="N401" s="78">
        <v>2312.3078787072</v>
      </c>
      <c r="O401" s="113">
        <v>56905.627800398477</v>
      </c>
      <c r="P401" s="111">
        <v>68795.876848444983</v>
      </c>
      <c r="Q401" s="110">
        <v>38168.019124380196</v>
      </c>
      <c r="R401" s="258">
        <v>95073.646924778674</v>
      </c>
      <c r="S401" s="259">
        <v>106963.89597282518</v>
      </c>
      <c r="U401" s="7" t="s">
        <v>2853</v>
      </c>
    </row>
    <row r="402" spans="1:21" ht="16.5" thickBot="1">
      <c r="A402" s="41" t="s">
        <v>31</v>
      </c>
      <c r="B402" s="42">
        <f t="shared" si="21"/>
        <v>110</v>
      </c>
      <c r="C402" s="42" t="s">
        <v>3</v>
      </c>
      <c r="D402" s="42">
        <f t="shared" si="22"/>
        <v>400</v>
      </c>
      <c r="E402" s="42" t="s">
        <v>3</v>
      </c>
      <c r="F402" s="90">
        <f t="shared" si="23"/>
        <v>2450</v>
      </c>
      <c r="G402" s="42" t="s">
        <v>3</v>
      </c>
      <c r="H402" s="39">
        <v>6</v>
      </c>
      <c r="I402" s="40" t="s">
        <v>40</v>
      </c>
      <c r="J402" s="149">
        <v>110</v>
      </c>
      <c r="K402" s="66">
        <v>400</v>
      </c>
      <c r="L402" s="66">
        <v>2450</v>
      </c>
      <c r="M402" s="156">
        <v>34.23744058818184</v>
      </c>
      <c r="N402" s="78">
        <v>2368.7056318464001</v>
      </c>
      <c r="O402" s="113">
        <v>58844.903036868083</v>
      </c>
      <c r="P402" s="111">
        <v>70941.451999524783</v>
      </c>
      <c r="Q402" s="110">
        <v>39075.960211893937</v>
      </c>
      <c r="R402" s="258">
        <v>97920.86324876202</v>
      </c>
      <c r="S402" s="259">
        <v>110017.41221141872</v>
      </c>
      <c r="U402" s="7" t="s">
        <v>2854</v>
      </c>
    </row>
    <row r="403" spans="1:21" ht="16.5" thickBot="1">
      <c r="A403" s="41" t="s">
        <v>31</v>
      </c>
      <c r="B403" s="42">
        <f t="shared" si="21"/>
        <v>110</v>
      </c>
      <c r="C403" s="42" t="s">
        <v>3</v>
      </c>
      <c r="D403" s="42">
        <f t="shared" si="22"/>
        <v>400</v>
      </c>
      <c r="E403" s="42" t="s">
        <v>3</v>
      </c>
      <c r="F403" s="90">
        <f t="shared" si="23"/>
        <v>2500</v>
      </c>
      <c r="G403" s="42" t="s">
        <v>3</v>
      </c>
      <c r="H403" s="39">
        <v>6</v>
      </c>
      <c r="I403" s="40" t="s">
        <v>40</v>
      </c>
      <c r="J403" s="149">
        <v>110</v>
      </c>
      <c r="K403" s="66">
        <v>400</v>
      </c>
      <c r="L403" s="66">
        <v>2500</v>
      </c>
      <c r="M403" s="156">
        <v>34.891350517558678</v>
      </c>
      <c r="N403" s="78">
        <v>2425.1033849855999</v>
      </c>
      <c r="O403" s="113">
        <v>59862.697659771991</v>
      </c>
      <c r="P403" s="111">
        <v>72186.2680090957</v>
      </c>
      <c r="Q403" s="110">
        <v>39732.567314652675</v>
      </c>
      <c r="R403" s="258">
        <v>99595.264974424674</v>
      </c>
      <c r="S403" s="259">
        <v>111918.83532374838</v>
      </c>
      <c r="U403" s="7" t="s">
        <v>2855</v>
      </c>
    </row>
    <row r="404" spans="1:21" ht="16.5" thickBot="1">
      <c r="A404" s="41" t="s">
        <v>31</v>
      </c>
      <c r="B404" s="42">
        <f t="shared" si="21"/>
        <v>110</v>
      </c>
      <c r="C404" s="42" t="s">
        <v>3</v>
      </c>
      <c r="D404" s="42">
        <f t="shared" si="22"/>
        <v>400</v>
      </c>
      <c r="E404" s="42" t="s">
        <v>3</v>
      </c>
      <c r="F404" s="90">
        <f t="shared" si="23"/>
        <v>2550</v>
      </c>
      <c r="G404" s="42" t="s">
        <v>3</v>
      </c>
      <c r="H404" s="39">
        <v>6</v>
      </c>
      <c r="I404" s="40" t="s">
        <v>40</v>
      </c>
      <c r="J404" s="149">
        <v>110</v>
      </c>
      <c r="K404" s="66">
        <v>400</v>
      </c>
      <c r="L404" s="66">
        <v>2550</v>
      </c>
      <c r="M404" s="156">
        <v>35.562300446935524</v>
      </c>
      <c r="N404" s="78">
        <v>2481.5011381248</v>
      </c>
      <c r="O404" s="113">
        <v>60880.492435704662</v>
      </c>
      <c r="P404" s="111">
        <v>73431.084018666603</v>
      </c>
      <c r="Q404" s="110">
        <v>40640.508402166415</v>
      </c>
      <c r="R404" s="258">
        <v>101521.00083787108</v>
      </c>
      <c r="S404" s="259">
        <v>114071.59242083301</v>
      </c>
      <c r="U404" s="7" t="s">
        <v>2856</v>
      </c>
    </row>
    <row r="405" spans="1:21" ht="16.5" thickBot="1">
      <c r="A405" s="38" t="s">
        <v>31</v>
      </c>
      <c r="B405" s="39">
        <f t="shared" si="21"/>
        <v>110</v>
      </c>
      <c r="C405" s="39" t="s">
        <v>3</v>
      </c>
      <c r="D405" s="39">
        <f t="shared" si="22"/>
        <v>400</v>
      </c>
      <c r="E405" s="39" t="s">
        <v>3</v>
      </c>
      <c r="F405" s="90">
        <f t="shared" si="23"/>
        <v>2600</v>
      </c>
      <c r="G405" s="39" t="s">
        <v>3</v>
      </c>
      <c r="H405" s="39">
        <v>6</v>
      </c>
      <c r="I405" s="40" t="s">
        <v>40</v>
      </c>
      <c r="J405" s="149">
        <v>110</v>
      </c>
      <c r="K405" s="66">
        <v>400</v>
      </c>
      <c r="L405" s="66">
        <v>2600</v>
      </c>
      <c r="M405" s="156">
        <v>36.216210376312375</v>
      </c>
      <c r="N405" s="78">
        <v>2537.8988912639998</v>
      </c>
      <c r="O405" s="113">
        <v>61898.287058608563</v>
      </c>
      <c r="P405" s="111">
        <v>74675.90002823752</v>
      </c>
      <c r="Q405" s="110">
        <v>41297.115504925154</v>
      </c>
      <c r="R405" s="258">
        <v>103195.40256353372</v>
      </c>
      <c r="S405" s="259">
        <v>115973.01553316267</v>
      </c>
      <c r="U405" s="7" t="s">
        <v>2857</v>
      </c>
    </row>
    <row r="406" spans="1:21" ht="16.5" thickBot="1">
      <c r="A406" s="41" t="s">
        <v>31</v>
      </c>
      <c r="B406" s="42">
        <f t="shared" si="21"/>
        <v>110</v>
      </c>
      <c r="C406" s="42" t="s">
        <v>3</v>
      </c>
      <c r="D406" s="42">
        <f t="shared" si="22"/>
        <v>400</v>
      </c>
      <c r="E406" s="42" t="s">
        <v>3</v>
      </c>
      <c r="F406" s="90">
        <f t="shared" si="23"/>
        <v>2650</v>
      </c>
      <c r="G406" s="42" t="s">
        <v>3</v>
      </c>
      <c r="H406" s="39">
        <v>6</v>
      </c>
      <c r="I406" s="40" t="s">
        <v>40</v>
      </c>
      <c r="J406" s="149">
        <v>110</v>
      </c>
      <c r="K406" s="66">
        <v>400</v>
      </c>
      <c r="L406" s="66">
        <v>2650</v>
      </c>
      <c r="M406" s="156">
        <v>36.887160305689214</v>
      </c>
      <c r="N406" s="78">
        <v>2594.2966444031999</v>
      </c>
      <c r="O406" s="113">
        <v>62916.081681512471</v>
      </c>
      <c r="P406" s="111">
        <v>75920.716037808423</v>
      </c>
      <c r="Q406" s="110">
        <v>42205.056592438901</v>
      </c>
      <c r="R406" s="258">
        <v>105121.13827395136</v>
      </c>
      <c r="S406" s="259">
        <v>118125.77263024732</v>
      </c>
      <c r="U406" s="7" t="s">
        <v>2858</v>
      </c>
    </row>
    <row r="407" spans="1:21" ht="16.5" thickBot="1">
      <c r="A407" s="41" t="s">
        <v>31</v>
      </c>
      <c r="B407" s="42">
        <f t="shared" si="21"/>
        <v>110</v>
      </c>
      <c r="C407" s="42" t="s">
        <v>3</v>
      </c>
      <c r="D407" s="42">
        <f t="shared" si="22"/>
        <v>400</v>
      </c>
      <c r="E407" s="42" t="s">
        <v>3</v>
      </c>
      <c r="F407" s="90">
        <f t="shared" si="23"/>
        <v>2700</v>
      </c>
      <c r="G407" s="42" t="s">
        <v>3</v>
      </c>
      <c r="H407" s="39">
        <v>6</v>
      </c>
      <c r="I407" s="40" t="s">
        <v>40</v>
      </c>
      <c r="J407" s="149">
        <v>110</v>
      </c>
      <c r="K407" s="66">
        <v>400</v>
      </c>
      <c r="L407" s="66">
        <v>2700</v>
      </c>
      <c r="M407" s="156">
        <v>37.658820235066059</v>
      </c>
      <c r="N407" s="78">
        <v>2650.6943975423997</v>
      </c>
      <c r="O407" s="113">
        <v>64067.974952209115</v>
      </c>
      <c r="P407" s="111">
        <v>77300.449246036733</v>
      </c>
      <c r="Q407" s="110">
        <v>42861.66369519764</v>
      </c>
      <c r="R407" s="258">
        <v>106929.63864740675</v>
      </c>
      <c r="S407" s="259">
        <v>120162.11294123437</v>
      </c>
      <c r="U407" s="7" t="s">
        <v>2859</v>
      </c>
    </row>
    <row r="408" spans="1:21" ht="16.5" thickBot="1">
      <c r="A408" s="41" t="s">
        <v>31</v>
      </c>
      <c r="B408" s="42">
        <f t="shared" si="21"/>
        <v>110</v>
      </c>
      <c r="C408" s="42" t="s">
        <v>3</v>
      </c>
      <c r="D408" s="42">
        <f t="shared" si="22"/>
        <v>400</v>
      </c>
      <c r="E408" s="42" t="s">
        <v>3</v>
      </c>
      <c r="F408" s="90">
        <f t="shared" si="23"/>
        <v>2750</v>
      </c>
      <c r="G408" s="42" t="s">
        <v>3</v>
      </c>
      <c r="H408" s="39">
        <v>6</v>
      </c>
      <c r="I408" s="40" t="s">
        <v>40</v>
      </c>
      <c r="J408" s="149">
        <v>110</v>
      </c>
      <c r="K408" s="66">
        <v>400</v>
      </c>
      <c r="L408" s="66">
        <v>2750</v>
      </c>
      <c r="M408" s="156">
        <v>38.312730164442897</v>
      </c>
      <c r="N408" s="78">
        <v>2707.0921506816003</v>
      </c>
      <c r="O408" s="113">
        <v>65085.769575113023</v>
      </c>
      <c r="P408" s="111">
        <v>78545.265255607635</v>
      </c>
      <c r="Q408" s="110">
        <v>43518.270644927608</v>
      </c>
      <c r="R408" s="258">
        <v>108604.04022004062</v>
      </c>
      <c r="S408" s="259">
        <v>122063.53590053524</v>
      </c>
      <c r="U408" s="7" t="s">
        <v>2860</v>
      </c>
    </row>
    <row r="409" spans="1:21" ht="16.5" thickBot="1">
      <c r="A409" s="41" t="s">
        <v>31</v>
      </c>
      <c r="B409" s="42">
        <f t="shared" si="21"/>
        <v>110</v>
      </c>
      <c r="C409" s="42" t="s">
        <v>3</v>
      </c>
      <c r="D409" s="42">
        <f t="shared" si="22"/>
        <v>400</v>
      </c>
      <c r="E409" s="42" t="s">
        <v>3</v>
      </c>
      <c r="F409" s="90">
        <f t="shared" si="23"/>
        <v>2800</v>
      </c>
      <c r="G409" s="42" t="s">
        <v>3</v>
      </c>
      <c r="H409" s="39">
        <v>6</v>
      </c>
      <c r="I409" s="40" t="s">
        <v>40</v>
      </c>
      <c r="J409" s="149">
        <v>110</v>
      </c>
      <c r="K409" s="66">
        <v>400</v>
      </c>
      <c r="L409" s="66">
        <v>2800</v>
      </c>
      <c r="M409" s="156">
        <v>38.983680093819743</v>
      </c>
      <c r="N409" s="78">
        <v>2763.4899038208</v>
      </c>
      <c r="O409" s="113">
        <v>66103.564198016931</v>
      </c>
      <c r="P409" s="111">
        <v>79790.081265178553</v>
      </c>
      <c r="Q409" s="110">
        <v>44426.211885470118</v>
      </c>
      <c r="R409" s="258">
        <v>110529.77608348706</v>
      </c>
      <c r="S409" s="259">
        <v>124216.29315064868</v>
      </c>
      <c r="U409" s="7" t="s">
        <v>2861</v>
      </c>
    </row>
    <row r="410" spans="1:21" ht="16.5" thickBot="1">
      <c r="A410" s="41" t="s">
        <v>31</v>
      </c>
      <c r="B410" s="42">
        <f t="shared" si="21"/>
        <v>110</v>
      </c>
      <c r="C410" s="42" t="s">
        <v>3</v>
      </c>
      <c r="D410" s="42">
        <f t="shared" si="22"/>
        <v>400</v>
      </c>
      <c r="E410" s="42" t="s">
        <v>3</v>
      </c>
      <c r="F410" s="90">
        <f t="shared" si="23"/>
        <v>2850</v>
      </c>
      <c r="G410" s="42" t="s">
        <v>3</v>
      </c>
      <c r="H410" s="39">
        <v>6</v>
      </c>
      <c r="I410" s="40" t="s">
        <v>40</v>
      </c>
      <c r="J410" s="149">
        <v>110</v>
      </c>
      <c r="K410" s="66">
        <v>400</v>
      </c>
      <c r="L410" s="66">
        <v>2850</v>
      </c>
      <c r="M410" s="156">
        <v>39.63759002319658</v>
      </c>
      <c r="N410" s="78">
        <v>2819.8876569600002</v>
      </c>
      <c r="O410" s="113">
        <v>67121.358820920839</v>
      </c>
      <c r="P410" s="111">
        <v>81034.89727474947</v>
      </c>
      <c r="Q410" s="110">
        <v>45082.818835200087</v>
      </c>
      <c r="R410" s="258">
        <v>112204.17765612093</v>
      </c>
      <c r="S410" s="259">
        <v>126117.71610994956</v>
      </c>
      <c r="U410" s="7" t="s">
        <v>2862</v>
      </c>
    </row>
    <row r="411" spans="1:21" ht="16.5" thickBot="1">
      <c r="A411" s="41" t="s">
        <v>31</v>
      </c>
      <c r="B411" s="42">
        <f t="shared" si="21"/>
        <v>110</v>
      </c>
      <c r="C411" s="42" t="s">
        <v>3</v>
      </c>
      <c r="D411" s="42">
        <f t="shared" si="22"/>
        <v>400</v>
      </c>
      <c r="E411" s="42" t="s">
        <v>3</v>
      </c>
      <c r="F411" s="90">
        <f t="shared" si="23"/>
        <v>2900</v>
      </c>
      <c r="G411" s="42" t="s">
        <v>3</v>
      </c>
      <c r="H411" s="39">
        <v>6</v>
      </c>
      <c r="I411" s="40" t="s">
        <v>40</v>
      </c>
      <c r="J411" s="149">
        <v>110</v>
      </c>
      <c r="K411" s="66">
        <v>400</v>
      </c>
      <c r="L411" s="66">
        <v>2900</v>
      </c>
      <c r="M411" s="156">
        <v>40.308539952573419</v>
      </c>
      <c r="N411" s="78">
        <v>2876.2854100991995</v>
      </c>
      <c r="O411" s="113">
        <v>68139.153596853503</v>
      </c>
      <c r="P411" s="111">
        <v>82279.713437349143</v>
      </c>
      <c r="Q411" s="110">
        <v>45990.760075742597</v>
      </c>
      <c r="R411" s="258">
        <v>114129.9136725961</v>
      </c>
      <c r="S411" s="259">
        <v>128270.47351309174</v>
      </c>
      <c r="U411" s="7" t="s">
        <v>2863</v>
      </c>
    </row>
    <row r="412" spans="1:21" ht="16.5" thickBot="1">
      <c r="A412" s="41" t="s">
        <v>31</v>
      </c>
      <c r="B412" s="42">
        <f t="shared" si="21"/>
        <v>110</v>
      </c>
      <c r="C412" s="42" t="s">
        <v>3</v>
      </c>
      <c r="D412" s="42">
        <f t="shared" si="22"/>
        <v>400</v>
      </c>
      <c r="E412" s="42" t="s">
        <v>3</v>
      </c>
      <c r="F412" s="90">
        <f t="shared" si="23"/>
        <v>2950</v>
      </c>
      <c r="G412" s="42" t="s">
        <v>3</v>
      </c>
      <c r="H412" s="39">
        <v>6</v>
      </c>
      <c r="I412" s="40" t="s">
        <v>40</v>
      </c>
      <c r="J412" s="149">
        <v>110</v>
      </c>
      <c r="K412" s="66">
        <v>400</v>
      </c>
      <c r="L412" s="66">
        <v>2950</v>
      </c>
      <c r="M412" s="156">
        <v>40.962449881950263</v>
      </c>
      <c r="N412" s="78">
        <v>2932.6831632384005</v>
      </c>
      <c r="O412" s="113">
        <v>69156.948219757411</v>
      </c>
      <c r="P412" s="111">
        <v>83524.529446920045</v>
      </c>
      <c r="Q412" s="110">
        <v>46647.367025472573</v>
      </c>
      <c r="R412" s="258">
        <v>115804.31524522998</v>
      </c>
      <c r="S412" s="259">
        <v>130171.89647239262</v>
      </c>
      <c r="U412" s="7" t="s">
        <v>2864</v>
      </c>
    </row>
    <row r="413" spans="1:21" ht="16.5" thickBot="1">
      <c r="A413" s="41" t="s">
        <v>31</v>
      </c>
      <c r="B413" s="42">
        <f t="shared" si="21"/>
        <v>110</v>
      </c>
      <c r="C413" s="42" t="s">
        <v>3</v>
      </c>
      <c r="D413" s="42">
        <f t="shared" si="22"/>
        <v>400</v>
      </c>
      <c r="E413" s="42" t="s">
        <v>3</v>
      </c>
      <c r="F413" s="90">
        <f t="shared" si="23"/>
        <v>3000</v>
      </c>
      <c r="G413" s="42" t="s">
        <v>3</v>
      </c>
      <c r="H413" s="39">
        <v>6</v>
      </c>
      <c r="I413" s="40" t="s">
        <v>40</v>
      </c>
      <c r="J413" s="151">
        <v>110</v>
      </c>
      <c r="K413" s="126">
        <v>400</v>
      </c>
      <c r="L413" s="126">
        <v>3000</v>
      </c>
      <c r="M413" s="157">
        <v>41.633399811327102</v>
      </c>
      <c r="N413" s="127">
        <v>2989.0809163775998</v>
      </c>
      <c r="O413" s="128">
        <v>71455.664459075822</v>
      </c>
      <c r="P413" s="135">
        <v>84769.345456490963</v>
      </c>
      <c r="Q413" s="136">
        <v>47555.308266015076</v>
      </c>
      <c r="R413" s="260">
        <v>119010.97272509089</v>
      </c>
      <c r="S413" s="261">
        <v>132324.65372250605</v>
      </c>
      <c r="U413" s="7" t="s">
        <v>2865</v>
      </c>
    </row>
  </sheetData>
  <mergeCells count="24">
    <mergeCell ref="Q4:Q5"/>
    <mergeCell ref="R4:R5"/>
    <mergeCell ref="S4:S5"/>
    <mergeCell ref="O6:S6"/>
    <mergeCell ref="A4:I6"/>
    <mergeCell ref="J4:M5"/>
    <mergeCell ref="N4:N6"/>
    <mergeCell ref="O4:O5"/>
    <mergeCell ref="P4:P5"/>
    <mergeCell ref="A313:S313"/>
    <mergeCell ref="A314:S314"/>
    <mergeCell ref="A364:S364"/>
    <mergeCell ref="A161:S161"/>
    <mergeCell ref="A162:S162"/>
    <mergeCell ref="A212:S212"/>
    <mergeCell ref="A262:S262"/>
    <mergeCell ref="A263:S263"/>
    <mergeCell ref="A110:S110"/>
    <mergeCell ref="A111:S111"/>
    <mergeCell ref="A7:S7"/>
    <mergeCell ref="A8:S8"/>
    <mergeCell ref="A9:S9"/>
    <mergeCell ref="A59:S59"/>
    <mergeCell ref="A60:S60"/>
  </mergeCells>
  <hyperlinks>
    <hyperlink ref="A1:I1" location="Главная!A1" display="Вернуться на главную страницу" xr:uid="{00000000-0004-0000-1500-000000000000}"/>
    <hyperlink ref="A2" location="'Калькулятор теплоотдач ВК'!R1C1" display="Вернуться Калькулятор теплоотдач ВК" xr:uid="{00000000-0004-0000-1500-000001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4">
    <tabColor rgb="FFFFC000"/>
  </sheetPr>
  <dimension ref="A1:U568"/>
  <sheetViews>
    <sheetView zoomScale="70" zoomScaleNormal="70" workbookViewId="0">
      <pane ySplit="6" topLeftCell="A7" activePane="bottomLeft" state="frozen"/>
      <selection pane="bottomLeft"/>
    </sheetView>
  </sheetViews>
  <sheetFormatPr defaultRowHeight="15.75"/>
  <cols>
    <col min="1" max="1" width="3.710937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4.5703125" style="7" customWidth="1"/>
    <col min="10" max="10" width="11.28515625" style="7" customWidth="1"/>
    <col min="11" max="12" width="11.28515625" style="87" customWidth="1"/>
    <col min="13" max="13" width="15.5703125" style="1" customWidth="1"/>
    <col min="14" max="14" width="19.140625" style="7" customWidth="1"/>
    <col min="15" max="15" width="27.7109375" style="112" customWidth="1"/>
    <col min="16" max="16" width="27.7109375" style="106" customWidth="1"/>
    <col min="17" max="17" width="26.28515625" style="107" customWidth="1"/>
    <col min="18" max="18" width="27.7109375" style="112" customWidth="1"/>
    <col min="19" max="19" width="27.7109375" style="107" customWidth="1"/>
    <col min="20" max="20" width="9.140625" style="65"/>
    <col min="21" max="21" width="22.42578125" style="65" customWidth="1"/>
    <col min="22" max="16384" width="9.140625" style="65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0"/>
      <c r="O1" s="107"/>
      <c r="P1" s="107"/>
      <c r="R1" s="107"/>
    </row>
    <row r="2" spans="1:2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M2" s="140"/>
      <c r="O2" s="107"/>
      <c r="P2" s="107"/>
      <c r="R2" s="107"/>
    </row>
    <row r="3" spans="1:2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O3" s="106"/>
      <c r="R3" s="107"/>
    </row>
    <row r="4" spans="1:2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142</v>
      </c>
      <c r="P4" s="3008" t="s">
        <v>138</v>
      </c>
      <c r="Q4" s="3045" t="s">
        <v>143</v>
      </c>
      <c r="R4" s="3020" t="s">
        <v>420</v>
      </c>
      <c r="S4" s="2981" t="s">
        <v>421</v>
      </c>
    </row>
    <row r="5" spans="1:2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ht="22.5" customHeight="1" thickBot="1">
      <c r="A7" s="2968" t="s">
        <v>472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ht="22.5" customHeight="1" thickBot="1">
      <c r="A8" s="2971" t="s">
        <v>62</v>
      </c>
      <c r="B8" s="2972"/>
      <c r="C8" s="2972"/>
      <c r="D8" s="2972"/>
      <c r="E8" s="2972"/>
      <c r="F8" s="2972"/>
      <c r="G8" s="2972"/>
      <c r="H8" s="2972"/>
      <c r="I8" s="2972"/>
      <c r="J8" s="2972"/>
      <c r="K8" s="2972"/>
      <c r="L8" s="2972"/>
      <c r="M8" s="2972"/>
      <c r="N8" s="2972"/>
      <c r="O8" s="2972"/>
      <c r="P8" s="2972"/>
      <c r="Q8" s="2972"/>
      <c r="R8" s="2972"/>
      <c r="S8" s="2973"/>
    </row>
    <row r="9" spans="1:21" ht="16.5" customHeight="1" thickBot="1">
      <c r="A9" s="2974" t="s">
        <v>117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5"/>
      <c r="R9" s="3022"/>
      <c r="S9" s="3023"/>
    </row>
    <row r="10" spans="1:21" ht="16.5" customHeight="1" thickBot="1">
      <c r="A10" s="38" t="s">
        <v>31</v>
      </c>
      <c r="B10" s="39">
        <f>J10</f>
        <v>140</v>
      </c>
      <c r="C10" s="39" t="s">
        <v>3</v>
      </c>
      <c r="D10" s="39">
        <f>K10</f>
        <v>160</v>
      </c>
      <c r="E10" s="39" t="s">
        <v>3</v>
      </c>
      <c r="F10" s="101">
        <f>L10</f>
        <v>600</v>
      </c>
      <c r="G10" s="39" t="s">
        <v>3</v>
      </c>
      <c r="H10" s="39">
        <v>4</v>
      </c>
      <c r="I10" s="40" t="s">
        <v>41</v>
      </c>
      <c r="J10" s="146">
        <v>140</v>
      </c>
      <c r="K10" s="138">
        <v>160</v>
      </c>
      <c r="L10" s="138">
        <v>600</v>
      </c>
      <c r="M10" s="163">
        <v>5.8878514580763159</v>
      </c>
      <c r="N10" s="123">
        <v>162.95665499999998</v>
      </c>
      <c r="O10" s="148">
        <v>13834.124329195773</v>
      </c>
      <c r="P10" s="148">
        <v>16330.960177455854</v>
      </c>
      <c r="Q10" s="253">
        <v>6395.7962266903232</v>
      </c>
      <c r="R10" s="256">
        <v>20229.920555886096</v>
      </c>
      <c r="S10" s="257">
        <v>22726.756404146177</v>
      </c>
      <c r="U10" s="7" t="s">
        <v>2866</v>
      </c>
    </row>
    <row r="11" spans="1:21" ht="16.5" customHeight="1" thickBot="1">
      <c r="A11" s="41" t="s">
        <v>31</v>
      </c>
      <c r="B11" s="42">
        <f t="shared" ref="B11:B58" si="0">J11</f>
        <v>140</v>
      </c>
      <c r="C11" s="42" t="s">
        <v>3</v>
      </c>
      <c r="D11" s="42">
        <f t="shared" ref="D11:D58" si="1">K11</f>
        <v>160</v>
      </c>
      <c r="E11" s="42" t="s">
        <v>3</v>
      </c>
      <c r="F11" s="101">
        <f t="shared" ref="F11:F58" si="2">L11</f>
        <v>650</v>
      </c>
      <c r="G11" s="42" t="s">
        <v>3</v>
      </c>
      <c r="H11" s="39">
        <v>4</v>
      </c>
      <c r="I11" s="40" t="s">
        <v>41</v>
      </c>
      <c r="J11" s="149">
        <v>140</v>
      </c>
      <c r="K11" s="104">
        <v>160</v>
      </c>
      <c r="L11" s="104">
        <v>650</v>
      </c>
      <c r="M11" s="164">
        <v>6.3300060010994734</v>
      </c>
      <c r="N11" s="78">
        <v>195.54798599999998</v>
      </c>
      <c r="O11" s="111">
        <v>14522.542898619929</v>
      </c>
      <c r="P11" s="111">
        <v>17201.872741643532</v>
      </c>
      <c r="Q11" s="254">
        <v>6733.286477412059</v>
      </c>
      <c r="R11" s="258">
        <v>21255.829376031987</v>
      </c>
      <c r="S11" s="259">
        <v>23935.159219055589</v>
      </c>
      <c r="U11" s="7" t="s">
        <v>2867</v>
      </c>
    </row>
    <row r="12" spans="1:21" ht="16.5" customHeight="1" thickBot="1">
      <c r="A12" s="41" t="s">
        <v>31</v>
      </c>
      <c r="B12" s="42">
        <f t="shared" si="0"/>
        <v>140</v>
      </c>
      <c r="C12" s="42" t="s">
        <v>3</v>
      </c>
      <c r="D12" s="42">
        <f t="shared" si="1"/>
        <v>160</v>
      </c>
      <c r="E12" s="42" t="s">
        <v>3</v>
      </c>
      <c r="F12" s="101">
        <f t="shared" si="2"/>
        <v>700</v>
      </c>
      <c r="G12" s="42" t="s">
        <v>3</v>
      </c>
      <c r="H12" s="39">
        <v>4</v>
      </c>
      <c r="I12" s="40" t="s">
        <v>41</v>
      </c>
      <c r="J12" s="149">
        <v>140</v>
      </c>
      <c r="K12" s="104">
        <v>160</v>
      </c>
      <c r="L12" s="104">
        <v>700</v>
      </c>
      <c r="M12" s="164">
        <v>6.7892005441226324</v>
      </c>
      <c r="N12" s="78">
        <v>228.13931699999995</v>
      </c>
      <c r="O12" s="111">
        <v>15210.961621072853</v>
      </c>
      <c r="P12" s="111">
        <v>18072.785152802451</v>
      </c>
      <c r="Q12" s="254">
        <v>7322.1107128887988</v>
      </c>
      <c r="R12" s="258">
        <v>22533.072333961652</v>
      </c>
      <c r="S12" s="259">
        <v>25394.895865691251</v>
      </c>
      <c r="U12" s="7" t="s">
        <v>2868</v>
      </c>
    </row>
    <row r="13" spans="1:21" ht="16.5" customHeight="1" thickBot="1">
      <c r="A13" s="41" t="s">
        <v>31</v>
      </c>
      <c r="B13" s="42">
        <f t="shared" si="0"/>
        <v>140</v>
      </c>
      <c r="C13" s="42" t="s">
        <v>3</v>
      </c>
      <c r="D13" s="42">
        <f t="shared" si="1"/>
        <v>160</v>
      </c>
      <c r="E13" s="42" t="s">
        <v>3</v>
      </c>
      <c r="F13" s="101">
        <f t="shared" si="2"/>
        <v>750</v>
      </c>
      <c r="G13" s="42" t="s">
        <v>3</v>
      </c>
      <c r="H13" s="39">
        <v>4</v>
      </c>
      <c r="I13" s="40" t="s">
        <v>41</v>
      </c>
      <c r="J13" s="149">
        <v>140</v>
      </c>
      <c r="K13" s="104">
        <v>160</v>
      </c>
      <c r="L13" s="104">
        <v>750</v>
      </c>
      <c r="M13" s="164">
        <v>7.2313550871457899</v>
      </c>
      <c r="N13" s="78">
        <v>260.73064799999997</v>
      </c>
      <c r="O13" s="111">
        <v>15899.380190497011</v>
      </c>
      <c r="P13" s="111">
        <v>18943.697563961367</v>
      </c>
      <c r="Q13" s="254">
        <v>7659.6009636105346</v>
      </c>
      <c r="R13" s="258">
        <v>23558.981154107547</v>
      </c>
      <c r="S13" s="259">
        <v>26603.2985275719</v>
      </c>
      <c r="U13" s="7" t="s">
        <v>2869</v>
      </c>
    </row>
    <row r="14" spans="1:21" ht="16.5" customHeight="1" thickBot="1">
      <c r="A14" s="41" t="s">
        <v>31</v>
      </c>
      <c r="B14" s="42">
        <f t="shared" si="0"/>
        <v>140</v>
      </c>
      <c r="C14" s="42" t="s">
        <v>3</v>
      </c>
      <c r="D14" s="42">
        <f t="shared" si="1"/>
        <v>160</v>
      </c>
      <c r="E14" s="42" t="s">
        <v>3</v>
      </c>
      <c r="F14" s="101">
        <f t="shared" si="2"/>
        <v>800</v>
      </c>
      <c r="G14" s="42" t="s">
        <v>3</v>
      </c>
      <c r="H14" s="39">
        <v>4</v>
      </c>
      <c r="I14" s="40" t="s">
        <v>41</v>
      </c>
      <c r="J14" s="149">
        <v>140</v>
      </c>
      <c r="K14" s="104">
        <v>160</v>
      </c>
      <c r="L14" s="104">
        <v>800</v>
      </c>
      <c r="M14" s="164">
        <v>7.6735096301689474</v>
      </c>
      <c r="N14" s="78">
        <v>293.321979</v>
      </c>
      <c r="O14" s="111">
        <v>16587.798912949936</v>
      </c>
      <c r="P14" s="111">
        <v>19814.610128149048</v>
      </c>
      <c r="Q14" s="254">
        <v>7997.0912143322694</v>
      </c>
      <c r="R14" s="258">
        <v>24584.890127282204</v>
      </c>
      <c r="S14" s="259">
        <v>27811.701342481319</v>
      </c>
      <c r="U14" s="7" t="s">
        <v>2870</v>
      </c>
    </row>
    <row r="15" spans="1:21" ht="16.5" customHeight="1" thickBot="1">
      <c r="A15" s="41" t="s">
        <v>31</v>
      </c>
      <c r="B15" s="42">
        <f t="shared" si="0"/>
        <v>140</v>
      </c>
      <c r="C15" s="42" t="s">
        <v>3</v>
      </c>
      <c r="D15" s="42">
        <f t="shared" si="1"/>
        <v>160</v>
      </c>
      <c r="E15" s="42" t="s">
        <v>3</v>
      </c>
      <c r="F15" s="101">
        <f t="shared" si="2"/>
        <v>850</v>
      </c>
      <c r="G15" s="42" t="s">
        <v>3</v>
      </c>
      <c r="H15" s="39">
        <v>4</v>
      </c>
      <c r="I15" s="40" t="s">
        <v>41</v>
      </c>
      <c r="J15" s="149">
        <v>140</v>
      </c>
      <c r="K15" s="104">
        <v>160</v>
      </c>
      <c r="L15" s="104">
        <v>850</v>
      </c>
      <c r="M15" s="164">
        <v>8.1327041731921064</v>
      </c>
      <c r="N15" s="78">
        <v>325.91330999999997</v>
      </c>
      <c r="O15" s="111">
        <v>17276.217635402856</v>
      </c>
      <c r="P15" s="111">
        <v>20685.522539307964</v>
      </c>
      <c r="Q15" s="254">
        <v>8585.9156028377747</v>
      </c>
      <c r="R15" s="258">
        <v>25862.133238240633</v>
      </c>
      <c r="S15" s="259">
        <v>29271.438142145736</v>
      </c>
      <c r="U15" s="7" t="s">
        <v>2871</v>
      </c>
    </row>
    <row r="16" spans="1:21" ht="16.5" customHeight="1" thickBot="1">
      <c r="A16" s="41" t="s">
        <v>31</v>
      </c>
      <c r="B16" s="42">
        <f t="shared" si="0"/>
        <v>140</v>
      </c>
      <c r="C16" s="42" t="s">
        <v>3</v>
      </c>
      <c r="D16" s="42">
        <f t="shared" si="1"/>
        <v>160</v>
      </c>
      <c r="E16" s="42" t="s">
        <v>3</v>
      </c>
      <c r="F16" s="101">
        <f t="shared" si="2"/>
        <v>900</v>
      </c>
      <c r="G16" s="42" t="s">
        <v>3</v>
      </c>
      <c r="H16" s="39">
        <v>4</v>
      </c>
      <c r="I16" s="40" t="s">
        <v>41</v>
      </c>
      <c r="J16" s="149">
        <v>140</v>
      </c>
      <c r="K16" s="104">
        <v>160</v>
      </c>
      <c r="L16" s="104">
        <v>900</v>
      </c>
      <c r="M16" s="164">
        <v>8.5748587162152621</v>
      </c>
      <c r="N16" s="78">
        <v>358.50464099999999</v>
      </c>
      <c r="O16" s="111">
        <v>17964.636204827017</v>
      </c>
      <c r="P16" s="111">
        <v>21556.435103495645</v>
      </c>
      <c r="Q16" s="254">
        <v>8923.4057005307459</v>
      </c>
      <c r="R16" s="258">
        <v>26888.041905357764</v>
      </c>
      <c r="S16" s="259">
        <v>30479.840804026389</v>
      </c>
      <c r="U16" s="7" t="s">
        <v>2872</v>
      </c>
    </row>
    <row r="17" spans="1:21" ht="16.5" customHeight="1" thickBot="1">
      <c r="A17" s="41" t="s">
        <v>31</v>
      </c>
      <c r="B17" s="42">
        <f t="shared" si="0"/>
        <v>140</v>
      </c>
      <c r="C17" s="42" t="s">
        <v>3</v>
      </c>
      <c r="D17" s="42">
        <f t="shared" si="1"/>
        <v>160</v>
      </c>
      <c r="E17" s="42" t="s">
        <v>3</v>
      </c>
      <c r="F17" s="101">
        <f t="shared" si="2"/>
        <v>950</v>
      </c>
      <c r="G17" s="42" t="s">
        <v>3</v>
      </c>
      <c r="H17" s="39">
        <v>4</v>
      </c>
      <c r="I17" s="40" t="s">
        <v>41</v>
      </c>
      <c r="J17" s="149">
        <v>140</v>
      </c>
      <c r="K17" s="104">
        <v>160</v>
      </c>
      <c r="L17" s="104">
        <v>950</v>
      </c>
      <c r="M17" s="164">
        <v>9.0340532592384193</v>
      </c>
      <c r="N17" s="78">
        <v>391.09597199999996</v>
      </c>
      <c r="O17" s="111">
        <v>18653.054927279936</v>
      </c>
      <c r="P17" s="111">
        <v>22427.347514654561</v>
      </c>
      <c r="Q17" s="254">
        <v>9512.2300890362512</v>
      </c>
      <c r="R17" s="258">
        <v>28165.285016316186</v>
      </c>
      <c r="S17" s="259">
        <v>31939.577603690814</v>
      </c>
      <c r="U17" s="7" t="s">
        <v>2873</v>
      </c>
    </row>
    <row r="18" spans="1:21" ht="16.5" customHeight="1" thickBot="1">
      <c r="A18" s="41" t="s">
        <v>31</v>
      </c>
      <c r="B18" s="42">
        <f t="shared" si="0"/>
        <v>140</v>
      </c>
      <c r="C18" s="42" t="s">
        <v>3</v>
      </c>
      <c r="D18" s="42">
        <f t="shared" si="1"/>
        <v>160</v>
      </c>
      <c r="E18" s="42" t="s">
        <v>3</v>
      </c>
      <c r="F18" s="101">
        <f t="shared" si="2"/>
        <v>1000</v>
      </c>
      <c r="G18" s="42" t="s">
        <v>3</v>
      </c>
      <c r="H18" s="39">
        <v>4</v>
      </c>
      <c r="I18" s="40" t="s">
        <v>41</v>
      </c>
      <c r="J18" s="149">
        <v>140</v>
      </c>
      <c r="K18" s="104">
        <v>160</v>
      </c>
      <c r="L18" s="104">
        <v>1000</v>
      </c>
      <c r="M18" s="164">
        <v>9.4762078022615803</v>
      </c>
      <c r="N18" s="78">
        <v>423.68730299999999</v>
      </c>
      <c r="O18" s="111">
        <v>19341.473496704097</v>
      </c>
      <c r="P18" s="111">
        <v>23298.260078842242</v>
      </c>
      <c r="Q18" s="254">
        <v>9849.7203397579869</v>
      </c>
      <c r="R18" s="258">
        <v>29191.193836462084</v>
      </c>
      <c r="S18" s="259">
        <v>33147.980418600229</v>
      </c>
      <c r="U18" s="7" t="s">
        <v>2874</v>
      </c>
    </row>
    <row r="19" spans="1:21" ht="16.5" customHeight="1" thickBot="1">
      <c r="A19" s="41" t="s">
        <v>31</v>
      </c>
      <c r="B19" s="42">
        <f t="shared" si="0"/>
        <v>140</v>
      </c>
      <c r="C19" s="42" t="s">
        <v>3</v>
      </c>
      <c r="D19" s="42">
        <f t="shared" si="1"/>
        <v>160</v>
      </c>
      <c r="E19" s="42" t="s">
        <v>3</v>
      </c>
      <c r="F19" s="101">
        <f t="shared" si="2"/>
        <v>1050</v>
      </c>
      <c r="G19" s="42" t="s">
        <v>3</v>
      </c>
      <c r="H19" s="39">
        <v>4</v>
      </c>
      <c r="I19" s="40" t="s">
        <v>41</v>
      </c>
      <c r="J19" s="149">
        <v>140</v>
      </c>
      <c r="K19" s="104">
        <v>160</v>
      </c>
      <c r="L19" s="104">
        <v>1050</v>
      </c>
      <c r="M19" s="164">
        <v>9.9354023452847393</v>
      </c>
      <c r="N19" s="78">
        <v>456.2786339999999</v>
      </c>
      <c r="O19" s="111">
        <v>20029.89221915702</v>
      </c>
      <c r="P19" s="111">
        <v>24169.172490001161</v>
      </c>
      <c r="Q19" s="254">
        <v>10438.544728263492</v>
      </c>
      <c r="R19" s="258">
        <v>30468.436947420512</v>
      </c>
      <c r="S19" s="259">
        <v>34607.717218264654</v>
      </c>
      <c r="U19" s="7" t="s">
        <v>2875</v>
      </c>
    </row>
    <row r="20" spans="1:21" ht="16.5" customHeight="1" thickBot="1">
      <c r="A20" s="38" t="s">
        <v>31</v>
      </c>
      <c r="B20" s="39">
        <f t="shared" si="0"/>
        <v>140</v>
      </c>
      <c r="C20" s="39" t="s">
        <v>3</v>
      </c>
      <c r="D20" s="39">
        <f t="shared" si="1"/>
        <v>160</v>
      </c>
      <c r="E20" s="39" t="s">
        <v>3</v>
      </c>
      <c r="F20" s="101">
        <f t="shared" si="2"/>
        <v>1100</v>
      </c>
      <c r="G20" s="39" t="s">
        <v>3</v>
      </c>
      <c r="H20" s="39">
        <v>4</v>
      </c>
      <c r="I20" s="40" t="s">
        <v>41</v>
      </c>
      <c r="J20" s="149">
        <v>140</v>
      </c>
      <c r="K20" s="104">
        <v>160</v>
      </c>
      <c r="L20" s="104">
        <v>1100</v>
      </c>
      <c r="M20" s="164">
        <v>10.377556888307893</v>
      </c>
      <c r="N20" s="78">
        <v>488.86996499999998</v>
      </c>
      <c r="O20" s="111">
        <v>20718.310941609943</v>
      </c>
      <c r="P20" s="111">
        <v>25040.085054188839</v>
      </c>
      <c r="Q20" s="254">
        <v>10776.034825956463</v>
      </c>
      <c r="R20" s="258">
        <v>31494.345767566407</v>
      </c>
      <c r="S20" s="259">
        <v>35816.119880145299</v>
      </c>
      <c r="U20" s="7" t="s">
        <v>2876</v>
      </c>
    </row>
    <row r="21" spans="1:21" ht="16.5" customHeight="1" thickBot="1">
      <c r="A21" s="41" t="s">
        <v>31</v>
      </c>
      <c r="B21" s="42">
        <f t="shared" si="0"/>
        <v>140</v>
      </c>
      <c r="C21" s="42" t="s">
        <v>3</v>
      </c>
      <c r="D21" s="42">
        <f t="shared" si="1"/>
        <v>160</v>
      </c>
      <c r="E21" s="42" t="s">
        <v>3</v>
      </c>
      <c r="F21" s="101">
        <f t="shared" si="2"/>
        <v>1150</v>
      </c>
      <c r="G21" s="42" t="s">
        <v>3</v>
      </c>
      <c r="H21" s="39">
        <v>4</v>
      </c>
      <c r="I21" s="40" t="s">
        <v>41</v>
      </c>
      <c r="J21" s="149">
        <v>140</v>
      </c>
      <c r="K21" s="104">
        <v>160</v>
      </c>
      <c r="L21" s="104">
        <v>1150</v>
      </c>
      <c r="M21" s="164">
        <v>10.819711431331058</v>
      </c>
      <c r="N21" s="78">
        <v>521.46129599999995</v>
      </c>
      <c r="O21" s="111">
        <v>21406.7295110341</v>
      </c>
      <c r="P21" s="111">
        <v>25910.997465347758</v>
      </c>
      <c r="Q21" s="254">
        <v>11113.525076678199</v>
      </c>
      <c r="R21" s="258">
        <v>32520.254587712298</v>
      </c>
      <c r="S21" s="259">
        <v>37024.522542025959</v>
      </c>
      <c r="U21" s="7" t="s">
        <v>2877</v>
      </c>
    </row>
    <row r="22" spans="1:21" ht="16.5" customHeight="1" thickBot="1">
      <c r="A22" s="41" t="s">
        <v>31</v>
      </c>
      <c r="B22" s="42">
        <f t="shared" si="0"/>
        <v>140</v>
      </c>
      <c r="C22" s="42" t="s">
        <v>3</v>
      </c>
      <c r="D22" s="42">
        <f t="shared" si="1"/>
        <v>160</v>
      </c>
      <c r="E22" s="42" t="s">
        <v>3</v>
      </c>
      <c r="F22" s="101">
        <f t="shared" si="2"/>
        <v>1200</v>
      </c>
      <c r="G22" s="42" t="s">
        <v>3</v>
      </c>
      <c r="H22" s="39">
        <v>4</v>
      </c>
      <c r="I22" s="40" t="s">
        <v>41</v>
      </c>
      <c r="J22" s="149">
        <v>140</v>
      </c>
      <c r="K22" s="104">
        <v>160</v>
      </c>
      <c r="L22" s="104">
        <v>1200</v>
      </c>
      <c r="M22" s="164">
        <v>11.357405974354212</v>
      </c>
      <c r="N22" s="78">
        <v>554.05262699999992</v>
      </c>
      <c r="O22" s="111">
        <v>22174.820211589111</v>
      </c>
      <c r="P22" s="111">
        <v>26866.521623146997</v>
      </c>
      <c r="Q22" s="254">
        <v>11702.349465183703</v>
      </c>
      <c r="R22" s="258">
        <v>33877.169676772814</v>
      </c>
      <c r="S22" s="259">
        <v>38568.871088330699</v>
      </c>
      <c r="U22" s="7" t="s">
        <v>2878</v>
      </c>
    </row>
    <row r="23" spans="1:21" ht="16.5" customHeight="1" thickBot="1">
      <c r="A23" s="41" t="s">
        <v>31</v>
      </c>
      <c r="B23" s="42">
        <f t="shared" si="0"/>
        <v>140</v>
      </c>
      <c r="C23" s="42" t="s">
        <v>3</v>
      </c>
      <c r="D23" s="42">
        <f t="shared" si="1"/>
        <v>160</v>
      </c>
      <c r="E23" s="42" t="s">
        <v>3</v>
      </c>
      <c r="F23" s="101">
        <f t="shared" si="2"/>
        <v>1250</v>
      </c>
      <c r="G23" s="42" t="s">
        <v>3</v>
      </c>
      <c r="H23" s="39">
        <v>4</v>
      </c>
      <c r="I23" s="40" t="s">
        <v>41</v>
      </c>
      <c r="J23" s="149">
        <v>140</v>
      </c>
      <c r="K23" s="104">
        <v>160</v>
      </c>
      <c r="L23" s="104">
        <v>1250</v>
      </c>
      <c r="M23" s="164">
        <v>11.799560517377365</v>
      </c>
      <c r="N23" s="78">
        <v>586.643958</v>
      </c>
      <c r="O23" s="111">
        <v>22863.238934042038</v>
      </c>
      <c r="P23" s="111">
        <v>27737.434187334678</v>
      </c>
      <c r="Q23" s="254">
        <v>12039.83971590544</v>
      </c>
      <c r="R23" s="258">
        <v>34903.078649947478</v>
      </c>
      <c r="S23" s="259">
        <v>39777.273903240115</v>
      </c>
      <c r="U23" s="7" t="s">
        <v>2879</v>
      </c>
    </row>
    <row r="24" spans="1:21" ht="16.5" customHeight="1" thickBot="1">
      <c r="A24" s="41" t="s">
        <v>31</v>
      </c>
      <c r="B24" s="42">
        <f t="shared" si="0"/>
        <v>140</v>
      </c>
      <c r="C24" s="42" t="s">
        <v>3</v>
      </c>
      <c r="D24" s="42">
        <f t="shared" si="1"/>
        <v>160</v>
      </c>
      <c r="E24" s="42" t="s">
        <v>3</v>
      </c>
      <c r="F24" s="101">
        <f t="shared" si="2"/>
        <v>1300</v>
      </c>
      <c r="G24" s="42" t="s">
        <v>3</v>
      </c>
      <c r="H24" s="39">
        <v>4</v>
      </c>
      <c r="I24" s="40" t="s">
        <v>41</v>
      </c>
      <c r="J24" s="149">
        <v>140</v>
      </c>
      <c r="K24" s="104">
        <v>160</v>
      </c>
      <c r="L24" s="104">
        <v>1300</v>
      </c>
      <c r="M24" s="164">
        <v>12.258755060400521</v>
      </c>
      <c r="N24" s="78">
        <v>619.23528899999985</v>
      </c>
      <c r="O24" s="111">
        <v>23551.657656494957</v>
      </c>
      <c r="P24" s="111">
        <v>28608.346598493594</v>
      </c>
      <c r="Q24" s="254">
        <v>12628.663951382177</v>
      </c>
      <c r="R24" s="258">
        <v>36180.321607877137</v>
      </c>
      <c r="S24" s="259">
        <v>41237.010549875769</v>
      </c>
      <c r="U24" s="7" t="s">
        <v>2880</v>
      </c>
    </row>
    <row r="25" spans="1:21" ht="16.5" customHeight="1" thickBot="1">
      <c r="A25" s="41" t="s">
        <v>31</v>
      </c>
      <c r="B25" s="42">
        <f t="shared" si="0"/>
        <v>140</v>
      </c>
      <c r="C25" s="42" t="s">
        <v>3</v>
      </c>
      <c r="D25" s="42">
        <f t="shared" si="1"/>
        <v>160</v>
      </c>
      <c r="E25" s="42" t="s">
        <v>3</v>
      </c>
      <c r="F25" s="101">
        <f t="shared" si="2"/>
        <v>1350</v>
      </c>
      <c r="G25" s="42" t="s">
        <v>3</v>
      </c>
      <c r="H25" s="39">
        <v>4</v>
      </c>
      <c r="I25" s="40" t="s">
        <v>41</v>
      </c>
      <c r="J25" s="149">
        <v>140</v>
      </c>
      <c r="K25" s="104">
        <v>160</v>
      </c>
      <c r="L25" s="104">
        <v>1350</v>
      </c>
      <c r="M25" s="164">
        <v>12.700909603423684</v>
      </c>
      <c r="N25" s="78">
        <v>651.82661999999993</v>
      </c>
      <c r="O25" s="111">
        <v>24240.076225919118</v>
      </c>
      <c r="P25" s="111">
        <v>29479.259009652513</v>
      </c>
      <c r="Q25" s="254">
        <v>12966.154202103913</v>
      </c>
      <c r="R25" s="258">
        <v>37206.230428023031</v>
      </c>
      <c r="S25" s="259">
        <v>42445.41321175643</v>
      </c>
      <c r="U25" s="7" t="s">
        <v>2881</v>
      </c>
    </row>
    <row r="26" spans="1:21" ht="16.5" customHeight="1" thickBot="1">
      <c r="A26" s="41" t="s">
        <v>31</v>
      </c>
      <c r="B26" s="42">
        <f t="shared" si="0"/>
        <v>140</v>
      </c>
      <c r="C26" s="42" t="s">
        <v>3</v>
      </c>
      <c r="D26" s="42">
        <f t="shared" si="1"/>
        <v>160</v>
      </c>
      <c r="E26" s="42" t="s">
        <v>3</v>
      </c>
      <c r="F26" s="101">
        <f t="shared" si="2"/>
        <v>1400</v>
      </c>
      <c r="G26" s="42" t="s">
        <v>3</v>
      </c>
      <c r="H26" s="39">
        <v>4</v>
      </c>
      <c r="I26" s="40" t="s">
        <v>41</v>
      </c>
      <c r="J26" s="149">
        <v>140</v>
      </c>
      <c r="K26" s="104">
        <v>160</v>
      </c>
      <c r="L26" s="104">
        <v>1400</v>
      </c>
      <c r="M26" s="164">
        <v>13.160104146446844</v>
      </c>
      <c r="N26" s="78">
        <v>684.41795100000002</v>
      </c>
      <c r="O26" s="111">
        <v>24928.494948372037</v>
      </c>
      <c r="P26" s="111">
        <v>30350.171573840194</v>
      </c>
      <c r="Q26" s="254">
        <v>13554.97859060942</v>
      </c>
      <c r="R26" s="258">
        <v>38483.47353898146</v>
      </c>
      <c r="S26" s="259">
        <v>43905.150164449617</v>
      </c>
      <c r="U26" s="7" t="s">
        <v>2882</v>
      </c>
    </row>
    <row r="27" spans="1:21" ht="16.5" customHeight="1" thickBot="1">
      <c r="A27" s="41" t="s">
        <v>31</v>
      </c>
      <c r="B27" s="42">
        <f t="shared" si="0"/>
        <v>140</v>
      </c>
      <c r="C27" s="42" t="s">
        <v>3</v>
      </c>
      <c r="D27" s="42">
        <f t="shared" si="1"/>
        <v>160</v>
      </c>
      <c r="E27" s="42" t="s">
        <v>3</v>
      </c>
      <c r="F27" s="101">
        <f t="shared" si="2"/>
        <v>1450</v>
      </c>
      <c r="G27" s="42" t="s">
        <v>3</v>
      </c>
      <c r="H27" s="39">
        <v>4</v>
      </c>
      <c r="I27" s="40" t="s">
        <v>41</v>
      </c>
      <c r="J27" s="149">
        <v>140</v>
      </c>
      <c r="K27" s="104">
        <v>160</v>
      </c>
      <c r="L27" s="104">
        <v>1450</v>
      </c>
      <c r="M27" s="164">
        <v>13.602258689470002</v>
      </c>
      <c r="N27" s="78">
        <v>717.00928199999998</v>
      </c>
      <c r="O27" s="111">
        <v>25616.913517796194</v>
      </c>
      <c r="P27" s="111">
        <v>31221.08398499911</v>
      </c>
      <c r="Q27" s="254">
        <v>13892.468841331156</v>
      </c>
      <c r="R27" s="258">
        <v>39509.382359127354</v>
      </c>
      <c r="S27" s="259">
        <v>45113.552826330269</v>
      </c>
      <c r="U27" s="7" t="s">
        <v>2883</v>
      </c>
    </row>
    <row r="28" spans="1:21" ht="16.5" customHeight="1" thickBot="1">
      <c r="A28" s="41" t="s">
        <v>31</v>
      </c>
      <c r="B28" s="42">
        <f t="shared" si="0"/>
        <v>140</v>
      </c>
      <c r="C28" s="42" t="s">
        <v>3</v>
      </c>
      <c r="D28" s="42">
        <f t="shared" si="1"/>
        <v>160</v>
      </c>
      <c r="E28" s="42" t="s">
        <v>3</v>
      </c>
      <c r="F28" s="101">
        <f t="shared" si="2"/>
        <v>1500</v>
      </c>
      <c r="G28" s="42" t="s">
        <v>3</v>
      </c>
      <c r="H28" s="39">
        <v>4</v>
      </c>
      <c r="I28" s="40" t="s">
        <v>41</v>
      </c>
      <c r="J28" s="149">
        <v>140</v>
      </c>
      <c r="K28" s="104">
        <v>160</v>
      </c>
      <c r="L28" s="104">
        <v>1500</v>
      </c>
      <c r="M28" s="164">
        <v>14.136153783253157</v>
      </c>
      <c r="N28" s="78">
        <v>749.60061299999984</v>
      </c>
      <c r="O28" s="111">
        <v>26852.012965925496</v>
      </c>
      <c r="P28" s="111">
        <v>32572.457290359391</v>
      </c>
      <c r="Q28" s="254">
        <v>14481.293076807897</v>
      </c>
      <c r="R28" s="258">
        <v>41333.306042733391</v>
      </c>
      <c r="S28" s="259">
        <v>47053.750367167289</v>
      </c>
      <c r="U28" s="7" t="s">
        <v>2884</v>
      </c>
    </row>
    <row r="29" spans="1:21" ht="16.5" customHeight="1" thickBot="1">
      <c r="A29" s="41" t="s">
        <v>31</v>
      </c>
      <c r="B29" s="42">
        <f t="shared" si="0"/>
        <v>140</v>
      </c>
      <c r="C29" s="42" t="s">
        <v>3</v>
      </c>
      <c r="D29" s="42">
        <f t="shared" si="1"/>
        <v>160</v>
      </c>
      <c r="E29" s="42" t="s">
        <v>3</v>
      </c>
      <c r="F29" s="101">
        <f t="shared" si="2"/>
        <v>1550</v>
      </c>
      <c r="G29" s="42" t="s">
        <v>3</v>
      </c>
      <c r="H29" s="39">
        <v>4</v>
      </c>
      <c r="I29" s="40" t="s">
        <v>41</v>
      </c>
      <c r="J29" s="149">
        <v>140</v>
      </c>
      <c r="K29" s="104">
        <v>160</v>
      </c>
      <c r="L29" s="104">
        <v>1550</v>
      </c>
      <c r="M29" s="164">
        <v>14.578308326276314</v>
      </c>
      <c r="N29" s="78">
        <v>782.19194399999992</v>
      </c>
      <c r="O29" s="111">
        <v>27540.431688378419</v>
      </c>
      <c r="P29" s="111">
        <v>33443.369701518306</v>
      </c>
      <c r="Q29" s="254">
        <v>14818.783327529631</v>
      </c>
      <c r="R29" s="258">
        <v>42359.215015908048</v>
      </c>
      <c r="S29" s="259">
        <v>48262.153029047935</v>
      </c>
      <c r="U29" s="7" t="s">
        <v>2885</v>
      </c>
    </row>
    <row r="30" spans="1:21" ht="16.5" customHeight="1" thickBot="1">
      <c r="A30" s="38" t="s">
        <v>31</v>
      </c>
      <c r="B30" s="39">
        <f t="shared" si="0"/>
        <v>140</v>
      </c>
      <c r="C30" s="39" t="s">
        <v>3</v>
      </c>
      <c r="D30" s="39">
        <f t="shared" si="1"/>
        <v>160</v>
      </c>
      <c r="E30" s="39" t="s">
        <v>3</v>
      </c>
      <c r="F30" s="101">
        <f t="shared" si="2"/>
        <v>1600</v>
      </c>
      <c r="G30" s="39" t="s">
        <v>3</v>
      </c>
      <c r="H30" s="39">
        <v>4</v>
      </c>
      <c r="I30" s="40" t="s">
        <v>41</v>
      </c>
      <c r="J30" s="149">
        <v>140</v>
      </c>
      <c r="K30" s="104">
        <v>160</v>
      </c>
      <c r="L30" s="104">
        <v>1600</v>
      </c>
      <c r="M30" s="164">
        <v>15.020462869299473</v>
      </c>
      <c r="N30" s="78">
        <v>814.78327499999989</v>
      </c>
      <c r="O30" s="111">
        <v>28228.850257802576</v>
      </c>
      <c r="P30" s="111">
        <v>34314.282265705988</v>
      </c>
      <c r="Q30" s="254">
        <v>15156.273578251366</v>
      </c>
      <c r="R30" s="258">
        <v>43385.123836053943</v>
      </c>
      <c r="S30" s="259">
        <v>49470.555843957351</v>
      </c>
      <c r="U30" s="7" t="s">
        <v>2886</v>
      </c>
    </row>
    <row r="31" spans="1:21" ht="16.5" customHeight="1" thickBot="1">
      <c r="A31" s="41" t="s">
        <v>31</v>
      </c>
      <c r="B31" s="42">
        <f t="shared" si="0"/>
        <v>140</v>
      </c>
      <c r="C31" s="42" t="s">
        <v>3</v>
      </c>
      <c r="D31" s="42">
        <f t="shared" si="1"/>
        <v>160</v>
      </c>
      <c r="E31" s="42" t="s">
        <v>3</v>
      </c>
      <c r="F31" s="101">
        <f t="shared" si="2"/>
        <v>1650</v>
      </c>
      <c r="G31" s="42" t="s">
        <v>3</v>
      </c>
      <c r="H31" s="39">
        <v>4</v>
      </c>
      <c r="I31" s="40" t="s">
        <v>41</v>
      </c>
      <c r="J31" s="149">
        <v>140</v>
      </c>
      <c r="K31" s="104">
        <v>160</v>
      </c>
      <c r="L31" s="104">
        <v>1650</v>
      </c>
      <c r="M31" s="164">
        <v>15.479657412322638</v>
      </c>
      <c r="N31" s="78">
        <v>847.37460599999997</v>
      </c>
      <c r="O31" s="111">
        <v>28917.2689802555</v>
      </c>
      <c r="P31" s="111">
        <v>35185.1946768649</v>
      </c>
      <c r="Q31" s="254">
        <v>15745.097966756874</v>
      </c>
      <c r="R31" s="258">
        <v>44662.366947012371</v>
      </c>
      <c r="S31" s="259">
        <v>50930.292643621775</v>
      </c>
      <c r="U31" s="7" t="s">
        <v>2887</v>
      </c>
    </row>
    <row r="32" spans="1:21" ht="16.5" customHeight="1" thickBot="1">
      <c r="A32" s="41" t="s">
        <v>31</v>
      </c>
      <c r="B32" s="42">
        <f t="shared" si="0"/>
        <v>140</v>
      </c>
      <c r="C32" s="42" t="s">
        <v>3</v>
      </c>
      <c r="D32" s="42">
        <f t="shared" si="1"/>
        <v>160</v>
      </c>
      <c r="E32" s="42" t="s">
        <v>3</v>
      </c>
      <c r="F32" s="101">
        <f t="shared" si="2"/>
        <v>1700</v>
      </c>
      <c r="G32" s="42" t="s">
        <v>3</v>
      </c>
      <c r="H32" s="39">
        <v>4</v>
      </c>
      <c r="I32" s="40" t="s">
        <v>41</v>
      </c>
      <c r="J32" s="149">
        <v>140</v>
      </c>
      <c r="K32" s="104">
        <v>160</v>
      </c>
      <c r="L32" s="104">
        <v>1700</v>
      </c>
      <c r="M32" s="164">
        <v>15.921811955345788</v>
      </c>
      <c r="N32" s="78">
        <v>879.96593699999994</v>
      </c>
      <c r="O32" s="111">
        <v>29605.687702708427</v>
      </c>
      <c r="P32" s="111">
        <v>36056.107241052581</v>
      </c>
      <c r="Q32" s="254">
        <v>16082.58806444969</v>
      </c>
      <c r="R32" s="258">
        <v>45688.27576715812</v>
      </c>
      <c r="S32" s="259">
        <v>52138.695305502275</v>
      </c>
      <c r="U32" s="7" t="s">
        <v>2888</v>
      </c>
    </row>
    <row r="33" spans="1:21" ht="16.5" customHeight="1" thickBot="1">
      <c r="A33" s="41" t="s">
        <v>31</v>
      </c>
      <c r="B33" s="42">
        <f t="shared" si="0"/>
        <v>140</v>
      </c>
      <c r="C33" s="42" t="s">
        <v>3</v>
      </c>
      <c r="D33" s="42">
        <f t="shared" si="1"/>
        <v>160</v>
      </c>
      <c r="E33" s="42" t="s">
        <v>3</v>
      </c>
      <c r="F33" s="101">
        <f t="shared" si="2"/>
        <v>1750</v>
      </c>
      <c r="G33" s="42" t="s">
        <v>3</v>
      </c>
      <c r="H33" s="39">
        <v>4</v>
      </c>
      <c r="I33" s="40" t="s">
        <v>41</v>
      </c>
      <c r="J33" s="149">
        <v>140</v>
      </c>
      <c r="K33" s="104">
        <v>160</v>
      </c>
      <c r="L33" s="104">
        <v>1750</v>
      </c>
      <c r="M33" s="164">
        <v>16.381006498368951</v>
      </c>
      <c r="N33" s="78">
        <v>912.55726799999979</v>
      </c>
      <c r="O33" s="111">
        <v>30294.106272132583</v>
      </c>
      <c r="P33" s="111">
        <v>36927.0196522115</v>
      </c>
      <c r="Q33" s="254">
        <v>16671.412452955348</v>
      </c>
      <c r="R33" s="258">
        <v>46965.518725087932</v>
      </c>
      <c r="S33" s="259">
        <v>53598.432105166852</v>
      </c>
      <c r="U33" s="7" t="s">
        <v>2889</v>
      </c>
    </row>
    <row r="34" spans="1:21" ht="16.5" customHeight="1" thickBot="1">
      <c r="A34" s="41" t="s">
        <v>31</v>
      </c>
      <c r="B34" s="42">
        <f t="shared" si="0"/>
        <v>140</v>
      </c>
      <c r="C34" s="42" t="s">
        <v>3</v>
      </c>
      <c r="D34" s="42">
        <f t="shared" si="1"/>
        <v>160</v>
      </c>
      <c r="E34" s="42" t="s">
        <v>3</v>
      </c>
      <c r="F34" s="101">
        <f t="shared" si="2"/>
        <v>1800</v>
      </c>
      <c r="G34" s="42" t="s">
        <v>3</v>
      </c>
      <c r="H34" s="39">
        <v>4</v>
      </c>
      <c r="I34" s="40" t="s">
        <v>41</v>
      </c>
      <c r="J34" s="149">
        <v>140</v>
      </c>
      <c r="K34" s="104">
        <v>160</v>
      </c>
      <c r="L34" s="104">
        <v>1800</v>
      </c>
      <c r="M34" s="164">
        <v>16.823161041392105</v>
      </c>
      <c r="N34" s="78">
        <v>945.14859899999988</v>
      </c>
      <c r="O34" s="111">
        <v>30982.524994585507</v>
      </c>
      <c r="P34" s="111">
        <v>37797.932063370412</v>
      </c>
      <c r="Q34" s="254">
        <v>17008.902703677086</v>
      </c>
      <c r="R34" s="258">
        <v>47991.427698262589</v>
      </c>
      <c r="S34" s="259">
        <v>54806.834767047498</v>
      </c>
      <c r="U34" s="7" t="s">
        <v>2890</v>
      </c>
    </row>
    <row r="35" spans="1:21" ht="16.5" customHeight="1" thickBot="1">
      <c r="A35" s="41" t="s">
        <v>31</v>
      </c>
      <c r="B35" s="42">
        <f t="shared" si="0"/>
        <v>140</v>
      </c>
      <c r="C35" s="42" t="s">
        <v>3</v>
      </c>
      <c r="D35" s="42">
        <f t="shared" si="1"/>
        <v>160</v>
      </c>
      <c r="E35" s="42" t="s">
        <v>3</v>
      </c>
      <c r="F35" s="101">
        <f t="shared" si="2"/>
        <v>1850</v>
      </c>
      <c r="G35" s="42" t="s">
        <v>3</v>
      </c>
      <c r="H35" s="39">
        <v>4</v>
      </c>
      <c r="I35" s="40" t="s">
        <v>41</v>
      </c>
      <c r="J35" s="149">
        <v>140</v>
      </c>
      <c r="K35" s="104">
        <v>160</v>
      </c>
      <c r="L35" s="104">
        <v>1850</v>
      </c>
      <c r="M35" s="164">
        <v>17.282355584415257</v>
      </c>
      <c r="N35" s="78">
        <v>977.73992999999996</v>
      </c>
      <c r="O35" s="111">
        <v>31670.943564009664</v>
      </c>
      <c r="P35" s="111">
        <v>38668.844627558101</v>
      </c>
      <c r="Q35" s="254">
        <v>17597.727092182588</v>
      </c>
      <c r="R35" s="258">
        <v>49268.670656192247</v>
      </c>
      <c r="S35" s="259">
        <v>56266.571719740692</v>
      </c>
      <c r="U35" s="7" t="s">
        <v>2891</v>
      </c>
    </row>
    <row r="36" spans="1:21" ht="16.5" customHeight="1" thickBot="1">
      <c r="A36" s="41" t="s">
        <v>31</v>
      </c>
      <c r="B36" s="42">
        <f t="shared" si="0"/>
        <v>140</v>
      </c>
      <c r="C36" s="42" t="s">
        <v>3</v>
      </c>
      <c r="D36" s="42">
        <f t="shared" si="1"/>
        <v>160</v>
      </c>
      <c r="E36" s="42" t="s">
        <v>3</v>
      </c>
      <c r="F36" s="101">
        <f t="shared" si="2"/>
        <v>1900</v>
      </c>
      <c r="G36" s="42" t="s">
        <v>3</v>
      </c>
      <c r="H36" s="39">
        <v>4</v>
      </c>
      <c r="I36" s="40" t="s">
        <v>41</v>
      </c>
      <c r="J36" s="149">
        <v>140</v>
      </c>
      <c r="K36" s="104">
        <v>160</v>
      </c>
      <c r="L36" s="104">
        <v>1900</v>
      </c>
      <c r="M36" s="164">
        <v>17.724510127438414</v>
      </c>
      <c r="N36" s="78">
        <v>1010.3312609999999</v>
      </c>
      <c r="O36" s="111">
        <v>32359.362286462583</v>
      </c>
      <c r="P36" s="111">
        <v>39539.757038717013</v>
      </c>
      <c r="Q36" s="254">
        <v>17935.217189875559</v>
      </c>
      <c r="R36" s="258">
        <v>50294.579476338142</v>
      </c>
      <c r="S36" s="259">
        <v>57474.974228592575</v>
      </c>
      <c r="U36" s="7" t="s">
        <v>2892</v>
      </c>
    </row>
    <row r="37" spans="1:21" ht="16.5" customHeight="1" thickBot="1">
      <c r="A37" s="41" t="s">
        <v>31</v>
      </c>
      <c r="B37" s="42">
        <f t="shared" si="0"/>
        <v>140</v>
      </c>
      <c r="C37" s="42" t="s">
        <v>3</v>
      </c>
      <c r="D37" s="42">
        <f t="shared" si="1"/>
        <v>160</v>
      </c>
      <c r="E37" s="42" t="s">
        <v>3</v>
      </c>
      <c r="F37" s="101">
        <f t="shared" si="2"/>
        <v>1950</v>
      </c>
      <c r="G37" s="42" t="s">
        <v>3</v>
      </c>
      <c r="H37" s="39">
        <v>4</v>
      </c>
      <c r="I37" s="40" t="s">
        <v>41</v>
      </c>
      <c r="J37" s="149">
        <v>140</v>
      </c>
      <c r="K37" s="104">
        <v>160</v>
      </c>
      <c r="L37" s="104">
        <v>1950</v>
      </c>
      <c r="M37" s="164">
        <v>18.24516467046158</v>
      </c>
      <c r="N37" s="78">
        <v>1042.9225919999999</v>
      </c>
      <c r="O37" s="111">
        <v>33127.452987017597</v>
      </c>
      <c r="P37" s="111">
        <v>40495.281349545017</v>
      </c>
      <c r="Q37" s="254">
        <v>18272.707440597296</v>
      </c>
      <c r="R37" s="258">
        <v>51400.160427614894</v>
      </c>
      <c r="S37" s="259">
        <v>58767.988790142314</v>
      </c>
      <c r="U37" s="7" t="s">
        <v>2893</v>
      </c>
    </row>
    <row r="38" spans="1:21" ht="16.5" customHeight="1" thickBot="1">
      <c r="A38" s="41" t="s">
        <v>31</v>
      </c>
      <c r="B38" s="42">
        <f t="shared" si="0"/>
        <v>140</v>
      </c>
      <c r="C38" s="42" t="s">
        <v>3</v>
      </c>
      <c r="D38" s="42">
        <f t="shared" si="1"/>
        <v>160</v>
      </c>
      <c r="E38" s="42" t="s">
        <v>3</v>
      </c>
      <c r="F38" s="101">
        <f t="shared" si="2"/>
        <v>2000</v>
      </c>
      <c r="G38" s="42" t="s">
        <v>3</v>
      </c>
      <c r="H38" s="39">
        <v>4</v>
      </c>
      <c r="I38" s="40" t="s">
        <v>41</v>
      </c>
      <c r="J38" s="149">
        <v>140</v>
      </c>
      <c r="K38" s="104">
        <v>160</v>
      </c>
      <c r="L38" s="104">
        <v>2000</v>
      </c>
      <c r="M38" s="164">
        <v>18.795921613484737</v>
      </c>
      <c r="N38" s="78">
        <v>1075.5139229999997</v>
      </c>
      <c r="O38" s="111">
        <v>34053.937641202894</v>
      </c>
      <c r="P38" s="111">
        <v>41707.015753699969</v>
      </c>
      <c r="Q38" s="254">
        <v>18861.531829102802</v>
      </c>
      <c r="R38" s="258">
        <v>52915.469470305696</v>
      </c>
      <c r="S38" s="259">
        <v>60568.54758280277</v>
      </c>
      <c r="U38" s="7" t="s">
        <v>2894</v>
      </c>
    </row>
    <row r="39" spans="1:21" ht="16.5" customHeight="1" thickBot="1">
      <c r="A39" s="41" t="s">
        <v>31</v>
      </c>
      <c r="B39" s="42">
        <f t="shared" si="0"/>
        <v>140</v>
      </c>
      <c r="C39" s="42" t="s">
        <v>3</v>
      </c>
      <c r="D39" s="42">
        <f t="shared" si="1"/>
        <v>160</v>
      </c>
      <c r="E39" s="42" t="s">
        <v>3</v>
      </c>
      <c r="F39" s="101">
        <f t="shared" si="2"/>
        <v>2050</v>
      </c>
      <c r="G39" s="42" t="s">
        <v>3</v>
      </c>
      <c r="H39" s="39">
        <v>4</v>
      </c>
      <c r="I39" s="40" t="s">
        <v>41</v>
      </c>
      <c r="J39" s="149">
        <v>140</v>
      </c>
      <c r="K39" s="104">
        <v>160</v>
      </c>
      <c r="L39" s="104">
        <v>2050</v>
      </c>
      <c r="M39" s="164">
        <v>19.238076156507887</v>
      </c>
      <c r="N39" s="78">
        <v>1108.1052539999998</v>
      </c>
      <c r="O39" s="111">
        <v>34742.356363655817</v>
      </c>
      <c r="P39" s="111">
        <v>42577.92831788765</v>
      </c>
      <c r="Q39" s="254">
        <v>19199.022079824535</v>
      </c>
      <c r="R39" s="258">
        <v>53941.378443480353</v>
      </c>
      <c r="S39" s="259">
        <v>61776.950397712186</v>
      </c>
      <c r="U39" s="7" t="s">
        <v>2895</v>
      </c>
    </row>
    <row r="40" spans="1:21" ht="16.5" customHeight="1" thickBot="1">
      <c r="A40" s="38" t="s">
        <v>31</v>
      </c>
      <c r="B40" s="39">
        <f t="shared" si="0"/>
        <v>140</v>
      </c>
      <c r="C40" s="39" t="s">
        <v>3</v>
      </c>
      <c r="D40" s="39">
        <f t="shared" si="1"/>
        <v>160</v>
      </c>
      <c r="E40" s="39" t="s">
        <v>3</v>
      </c>
      <c r="F40" s="101">
        <f t="shared" si="2"/>
        <v>2100</v>
      </c>
      <c r="G40" s="39" t="s">
        <v>3</v>
      </c>
      <c r="H40" s="39">
        <v>4</v>
      </c>
      <c r="I40" s="40" t="s">
        <v>41</v>
      </c>
      <c r="J40" s="149">
        <v>140</v>
      </c>
      <c r="K40" s="104">
        <v>160</v>
      </c>
      <c r="L40" s="104">
        <v>2100</v>
      </c>
      <c r="M40" s="164">
        <v>19.697270699531053</v>
      </c>
      <c r="N40" s="78">
        <v>1140.6965849999999</v>
      </c>
      <c r="O40" s="111">
        <v>35430.774933079971</v>
      </c>
      <c r="P40" s="111">
        <v>43448.840729046569</v>
      </c>
      <c r="Q40" s="254">
        <v>19787.846468330041</v>
      </c>
      <c r="R40" s="258">
        <v>55218.621401410011</v>
      </c>
      <c r="S40" s="259">
        <v>63236.68719737661</v>
      </c>
      <c r="U40" s="7" t="s">
        <v>2896</v>
      </c>
    </row>
    <row r="41" spans="1:21" ht="16.5" customHeight="1" thickBot="1">
      <c r="A41" s="41" t="s">
        <v>31</v>
      </c>
      <c r="B41" s="42">
        <f t="shared" si="0"/>
        <v>140</v>
      </c>
      <c r="C41" s="42" t="s">
        <v>3</v>
      </c>
      <c r="D41" s="42">
        <f t="shared" si="1"/>
        <v>160</v>
      </c>
      <c r="E41" s="42" t="s">
        <v>3</v>
      </c>
      <c r="F41" s="101">
        <f t="shared" si="2"/>
        <v>2150</v>
      </c>
      <c r="G41" s="42" t="s">
        <v>3</v>
      </c>
      <c r="H41" s="39">
        <v>4</v>
      </c>
      <c r="I41" s="40" t="s">
        <v>41</v>
      </c>
      <c r="J41" s="149">
        <v>140</v>
      </c>
      <c r="K41" s="104">
        <v>160</v>
      </c>
      <c r="L41" s="104">
        <v>2150</v>
      </c>
      <c r="M41" s="164">
        <v>20.139425242554211</v>
      </c>
      <c r="N41" s="78">
        <v>1173.287916</v>
      </c>
      <c r="O41" s="111">
        <v>36119.193655532894</v>
      </c>
      <c r="P41" s="111">
        <v>44319.753140205488</v>
      </c>
      <c r="Q41" s="254">
        <v>20125.336566023012</v>
      </c>
      <c r="R41" s="258">
        <v>56244.530221555906</v>
      </c>
      <c r="S41" s="259">
        <v>64445.0897062285</v>
      </c>
      <c r="U41" s="7" t="s">
        <v>2897</v>
      </c>
    </row>
    <row r="42" spans="1:21" ht="16.5" customHeight="1" thickBot="1">
      <c r="A42" s="41" t="s">
        <v>31</v>
      </c>
      <c r="B42" s="42">
        <f t="shared" si="0"/>
        <v>140</v>
      </c>
      <c r="C42" s="42" t="s">
        <v>3</v>
      </c>
      <c r="D42" s="42">
        <f t="shared" si="1"/>
        <v>160</v>
      </c>
      <c r="E42" s="42" t="s">
        <v>3</v>
      </c>
      <c r="F42" s="101">
        <f t="shared" si="2"/>
        <v>2200</v>
      </c>
      <c r="G42" s="42" t="s">
        <v>3</v>
      </c>
      <c r="H42" s="39">
        <v>4</v>
      </c>
      <c r="I42" s="40" t="s">
        <v>41</v>
      </c>
      <c r="J42" s="149">
        <v>140</v>
      </c>
      <c r="K42" s="104">
        <v>160</v>
      </c>
      <c r="L42" s="104">
        <v>2200</v>
      </c>
      <c r="M42" s="164">
        <v>20.598619785577363</v>
      </c>
      <c r="N42" s="78">
        <v>1205.8792469999999</v>
      </c>
      <c r="O42" s="111">
        <v>36807.612377985817</v>
      </c>
      <c r="P42" s="111">
        <v>45190.66570439317</v>
      </c>
      <c r="Q42" s="254">
        <v>20714.160954528517</v>
      </c>
      <c r="R42" s="258">
        <v>57521.773332514334</v>
      </c>
      <c r="S42" s="259">
        <v>65904.826658921695</v>
      </c>
      <c r="U42" s="7" t="s">
        <v>2898</v>
      </c>
    </row>
    <row r="43" spans="1:21" ht="16.5" customHeight="1" thickBot="1">
      <c r="A43" s="41" t="s">
        <v>31</v>
      </c>
      <c r="B43" s="42">
        <f t="shared" si="0"/>
        <v>140</v>
      </c>
      <c r="C43" s="42" t="s">
        <v>3</v>
      </c>
      <c r="D43" s="42">
        <f t="shared" si="1"/>
        <v>160</v>
      </c>
      <c r="E43" s="42" t="s">
        <v>3</v>
      </c>
      <c r="F43" s="101">
        <f t="shared" si="2"/>
        <v>2250</v>
      </c>
      <c r="G43" s="42" t="s">
        <v>3</v>
      </c>
      <c r="H43" s="39">
        <v>4</v>
      </c>
      <c r="I43" s="40" t="s">
        <v>41</v>
      </c>
      <c r="J43" s="149">
        <v>140</v>
      </c>
      <c r="K43" s="104">
        <v>160</v>
      </c>
      <c r="L43" s="104">
        <v>2250</v>
      </c>
      <c r="M43" s="164">
        <v>21.04077432860052</v>
      </c>
      <c r="N43" s="78">
        <v>1238.4705779999997</v>
      </c>
      <c r="O43" s="111">
        <v>37496.030947409978</v>
      </c>
      <c r="P43" s="111">
        <v>46061.578115552082</v>
      </c>
      <c r="Q43" s="254">
        <v>21051.651205250255</v>
      </c>
      <c r="R43" s="258">
        <v>58547.682152660229</v>
      </c>
      <c r="S43" s="259">
        <v>67113.229320802333</v>
      </c>
      <c r="U43" s="7" t="s">
        <v>2899</v>
      </c>
    </row>
    <row r="44" spans="1:21" ht="16.5" customHeight="1" thickBot="1">
      <c r="A44" s="41" t="s">
        <v>31</v>
      </c>
      <c r="B44" s="42">
        <f t="shared" si="0"/>
        <v>140</v>
      </c>
      <c r="C44" s="42" t="s">
        <v>3</v>
      </c>
      <c r="D44" s="42">
        <f t="shared" si="1"/>
        <v>160</v>
      </c>
      <c r="E44" s="42" t="s">
        <v>3</v>
      </c>
      <c r="F44" s="101">
        <f t="shared" si="2"/>
        <v>2300</v>
      </c>
      <c r="G44" s="42" t="s">
        <v>3</v>
      </c>
      <c r="H44" s="39">
        <v>4</v>
      </c>
      <c r="I44" s="40" t="s">
        <v>41</v>
      </c>
      <c r="J44" s="149">
        <v>140</v>
      </c>
      <c r="K44" s="104">
        <v>160</v>
      </c>
      <c r="L44" s="104">
        <v>2300</v>
      </c>
      <c r="M44" s="164">
        <v>21.482928871623677</v>
      </c>
      <c r="N44" s="78">
        <v>1271.0619089999998</v>
      </c>
      <c r="O44" s="111">
        <v>38184.449669862901</v>
      </c>
      <c r="P44" s="111">
        <v>46932.490679739763</v>
      </c>
      <c r="Q44" s="254">
        <v>21389.141302943226</v>
      </c>
      <c r="R44" s="258">
        <v>59573.590972806123</v>
      </c>
      <c r="S44" s="259">
        <v>68321.631982682986</v>
      </c>
      <c r="U44" s="7" t="s">
        <v>2900</v>
      </c>
    </row>
    <row r="45" spans="1:21" ht="16.5" customHeight="1" thickBot="1">
      <c r="A45" s="41" t="s">
        <v>31</v>
      </c>
      <c r="B45" s="42">
        <f t="shared" si="0"/>
        <v>140</v>
      </c>
      <c r="C45" s="42" t="s">
        <v>3</v>
      </c>
      <c r="D45" s="42">
        <f t="shared" si="1"/>
        <v>160</v>
      </c>
      <c r="E45" s="42" t="s">
        <v>3</v>
      </c>
      <c r="F45" s="101">
        <f t="shared" si="2"/>
        <v>2350</v>
      </c>
      <c r="G45" s="42" t="s">
        <v>3</v>
      </c>
      <c r="H45" s="39">
        <v>4</v>
      </c>
      <c r="I45" s="40" t="s">
        <v>41</v>
      </c>
      <c r="J45" s="149">
        <v>140</v>
      </c>
      <c r="K45" s="104">
        <v>160</v>
      </c>
      <c r="L45" s="104">
        <v>2350</v>
      </c>
      <c r="M45" s="164">
        <v>21.942123414646844</v>
      </c>
      <c r="N45" s="78">
        <v>1303.6532399999999</v>
      </c>
      <c r="O45" s="111">
        <v>38872.868239287061</v>
      </c>
      <c r="P45" s="111">
        <v>47803.403090898682</v>
      </c>
      <c r="Q45" s="254">
        <v>21977.965691448728</v>
      </c>
      <c r="R45" s="258">
        <v>60850.833930735789</v>
      </c>
      <c r="S45" s="259">
        <v>69781.368782347417</v>
      </c>
      <c r="U45" s="7" t="s">
        <v>2901</v>
      </c>
    </row>
    <row r="46" spans="1:21" ht="16.5" customHeight="1" thickBot="1">
      <c r="A46" s="41" t="s">
        <v>31</v>
      </c>
      <c r="B46" s="42">
        <f t="shared" si="0"/>
        <v>140</v>
      </c>
      <c r="C46" s="42" t="s">
        <v>3</v>
      </c>
      <c r="D46" s="42">
        <f t="shared" si="1"/>
        <v>160</v>
      </c>
      <c r="E46" s="42" t="s">
        <v>3</v>
      </c>
      <c r="F46" s="101">
        <f t="shared" si="2"/>
        <v>2400</v>
      </c>
      <c r="G46" s="42" t="s">
        <v>3</v>
      </c>
      <c r="H46" s="39">
        <v>4</v>
      </c>
      <c r="I46" s="40" t="s">
        <v>41</v>
      </c>
      <c r="J46" s="149">
        <v>140</v>
      </c>
      <c r="K46" s="104">
        <v>160</v>
      </c>
      <c r="L46" s="104">
        <v>2400</v>
      </c>
      <c r="M46" s="164">
        <v>22.384277957669994</v>
      </c>
      <c r="N46" s="78">
        <v>1336.2445709999997</v>
      </c>
      <c r="O46" s="111">
        <v>39561.286961739985</v>
      </c>
      <c r="P46" s="111">
        <v>48674.315655086364</v>
      </c>
      <c r="Q46" s="254">
        <v>22315.455942170465</v>
      </c>
      <c r="R46" s="258">
        <v>61876.742903910446</v>
      </c>
      <c r="S46" s="259">
        <v>70989.771597256826</v>
      </c>
      <c r="U46" s="7" t="s">
        <v>2902</v>
      </c>
    </row>
    <row r="47" spans="1:21" ht="16.5" customHeight="1" thickBot="1">
      <c r="A47" s="41" t="s">
        <v>31</v>
      </c>
      <c r="B47" s="42">
        <f t="shared" si="0"/>
        <v>140</v>
      </c>
      <c r="C47" s="42" t="s">
        <v>3</v>
      </c>
      <c r="D47" s="42">
        <f t="shared" si="1"/>
        <v>160</v>
      </c>
      <c r="E47" s="42" t="s">
        <v>3</v>
      </c>
      <c r="F47" s="101">
        <f t="shared" si="2"/>
        <v>2450</v>
      </c>
      <c r="G47" s="42" t="s">
        <v>3</v>
      </c>
      <c r="H47" s="39">
        <v>4</v>
      </c>
      <c r="I47" s="40" t="s">
        <v>41</v>
      </c>
      <c r="J47" s="149">
        <v>140</v>
      </c>
      <c r="K47" s="104">
        <v>160</v>
      </c>
      <c r="L47" s="104">
        <v>2450</v>
      </c>
      <c r="M47" s="164">
        <v>22.948945051453148</v>
      </c>
      <c r="N47" s="78">
        <v>1368.835902</v>
      </c>
      <c r="O47" s="111">
        <v>40796.386409869279</v>
      </c>
      <c r="P47" s="111">
        <v>50025.688807417879</v>
      </c>
      <c r="Q47" s="254">
        <v>22904.280330675971</v>
      </c>
      <c r="R47" s="258">
        <v>63700.666740545246</v>
      </c>
      <c r="S47" s="259">
        <v>72929.969138093846</v>
      </c>
      <c r="U47" s="7" t="s">
        <v>2903</v>
      </c>
    </row>
    <row r="48" spans="1:21" ht="16.5" customHeight="1" thickBot="1">
      <c r="A48" s="41" t="s">
        <v>31</v>
      </c>
      <c r="B48" s="42">
        <f t="shared" si="0"/>
        <v>140</v>
      </c>
      <c r="C48" s="42" t="s">
        <v>3</v>
      </c>
      <c r="D48" s="42">
        <f t="shared" si="1"/>
        <v>160</v>
      </c>
      <c r="E48" s="42" t="s">
        <v>3</v>
      </c>
      <c r="F48" s="101">
        <f t="shared" si="2"/>
        <v>2500</v>
      </c>
      <c r="G48" s="42" t="s">
        <v>3</v>
      </c>
      <c r="H48" s="39">
        <v>4</v>
      </c>
      <c r="I48" s="40" t="s">
        <v>41</v>
      </c>
      <c r="J48" s="149">
        <v>140</v>
      </c>
      <c r="K48" s="104">
        <v>160</v>
      </c>
      <c r="L48" s="104">
        <v>2500</v>
      </c>
      <c r="M48" s="164">
        <v>23.360327594476303</v>
      </c>
      <c r="N48" s="78">
        <v>1401.4272329999999</v>
      </c>
      <c r="O48" s="111">
        <v>41484.80497929344</v>
      </c>
      <c r="P48" s="111">
        <v>50896.60137160556</v>
      </c>
      <c r="Q48" s="254">
        <v>23241.770581397705</v>
      </c>
      <c r="R48" s="258">
        <v>64726.575560691141</v>
      </c>
      <c r="S48" s="259">
        <v>74138.371953003269</v>
      </c>
      <c r="U48" s="7" t="s">
        <v>2904</v>
      </c>
    </row>
    <row r="49" spans="1:21" ht="16.5" customHeight="1" thickBot="1">
      <c r="A49" s="41" t="s">
        <v>31</v>
      </c>
      <c r="B49" s="42">
        <f t="shared" si="0"/>
        <v>140</v>
      </c>
      <c r="C49" s="42" t="s">
        <v>3</v>
      </c>
      <c r="D49" s="42">
        <f t="shared" si="1"/>
        <v>160</v>
      </c>
      <c r="E49" s="42" t="s">
        <v>3</v>
      </c>
      <c r="F49" s="101">
        <f t="shared" si="2"/>
        <v>2550</v>
      </c>
      <c r="G49" s="42" t="s">
        <v>3</v>
      </c>
      <c r="H49" s="39">
        <v>4</v>
      </c>
      <c r="I49" s="40" t="s">
        <v>41</v>
      </c>
      <c r="J49" s="149">
        <v>140</v>
      </c>
      <c r="K49" s="104">
        <v>160</v>
      </c>
      <c r="L49" s="104">
        <v>2550</v>
      </c>
      <c r="M49" s="164">
        <v>23.819522137499465</v>
      </c>
      <c r="N49" s="78">
        <v>1434.018564</v>
      </c>
      <c r="O49" s="111">
        <v>42173.223701746356</v>
      </c>
      <c r="P49" s="111">
        <v>51767.513782764479</v>
      </c>
      <c r="Q49" s="254">
        <v>23830.594816874447</v>
      </c>
      <c r="R49" s="258">
        <v>66003.818518620799</v>
      </c>
      <c r="S49" s="259">
        <v>75598.10859963893</v>
      </c>
      <c r="U49" s="7" t="s">
        <v>2905</v>
      </c>
    </row>
    <row r="50" spans="1:21" ht="16.5" customHeight="1" thickBot="1">
      <c r="A50" s="38" t="s">
        <v>31</v>
      </c>
      <c r="B50" s="39">
        <f t="shared" si="0"/>
        <v>140</v>
      </c>
      <c r="C50" s="39" t="s">
        <v>3</v>
      </c>
      <c r="D50" s="39">
        <f t="shared" si="1"/>
        <v>160</v>
      </c>
      <c r="E50" s="39" t="s">
        <v>3</v>
      </c>
      <c r="F50" s="101">
        <f t="shared" si="2"/>
        <v>2600</v>
      </c>
      <c r="G50" s="39" t="s">
        <v>3</v>
      </c>
      <c r="H50" s="39">
        <v>4</v>
      </c>
      <c r="I50" s="40" t="s">
        <v>41</v>
      </c>
      <c r="J50" s="149">
        <v>140</v>
      </c>
      <c r="K50" s="104">
        <v>160</v>
      </c>
      <c r="L50" s="104">
        <v>2600</v>
      </c>
      <c r="M50" s="164">
        <v>24.261676680522626</v>
      </c>
      <c r="N50" s="78">
        <v>1466.6098949999998</v>
      </c>
      <c r="O50" s="111">
        <v>42861.642424199279</v>
      </c>
      <c r="P50" s="111">
        <v>52638.426193923391</v>
      </c>
      <c r="Q50" s="254">
        <v>24168.085067596181</v>
      </c>
      <c r="R50" s="258">
        <v>67029.727491795464</v>
      </c>
      <c r="S50" s="259">
        <v>76806.511261519569</v>
      </c>
      <c r="U50" s="7" t="s">
        <v>2906</v>
      </c>
    </row>
    <row r="51" spans="1:21" ht="16.5" customHeight="1" thickBot="1">
      <c r="A51" s="41" t="s">
        <v>31</v>
      </c>
      <c r="B51" s="42">
        <f t="shared" si="0"/>
        <v>140</v>
      </c>
      <c r="C51" s="42" t="s">
        <v>3</v>
      </c>
      <c r="D51" s="42">
        <f t="shared" si="1"/>
        <v>160</v>
      </c>
      <c r="E51" s="42" t="s">
        <v>3</v>
      </c>
      <c r="F51" s="101">
        <f t="shared" si="2"/>
        <v>2650</v>
      </c>
      <c r="G51" s="42" t="s">
        <v>3</v>
      </c>
      <c r="H51" s="39">
        <v>4</v>
      </c>
      <c r="I51" s="40" t="s">
        <v>41</v>
      </c>
      <c r="J51" s="149">
        <v>140</v>
      </c>
      <c r="K51" s="104">
        <v>160</v>
      </c>
      <c r="L51" s="104">
        <v>2650</v>
      </c>
      <c r="M51" s="164">
        <v>24.720871223545785</v>
      </c>
      <c r="N51" s="78">
        <v>1499.2012259999997</v>
      </c>
      <c r="O51" s="111">
        <v>43550.06099362344</v>
      </c>
      <c r="P51" s="111">
        <v>53509.338758111073</v>
      </c>
      <c r="Q51" s="254">
        <v>24756.909456101686</v>
      </c>
      <c r="R51" s="258">
        <v>68306.970449725122</v>
      </c>
      <c r="S51" s="259">
        <v>78266.248214212756</v>
      </c>
      <c r="U51" s="7" t="s">
        <v>2907</v>
      </c>
    </row>
    <row r="52" spans="1:21" ht="16.5" customHeight="1" thickBot="1">
      <c r="A52" s="41" t="s">
        <v>31</v>
      </c>
      <c r="B52" s="42">
        <f t="shared" si="0"/>
        <v>140</v>
      </c>
      <c r="C52" s="42" t="s">
        <v>3</v>
      </c>
      <c r="D52" s="42">
        <f t="shared" si="1"/>
        <v>160</v>
      </c>
      <c r="E52" s="42" t="s">
        <v>3</v>
      </c>
      <c r="F52" s="101">
        <f t="shared" si="2"/>
        <v>2700</v>
      </c>
      <c r="G52" s="42" t="s">
        <v>3</v>
      </c>
      <c r="H52" s="39">
        <v>4</v>
      </c>
      <c r="I52" s="40" t="s">
        <v>41</v>
      </c>
      <c r="J52" s="149">
        <v>140</v>
      </c>
      <c r="K52" s="104">
        <v>160</v>
      </c>
      <c r="L52" s="104">
        <v>2700</v>
      </c>
      <c r="M52" s="164">
        <v>25.241525766568948</v>
      </c>
      <c r="N52" s="78">
        <v>1531.792557</v>
      </c>
      <c r="O52" s="111">
        <v>44318.15169417845</v>
      </c>
      <c r="P52" s="111">
        <v>54464.862915910307</v>
      </c>
      <c r="Q52" s="254">
        <v>25094.399706823424</v>
      </c>
      <c r="R52" s="258">
        <v>69412.551401001867</v>
      </c>
      <c r="S52" s="259">
        <v>79559.262622733731</v>
      </c>
      <c r="U52" s="7" t="s">
        <v>2908</v>
      </c>
    </row>
    <row r="53" spans="1:21" ht="16.5" customHeight="1" thickBot="1">
      <c r="A53" s="41" t="s">
        <v>31</v>
      </c>
      <c r="B53" s="42">
        <f t="shared" si="0"/>
        <v>140</v>
      </c>
      <c r="C53" s="42" t="s">
        <v>3</v>
      </c>
      <c r="D53" s="42">
        <f t="shared" si="1"/>
        <v>160</v>
      </c>
      <c r="E53" s="42" t="s">
        <v>3</v>
      </c>
      <c r="F53" s="101">
        <f t="shared" si="2"/>
        <v>2750</v>
      </c>
      <c r="G53" s="42" t="s">
        <v>3</v>
      </c>
      <c r="H53" s="39">
        <v>4</v>
      </c>
      <c r="I53" s="40" t="s">
        <v>41</v>
      </c>
      <c r="J53" s="149">
        <v>140</v>
      </c>
      <c r="K53" s="104">
        <v>160</v>
      </c>
      <c r="L53" s="104">
        <v>2750</v>
      </c>
      <c r="M53" s="164">
        <v>25.683680309592106</v>
      </c>
      <c r="N53" s="78">
        <v>1564.3838879999998</v>
      </c>
      <c r="O53" s="111">
        <v>45006.570416631374</v>
      </c>
      <c r="P53" s="111">
        <v>55335.775480097989</v>
      </c>
      <c r="Q53" s="254">
        <v>25431.889804516391</v>
      </c>
      <c r="R53" s="258">
        <v>70438.460221147761</v>
      </c>
      <c r="S53" s="259">
        <v>80767.665284614384</v>
      </c>
      <c r="U53" s="7" t="s">
        <v>2909</v>
      </c>
    </row>
    <row r="54" spans="1:21" ht="16.5" customHeight="1" thickBot="1">
      <c r="A54" s="41" t="s">
        <v>31</v>
      </c>
      <c r="B54" s="42">
        <f t="shared" si="0"/>
        <v>140</v>
      </c>
      <c r="C54" s="42" t="s">
        <v>3</v>
      </c>
      <c r="D54" s="42">
        <f t="shared" si="1"/>
        <v>160</v>
      </c>
      <c r="E54" s="42" t="s">
        <v>3</v>
      </c>
      <c r="F54" s="101">
        <f t="shared" si="2"/>
        <v>2800</v>
      </c>
      <c r="G54" s="42" t="s">
        <v>3</v>
      </c>
      <c r="H54" s="39">
        <v>4</v>
      </c>
      <c r="I54" s="40" t="s">
        <v>41</v>
      </c>
      <c r="J54" s="149">
        <v>140</v>
      </c>
      <c r="K54" s="104">
        <v>160</v>
      </c>
      <c r="L54" s="104">
        <v>2800</v>
      </c>
      <c r="M54" s="164">
        <v>26.142874852615257</v>
      </c>
      <c r="N54" s="78">
        <v>1596.9752189999999</v>
      </c>
      <c r="O54" s="111">
        <v>45694.989139084297</v>
      </c>
      <c r="P54" s="111">
        <v>56206.687891256915</v>
      </c>
      <c r="Q54" s="254">
        <v>26020.714193021897</v>
      </c>
      <c r="R54" s="258">
        <v>71715.70333210619</v>
      </c>
      <c r="S54" s="259">
        <v>82227.402084278816</v>
      </c>
      <c r="U54" s="7" t="s">
        <v>2910</v>
      </c>
    </row>
    <row r="55" spans="1:21" ht="16.5" customHeight="1" thickBot="1">
      <c r="A55" s="41" t="s">
        <v>31</v>
      </c>
      <c r="B55" s="42">
        <f t="shared" si="0"/>
        <v>140</v>
      </c>
      <c r="C55" s="42" t="s">
        <v>3</v>
      </c>
      <c r="D55" s="42">
        <f t="shared" si="1"/>
        <v>160</v>
      </c>
      <c r="E55" s="42" t="s">
        <v>3</v>
      </c>
      <c r="F55" s="101">
        <f t="shared" si="2"/>
        <v>2850</v>
      </c>
      <c r="G55" s="42" t="s">
        <v>3</v>
      </c>
      <c r="H55" s="39">
        <v>4</v>
      </c>
      <c r="I55" s="40" t="s">
        <v>41</v>
      </c>
      <c r="J55" s="149">
        <v>140</v>
      </c>
      <c r="K55" s="104">
        <v>160</v>
      </c>
      <c r="L55" s="104">
        <v>2850</v>
      </c>
      <c r="M55" s="164">
        <v>26.585029395638415</v>
      </c>
      <c r="N55" s="78">
        <v>1629.5665499999998</v>
      </c>
      <c r="O55" s="111">
        <v>46383.407708508457</v>
      </c>
      <c r="P55" s="111">
        <v>57077.60030241582</v>
      </c>
      <c r="Q55" s="254">
        <v>26358.204443743634</v>
      </c>
      <c r="R55" s="258">
        <v>72741.612152252084</v>
      </c>
      <c r="S55" s="259">
        <v>83435.804746159454</v>
      </c>
      <c r="U55" s="7" t="s">
        <v>2911</v>
      </c>
    </row>
    <row r="56" spans="1:21" ht="16.5" customHeight="1" thickBot="1">
      <c r="A56" s="41" t="s">
        <v>31</v>
      </c>
      <c r="B56" s="42">
        <f t="shared" si="0"/>
        <v>140</v>
      </c>
      <c r="C56" s="42" t="s">
        <v>3</v>
      </c>
      <c r="D56" s="42">
        <f t="shared" si="1"/>
        <v>160</v>
      </c>
      <c r="E56" s="42" t="s">
        <v>3</v>
      </c>
      <c r="F56" s="101">
        <f t="shared" si="2"/>
        <v>2900</v>
      </c>
      <c r="G56" s="42" t="s">
        <v>3</v>
      </c>
      <c r="H56" s="39">
        <v>4</v>
      </c>
      <c r="I56" s="40" t="s">
        <v>41</v>
      </c>
      <c r="J56" s="149">
        <v>140</v>
      </c>
      <c r="K56" s="104">
        <v>160</v>
      </c>
      <c r="L56" s="104">
        <v>2900</v>
      </c>
      <c r="M56" s="164">
        <v>27.044223938661567</v>
      </c>
      <c r="N56" s="78">
        <v>1662.1578809999996</v>
      </c>
      <c r="O56" s="111">
        <v>47071.826430961381</v>
      </c>
      <c r="P56" s="111">
        <v>57948.512866603509</v>
      </c>
      <c r="Q56" s="254">
        <v>26947.028832249136</v>
      </c>
      <c r="R56" s="258">
        <v>74018.855263210513</v>
      </c>
      <c r="S56" s="259">
        <v>84895.541698852641</v>
      </c>
      <c r="U56" s="7" t="s">
        <v>2912</v>
      </c>
    </row>
    <row r="57" spans="1:21" ht="16.5" customHeight="1" thickBot="1">
      <c r="A57" s="41" t="s">
        <v>31</v>
      </c>
      <c r="B57" s="42">
        <f t="shared" si="0"/>
        <v>140</v>
      </c>
      <c r="C57" s="42" t="s">
        <v>3</v>
      </c>
      <c r="D57" s="42">
        <f t="shared" si="1"/>
        <v>160</v>
      </c>
      <c r="E57" s="42" t="s">
        <v>3</v>
      </c>
      <c r="F57" s="101">
        <f t="shared" si="2"/>
        <v>2950</v>
      </c>
      <c r="G57" s="42" t="s">
        <v>3</v>
      </c>
      <c r="H57" s="39">
        <v>4</v>
      </c>
      <c r="I57" s="40" t="s">
        <v>41</v>
      </c>
      <c r="J57" s="149">
        <v>140</v>
      </c>
      <c r="K57" s="104">
        <v>160</v>
      </c>
      <c r="L57" s="104">
        <v>2950</v>
      </c>
      <c r="M57" s="164">
        <v>27.486378481684731</v>
      </c>
      <c r="N57" s="78">
        <v>1694.7492119999999</v>
      </c>
      <c r="O57" s="111">
        <v>47760.245000385541</v>
      </c>
      <c r="P57" s="111">
        <v>58819.425277762428</v>
      </c>
      <c r="Q57" s="254">
        <v>27284.518929942107</v>
      </c>
      <c r="R57" s="258">
        <v>75044.763930327652</v>
      </c>
      <c r="S57" s="259">
        <v>86103.944207704539</v>
      </c>
      <c r="U57" s="7" t="s">
        <v>2913</v>
      </c>
    </row>
    <row r="58" spans="1:21" ht="16.5" customHeight="1" thickBot="1">
      <c r="A58" s="43" t="s">
        <v>31</v>
      </c>
      <c r="B58" s="44">
        <f t="shared" si="0"/>
        <v>140</v>
      </c>
      <c r="C58" s="44" t="s">
        <v>3</v>
      </c>
      <c r="D58" s="44">
        <f t="shared" si="1"/>
        <v>160</v>
      </c>
      <c r="E58" s="44" t="s">
        <v>3</v>
      </c>
      <c r="F58" s="102">
        <f t="shared" si="2"/>
        <v>3000</v>
      </c>
      <c r="G58" s="44" t="s">
        <v>3</v>
      </c>
      <c r="H58" s="46">
        <v>4</v>
      </c>
      <c r="I58" s="45" t="s">
        <v>41</v>
      </c>
      <c r="J58" s="149">
        <v>140</v>
      </c>
      <c r="K58" s="134">
        <v>160</v>
      </c>
      <c r="L58" s="134">
        <v>3000</v>
      </c>
      <c r="M58" s="171">
        <v>27.945573024707887</v>
      </c>
      <c r="N58" s="127">
        <v>1727.3405429999998</v>
      </c>
      <c r="O58" s="135">
        <v>49513.57988127225</v>
      </c>
      <c r="P58" s="135">
        <v>60821.278567154608</v>
      </c>
      <c r="Q58" s="255">
        <v>27873.343318447616</v>
      </c>
      <c r="R58" s="260">
        <v>77386.923199719866</v>
      </c>
      <c r="S58" s="261">
        <v>88694.621885602217</v>
      </c>
      <c r="U58" s="7" t="s">
        <v>2914</v>
      </c>
    </row>
    <row r="59" spans="1:21" ht="22.5" customHeight="1" thickBot="1">
      <c r="A59" s="2968" t="s">
        <v>473</v>
      </c>
      <c r="B59" s="2969"/>
      <c r="C59" s="2969"/>
      <c r="D59" s="2969"/>
      <c r="E59" s="2969"/>
      <c r="F59" s="2969"/>
      <c r="G59" s="2969"/>
      <c r="H59" s="2969"/>
      <c r="I59" s="2969"/>
      <c r="J59" s="2969"/>
      <c r="K59" s="2969"/>
      <c r="L59" s="2969"/>
      <c r="M59" s="2969"/>
      <c r="N59" s="2969"/>
      <c r="O59" s="2969"/>
      <c r="P59" s="2969"/>
      <c r="Q59" s="2969"/>
      <c r="R59" s="3018"/>
      <c r="S59" s="3019"/>
      <c r="U59" s="7"/>
    </row>
    <row r="60" spans="1:21" ht="16.5" customHeight="1" thickBot="1">
      <c r="A60" s="2974" t="s">
        <v>117</v>
      </c>
      <c r="B60" s="2975"/>
      <c r="C60" s="2975"/>
      <c r="D60" s="2975"/>
      <c r="E60" s="2975"/>
      <c r="F60" s="2975"/>
      <c r="G60" s="2975"/>
      <c r="H60" s="2975"/>
      <c r="I60" s="2975"/>
      <c r="J60" s="2975"/>
      <c r="K60" s="2975"/>
      <c r="L60" s="2975"/>
      <c r="M60" s="2975"/>
      <c r="N60" s="2975"/>
      <c r="O60" s="2975"/>
      <c r="P60" s="2975"/>
      <c r="Q60" s="2975"/>
      <c r="R60" s="2975"/>
      <c r="S60" s="2976"/>
      <c r="U60" s="7"/>
    </row>
    <row r="61" spans="1:21" ht="16.5" customHeight="1" thickBot="1">
      <c r="A61" s="38" t="s">
        <v>31</v>
      </c>
      <c r="B61" s="39">
        <f>J61</f>
        <v>140</v>
      </c>
      <c r="C61" s="39" t="s">
        <v>3</v>
      </c>
      <c r="D61" s="39">
        <f>K61</f>
        <v>200</v>
      </c>
      <c r="E61" s="39" t="s">
        <v>3</v>
      </c>
      <c r="F61" s="90">
        <f>L61</f>
        <v>600</v>
      </c>
      <c r="G61" s="39" t="s">
        <v>3</v>
      </c>
      <c r="H61" s="39">
        <v>4</v>
      </c>
      <c r="I61" s="40" t="s">
        <v>41</v>
      </c>
      <c r="J61" s="146">
        <v>140</v>
      </c>
      <c r="K61" s="122">
        <v>200</v>
      </c>
      <c r="L61" s="122">
        <v>600</v>
      </c>
      <c r="M61" s="163">
        <v>6.0667353860363162</v>
      </c>
      <c r="N61" s="123">
        <v>187.3065</v>
      </c>
      <c r="O61" s="124">
        <v>14335.677637180612</v>
      </c>
      <c r="P61" s="153">
        <v>17047.48217353769</v>
      </c>
      <c r="Q61" s="139">
        <v>7123.1890801891068</v>
      </c>
      <c r="R61" s="256">
        <v>21458.866717369718</v>
      </c>
      <c r="S61" s="257">
        <v>24170.671253726796</v>
      </c>
      <c r="U61" s="7" t="s">
        <v>2915</v>
      </c>
    </row>
    <row r="62" spans="1:21" ht="16.5" customHeight="1" thickBot="1">
      <c r="A62" s="41" t="s">
        <v>31</v>
      </c>
      <c r="B62" s="42">
        <f t="shared" ref="B62:B109" si="3">J62</f>
        <v>140</v>
      </c>
      <c r="C62" s="42" t="s">
        <v>3</v>
      </c>
      <c r="D62" s="42">
        <f t="shared" ref="D62:D109" si="4">K62</f>
        <v>200</v>
      </c>
      <c r="E62" s="42" t="s">
        <v>3</v>
      </c>
      <c r="F62" s="90">
        <f t="shared" ref="F62:F109" si="5">L62</f>
        <v>650</v>
      </c>
      <c r="G62" s="42" t="s">
        <v>3</v>
      </c>
      <c r="H62" s="39">
        <v>4</v>
      </c>
      <c r="I62" s="40" t="s">
        <v>41</v>
      </c>
      <c r="J62" s="149">
        <v>140</v>
      </c>
      <c r="K62" s="66">
        <v>200</v>
      </c>
      <c r="L62" s="66">
        <v>650</v>
      </c>
      <c r="M62" s="164">
        <v>6.5194054860594726</v>
      </c>
      <c r="N62" s="78">
        <v>224.76779999999999</v>
      </c>
      <c r="O62" s="113">
        <v>15064.881739143415</v>
      </c>
      <c r="P62" s="109">
        <v>17954.182044737503</v>
      </c>
      <c r="Q62" s="110">
        <v>7513.8655494313916</v>
      </c>
      <c r="R62" s="258">
        <v>22578.747288574807</v>
      </c>
      <c r="S62" s="259">
        <v>25468.047594168893</v>
      </c>
      <c r="U62" s="7" t="s">
        <v>2916</v>
      </c>
    </row>
    <row r="63" spans="1:21" ht="16.5" customHeight="1" thickBot="1">
      <c r="A63" s="41" t="s">
        <v>31</v>
      </c>
      <c r="B63" s="42">
        <f t="shared" si="3"/>
        <v>140</v>
      </c>
      <c r="C63" s="42" t="s">
        <v>3</v>
      </c>
      <c r="D63" s="42">
        <f t="shared" si="4"/>
        <v>200</v>
      </c>
      <c r="E63" s="42" t="s">
        <v>3</v>
      </c>
      <c r="F63" s="90">
        <f t="shared" si="5"/>
        <v>700</v>
      </c>
      <c r="G63" s="42" t="s">
        <v>3</v>
      </c>
      <c r="H63" s="39">
        <v>4</v>
      </c>
      <c r="I63" s="40" t="s">
        <v>41</v>
      </c>
      <c r="J63" s="149">
        <v>140</v>
      </c>
      <c r="K63" s="66">
        <v>200</v>
      </c>
      <c r="L63" s="66">
        <v>700</v>
      </c>
      <c r="M63" s="164">
        <v>6.9891155860826313</v>
      </c>
      <c r="N63" s="78">
        <v>262.22909999999996</v>
      </c>
      <c r="O63" s="113">
        <v>15794.085688077454</v>
      </c>
      <c r="P63" s="109">
        <v>18860.882068966079</v>
      </c>
      <c r="Q63" s="110">
        <v>8155.8760034286815</v>
      </c>
      <c r="R63" s="258">
        <v>23949.961691506134</v>
      </c>
      <c r="S63" s="259">
        <v>27016.758072394761</v>
      </c>
      <c r="U63" s="7" t="s">
        <v>2917</v>
      </c>
    </row>
    <row r="64" spans="1:21" ht="16.5" customHeight="1" thickBot="1">
      <c r="A64" s="41" t="s">
        <v>31</v>
      </c>
      <c r="B64" s="42">
        <f t="shared" si="3"/>
        <v>140</v>
      </c>
      <c r="C64" s="42" t="s">
        <v>3</v>
      </c>
      <c r="D64" s="42">
        <f t="shared" si="4"/>
        <v>200</v>
      </c>
      <c r="E64" s="42" t="s">
        <v>3</v>
      </c>
      <c r="F64" s="90">
        <f t="shared" si="5"/>
        <v>750</v>
      </c>
      <c r="G64" s="42" t="s">
        <v>3</v>
      </c>
      <c r="H64" s="39">
        <v>4</v>
      </c>
      <c r="I64" s="40" t="s">
        <v>41</v>
      </c>
      <c r="J64" s="149">
        <v>140</v>
      </c>
      <c r="K64" s="66">
        <v>200</v>
      </c>
      <c r="L64" s="66">
        <v>750</v>
      </c>
      <c r="M64" s="164">
        <v>7.4417856861057903</v>
      </c>
      <c r="N64" s="78">
        <v>299.69040000000001</v>
      </c>
      <c r="O64" s="113">
        <v>16523.28963701149</v>
      </c>
      <c r="P64" s="109">
        <v>19767.582093194658</v>
      </c>
      <c r="Q64" s="110">
        <v>8546.5523196422018</v>
      </c>
      <c r="R64" s="258">
        <v>25069.84195665369</v>
      </c>
      <c r="S64" s="259">
        <v>28314.134412836858</v>
      </c>
      <c r="U64" s="7" t="s">
        <v>2918</v>
      </c>
    </row>
    <row r="65" spans="1:21" ht="16.5" customHeight="1" thickBot="1">
      <c r="A65" s="41" t="s">
        <v>31</v>
      </c>
      <c r="B65" s="42">
        <f t="shared" si="3"/>
        <v>140</v>
      </c>
      <c r="C65" s="42" t="s">
        <v>3</v>
      </c>
      <c r="D65" s="42">
        <f t="shared" si="4"/>
        <v>200</v>
      </c>
      <c r="E65" s="42" t="s">
        <v>3</v>
      </c>
      <c r="F65" s="90">
        <f t="shared" si="5"/>
        <v>800</v>
      </c>
      <c r="G65" s="42" t="s">
        <v>3</v>
      </c>
      <c r="H65" s="39">
        <v>4</v>
      </c>
      <c r="I65" s="40" t="s">
        <v>41</v>
      </c>
      <c r="J65" s="149">
        <v>140</v>
      </c>
      <c r="K65" s="66">
        <v>200</v>
      </c>
      <c r="L65" s="66">
        <v>800</v>
      </c>
      <c r="M65" s="164">
        <v>7.8944557861289475</v>
      </c>
      <c r="N65" s="78">
        <v>337.15170000000001</v>
      </c>
      <c r="O65" s="113">
        <v>17252.493585945529</v>
      </c>
      <c r="P65" s="109">
        <v>20674.282117423238</v>
      </c>
      <c r="Q65" s="110">
        <v>8937.2286358557212</v>
      </c>
      <c r="R65" s="258">
        <v>26189.72222180125</v>
      </c>
      <c r="S65" s="259">
        <v>29611.510753278959</v>
      </c>
      <c r="U65" s="7" t="s">
        <v>2919</v>
      </c>
    </row>
    <row r="66" spans="1:21" ht="16.5" customHeight="1" thickBot="1">
      <c r="A66" s="41" t="s">
        <v>31</v>
      </c>
      <c r="B66" s="42">
        <f t="shared" si="3"/>
        <v>140</v>
      </c>
      <c r="C66" s="42" t="s">
        <v>3</v>
      </c>
      <c r="D66" s="42">
        <f t="shared" si="4"/>
        <v>200</v>
      </c>
      <c r="E66" s="42" t="s">
        <v>3</v>
      </c>
      <c r="F66" s="90">
        <f t="shared" si="5"/>
        <v>850</v>
      </c>
      <c r="G66" s="42" t="s">
        <v>3</v>
      </c>
      <c r="H66" s="39">
        <v>4</v>
      </c>
      <c r="I66" s="40" t="s">
        <v>41</v>
      </c>
      <c r="J66" s="149">
        <v>140</v>
      </c>
      <c r="K66" s="66">
        <v>200</v>
      </c>
      <c r="L66" s="66">
        <v>850</v>
      </c>
      <c r="M66" s="164">
        <v>8.3641658861521044</v>
      </c>
      <c r="N66" s="78">
        <v>374.613</v>
      </c>
      <c r="O66" s="113">
        <v>17981.697534879564</v>
      </c>
      <c r="P66" s="109">
        <v>21580.982141651817</v>
      </c>
      <c r="Q66" s="110">
        <v>9579.239089853012</v>
      </c>
      <c r="R66" s="258">
        <v>27560.936624732574</v>
      </c>
      <c r="S66" s="259">
        <v>31160.221231504831</v>
      </c>
      <c r="U66" s="7" t="s">
        <v>2920</v>
      </c>
    </row>
    <row r="67" spans="1:21" ht="16.5" customHeight="1" thickBot="1">
      <c r="A67" s="41" t="s">
        <v>31</v>
      </c>
      <c r="B67" s="42">
        <f t="shared" si="3"/>
        <v>140</v>
      </c>
      <c r="C67" s="42" t="s">
        <v>3</v>
      </c>
      <c r="D67" s="42">
        <f t="shared" si="4"/>
        <v>200</v>
      </c>
      <c r="E67" s="42" t="s">
        <v>3</v>
      </c>
      <c r="F67" s="90">
        <f t="shared" si="5"/>
        <v>900</v>
      </c>
      <c r="G67" s="42" t="s">
        <v>3</v>
      </c>
      <c r="H67" s="39">
        <v>4</v>
      </c>
      <c r="I67" s="40" t="s">
        <v>41</v>
      </c>
      <c r="J67" s="149">
        <v>140</v>
      </c>
      <c r="K67" s="66">
        <v>200</v>
      </c>
      <c r="L67" s="66">
        <v>900</v>
      </c>
      <c r="M67" s="164">
        <v>8.8168359861752634</v>
      </c>
      <c r="N67" s="78">
        <v>412.07430000000005</v>
      </c>
      <c r="O67" s="113">
        <v>18710.901483813606</v>
      </c>
      <c r="P67" s="109">
        <v>22487.682165880396</v>
      </c>
      <c r="Q67" s="110">
        <v>9969.915559095296</v>
      </c>
      <c r="R67" s="258">
        <v>28680.8170429089</v>
      </c>
      <c r="S67" s="259">
        <v>32457.597724975691</v>
      </c>
      <c r="U67" s="7" t="s">
        <v>2921</v>
      </c>
    </row>
    <row r="68" spans="1:21" ht="16.5" customHeight="1" thickBot="1">
      <c r="A68" s="41" t="s">
        <v>31</v>
      </c>
      <c r="B68" s="42">
        <f t="shared" si="3"/>
        <v>140</v>
      </c>
      <c r="C68" s="42" t="s">
        <v>3</v>
      </c>
      <c r="D68" s="42">
        <f t="shared" si="4"/>
        <v>200</v>
      </c>
      <c r="E68" s="42" t="s">
        <v>3</v>
      </c>
      <c r="F68" s="90">
        <f t="shared" si="5"/>
        <v>950</v>
      </c>
      <c r="G68" s="42" t="s">
        <v>3</v>
      </c>
      <c r="H68" s="39">
        <v>4</v>
      </c>
      <c r="I68" s="40" t="s">
        <v>41</v>
      </c>
      <c r="J68" s="149">
        <v>140</v>
      </c>
      <c r="K68" s="66">
        <v>200</v>
      </c>
      <c r="L68" s="66">
        <v>950</v>
      </c>
      <c r="M68" s="164">
        <v>9.2865460861984204</v>
      </c>
      <c r="N68" s="78">
        <v>449.53559999999999</v>
      </c>
      <c r="O68" s="113">
        <v>19440.105432747645</v>
      </c>
      <c r="P68" s="109">
        <v>23394.382190108976</v>
      </c>
      <c r="Q68" s="110">
        <v>10611.926013092587</v>
      </c>
      <c r="R68" s="258">
        <v>30052.031445840232</v>
      </c>
      <c r="S68" s="259">
        <v>34006.308203201566</v>
      </c>
      <c r="U68" s="7" t="s">
        <v>2922</v>
      </c>
    </row>
    <row r="69" spans="1:21" ht="16.5" customHeight="1" thickBot="1">
      <c r="A69" s="41" t="s">
        <v>31</v>
      </c>
      <c r="B69" s="42">
        <f t="shared" si="3"/>
        <v>140</v>
      </c>
      <c r="C69" s="42" t="s">
        <v>3</v>
      </c>
      <c r="D69" s="42">
        <f t="shared" si="4"/>
        <v>200</v>
      </c>
      <c r="E69" s="42" t="s">
        <v>3</v>
      </c>
      <c r="F69" s="90">
        <f t="shared" si="5"/>
        <v>1000</v>
      </c>
      <c r="G69" s="42" t="s">
        <v>3</v>
      </c>
      <c r="H69" s="39">
        <v>4</v>
      </c>
      <c r="I69" s="40" t="s">
        <v>41</v>
      </c>
      <c r="J69" s="149">
        <v>140</v>
      </c>
      <c r="K69" s="66">
        <v>200</v>
      </c>
      <c r="L69" s="66">
        <v>1000</v>
      </c>
      <c r="M69" s="164">
        <v>9.7392161862215794</v>
      </c>
      <c r="N69" s="78">
        <v>486.99690000000004</v>
      </c>
      <c r="O69" s="113">
        <v>20169.30938168168</v>
      </c>
      <c r="P69" s="109">
        <v>24301.082214337552</v>
      </c>
      <c r="Q69" s="110">
        <v>11002.602329306106</v>
      </c>
      <c r="R69" s="258">
        <v>31171.911710987784</v>
      </c>
      <c r="S69" s="259">
        <v>35303.684543643656</v>
      </c>
      <c r="U69" s="7" t="s">
        <v>2923</v>
      </c>
    </row>
    <row r="70" spans="1:21" ht="16.5" customHeight="1" thickBot="1">
      <c r="A70" s="41" t="s">
        <v>31</v>
      </c>
      <c r="B70" s="42">
        <f t="shared" si="3"/>
        <v>140</v>
      </c>
      <c r="C70" s="42" t="s">
        <v>3</v>
      </c>
      <c r="D70" s="42">
        <f t="shared" si="4"/>
        <v>200</v>
      </c>
      <c r="E70" s="42" t="s">
        <v>3</v>
      </c>
      <c r="F70" s="90">
        <f t="shared" si="5"/>
        <v>1050</v>
      </c>
      <c r="G70" s="42" t="s">
        <v>3</v>
      </c>
      <c r="H70" s="39">
        <v>4</v>
      </c>
      <c r="I70" s="40" t="s">
        <v>41</v>
      </c>
      <c r="J70" s="149">
        <v>140</v>
      </c>
      <c r="K70" s="66">
        <v>200</v>
      </c>
      <c r="L70" s="66">
        <v>1050</v>
      </c>
      <c r="M70" s="164">
        <v>10.208926286244736</v>
      </c>
      <c r="N70" s="78">
        <v>524.45819999999992</v>
      </c>
      <c r="O70" s="113">
        <v>20898.513330615719</v>
      </c>
      <c r="P70" s="109">
        <v>25207.782238566135</v>
      </c>
      <c r="Q70" s="110">
        <v>11644.612783303395</v>
      </c>
      <c r="R70" s="258">
        <v>32543.126113919112</v>
      </c>
      <c r="S70" s="259">
        <v>36852.395021869532</v>
      </c>
      <c r="U70" s="7" t="s">
        <v>2924</v>
      </c>
    </row>
    <row r="71" spans="1:21" ht="16.5" customHeight="1" thickBot="1">
      <c r="A71" s="38" t="s">
        <v>31</v>
      </c>
      <c r="B71" s="39">
        <f t="shared" si="3"/>
        <v>140</v>
      </c>
      <c r="C71" s="39" t="s">
        <v>3</v>
      </c>
      <c r="D71" s="39">
        <f t="shared" si="4"/>
        <v>200</v>
      </c>
      <c r="E71" s="39" t="s">
        <v>3</v>
      </c>
      <c r="F71" s="90">
        <f t="shared" si="5"/>
        <v>1100</v>
      </c>
      <c r="G71" s="39" t="s">
        <v>3</v>
      </c>
      <c r="H71" s="39">
        <v>4</v>
      </c>
      <c r="I71" s="40" t="s">
        <v>41</v>
      </c>
      <c r="J71" s="149">
        <v>140</v>
      </c>
      <c r="K71" s="66">
        <v>200</v>
      </c>
      <c r="L71" s="66">
        <v>1100</v>
      </c>
      <c r="M71" s="164">
        <v>10.661596386267892</v>
      </c>
      <c r="N71" s="78">
        <v>561.91949999999997</v>
      </c>
      <c r="O71" s="113">
        <v>21627.717279549757</v>
      </c>
      <c r="P71" s="109">
        <v>26114.482109765948</v>
      </c>
      <c r="Q71" s="110">
        <v>12035.289252545683</v>
      </c>
      <c r="R71" s="258">
        <v>33663.006532095438</v>
      </c>
      <c r="S71" s="259">
        <v>38149.771362311629</v>
      </c>
      <c r="U71" s="7" t="s">
        <v>2925</v>
      </c>
    </row>
    <row r="72" spans="1:21" ht="16.5" customHeight="1" thickBot="1">
      <c r="A72" s="41" t="s">
        <v>31</v>
      </c>
      <c r="B72" s="42">
        <f t="shared" si="3"/>
        <v>140</v>
      </c>
      <c r="C72" s="42" t="s">
        <v>3</v>
      </c>
      <c r="D72" s="42">
        <f t="shared" si="4"/>
        <v>200</v>
      </c>
      <c r="E72" s="42" t="s">
        <v>3</v>
      </c>
      <c r="F72" s="90">
        <f t="shared" si="5"/>
        <v>1150</v>
      </c>
      <c r="G72" s="42" t="s">
        <v>3</v>
      </c>
      <c r="H72" s="39">
        <v>4</v>
      </c>
      <c r="I72" s="40" t="s">
        <v>41</v>
      </c>
      <c r="J72" s="149">
        <v>140</v>
      </c>
      <c r="K72" s="66">
        <v>200</v>
      </c>
      <c r="L72" s="66">
        <v>1150</v>
      </c>
      <c r="M72" s="164">
        <v>11.114266486291054</v>
      </c>
      <c r="N72" s="78">
        <v>599.38080000000002</v>
      </c>
      <c r="O72" s="113">
        <v>22356.921228483796</v>
      </c>
      <c r="P72" s="109">
        <v>27021.182133994527</v>
      </c>
      <c r="Q72" s="110">
        <v>12425.965568759202</v>
      </c>
      <c r="R72" s="258">
        <v>34782.886797243002</v>
      </c>
      <c r="S72" s="259">
        <v>39447.147702753733</v>
      </c>
      <c r="U72" s="7" t="s">
        <v>2926</v>
      </c>
    </row>
    <row r="73" spans="1:21" ht="16.5" customHeight="1" thickBot="1">
      <c r="A73" s="41" t="s">
        <v>31</v>
      </c>
      <c r="B73" s="42">
        <f t="shared" si="3"/>
        <v>140</v>
      </c>
      <c r="C73" s="42" t="s">
        <v>3</v>
      </c>
      <c r="D73" s="42">
        <f t="shared" si="4"/>
        <v>200</v>
      </c>
      <c r="E73" s="42" t="s">
        <v>3</v>
      </c>
      <c r="F73" s="90">
        <f t="shared" si="5"/>
        <v>1200</v>
      </c>
      <c r="G73" s="42" t="s">
        <v>3</v>
      </c>
      <c r="H73" s="39">
        <v>4</v>
      </c>
      <c r="I73" s="40" t="s">
        <v>41</v>
      </c>
      <c r="J73" s="149">
        <v>140</v>
      </c>
      <c r="K73" s="66">
        <v>200</v>
      </c>
      <c r="L73" s="66">
        <v>1200</v>
      </c>
      <c r="M73" s="164">
        <v>11.662476586314209</v>
      </c>
      <c r="N73" s="78">
        <v>636.84209999999996</v>
      </c>
      <c r="O73" s="113">
        <v>23170.223359522399</v>
      </c>
      <c r="P73" s="109">
        <v>28012.49390486343</v>
      </c>
      <c r="Q73" s="110">
        <v>13067.976022756491</v>
      </c>
      <c r="R73" s="258">
        <v>36238.199382278894</v>
      </c>
      <c r="S73" s="259">
        <v>41080.469927619924</v>
      </c>
      <c r="U73" s="7" t="s">
        <v>2927</v>
      </c>
    </row>
    <row r="74" spans="1:21" ht="16.5" customHeight="1" thickBot="1">
      <c r="A74" s="41" t="s">
        <v>31</v>
      </c>
      <c r="B74" s="42">
        <f t="shared" si="3"/>
        <v>140</v>
      </c>
      <c r="C74" s="42" t="s">
        <v>3</v>
      </c>
      <c r="D74" s="42">
        <f t="shared" si="4"/>
        <v>200</v>
      </c>
      <c r="E74" s="42" t="s">
        <v>3</v>
      </c>
      <c r="F74" s="90">
        <f t="shared" si="5"/>
        <v>1250</v>
      </c>
      <c r="G74" s="42" t="s">
        <v>3</v>
      </c>
      <c r="H74" s="39">
        <v>4</v>
      </c>
      <c r="I74" s="40" t="s">
        <v>41</v>
      </c>
      <c r="J74" s="149">
        <v>140</v>
      </c>
      <c r="K74" s="66">
        <v>200</v>
      </c>
      <c r="L74" s="66">
        <v>1250</v>
      </c>
      <c r="M74" s="164">
        <v>12.115146686337367</v>
      </c>
      <c r="N74" s="78">
        <v>674.30340000000001</v>
      </c>
      <c r="O74" s="113">
        <v>23899.427308456434</v>
      </c>
      <c r="P74" s="109">
        <v>28919.193929092009</v>
      </c>
      <c r="Q74" s="110">
        <v>13458.652338970012</v>
      </c>
      <c r="R74" s="258">
        <v>37358.07964742645</v>
      </c>
      <c r="S74" s="259">
        <v>42377.846268062021</v>
      </c>
      <c r="U74" s="7" t="s">
        <v>2928</v>
      </c>
    </row>
    <row r="75" spans="1:21" ht="16.5" customHeight="1" thickBot="1">
      <c r="A75" s="41" t="s">
        <v>31</v>
      </c>
      <c r="B75" s="42">
        <f t="shared" si="3"/>
        <v>140</v>
      </c>
      <c r="C75" s="42" t="s">
        <v>3</v>
      </c>
      <c r="D75" s="42">
        <f t="shared" si="4"/>
        <v>200</v>
      </c>
      <c r="E75" s="42" t="s">
        <v>3</v>
      </c>
      <c r="F75" s="90">
        <f t="shared" si="5"/>
        <v>1300</v>
      </c>
      <c r="G75" s="42" t="s">
        <v>3</v>
      </c>
      <c r="H75" s="39">
        <v>4</v>
      </c>
      <c r="I75" s="40" t="s">
        <v>41</v>
      </c>
      <c r="J75" s="149">
        <v>140</v>
      </c>
      <c r="K75" s="66">
        <v>200</v>
      </c>
      <c r="L75" s="66">
        <v>1300</v>
      </c>
      <c r="M75" s="164">
        <v>12.584856786360525</v>
      </c>
      <c r="N75" s="78">
        <v>711.76469999999995</v>
      </c>
      <c r="O75" s="113">
        <v>24628.631257390472</v>
      </c>
      <c r="P75" s="109">
        <v>29825.893953320585</v>
      </c>
      <c r="Q75" s="110">
        <v>14100.662792967301</v>
      </c>
      <c r="R75" s="258">
        <v>38729.29405035777</v>
      </c>
      <c r="S75" s="259">
        <v>43926.556746287883</v>
      </c>
      <c r="U75" s="7" t="s">
        <v>2929</v>
      </c>
    </row>
    <row r="76" spans="1:21" ht="16.5" customHeight="1" thickBot="1">
      <c r="A76" s="41" t="s">
        <v>31</v>
      </c>
      <c r="B76" s="42">
        <f t="shared" si="3"/>
        <v>140</v>
      </c>
      <c r="C76" s="42" t="s">
        <v>3</v>
      </c>
      <c r="D76" s="42">
        <f t="shared" si="4"/>
        <v>200</v>
      </c>
      <c r="E76" s="42" t="s">
        <v>3</v>
      </c>
      <c r="F76" s="90">
        <f t="shared" si="5"/>
        <v>1350</v>
      </c>
      <c r="G76" s="42" t="s">
        <v>3</v>
      </c>
      <c r="H76" s="39">
        <v>4</v>
      </c>
      <c r="I76" s="40" t="s">
        <v>41</v>
      </c>
      <c r="J76" s="149">
        <v>140</v>
      </c>
      <c r="K76" s="66">
        <v>200</v>
      </c>
      <c r="L76" s="66">
        <v>1350</v>
      </c>
      <c r="M76" s="164">
        <v>13.037526886383684</v>
      </c>
      <c r="N76" s="78">
        <v>749.226</v>
      </c>
      <c r="O76" s="113">
        <v>25357.835206324511</v>
      </c>
      <c r="P76" s="109">
        <v>30732.593977549164</v>
      </c>
      <c r="Q76" s="110">
        <v>14491.339262209587</v>
      </c>
      <c r="R76" s="258">
        <v>39849.174468534096</v>
      </c>
      <c r="S76" s="259">
        <v>45223.93323975875</v>
      </c>
      <c r="U76" s="7" t="s">
        <v>2930</v>
      </c>
    </row>
    <row r="77" spans="1:21" ht="16.5" customHeight="1" thickBot="1">
      <c r="A77" s="41" t="s">
        <v>31</v>
      </c>
      <c r="B77" s="42">
        <f t="shared" si="3"/>
        <v>140</v>
      </c>
      <c r="C77" s="42" t="s">
        <v>3</v>
      </c>
      <c r="D77" s="42">
        <f t="shared" si="4"/>
        <v>200</v>
      </c>
      <c r="E77" s="42" t="s">
        <v>3</v>
      </c>
      <c r="F77" s="90">
        <f t="shared" si="5"/>
        <v>1400</v>
      </c>
      <c r="G77" s="42" t="s">
        <v>3</v>
      </c>
      <c r="H77" s="39">
        <v>4</v>
      </c>
      <c r="I77" s="40" t="s">
        <v>41</v>
      </c>
      <c r="J77" s="149">
        <v>140</v>
      </c>
      <c r="K77" s="66">
        <v>200</v>
      </c>
      <c r="L77" s="66">
        <v>1400</v>
      </c>
      <c r="M77" s="164">
        <v>13.507236986406841</v>
      </c>
      <c r="N77" s="78">
        <v>786.68730000000005</v>
      </c>
      <c r="O77" s="113">
        <v>26087.039155258553</v>
      </c>
      <c r="P77" s="109">
        <v>31639.294001777744</v>
      </c>
      <c r="Q77" s="110">
        <v>15133.349716206876</v>
      </c>
      <c r="R77" s="258">
        <v>41220.388871465431</v>
      </c>
      <c r="S77" s="259">
        <v>46772.643717984618</v>
      </c>
      <c r="U77" s="7" t="s">
        <v>2931</v>
      </c>
    </row>
    <row r="78" spans="1:21" ht="16.5" customHeight="1" thickBot="1">
      <c r="A78" s="41" t="s">
        <v>31</v>
      </c>
      <c r="B78" s="42">
        <f t="shared" si="3"/>
        <v>140</v>
      </c>
      <c r="C78" s="42" t="s">
        <v>3</v>
      </c>
      <c r="D78" s="42">
        <f t="shared" si="4"/>
        <v>200</v>
      </c>
      <c r="E78" s="42" t="s">
        <v>3</v>
      </c>
      <c r="F78" s="90">
        <f t="shared" si="5"/>
        <v>1450</v>
      </c>
      <c r="G78" s="42" t="s">
        <v>3</v>
      </c>
      <c r="H78" s="39">
        <v>4</v>
      </c>
      <c r="I78" s="40" t="s">
        <v>41</v>
      </c>
      <c r="J78" s="149">
        <v>140</v>
      </c>
      <c r="K78" s="66">
        <v>200</v>
      </c>
      <c r="L78" s="66">
        <v>1450</v>
      </c>
      <c r="M78" s="164">
        <v>13.959907086430002</v>
      </c>
      <c r="N78" s="78">
        <v>824.1486000000001</v>
      </c>
      <c r="O78" s="113">
        <v>26816.243104192588</v>
      </c>
      <c r="P78" s="109">
        <v>32545.993872977557</v>
      </c>
      <c r="Q78" s="110">
        <v>15524.026032420395</v>
      </c>
      <c r="R78" s="258">
        <v>42340.269136612987</v>
      </c>
      <c r="S78" s="259">
        <v>48070.019905397952</v>
      </c>
      <c r="U78" s="7" t="s">
        <v>2932</v>
      </c>
    </row>
    <row r="79" spans="1:21" ht="16.5" customHeight="1" thickBot="1">
      <c r="A79" s="41" t="s">
        <v>31</v>
      </c>
      <c r="B79" s="42">
        <f t="shared" si="3"/>
        <v>140</v>
      </c>
      <c r="C79" s="42" t="s">
        <v>3</v>
      </c>
      <c r="D79" s="42">
        <f t="shared" si="4"/>
        <v>200</v>
      </c>
      <c r="E79" s="42" t="s">
        <v>3</v>
      </c>
      <c r="F79" s="90">
        <f t="shared" si="5"/>
        <v>1500</v>
      </c>
      <c r="G79" s="42" t="s">
        <v>3</v>
      </c>
      <c r="H79" s="39">
        <v>4</v>
      </c>
      <c r="I79" s="40" t="s">
        <v>41</v>
      </c>
      <c r="J79" s="149">
        <v>140</v>
      </c>
      <c r="K79" s="66">
        <v>200</v>
      </c>
      <c r="L79" s="66">
        <v>1500</v>
      </c>
      <c r="M79" s="164">
        <v>14.516547308753157</v>
      </c>
      <c r="N79" s="78">
        <v>861.60989999999993</v>
      </c>
      <c r="O79" s="113">
        <v>28151.30905222609</v>
      </c>
      <c r="P79" s="109">
        <v>33990.404994843477</v>
      </c>
      <c r="Q79" s="110">
        <v>16166.036486417688</v>
      </c>
      <c r="R79" s="258">
        <v>44317.345538643778</v>
      </c>
      <c r="S79" s="259">
        <v>50156.441481261165</v>
      </c>
      <c r="U79" s="7" t="s">
        <v>2933</v>
      </c>
    </row>
    <row r="80" spans="1:21" ht="16.5" customHeight="1" thickBot="1">
      <c r="A80" s="41" t="s">
        <v>31</v>
      </c>
      <c r="B80" s="42">
        <f t="shared" si="3"/>
        <v>140</v>
      </c>
      <c r="C80" s="42" t="s">
        <v>3</v>
      </c>
      <c r="D80" s="42">
        <f t="shared" si="4"/>
        <v>200</v>
      </c>
      <c r="E80" s="42" t="s">
        <v>3</v>
      </c>
      <c r="F80" s="90">
        <f t="shared" si="5"/>
        <v>1550</v>
      </c>
      <c r="G80" s="42" t="s">
        <v>3</v>
      </c>
      <c r="H80" s="39">
        <v>4</v>
      </c>
      <c r="I80" s="40" t="s">
        <v>41</v>
      </c>
      <c r="J80" s="149">
        <v>140</v>
      </c>
      <c r="K80" s="66">
        <v>200</v>
      </c>
      <c r="L80" s="66">
        <v>1550</v>
      </c>
      <c r="M80" s="164">
        <v>14.969217408776313</v>
      </c>
      <c r="N80" s="78">
        <v>899.07119999999998</v>
      </c>
      <c r="O80" s="113">
        <v>28880.513001160129</v>
      </c>
      <c r="P80" s="109">
        <v>34897.105019072049</v>
      </c>
      <c r="Q80" s="110">
        <v>16556.712955659972</v>
      </c>
      <c r="R80" s="258">
        <v>45437.225956820097</v>
      </c>
      <c r="S80" s="259">
        <v>51453.817974732025</v>
      </c>
      <c r="U80" s="7" t="s">
        <v>2934</v>
      </c>
    </row>
    <row r="81" spans="1:21" ht="16.5" customHeight="1" thickBot="1">
      <c r="A81" s="38" t="s">
        <v>31</v>
      </c>
      <c r="B81" s="39">
        <f t="shared" si="3"/>
        <v>140</v>
      </c>
      <c r="C81" s="39" t="s">
        <v>3</v>
      </c>
      <c r="D81" s="39">
        <f t="shared" si="4"/>
        <v>200</v>
      </c>
      <c r="E81" s="39" t="s">
        <v>3</v>
      </c>
      <c r="F81" s="90">
        <f t="shared" si="5"/>
        <v>1600</v>
      </c>
      <c r="G81" s="39" t="s">
        <v>3</v>
      </c>
      <c r="H81" s="39">
        <v>4</v>
      </c>
      <c r="I81" s="40" t="s">
        <v>41</v>
      </c>
      <c r="J81" s="149">
        <v>140</v>
      </c>
      <c r="K81" s="66">
        <v>200</v>
      </c>
      <c r="L81" s="66">
        <v>1600</v>
      </c>
      <c r="M81" s="164">
        <v>15.421887508799472</v>
      </c>
      <c r="N81" s="78">
        <v>936.53250000000003</v>
      </c>
      <c r="O81" s="113">
        <v>29609.716950094164</v>
      </c>
      <c r="P81" s="109">
        <v>35803.805043300636</v>
      </c>
      <c r="Q81" s="110">
        <v>16947.389271873493</v>
      </c>
      <c r="R81" s="258">
        <v>46557.106221967653</v>
      </c>
      <c r="S81" s="259">
        <v>52751.194315174129</v>
      </c>
      <c r="U81" s="7" t="s">
        <v>2935</v>
      </c>
    </row>
    <row r="82" spans="1:21" ht="16.5" customHeight="1" thickBot="1">
      <c r="A82" s="41" t="s">
        <v>31</v>
      </c>
      <c r="B82" s="42">
        <f t="shared" si="3"/>
        <v>140</v>
      </c>
      <c r="C82" s="42" t="s">
        <v>3</v>
      </c>
      <c r="D82" s="42">
        <f t="shared" si="4"/>
        <v>200</v>
      </c>
      <c r="E82" s="42" t="s">
        <v>3</v>
      </c>
      <c r="F82" s="90">
        <f t="shared" si="5"/>
        <v>1650</v>
      </c>
      <c r="G82" s="42" t="s">
        <v>3</v>
      </c>
      <c r="H82" s="39">
        <v>4</v>
      </c>
      <c r="I82" s="40" t="s">
        <v>41</v>
      </c>
      <c r="J82" s="149">
        <v>140</v>
      </c>
      <c r="K82" s="66">
        <v>200</v>
      </c>
      <c r="L82" s="66">
        <v>1650</v>
      </c>
      <c r="M82" s="164">
        <v>15.891597608822631</v>
      </c>
      <c r="N82" s="78">
        <v>973.99380000000008</v>
      </c>
      <c r="O82" s="113">
        <v>30338.920899028199</v>
      </c>
      <c r="P82" s="109">
        <v>36710.505067529215</v>
      </c>
      <c r="Q82" s="110">
        <v>17589.399725870782</v>
      </c>
      <c r="R82" s="258">
        <v>47928.320624898981</v>
      </c>
      <c r="S82" s="259">
        <v>54299.904793399997</v>
      </c>
      <c r="U82" s="7" t="s">
        <v>2936</v>
      </c>
    </row>
    <row r="83" spans="1:21" ht="16.5" customHeight="1" thickBot="1">
      <c r="A83" s="41" t="s">
        <v>31</v>
      </c>
      <c r="B83" s="42">
        <f t="shared" si="3"/>
        <v>140</v>
      </c>
      <c r="C83" s="42" t="s">
        <v>3</v>
      </c>
      <c r="D83" s="42">
        <f t="shared" si="4"/>
        <v>200</v>
      </c>
      <c r="E83" s="42" t="s">
        <v>3</v>
      </c>
      <c r="F83" s="90">
        <f t="shared" si="5"/>
        <v>1700</v>
      </c>
      <c r="G83" s="42" t="s">
        <v>3</v>
      </c>
      <c r="H83" s="39">
        <v>4</v>
      </c>
      <c r="I83" s="40" t="s">
        <v>41</v>
      </c>
      <c r="J83" s="149">
        <v>140</v>
      </c>
      <c r="K83" s="66">
        <v>200</v>
      </c>
      <c r="L83" s="66">
        <v>1700</v>
      </c>
      <c r="M83" s="164">
        <v>16.344267708845784</v>
      </c>
      <c r="N83" s="78">
        <v>1011.4551</v>
      </c>
      <c r="O83" s="113">
        <v>31068.124847962241</v>
      </c>
      <c r="P83" s="109">
        <v>37617.205091757794</v>
      </c>
      <c r="Q83" s="110">
        <v>17980.076042084303</v>
      </c>
      <c r="R83" s="258">
        <v>49048.200890046544</v>
      </c>
      <c r="S83" s="259">
        <v>55597.281133842102</v>
      </c>
      <c r="U83" s="7" t="s">
        <v>2937</v>
      </c>
    </row>
    <row r="84" spans="1:21" ht="16.5" customHeight="1" thickBot="1">
      <c r="A84" s="41" t="s">
        <v>31</v>
      </c>
      <c r="B84" s="42">
        <f t="shared" si="3"/>
        <v>140</v>
      </c>
      <c r="C84" s="42" t="s">
        <v>3</v>
      </c>
      <c r="D84" s="42">
        <f t="shared" si="4"/>
        <v>200</v>
      </c>
      <c r="E84" s="42" t="s">
        <v>3</v>
      </c>
      <c r="F84" s="90">
        <f t="shared" si="5"/>
        <v>1750</v>
      </c>
      <c r="G84" s="42" t="s">
        <v>3</v>
      </c>
      <c r="H84" s="39">
        <v>4</v>
      </c>
      <c r="I84" s="40" t="s">
        <v>41</v>
      </c>
      <c r="J84" s="149">
        <v>140</v>
      </c>
      <c r="K84" s="66">
        <v>200</v>
      </c>
      <c r="L84" s="66">
        <v>1750</v>
      </c>
      <c r="M84" s="164">
        <v>16.813977808868945</v>
      </c>
      <c r="N84" s="78">
        <v>1048.9163999999998</v>
      </c>
      <c r="O84" s="113">
        <v>31797.32879689628</v>
      </c>
      <c r="P84" s="109">
        <v>38523.905115986374</v>
      </c>
      <c r="Q84" s="110">
        <v>18622.086496081592</v>
      </c>
      <c r="R84" s="258">
        <v>50419.415292977872</v>
      </c>
      <c r="S84" s="259">
        <v>57145.99161206797</v>
      </c>
      <c r="U84" s="7" t="s">
        <v>2938</v>
      </c>
    </row>
    <row r="85" spans="1:21" ht="16.5" customHeight="1" thickBot="1">
      <c r="A85" s="41" t="s">
        <v>31</v>
      </c>
      <c r="B85" s="42">
        <f t="shared" si="3"/>
        <v>140</v>
      </c>
      <c r="C85" s="42" t="s">
        <v>3</v>
      </c>
      <c r="D85" s="42">
        <f t="shared" si="4"/>
        <v>200</v>
      </c>
      <c r="E85" s="42" t="s">
        <v>3</v>
      </c>
      <c r="F85" s="90">
        <f t="shared" si="5"/>
        <v>1800</v>
      </c>
      <c r="G85" s="42" t="s">
        <v>3</v>
      </c>
      <c r="H85" s="39">
        <v>4</v>
      </c>
      <c r="I85" s="40" t="s">
        <v>41</v>
      </c>
      <c r="J85" s="149">
        <v>140</v>
      </c>
      <c r="K85" s="66">
        <v>200</v>
      </c>
      <c r="L85" s="66">
        <v>1800</v>
      </c>
      <c r="M85" s="164">
        <v>17.2666479088921</v>
      </c>
      <c r="N85" s="78">
        <v>1086.3777</v>
      </c>
      <c r="O85" s="113">
        <v>32526.532745830315</v>
      </c>
      <c r="P85" s="109">
        <v>39430.604987186183</v>
      </c>
      <c r="Q85" s="110">
        <v>19012.762965323876</v>
      </c>
      <c r="R85" s="258">
        <v>51539.295711154191</v>
      </c>
      <c r="S85" s="259">
        <v>58443.36795251006</v>
      </c>
      <c r="U85" s="7" t="s">
        <v>2939</v>
      </c>
    </row>
    <row r="86" spans="1:21" ht="16.5" customHeight="1" thickBot="1">
      <c r="A86" s="41" t="s">
        <v>31</v>
      </c>
      <c r="B86" s="42">
        <f t="shared" si="3"/>
        <v>140</v>
      </c>
      <c r="C86" s="42" t="s">
        <v>3</v>
      </c>
      <c r="D86" s="42">
        <f t="shared" si="4"/>
        <v>200</v>
      </c>
      <c r="E86" s="42" t="s">
        <v>3</v>
      </c>
      <c r="F86" s="90">
        <f t="shared" si="5"/>
        <v>1850</v>
      </c>
      <c r="G86" s="42" t="s">
        <v>3</v>
      </c>
      <c r="H86" s="39">
        <v>4</v>
      </c>
      <c r="I86" s="40" t="s">
        <v>41</v>
      </c>
      <c r="J86" s="149">
        <v>140</v>
      </c>
      <c r="K86" s="66">
        <v>200</v>
      </c>
      <c r="L86" s="66">
        <v>1850</v>
      </c>
      <c r="M86" s="164">
        <v>17.736358008915261</v>
      </c>
      <c r="N86" s="78">
        <v>1123.8389999999999</v>
      </c>
      <c r="O86" s="113">
        <v>33255.736694764353</v>
      </c>
      <c r="P86" s="109">
        <v>40337.305011414763</v>
      </c>
      <c r="Q86" s="110">
        <v>19654.773419321165</v>
      </c>
      <c r="R86" s="258">
        <v>52910.510114085519</v>
      </c>
      <c r="S86" s="259">
        <v>59992.078430735928</v>
      </c>
      <c r="U86" s="7" t="s">
        <v>2940</v>
      </c>
    </row>
    <row r="87" spans="1:21" ht="16.5" customHeight="1" thickBot="1">
      <c r="A87" s="41" t="s">
        <v>31</v>
      </c>
      <c r="B87" s="42">
        <f t="shared" si="3"/>
        <v>140</v>
      </c>
      <c r="C87" s="42" t="s">
        <v>3</v>
      </c>
      <c r="D87" s="42">
        <f t="shared" si="4"/>
        <v>200</v>
      </c>
      <c r="E87" s="42" t="s">
        <v>3</v>
      </c>
      <c r="F87" s="90">
        <f t="shared" si="5"/>
        <v>1900</v>
      </c>
      <c r="G87" s="42" t="s">
        <v>3</v>
      </c>
      <c r="H87" s="39">
        <v>4</v>
      </c>
      <c r="I87" s="40" t="s">
        <v>41</v>
      </c>
      <c r="J87" s="149">
        <v>140</v>
      </c>
      <c r="K87" s="66">
        <v>200</v>
      </c>
      <c r="L87" s="66">
        <v>1900</v>
      </c>
      <c r="M87" s="164">
        <v>18.189028108938416</v>
      </c>
      <c r="N87" s="78">
        <v>1161.3003000000001</v>
      </c>
      <c r="O87" s="113">
        <v>33984.940643698392</v>
      </c>
      <c r="P87" s="109">
        <v>41244.005035643342</v>
      </c>
      <c r="Q87" s="110">
        <v>20045.449735534687</v>
      </c>
      <c r="R87" s="258">
        <v>54030.390379233082</v>
      </c>
      <c r="S87" s="259">
        <v>61289.454771178032</v>
      </c>
      <c r="U87" s="7" t="s">
        <v>2941</v>
      </c>
    </row>
    <row r="88" spans="1:21" ht="16.5" customHeight="1" thickBot="1">
      <c r="A88" s="41" t="s">
        <v>31</v>
      </c>
      <c r="B88" s="42">
        <f t="shared" si="3"/>
        <v>140</v>
      </c>
      <c r="C88" s="42" t="s">
        <v>3</v>
      </c>
      <c r="D88" s="42">
        <f t="shared" si="4"/>
        <v>200</v>
      </c>
      <c r="E88" s="42" t="s">
        <v>3</v>
      </c>
      <c r="F88" s="90">
        <f t="shared" si="5"/>
        <v>1950</v>
      </c>
      <c r="G88" s="42" t="s">
        <v>3</v>
      </c>
      <c r="H88" s="39">
        <v>4</v>
      </c>
      <c r="I88" s="40" t="s">
        <v>41</v>
      </c>
      <c r="J88" s="149">
        <v>140</v>
      </c>
      <c r="K88" s="66">
        <v>200</v>
      </c>
      <c r="L88" s="66">
        <v>1950</v>
      </c>
      <c r="M88" s="164">
        <v>18.72019820896157</v>
      </c>
      <c r="N88" s="78">
        <v>1198.7616</v>
      </c>
      <c r="O88" s="113">
        <v>34798.242927765757</v>
      </c>
      <c r="P88" s="109">
        <v>42235.316806512245</v>
      </c>
      <c r="Q88" s="110">
        <v>20436.126051748208</v>
      </c>
      <c r="R88" s="258">
        <v>55234.368979513965</v>
      </c>
      <c r="S88" s="259">
        <v>62671.442858260452</v>
      </c>
      <c r="U88" s="7" t="s">
        <v>2942</v>
      </c>
    </row>
    <row r="89" spans="1:21" ht="16.5" customHeight="1" thickBot="1">
      <c r="A89" s="41" t="s">
        <v>31</v>
      </c>
      <c r="B89" s="42">
        <f t="shared" si="3"/>
        <v>140</v>
      </c>
      <c r="C89" s="42" t="s">
        <v>3</v>
      </c>
      <c r="D89" s="42">
        <f t="shared" si="4"/>
        <v>200</v>
      </c>
      <c r="E89" s="42" t="s">
        <v>3</v>
      </c>
      <c r="F89" s="90">
        <f t="shared" si="5"/>
        <v>2000</v>
      </c>
      <c r="G89" s="42" t="s">
        <v>3</v>
      </c>
      <c r="H89" s="39">
        <v>4</v>
      </c>
      <c r="I89" s="40" t="s">
        <v>41</v>
      </c>
      <c r="J89" s="149">
        <v>140</v>
      </c>
      <c r="K89" s="66">
        <v>200</v>
      </c>
      <c r="L89" s="66">
        <v>2000</v>
      </c>
      <c r="M89" s="164">
        <v>19.281470708984735</v>
      </c>
      <c r="N89" s="78">
        <v>1236.2229</v>
      </c>
      <c r="O89" s="113">
        <v>35778.738625515631</v>
      </c>
      <c r="P89" s="109">
        <v>43482.838823736864</v>
      </c>
      <c r="Q89" s="110">
        <v>21078.136658774263</v>
      </c>
      <c r="R89" s="258">
        <v>56856.875284289898</v>
      </c>
      <c r="S89" s="259">
        <v>64560.97548251113</v>
      </c>
      <c r="U89" s="7" t="s">
        <v>2943</v>
      </c>
    </row>
    <row r="90" spans="1:21" ht="16.5" customHeight="1" thickBot="1">
      <c r="A90" s="41" t="s">
        <v>31</v>
      </c>
      <c r="B90" s="42">
        <f t="shared" si="3"/>
        <v>140</v>
      </c>
      <c r="C90" s="42" t="s">
        <v>3</v>
      </c>
      <c r="D90" s="42">
        <f t="shared" si="4"/>
        <v>200</v>
      </c>
      <c r="E90" s="42" t="s">
        <v>3</v>
      </c>
      <c r="F90" s="90">
        <f t="shared" si="5"/>
        <v>2050</v>
      </c>
      <c r="G90" s="42" t="s">
        <v>3</v>
      </c>
      <c r="H90" s="39">
        <v>4</v>
      </c>
      <c r="I90" s="40" t="s">
        <v>41</v>
      </c>
      <c r="J90" s="149">
        <v>140</v>
      </c>
      <c r="K90" s="66">
        <v>200</v>
      </c>
      <c r="L90" s="66">
        <v>2050</v>
      </c>
      <c r="M90" s="164">
        <v>19.73414080900789</v>
      </c>
      <c r="N90" s="78">
        <v>1273.6841999999999</v>
      </c>
      <c r="O90" s="113">
        <v>36507.942727478432</v>
      </c>
      <c r="P90" s="109">
        <v>44389.538847965443</v>
      </c>
      <c r="Q90" s="110">
        <v>21468.812974987781</v>
      </c>
      <c r="R90" s="258">
        <v>57976.755702466209</v>
      </c>
      <c r="S90" s="259">
        <v>65858.35182295322</v>
      </c>
      <c r="U90" s="7" t="s">
        <v>2944</v>
      </c>
    </row>
    <row r="91" spans="1:21" ht="16.5" customHeight="1" thickBot="1">
      <c r="A91" s="38" t="s">
        <v>31</v>
      </c>
      <c r="B91" s="39">
        <f t="shared" si="3"/>
        <v>140</v>
      </c>
      <c r="C91" s="39" t="s">
        <v>3</v>
      </c>
      <c r="D91" s="39">
        <f t="shared" si="4"/>
        <v>200</v>
      </c>
      <c r="E91" s="39" t="s">
        <v>3</v>
      </c>
      <c r="F91" s="90">
        <f t="shared" si="5"/>
        <v>2100</v>
      </c>
      <c r="G91" s="39" t="s">
        <v>3</v>
      </c>
      <c r="H91" s="39">
        <v>4</v>
      </c>
      <c r="I91" s="40" t="s">
        <v>41</v>
      </c>
      <c r="J91" s="149">
        <v>140</v>
      </c>
      <c r="K91" s="66">
        <v>200</v>
      </c>
      <c r="L91" s="66">
        <v>2100</v>
      </c>
      <c r="M91" s="164">
        <v>20.203850909031047</v>
      </c>
      <c r="N91" s="78">
        <v>1311.1455000000001</v>
      </c>
      <c r="O91" s="113">
        <v>37237.146676412471</v>
      </c>
      <c r="P91" s="109">
        <v>45296.238872194015</v>
      </c>
      <c r="Q91" s="110">
        <v>22110.823428985073</v>
      </c>
      <c r="R91" s="258">
        <v>59347.970105397544</v>
      </c>
      <c r="S91" s="259">
        <v>67407.062301179089</v>
      </c>
      <c r="U91" s="7" t="s">
        <v>2945</v>
      </c>
    </row>
    <row r="92" spans="1:21" ht="16.5" customHeight="1" thickBot="1">
      <c r="A92" s="41" t="s">
        <v>31</v>
      </c>
      <c r="B92" s="42">
        <f t="shared" si="3"/>
        <v>140</v>
      </c>
      <c r="C92" s="42" t="s">
        <v>3</v>
      </c>
      <c r="D92" s="42">
        <f t="shared" si="4"/>
        <v>200</v>
      </c>
      <c r="E92" s="42" t="s">
        <v>3</v>
      </c>
      <c r="F92" s="90">
        <f t="shared" si="5"/>
        <v>2150</v>
      </c>
      <c r="G92" s="42" t="s">
        <v>3</v>
      </c>
      <c r="H92" s="39">
        <v>4</v>
      </c>
      <c r="I92" s="40" t="s">
        <v>41</v>
      </c>
      <c r="J92" s="149">
        <v>140</v>
      </c>
      <c r="K92" s="66">
        <v>200</v>
      </c>
      <c r="L92" s="66">
        <v>2150</v>
      </c>
      <c r="M92" s="164">
        <v>20.65652100905421</v>
      </c>
      <c r="N92" s="78">
        <v>1348.6068</v>
      </c>
      <c r="O92" s="113">
        <v>37966.350625346509</v>
      </c>
      <c r="P92" s="109">
        <v>46202.938896422595</v>
      </c>
      <c r="Q92" s="110">
        <v>22501.499745198591</v>
      </c>
      <c r="R92" s="258">
        <v>60467.8503705451</v>
      </c>
      <c r="S92" s="259">
        <v>68704.438641621178</v>
      </c>
      <c r="U92" s="7" t="s">
        <v>2946</v>
      </c>
    </row>
    <row r="93" spans="1:21" ht="16.5" customHeight="1" thickBot="1">
      <c r="A93" s="41" t="s">
        <v>31</v>
      </c>
      <c r="B93" s="42">
        <f t="shared" si="3"/>
        <v>140</v>
      </c>
      <c r="C93" s="42" t="s">
        <v>3</v>
      </c>
      <c r="D93" s="42">
        <f t="shared" si="4"/>
        <v>200</v>
      </c>
      <c r="E93" s="42" t="s">
        <v>3</v>
      </c>
      <c r="F93" s="90">
        <f t="shared" si="5"/>
        <v>2200</v>
      </c>
      <c r="G93" s="42" t="s">
        <v>3</v>
      </c>
      <c r="H93" s="39">
        <v>4</v>
      </c>
      <c r="I93" s="40" t="s">
        <v>41</v>
      </c>
      <c r="J93" s="149">
        <v>140</v>
      </c>
      <c r="K93" s="66">
        <v>200</v>
      </c>
      <c r="L93" s="66">
        <v>2200</v>
      </c>
      <c r="M93" s="164">
        <v>21.126231109077366</v>
      </c>
      <c r="N93" s="78">
        <v>1386.0681</v>
      </c>
      <c r="O93" s="113">
        <v>38695.554574280548</v>
      </c>
      <c r="P93" s="109">
        <v>47109.638920651174</v>
      </c>
      <c r="Q93" s="110">
        <v>23143.510199195884</v>
      </c>
      <c r="R93" s="258">
        <v>61839.064773476435</v>
      </c>
      <c r="S93" s="259">
        <v>70253.149119847061</v>
      </c>
      <c r="U93" s="7" t="s">
        <v>2947</v>
      </c>
    </row>
    <row r="94" spans="1:21" ht="16.5" customHeight="1" thickBot="1">
      <c r="A94" s="41" t="s">
        <v>31</v>
      </c>
      <c r="B94" s="42">
        <f t="shared" si="3"/>
        <v>140</v>
      </c>
      <c r="C94" s="42" t="s">
        <v>3</v>
      </c>
      <c r="D94" s="42">
        <f t="shared" si="4"/>
        <v>200</v>
      </c>
      <c r="E94" s="42" t="s">
        <v>3</v>
      </c>
      <c r="F94" s="90">
        <f t="shared" si="5"/>
        <v>2250</v>
      </c>
      <c r="G94" s="42" t="s">
        <v>3</v>
      </c>
      <c r="H94" s="39">
        <v>4</v>
      </c>
      <c r="I94" s="40" t="s">
        <v>41</v>
      </c>
      <c r="J94" s="149">
        <v>140</v>
      </c>
      <c r="K94" s="66">
        <v>200</v>
      </c>
      <c r="L94" s="66">
        <v>2250</v>
      </c>
      <c r="M94" s="164">
        <v>21.578901209100522</v>
      </c>
      <c r="N94" s="78">
        <v>1423.5293999999999</v>
      </c>
      <c r="O94" s="113">
        <v>39424.758523214579</v>
      </c>
      <c r="P94" s="109">
        <v>48016.338944879753</v>
      </c>
      <c r="Q94" s="110">
        <v>23534.186668438168</v>
      </c>
      <c r="R94" s="258">
        <v>62958.945191652747</v>
      </c>
      <c r="S94" s="259">
        <v>71550.525613317921</v>
      </c>
      <c r="U94" s="7" t="s">
        <v>2948</v>
      </c>
    </row>
    <row r="95" spans="1:21" ht="16.5" customHeight="1" thickBot="1">
      <c r="A95" s="41" t="s">
        <v>31</v>
      </c>
      <c r="B95" s="42">
        <f t="shared" si="3"/>
        <v>140</v>
      </c>
      <c r="C95" s="42" t="s">
        <v>3</v>
      </c>
      <c r="D95" s="42">
        <f t="shared" si="4"/>
        <v>200</v>
      </c>
      <c r="E95" s="42" t="s">
        <v>3</v>
      </c>
      <c r="F95" s="90">
        <f t="shared" si="5"/>
        <v>2300</v>
      </c>
      <c r="G95" s="42" t="s">
        <v>3</v>
      </c>
      <c r="H95" s="39">
        <v>4</v>
      </c>
      <c r="I95" s="40" t="s">
        <v>41</v>
      </c>
      <c r="J95" s="149">
        <v>140</v>
      </c>
      <c r="K95" s="66">
        <v>200</v>
      </c>
      <c r="L95" s="66">
        <v>2300</v>
      </c>
      <c r="M95" s="164">
        <v>22.031571309123681</v>
      </c>
      <c r="N95" s="78">
        <v>1460.9907000000001</v>
      </c>
      <c r="O95" s="113">
        <v>40153.962472148625</v>
      </c>
      <c r="P95" s="109">
        <v>48923.03881607957</v>
      </c>
      <c r="Q95" s="110">
        <v>23924.862984651689</v>
      </c>
      <c r="R95" s="258">
        <v>64078.825456800318</v>
      </c>
      <c r="S95" s="259">
        <v>72847.901800731255</v>
      </c>
      <c r="U95" s="7" t="s">
        <v>2949</v>
      </c>
    </row>
    <row r="96" spans="1:21" ht="16.5" customHeight="1" thickBot="1">
      <c r="A96" s="41" t="s">
        <v>31</v>
      </c>
      <c r="B96" s="42">
        <f t="shared" si="3"/>
        <v>140</v>
      </c>
      <c r="C96" s="42" t="s">
        <v>3</v>
      </c>
      <c r="D96" s="42">
        <f t="shared" si="4"/>
        <v>200</v>
      </c>
      <c r="E96" s="42" t="s">
        <v>3</v>
      </c>
      <c r="F96" s="90">
        <f t="shared" si="5"/>
        <v>2350</v>
      </c>
      <c r="G96" s="42" t="s">
        <v>3</v>
      </c>
      <c r="H96" s="39">
        <v>4</v>
      </c>
      <c r="I96" s="40" t="s">
        <v>41</v>
      </c>
      <c r="J96" s="149">
        <v>140</v>
      </c>
      <c r="K96" s="66">
        <v>200</v>
      </c>
      <c r="L96" s="66">
        <v>2350</v>
      </c>
      <c r="M96" s="164">
        <v>22.501281409146841</v>
      </c>
      <c r="N96" s="78">
        <v>1498.452</v>
      </c>
      <c r="O96" s="113">
        <v>40883.166421082664</v>
      </c>
      <c r="P96" s="109">
        <v>49829.73884030815</v>
      </c>
      <c r="Q96" s="110">
        <v>24566.873438648978</v>
      </c>
      <c r="R96" s="258">
        <v>65450.039859731638</v>
      </c>
      <c r="S96" s="259">
        <v>74396.612278957124</v>
      </c>
      <c r="U96" s="7" t="s">
        <v>2950</v>
      </c>
    </row>
    <row r="97" spans="1:21" ht="16.5" customHeight="1" thickBot="1">
      <c r="A97" s="41" t="s">
        <v>31</v>
      </c>
      <c r="B97" s="42">
        <f t="shared" si="3"/>
        <v>140</v>
      </c>
      <c r="C97" s="42" t="s">
        <v>3</v>
      </c>
      <c r="D97" s="42">
        <f t="shared" si="4"/>
        <v>200</v>
      </c>
      <c r="E97" s="42" t="s">
        <v>3</v>
      </c>
      <c r="F97" s="90">
        <f t="shared" si="5"/>
        <v>2400</v>
      </c>
      <c r="G97" s="42" t="s">
        <v>3</v>
      </c>
      <c r="H97" s="39">
        <v>4</v>
      </c>
      <c r="I97" s="40" t="s">
        <v>41</v>
      </c>
      <c r="J97" s="149">
        <v>140</v>
      </c>
      <c r="K97" s="66">
        <v>200</v>
      </c>
      <c r="L97" s="66">
        <v>2400</v>
      </c>
      <c r="M97" s="164">
        <v>22.953951509169997</v>
      </c>
      <c r="N97" s="78">
        <v>1535.9132999999999</v>
      </c>
      <c r="O97" s="113">
        <v>41612.370370016695</v>
      </c>
      <c r="P97" s="109">
        <v>50736.438864536729</v>
      </c>
      <c r="Q97" s="110">
        <v>24957.549754862499</v>
      </c>
      <c r="R97" s="258">
        <v>66569.920124879194</v>
      </c>
      <c r="S97" s="259">
        <v>75693.988619399228</v>
      </c>
      <c r="U97" s="7" t="s">
        <v>2951</v>
      </c>
    </row>
    <row r="98" spans="1:21" ht="16.5" customHeight="1" thickBot="1">
      <c r="A98" s="41" t="s">
        <v>31</v>
      </c>
      <c r="B98" s="42">
        <f t="shared" si="3"/>
        <v>140</v>
      </c>
      <c r="C98" s="42" t="s">
        <v>3</v>
      </c>
      <c r="D98" s="42">
        <f t="shared" si="4"/>
        <v>200</v>
      </c>
      <c r="E98" s="42" t="s">
        <v>3</v>
      </c>
      <c r="F98" s="90">
        <f t="shared" si="5"/>
        <v>2450</v>
      </c>
      <c r="G98" s="42" t="s">
        <v>3</v>
      </c>
      <c r="H98" s="39">
        <v>4</v>
      </c>
      <c r="I98" s="40" t="s">
        <v>41</v>
      </c>
      <c r="J98" s="149">
        <v>140</v>
      </c>
      <c r="K98" s="66">
        <v>200</v>
      </c>
      <c r="L98" s="66">
        <v>2450</v>
      </c>
      <c r="M98" s="164">
        <v>23.530687731493153</v>
      </c>
      <c r="N98" s="78">
        <v>1573.3746000000001</v>
      </c>
      <c r="O98" s="113">
        <v>42947.436165021434</v>
      </c>
      <c r="P98" s="109">
        <v>52180.849986402638</v>
      </c>
      <c r="Q98" s="110">
        <v>25599.560361888554</v>
      </c>
      <c r="R98" s="258">
        <v>68546.996526909992</v>
      </c>
      <c r="S98" s="259">
        <v>77780.410348291189</v>
      </c>
      <c r="U98" s="7" t="s">
        <v>2952</v>
      </c>
    </row>
    <row r="99" spans="1:21" ht="16.5" customHeight="1" thickBot="1">
      <c r="A99" s="41" t="s">
        <v>31</v>
      </c>
      <c r="B99" s="42">
        <f t="shared" si="3"/>
        <v>140</v>
      </c>
      <c r="C99" s="42" t="s">
        <v>3</v>
      </c>
      <c r="D99" s="42">
        <f t="shared" si="4"/>
        <v>200</v>
      </c>
      <c r="E99" s="42" t="s">
        <v>3</v>
      </c>
      <c r="F99" s="90">
        <f t="shared" si="5"/>
        <v>2500</v>
      </c>
      <c r="G99" s="42" t="s">
        <v>3</v>
      </c>
      <c r="H99" s="39">
        <v>4</v>
      </c>
      <c r="I99" s="40" t="s">
        <v>41</v>
      </c>
      <c r="J99" s="149">
        <v>140</v>
      </c>
      <c r="K99" s="66">
        <v>200</v>
      </c>
      <c r="L99" s="66">
        <v>2500</v>
      </c>
      <c r="M99" s="164">
        <v>23.96326183151632</v>
      </c>
      <c r="N99" s="78">
        <v>1610.8359</v>
      </c>
      <c r="O99" s="113">
        <v>43676.640113955473</v>
      </c>
      <c r="P99" s="109">
        <v>53087.550010631225</v>
      </c>
      <c r="Q99" s="110">
        <v>25990.236678102072</v>
      </c>
      <c r="R99" s="258">
        <v>69666.876792057548</v>
      </c>
      <c r="S99" s="259">
        <v>79077.786688733293</v>
      </c>
      <c r="U99" s="7" t="s">
        <v>2953</v>
      </c>
    </row>
    <row r="100" spans="1:21" ht="16.5" customHeight="1" thickBot="1">
      <c r="A100" s="41" t="s">
        <v>31</v>
      </c>
      <c r="B100" s="42">
        <f t="shared" si="3"/>
        <v>140</v>
      </c>
      <c r="C100" s="42" t="s">
        <v>3</v>
      </c>
      <c r="D100" s="42">
        <f t="shared" si="4"/>
        <v>200</v>
      </c>
      <c r="E100" s="42" t="s">
        <v>3</v>
      </c>
      <c r="F100" s="90">
        <f t="shared" si="5"/>
        <v>2550</v>
      </c>
      <c r="G100" s="42" t="s">
        <v>3</v>
      </c>
      <c r="H100" s="39">
        <v>4</v>
      </c>
      <c r="I100" s="40" t="s">
        <v>41</v>
      </c>
      <c r="J100" s="149">
        <v>140</v>
      </c>
      <c r="K100" s="66">
        <v>200</v>
      </c>
      <c r="L100" s="66">
        <v>2550</v>
      </c>
      <c r="M100" s="164">
        <v>24.43297193153947</v>
      </c>
      <c r="N100" s="78">
        <v>1648.2972000000002</v>
      </c>
      <c r="O100" s="113">
        <v>44405.844062889511</v>
      </c>
      <c r="P100" s="109">
        <v>53994.250034859797</v>
      </c>
      <c r="Q100" s="110">
        <v>26632.247132099365</v>
      </c>
      <c r="R100" s="258">
        <v>71038.091194988869</v>
      </c>
      <c r="S100" s="259">
        <v>80626.497166959161</v>
      </c>
      <c r="U100" s="7" t="s">
        <v>2954</v>
      </c>
    </row>
    <row r="101" spans="1:21" ht="16.5" customHeight="1" thickBot="1">
      <c r="A101" s="38" t="s">
        <v>31</v>
      </c>
      <c r="B101" s="39">
        <f t="shared" si="3"/>
        <v>140</v>
      </c>
      <c r="C101" s="39" t="s">
        <v>3</v>
      </c>
      <c r="D101" s="39">
        <f t="shared" si="4"/>
        <v>200</v>
      </c>
      <c r="E101" s="39" t="s">
        <v>3</v>
      </c>
      <c r="F101" s="90">
        <f t="shared" si="5"/>
        <v>2600</v>
      </c>
      <c r="G101" s="39" t="s">
        <v>3</v>
      </c>
      <c r="H101" s="39">
        <v>4</v>
      </c>
      <c r="I101" s="40" t="s">
        <v>41</v>
      </c>
      <c r="J101" s="149">
        <v>140</v>
      </c>
      <c r="K101" s="66">
        <v>200</v>
      </c>
      <c r="L101" s="66">
        <v>2600</v>
      </c>
      <c r="M101" s="164">
        <v>24.885642031562632</v>
      </c>
      <c r="N101" s="78">
        <v>1685.7584999999999</v>
      </c>
      <c r="O101" s="113">
        <v>45135.048011823543</v>
      </c>
      <c r="P101" s="109">
        <v>54900.950059088384</v>
      </c>
      <c r="Q101" s="110">
        <v>27022.923448312882</v>
      </c>
      <c r="R101" s="258">
        <v>72157.971460136425</v>
      </c>
      <c r="S101" s="259">
        <v>81923.873507401266</v>
      </c>
      <c r="U101" s="7" t="s">
        <v>2955</v>
      </c>
    </row>
    <row r="102" spans="1:21" ht="16.5" customHeight="1" thickBot="1">
      <c r="A102" s="41" t="s">
        <v>31</v>
      </c>
      <c r="B102" s="42">
        <f t="shared" si="3"/>
        <v>140</v>
      </c>
      <c r="C102" s="42" t="s">
        <v>3</v>
      </c>
      <c r="D102" s="42">
        <f t="shared" si="4"/>
        <v>200</v>
      </c>
      <c r="E102" s="42" t="s">
        <v>3</v>
      </c>
      <c r="F102" s="90">
        <f t="shared" si="5"/>
        <v>2650</v>
      </c>
      <c r="G102" s="42" t="s">
        <v>3</v>
      </c>
      <c r="H102" s="39">
        <v>4</v>
      </c>
      <c r="I102" s="40" t="s">
        <v>41</v>
      </c>
      <c r="J102" s="149">
        <v>140</v>
      </c>
      <c r="K102" s="66">
        <v>200</v>
      </c>
      <c r="L102" s="66">
        <v>2650</v>
      </c>
      <c r="M102" s="164">
        <v>25.355352131585793</v>
      </c>
      <c r="N102" s="78">
        <v>1723.2197999999999</v>
      </c>
      <c r="O102" s="113">
        <v>45864.251960757581</v>
      </c>
      <c r="P102" s="109">
        <v>55807.6499302882</v>
      </c>
      <c r="Q102" s="110">
        <v>27664.933902310175</v>
      </c>
      <c r="R102" s="258">
        <v>73529.18586306776</v>
      </c>
      <c r="S102" s="259">
        <v>83472.583832598379</v>
      </c>
      <c r="U102" s="7" t="s">
        <v>2956</v>
      </c>
    </row>
    <row r="103" spans="1:21" ht="16.5" customHeight="1" thickBot="1">
      <c r="A103" s="41" t="s">
        <v>31</v>
      </c>
      <c r="B103" s="42">
        <f t="shared" si="3"/>
        <v>140</v>
      </c>
      <c r="C103" s="42" t="s">
        <v>3</v>
      </c>
      <c r="D103" s="42">
        <f t="shared" si="4"/>
        <v>200</v>
      </c>
      <c r="E103" s="42" t="s">
        <v>3</v>
      </c>
      <c r="F103" s="90">
        <f t="shared" si="5"/>
        <v>2700</v>
      </c>
      <c r="G103" s="42" t="s">
        <v>3</v>
      </c>
      <c r="H103" s="39">
        <v>4</v>
      </c>
      <c r="I103" s="40" t="s">
        <v>41</v>
      </c>
      <c r="J103" s="149">
        <v>140</v>
      </c>
      <c r="K103" s="66">
        <v>200</v>
      </c>
      <c r="L103" s="66">
        <v>2700</v>
      </c>
      <c r="M103" s="164">
        <v>25.88652223160895</v>
      </c>
      <c r="N103" s="78">
        <v>1760.6811</v>
      </c>
      <c r="O103" s="113">
        <v>46677.554244824954</v>
      </c>
      <c r="P103" s="109">
        <v>56798.961701157103</v>
      </c>
      <c r="Q103" s="110">
        <v>28055.610371552459</v>
      </c>
      <c r="R103" s="258">
        <v>74733.164616377413</v>
      </c>
      <c r="S103" s="259">
        <v>84854.572072709561</v>
      </c>
      <c r="U103" s="7" t="s">
        <v>2957</v>
      </c>
    </row>
    <row r="104" spans="1:21" ht="16.5" customHeight="1" thickBot="1">
      <c r="A104" s="41" t="s">
        <v>31</v>
      </c>
      <c r="B104" s="42">
        <f t="shared" si="3"/>
        <v>140</v>
      </c>
      <c r="C104" s="42" t="s">
        <v>3</v>
      </c>
      <c r="D104" s="42">
        <f t="shared" si="4"/>
        <v>200</v>
      </c>
      <c r="E104" s="42" t="s">
        <v>3</v>
      </c>
      <c r="F104" s="90">
        <f t="shared" si="5"/>
        <v>2750</v>
      </c>
      <c r="G104" s="42" t="s">
        <v>3</v>
      </c>
      <c r="H104" s="39">
        <v>4</v>
      </c>
      <c r="I104" s="40" t="s">
        <v>41</v>
      </c>
      <c r="J104" s="149">
        <v>140</v>
      </c>
      <c r="K104" s="66">
        <v>200</v>
      </c>
      <c r="L104" s="66">
        <v>2750</v>
      </c>
      <c r="M104" s="164">
        <v>26.339192331632105</v>
      </c>
      <c r="N104" s="78">
        <v>1798.1424</v>
      </c>
      <c r="O104" s="113">
        <v>47406.758193758993</v>
      </c>
      <c r="P104" s="109">
        <v>57705.661725385675</v>
      </c>
      <c r="Q104" s="110">
        <v>28446.286687765976</v>
      </c>
      <c r="R104" s="258">
        <v>75853.044881524969</v>
      </c>
      <c r="S104" s="259">
        <v>86151.948413151651</v>
      </c>
      <c r="U104" s="7" t="s">
        <v>2958</v>
      </c>
    </row>
    <row r="105" spans="1:21" ht="16.5" customHeight="1" thickBot="1">
      <c r="A105" s="41" t="s">
        <v>31</v>
      </c>
      <c r="B105" s="42">
        <f t="shared" si="3"/>
        <v>140</v>
      </c>
      <c r="C105" s="42" t="s">
        <v>3</v>
      </c>
      <c r="D105" s="42">
        <f t="shared" si="4"/>
        <v>200</v>
      </c>
      <c r="E105" s="42" t="s">
        <v>3</v>
      </c>
      <c r="F105" s="90">
        <f t="shared" si="5"/>
        <v>2800</v>
      </c>
      <c r="G105" s="42" t="s">
        <v>3</v>
      </c>
      <c r="H105" s="39">
        <v>4</v>
      </c>
      <c r="I105" s="40" t="s">
        <v>41</v>
      </c>
      <c r="J105" s="149">
        <v>140</v>
      </c>
      <c r="K105" s="66">
        <v>200</v>
      </c>
      <c r="L105" s="66">
        <v>2800</v>
      </c>
      <c r="M105" s="164">
        <v>26.808902431655266</v>
      </c>
      <c r="N105" s="78">
        <v>1835.6037000000001</v>
      </c>
      <c r="O105" s="113">
        <v>48135.962142693032</v>
      </c>
      <c r="P105" s="109">
        <v>58612.361749614261</v>
      </c>
      <c r="Q105" s="110">
        <v>29088.297141763269</v>
      </c>
      <c r="R105" s="258">
        <v>77224.259284456304</v>
      </c>
      <c r="S105" s="259">
        <v>87700.658891377534</v>
      </c>
      <c r="U105" s="7" t="s">
        <v>2959</v>
      </c>
    </row>
    <row r="106" spans="1:21" ht="16.5" customHeight="1" thickBot="1">
      <c r="A106" s="41" t="s">
        <v>31</v>
      </c>
      <c r="B106" s="42">
        <f t="shared" si="3"/>
        <v>140</v>
      </c>
      <c r="C106" s="42" t="s">
        <v>3</v>
      </c>
      <c r="D106" s="42">
        <f t="shared" si="4"/>
        <v>200</v>
      </c>
      <c r="E106" s="42" t="s">
        <v>3</v>
      </c>
      <c r="F106" s="90">
        <f t="shared" si="5"/>
        <v>2850</v>
      </c>
      <c r="G106" s="42" t="s">
        <v>3</v>
      </c>
      <c r="H106" s="39">
        <v>4</v>
      </c>
      <c r="I106" s="40" t="s">
        <v>41</v>
      </c>
      <c r="J106" s="149">
        <v>140</v>
      </c>
      <c r="K106" s="66">
        <v>200</v>
      </c>
      <c r="L106" s="66">
        <v>2850</v>
      </c>
      <c r="M106" s="164">
        <v>27.261572531678418</v>
      </c>
      <c r="N106" s="78">
        <v>1873.0650000000001</v>
      </c>
      <c r="O106" s="113">
        <v>48865.166091627063</v>
      </c>
      <c r="P106" s="109">
        <v>59519.061773842834</v>
      </c>
      <c r="Q106" s="110">
        <v>29478.973457976786</v>
      </c>
      <c r="R106" s="258">
        <v>78344.139549603846</v>
      </c>
      <c r="S106" s="259">
        <v>88998.035231819624</v>
      </c>
      <c r="U106" s="7" t="s">
        <v>2960</v>
      </c>
    </row>
    <row r="107" spans="1:21" ht="16.5" customHeight="1" thickBot="1">
      <c r="A107" s="41" t="s">
        <v>31</v>
      </c>
      <c r="B107" s="42">
        <f t="shared" si="3"/>
        <v>140</v>
      </c>
      <c r="C107" s="42" t="s">
        <v>3</v>
      </c>
      <c r="D107" s="42">
        <f t="shared" si="4"/>
        <v>200</v>
      </c>
      <c r="E107" s="42" t="s">
        <v>3</v>
      </c>
      <c r="F107" s="90">
        <f t="shared" si="5"/>
        <v>2900</v>
      </c>
      <c r="G107" s="42" t="s">
        <v>3</v>
      </c>
      <c r="H107" s="39">
        <v>4</v>
      </c>
      <c r="I107" s="40" t="s">
        <v>41</v>
      </c>
      <c r="J107" s="149">
        <v>140</v>
      </c>
      <c r="K107" s="66">
        <v>200</v>
      </c>
      <c r="L107" s="66">
        <v>2900</v>
      </c>
      <c r="M107" s="164">
        <v>27.731282631701582</v>
      </c>
      <c r="N107" s="78">
        <v>1910.5262999999998</v>
      </c>
      <c r="O107" s="113">
        <v>49594.370040561109</v>
      </c>
      <c r="P107" s="109">
        <v>60425.76179807142</v>
      </c>
      <c r="Q107" s="110">
        <v>30120.983911974079</v>
      </c>
      <c r="R107" s="258">
        <v>79715.353952535195</v>
      </c>
      <c r="S107" s="259">
        <v>90546.745710045507</v>
      </c>
      <c r="U107" s="7" t="s">
        <v>2961</v>
      </c>
    </row>
    <row r="108" spans="1:21" ht="16.5" customHeight="1" thickBot="1">
      <c r="A108" s="41" t="s">
        <v>31</v>
      </c>
      <c r="B108" s="42">
        <f t="shared" si="3"/>
        <v>140</v>
      </c>
      <c r="C108" s="42" t="s">
        <v>3</v>
      </c>
      <c r="D108" s="42">
        <f t="shared" si="4"/>
        <v>200</v>
      </c>
      <c r="E108" s="42" t="s">
        <v>3</v>
      </c>
      <c r="F108" s="90">
        <f t="shared" si="5"/>
        <v>2950</v>
      </c>
      <c r="G108" s="42" t="s">
        <v>3</v>
      </c>
      <c r="H108" s="39">
        <v>4</v>
      </c>
      <c r="I108" s="40" t="s">
        <v>41</v>
      </c>
      <c r="J108" s="149">
        <v>140</v>
      </c>
      <c r="K108" s="66">
        <v>200</v>
      </c>
      <c r="L108" s="66">
        <v>2950</v>
      </c>
      <c r="M108" s="164">
        <v>28.183952731724737</v>
      </c>
      <c r="N108" s="78">
        <v>1947.9876000000002</v>
      </c>
      <c r="O108" s="113">
        <v>50323.573989495148</v>
      </c>
      <c r="P108" s="109">
        <v>61332.461822299992</v>
      </c>
      <c r="Q108" s="110">
        <v>30511.660381216363</v>
      </c>
      <c r="R108" s="258">
        <v>80835.234370711507</v>
      </c>
      <c r="S108" s="259">
        <v>91844.122203516352</v>
      </c>
      <c r="U108" s="7" t="s">
        <v>2962</v>
      </c>
    </row>
    <row r="109" spans="1:21" ht="16.5" customHeight="1" thickBot="1">
      <c r="A109" s="43" t="s">
        <v>31</v>
      </c>
      <c r="B109" s="44">
        <f t="shared" si="3"/>
        <v>140</v>
      </c>
      <c r="C109" s="44" t="s">
        <v>3</v>
      </c>
      <c r="D109" s="44">
        <f t="shared" si="4"/>
        <v>200</v>
      </c>
      <c r="E109" s="44" t="s">
        <v>3</v>
      </c>
      <c r="F109" s="91">
        <f t="shared" si="5"/>
        <v>3000</v>
      </c>
      <c r="G109" s="44" t="s">
        <v>3</v>
      </c>
      <c r="H109" s="46">
        <v>4</v>
      </c>
      <c r="I109" s="45" t="s">
        <v>41</v>
      </c>
      <c r="J109" s="149">
        <v>140</v>
      </c>
      <c r="K109" s="126">
        <v>200</v>
      </c>
      <c r="L109" s="126">
        <v>3000</v>
      </c>
      <c r="M109" s="171">
        <v>28.653662831747901</v>
      </c>
      <c r="N109" s="127">
        <v>1985.4488999999999</v>
      </c>
      <c r="O109" s="128">
        <v>52333.699554843683</v>
      </c>
      <c r="P109" s="154">
        <v>62239.161693499809</v>
      </c>
      <c r="Q109" s="136">
        <v>31153.670835213656</v>
      </c>
      <c r="R109" s="260">
        <v>83487.370390057331</v>
      </c>
      <c r="S109" s="261">
        <v>93392.832528713465</v>
      </c>
      <c r="U109" s="7" t="s">
        <v>2963</v>
      </c>
    </row>
    <row r="110" spans="1:21" ht="22.5" customHeight="1" thickBot="1">
      <c r="A110" s="3010" t="s">
        <v>45</v>
      </c>
      <c r="B110" s="3011"/>
      <c r="C110" s="3011"/>
      <c r="D110" s="3011"/>
      <c r="E110" s="3011"/>
      <c r="F110" s="3011"/>
      <c r="G110" s="3011"/>
      <c r="H110" s="3011"/>
      <c r="I110" s="3011"/>
      <c r="J110" s="3011"/>
      <c r="K110" s="3011"/>
      <c r="L110" s="3011"/>
      <c r="M110" s="3011"/>
      <c r="N110" s="3011"/>
      <c r="O110" s="3011"/>
      <c r="P110" s="3011"/>
      <c r="Q110" s="3011"/>
      <c r="R110" s="3011"/>
      <c r="S110" s="3012"/>
      <c r="U110" s="7"/>
    </row>
    <row r="111" spans="1:21" ht="16.5" customHeight="1" thickBot="1">
      <c r="A111" s="2974" t="s">
        <v>117</v>
      </c>
      <c r="B111" s="2975"/>
      <c r="C111" s="2975"/>
      <c r="D111" s="2975"/>
      <c r="E111" s="2975"/>
      <c r="F111" s="2975"/>
      <c r="G111" s="2975"/>
      <c r="H111" s="2975"/>
      <c r="I111" s="2975"/>
      <c r="J111" s="2975"/>
      <c r="K111" s="2975"/>
      <c r="L111" s="2975"/>
      <c r="M111" s="2975"/>
      <c r="N111" s="2975"/>
      <c r="O111" s="2975"/>
      <c r="P111" s="2975"/>
      <c r="Q111" s="2975"/>
      <c r="R111" s="2975"/>
      <c r="S111" s="2976"/>
      <c r="U111" s="7"/>
    </row>
    <row r="112" spans="1:21" ht="16.5" thickBot="1">
      <c r="A112" s="38" t="s">
        <v>31</v>
      </c>
      <c r="B112" s="39">
        <f>J112</f>
        <v>140</v>
      </c>
      <c r="C112" s="39" t="s">
        <v>3</v>
      </c>
      <c r="D112" s="39">
        <f>K112</f>
        <v>260</v>
      </c>
      <c r="E112" s="39" t="s">
        <v>3</v>
      </c>
      <c r="F112" s="90">
        <f>L112</f>
        <v>600</v>
      </c>
      <c r="G112" s="39" t="s">
        <v>3</v>
      </c>
      <c r="H112" s="39">
        <v>4</v>
      </c>
      <c r="I112" s="40" t="s">
        <v>41</v>
      </c>
      <c r="J112" s="146">
        <v>140</v>
      </c>
      <c r="K112" s="122">
        <v>260</v>
      </c>
      <c r="L112" s="122">
        <v>600</v>
      </c>
      <c r="M112" s="163">
        <v>6.9167950137205256</v>
      </c>
      <c r="N112" s="123">
        <v>242.85076285364997</v>
      </c>
      <c r="O112" s="124">
        <v>15052.818634617375</v>
      </c>
      <c r="P112" s="153">
        <v>18238.21567511071</v>
      </c>
      <c r="Q112" s="139">
        <v>8214.2785134660462</v>
      </c>
      <c r="R112" s="256">
        <v>23267.09714808342</v>
      </c>
      <c r="S112" s="257">
        <v>26452.494188576755</v>
      </c>
      <c r="U112" s="7" t="s">
        <v>2964</v>
      </c>
    </row>
    <row r="113" spans="1:21" ht="16.5" thickBot="1">
      <c r="A113" s="41" t="s">
        <v>31</v>
      </c>
      <c r="B113" s="42">
        <f t="shared" ref="B113:B160" si="6">J113</f>
        <v>140</v>
      </c>
      <c r="C113" s="42" t="s">
        <v>3</v>
      </c>
      <c r="D113" s="42">
        <f t="shared" ref="D113:D160" si="7">K113</f>
        <v>260</v>
      </c>
      <c r="E113" s="42" t="s">
        <v>3</v>
      </c>
      <c r="F113" s="90">
        <f t="shared" ref="F113:F160" si="8">L113</f>
        <v>650</v>
      </c>
      <c r="G113" s="42" t="s">
        <v>3</v>
      </c>
      <c r="H113" s="39">
        <v>4</v>
      </c>
      <c r="I113" s="40" t="s">
        <v>41</v>
      </c>
      <c r="J113" s="149">
        <v>140</v>
      </c>
      <c r="K113" s="66">
        <v>260</v>
      </c>
      <c r="L113" s="66">
        <v>650</v>
      </c>
      <c r="M113" s="164">
        <v>7.4172456755857885</v>
      </c>
      <c r="N113" s="78">
        <v>291.42091542437993</v>
      </c>
      <c r="O113" s="113">
        <v>15812.672255832003</v>
      </c>
      <c r="P113" s="109">
        <v>19198.596965915018</v>
      </c>
      <c r="Q113" s="110">
        <v>8684.7340809460093</v>
      </c>
      <c r="R113" s="258">
        <v>24497.406336778011</v>
      </c>
      <c r="S113" s="259">
        <v>27883.331046861029</v>
      </c>
      <c r="U113" s="7" t="s">
        <v>2965</v>
      </c>
    </row>
    <row r="114" spans="1:21" ht="16.5" thickBot="1">
      <c r="A114" s="41" t="s">
        <v>31</v>
      </c>
      <c r="B114" s="42">
        <f t="shared" si="6"/>
        <v>140</v>
      </c>
      <c r="C114" s="42" t="s">
        <v>3</v>
      </c>
      <c r="D114" s="42">
        <f t="shared" si="7"/>
        <v>260</v>
      </c>
      <c r="E114" s="42" t="s">
        <v>3</v>
      </c>
      <c r="F114" s="90">
        <f t="shared" si="8"/>
        <v>700</v>
      </c>
      <c r="G114" s="42" t="s">
        <v>3</v>
      </c>
      <c r="H114" s="39">
        <v>4</v>
      </c>
      <c r="I114" s="40" t="s">
        <v>41</v>
      </c>
      <c r="J114" s="149">
        <v>140</v>
      </c>
      <c r="K114" s="66">
        <v>260</v>
      </c>
      <c r="L114" s="66">
        <v>700</v>
      </c>
      <c r="M114" s="164">
        <v>7.934736337451052</v>
      </c>
      <c r="N114" s="78">
        <v>339.99106799510992</v>
      </c>
      <c r="O114" s="113">
        <v>16572.525877046635</v>
      </c>
      <c r="P114" s="109">
        <v>20158.978256719329</v>
      </c>
      <c r="Q114" s="110">
        <v>9406.5237862097401</v>
      </c>
      <c r="R114" s="258">
        <v>25979.049663256374</v>
      </c>
      <c r="S114" s="259">
        <v>29565.502042929067</v>
      </c>
      <c r="U114" s="7" t="s">
        <v>2966</v>
      </c>
    </row>
    <row r="115" spans="1:21" ht="16.5" thickBot="1">
      <c r="A115" s="41" t="s">
        <v>31</v>
      </c>
      <c r="B115" s="42">
        <f t="shared" si="6"/>
        <v>140</v>
      </c>
      <c r="C115" s="42" t="s">
        <v>3</v>
      </c>
      <c r="D115" s="42">
        <f t="shared" si="7"/>
        <v>260</v>
      </c>
      <c r="E115" s="42" t="s">
        <v>3</v>
      </c>
      <c r="F115" s="90">
        <f t="shared" si="8"/>
        <v>750</v>
      </c>
      <c r="G115" s="42" t="s">
        <v>3</v>
      </c>
      <c r="H115" s="39">
        <v>4</v>
      </c>
      <c r="I115" s="40" t="s">
        <v>41</v>
      </c>
      <c r="J115" s="149">
        <v>140</v>
      </c>
      <c r="K115" s="66">
        <v>260</v>
      </c>
      <c r="L115" s="66">
        <v>750</v>
      </c>
      <c r="M115" s="164">
        <v>8.4351869993163149</v>
      </c>
      <c r="N115" s="78">
        <v>388.56122056583996</v>
      </c>
      <c r="O115" s="113">
        <v>17332.379651290026</v>
      </c>
      <c r="P115" s="109">
        <v>21119.359700552399</v>
      </c>
      <c r="Q115" s="110">
        <v>9876.9793536897032</v>
      </c>
      <c r="R115" s="258">
        <v>27209.359004979728</v>
      </c>
      <c r="S115" s="259">
        <v>30996.339054242104</v>
      </c>
      <c r="U115" s="7" t="s">
        <v>2967</v>
      </c>
    </row>
    <row r="116" spans="1:21" ht="16.5" thickBot="1">
      <c r="A116" s="41" t="s">
        <v>31</v>
      </c>
      <c r="B116" s="42">
        <f t="shared" si="6"/>
        <v>140</v>
      </c>
      <c r="C116" s="42" t="s">
        <v>3</v>
      </c>
      <c r="D116" s="42">
        <f t="shared" si="7"/>
        <v>260</v>
      </c>
      <c r="E116" s="42" t="s">
        <v>3</v>
      </c>
      <c r="F116" s="90">
        <f t="shared" si="8"/>
        <v>800</v>
      </c>
      <c r="G116" s="42" t="s">
        <v>3</v>
      </c>
      <c r="H116" s="39">
        <v>4</v>
      </c>
      <c r="I116" s="40" t="s">
        <v>41</v>
      </c>
      <c r="J116" s="149">
        <v>140</v>
      </c>
      <c r="K116" s="66">
        <v>260</v>
      </c>
      <c r="L116" s="66">
        <v>800</v>
      </c>
      <c r="M116" s="164">
        <v>8.9356376611815769</v>
      </c>
      <c r="N116" s="78">
        <v>437.13137313656995</v>
      </c>
      <c r="O116" s="113">
        <v>18092.233272504654</v>
      </c>
      <c r="P116" s="109">
        <v>22079.740991356706</v>
      </c>
      <c r="Q116" s="110">
        <v>10347.434921169664</v>
      </c>
      <c r="R116" s="258">
        <v>28439.668193674319</v>
      </c>
      <c r="S116" s="259">
        <v>32427.175912526371</v>
      </c>
      <c r="U116" s="7" t="s">
        <v>2968</v>
      </c>
    </row>
    <row r="117" spans="1:21" ht="16.5" thickBot="1">
      <c r="A117" s="41" t="s">
        <v>31</v>
      </c>
      <c r="B117" s="42">
        <f t="shared" si="6"/>
        <v>140</v>
      </c>
      <c r="C117" s="42" t="s">
        <v>3</v>
      </c>
      <c r="D117" s="42">
        <f t="shared" si="7"/>
        <v>260</v>
      </c>
      <c r="E117" s="42" t="s">
        <v>3</v>
      </c>
      <c r="F117" s="90">
        <f t="shared" si="8"/>
        <v>850</v>
      </c>
      <c r="G117" s="42" t="s">
        <v>3</v>
      </c>
      <c r="H117" s="39">
        <v>4</v>
      </c>
      <c r="I117" s="40" t="s">
        <v>41</v>
      </c>
      <c r="J117" s="149">
        <v>140</v>
      </c>
      <c r="K117" s="66">
        <v>260</v>
      </c>
      <c r="L117" s="66">
        <v>850</v>
      </c>
      <c r="M117" s="164">
        <v>9.4531283230468439</v>
      </c>
      <c r="N117" s="78">
        <v>485.70152570729994</v>
      </c>
      <c r="O117" s="113">
        <v>18852.086893719286</v>
      </c>
      <c r="P117" s="109">
        <v>23040.122282161017</v>
      </c>
      <c r="Q117" s="110">
        <v>11069.224626433395</v>
      </c>
      <c r="R117" s="258">
        <v>29921.311520152682</v>
      </c>
      <c r="S117" s="259">
        <v>34109.346908594409</v>
      </c>
      <c r="U117" s="7" t="s">
        <v>2969</v>
      </c>
    </row>
    <row r="118" spans="1:21" ht="16.5" thickBot="1">
      <c r="A118" s="41" t="s">
        <v>31</v>
      </c>
      <c r="B118" s="42">
        <f t="shared" si="6"/>
        <v>140</v>
      </c>
      <c r="C118" s="42" t="s">
        <v>3</v>
      </c>
      <c r="D118" s="42">
        <f t="shared" si="7"/>
        <v>260</v>
      </c>
      <c r="E118" s="42" t="s">
        <v>3</v>
      </c>
      <c r="F118" s="90">
        <f t="shared" si="8"/>
        <v>900</v>
      </c>
      <c r="G118" s="42" t="s">
        <v>3</v>
      </c>
      <c r="H118" s="39">
        <v>4</v>
      </c>
      <c r="I118" s="40" t="s">
        <v>41</v>
      </c>
      <c r="J118" s="149">
        <v>140</v>
      </c>
      <c r="K118" s="66">
        <v>260</v>
      </c>
      <c r="L118" s="66">
        <v>900</v>
      </c>
      <c r="M118" s="164">
        <v>9.9535789849121059</v>
      </c>
      <c r="N118" s="78">
        <v>534.27167827802998</v>
      </c>
      <c r="O118" s="113">
        <v>19611.940514933915</v>
      </c>
      <c r="P118" s="109">
        <v>24000.503572965325</v>
      </c>
      <c r="Q118" s="110">
        <v>11539.680193913358</v>
      </c>
      <c r="R118" s="258">
        <v>31151.620708847273</v>
      </c>
      <c r="S118" s="259">
        <v>35540.183766878683</v>
      </c>
      <c r="U118" s="7" t="s">
        <v>2970</v>
      </c>
    </row>
    <row r="119" spans="1:21" ht="16.5" thickBot="1">
      <c r="A119" s="41" t="s">
        <v>31</v>
      </c>
      <c r="B119" s="42">
        <f t="shared" si="6"/>
        <v>140</v>
      </c>
      <c r="C119" s="42" t="s">
        <v>3</v>
      </c>
      <c r="D119" s="42">
        <f t="shared" si="7"/>
        <v>260</v>
      </c>
      <c r="E119" s="42" t="s">
        <v>3</v>
      </c>
      <c r="F119" s="90">
        <f t="shared" si="8"/>
        <v>950</v>
      </c>
      <c r="G119" s="42" t="s">
        <v>3</v>
      </c>
      <c r="H119" s="39">
        <v>4</v>
      </c>
      <c r="I119" s="40" t="s">
        <v>41</v>
      </c>
      <c r="J119" s="149">
        <v>140</v>
      </c>
      <c r="K119" s="66">
        <v>260</v>
      </c>
      <c r="L119" s="66">
        <v>950</v>
      </c>
      <c r="M119" s="164">
        <v>10.471069646777369</v>
      </c>
      <c r="N119" s="78">
        <v>582.84183084875986</v>
      </c>
      <c r="O119" s="113">
        <v>20371.794136148543</v>
      </c>
      <c r="P119" s="109">
        <v>24960.884863769632</v>
      </c>
      <c r="Q119" s="110">
        <v>12261.469899177091</v>
      </c>
      <c r="R119" s="258">
        <v>32633.264035325636</v>
      </c>
      <c r="S119" s="259">
        <v>37222.354762946721</v>
      </c>
      <c r="U119" s="7" t="s">
        <v>2971</v>
      </c>
    </row>
    <row r="120" spans="1:21" ht="16.5" thickBot="1">
      <c r="A120" s="41" t="s">
        <v>31</v>
      </c>
      <c r="B120" s="42">
        <f t="shared" si="6"/>
        <v>140</v>
      </c>
      <c r="C120" s="42" t="s">
        <v>3</v>
      </c>
      <c r="D120" s="42">
        <f t="shared" si="7"/>
        <v>260</v>
      </c>
      <c r="E120" s="42" t="s">
        <v>3</v>
      </c>
      <c r="F120" s="90">
        <f t="shared" si="8"/>
        <v>1000</v>
      </c>
      <c r="G120" s="42" t="s">
        <v>3</v>
      </c>
      <c r="H120" s="39">
        <v>4</v>
      </c>
      <c r="I120" s="40" t="s">
        <v>41</v>
      </c>
      <c r="J120" s="149">
        <v>140</v>
      </c>
      <c r="K120" s="66">
        <v>260</v>
      </c>
      <c r="L120" s="66">
        <v>1000</v>
      </c>
      <c r="M120" s="164">
        <v>10.971520308642633</v>
      </c>
      <c r="N120" s="78">
        <v>631.41198341948996</v>
      </c>
      <c r="O120" s="113">
        <v>21131.647757363171</v>
      </c>
      <c r="P120" s="109">
        <v>25921.266154573939</v>
      </c>
      <c r="Q120" s="110">
        <v>12731.925466657052</v>
      </c>
      <c r="R120" s="258">
        <v>33863.57322402022</v>
      </c>
      <c r="S120" s="259">
        <v>38653.191621230988</v>
      </c>
      <c r="U120" s="7" t="s">
        <v>2972</v>
      </c>
    </row>
    <row r="121" spans="1:21" ht="16.5" thickBot="1">
      <c r="A121" s="41" t="s">
        <v>31</v>
      </c>
      <c r="B121" s="42">
        <f t="shared" si="6"/>
        <v>140</v>
      </c>
      <c r="C121" s="42" t="s">
        <v>3</v>
      </c>
      <c r="D121" s="42">
        <f t="shared" si="7"/>
        <v>260</v>
      </c>
      <c r="E121" s="42" t="s">
        <v>3</v>
      </c>
      <c r="F121" s="90">
        <f t="shared" si="8"/>
        <v>1050</v>
      </c>
      <c r="G121" s="42" t="s">
        <v>3</v>
      </c>
      <c r="H121" s="39">
        <v>4</v>
      </c>
      <c r="I121" s="40" t="s">
        <v>41</v>
      </c>
      <c r="J121" s="149">
        <v>140</v>
      </c>
      <c r="K121" s="66">
        <v>260</v>
      </c>
      <c r="L121" s="66">
        <v>1050</v>
      </c>
      <c r="M121" s="164">
        <v>11.489010970507897</v>
      </c>
      <c r="N121" s="78">
        <v>679.98213599021983</v>
      </c>
      <c r="O121" s="113">
        <v>21891.501378577799</v>
      </c>
      <c r="P121" s="109">
        <v>26881.64744537825</v>
      </c>
      <c r="Q121" s="110">
        <v>13453.71501889202</v>
      </c>
      <c r="R121" s="258">
        <v>35345.21639746982</v>
      </c>
      <c r="S121" s="259">
        <v>40335.362464270271</v>
      </c>
      <c r="U121" s="7" t="s">
        <v>2973</v>
      </c>
    </row>
    <row r="122" spans="1:21" ht="16.5" thickBot="1">
      <c r="A122" s="38" t="s">
        <v>31</v>
      </c>
      <c r="B122" s="39">
        <f t="shared" si="6"/>
        <v>140</v>
      </c>
      <c r="C122" s="39" t="s">
        <v>3</v>
      </c>
      <c r="D122" s="39">
        <f t="shared" si="7"/>
        <v>260</v>
      </c>
      <c r="E122" s="39" t="s">
        <v>3</v>
      </c>
      <c r="F122" s="90">
        <f t="shared" si="8"/>
        <v>1100</v>
      </c>
      <c r="G122" s="39" t="s">
        <v>3</v>
      </c>
      <c r="H122" s="39">
        <v>4</v>
      </c>
      <c r="I122" s="40" t="s">
        <v>41</v>
      </c>
      <c r="J122" s="149">
        <v>140</v>
      </c>
      <c r="K122" s="66">
        <v>260</v>
      </c>
      <c r="L122" s="66">
        <v>1100</v>
      </c>
      <c r="M122" s="164">
        <v>11.989461632373159</v>
      </c>
      <c r="N122" s="78">
        <v>728.55228856094993</v>
      </c>
      <c r="O122" s="113">
        <v>22651.354999792427</v>
      </c>
      <c r="P122" s="109">
        <v>27842.028736182558</v>
      </c>
      <c r="Q122" s="110">
        <v>13924.170586371982</v>
      </c>
      <c r="R122" s="258">
        <v>36575.525586164411</v>
      </c>
      <c r="S122" s="259">
        <v>41766.199322554538</v>
      </c>
      <c r="U122" s="7" t="s">
        <v>2974</v>
      </c>
    </row>
    <row r="123" spans="1:21" ht="16.5" thickBot="1">
      <c r="A123" s="41" t="s">
        <v>31</v>
      </c>
      <c r="B123" s="42">
        <f t="shared" si="6"/>
        <v>140</v>
      </c>
      <c r="C123" s="42" t="s">
        <v>3</v>
      </c>
      <c r="D123" s="42">
        <f t="shared" si="7"/>
        <v>260</v>
      </c>
      <c r="E123" s="42" t="s">
        <v>3</v>
      </c>
      <c r="F123" s="90">
        <f t="shared" si="8"/>
        <v>1150</v>
      </c>
      <c r="G123" s="42" t="s">
        <v>3</v>
      </c>
      <c r="H123" s="39">
        <v>4</v>
      </c>
      <c r="I123" s="40" t="s">
        <v>41</v>
      </c>
      <c r="J123" s="149">
        <v>140</v>
      </c>
      <c r="K123" s="66">
        <v>260</v>
      </c>
      <c r="L123" s="66">
        <v>1150</v>
      </c>
      <c r="M123" s="164">
        <v>12.489912294238421</v>
      </c>
      <c r="N123" s="78">
        <v>777.12244113167992</v>
      </c>
      <c r="O123" s="113">
        <v>23411.208621007059</v>
      </c>
      <c r="P123" s="109">
        <v>28802.410026986861</v>
      </c>
      <c r="Q123" s="110">
        <v>14394.626153851941</v>
      </c>
      <c r="R123" s="258">
        <v>37805.834774859002</v>
      </c>
      <c r="S123" s="259">
        <v>43197.036180838804</v>
      </c>
      <c r="U123" s="7" t="s">
        <v>2975</v>
      </c>
    </row>
    <row r="124" spans="1:21" ht="16.5" thickBot="1">
      <c r="A124" s="41" t="s">
        <v>31</v>
      </c>
      <c r="B124" s="42">
        <f t="shared" si="6"/>
        <v>140</v>
      </c>
      <c r="C124" s="42" t="s">
        <v>3</v>
      </c>
      <c r="D124" s="42">
        <f t="shared" si="7"/>
        <v>260</v>
      </c>
      <c r="E124" s="42" t="s">
        <v>3</v>
      </c>
      <c r="F124" s="90">
        <f t="shared" si="8"/>
        <v>1200</v>
      </c>
      <c r="G124" s="42" t="s">
        <v>3</v>
      </c>
      <c r="H124" s="39">
        <v>4</v>
      </c>
      <c r="I124" s="40" t="s">
        <v>41</v>
      </c>
      <c r="J124" s="149">
        <v>140</v>
      </c>
      <c r="K124" s="66">
        <v>260</v>
      </c>
      <c r="L124" s="66">
        <v>1200</v>
      </c>
      <c r="M124" s="164">
        <v>13.085902956103684</v>
      </c>
      <c r="N124" s="78">
        <v>825.69259370240991</v>
      </c>
      <c r="O124" s="113">
        <v>24255.160577355018</v>
      </c>
      <c r="P124" s="109">
        <v>29847.403064431499</v>
      </c>
      <c r="Q124" s="110">
        <v>15116.415859115676</v>
      </c>
      <c r="R124" s="258">
        <v>39371.576436470692</v>
      </c>
      <c r="S124" s="259">
        <v>44963.818923547173</v>
      </c>
      <c r="U124" s="7" t="s">
        <v>2976</v>
      </c>
    </row>
    <row r="125" spans="1:21" ht="16.5" thickBot="1">
      <c r="A125" s="41" t="s">
        <v>31</v>
      </c>
      <c r="B125" s="42">
        <f t="shared" si="6"/>
        <v>140</v>
      </c>
      <c r="C125" s="42" t="s">
        <v>3</v>
      </c>
      <c r="D125" s="42">
        <f t="shared" si="7"/>
        <v>260</v>
      </c>
      <c r="E125" s="42" t="s">
        <v>3</v>
      </c>
      <c r="F125" s="90">
        <f t="shared" si="8"/>
        <v>1250</v>
      </c>
      <c r="G125" s="42" t="s">
        <v>3</v>
      </c>
      <c r="H125" s="39">
        <v>4</v>
      </c>
      <c r="I125" s="40" t="s">
        <v>41</v>
      </c>
      <c r="J125" s="149">
        <v>140</v>
      </c>
      <c r="K125" s="66">
        <v>260</v>
      </c>
      <c r="L125" s="66">
        <v>1250</v>
      </c>
      <c r="M125" s="164">
        <v>13.586353617968946</v>
      </c>
      <c r="N125" s="78">
        <v>874.2627462731399</v>
      </c>
      <c r="O125" s="113">
        <v>25015.014198569646</v>
      </c>
      <c r="P125" s="109">
        <v>30807.784355235803</v>
      </c>
      <c r="Q125" s="110">
        <v>15586.871426595639</v>
      </c>
      <c r="R125" s="258">
        <v>40601.885625165283</v>
      </c>
      <c r="S125" s="259">
        <v>46394.65578183144</v>
      </c>
      <c r="U125" s="7" t="s">
        <v>2977</v>
      </c>
    </row>
    <row r="126" spans="1:21" ht="16.5" thickBot="1">
      <c r="A126" s="41" t="s">
        <v>31</v>
      </c>
      <c r="B126" s="42">
        <f t="shared" si="6"/>
        <v>140</v>
      </c>
      <c r="C126" s="42" t="s">
        <v>3</v>
      </c>
      <c r="D126" s="42">
        <f t="shared" si="7"/>
        <v>260</v>
      </c>
      <c r="E126" s="42" t="s">
        <v>3</v>
      </c>
      <c r="F126" s="90">
        <f t="shared" si="8"/>
        <v>1300</v>
      </c>
      <c r="G126" s="42" t="s">
        <v>3</v>
      </c>
      <c r="H126" s="39">
        <v>4</v>
      </c>
      <c r="I126" s="40" t="s">
        <v>41</v>
      </c>
      <c r="J126" s="149">
        <v>140</v>
      </c>
      <c r="K126" s="66">
        <v>260</v>
      </c>
      <c r="L126" s="66">
        <v>1300</v>
      </c>
      <c r="M126" s="164">
        <v>14.103844279834211</v>
      </c>
      <c r="N126" s="78">
        <v>922.83289884386988</v>
      </c>
      <c r="O126" s="113">
        <v>25774.867819784275</v>
      </c>
      <c r="P126" s="109">
        <v>31768.16564604011</v>
      </c>
      <c r="Q126" s="110">
        <v>16308.66113185937</v>
      </c>
      <c r="R126" s="258">
        <v>42083.528951643646</v>
      </c>
      <c r="S126" s="259">
        <v>48076.826777899478</v>
      </c>
      <c r="U126" s="7" t="s">
        <v>2978</v>
      </c>
    </row>
    <row r="127" spans="1:21" ht="16.5" thickBot="1">
      <c r="A127" s="41" t="s">
        <v>31</v>
      </c>
      <c r="B127" s="42">
        <f t="shared" si="6"/>
        <v>140</v>
      </c>
      <c r="C127" s="42" t="s">
        <v>3</v>
      </c>
      <c r="D127" s="42">
        <f t="shared" si="7"/>
        <v>260</v>
      </c>
      <c r="E127" s="42" t="s">
        <v>3</v>
      </c>
      <c r="F127" s="90">
        <f t="shared" si="8"/>
        <v>1350</v>
      </c>
      <c r="G127" s="42" t="s">
        <v>3</v>
      </c>
      <c r="H127" s="39">
        <v>4</v>
      </c>
      <c r="I127" s="40" t="s">
        <v>41</v>
      </c>
      <c r="J127" s="149">
        <v>140</v>
      </c>
      <c r="K127" s="66">
        <v>260</v>
      </c>
      <c r="L127" s="66">
        <v>1350</v>
      </c>
      <c r="M127" s="164">
        <v>14.604294941699475</v>
      </c>
      <c r="N127" s="78">
        <v>971.40305141459987</v>
      </c>
      <c r="O127" s="113">
        <v>26534.721440998903</v>
      </c>
      <c r="P127" s="109">
        <v>32728.546936844421</v>
      </c>
      <c r="Q127" s="110">
        <v>16779.116699339331</v>
      </c>
      <c r="R127" s="258">
        <v>43313.838140338237</v>
      </c>
      <c r="S127" s="259">
        <v>49507.663636183752</v>
      </c>
      <c r="U127" s="7" t="s">
        <v>2979</v>
      </c>
    </row>
    <row r="128" spans="1:21" ht="16.5" thickBot="1">
      <c r="A128" s="41" t="s">
        <v>31</v>
      </c>
      <c r="B128" s="42">
        <f t="shared" si="6"/>
        <v>140</v>
      </c>
      <c r="C128" s="42" t="s">
        <v>3</v>
      </c>
      <c r="D128" s="42">
        <f t="shared" si="7"/>
        <v>260</v>
      </c>
      <c r="E128" s="42" t="s">
        <v>3</v>
      </c>
      <c r="F128" s="90">
        <f t="shared" si="8"/>
        <v>1400</v>
      </c>
      <c r="G128" s="42" t="s">
        <v>3</v>
      </c>
      <c r="H128" s="39">
        <v>4</v>
      </c>
      <c r="I128" s="40" t="s">
        <v>41</v>
      </c>
      <c r="J128" s="149">
        <v>140</v>
      </c>
      <c r="K128" s="66">
        <v>260</v>
      </c>
      <c r="L128" s="66">
        <v>1400</v>
      </c>
      <c r="M128" s="164">
        <v>15.121785603564739</v>
      </c>
      <c r="N128" s="78">
        <v>1019.9732039853299</v>
      </c>
      <c r="O128" s="113">
        <v>27294.575062213535</v>
      </c>
      <c r="P128" s="109">
        <v>33688.928227648728</v>
      </c>
      <c r="Q128" s="110">
        <v>17500.906404603062</v>
      </c>
      <c r="R128" s="258">
        <v>44795.481466816593</v>
      </c>
      <c r="S128" s="259">
        <v>51189.83463225179</v>
      </c>
      <c r="U128" s="7" t="s">
        <v>2980</v>
      </c>
    </row>
    <row r="129" spans="1:21" ht="16.5" thickBot="1">
      <c r="A129" s="41" t="s">
        <v>31</v>
      </c>
      <c r="B129" s="42">
        <f t="shared" si="6"/>
        <v>140</v>
      </c>
      <c r="C129" s="42" t="s">
        <v>3</v>
      </c>
      <c r="D129" s="42">
        <f t="shared" si="7"/>
        <v>260</v>
      </c>
      <c r="E129" s="42" t="s">
        <v>3</v>
      </c>
      <c r="F129" s="90">
        <f t="shared" si="8"/>
        <v>1450</v>
      </c>
      <c r="G129" s="42" t="s">
        <v>3</v>
      </c>
      <c r="H129" s="39">
        <v>4</v>
      </c>
      <c r="I129" s="40" t="s">
        <v>41</v>
      </c>
      <c r="J129" s="149">
        <v>140</v>
      </c>
      <c r="K129" s="66">
        <v>260</v>
      </c>
      <c r="L129" s="66">
        <v>1450</v>
      </c>
      <c r="M129" s="164">
        <v>15.622236265429999</v>
      </c>
      <c r="N129" s="78">
        <v>1068.54335655606</v>
      </c>
      <c r="O129" s="113">
        <v>28054.428836456926</v>
      </c>
      <c r="P129" s="109">
        <v>34649.309518453039</v>
      </c>
      <c r="Q129" s="110">
        <v>17971.361972083025</v>
      </c>
      <c r="R129" s="258">
        <v>46025.790808539954</v>
      </c>
      <c r="S129" s="259">
        <v>52620.671490536064</v>
      </c>
      <c r="U129" s="7" t="s">
        <v>2981</v>
      </c>
    </row>
    <row r="130" spans="1:21" ht="16.5" thickBot="1">
      <c r="A130" s="41" t="s">
        <v>31</v>
      </c>
      <c r="B130" s="42">
        <f t="shared" si="6"/>
        <v>140</v>
      </c>
      <c r="C130" s="42" t="s">
        <v>3</v>
      </c>
      <c r="D130" s="42">
        <f t="shared" si="7"/>
        <v>260</v>
      </c>
      <c r="E130" s="42" t="s">
        <v>3</v>
      </c>
      <c r="F130" s="90">
        <f t="shared" si="8"/>
        <v>1500</v>
      </c>
      <c r="G130" s="42" t="s">
        <v>3</v>
      </c>
      <c r="H130" s="39">
        <v>4</v>
      </c>
      <c r="I130" s="40" t="s">
        <v>41</v>
      </c>
      <c r="J130" s="149">
        <v>140</v>
      </c>
      <c r="K130" s="66">
        <v>260</v>
      </c>
      <c r="L130" s="66">
        <v>1500</v>
      </c>
      <c r="M130" s="164">
        <v>16.259593270595261</v>
      </c>
      <c r="N130" s="78">
        <v>1117.1135091267897</v>
      </c>
      <c r="O130" s="113">
        <v>29480.64024728653</v>
      </c>
      <c r="P130" s="109">
        <v>36235.677315200868</v>
      </c>
      <c r="Q130" s="110">
        <v>18693.151677346756</v>
      </c>
      <c r="R130" s="258">
        <v>48173.791924633289</v>
      </c>
      <c r="S130" s="259">
        <v>54928.828992547627</v>
      </c>
      <c r="U130" s="7" t="s">
        <v>2982</v>
      </c>
    </row>
    <row r="131" spans="1:21" ht="16.5" thickBot="1">
      <c r="A131" s="41" t="s">
        <v>31</v>
      </c>
      <c r="B131" s="42">
        <f t="shared" si="6"/>
        <v>140</v>
      </c>
      <c r="C131" s="42" t="s">
        <v>3</v>
      </c>
      <c r="D131" s="42">
        <f t="shared" si="7"/>
        <v>260</v>
      </c>
      <c r="E131" s="42" t="s">
        <v>3</v>
      </c>
      <c r="F131" s="90">
        <f t="shared" si="8"/>
        <v>1550</v>
      </c>
      <c r="G131" s="42" t="s">
        <v>3</v>
      </c>
      <c r="H131" s="39">
        <v>4</v>
      </c>
      <c r="I131" s="40" t="s">
        <v>41</v>
      </c>
      <c r="J131" s="149">
        <v>140</v>
      </c>
      <c r="K131" s="66">
        <v>260</v>
      </c>
      <c r="L131" s="66">
        <v>1550</v>
      </c>
      <c r="M131" s="164">
        <v>16.760043932460526</v>
      </c>
      <c r="N131" s="78">
        <v>1165.6836616975197</v>
      </c>
      <c r="O131" s="113">
        <v>30240.493868501158</v>
      </c>
      <c r="P131" s="109">
        <v>37196.058606005172</v>
      </c>
      <c r="Q131" s="110">
        <v>19163.607244826719</v>
      </c>
      <c r="R131" s="258">
        <v>49404.101113327881</v>
      </c>
      <c r="S131" s="259">
        <v>56359.665850831894</v>
      </c>
      <c r="U131" s="7" t="s">
        <v>2983</v>
      </c>
    </row>
    <row r="132" spans="1:21" ht="16.5" thickBot="1">
      <c r="A132" s="38" t="s">
        <v>31</v>
      </c>
      <c r="B132" s="39">
        <f t="shared" si="6"/>
        <v>140</v>
      </c>
      <c r="C132" s="39" t="s">
        <v>3</v>
      </c>
      <c r="D132" s="39">
        <f t="shared" si="7"/>
        <v>260</v>
      </c>
      <c r="E132" s="39" t="s">
        <v>3</v>
      </c>
      <c r="F132" s="90">
        <f t="shared" si="8"/>
        <v>1600</v>
      </c>
      <c r="G132" s="39" t="s">
        <v>3</v>
      </c>
      <c r="H132" s="39">
        <v>4</v>
      </c>
      <c r="I132" s="40" t="s">
        <v>41</v>
      </c>
      <c r="J132" s="149">
        <v>140</v>
      </c>
      <c r="K132" s="66">
        <v>260</v>
      </c>
      <c r="L132" s="66">
        <v>1600</v>
      </c>
      <c r="M132" s="164">
        <v>17.260494594325788</v>
      </c>
      <c r="N132" s="78">
        <v>1214.2538142682499</v>
      </c>
      <c r="O132" s="113">
        <v>31000.347489715787</v>
      </c>
      <c r="P132" s="109">
        <v>38156.439896809483</v>
      </c>
      <c r="Q132" s="110">
        <v>19634.062812306682</v>
      </c>
      <c r="R132" s="258">
        <v>50634.410302022472</v>
      </c>
      <c r="S132" s="259">
        <v>57790.502709116161</v>
      </c>
      <c r="U132" s="7" t="s">
        <v>2984</v>
      </c>
    </row>
    <row r="133" spans="1:21" ht="16.5" thickBot="1">
      <c r="A133" s="41" t="s">
        <v>31</v>
      </c>
      <c r="B133" s="42">
        <f t="shared" si="6"/>
        <v>140</v>
      </c>
      <c r="C133" s="42" t="s">
        <v>3</v>
      </c>
      <c r="D133" s="42">
        <f t="shared" si="7"/>
        <v>260</v>
      </c>
      <c r="E133" s="42" t="s">
        <v>3</v>
      </c>
      <c r="F133" s="90">
        <f t="shared" si="8"/>
        <v>1650</v>
      </c>
      <c r="G133" s="42" t="s">
        <v>3</v>
      </c>
      <c r="H133" s="39">
        <v>4</v>
      </c>
      <c r="I133" s="40" t="s">
        <v>41</v>
      </c>
      <c r="J133" s="149">
        <v>140</v>
      </c>
      <c r="K133" s="66">
        <v>260</v>
      </c>
      <c r="L133" s="66">
        <v>1650</v>
      </c>
      <c r="M133" s="164">
        <v>17.777985256191052</v>
      </c>
      <c r="N133" s="78">
        <v>1262.8239668389799</v>
      </c>
      <c r="O133" s="113">
        <v>31760.201110930415</v>
      </c>
      <c r="P133" s="109">
        <v>39116.821187613787</v>
      </c>
      <c r="Q133" s="110">
        <v>20355.852364541646</v>
      </c>
      <c r="R133" s="258">
        <v>52116.053475472057</v>
      </c>
      <c r="S133" s="259">
        <v>59472.673552155436</v>
      </c>
      <c r="U133" s="7" t="s">
        <v>2985</v>
      </c>
    </row>
    <row r="134" spans="1:21" ht="16.5" thickBot="1">
      <c r="A134" s="41" t="s">
        <v>31</v>
      </c>
      <c r="B134" s="42">
        <f t="shared" si="6"/>
        <v>140</v>
      </c>
      <c r="C134" s="42" t="s">
        <v>3</v>
      </c>
      <c r="D134" s="42">
        <f t="shared" si="7"/>
        <v>260</v>
      </c>
      <c r="E134" s="42" t="s">
        <v>3</v>
      </c>
      <c r="F134" s="90">
        <f t="shared" si="8"/>
        <v>1700</v>
      </c>
      <c r="G134" s="42" t="s">
        <v>3</v>
      </c>
      <c r="H134" s="39">
        <v>4</v>
      </c>
      <c r="I134" s="40" t="s">
        <v>41</v>
      </c>
      <c r="J134" s="149">
        <v>140</v>
      </c>
      <c r="K134" s="66">
        <v>260</v>
      </c>
      <c r="L134" s="66">
        <v>1700</v>
      </c>
      <c r="M134" s="164">
        <v>18.278435918056317</v>
      </c>
      <c r="N134" s="78">
        <v>1311.3941194097099</v>
      </c>
      <c r="O134" s="113">
        <v>32520.054732145043</v>
      </c>
      <c r="P134" s="109">
        <v>40077.202478418098</v>
      </c>
      <c r="Q134" s="110">
        <v>20826.307932021609</v>
      </c>
      <c r="R134" s="258">
        <v>53346.362664166649</v>
      </c>
      <c r="S134" s="259">
        <v>60903.510410439703</v>
      </c>
      <c r="U134" s="7" t="s">
        <v>2986</v>
      </c>
    </row>
    <row r="135" spans="1:21" ht="16.5" thickBot="1">
      <c r="A135" s="41" t="s">
        <v>31</v>
      </c>
      <c r="B135" s="42">
        <f t="shared" si="6"/>
        <v>140</v>
      </c>
      <c r="C135" s="42" t="s">
        <v>3</v>
      </c>
      <c r="D135" s="42">
        <f t="shared" si="7"/>
        <v>260</v>
      </c>
      <c r="E135" s="42" t="s">
        <v>3</v>
      </c>
      <c r="F135" s="90">
        <f t="shared" si="8"/>
        <v>1750</v>
      </c>
      <c r="G135" s="42" t="s">
        <v>3</v>
      </c>
      <c r="H135" s="39">
        <v>4</v>
      </c>
      <c r="I135" s="40" t="s">
        <v>41</v>
      </c>
      <c r="J135" s="149">
        <v>140</v>
      </c>
      <c r="K135" s="66">
        <v>260</v>
      </c>
      <c r="L135" s="66">
        <v>1750</v>
      </c>
      <c r="M135" s="164">
        <v>18.79592657992157</v>
      </c>
      <c r="N135" s="78">
        <v>1359.9642719804397</v>
      </c>
      <c r="O135" s="113">
        <v>33279.908353359679</v>
      </c>
      <c r="P135" s="109">
        <v>41037.583769222401</v>
      </c>
      <c r="Q135" s="110">
        <v>21548.09763728534</v>
      </c>
      <c r="R135" s="258">
        <v>54828.005990645019</v>
      </c>
      <c r="S135" s="259">
        <v>62585.681406507741</v>
      </c>
      <c r="U135" s="7" t="s">
        <v>2987</v>
      </c>
    </row>
    <row r="136" spans="1:21" ht="16.5" thickBot="1">
      <c r="A136" s="41" t="s">
        <v>31</v>
      </c>
      <c r="B136" s="42">
        <f t="shared" si="6"/>
        <v>140</v>
      </c>
      <c r="C136" s="42" t="s">
        <v>3</v>
      </c>
      <c r="D136" s="42">
        <f t="shared" si="7"/>
        <v>260</v>
      </c>
      <c r="E136" s="42" t="s">
        <v>3</v>
      </c>
      <c r="F136" s="90">
        <f t="shared" si="8"/>
        <v>1800</v>
      </c>
      <c r="G136" s="42" t="s">
        <v>3</v>
      </c>
      <c r="H136" s="39">
        <v>4</v>
      </c>
      <c r="I136" s="40" t="s">
        <v>41</v>
      </c>
      <c r="J136" s="149">
        <v>140</v>
      </c>
      <c r="K136" s="66">
        <v>260</v>
      </c>
      <c r="L136" s="66">
        <v>1800</v>
      </c>
      <c r="M136" s="164">
        <v>19.296377241786843</v>
      </c>
      <c r="N136" s="78">
        <v>1408.5344245511699</v>
      </c>
      <c r="O136" s="113">
        <v>34039.7619745743</v>
      </c>
      <c r="P136" s="109">
        <v>41997.965060026712</v>
      </c>
      <c r="Q136" s="110">
        <v>22018.553204765303</v>
      </c>
      <c r="R136" s="258">
        <v>56058.315179339603</v>
      </c>
      <c r="S136" s="259">
        <v>64016.518264792016</v>
      </c>
      <c r="U136" s="7" t="s">
        <v>2988</v>
      </c>
    </row>
    <row r="137" spans="1:21" ht="16.5" thickBot="1">
      <c r="A137" s="41" t="s">
        <v>31</v>
      </c>
      <c r="B137" s="42">
        <f t="shared" si="6"/>
        <v>140</v>
      </c>
      <c r="C137" s="42" t="s">
        <v>3</v>
      </c>
      <c r="D137" s="42">
        <f t="shared" si="7"/>
        <v>260</v>
      </c>
      <c r="E137" s="42" t="s">
        <v>3</v>
      </c>
      <c r="F137" s="90">
        <f t="shared" si="8"/>
        <v>1850</v>
      </c>
      <c r="G137" s="42" t="s">
        <v>3</v>
      </c>
      <c r="H137" s="39">
        <v>4</v>
      </c>
      <c r="I137" s="40" t="s">
        <v>41</v>
      </c>
      <c r="J137" s="149">
        <v>140</v>
      </c>
      <c r="K137" s="66">
        <v>260</v>
      </c>
      <c r="L137" s="66">
        <v>1850</v>
      </c>
      <c r="M137" s="164">
        <v>19.813867903652103</v>
      </c>
      <c r="N137" s="78">
        <v>1457.1045771218999</v>
      </c>
      <c r="O137" s="113">
        <v>34799.615595788935</v>
      </c>
      <c r="P137" s="109">
        <v>42958.346503859786</v>
      </c>
      <c r="Q137" s="110">
        <v>22740.342910029034</v>
      </c>
      <c r="R137" s="258">
        <v>57539.958505817965</v>
      </c>
      <c r="S137" s="259">
        <v>65698.689413888816</v>
      </c>
      <c r="U137" s="7" t="s">
        <v>2989</v>
      </c>
    </row>
    <row r="138" spans="1:21" ht="16.5" thickBot="1">
      <c r="A138" s="41" t="s">
        <v>31</v>
      </c>
      <c r="B138" s="42">
        <f t="shared" si="6"/>
        <v>140</v>
      </c>
      <c r="C138" s="42" t="s">
        <v>3</v>
      </c>
      <c r="D138" s="42">
        <f t="shared" si="7"/>
        <v>260</v>
      </c>
      <c r="E138" s="42" t="s">
        <v>3</v>
      </c>
      <c r="F138" s="90">
        <f t="shared" si="8"/>
        <v>1900</v>
      </c>
      <c r="G138" s="42" t="s">
        <v>3</v>
      </c>
      <c r="H138" s="39">
        <v>4</v>
      </c>
      <c r="I138" s="40" t="s">
        <v>41</v>
      </c>
      <c r="J138" s="149">
        <v>140</v>
      </c>
      <c r="K138" s="66">
        <v>260</v>
      </c>
      <c r="L138" s="66">
        <v>1900</v>
      </c>
      <c r="M138" s="164">
        <v>20.314318565517368</v>
      </c>
      <c r="N138" s="78">
        <v>1505.6747296926299</v>
      </c>
      <c r="O138" s="113">
        <v>35559.469217003556</v>
      </c>
      <c r="P138" s="109">
        <v>43918.72779466409</v>
      </c>
      <c r="Q138" s="110">
        <v>23210.798477508997</v>
      </c>
      <c r="R138" s="258">
        <v>58770.267694512557</v>
      </c>
      <c r="S138" s="259">
        <v>67129.526272173083</v>
      </c>
      <c r="U138" s="7" t="s">
        <v>2990</v>
      </c>
    </row>
    <row r="139" spans="1:21" ht="16.5" thickBot="1">
      <c r="A139" s="41" t="s">
        <v>31</v>
      </c>
      <c r="B139" s="42">
        <f t="shared" si="6"/>
        <v>140</v>
      </c>
      <c r="C139" s="42" t="s">
        <v>3</v>
      </c>
      <c r="D139" s="42">
        <f t="shared" si="7"/>
        <v>260</v>
      </c>
      <c r="E139" s="42" t="s">
        <v>3</v>
      </c>
      <c r="F139" s="90">
        <f t="shared" si="8"/>
        <v>1950</v>
      </c>
      <c r="G139" s="42" t="s">
        <v>3</v>
      </c>
      <c r="H139" s="39">
        <v>4</v>
      </c>
      <c r="I139" s="40" t="s">
        <v>41</v>
      </c>
      <c r="J139" s="149">
        <v>140</v>
      </c>
      <c r="K139" s="66">
        <v>260</v>
      </c>
      <c r="L139" s="66">
        <v>1950</v>
      </c>
      <c r="M139" s="164">
        <v>20.893269227382632</v>
      </c>
      <c r="N139" s="78">
        <v>1554.2448822633598</v>
      </c>
      <c r="O139" s="113">
        <v>36403.421173351519</v>
      </c>
      <c r="P139" s="109">
        <v>44963.720679079961</v>
      </c>
      <c r="Q139" s="110">
        <v>23681.25404498896</v>
      </c>
      <c r="R139" s="258">
        <v>60084.675218340475</v>
      </c>
      <c r="S139" s="259">
        <v>68644.974724068918</v>
      </c>
      <c r="U139" s="7" t="s">
        <v>2991</v>
      </c>
    </row>
    <row r="140" spans="1:21" ht="16.5" thickBot="1">
      <c r="A140" s="41" t="s">
        <v>31</v>
      </c>
      <c r="B140" s="42">
        <f t="shared" si="6"/>
        <v>140</v>
      </c>
      <c r="C140" s="42" t="s">
        <v>3</v>
      </c>
      <c r="D140" s="42">
        <f t="shared" si="7"/>
        <v>260</v>
      </c>
      <c r="E140" s="42" t="s">
        <v>3</v>
      </c>
      <c r="F140" s="90">
        <f t="shared" si="8"/>
        <v>2000</v>
      </c>
      <c r="G140" s="42" t="s">
        <v>3</v>
      </c>
      <c r="H140" s="39">
        <v>4</v>
      </c>
      <c r="I140" s="40" t="s">
        <v>41</v>
      </c>
      <c r="J140" s="149">
        <v>140</v>
      </c>
      <c r="K140" s="66">
        <v>260</v>
      </c>
      <c r="L140" s="66">
        <v>2000</v>
      </c>
      <c r="M140" s="164">
        <v>21.502322289247893</v>
      </c>
      <c r="N140" s="78">
        <v>1602.8150348340896</v>
      </c>
      <c r="O140" s="113">
        <v>37414.566696410744</v>
      </c>
      <c r="P140" s="109">
        <v>46264.924115909067</v>
      </c>
      <c r="Q140" s="110">
        <v>24403.043750252691</v>
      </c>
      <c r="R140" s="258">
        <v>61817.610446663435</v>
      </c>
      <c r="S140" s="259">
        <v>70667.967866161751</v>
      </c>
      <c r="U140" s="7" t="s">
        <v>2992</v>
      </c>
    </row>
    <row r="141" spans="1:21" ht="16.5" thickBot="1">
      <c r="A141" s="41" t="s">
        <v>31</v>
      </c>
      <c r="B141" s="42">
        <f t="shared" si="6"/>
        <v>140</v>
      </c>
      <c r="C141" s="42" t="s">
        <v>3</v>
      </c>
      <c r="D141" s="42">
        <f t="shared" si="7"/>
        <v>260</v>
      </c>
      <c r="E141" s="42" t="s">
        <v>3</v>
      </c>
      <c r="F141" s="90">
        <f t="shared" si="8"/>
        <v>2050</v>
      </c>
      <c r="G141" s="42" t="s">
        <v>3</v>
      </c>
      <c r="H141" s="39">
        <v>4</v>
      </c>
      <c r="I141" s="40" t="s">
        <v>41</v>
      </c>
      <c r="J141" s="149">
        <v>140</v>
      </c>
      <c r="K141" s="66">
        <v>260</v>
      </c>
      <c r="L141" s="66">
        <v>2050</v>
      </c>
      <c r="M141" s="164">
        <v>22.002772951113155</v>
      </c>
      <c r="N141" s="78">
        <v>1651.3851874048198</v>
      </c>
      <c r="O141" s="113">
        <v>38174.420317625372</v>
      </c>
      <c r="P141" s="109">
        <v>47225.305406713378</v>
      </c>
      <c r="Q141" s="110">
        <v>24873.499317732651</v>
      </c>
      <c r="R141" s="258">
        <v>63047.919635358019</v>
      </c>
      <c r="S141" s="259">
        <v>72098.804724446032</v>
      </c>
      <c r="U141" s="7" t="s">
        <v>2993</v>
      </c>
    </row>
    <row r="142" spans="1:21" ht="16.5" thickBot="1">
      <c r="A142" s="38" t="s">
        <v>31</v>
      </c>
      <c r="B142" s="39">
        <f t="shared" si="6"/>
        <v>140</v>
      </c>
      <c r="C142" s="39" t="s">
        <v>3</v>
      </c>
      <c r="D142" s="39">
        <f t="shared" si="7"/>
        <v>260</v>
      </c>
      <c r="E142" s="39" t="s">
        <v>3</v>
      </c>
      <c r="F142" s="90">
        <f t="shared" si="8"/>
        <v>2100</v>
      </c>
      <c r="G142" s="39" t="s">
        <v>3</v>
      </c>
      <c r="H142" s="39">
        <v>4</v>
      </c>
      <c r="I142" s="40" t="s">
        <v>41</v>
      </c>
      <c r="J142" s="149">
        <v>140</v>
      </c>
      <c r="K142" s="66">
        <v>260</v>
      </c>
      <c r="L142" s="66">
        <v>2100</v>
      </c>
      <c r="M142" s="164">
        <v>22.520263612978418</v>
      </c>
      <c r="N142" s="78">
        <v>1699.9553399755498</v>
      </c>
      <c r="O142" s="113">
        <v>38934.27393884</v>
      </c>
      <c r="P142" s="109">
        <v>48185.686697517689</v>
      </c>
      <c r="Q142" s="110">
        <v>25595.289022996385</v>
      </c>
      <c r="R142" s="258">
        <v>64529.562961836389</v>
      </c>
      <c r="S142" s="259">
        <v>73780.975720514078</v>
      </c>
      <c r="U142" s="7" t="s">
        <v>2994</v>
      </c>
    </row>
    <row r="143" spans="1:21" ht="16.5" thickBot="1">
      <c r="A143" s="41" t="s">
        <v>31</v>
      </c>
      <c r="B143" s="42">
        <f t="shared" si="6"/>
        <v>140</v>
      </c>
      <c r="C143" s="42" t="s">
        <v>3</v>
      </c>
      <c r="D143" s="42">
        <f t="shared" si="7"/>
        <v>260</v>
      </c>
      <c r="E143" s="42" t="s">
        <v>3</v>
      </c>
      <c r="F143" s="90">
        <f t="shared" si="8"/>
        <v>2150</v>
      </c>
      <c r="G143" s="42" t="s">
        <v>3</v>
      </c>
      <c r="H143" s="39">
        <v>4</v>
      </c>
      <c r="I143" s="40" t="s">
        <v>41</v>
      </c>
      <c r="J143" s="149">
        <v>140</v>
      </c>
      <c r="K143" s="66">
        <v>260</v>
      </c>
      <c r="L143" s="66">
        <v>2150</v>
      </c>
      <c r="M143" s="164">
        <v>23.020714274843684</v>
      </c>
      <c r="N143" s="78">
        <v>1748.5254925462798</v>
      </c>
      <c r="O143" s="113">
        <v>39694.127560054629</v>
      </c>
      <c r="P143" s="109">
        <v>49146.067988321993</v>
      </c>
      <c r="Q143" s="110">
        <v>26065.744590476344</v>
      </c>
      <c r="R143" s="258">
        <v>65759.87215053098</v>
      </c>
      <c r="S143" s="259">
        <v>75211.81257879833</v>
      </c>
      <c r="U143" s="7" t="s">
        <v>2995</v>
      </c>
    </row>
    <row r="144" spans="1:21" ht="16.5" thickBot="1">
      <c r="A144" s="41" t="s">
        <v>31</v>
      </c>
      <c r="B144" s="42">
        <f t="shared" si="6"/>
        <v>140</v>
      </c>
      <c r="C144" s="42" t="s">
        <v>3</v>
      </c>
      <c r="D144" s="42">
        <f t="shared" si="7"/>
        <v>260</v>
      </c>
      <c r="E144" s="42" t="s">
        <v>3</v>
      </c>
      <c r="F144" s="90">
        <f t="shared" si="8"/>
        <v>2200</v>
      </c>
      <c r="G144" s="42" t="s">
        <v>3</v>
      </c>
      <c r="H144" s="39">
        <v>4</v>
      </c>
      <c r="I144" s="40" t="s">
        <v>41</v>
      </c>
      <c r="J144" s="149">
        <v>140</v>
      </c>
      <c r="K144" s="66">
        <v>260</v>
      </c>
      <c r="L144" s="66">
        <v>2200</v>
      </c>
      <c r="M144" s="164">
        <v>23.538204936708947</v>
      </c>
      <c r="N144" s="78">
        <v>1797.0956451170098</v>
      </c>
      <c r="O144" s="113">
        <v>40453.981334298027</v>
      </c>
      <c r="P144" s="109">
        <v>50106.449279126304</v>
      </c>
      <c r="Q144" s="110">
        <v>26787.534295740079</v>
      </c>
      <c r="R144" s="258">
        <v>67241.515630038106</v>
      </c>
      <c r="S144" s="259">
        <v>76893.983574866375</v>
      </c>
      <c r="U144" s="7" t="s">
        <v>2996</v>
      </c>
    </row>
    <row r="145" spans="1:21" ht="16.5" thickBot="1">
      <c r="A145" s="41" t="s">
        <v>31</v>
      </c>
      <c r="B145" s="42">
        <f t="shared" si="6"/>
        <v>140</v>
      </c>
      <c r="C145" s="42" t="s">
        <v>3</v>
      </c>
      <c r="D145" s="42">
        <f t="shared" si="7"/>
        <v>260</v>
      </c>
      <c r="E145" s="42" t="s">
        <v>3</v>
      </c>
      <c r="F145" s="90">
        <f t="shared" si="8"/>
        <v>2250</v>
      </c>
      <c r="G145" s="42" t="s">
        <v>3</v>
      </c>
      <c r="H145" s="39">
        <v>4</v>
      </c>
      <c r="I145" s="40" t="s">
        <v>41</v>
      </c>
      <c r="J145" s="149">
        <v>140</v>
      </c>
      <c r="K145" s="66">
        <v>260</v>
      </c>
      <c r="L145" s="66">
        <v>2250</v>
      </c>
      <c r="M145" s="164">
        <v>24.038655598574202</v>
      </c>
      <c r="N145" s="78">
        <v>1845.6657976877398</v>
      </c>
      <c r="O145" s="113">
        <v>41213.834955512655</v>
      </c>
      <c r="P145" s="109">
        <v>51066.830569930615</v>
      </c>
      <c r="Q145" s="110">
        <v>27257.989710191272</v>
      </c>
      <c r="R145" s="258">
        <v>68471.824665703927</v>
      </c>
      <c r="S145" s="259">
        <v>78324.820280121887</v>
      </c>
      <c r="U145" s="7" t="s">
        <v>2997</v>
      </c>
    </row>
    <row r="146" spans="1:21" ht="16.5" thickBot="1">
      <c r="A146" s="41" t="s">
        <v>31</v>
      </c>
      <c r="B146" s="42">
        <f t="shared" si="6"/>
        <v>140</v>
      </c>
      <c r="C146" s="42" t="s">
        <v>3</v>
      </c>
      <c r="D146" s="42">
        <f t="shared" si="7"/>
        <v>260</v>
      </c>
      <c r="E146" s="42" t="s">
        <v>3</v>
      </c>
      <c r="F146" s="90">
        <f t="shared" si="8"/>
        <v>2300</v>
      </c>
      <c r="G146" s="42" t="s">
        <v>3</v>
      </c>
      <c r="H146" s="39">
        <v>4</v>
      </c>
      <c r="I146" s="40" t="s">
        <v>41</v>
      </c>
      <c r="J146" s="149">
        <v>140</v>
      </c>
      <c r="K146" s="66">
        <v>260</v>
      </c>
      <c r="L146" s="66">
        <v>2300</v>
      </c>
      <c r="M146" s="164">
        <v>24.539106260439475</v>
      </c>
      <c r="N146" s="78">
        <v>1894.2359502584698</v>
      </c>
      <c r="O146" s="113">
        <v>41973.688576727283</v>
      </c>
      <c r="P146" s="109">
        <v>52027.211860734918</v>
      </c>
      <c r="Q146" s="110">
        <v>27728.445277671239</v>
      </c>
      <c r="R146" s="258">
        <v>69702.133854398518</v>
      </c>
      <c r="S146" s="259">
        <v>79755.657138406154</v>
      </c>
      <c r="U146" s="7" t="s">
        <v>2998</v>
      </c>
    </row>
    <row r="147" spans="1:21" ht="16.5" thickBot="1">
      <c r="A147" s="41" t="s">
        <v>31</v>
      </c>
      <c r="B147" s="42">
        <f t="shared" si="6"/>
        <v>140</v>
      </c>
      <c r="C147" s="42" t="s">
        <v>3</v>
      </c>
      <c r="D147" s="42">
        <f t="shared" si="7"/>
        <v>260</v>
      </c>
      <c r="E147" s="42" t="s">
        <v>3</v>
      </c>
      <c r="F147" s="90">
        <f t="shared" si="8"/>
        <v>2350</v>
      </c>
      <c r="G147" s="42" t="s">
        <v>3</v>
      </c>
      <c r="H147" s="39">
        <v>4</v>
      </c>
      <c r="I147" s="40" t="s">
        <v>41</v>
      </c>
      <c r="J147" s="149">
        <v>140</v>
      </c>
      <c r="K147" s="66">
        <v>260</v>
      </c>
      <c r="L147" s="66">
        <v>2350</v>
      </c>
      <c r="M147" s="164">
        <v>25.056596922304738</v>
      </c>
      <c r="N147" s="78">
        <v>1942.8061028291997</v>
      </c>
      <c r="O147" s="113">
        <v>42733.542197941912</v>
      </c>
      <c r="P147" s="109">
        <v>52987.593151539222</v>
      </c>
      <c r="Q147" s="110">
        <v>28450.234982934966</v>
      </c>
      <c r="R147" s="258">
        <v>71183.777180876874</v>
      </c>
      <c r="S147" s="259">
        <v>81437.828134474184</v>
      </c>
      <c r="U147" s="7" t="s">
        <v>2999</v>
      </c>
    </row>
    <row r="148" spans="1:21" ht="16.5" thickBot="1">
      <c r="A148" s="41" t="s">
        <v>31</v>
      </c>
      <c r="B148" s="42">
        <f t="shared" si="6"/>
        <v>140</v>
      </c>
      <c r="C148" s="42" t="s">
        <v>3</v>
      </c>
      <c r="D148" s="42">
        <f t="shared" si="7"/>
        <v>260</v>
      </c>
      <c r="E148" s="42" t="s">
        <v>3</v>
      </c>
      <c r="F148" s="90">
        <f t="shared" si="8"/>
        <v>2400</v>
      </c>
      <c r="G148" s="42" t="s">
        <v>3</v>
      </c>
      <c r="H148" s="39">
        <v>4</v>
      </c>
      <c r="I148" s="40" t="s">
        <v>41</v>
      </c>
      <c r="J148" s="149">
        <v>140</v>
      </c>
      <c r="K148" s="66">
        <v>260</v>
      </c>
      <c r="L148" s="66">
        <v>2400</v>
      </c>
      <c r="M148" s="164">
        <v>25.557047584169993</v>
      </c>
      <c r="N148" s="78">
        <v>1991.3762553999295</v>
      </c>
      <c r="O148" s="113">
        <v>43493.39581915654</v>
      </c>
      <c r="P148" s="109">
        <v>53947.97444234354</v>
      </c>
      <c r="Q148" s="110">
        <v>28920.690550414929</v>
      </c>
      <c r="R148" s="258">
        <v>72414.086369571465</v>
      </c>
      <c r="S148" s="259">
        <v>82868.664992758466</v>
      </c>
      <c r="U148" s="7" t="s">
        <v>3000</v>
      </c>
    </row>
    <row r="149" spans="1:21" ht="16.5" thickBot="1">
      <c r="A149" s="41" t="s">
        <v>31</v>
      </c>
      <c r="B149" s="42">
        <f t="shared" si="6"/>
        <v>140</v>
      </c>
      <c r="C149" s="42" t="s">
        <v>3</v>
      </c>
      <c r="D149" s="42">
        <f t="shared" si="7"/>
        <v>260</v>
      </c>
      <c r="E149" s="42" t="s">
        <v>3</v>
      </c>
      <c r="F149" s="90">
        <f t="shared" si="8"/>
        <v>2450</v>
      </c>
      <c r="G149" s="42" t="s">
        <v>3</v>
      </c>
      <c r="H149" s="39">
        <v>4</v>
      </c>
      <c r="I149" s="40" t="s">
        <v>41</v>
      </c>
      <c r="J149" s="149">
        <v>140</v>
      </c>
      <c r="K149" s="66">
        <v>260</v>
      </c>
      <c r="L149" s="66">
        <v>2450</v>
      </c>
      <c r="M149" s="164">
        <v>26.217640589335261</v>
      </c>
      <c r="N149" s="78">
        <v>2039.9464079706597</v>
      </c>
      <c r="O149" s="113">
        <v>44919.607229986141</v>
      </c>
      <c r="P149" s="109">
        <v>55534.342239091355</v>
      </c>
      <c r="Q149" s="110">
        <v>29642.480255678664</v>
      </c>
      <c r="R149" s="258">
        <v>74562.087485664801</v>
      </c>
      <c r="S149" s="259">
        <v>85176.822494770022</v>
      </c>
      <c r="U149" s="7" t="s">
        <v>3001</v>
      </c>
    </row>
    <row r="150" spans="1:21" ht="16.5" thickBot="1">
      <c r="A150" s="41" t="s">
        <v>31</v>
      </c>
      <c r="B150" s="42">
        <f t="shared" si="6"/>
        <v>140</v>
      </c>
      <c r="C150" s="42" t="s">
        <v>3</v>
      </c>
      <c r="D150" s="42">
        <f t="shared" si="7"/>
        <v>260</v>
      </c>
      <c r="E150" s="42" t="s">
        <v>3</v>
      </c>
      <c r="F150" s="90">
        <f t="shared" si="8"/>
        <v>2500</v>
      </c>
      <c r="G150" s="42" t="s">
        <v>3</v>
      </c>
      <c r="H150" s="39">
        <v>4</v>
      </c>
      <c r="I150" s="40" t="s">
        <v>41</v>
      </c>
      <c r="J150" s="149">
        <v>140</v>
      </c>
      <c r="K150" s="66">
        <v>260</v>
      </c>
      <c r="L150" s="66">
        <v>2500</v>
      </c>
      <c r="M150" s="164">
        <v>26.694855251200522</v>
      </c>
      <c r="N150" s="78">
        <v>2088.5165605413895</v>
      </c>
      <c r="O150" s="113">
        <v>45679.460851200769</v>
      </c>
      <c r="P150" s="109">
        <v>56494.723529895673</v>
      </c>
      <c r="Q150" s="110">
        <v>30112.935823158623</v>
      </c>
      <c r="R150" s="258">
        <v>75792.396674359392</v>
      </c>
      <c r="S150" s="259">
        <v>86607.659353054303</v>
      </c>
      <c r="U150" s="7" t="s">
        <v>3002</v>
      </c>
    </row>
    <row r="151" spans="1:21" ht="16.5" thickBot="1">
      <c r="A151" s="41" t="s">
        <v>31</v>
      </c>
      <c r="B151" s="42">
        <f t="shared" si="6"/>
        <v>140</v>
      </c>
      <c r="C151" s="42" t="s">
        <v>3</v>
      </c>
      <c r="D151" s="42">
        <f t="shared" si="7"/>
        <v>260</v>
      </c>
      <c r="E151" s="42" t="s">
        <v>3</v>
      </c>
      <c r="F151" s="90">
        <f t="shared" si="8"/>
        <v>2550</v>
      </c>
      <c r="G151" s="42" t="s">
        <v>3</v>
      </c>
      <c r="H151" s="39">
        <v>4</v>
      </c>
      <c r="I151" s="40" t="s">
        <v>41</v>
      </c>
      <c r="J151" s="149">
        <v>140</v>
      </c>
      <c r="K151" s="66">
        <v>260</v>
      </c>
      <c r="L151" s="66">
        <v>2550</v>
      </c>
      <c r="M151" s="164">
        <v>27.212345913065789</v>
      </c>
      <c r="N151" s="78">
        <v>2137.0867131121199</v>
      </c>
      <c r="O151" s="113">
        <v>46439.314472415397</v>
      </c>
      <c r="P151" s="109">
        <v>57455.104820699977</v>
      </c>
      <c r="Q151" s="110">
        <v>30834.725528422357</v>
      </c>
      <c r="R151" s="258">
        <v>77274.040000837762</v>
      </c>
      <c r="S151" s="259">
        <v>88289.830349122334</v>
      </c>
      <c r="U151" s="7" t="s">
        <v>3003</v>
      </c>
    </row>
    <row r="152" spans="1:21" ht="16.5" thickBot="1">
      <c r="A152" s="38" t="s">
        <v>31</v>
      </c>
      <c r="B152" s="39">
        <f t="shared" si="6"/>
        <v>140</v>
      </c>
      <c r="C152" s="39" t="s">
        <v>3</v>
      </c>
      <c r="D152" s="39">
        <f t="shared" si="7"/>
        <v>260</v>
      </c>
      <c r="E152" s="39" t="s">
        <v>3</v>
      </c>
      <c r="F152" s="90">
        <f t="shared" si="8"/>
        <v>2600</v>
      </c>
      <c r="G152" s="39" t="s">
        <v>3</v>
      </c>
      <c r="H152" s="39">
        <v>4</v>
      </c>
      <c r="I152" s="40" t="s">
        <v>41</v>
      </c>
      <c r="J152" s="149">
        <v>140</v>
      </c>
      <c r="K152" s="66">
        <v>260</v>
      </c>
      <c r="L152" s="66">
        <v>2600</v>
      </c>
      <c r="M152" s="164">
        <v>27.712796574931055</v>
      </c>
      <c r="N152" s="78">
        <v>2185.6568656828499</v>
      </c>
      <c r="O152" s="113">
        <v>47199.168093630025</v>
      </c>
      <c r="P152" s="109">
        <v>58415.486111504288</v>
      </c>
      <c r="Q152" s="110">
        <v>31305.181095902317</v>
      </c>
      <c r="R152" s="258">
        <v>78504.349189532339</v>
      </c>
      <c r="S152" s="259">
        <v>89720.667207406601</v>
      </c>
      <c r="U152" s="7" t="s">
        <v>3004</v>
      </c>
    </row>
    <row r="153" spans="1:21" ht="16.5" thickBot="1">
      <c r="A153" s="41" t="s">
        <v>31</v>
      </c>
      <c r="B153" s="42">
        <f t="shared" si="6"/>
        <v>140</v>
      </c>
      <c r="C153" s="42" t="s">
        <v>3</v>
      </c>
      <c r="D153" s="42">
        <f t="shared" si="7"/>
        <v>260</v>
      </c>
      <c r="E153" s="42" t="s">
        <v>3</v>
      </c>
      <c r="F153" s="90">
        <f t="shared" si="8"/>
        <v>2650</v>
      </c>
      <c r="G153" s="42" t="s">
        <v>3</v>
      </c>
      <c r="H153" s="39">
        <v>4</v>
      </c>
      <c r="I153" s="40" t="s">
        <v>41</v>
      </c>
      <c r="J153" s="149">
        <v>140</v>
      </c>
      <c r="K153" s="66">
        <v>260</v>
      </c>
      <c r="L153" s="66">
        <v>2650</v>
      </c>
      <c r="M153" s="164">
        <v>28.230287236796315</v>
      </c>
      <c r="N153" s="78">
        <v>2234.2270182535794</v>
      </c>
      <c r="O153" s="113">
        <v>47959.021867873424</v>
      </c>
      <c r="P153" s="109">
        <v>59375.867402308591</v>
      </c>
      <c r="Q153" s="110">
        <v>32026.970801166051</v>
      </c>
      <c r="R153" s="258">
        <v>79985.992669039479</v>
      </c>
      <c r="S153" s="259">
        <v>91402.838203474646</v>
      </c>
      <c r="U153" s="7" t="s">
        <v>3005</v>
      </c>
    </row>
    <row r="154" spans="1:21" ht="16.5" thickBot="1">
      <c r="A154" s="41" t="s">
        <v>31</v>
      </c>
      <c r="B154" s="42">
        <f t="shared" si="6"/>
        <v>140</v>
      </c>
      <c r="C154" s="42" t="s">
        <v>3</v>
      </c>
      <c r="D154" s="42">
        <f t="shared" si="7"/>
        <v>260</v>
      </c>
      <c r="E154" s="42" t="s">
        <v>3</v>
      </c>
      <c r="F154" s="90">
        <f t="shared" si="8"/>
        <v>2700</v>
      </c>
      <c r="G154" s="42" t="s">
        <v>3</v>
      </c>
      <c r="H154" s="39">
        <v>4</v>
      </c>
      <c r="I154" s="40" t="s">
        <v>41</v>
      </c>
      <c r="J154" s="149">
        <v>140</v>
      </c>
      <c r="K154" s="66">
        <v>260</v>
      </c>
      <c r="L154" s="66">
        <v>2700</v>
      </c>
      <c r="M154" s="164">
        <v>28.809237898661578</v>
      </c>
      <c r="N154" s="78">
        <v>2282.7971708243099</v>
      </c>
      <c r="O154" s="113">
        <v>48802.973671192616</v>
      </c>
      <c r="P154" s="109">
        <v>60420.860439753225</v>
      </c>
      <c r="Q154" s="110">
        <v>32497.426368646011</v>
      </c>
      <c r="R154" s="258">
        <v>81300.400039838627</v>
      </c>
      <c r="S154" s="259">
        <v>92918.286808399236</v>
      </c>
      <c r="U154" s="7" t="s">
        <v>3006</v>
      </c>
    </row>
    <row r="155" spans="1:21" ht="16.5" thickBot="1">
      <c r="A155" s="41" t="s">
        <v>31</v>
      </c>
      <c r="B155" s="42">
        <f t="shared" si="6"/>
        <v>140</v>
      </c>
      <c r="C155" s="42" t="s">
        <v>3</v>
      </c>
      <c r="D155" s="42">
        <f t="shared" si="7"/>
        <v>260</v>
      </c>
      <c r="E155" s="42" t="s">
        <v>3</v>
      </c>
      <c r="F155" s="90">
        <f t="shared" si="8"/>
        <v>2750</v>
      </c>
      <c r="G155" s="42" t="s">
        <v>3</v>
      </c>
      <c r="H155" s="39">
        <v>4</v>
      </c>
      <c r="I155" s="40" t="s">
        <v>41</v>
      </c>
      <c r="J155" s="149">
        <v>140</v>
      </c>
      <c r="K155" s="66">
        <v>260</v>
      </c>
      <c r="L155" s="66">
        <v>2750</v>
      </c>
      <c r="M155" s="164">
        <v>29.30968856052684</v>
      </c>
      <c r="N155" s="78">
        <v>2331.3673233950394</v>
      </c>
      <c r="O155" s="113">
        <v>49562.827292407244</v>
      </c>
      <c r="P155" s="109">
        <v>61381.241730557536</v>
      </c>
      <c r="Q155" s="110">
        <v>32967.881936125974</v>
      </c>
      <c r="R155" s="258">
        <v>82530.709228533218</v>
      </c>
      <c r="S155" s="259">
        <v>94349.123666683503</v>
      </c>
      <c r="U155" s="7" t="s">
        <v>3007</v>
      </c>
    </row>
    <row r="156" spans="1:21" ht="16.5" thickBot="1">
      <c r="A156" s="41" t="s">
        <v>31</v>
      </c>
      <c r="B156" s="42">
        <f t="shared" si="6"/>
        <v>140</v>
      </c>
      <c r="C156" s="42" t="s">
        <v>3</v>
      </c>
      <c r="D156" s="42">
        <f t="shared" si="7"/>
        <v>260</v>
      </c>
      <c r="E156" s="42" t="s">
        <v>3</v>
      </c>
      <c r="F156" s="90">
        <f t="shared" si="8"/>
        <v>2800</v>
      </c>
      <c r="G156" s="42" t="s">
        <v>3</v>
      </c>
      <c r="H156" s="39">
        <v>4</v>
      </c>
      <c r="I156" s="40" t="s">
        <v>41</v>
      </c>
      <c r="J156" s="149">
        <v>140</v>
      </c>
      <c r="K156" s="66">
        <v>260</v>
      </c>
      <c r="L156" s="66">
        <v>2800</v>
      </c>
      <c r="M156" s="164">
        <v>29.827179222392108</v>
      </c>
      <c r="N156" s="78">
        <v>2379.9374759657699</v>
      </c>
      <c r="O156" s="113">
        <v>50322.680913621873</v>
      </c>
      <c r="P156" s="109">
        <v>62341.62302136184</v>
      </c>
      <c r="Q156" s="110">
        <v>33689.671488360938</v>
      </c>
      <c r="R156" s="258">
        <v>84012.352401982818</v>
      </c>
      <c r="S156" s="259">
        <v>96031.294509722778</v>
      </c>
      <c r="U156" s="7" t="s">
        <v>3008</v>
      </c>
    </row>
    <row r="157" spans="1:21" ht="16.5" thickBot="1">
      <c r="A157" s="41" t="s">
        <v>31</v>
      </c>
      <c r="B157" s="42">
        <f t="shared" si="6"/>
        <v>140</v>
      </c>
      <c r="C157" s="42" t="s">
        <v>3</v>
      </c>
      <c r="D157" s="42">
        <f t="shared" si="7"/>
        <v>260</v>
      </c>
      <c r="E157" s="42" t="s">
        <v>3</v>
      </c>
      <c r="F157" s="90">
        <f t="shared" si="8"/>
        <v>2850</v>
      </c>
      <c r="G157" s="42" t="s">
        <v>3</v>
      </c>
      <c r="H157" s="39">
        <v>4</v>
      </c>
      <c r="I157" s="40" t="s">
        <v>41</v>
      </c>
      <c r="J157" s="149">
        <v>140</v>
      </c>
      <c r="K157" s="66">
        <v>260</v>
      </c>
      <c r="L157" s="66">
        <v>2850</v>
      </c>
      <c r="M157" s="164">
        <v>30.327629884257369</v>
      </c>
      <c r="N157" s="78">
        <v>2428.5076285364999</v>
      </c>
      <c r="O157" s="113">
        <v>51082.534687865271</v>
      </c>
      <c r="P157" s="109">
        <v>63302.004312166144</v>
      </c>
      <c r="Q157" s="110">
        <v>34160.127055840901</v>
      </c>
      <c r="R157" s="258">
        <v>85242.66174370618</v>
      </c>
      <c r="S157" s="259">
        <v>97462.131368007045</v>
      </c>
      <c r="U157" s="7" t="s">
        <v>3009</v>
      </c>
    </row>
    <row r="158" spans="1:21" ht="16.5" thickBot="1">
      <c r="A158" s="41" t="s">
        <v>31</v>
      </c>
      <c r="B158" s="42">
        <f t="shared" si="6"/>
        <v>140</v>
      </c>
      <c r="C158" s="42" t="s">
        <v>3</v>
      </c>
      <c r="D158" s="42">
        <f t="shared" si="7"/>
        <v>260</v>
      </c>
      <c r="E158" s="42" t="s">
        <v>3</v>
      </c>
      <c r="F158" s="90">
        <f t="shared" si="8"/>
        <v>2900</v>
      </c>
      <c r="G158" s="42" t="s">
        <v>3</v>
      </c>
      <c r="H158" s="39">
        <v>4</v>
      </c>
      <c r="I158" s="40" t="s">
        <v>41</v>
      </c>
      <c r="J158" s="149">
        <v>140</v>
      </c>
      <c r="K158" s="66">
        <v>260</v>
      </c>
      <c r="L158" s="66">
        <v>2900</v>
      </c>
      <c r="M158" s="164">
        <v>30.845120546122622</v>
      </c>
      <c r="N158" s="78">
        <v>2477.0777811072294</v>
      </c>
      <c r="O158" s="113">
        <v>51842.388309079892</v>
      </c>
      <c r="P158" s="109">
        <v>64262.385602970462</v>
      </c>
      <c r="Q158" s="110">
        <v>34881.916761104636</v>
      </c>
      <c r="R158" s="258">
        <v>86724.30507018452</v>
      </c>
      <c r="S158" s="259">
        <v>99144.302364075091</v>
      </c>
      <c r="U158" s="7" t="s">
        <v>3010</v>
      </c>
    </row>
    <row r="159" spans="1:21" ht="16.5" thickBot="1">
      <c r="A159" s="41" t="s">
        <v>31</v>
      </c>
      <c r="B159" s="42">
        <f t="shared" si="6"/>
        <v>140</v>
      </c>
      <c r="C159" s="42" t="s">
        <v>3</v>
      </c>
      <c r="D159" s="42">
        <f t="shared" si="7"/>
        <v>260</v>
      </c>
      <c r="E159" s="42" t="s">
        <v>3</v>
      </c>
      <c r="F159" s="90">
        <f t="shared" si="8"/>
        <v>2950</v>
      </c>
      <c r="G159" s="42" t="s">
        <v>3</v>
      </c>
      <c r="H159" s="39">
        <v>4</v>
      </c>
      <c r="I159" s="40" t="s">
        <v>41</v>
      </c>
      <c r="J159" s="149">
        <v>140</v>
      </c>
      <c r="K159" s="66">
        <v>260</v>
      </c>
      <c r="L159" s="66">
        <v>2950</v>
      </c>
      <c r="M159" s="164">
        <v>31.345571207987899</v>
      </c>
      <c r="N159" s="78">
        <v>2525.6479336779598</v>
      </c>
      <c r="O159" s="113">
        <v>52602.24193029452</v>
      </c>
      <c r="P159" s="109">
        <v>65222.766893774606</v>
      </c>
      <c r="Q159" s="110">
        <v>35352.372328584599</v>
      </c>
      <c r="R159" s="258">
        <v>87954.614258879126</v>
      </c>
      <c r="S159" s="259">
        <v>100575.1392223592</v>
      </c>
      <c r="U159" s="7" t="s">
        <v>3011</v>
      </c>
    </row>
    <row r="160" spans="1:21" ht="16.5" thickBot="1">
      <c r="A160" s="43" t="s">
        <v>31</v>
      </c>
      <c r="B160" s="44">
        <f t="shared" si="6"/>
        <v>140</v>
      </c>
      <c r="C160" s="44" t="s">
        <v>3</v>
      </c>
      <c r="D160" s="44">
        <f t="shared" si="7"/>
        <v>260</v>
      </c>
      <c r="E160" s="44" t="s">
        <v>3</v>
      </c>
      <c r="F160" s="91">
        <f t="shared" si="8"/>
        <v>3000</v>
      </c>
      <c r="G160" s="44" t="s">
        <v>3</v>
      </c>
      <c r="H160" s="46">
        <v>4</v>
      </c>
      <c r="I160" s="45" t="s">
        <v>41</v>
      </c>
      <c r="J160" s="149">
        <v>140</v>
      </c>
      <c r="K160" s="126">
        <v>260</v>
      </c>
      <c r="L160" s="126">
        <v>3000</v>
      </c>
      <c r="M160" s="171">
        <v>31.863061869853151</v>
      </c>
      <c r="N160" s="127">
        <v>2574.2180862486894</v>
      </c>
      <c r="O160" s="128">
        <v>54643.017167923666</v>
      </c>
      <c r="P160" s="154">
        <v>66183.148337607839</v>
      </c>
      <c r="Q160" s="136">
        <v>36074.162033848326</v>
      </c>
      <c r="R160" s="260">
        <v>90717.179201772</v>
      </c>
      <c r="S160" s="261">
        <v>102257.31037145617</v>
      </c>
      <c r="U160" s="7" t="s">
        <v>3012</v>
      </c>
    </row>
    <row r="161" spans="1:21" ht="22.5" customHeight="1" thickBot="1">
      <c r="A161" s="3010" t="s">
        <v>43</v>
      </c>
      <c r="B161" s="3011"/>
      <c r="C161" s="3011"/>
      <c r="D161" s="3011"/>
      <c r="E161" s="3011"/>
      <c r="F161" s="3011"/>
      <c r="G161" s="3011"/>
      <c r="H161" s="3011"/>
      <c r="I161" s="3011"/>
      <c r="J161" s="3011"/>
      <c r="K161" s="3011"/>
      <c r="L161" s="3011"/>
      <c r="M161" s="3011"/>
      <c r="N161" s="3011"/>
      <c r="O161" s="3011"/>
      <c r="P161" s="3011"/>
      <c r="Q161" s="3011"/>
      <c r="R161" s="3011"/>
      <c r="S161" s="3012"/>
      <c r="U161" s="7"/>
    </row>
    <row r="162" spans="1:21" ht="16.5" customHeight="1" thickBot="1">
      <c r="A162" s="2974" t="s">
        <v>148</v>
      </c>
      <c r="B162" s="2975"/>
      <c r="C162" s="2975"/>
      <c r="D162" s="2975"/>
      <c r="E162" s="2975"/>
      <c r="F162" s="2975"/>
      <c r="G162" s="2975"/>
      <c r="H162" s="2975"/>
      <c r="I162" s="2975"/>
      <c r="J162" s="2975"/>
      <c r="K162" s="2975"/>
      <c r="L162" s="2975"/>
      <c r="M162" s="2975"/>
      <c r="N162" s="2975"/>
      <c r="O162" s="2975"/>
      <c r="P162" s="2975"/>
      <c r="Q162" s="2975"/>
      <c r="R162" s="2975"/>
      <c r="S162" s="2976"/>
      <c r="U162" s="7"/>
    </row>
    <row r="163" spans="1:21" ht="16.5" thickBot="1">
      <c r="A163" s="38" t="s">
        <v>31</v>
      </c>
      <c r="B163" s="39">
        <f>J163</f>
        <v>140</v>
      </c>
      <c r="C163" s="39" t="s">
        <v>3</v>
      </c>
      <c r="D163" s="39">
        <f>K163</f>
        <v>300</v>
      </c>
      <c r="E163" s="39" t="s">
        <v>3</v>
      </c>
      <c r="F163" s="90">
        <f>L163</f>
        <v>600</v>
      </c>
      <c r="G163" s="39" t="s">
        <v>3</v>
      </c>
      <c r="H163" s="39">
        <v>6</v>
      </c>
      <c r="I163" s="40" t="s">
        <v>42</v>
      </c>
      <c r="J163" s="146">
        <v>140</v>
      </c>
      <c r="K163" s="122">
        <v>300</v>
      </c>
      <c r="L163" s="122">
        <v>600</v>
      </c>
      <c r="M163" s="163">
        <v>8.0008537913270228</v>
      </c>
      <c r="N163" s="123">
        <v>267.13901999999996</v>
      </c>
      <c r="O163" s="124">
        <v>18178.809602431655</v>
      </c>
      <c r="P163" s="148">
        <v>22065.815526759099</v>
      </c>
      <c r="Q163" s="139">
        <v>8941.6715199935952</v>
      </c>
      <c r="R163" s="256">
        <v>27120.481122425248</v>
      </c>
      <c r="S163" s="257">
        <v>31007.487046752693</v>
      </c>
      <c r="U163" s="7" t="s">
        <v>3013</v>
      </c>
    </row>
    <row r="164" spans="1:21" ht="16.5" thickBot="1">
      <c r="A164" s="41" t="s">
        <v>31</v>
      </c>
      <c r="B164" s="42">
        <f t="shared" ref="B164:B211" si="9">J164</f>
        <v>140</v>
      </c>
      <c r="C164" s="42" t="s">
        <v>3</v>
      </c>
      <c r="D164" s="42">
        <f t="shared" ref="D164:D211" si="10">K164</f>
        <v>300</v>
      </c>
      <c r="E164" s="42" t="s">
        <v>3</v>
      </c>
      <c r="F164" s="90">
        <f t="shared" ref="F164:F211" si="11">L164</f>
        <v>650</v>
      </c>
      <c r="G164" s="42" t="s">
        <v>3</v>
      </c>
      <c r="H164" s="39">
        <v>6</v>
      </c>
      <c r="I164" s="40" t="s">
        <v>42</v>
      </c>
      <c r="J164" s="149">
        <v>140</v>
      </c>
      <c r="K164" s="66">
        <v>300</v>
      </c>
      <c r="L164" s="66">
        <v>650</v>
      </c>
      <c r="M164" s="164">
        <v>8.6003492298513411</v>
      </c>
      <c r="N164" s="78">
        <v>320.56682399999994</v>
      </c>
      <c r="O164" s="113">
        <v>19170.759656279894</v>
      </c>
      <c r="P164" s="111">
        <v>23306.924108437324</v>
      </c>
      <c r="Q164" s="110">
        <v>9465.3131529653438</v>
      </c>
      <c r="R164" s="258">
        <v>28636.072809245237</v>
      </c>
      <c r="S164" s="259">
        <v>32772.237261402668</v>
      </c>
      <c r="U164" s="7" t="s">
        <v>3014</v>
      </c>
    </row>
    <row r="165" spans="1:21" ht="16.5" thickBot="1">
      <c r="A165" s="41" t="s">
        <v>31</v>
      </c>
      <c r="B165" s="42">
        <f t="shared" si="9"/>
        <v>140</v>
      </c>
      <c r="C165" s="42" t="s">
        <v>3</v>
      </c>
      <c r="D165" s="42">
        <f t="shared" si="10"/>
        <v>300</v>
      </c>
      <c r="E165" s="42" t="s">
        <v>3</v>
      </c>
      <c r="F165" s="90">
        <f t="shared" si="11"/>
        <v>700</v>
      </c>
      <c r="G165" s="42" t="s">
        <v>3</v>
      </c>
      <c r="H165" s="39">
        <v>6</v>
      </c>
      <c r="I165" s="40" t="s">
        <v>42</v>
      </c>
      <c r="J165" s="149">
        <v>140</v>
      </c>
      <c r="K165" s="66">
        <v>300</v>
      </c>
      <c r="L165" s="66">
        <v>700</v>
      </c>
      <c r="M165" s="164">
        <v>9.1998446683756594</v>
      </c>
      <c r="N165" s="78">
        <v>373.99462799999992</v>
      </c>
      <c r="O165" s="113">
        <v>20163.335291719966</v>
      </c>
      <c r="P165" s="111">
        <v>24548.286258779364</v>
      </c>
      <c r="Q165" s="110">
        <v>10240.289076749623</v>
      </c>
      <c r="R165" s="258">
        <v>30403.624368469587</v>
      </c>
      <c r="S165" s="259">
        <v>34788.575335528985</v>
      </c>
      <c r="U165" s="7" t="s">
        <v>3015</v>
      </c>
    </row>
    <row r="166" spans="1:21" ht="16.5" thickBot="1">
      <c r="A166" s="41" t="s">
        <v>31</v>
      </c>
      <c r="B166" s="42">
        <f t="shared" si="9"/>
        <v>140</v>
      </c>
      <c r="C166" s="42" t="s">
        <v>3</v>
      </c>
      <c r="D166" s="42">
        <f t="shared" si="10"/>
        <v>300</v>
      </c>
      <c r="E166" s="42" t="s">
        <v>3</v>
      </c>
      <c r="F166" s="90">
        <f t="shared" si="11"/>
        <v>750</v>
      </c>
      <c r="G166" s="42" t="s">
        <v>3</v>
      </c>
      <c r="H166" s="39">
        <v>6</v>
      </c>
      <c r="I166" s="40" t="s">
        <v>42</v>
      </c>
      <c r="J166" s="149">
        <v>140</v>
      </c>
      <c r="K166" s="66">
        <v>300</v>
      </c>
      <c r="L166" s="66">
        <v>750</v>
      </c>
      <c r="M166" s="164">
        <v>9.7993401068999795</v>
      </c>
      <c r="N166" s="78">
        <v>427.42243199999996</v>
      </c>
      <c r="O166" s="113">
        <v>21156.436427939476</v>
      </c>
      <c r="P166" s="111">
        <v>25789.861884248756</v>
      </c>
      <c r="Q166" s="110">
        <v>10763.930709721371</v>
      </c>
      <c r="R166" s="258">
        <v>31920.367137660847</v>
      </c>
      <c r="S166" s="259">
        <v>36553.792593970124</v>
      </c>
      <c r="U166" s="7" t="s">
        <v>3016</v>
      </c>
    </row>
    <row r="167" spans="1:21" ht="16.5" thickBot="1">
      <c r="A167" s="41" t="s">
        <v>31</v>
      </c>
      <c r="B167" s="42">
        <f t="shared" si="9"/>
        <v>140</v>
      </c>
      <c r="C167" s="42" t="s">
        <v>3</v>
      </c>
      <c r="D167" s="42">
        <f t="shared" si="10"/>
        <v>300</v>
      </c>
      <c r="E167" s="42" t="s">
        <v>3</v>
      </c>
      <c r="F167" s="90">
        <f t="shared" si="11"/>
        <v>800</v>
      </c>
      <c r="G167" s="42" t="s">
        <v>3</v>
      </c>
      <c r="H167" s="39">
        <v>6</v>
      </c>
      <c r="I167" s="40" t="s">
        <v>42</v>
      </c>
      <c r="J167" s="149">
        <v>140</v>
      </c>
      <c r="K167" s="66">
        <v>300</v>
      </c>
      <c r="L167" s="66">
        <v>800</v>
      </c>
      <c r="M167" s="164">
        <v>10.3988355454243</v>
      </c>
      <c r="N167" s="78">
        <v>480.85023599999994</v>
      </c>
      <c r="O167" s="113">
        <v>22149.982724836736</v>
      </c>
      <c r="P167" s="111">
        <v>27031.619613948642</v>
      </c>
      <c r="Q167" s="110">
        <v>11287.572342693116</v>
      </c>
      <c r="R167" s="258">
        <v>33437.555067529851</v>
      </c>
      <c r="S167" s="259">
        <v>38319.191956641756</v>
      </c>
      <c r="U167" s="7" t="s">
        <v>3017</v>
      </c>
    </row>
    <row r="168" spans="1:21" ht="16.5" thickBot="1">
      <c r="A168" s="41" t="s">
        <v>31</v>
      </c>
      <c r="B168" s="42">
        <f t="shared" si="9"/>
        <v>140</v>
      </c>
      <c r="C168" s="42" t="s">
        <v>3</v>
      </c>
      <c r="D168" s="42">
        <f t="shared" si="10"/>
        <v>300</v>
      </c>
      <c r="E168" s="42" t="s">
        <v>3</v>
      </c>
      <c r="F168" s="90">
        <f t="shared" si="11"/>
        <v>850</v>
      </c>
      <c r="G168" s="42" t="s">
        <v>3</v>
      </c>
      <c r="H168" s="39">
        <v>6</v>
      </c>
      <c r="I168" s="40" t="s">
        <v>42</v>
      </c>
      <c r="J168" s="149">
        <v>140</v>
      </c>
      <c r="K168" s="66">
        <v>300</v>
      </c>
      <c r="L168" s="66">
        <v>850</v>
      </c>
      <c r="M168" s="164">
        <v>10.998330983948618</v>
      </c>
      <c r="N168" s="78">
        <v>534.27803999999992</v>
      </c>
      <c r="O168" s="113">
        <v>23143.909910330389</v>
      </c>
      <c r="P168" s="111">
        <v>28273.533279960193</v>
      </c>
      <c r="Q168" s="110">
        <v>12062.548266477399</v>
      </c>
      <c r="R168" s="258">
        <v>35206.458176807791</v>
      </c>
      <c r="S168" s="259">
        <v>40336.081546437592</v>
      </c>
      <c r="U168" s="7" t="s">
        <v>3018</v>
      </c>
    </row>
    <row r="169" spans="1:21" ht="16.5" thickBot="1">
      <c r="A169" s="41" t="s">
        <v>31</v>
      </c>
      <c r="B169" s="42">
        <f t="shared" si="9"/>
        <v>140</v>
      </c>
      <c r="C169" s="42" t="s">
        <v>3</v>
      </c>
      <c r="D169" s="42">
        <f t="shared" si="10"/>
        <v>300</v>
      </c>
      <c r="E169" s="42" t="s">
        <v>3</v>
      </c>
      <c r="F169" s="90">
        <f t="shared" si="11"/>
        <v>900</v>
      </c>
      <c r="G169" s="42" t="s">
        <v>3</v>
      </c>
      <c r="H169" s="39">
        <v>6</v>
      </c>
      <c r="I169" s="40" t="s">
        <v>42</v>
      </c>
      <c r="J169" s="149">
        <v>140</v>
      </c>
      <c r="K169" s="66">
        <v>300</v>
      </c>
      <c r="L169" s="66">
        <v>900</v>
      </c>
      <c r="M169" s="164">
        <v>11.59782642247294</v>
      </c>
      <c r="N169" s="78">
        <v>587.70584399999996</v>
      </c>
      <c r="O169" s="113">
        <v>24138.165189496471</v>
      </c>
      <c r="P169" s="111">
        <v>29515.581917342581</v>
      </c>
      <c r="Q169" s="110">
        <v>12586.189899449146</v>
      </c>
      <c r="R169" s="258">
        <v>36724.355088945616</v>
      </c>
      <c r="S169" s="259">
        <v>42101.771816791726</v>
      </c>
      <c r="U169" s="7" t="s">
        <v>3019</v>
      </c>
    </row>
    <row r="170" spans="1:21" ht="16.5" thickBot="1">
      <c r="A170" s="41" t="s">
        <v>31</v>
      </c>
      <c r="B170" s="42">
        <f t="shared" si="9"/>
        <v>140</v>
      </c>
      <c r="C170" s="42" t="s">
        <v>3</v>
      </c>
      <c r="D170" s="42">
        <f t="shared" si="10"/>
        <v>300</v>
      </c>
      <c r="E170" s="42" t="s">
        <v>3</v>
      </c>
      <c r="F170" s="90">
        <f t="shared" si="11"/>
        <v>950</v>
      </c>
      <c r="G170" s="42" t="s">
        <v>3</v>
      </c>
      <c r="H170" s="39">
        <v>6</v>
      </c>
      <c r="I170" s="40" t="s">
        <v>42</v>
      </c>
      <c r="J170" s="149">
        <v>140</v>
      </c>
      <c r="K170" s="66">
        <v>300</v>
      </c>
      <c r="L170" s="66">
        <v>950</v>
      </c>
      <c r="M170" s="164">
        <v>12.197321860997258</v>
      </c>
      <c r="N170" s="78">
        <v>641.13364799999988</v>
      </c>
      <c r="O170" s="113">
        <v>25132.705102165684</v>
      </c>
      <c r="P170" s="111">
        <v>30757.748080816586</v>
      </c>
      <c r="Q170" s="110">
        <v>13361.165670204662</v>
      </c>
      <c r="R170" s="258">
        <v>38493.870772370348</v>
      </c>
      <c r="S170" s="259">
        <v>44118.913751021246</v>
      </c>
      <c r="U170" s="7" t="s">
        <v>3020</v>
      </c>
    </row>
    <row r="171" spans="1:21" ht="16.5" thickBot="1">
      <c r="A171" s="41" t="s">
        <v>31</v>
      </c>
      <c r="B171" s="42">
        <f t="shared" si="9"/>
        <v>140</v>
      </c>
      <c r="C171" s="42" t="s">
        <v>3</v>
      </c>
      <c r="D171" s="42">
        <f t="shared" si="10"/>
        <v>300</v>
      </c>
      <c r="E171" s="42" t="s">
        <v>3</v>
      </c>
      <c r="F171" s="90">
        <f t="shared" si="11"/>
        <v>1000</v>
      </c>
      <c r="G171" s="42" t="s">
        <v>3</v>
      </c>
      <c r="H171" s="39">
        <v>6</v>
      </c>
      <c r="I171" s="40" t="s">
        <v>42</v>
      </c>
      <c r="J171" s="149">
        <v>140</v>
      </c>
      <c r="K171" s="66">
        <v>300</v>
      </c>
      <c r="L171" s="66">
        <v>1000</v>
      </c>
      <c r="M171" s="164">
        <v>12.796817299521578</v>
      </c>
      <c r="N171" s="78">
        <v>694.56145199999992</v>
      </c>
      <c r="O171" s="113">
        <v>26127.493839606996</v>
      </c>
      <c r="P171" s="111">
        <v>32000.016926591994</v>
      </c>
      <c r="Q171" s="110">
        <v>13884.807456205173</v>
      </c>
      <c r="R171" s="258">
        <v>40012.301295812169</v>
      </c>
      <c r="S171" s="259">
        <v>45884.824382797167</v>
      </c>
      <c r="U171" s="7" t="s">
        <v>3021</v>
      </c>
    </row>
    <row r="172" spans="1:21" ht="16.5" thickBot="1">
      <c r="A172" s="41" t="s">
        <v>31</v>
      </c>
      <c r="B172" s="42">
        <f t="shared" si="9"/>
        <v>140</v>
      </c>
      <c r="C172" s="42" t="s">
        <v>3</v>
      </c>
      <c r="D172" s="42">
        <f t="shared" si="10"/>
        <v>300</v>
      </c>
      <c r="E172" s="42" t="s">
        <v>3</v>
      </c>
      <c r="F172" s="90">
        <f t="shared" si="11"/>
        <v>1050</v>
      </c>
      <c r="G172" s="42" t="s">
        <v>3</v>
      </c>
      <c r="H172" s="39">
        <v>6</v>
      </c>
      <c r="I172" s="40" t="s">
        <v>42</v>
      </c>
      <c r="J172" s="149">
        <v>140</v>
      </c>
      <c r="K172" s="66">
        <v>300</v>
      </c>
      <c r="L172" s="66">
        <v>1050</v>
      </c>
      <c r="M172" s="164">
        <v>13.396312738045898</v>
      </c>
      <c r="N172" s="78">
        <v>747.98925599999984</v>
      </c>
      <c r="O172" s="113">
        <v>27132.461744446889</v>
      </c>
      <c r="P172" s="111">
        <v>33254.799240549197</v>
      </c>
      <c r="Q172" s="110">
        <v>14659.78322696069</v>
      </c>
      <c r="R172" s="258">
        <v>41792.244971407577</v>
      </c>
      <c r="S172" s="259">
        <v>47914.582467509885</v>
      </c>
      <c r="U172" s="7" t="s">
        <v>3022</v>
      </c>
    </row>
    <row r="173" spans="1:21" ht="16.5" thickBot="1">
      <c r="A173" s="38" t="s">
        <v>31</v>
      </c>
      <c r="B173" s="39">
        <f t="shared" si="9"/>
        <v>140</v>
      </c>
      <c r="C173" s="39" t="s">
        <v>3</v>
      </c>
      <c r="D173" s="39">
        <f t="shared" si="10"/>
        <v>300</v>
      </c>
      <c r="E173" s="39" t="s">
        <v>3</v>
      </c>
      <c r="F173" s="90">
        <f t="shared" si="11"/>
        <v>1100</v>
      </c>
      <c r="G173" s="39" t="s">
        <v>3</v>
      </c>
      <c r="H173" s="39">
        <v>6</v>
      </c>
      <c r="I173" s="40" t="s">
        <v>42</v>
      </c>
      <c r="J173" s="149">
        <v>140</v>
      </c>
      <c r="K173" s="66">
        <v>300</v>
      </c>
      <c r="L173" s="66">
        <v>1100</v>
      </c>
      <c r="M173" s="164">
        <v>13.995808176570216</v>
      </c>
      <c r="N173" s="78">
        <v>801.41705999999988</v>
      </c>
      <c r="O173" s="113">
        <v>28127.646061246047</v>
      </c>
      <c r="P173" s="111">
        <v>34497.230296815636</v>
      </c>
      <c r="Q173" s="110">
        <v>15183.425012961201</v>
      </c>
      <c r="R173" s="258">
        <v>43311.071074207248</v>
      </c>
      <c r="S173" s="259">
        <v>49680.655309776834</v>
      </c>
      <c r="U173" s="7" t="s">
        <v>3023</v>
      </c>
    </row>
    <row r="174" spans="1:21" ht="16.5" thickBot="1">
      <c r="A174" s="41" t="s">
        <v>31</v>
      </c>
      <c r="B174" s="42">
        <f t="shared" si="9"/>
        <v>140</v>
      </c>
      <c r="C174" s="42" t="s">
        <v>3</v>
      </c>
      <c r="D174" s="42">
        <f t="shared" si="10"/>
        <v>300</v>
      </c>
      <c r="E174" s="42" t="s">
        <v>3</v>
      </c>
      <c r="F174" s="90">
        <f t="shared" si="11"/>
        <v>1150</v>
      </c>
      <c r="G174" s="42" t="s">
        <v>3</v>
      </c>
      <c r="H174" s="39">
        <v>6</v>
      </c>
      <c r="I174" s="40" t="s">
        <v>42</v>
      </c>
      <c r="J174" s="149">
        <v>140</v>
      </c>
      <c r="K174" s="66">
        <v>300</v>
      </c>
      <c r="L174" s="66">
        <v>1150</v>
      </c>
      <c r="M174" s="164">
        <v>14.595303615094538</v>
      </c>
      <c r="N174" s="78">
        <v>854.84486399999992</v>
      </c>
      <c r="O174" s="113">
        <v>29123.002841463494</v>
      </c>
      <c r="P174" s="111">
        <v>35739.733429630447</v>
      </c>
      <c r="Q174" s="110">
        <v>15707.066645932946</v>
      </c>
      <c r="R174" s="258">
        <v>44830.069487396438</v>
      </c>
      <c r="S174" s="259">
        <v>51446.800075563391</v>
      </c>
      <c r="U174" s="7" t="s">
        <v>3024</v>
      </c>
    </row>
    <row r="175" spans="1:21" ht="16.5" thickBot="1">
      <c r="A175" s="41" t="s">
        <v>31</v>
      </c>
      <c r="B175" s="42">
        <f t="shared" si="9"/>
        <v>140</v>
      </c>
      <c r="C175" s="42" t="s">
        <v>3</v>
      </c>
      <c r="D175" s="42">
        <f t="shared" si="10"/>
        <v>300</v>
      </c>
      <c r="E175" s="42" t="s">
        <v>3</v>
      </c>
      <c r="F175" s="90">
        <f t="shared" si="11"/>
        <v>1200</v>
      </c>
      <c r="G175" s="42" t="s">
        <v>3</v>
      </c>
      <c r="H175" s="39">
        <v>6</v>
      </c>
      <c r="I175" s="40" t="s">
        <v>42</v>
      </c>
      <c r="J175" s="149">
        <v>140</v>
      </c>
      <c r="K175" s="66">
        <v>300</v>
      </c>
      <c r="L175" s="66">
        <v>1200</v>
      </c>
      <c r="M175" s="164">
        <v>15.311136053618858</v>
      </c>
      <c r="N175" s="78">
        <v>908.27266799999984</v>
      </c>
      <c r="O175" s="113">
        <v>30252.519634008509</v>
      </c>
      <c r="P175" s="111">
        <v>37119.673838806732</v>
      </c>
      <c r="Q175" s="110">
        <v>16482.042416688462</v>
      </c>
      <c r="R175" s="258">
        <v>46734.562050696972</v>
      </c>
      <c r="S175" s="259">
        <v>53601.716255495194</v>
      </c>
      <c r="U175" s="7" t="s">
        <v>3025</v>
      </c>
    </row>
    <row r="176" spans="1:21" ht="16.5" thickBot="1">
      <c r="A176" s="41" t="s">
        <v>31</v>
      </c>
      <c r="B176" s="42">
        <f t="shared" si="9"/>
        <v>140</v>
      </c>
      <c r="C176" s="42" t="s">
        <v>3</v>
      </c>
      <c r="D176" s="42">
        <f t="shared" si="10"/>
        <v>300</v>
      </c>
      <c r="E176" s="42" t="s">
        <v>3</v>
      </c>
      <c r="F176" s="90">
        <f t="shared" si="11"/>
        <v>1250</v>
      </c>
      <c r="G176" s="42" t="s">
        <v>3</v>
      </c>
      <c r="H176" s="39">
        <v>6</v>
      </c>
      <c r="I176" s="40" t="s">
        <v>42</v>
      </c>
      <c r="J176" s="149">
        <v>140</v>
      </c>
      <c r="K176" s="66">
        <v>300</v>
      </c>
      <c r="L176" s="66">
        <v>1250</v>
      </c>
      <c r="M176" s="164">
        <v>15.910631492143178</v>
      </c>
      <c r="N176" s="78">
        <v>961.70047199999988</v>
      </c>
      <c r="O176" s="113">
        <v>31248.165179505748</v>
      </c>
      <c r="P176" s="111">
        <v>38362.268176765559</v>
      </c>
      <c r="Q176" s="110">
        <v>17005.684202688975</v>
      </c>
      <c r="R176" s="258">
        <v>48253.84938219472</v>
      </c>
      <c r="S176" s="259">
        <v>55367.952379454538</v>
      </c>
      <c r="U176" s="7" t="s">
        <v>3026</v>
      </c>
    </row>
    <row r="177" spans="1:21" ht="16.5" thickBot="1">
      <c r="A177" s="41" t="s">
        <v>31</v>
      </c>
      <c r="B177" s="42">
        <f t="shared" si="9"/>
        <v>140</v>
      </c>
      <c r="C177" s="42" t="s">
        <v>3</v>
      </c>
      <c r="D177" s="42">
        <f t="shared" si="10"/>
        <v>300</v>
      </c>
      <c r="E177" s="42" t="s">
        <v>3</v>
      </c>
      <c r="F177" s="90">
        <f t="shared" si="11"/>
        <v>1300</v>
      </c>
      <c r="G177" s="42" t="s">
        <v>3</v>
      </c>
      <c r="H177" s="39">
        <v>6</v>
      </c>
      <c r="I177" s="40" t="s">
        <v>42</v>
      </c>
      <c r="J177" s="149">
        <v>140</v>
      </c>
      <c r="K177" s="66">
        <v>300</v>
      </c>
      <c r="L177" s="66">
        <v>1300</v>
      </c>
      <c r="M177" s="164">
        <v>16.510126930667496</v>
      </c>
      <c r="N177" s="78">
        <v>1015.1282759999998</v>
      </c>
      <c r="O177" s="113">
        <v>32243.934066187685</v>
      </c>
      <c r="P177" s="111">
        <v>39604.916227820948</v>
      </c>
      <c r="Q177" s="110">
        <v>17780.65997344449</v>
      </c>
      <c r="R177" s="258">
        <v>50024.594039632175</v>
      </c>
      <c r="S177" s="259">
        <v>57385.576201265438</v>
      </c>
      <c r="U177" s="7" t="s">
        <v>3027</v>
      </c>
    </row>
    <row r="178" spans="1:21" ht="16.5" thickBot="1">
      <c r="A178" s="41" t="s">
        <v>31</v>
      </c>
      <c r="B178" s="42">
        <f t="shared" si="9"/>
        <v>140</v>
      </c>
      <c r="C178" s="42" t="s">
        <v>3</v>
      </c>
      <c r="D178" s="42">
        <f t="shared" si="10"/>
        <v>300</v>
      </c>
      <c r="E178" s="42" t="s">
        <v>3</v>
      </c>
      <c r="F178" s="90">
        <f t="shared" si="11"/>
        <v>1350</v>
      </c>
      <c r="G178" s="42" t="s">
        <v>3</v>
      </c>
      <c r="H178" s="39">
        <v>6</v>
      </c>
      <c r="I178" s="40" t="s">
        <v>42</v>
      </c>
      <c r="J178" s="149">
        <v>140</v>
      </c>
      <c r="K178" s="66">
        <v>300</v>
      </c>
      <c r="L178" s="66">
        <v>1350</v>
      </c>
      <c r="M178" s="164">
        <v>17.109622369191822</v>
      </c>
      <c r="N178" s="78">
        <v>1068.5560799999998</v>
      </c>
      <c r="O178" s="113">
        <v>33239.814663868157</v>
      </c>
      <c r="P178" s="111">
        <v>40847.612942023639</v>
      </c>
      <c r="Q178" s="110">
        <v>18304.301606416237</v>
      </c>
      <c r="R178" s="258">
        <v>51544.116270284394</v>
      </c>
      <c r="S178" s="259">
        <v>59151.914548439876</v>
      </c>
      <c r="U178" s="7" t="s">
        <v>3028</v>
      </c>
    </row>
    <row r="179" spans="1:21" ht="16.5" thickBot="1">
      <c r="A179" s="41" t="s">
        <v>31</v>
      </c>
      <c r="B179" s="42">
        <f t="shared" si="9"/>
        <v>140</v>
      </c>
      <c r="C179" s="42" t="s">
        <v>3</v>
      </c>
      <c r="D179" s="42">
        <f t="shared" si="10"/>
        <v>300</v>
      </c>
      <c r="E179" s="42" t="s">
        <v>3</v>
      </c>
      <c r="F179" s="90">
        <f t="shared" si="11"/>
        <v>1400</v>
      </c>
      <c r="G179" s="42" t="s">
        <v>3</v>
      </c>
      <c r="H179" s="39">
        <v>6</v>
      </c>
      <c r="I179" s="40" t="s">
        <v>42</v>
      </c>
      <c r="J179" s="149">
        <v>140</v>
      </c>
      <c r="K179" s="66">
        <v>300</v>
      </c>
      <c r="L179" s="66">
        <v>1400</v>
      </c>
      <c r="M179" s="164">
        <v>17.70911780771614</v>
      </c>
      <c r="N179" s="78">
        <v>1121.983884</v>
      </c>
      <c r="O179" s="113">
        <v>34235.796107504852</v>
      </c>
      <c r="P179" s="111">
        <v>42090.353728510694</v>
      </c>
      <c r="Q179" s="110">
        <v>19079.277530200521</v>
      </c>
      <c r="R179" s="258">
        <v>53315.073637705369</v>
      </c>
      <c r="S179" s="259">
        <v>61169.631258711219</v>
      </c>
      <c r="U179" s="7" t="s">
        <v>3029</v>
      </c>
    </row>
    <row r="180" spans="1:21" ht="16.5" thickBot="1">
      <c r="A180" s="41" t="s">
        <v>31</v>
      </c>
      <c r="B180" s="42">
        <f t="shared" si="9"/>
        <v>140</v>
      </c>
      <c r="C180" s="42" t="s">
        <v>3</v>
      </c>
      <c r="D180" s="42">
        <f t="shared" si="10"/>
        <v>300</v>
      </c>
      <c r="E180" s="42" t="s">
        <v>3</v>
      </c>
      <c r="F180" s="90">
        <f t="shared" si="11"/>
        <v>1450</v>
      </c>
      <c r="G180" s="42" t="s">
        <v>3</v>
      </c>
      <c r="H180" s="39">
        <v>6</v>
      </c>
      <c r="I180" s="40" t="s">
        <v>42</v>
      </c>
      <c r="J180" s="149">
        <v>140</v>
      </c>
      <c r="K180" s="66">
        <v>300</v>
      </c>
      <c r="L180" s="66">
        <v>1450</v>
      </c>
      <c r="M180" s="164">
        <v>18.308613246240462</v>
      </c>
      <c r="N180" s="78">
        <v>1175.4116879999999</v>
      </c>
      <c r="O180" s="113">
        <v>35231.869215371851</v>
      </c>
      <c r="P180" s="111">
        <v>43333.134761562964</v>
      </c>
      <c r="Q180" s="110">
        <v>19602.919163172111</v>
      </c>
      <c r="R180" s="258">
        <v>54834.788378543963</v>
      </c>
      <c r="S180" s="259">
        <v>62936.053924735075</v>
      </c>
      <c r="U180" s="7" t="s">
        <v>3030</v>
      </c>
    </row>
    <row r="181" spans="1:21" ht="16.5" thickBot="1">
      <c r="A181" s="41" t="s">
        <v>31</v>
      </c>
      <c r="B181" s="42">
        <f t="shared" si="9"/>
        <v>140</v>
      </c>
      <c r="C181" s="42" t="s">
        <v>3</v>
      </c>
      <c r="D181" s="42">
        <f t="shared" si="10"/>
        <v>300</v>
      </c>
      <c r="E181" s="42" t="s">
        <v>3</v>
      </c>
      <c r="F181" s="90">
        <f t="shared" si="11"/>
        <v>1500</v>
      </c>
      <c r="G181" s="42" t="s">
        <v>3</v>
      </c>
      <c r="H181" s="39">
        <v>6</v>
      </c>
      <c r="I181" s="40" t="s">
        <v>42</v>
      </c>
      <c r="J181" s="149">
        <v>140</v>
      </c>
      <c r="K181" s="66">
        <v>300</v>
      </c>
      <c r="L181" s="66">
        <v>1500</v>
      </c>
      <c r="M181" s="164">
        <v>19.073256004177178</v>
      </c>
      <c r="N181" s="78">
        <v>1228.8394919999996</v>
      </c>
      <c r="O181" s="113">
        <v>36967.216330061943</v>
      </c>
      <c r="P181" s="111">
        <v>45297.077469826909</v>
      </c>
      <c r="Q181" s="110">
        <v>20377.895086956549</v>
      </c>
      <c r="R181" s="258">
        <v>57345.111417018488</v>
      </c>
      <c r="S181" s="259">
        <v>65674.972556783454</v>
      </c>
      <c r="U181" s="7" t="s">
        <v>3031</v>
      </c>
    </row>
    <row r="182" spans="1:21" ht="16.5" thickBot="1">
      <c r="A182" s="41" t="s">
        <v>31</v>
      </c>
      <c r="B182" s="42">
        <f t="shared" si="9"/>
        <v>140</v>
      </c>
      <c r="C182" s="42" t="s">
        <v>3</v>
      </c>
      <c r="D182" s="42">
        <f t="shared" si="10"/>
        <v>300</v>
      </c>
      <c r="E182" s="42" t="s">
        <v>3</v>
      </c>
      <c r="F182" s="90">
        <f t="shared" si="11"/>
        <v>1550</v>
      </c>
      <c r="G182" s="42" t="s">
        <v>3</v>
      </c>
      <c r="H182" s="39">
        <v>6</v>
      </c>
      <c r="I182" s="40" t="s">
        <v>42</v>
      </c>
      <c r="J182" s="149">
        <v>140</v>
      </c>
      <c r="K182" s="66">
        <v>300</v>
      </c>
      <c r="L182" s="66">
        <v>1550</v>
      </c>
      <c r="M182" s="164">
        <v>19.6727514427015</v>
      </c>
      <c r="N182" s="78">
        <v>1282.2672959999998</v>
      </c>
      <c r="O182" s="113">
        <v>37963.285153123528</v>
      </c>
      <c r="P182" s="111">
        <v>46540.026375434521</v>
      </c>
      <c r="Q182" s="110">
        <v>20901.536719928292</v>
      </c>
      <c r="R182" s="258">
        <v>58864.82187305182</v>
      </c>
      <c r="S182" s="259">
        <v>67441.563095362813</v>
      </c>
      <c r="U182" s="7" t="s">
        <v>3032</v>
      </c>
    </row>
    <row r="183" spans="1:21" ht="16.5" thickBot="1">
      <c r="A183" s="38" t="s">
        <v>31</v>
      </c>
      <c r="B183" s="39">
        <f t="shared" si="9"/>
        <v>140</v>
      </c>
      <c r="C183" s="39" t="s">
        <v>3</v>
      </c>
      <c r="D183" s="39">
        <f t="shared" si="10"/>
        <v>300</v>
      </c>
      <c r="E183" s="39" t="s">
        <v>3</v>
      </c>
      <c r="F183" s="90">
        <f t="shared" si="11"/>
        <v>1600</v>
      </c>
      <c r="G183" s="39" t="s">
        <v>3</v>
      </c>
      <c r="H183" s="39">
        <v>6</v>
      </c>
      <c r="I183" s="40" t="s">
        <v>42</v>
      </c>
      <c r="J183" s="149">
        <v>140</v>
      </c>
      <c r="K183" s="66">
        <v>300</v>
      </c>
      <c r="L183" s="66">
        <v>1600</v>
      </c>
      <c r="M183" s="164">
        <v>20.272246881225819</v>
      </c>
      <c r="N183" s="78">
        <v>1335.6950999999999</v>
      </c>
      <c r="O183" s="113">
        <v>38959.431867826548</v>
      </c>
      <c r="P183" s="111">
        <v>47783.000224730866</v>
      </c>
      <c r="Q183" s="110">
        <v>21425.178352900039</v>
      </c>
      <c r="R183" s="258">
        <v>60384.610220726587</v>
      </c>
      <c r="S183" s="259">
        <v>69208.178577630897</v>
      </c>
      <c r="U183" s="7" t="s">
        <v>3033</v>
      </c>
    </row>
    <row r="184" spans="1:21" ht="16.5" thickBot="1">
      <c r="A184" s="41" t="s">
        <v>31</v>
      </c>
      <c r="B184" s="42">
        <f t="shared" si="9"/>
        <v>140</v>
      </c>
      <c r="C184" s="42" t="s">
        <v>3</v>
      </c>
      <c r="D184" s="42">
        <f t="shared" si="10"/>
        <v>300</v>
      </c>
      <c r="E184" s="42" t="s">
        <v>3</v>
      </c>
      <c r="F184" s="90">
        <f t="shared" si="11"/>
        <v>1650</v>
      </c>
      <c r="G184" s="42" t="s">
        <v>3</v>
      </c>
      <c r="H184" s="39">
        <v>6</v>
      </c>
      <c r="I184" s="40" t="s">
        <v>42</v>
      </c>
      <c r="J184" s="149">
        <v>140</v>
      </c>
      <c r="K184" s="66">
        <v>300</v>
      </c>
      <c r="L184" s="66">
        <v>1650</v>
      </c>
      <c r="M184" s="164">
        <v>20.87174231975014</v>
      </c>
      <c r="N184" s="78">
        <v>1389.1229039999998</v>
      </c>
      <c r="O184" s="113">
        <v>39955.650353020421</v>
      </c>
      <c r="P184" s="111">
        <v>49025.997028341961</v>
      </c>
      <c r="Q184" s="110">
        <v>22200.154276684319</v>
      </c>
      <c r="R184" s="258">
        <v>62155.80462970474</v>
      </c>
      <c r="S184" s="259">
        <v>71226.151305026287</v>
      </c>
      <c r="U184" s="7" t="s">
        <v>3034</v>
      </c>
    </row>
    <row r="185" spans="1:21" ht="16.5" thickBot="1">
      <c r="A185" s="41" t="s">
        <v>31</v>
      </c>
      <c r="B185" s="42">
        <f t="shared" si="9"/>
        <v>140</v>
      </c>
      <c r="C185" s="42" t="s">
        <v>3</v>
      </c>
      <c r="D185" s="42">
        <f t="shared" si="10"/>
        <v>300</v>
      </c>
      <c r="E185" s="42" t="s">
        <v>3</v>
      </c>
      <c r="F185" s="90">
        <f t="shared" si="11"/>
        <v>1700</v>
      </c>
      <c r="G185" s="42" t="s">
        <v>3</v>
      </c>
      <c r="H185" s="39">
        <v>6</v>
      </c>
      <c r="I185" s="40" t="s">
        <v>42</v>
      </c>
      <c r="J185" s="149">
        <v>140</v>
      </c>
      <c r="K185" s="66">
        <v>300</v>
      </c>
      <c r="L185" s="66">
        <v>1700</v>
      </c>
      <c r="M185" s="164">
        <v>21.48</v>
      </c>
      <c r="N185" s="78">
        <v>1442.550708</v>
      </c>
      <c r="O185" s="113">
        <v>40951.934946640824</v>
      </c>
      <c r="P185" s="111">
        <v>50269.014949922661</v>
      </c>
      <c r="Q185" s="110">
        <v>22723.795909656066</v>
      </c>
      <c r="R185" s="258">
        <v>63675.73085629689</v>
      </c>
      <c r="S185" s="259">
        <v>72992.81085957872</v>
      </c>
      <c r="U185" s="7" t="s">
        <v>3035</v>
      </c>
    </row>
    <row r="186" spans="1:21" ht="16.5" thickBot="1">
      <c r="A186" s="41" t="s">
        <v>31</v>
      </c>
      <c r="B186" s="42">
        <f t="shared" si="9"/>
        <v>140</v>
      </c>
      <c r="C186" s="42" t="s">
        <v>3</v>
      </c>
      <c r="D186" s="42">
        <f t="shared" si="10"/>
        <v>300</v>
      </c>
      <c r="E186" s="42" t="s">
        <v>3</v>
      </c>
      <c r="F186" s="90">
        <f t="shared" si="11"/>
        <v>1750</v>
      </c>
      <c r="G186" s="42" t="s">
        <v>3</v>
      </c>
      <c r="H186" s="39">
        <v>6</v>
      </c>
      <c r="I186" s="40" t="s">
        <v>42</v>
      </c>
      <c r="J186" s="149">
        <v>140</v>
      </c>
      <c r="K186" s="66">
        <v>300</v>
      </c>
      <c r="L186" s="66">
        <v>1750</v>
      </c>
      <c r="M186" s="164">
        <v>22.070733196798781</v>
      </c>
      <c r="N186" s="78">
        <v>1495.9785119999997</v>
      </c>
      <c r="O186" s="113">
        <v>41948.280598738515</v>
      </c>
      <c r="P186" s="111">
        <v>51512.052612214058</v>
      </c>
      <c r="Q186" s="110">
        <v>23498.771833440347</v>
      </c>
      <c r="R186" s="258">
        <v>65447.052432178862</v>
      </c>
      <c r="S186" s="259">
        <v>75010.824445654405</v>
      </c>
      <c r="U186" s="7" t="s">
        <v>3036</v>
      </c>
    </row>
    <row r="187" spans="1:21" ht="16.5" thickBot="1">
      <c r="A187" s="41" t="s">
        <v>31</v>
      </c>
      <c r="B187" s="42">
        <f t="shared" si="9"/>
        <v>140</v>
      </c>
      <c r="C187" s="42" t="s">
        <v>3</v>
      </c>
      <c r="D187" s="42">
        <f t="shared" si="10"/>
        <v>300</v>
      </c>
      <c r="E187" s="42" t="s">
        <v>3</v>
      </c>
      <c r="F187" s="90">
        <f t="shared" si="11"/>
        <v>1800</v>
      </c>
      <c r="G187" s="42" t="s">
        <v>3</v>
      </c>
      <c r="H187" s="39">
        <v>6</v>
      </c>
      <c r="I187" s="40" t="s">
        <v>42</v>
      </c>
      <c r="J187" s="149">
        <v>140</v>
      </c>
      <c r="K187" s="66">
        <v>300</v>
      </c>
      <c r="L187" s="66">
        <v>1800</v>
      </c>
      <c r="M187" s="164">
        <v>22.670228635323099</v>
      </c>
      <c r="N187" s="78">
        <v>1549.4063159999996</v>
      </c>
      <c r="O187" s="113">
        <v>42944.682871479308</v>
      </c>
      <c r="P187" s="111">
        <v>52755.108178870963</v>
      </c>
      <c r="Q187" s="110">
        <v>24022.413466412094</v>
      </c>
      <c r="R187" s="258">
        <v>66967.096337891402</v>
      </c>
      <c r="S187" s="259">
        <v>76777.521645283065</v>
      </c>
      <c r="U187" s="7" t="s">
        <v>3037</v>
      </c>
    </row>
    <row r="188" spans="1:21" ht="16.5" thickBot="1">
      <c r="A188" s="41" t="s">
        <v>31</v>
      </c>
      <c r="B188" s="42">
        <f t="shared" si="9"/>
        <v>140</v>
      </c>
      <c r="C188" s="42" t="s">
        <v>3</v>
      </c>
      <c r="D188" s="42">
        <f t="shared" si="10"/>
        <v>300</v>
      </c>
      <c r="E188" s="42" t="s">
        <v>3</v>
      </c>
      <c r="F188" s="90">
        <f t="shared" si="11"/>
        <v>1850</v>
      </c>
      <c r="G188" s="42" t="s">
        <v>3</v>
      </c>
      <c r="H188" s="39">
        <v>6</v>
      </c>
      <c r="I188" s="40" t="s">
        <v>42</v>
      </c>
      <c r="J188" s="149">
        <v>140</v>
      </c>
      <c r="K188" s="66">
        <v>300</v>
      </c>
      <c r="L188" s="66">
        <v>1850</v>
      </c>
      <c r="M188" s="164">
        <v>23.269724073847428</v>
      </c>
      <c r="N188" s="78">
        <v>1602.8341199999998</v>
      </c>
      <c r="O188" s="113">
        <v>43941.137480057769</v>
      </c>
      <c r="P188" s="111">
        <v>53998.180731720808</v>
      </c>
      <c r="Q188" s="110">
        <v>24797.389237167612</v>
      </c>
      <c r="R188" s="258">
        <v>68738.526717225381</v>
      </c>
      <c r="S188" s="259">
        <v>78795.56996888842</v>
      </c>
      <c r="U188" s="7" t="s">
        <v>3038</v>
      </c>
    </row>
    <row r="189" spans="1:21" ht="16.5" thickBot="1">
      <c r="A189" s="41" t="s">
        <v>31</v>
      </c>
      <c r="B189" s="42">
        <f t="shared" si="9"/>
        <v>140</v>
      </c>
      <c r="C189" s="42" t="s">
        <v>3</v>
      </c>
      <c r="D189" s="42">
        <f t="shared" si="10"/>
        <v>300</v>
      </c>
      <c r="E189" s="42" t="s">
        <v>3</v>
      </c>
      <c r="F189" s="90">
        <f t="shared" si="11"/>
        <v>1900</v>
      </c>
      <c r="G189" s="42" t="s">
        <v>3</v>
      </c>
      <c r="H189" s="39">
        <v>6</v>
      </c>
      <c r="I189" s="40" t="s">
        <v>42</v>
      </c>
      <c r="J189" s="149">
        <v>140</v>
      </c>
      <c r="K189" s="66">
        <v>300</v>
      </c>
      <c r="L189" s="66">
        <v>1900</v>
      </c>
      <c r="M189" s="164">
        <v>23.869219512371739</v>
      </c>
      <c r="N189" s="78">
        <v>1656.2619239999999</v>
      </c>
      <c r="O189" s="113">
        <v>44937.640904812295</v>
      </c>
      <c r="P189" s="111">
        <v>55241.26889350469</v>
      </c>
      <c r="Q189" s="110">
        <v>25321.031023168125</v>
      </c>
      <c r="R189" s="258">
        <v>70258.671927980424</v>
      </c>
      <c r="S189" s="259">
        <v>80562.299916672811</v>
      </c>
      <c r="U189" s="7" t="s">
        <v>3039</v>
      </c>
    </row>
    <row r="190" spans="1:21" ht="16.5" thickBot="1">
      <c r="A190" s="41" t="s">
        <v>31</v>
      </c>
      <c r="B190" s="42">
        <f t="shared" si="9"/>
        <v>140</v>
      </c>
      <c r="C190" s="42" t="s">
        <v>3</v>
      </c>
      <c r="D190" s="42">
        <f t="shared" si="10"/>
        <v>300</v>
      </c>
      <c r="E190" s="42" t="s">
        <v>3</v>
      </c>
      <c r="F190" s="90">
        <f t="shared" si="11"/>
        <v>1950</v>
      </c>
      <c r="G190" s="42" t="s">
        <v>3</v>
      </c>
      <c r="H190" s="39">
        <v>6</v>
      </c>
      <c r="I190" s="40" t="s">
        <v>42</v>
      </c>
      <c r="J190" s="149">
        <v>140</v>
      </c>
      <c r="K190" s="66">
        <v>300</v>
      </c>
      <c r="L190" s="66">
        <v>1950</v>
      </c>
      <c r="M190" s="164">
        <v>24.585051950896066</v>
      </c>
      <c r="N190" s="78">
        <v>1709.6897279999998</v>
      </c>
      <c r="O190" s="113">
        <v>46068.14901769779</v>
      </c>
      <c r="P190" s="111">
        <v>56621.487508975973</v>
      </c>
      <c r="Q190" s="110">
        <v>25844.672656139872</v>
      </c>
      <c r="R190" s="258">
        <v>71912.821673837665</v>
      </c>
      <c r="S190" s="259">
        <v>82466.160165115842</v>
      </c>
      <c r="U190" s="7" t="s">
        <v>3040</v>
      </c>
    </row>
    <row r="191" spans="1:21" ht="16.5" thickBot="1">
      <c r="A191" s="41" t="s">
        <v>31</v>
      </c>
      <c r="B191" s="42">
        <f t="shared" si="9"/>
        <v>140</v>
      </c>
      <c r="C191" s="42" t="s">
        <v>3</v>
      </c>
      <c r="D191" s="42">
        <f t="shared" si="10"/>
        <v>300</v>
      </c>
      <c r="E191" s="42" t="s">
        <v>3</v>
      </c>
      <c r="F191" s="90">
        <f t="shared" si="11"/>
        <v>2000</v>
      </c>
      <c r="G191" s="42" t="s">
        <v>3</v>
      </c>
      <c r="H191" s="39">
        <v>6</v>
      </c>
      <c r="I191" s="40" t="s">
        <v>42</v>
      </c>
      <c r="J191" s="149">
        <v>140</v>
      </c>
      <c r="K191" s="66">
        <v>300</v>
      </c>
      <c r="L191" s="66">
        <v>2000</v>
      </c>
      <c r="M191" s="164">
        <v>25.275011040620385</v>
      </c>
      <c r="N191" s="78">
        <v>1763.1175319999995</v>
      </c>
      <c r="O191" s="113">
        <v>47328.196133290352</v>
      </c>
      <c r="P191" s="111">
        <v>58217.055548111886</v>
      </c>
      <c r="Q191" s="110">
        <v>26619.648426895383</v>
      </c>
      <c r="R191" s="258">
        <v>73947.844560185738</v>
      </c>
      <c r="S191" s="259">
        <v>84836.703975007273</v>
      </c>
      <c r="U191" s="7" t="s">
        <v>3041</v>
      </c>
    </row>
    <row r="192" spans="1:21" ht="16.5" thickBot="1">
      <c r="A192" s="41" t="s">
        <v>31</v>
      </c>
      <c r="B192" s="42">
        <f t="shared" si="9"/>
        <v>140</v>
      </c>
      <c r="C192" s="42" t="s">
        <v>3</v>
      </c>
      <c r="D192" s="42">
        <f t="shared" si="10"/>
        <v>300</v>
      </c>
      <c r="E192" s="42" t="s">
        <v>3</v>
      </c>
      <c r="F192" s="90">
        <f t="shared" si="11"/>
        <v>2050</v>
      </c>
      <c r="G192" s="42" t="s">
        <v>3</v>
      </c>
      <c r="H192" s="39">
        <v>6</v>
      </c>
      <c r="I192" s="40" t="s">
        <v>42</v>
      </c>
      <c r="J192" s="149">
        <v>140</v>
      </c>
      <c r="K192" s="66">
        <v>300</v>
      </c>
      <c r="L192" s="66">
        <v>2050</v>
      </c>
      <c r="M192" s="164">
        <v>25.874506479144703</v>
      </c>
      <c r="N192" s="78">
        <v>1816.5453359999997</v>
      </c>
      <c r="O192" s="113">
        <v>48324.802393375052</v>
      </c>
      <c r="P192" s="111">
        <v>59460.156717340797</v>
      </c>
      <c r="Q192" s="110">
        <v>27143.290212895896</v>
      </c>
      <c r="R192" s="258">
        <v>75468.092606270948</v>
      </c>
      <c r="S192" s="259">
        <v>86603.446930236692</v>
      </c>
      <c r="U192" s="7" t="s">
        <v>3042</v>
      </c>
    </row>
    <row r="193" spans="1:21" ht="16.5" thickBot="1">
      <c r="A193" s="38" t="s">
        <v>31</v>
      </c>
      <c r="B193" s="39">
        <f t="shared" si="9"/>
        <v>140</v>
      </c>
      <c r="C193" s="39" t="s">
        <v>3</v>
      </c>
      <c r="D193" s="39">
        <f t="shared" si="10"/>
        <v>300</v>
      </c>
      <c r="E193" s="39" t="s">
        <v>3</v>
      </c>
      <c r="F193" s="90">
        <f t="shared" si="11"/>
        <v>2100</v>
      </c>
      <c r="G193" s="39" t="s">
        <v>3</v>
      </c>
      <c r="H193" s="39">
        <v>6</v>
      </c>
      <c r="I193" s="40" t="s">
        <v>42</v>
      </c>
      <c r="J193" s="149">
        <v>140</v>
      </c>
      <c r="K193" s="66">
        <v>300</v>
      </c>
      <c r="L193" s="66">
        <v>2100</v>
      </c>
      <c r="M193" s="164">
        <v>26.474001917669018</v>
      </c>
      <c r="N193" s="78">
        <v>1869.9731399999996</v>
      </c>
      <c r="O193" s="113">
        <v>49321.446451564734</v>
      </c>
      <c r="P193" s="111">
        <v>60703.27089401475</v>
      </c>
      <c r="Q193" s="110">
        <v>27918.265983651414</v>
      </c>
      <c r="R193" s="258">
        <v>77239.712435216148</v>
      </c>
      <c r="S193" s="259">
        <v>88621.536877666163</v>
      </c>
      <c r="U193" s="7" t="s">
        <v>3043</v>
      </c>
    </row>
    <row r="194" spans="1:21" ht="16.5" thickBot="1">
      <c r="A194" s="41" t="s">
        <v>31</v>
      </c>
      <c r="B194" s="42">
        <f t="shared" si="9"/>
        <v>140</v>
      </c>
      <c r="C194" s="42" t="s">
        <v>3</v>
      </c>
      <c r="D194" s="42">
        <f t="shared" si="10"/>
        <v>300</v>
      </c>
      <c r="E194" s="42" t="s">
        <v>3</v>
      </c>
      <c r="F194" s="90">
        <f t="shared" si="11"/>
        <v>2150</v>
      </c>
      <c r="G194" s="42" t="s">
        <v>3</v>
      </c>
      <c r="H194" s="39">
        <v>6</v>
      </c>
      <c r="I194" s="40" t="s">
        <v>42</v>
      </c>
      <c r="J194" s="149">
        <v>140</v>
      </c>
      <c r="K194" s="66">
        <v>300</v>
      </c>
      <c r="L194" s="66">
        <v>2150</v>
      </c>
      <c r="M194" s="164">
        <v>27.07349735619335</v>
      </c>
      <c r="N194" s="78">
        <v>1923.4009439999998</v>
      </c>
      <c r="O194" s="113">
        <v>50318.125859399166</v>
      </c>
      <c r="P194" s="111">
        <v>61946.397159961154</v>
      </c>
      <c r="Q194" s="110">
        <v>28441.907769651927</v>
      </c>
      <c r="R194" s="258">
        <v>78760.03362905109</v>
      </c>
      <c r="S194" s="259">
        <v>90388.304929613078</v>
      </c>
      <c r="U194" s="7" t="s">
        <v>3044</v>
      </c>
    </row>
    <row r="195" spans="1:21" ht="16.5" thickBot="1">
      <c r="A195" s="41" t="s">
        <v>31</v>
      </c>
      <c r="B195" s="42">
        <f t="shared" si="9"/>
        <v>140</v>
      </c>
      <c r="C195" s="42" t="s">
        <v>3</v>
      </c>
      <c r="D195" s="42">
        <f t="shared" si="10"/>
        <v>300</v>
      </c>
      <c r="E195" s="42" t="s">
        <v>3</v>
      </c>
      <c r="F195" s="90">
        <f t="shared" si="11"/>
        <v>2200</v>
      </c>
      <c r="G195" s="42" t="s">
        <v>3</v>
      </c>
      <c r="H195" s="39">
        <v>6</v>
      </c>
      <c r="I195" s="40" t="s">
        <v>42</v>
      </c>
      <c r="J195" s="149">
        <v>140</v>
      </c>
      <c r="K195" s="66">
        <v>300</v>
      </c>
      <c r="L195" s="66">
        <v>2200</v>
      </c>
      <c r="M195" s="164">
        <v>27.672992794717661</v>
      </c>
      <c r="N195" s="78">
        <v>1976.8287479999999</v>
      </c>
      <c r="O195" s="113">
        <v>51314.838321446856</v>
      </c>
      <c r="P195" s="111">
        <v>63189.534903064945</v>
      </c>
      <c r="Q195" s="110">
        <v>29216.883540407438</v>
      </c>
      <c r="R195" s="258">
        <v>80531.721861854297</v>
      </c>
      <c r="S195" s="259">
        <v>92406.418443472387</v>
      </c>
      <c r="U195" s="7" t="s">
        <v>3045</v>
      </c>
    </row>
    <row r="196" spans="1:21" ht="16.5" thickBot="1">
      <c r="A196" s="41" t="s">
        <v>31</v>
      </c>
      <c r="B196" s="42">
        <f t="shared" si="9"/>
        <v>140</v>
      </c>
      <c r="C196" s="42" t="s">
        <v>3</v>
      </c>
      <c r="D196" s="42">
        <f t="shared" si="10"/>
        <v>300</v>
      </c>
      <c r="E196" s="42" t="s">
        <v>3</v>
      </c>
      <c r="F196" s="90">
        <f t="shared" si="11"/>
        <v>2250</v>
      </c>
      <c r="G196" s="42" t="s">
        <v>3</v>
      </c>
      <c r="H196" s="39">
        <v>6</v>
      </c>
      <c r="I196" s="40" t="s">
        <v>42</v>
      </c>
      <c r="J196" s="149">
        <v>140</v>
      </c>
      <c r="K196" s="66">
        <v>300</v>
      </c>
      <c r="L196" s="66">
        <v>2250</v>
      </c>
      <c r="M196" s="164">
        <v>28.272488233241983</v>
      </c>
      <c r="N196" s="78">
        <v>2030.2565519999996</v>
      </c>
      <c r="O196" s="113">
        <v>52311.582001362636</v>
      </c>
      <c r="P196" s="111">
        <v>64432.683511211049</v>
      </c>
      <c r="Q196" s="110">
        <v>29740.525173379188</v>
      </c>
      <c r="R196" s="258">
        <v>82052.107174741832</v>
      </c>
      <c r="S196" s="259">
        <v>94173.208684590238</v>
      </c>
      <c r="U196" s="7" t="s">
        <v>3046</v>
      </c>
    </row>
    <row r="197" spans="1:21" ht="16.5" thickBot="1">
      <c r="A197" s="41" t="s">
        <v>31</v>
      </c>
      <c r="B197" s="42">
        <f t="shared" si="9"/>
        <v>140</v>
      </c>
      <c r="C197" s="42" t="s">
        <v>3</v>
      </c>
      <c r="D197" s="42">
        <f t="shared" si="10"/>
        <v>300</v>
      </c>
      <c r="E197" s="42" t="s">
        <v>3</v>
      </c>
      <c r="F197" s="90">
        <f t="shared" si="11"/>
        <v>2300</v>
      </c>
      <c r="G197" s="42" t="s">
        <v>3</v>
      </c>
      <c r="H197" s="39">
        <v>6</v>
      </c>
      <c r="I197" s="40" t="s">
        <v>42</v>
      </c>
      <c r="J197" s="149">
        <v>140</v>
      </c>
      <c r="K197" s="66">
        <v>300</v>
      </c>
      <c r="L197" s="66">
        <v>2300</v>
      </c>
      <c r="M197" s="164">
        <v>28.871983671766301</v>
      </c>
      <c r="N197" s="78">
        <v>2083.6843559999998</v>
      </c>
      <c r="O197" s="113">
        <v>53308.355062801318</v>
      </c>
      <c r="P197" s="111">
        <v>65675.842219255661</v>
      </c>
      <c r="Q197" s="110">
        <v>30264.166959379701</v>
      </c>
      <c r="R197" s="258">
        <v>83572.522022181016</v>
      </c>
      <c r="S197" s="259">
        <v>95940.009178635359</v>
      </c>
      <c r="U197" s="7" t="s">
        <v>3047</v>
      </c>
    </row>
    <row r="198" spans="1:21" ht="16.5" thickBot="1">
      <c r="A198" s="41" t="s">
        <v>31</v>
      </c>
      <c r="B198" s="42">
        <f t="shared" si="9"/>
        <v>140</v>
      </c>
      <c r="C198" s="42" t="s">
        <v>3</v>
      </c>
      <c r="D198" s="42">
        <f t="shared" si="10"/>
        <v>300</v>
      </c>
      <c r="E198" s="42" t="s">
        <v>3</v>
      </c>
      <c r="F198" s="90">
        <f t="shared" si="11"/>
        <v>2350</v>
      </c>
      <c r="G198" s="42" t="s">
        <v>3</v>
      </c>
      <c r="H198" s="39">
        <v>6</v>
      </c>
      <c r="I198" s="40" t="s">
        <v>42</v>
      </c>
      <c r="J198" s="149">
        <v>140</v>
      </c>
      <c r="K198" s="66">
        <v>300</v>
      </c>
      <c r="L198" s="66">
        <v>2350</v>
      </c>
      <c r="M198" s="164">
        <v>29.47147911029062</v>
      </c>
      <c r="N198" s="78">
        <v>2137.1121599999997</v>
      </c>
      <c r="O198" s="113">
        <v>54305.155669417727</v>
      </c>
      <c r="P198" s="111">
        <v>66919.0104150837</v>
      </c>
      <c r="Q198" s="110">
        <v>31039.142730135216</v>
      </c>
      <c r="R198" s="258">
        <v>85344.298399552936</v>
      </c>
      <c r="S198" s="259">
        <v>97958.153145218908</v>
      </c>
      <c r="U198" s="7" t="s">
        <v>3048</v>
      </c>
    </row>
    <row r="199" spans="1:21" ht="16.5" thickBot="1">
      <c r="A199" s="41" t="s">
        <v>31</v>
      </c>
      <c r="B199" s="42">
        <f t="shared" si="9"/>
        <v>140</v>
      </c>
      <c r="C199" s="42" t="s">
        <v>3</v>
      </c>
      <c r="D199" s="42">
        <f t="shared" si="10"/>
        <v>300</v>
      </c>
      <c r="E199" s="42" t="s">
        <v>3</v>
      </c>
      <c r="F199" s="90">
        <f t="shared" si="11"/>
        <v>2400</v>
      </c>
      <c r="G199" s="42" t="s">
        <v>3</v>
      </c>
      <c r="H199" s="39">
        <v>6</v>
      </c>
      <c r="I199" s="40" t="s">
        <v>42</v>
      </c>
      <c r="J199" s="149">
        <v>140</v>
      </c>
      <c r="K199" s="66">
        <v>300</v>
      </c>
      <c r="L199" s="66">
        <v>2400</v>
      </c>
      <c r="M199" s="164">
        <v>30.070974548814938</v>
      </c>
      <c r="N199" s="78">
        <v>2190.5399639999996</v>
      </c>
      <c r="O199" s="113">
        <v>55301.982290924214</v>
      </c>
      <c r="P199" s="111">
        <v>68162.187639608892</v>
      </c>
      <c r="Q199" s="110">
        <v>31562.784363106966</v>
      </c>
      <c r="R199" s="258">
        <v>86864.766654031177</v>
      </c>
      <c r="S199" s="259">
        <v>99724.972002715862</v>
      </c>
      <c r="U199" s="7" t="s">
        <v>3049</v>
      </c>
    </row>
    <row r="200" spans="1:21" ht="16.5" thickBot="1">
      <c r="A200" s="41" t="s">
        <v>31</v>
      </c>
      <c r="B200" s="42">
        <f t="shared" si="9"/>
        <v>140</v>
      </c>
      <c r="C200" s="42" t="s">
        <v>3</v>
      </c>
      <c r="D200" s="42">
        <f t="shared" si="10"/>
        <v>300</v>
      </c>
      <c r="E200" s="42" t="s">
        <v>3</v>
      </c>
      <c r="F200" s="90">
        <f t="shared" si="11"/>
        <v>2450</v>
      </c>
      <c r="G200" s="42" t="s">
        <v>3</v>
      </c>
      <c r="H200" s="39">
        <v>6</v>
      </c>
      <c r="I200" s="40" t="s">
        <v>42</v>
      </c>
      <c r="J200" s="149">
        <v>140</v>
      </c>
      <c r="K200" s="66">
        <v>300</v>
      </c>
      <c r="L200" s="66">
        <v>2450</v>
      </c>
      <c r="M200" s="164">
        <v>30.835617306751665</v>
      </c>
      <c r="N200" s="78">
        <v>2243.967768</v>
      </c>
      <c r="O200" s="113">
        <v>57036.200359385206</v>
      </c>
      <c r="P200" s="111">
        <v>70127.296427063076</v>
      </c>
      <c r="Q200" s="110">
        <v>32337.760286891244</v>
      </c>
      <c r="R200" s="258">
        <v>89373.96064627645</v>
      </c>
      <c r="S200" s="259">
        <v>102465.05671395431</v>
      </c>
      <c r="U200" s="7" t="s">
        <v>3050</v>
      </c>
    </row>
    <row r="201" spans="1:21" ht="16.5" thickBot="1">
      <c r="A201" s="41" t="s">
        <v>31</v>
      </c>
      <c r="B201" s="42">
        <f t="shared" si="9"/>
        <v>140</v>
      </c>
      <c r="C201" s="42" t="s">
        <v>3</v>
      </c>
      <c r="D201" s="42">
        <f t="shared" si="10"/>
        <v>300</v>
      </c>
      <c r="E201" s="42" t="s">
        <v>3</v>
      </c>
      <c r="F201" s="90">
        <f t="shared" si="11"/>
        <v>2500</v>
      </c>
      <c r="G201" s="42" t="s">
        <v>3</v>
      </c>
      <c r="H201" s="39">
        <v>6</v>
      </c>
      <c r="I201" s="40" t="s">
        <v>42</v>
      </c>
      <c r="J201" s="149">
        <v>140</v>
      </c>
      <c r="K201" s="66">
        <v>300</v>
      </c>
      <c r="L201" s="66">
        <v>2500</v>
      </c>
      <c r="M201" s="164">
        <v>31.435112745275976</v>
      </c>
      <c r="N201" s="78">
        <v>2297.3955719999994</v>
      </c>
      <c r="O201" s="113">
        <v>58032.99637513866</v>
      </c>
      <c r="P201" s="111">
        <v>71370.535169151844</v>
      </c>
      <c r="Q201" s="110">
        <v>32861.40191986299</v>
      </c>
      <c r="R201" s="258">
        <v>90894.398295001651</v>
      </c>
      <c r="S201" s="259">
        <v>104231.93708901483</v>
      </c>
      <c r="U201" s="7" t="s">
        <v>3051</v>
      </c>
    </row>
    <row r="202" spans="1:21" ht="16.5" thickBot="1">
      <c r="A202" s="41" t="s">
        <v>31</v>
      </c>
      <c r="B202" s="42">
        <f t="shared" si="9"/>
        <v>140</v>
      </c>
      <c r="C202" s="42" t="s">
        <v>3</v>
      </c>
      <c r="D202" s="42">
        <f t="shared" si="10"/>
        <v>300</v>
      </c>
      <c r="E202" s="42" t="s">
        <v>3</v>
      </c>
      <c r="F202" s="90">
        <f t="shared" si="11"/>
        <v>2550</v>
      </c>
      <c r="G202" s="42" t="s">
        <v>3</v>
      </c>
      <c r="H202" s="39">
        <v>6</v>
      </c>
      <c r="I202" s="40" t="s">
        <v>42</v>
      </c>
      <c r="J202" s="149">
        <v>140</v>
      </c>
      <c r="K202" s="66">
        <v>300</v>
      </c>
      <c r="L202" s="66">
        <v>2550</v>
      </c>
      <c r="M202" s="164">
        <v>32.034608183800302</v>
      </c>
      <c r="N202" s="78">
        <v>2350.8233759999998</v>
      </c>
      <c r="O202" s="113">
        <v>59029.817028523299</v>
      </c>
      <c r="P202" s="111">
        <v>72613.779879362453</v>
      </c>
      <c r="Q202" s="110">
        <v>33636.377843647271</v>
      </c>
      <c r="R202" s="258">
        <v>92666.19487217057</v>
      </c>
      <c r="S202" s="259">
        <v>106250.15772300973</v>
      </c>
      <c r="U202" s="7" t="s">
        <v>3052</v>
      </c>
    </row>
    <row r="203" spans="1:21" ht="16.5" thickBot="1">
      <c r="A203" s="38" t="s">
        <v>31</v>
      </c>
      <c r="B203" s="39">
        <f t="shared" si="9"/>
        <v>140</v>
      </c>
      <c r="C203" s="39" t="s">
        <v>3</v>
      </c>
      <c r="D203" s="39">
        <f t="shared" si="10"/>
        <v>300</v>
      </c>
      <c r="E203" s="39" t="s">
        <v>3</v>
      </c>
      <c r="F203" s="90">
        <f t="shared" si="11"/>
        <v>2600</v>
      </c>
      <c r="G203" s="39" t="s">
        <v>3</v>
      </c>
      <c r="H203" s="39">
        <v>6</v>
      </c>
      <c r="I203" s="40" t="s">
        <v>42</v>
      </c>
      <c r="J203" s="149">
        <v>140</v>
      </c>
      <c r="K203" s="66">
        <v>300</v>
      </c>
      <c r="L203" s="66">
        <v>2600</v>
      </c>
      <c r="M203" s="164">
        <v>32.634103622324616</v>
      </c>
      <c r="N203" s="78">
        <v>2404.2511799999997</v>
      </c>
      <c r="O203" s="113">
        <v>58922.738669788676</v>
      </c>
      <c r="P203" s="111">
        <v>72470.037511820308</v>
      </c>
      <c r="Q203" s="110">
        <v>34160.019476619018</v>
      </c>
      <c r="R203" s="258">
        <v>93082.758146407694</v>
      </c>
      <c r="S203" s="259">
        <v>106630.05698843932</v>
      </c>
      <c r="U203" s="7" t="s">
        <v>3053</v>
      </c>
    </row>
    <row r="204" spans="1:21" ht="16.5" thickBot="1">
      <c r="A204" s="41" t="s">
        <v>31</v>
      </c>
      <c r="B204" s="42">
        <f t="shared" si="9"/>
        <v>140</v>
      </c>
      <c r="C204" s="42" t="s">
        <v>3</v>
      </c>
      <c r="D204" s="42">
        <f t="shared" si="10"/>
        <v>300</v>
      </c>
      <c r="E204" s="42" t="s">
        <v>3</v>
      </c>
      <c r="F204" s="90">
        <f t="shared" si="11"/>
        <v>2650</v>
      </c>
      <c r="G204" s="42" t="s">
        <v>3</v>
      </c>
      <c r="H204" s="39">
        <v>6</v>
      </c>
      <c r="I204" s="40" t="s">
        <v>42</v>
      </c>
      <c r="J204" s="149">
        <v>140</v>
      </c>
      <c r="K204" s="66">
        <v>300</v>
      </c>
      <c r="L204" s="66">
        <v>2650</v>
      </c>
      <c r="M204" s="164">
        <v>33.233599060848945</v>
      </c>
      <c r="N204" s="78">
        <v>2457.6789839999992</v>
      </c>
      <c r="O204" s="113">
        <v>60214.754412588452</v>
      </c>
      <c r="P204" s="111">
        <v>74083.849181248108</v>
      </c>
      <c r="Q204" s="110">
        <v>34934.995247374536</v>
      </c>
      <c r="R204" s="258">
        <v>95149.749659962981</v>
      </c>
      <c r="S204" s="259">
        <v>109018.84442862264</v>
      </c>
      <c r="U204" s="7" t="s">
        <v>3054</v>
      </c>
    </row>
    <row r="205" spans="1:21" ht="16.5" thickBot="1">
      <c r="A205" s="41" t="s">
        <v>31</v>
      </c>
      <c r="B205" s="42">
        <f t="shared" si="9"/>
        <v>140</v>
      </c>
      <c r="C205" s="42" t="s">
        <v>3</v>
      </c>
      <c r="D205" s="42">
        <f t="shared" si="10"/>
        <v>300</v>
      </c>
      <c r="E205" s="42" t="s">
        <v>3</v>
      </c>
      <c r="F205" s="90">
        <f t="shared" si="11"/>
        <v>2700</v>
      </c>
      <c r="G205" s="42" t="s">
        <v>3</v>
      </c>
      <c r="H205" s="39">
        <v>6</v>
      </c>
      <c r="I205" s="40" t="s">
        <v>42</v>
      </c>
      <c r="J205" s="149">
        <v>140</v>
      </c>
      <c r="K205" s="66">
        <v>300</v>
      </c>
      <c r="L205" s="66">
        <v>2700</v>
      </c>
      <c r="M205" s="164">
        <v>33.949431499373262</v>
      </c>
      <c r="N205" s="78">
        <v>2511.1067879999996</v>
      </c>
      <c r="O205" s="113">
        <v>61347.946343956697</v>
      </c>
      <c r="P205" s="111">
        <v>75466.601187926048</v>
      </c>
      <c r="Q205" s="110">
        <v>35458.637033375046</v>
      </c>
      <c r="R205" s="258">
        <v>96806.583377331743</v>
      </c>
      <c r="S205" s="259">
        <v>110925.23822130109</v>
      </c>
      <c r="U205" s="7" t="s">
        <v>3055</v>
      </c>
    </row>
    <row r="206" spans="1:21" ht="16.5" thickBot="1">
      <c r="A206" s="41" t="s">
        <v>31</v>
      </c>
      <c r="B206" s="42">
        <f t="shared" si="9"/>
        <v>140</v>
      </c>
      <c r="C206" s="42" t="s">
        <v>3</v>
      </c>
      <c r="D206" s="42">
        <f t="shared" si="10"/>
        <v>300</v>
      </c>
      <c r="E206" s="42" t="s">
        <v>3</v>
      </c>
      <c r="F206" s="90">
        <f t="shared" si="11"/>
        <v>2750</v>
      </c>
      <c r="G206" s="42" t="s">
        <v>3</v>
      </c>
      <c r="H206" s="39">
        <v>6</v>
      </c>
      <c r="I206" s="40" t="s">
        <v>42</v>
      </c>
      <c r="J206" s="149">
        <v>140</v>
      </c>
      <c r="K206" s="66">
        <v>300</v>
      </c>
      <c r="L206" s="66">
        <v>2750</v>
      </c>
      <c r="M206" s="164">
        <v>34.548926937897576</v>
      </c>
      <c r="N206" s="78">
        <v>2564.5345919999995</v>
      </c>
      <c r="O206" s="113">
        <v>62347.347827465172</v>
      </c>
      <c r="P206" s="111">
        <v>76712.744262948123</v>
      </c>
      <c r="Q206" s="110">
        <v>35982.278666346792</v>
      </c>
      <c r="R206" s="258">
        <v>98329.626493811957</v>
      </c>
      <c r="S206" s="259">
        <v>112695.02292929491</v>
      </c>
      <c r="U206" s="7" t="s">
        <v>3056</v>
      </c>
    </row>
    <row r="207" spans="1:21" ht="16.5" thickBot="1">
      <c r="A207" s="41" t="s">
        <v>31</v>
      </c>
      <c r="B207" s="42">
        <f t="shared" si="9"/>
        <v>140</v>
      </c>
      <c r="C207" s="42" t="s">
        <v>3</v>
      </c>
      <c r="D207" s="42">
        <f t="shared" si="10"/>
        <v>300</v>
      </c>
      <c r="E207" s="42" t="s">
        <v>3</v>
      </c>
      <c r="F207" s="90">
        <f t="shared" si="11"/>
        <v>2800</v>
      </c>
      <c r="G207" s="42" t="s">
        <v>3</v>
      </c>
      <c r="H207" s="39">
        <v>6</v>
      </c>
      <c r="I207" s="40" t="s">
        <v>42</v>
      </c>
      <c r="J207" s="149">
        <v>140</v>
      </c>
      <c r="K207" s="66">
        <v>300</v>
      </c>
      <c r="L207" s="66">
        <v>2800</v>
      </c>
      <c r="M207" s="164">
        <v>35.148422376421898</v>
      </c>
      <c r="N207" s="78">
        <v>2617.9623959999999</v>
      </c>
      <c r="O207" s="113">
        <v>63346.75772755572</v>
      </c>
      <c r="P207" s="111">
        <v>77958.888562200314</v>
      </c>
      <c r="Q207" s="110">
        <v>36757.25443710231</v>
      </c>
      <c r="R207" s="258">
        <v>100104.01216465802</v>
      </c>
      <c r="S207" s="259">
        <v>114716.14299930262</v>
      </c>
      <c r="U207" s="7" t="s">
        <v>3057</v>
      </c>
    </row>
    <row r="208" spans="1:21" ht="16.5" thickBot="1">
      <c r="A208" s="41" t="s">
        <v>31</v>
      </c>
      <c r="B208" s="42">
        <f t="shared" si="9"/>
        <v>140</v>
      </c>
      <c r="C208" s="42" t="s">
        <v>3</v>
      </c>
      <c r="D208" s="42">
        <f t="shared" si="10"/>
        <v>300</v>
      </c>
      <c r="E208" s="42" t="s">
        <v>3</v>
      </c>
      <c r="F208" s="90">
        <f t="shared" si="11"/>
        <v>2850</v>
      </c>
      <c r="G208" s="42" t="s">
        <v>3</v>
      </c>
      <c r="H208" s="39">
        <v>6</v>
      </c>
      <c r="I208" s="40" t="s">
        <v>42</v>
      </c>
      <c r="J208" s="149">
        <v>140</v>
      </c>
      <c r="K208" s="66">
        <v>300</v>
      </c>
      <c r="L208" s="66">
        <v>2850</v>
      </c>
      <c r="M208" s="164">
        <v>35.74791781494622</v>
      </c>
      <c r="N208" s="78">
        <v>2671.3901999999998</v>
      </c>
      <c r="O208" s="113">
        <v>64346.175891199593</v>
      </c>
      <c r="P208" s="111">
        <v>79205.034238711392</v>
      </c>
      <c r="Q208" s="110">
        <v>37280.89622310282</v>
      </c>
      <c r="R208" s="258">
        <v>101627.07211430241</v>
      </c>
      <c r="S208" s="259">
        <v>116485.93046181422</v>
      </c>
      <c r="U208" s="7" t="s">
        <v>3058</v>
      </c>
    </row>
    <row r="209" spans="1:21" ht="16.5" thickBot="1">
      <c r="A209" s="41" t="s">
        <v>31</v>
      </c>
      <c r="B209" s="42">
        <f t="shared" si="9"/>
        <v>140</v>
      </c>
      <c r="C209" s="42" t="s">
        <v>3</v>
      </c>
      <c r="D209" s="42">
        <f t="shared" si="10"/>
        <v>300</v>
      </c>
      <c r="E209" s="42" t="s">
        <v>3</v>
      </c>
      <c r="F209" s="90">
        <f t="shared" si="11"/>
        <v>2900</v>
      </c>
      <c r="G209" s="42" t="s">
        <v>3</v>
      </c>
      <c r="H209" s="39">
        <v>6</v>
      </c>
      <c r="I209" s="40" t="s">
        <v>42</v>
      </c>
      <c r="J209" s="149">
        <v>140</v>
      </c>
      <c r="K209" s="66">
        <v>300</v>
      </c>
      <c r="L209" s="66">
        <v>2900</v>
      </c>
      <c r="M209" s="164">
        <v>36.347413253470542</v>
      </c>
      <c r="N209" s="78">
        <v>2724.8180039999993</v>
      </c>
      <c r="O209" s="113">
        <v>65345.601553252949</v>
      </c>
      <c r="P209" s="111">
        <v>80451.181139452601</v>
      </c>
      <c r="Q209" s="110">
        <v>38055.871993858338</v>
      </c>
      <c r="R209" s="258">
        <v>103401.47354711129</v>
      </c>
      <c r="S209" s="259">
        <v>118507.05313331094</v>
      </c>
      <c r="U209" s="7" t="s">
        <v>3059</v>
      </c>
    </row>
    <row r="210" spans="1:21" ht="16.5" thickBot="1">
      <c r="A210" s="41" t="s">
        <v>31</v>
      </c>
      <c r="B210" s="42">
        <f t="shared" si="9"/>
        <v>140</v>
      </c>
      <c r="C210" s="42" t="s">
        <v>3</v>
      </c>
      <c r="D210" s="42">
        <f t="shared" si="10"/>
        <v>300</v>
      </c>
      <c r="E210" s="42" t="s">
        <v>3</v>
      </c>
      <c r="F210" s="90">
        <f t="shared" si="11"/>
        <v>2950</v>
      </c>
      <c r="G210" s="42" t="s">
        <v>3</v>
      </c>
      <c r="H210" s="39">
        <v>6</v>
      </c>
      <c r="I210" s="40" t="s">
        <v>42</v>
      </c>
      <c r="J210" s="149">
        <v>140</v>
      </c>
      <c r="K210" s="66">
        <v>300</v>
      </c>
      <c r="L210" s="66">
        <v>2950</v>
      </c>
      <c r="M210" s="164">
        <v>36.946908691994864</v>
      </c>
      <c r="N210" s="78">
        <v>2778.2458079999997</v>
      </c>
      <c r="O210" s="113">
        <v>66345.03471371581</v>
      </c>
      <c r="P210" s="111">
        <v>81697.329264423926</v>
      </c>
      <c r="Q210" s="110">
        <v>38579.513779858848</v>
      </c>
      <c r="R210" s="258">
        <v>104924.54849357466</v>
      </c>
      <c r="S210" s="259">
        <v>120276.84304428278</v>
      </c>
      <c r="U210" s="7" t="s">
        <v>3060</v>
      </c>
    </row>
    <row r="211" spans="1:21" ht="16.5" thickBot="1">
      <c r="A211" s="43" t="s">
        <v>31</v>
      </c>
      <c r="B211" s="44">
        <f t="shared" si="9"/>
        <v>140</v>
      </c>
      <c r="C211" s="44" t="s">
        <v>3</v>
      </c>
      <c r="D211" s="44">
        <f t="shared" si="10"/>
        <v>300</v>
      </c>
      <c r="E211" s="44" t="s">
        <v>3</v>
      </c>
      <c r="F211" s="91">
        <f t="shared" si="11"/>
        <v>3000</v>
      </c>
      <c r="G211" s="44" t="s">
        <v>3</v>
      </c>
      <c r="H211" s="39">
        <v>6</v>
      </c>
      <c r="I211" s="45" t="s">
        <v>42</v>
      </c>
      <c r="J211" s="149">
        <v>140</v>
      </c>
      <c r="K211" s="126">
        <v>300</v>
      </c>
      <c r="L211" s="126">
        <v>3000</v>
      </c>
      <c r="M211" s="171">
        <v>37.546404130519178</v>
      </c>
      <c r="N211" s="127">
        <v>2831.6736119999996</v>
      </c>
      <c r="O211" s="128">
        <v>68394.450108452656</v>
      </c>
      <c r="P211" s="135">
        <v>82943.478613625353</v>
      </c>
      <c r="Q211" s="136">
        <v>39354.489550614366</v>
      </c>
      <c r="R211" s="260">
        <v>107748.93965906702</v>
      </c>
      <c r="S211" s="261">
        <v>122297.96816423972</v>
      </c>
      <c r="U211" s="7" t="s">
        <v>3061</v>
      </c>
    </row>
    <row r="212" spans="1:21" ht="22.5" customHeight="1" thickBot="1">
      <c r="A212" s="3010" t="s">
        <v>43</v>
      </c>
      <c r="B212" s="3011"/>
      <c r="C212" s="3011"/>
      <c r="D212" s="3011"/>
      <c r="E212" s="3011"/>
      <c r="F212" s="3011"/>
      <c r="G212" s="3011"/>
      <c r="H212" s="3011"/>
      <c r="I212" s="3011"/>
      <c r="J212" s="3011"/>
      <c r="K212" s="3011"/>
      <c r="L212" s="3011"/>
      <c r="M212" s="3011"/>
      <c r="N212" s="3011"/>
      <c r="O212" s="3011"/>
      <c r="P212" s="3011"/>
      <c r="Q212" s="3011"/>
      <c r="R212" s="3011"/>
      <c r="S212" s="3012"/>
      <c r="U212" s="7"/>
    </row>
    <row r="213" spans="1:21" ht="16.5" customHeight="1" thickBot="1">
      <c r="A213" s="2974" t="s">
        <v>118</v>
      </c>
      <c r="B213" s="2975"/>
      <c r="C213" s="2975"/>
      <c r="D213" s="2975"/>
      <c r="E213" s="2975"/>
      <c r="F213" s="2975"/>
      <c r="G213" s="2975"/>
      <c r="H213" s="2975"/>
      <c r="I213" s="2975"/>
      <c r="J213" s="2975"/>
      <c r="K213" s="2975"/>
      <c r="L213" s="2975"/>
      <c r="M213" s="2975"/>
      <c r="N213" s="2975"/>
      <c r="O213" s="2975"/>
      <c r="P213" s="2975"/>
      <c r="Q213" s="2975"/>
      <c r="R213" s="2975"/>
      <c r="S213" s="2976"/>
      <c r="U213" s="7"/>
    </row>
    <row r="214" spans="1:21" ht="16.5" thickBot="1">
      <c r="A214" s="38" t="s">
        <v>31</v>
      </c>
      <c r="B214" s="39">
        <f>J214</f>
        <v>140</v>
      </c>
      <c r="C214" s="39" t="s">
        <v>3</v>
      </c>
      <c r="D214" s="39">
        <f>K214</f>
        <v>300</v>
      </c>
      <c r="E214" s="39" t="s">
        <v>3</v>
      </c>
      <c r="F214" s="90">
        <f>L214</f>
        <v>600</v>
      </c>
      <c r="G214" s="39" t="s">
        <v>3</v>
      </c>
      <c r="H214" s="39">
        <v>8</v>
      </c>
      <c r="I214" s="40" t="s">
        <v>42</v>
      </c>
      <c r="J214" s="146">
        <v>140</v>
      </c>
      <c r="K214" s="122">
        <v>300</v>
      </c>
      <c r="L214" s="122">
        <v>600</v>
      </c>
      <c r="M214" s="163">
        <v>8.589717784730162</v>
      </c>
      <c r="N214" s="123">
        <v>290.36849999999998</v>
      </c>
      <c r="O214" s="124">
        <v>20658.663236510754</v>
      </c>
      <c r="P214" s="148">
        <v>24188.616477926706</v>
      </c>
      <c r="Q214" s="139">
        <v>8941.6715199935952</v>
      </c>
      <c r="R214" s="256">
        <v>29600.334756504351</v>
      </c>
      <c r="S214" s="257">
        <v>33130.287997920299</v>
      </c>
      <c r="U214" s="7" t="s">
        <v>3062</v>
      </c>
    </row>
    <row r="215" spans="1:21" ht="16.5" thickBot="1">
      <c r="A215" s="41" t="s">
        <v>31</v>
      </c>
      <c r="B215" s="42">
        <f t="shared" ref="B215:B262" si="12">J215</f>
        <v>140</v>
      </c>
      <c r="C215" s="42" t="s">
        <v>3</v>
      </c>
      <c r="D215" s="42">
        <f t="shared" ref="D215:D262" si="13">K215</f>
        <v>300</v>
      </c>
      <c r="E215" s="42" t="s">
        <v>3</v>
      </c>
      <c r="F215" s="90">
        <f t="shared" ref="F215:F262" si="14">L215</f>
        <v>650</v>
      </c>
      <c r="G215" s="42" t="s">
        <v>3</v>
      </c>
      <c r="H215" s="39">
        <v>8</v>
      </c>
      <c r="I215" s="40" t="s">
        <v>42</v>
      </c>
      <c r="J215" s="149">
        <v>140</v>
      </c>
      <c r="K215" s="66">
        <v>300</v>
      </c>
      <c r="L215" s="66">
        <v>650</v>
      </c>
      <c r="M215" s="164">
        <v>9.2550361444559197</v>
      </c>
      <c r="N215" s="78">
        <v>348.44219999999996</v>
      </c>
      <c r="O215" s="113">
        <v>21892.149149340574</v>
      </c>
      <c r="P215" s="111">
        <v>25644.900336534847</v>
      </c>
      <c r="Q215" s="110">
        <v>9465.3131529653438</v>
      </c>
      <c r="R215" s="258">
        <v>31357.462302305918</v>
      </c>
      <c r="S215" s="259">
        <v>35110.213489500195</v>
      </c>
      <c r="U215" s="7" t="s">
        <v>3063</v>
      </c>
    </row>
    <row r="216" spans="1:21" ht="16.5" thickBot="1">
      <c r="A216" s="41" t="s">
        <v>31</v>
      </c>
      <c r="B216" s="42">
        <f t="shared" si="12"/>
        <v>140</v>
      </c>
      <c r="C216" s="42" t="s">
        <v>3</v>
      </c>
      <c r="D216" s="42">
        <f t="shared" si="13"/>
        <v>300</v>
      </c>
      <c r="E216" s="42" t="s">
        <v>3</v>
      </c>
      <c r="F216" s="90">
        <f t="shared" si="14"/>
        <v>700</v>
      </c>
      <c r="G216" s="42" t="s">
        <v>3</v>
      </c>
      <c r="H216" s="39">
        <v>8</v>
      </c>
      <c r="I216" s="40" t="s">
        <v>42</v>
      </c>
      <c r="J216" s="149">
        <v>140</v>
      </c>
      <c r="K216" s="66">
        <v>300</v>
      </c>
      <c r="L216" s="66">
        <v>700</v>
      </c>
      <c r="M216" s="164">
        <v>9.93719002418168</v>
      </c>
      <c r="N216" s="78">
        <v>406.51589999999993</v>
      </c>
      <c r="O216" s="113">
        <v>23125.635062170397</v>
      </c>
      <c r="P216" s="111">
        <v>27101.184042114226</v>
      </c>
      <c r="Q216" s="110">
        <v>10240.289076749623</v>
      </c>
      <c r="R216" s="258">
        <v>33365.924138920018</v>
      </c>
      <c r="S216" s="259">
        <v>37341.473118863847</v>
      </c>
      <c r="U216" s="7" t="s">
        <v>3064</v>
      </c>
    </row>
    <row r="217" spans="1:21" ht="16.5" thickBot="1">
      <c r="A217" s="41" t="s">
        <v>31</v>
      </c>
      <c r="B217" s="42">
        <f t="shared" si="12"/>
        <v>140</v>
      </c>
      <c r="C217" s="42" t="s">
        <v>3</v>
      </c>
      <c r="D217" s="42">
        <f t="shared" si="13"/>
        <v>300</v>
      </c>
      <c r="E217" s="42" t="s">
        <v>3</v>
      </c>
      <c r="F217" s="90">
        <f t="shared" si="14"/>
        <v>750</v>
      </c>
      <c r="G217" s="42" t="s">
        <v>3</v>
      </c>
      <c r="H217" s="39">
        <v>8</v>
      </c>
      <c r="I217" s="40" t="s">
        <v>42</v>
      </c>
      <c r="J217" s="149">
        <v>140</v>
      </c>
      <c r="K217" s="66">
        <v>300</v>
      </c>
      <c r="L217" s="66">
        <v>750</v>
      </c>
      <c r="M217" s="164">
        <v>10.602508383907439</v>
      </c>
      <c r="N217" s="78">
        <v>464.58960000000002</v>
      </c>
      <c r="O217" s="113">
        <v>24359.121128028983</v>
      </c>
      <c r="P217" s="111">
        <v>28557.467747693601</v>
      </c>
      <c r="Q217" s="110">
        <v>10763.930709721371</v>
      </c>
      <c r="R217" s="258">
        <v>35123.051837750354</v>
      </c>
      <c r="S217" s="259">
        <v>39321.398457414973</v>
      </c>
      <c r="U217" s="7" t="s">
        <v>3065</v>
      </c>
    </row>
    <row r="218" spans="1:21" ht="16.5" thickBot="1">
      <c r="A218" s="41" t="s">
        <v>31</v>
      </c>
      <c r="B218" s="42">
        <f t="shared" si="12"/>
        <v>140</v>
      </c>
      <c r="C218" s="42" t="s">
        <v>3</v>
      </c>
      <c r="D218" s="42">
        <f t="shared" si="13"/>
        <v>300</v>
      </c>
      <c r="E218" s="42" t="s">
        <v>3</v>
      </c>
      <c r="F218" s="90">
        <f t="shared" si="14"/>
        <v>800</v>
      </c>
      <c r="G218" s="42" t="s">
        <v>3</v>
      </c>
      <c r="H218" s="39">
        <v>8</v>
      </c>
      <c r="I218" s="40" t="s">
        <v>42</v>
      </c>
      <c r="J218" s="149">
        <v>140</v>
      </c>
      <c r="K218" s="66">
        <v>300</v>
      </c>
      <c r="L218" s="66">
        <v>800</v>
      </c>
      <c r="M218" s="164">
        <v>11.267826743633199</v>
      </c>
      <c r="N218" s="78">
        <v>522.66329999999994</v>
      </c>
      <c r="O218" s="113">
        <v>25592.607040858806</v>
      </c>
      <c r="P218" s="111">
        <v>30013.751453272977</v>
      </c>
      <c r="Q218" s="110">
        <v>11287.572342693116</v>
      </c>
      <c r="R218" s="258">
        <v>36880.17938355192</v>
      </c>
      <c r="S218" s="259">
        <v>41301.323795966091</v>
      </c>
      <c r="U218" s="7" t="s">
        <v>3066</v>
      </c>
    </row>
    <row r="219" spans="1:21" ht="16.5" thickBot="1">
      <c r="A219" s="41" t="s">
        <v>31</v>
      </c>
      <c r="B219" s="42">
        <f t="shared" si="12"/>
        <v>140</v>
      </c>
      <c r="C219" s="42" t="s">
        <v>3</v>
      </c>
      <c r="D219" s="42">
        <f t="shared" si="13"/>
        <v>300</v>
      </c>
      <c r="E219" s="42" t="s">
        <v>3</v>
      </c>
      <c r="F219" s="90">
        <f t="shared" si="14"/>
        <v>850</v>
      </c>
      <c r="G219" s="42" t="s">
        <v>3</v>
      </c>
      <c r="H219" s="39">
        <v>8</v>
      </c>
      <c r="I219" s="40" t="s">
        <v>42</v>
      </c>
      <c r="J219" s="149">
        <v>140</v>
      </c>
      <c r="K219" s="66">
        <v>300</v>
      </c>
      <c r="L219" s="66">
        <v>850</v>
      </c>
      <c r="M219" s="164">
        <v>11.949980623358957</v>
      </c>
      <c r="N219" s="78">
        <v>580.73699999999997</v>
      </c>
      <c r="O219" s="113">
        <v>26826.092953688625</v>
      </c>
      <c r="P219" s="111">
        <v>31470.035311881114</v>
      </c>
      <c r="Q219" s="110">
        <v>12062.548266477399</v>
      </c>
      <c r="R219" s="258">
        <v>38888.641220166028</v>
      </c>
      <c r="S219" s="259">
        <v>43532.583578358513</v>
      </c>
      <c r="U219" s="7" t="s">
        <v>3067</v>
      </c>
    </row>
    <row r="220" spans="1:21" ht="16.5" thickBot="1">
      <c r="A220" s="41" t="s">
        <v>31</v>
      </c>
      <c r="B220" s="42">
        <f t="shared" si="12"/>
        <v>140</v>
      </c>
      <c r="C220" s="42" t="s">
        <v>3</v>
      </c>
      <c r="D220" s="42">
        <f t="shared" si="13"/>
        <v>300</v>
      </c>
      <c r="E220" s="42" t="s">
        <v>3</v>
      </c>
      <c r="F220" s="90">
        <f t="shared" si="14"/>
        <v>900</v>
      </c>
      <c r="G220" s="42" t="s">
        <v>3</v>
      </c>
      <c r="H220" s="39">
        <v>8</v>
      </c>
      <c r="I220" s="40" t="s">
        <v>42</v>
      </c>
      <c r="J220" s="149">
        <v>140</v>
      </c>
      <c r="K220" s="66">
        <v>300</v>
      </c>
      <c r="L220" s="66">
        <v>900</v>
      </c>
      <c r="M220" s="164">
        <v>12.61529898308472</v>
      </c>
      <c r="N220" s="78">
        <v>638.8107</v>
      </c>
      <c r="O220" s="113">
        <v>28059.578866518445</v>
      </c>
      <c r="P220" s="111">
        <v>32926.31901746049</v>
      </c>
      <c r="Q220" s="110">
        <v>12586.189899449146</v>
      </c>
      <c r="R220" s="258">
        <v>40645.768765967587</v>
      </c>
      <c r="S220" s="259">
        <v>45512.508916909632</v>
      </c>
      <c r="U220" s="7" t="s">
        <v>3068</v>
      </c>
    </row>
    <row r="221" spans="1:21" ht="16.5" thickBot="1">
      <c r="A221" s="41" t="s">
        <v>31</v>
      </c>
      <c r="B221" s="42">
        <f t="shared" si="12"/>
        <v>140</v>
      </c>
      <c r="C221" s="42" t="s">
        <v>3</v>
      </c>
      <c r="D221" s="42">
        <f t="shared" si="13"/>
        <v>300</v>
      </c>
      <c r="E221" s="42" t="s">
        <v>3</v>
      </c>
      <c r="F221" s="90">
        <f t="shared" si="14"/>
        <v>950</v>
      </c>
      <c r="G221" s="42" t="s">
        <v>3</v>
      </c>
      <c r="H221" s="39">
        <v>8</v>
      </c>
      <c r="I221" s="40" t="s">
        <v>42</v>
      </c>
      <c r="J221" s="149">
        <v>140</v>
      </c>
      <c r="K221" s="66">
        <v>300</v>
      </c>
      <c r="L221" s="66">
        <v>950</v>
      </c>
      <c r="M221" s="164">
        <v>13.297452862810479</v>
      </c>
      <c r="N221" s="78">
        <v>696.88439999999991</v>
      </c>
      <c r="O221" s="113">
        <v>29293.064932377027</v>
      </c>
      <c r="P221" s="111">
        <v>34382.602723039869</v>
      </c>
      <c r="Q221" s="110">
        <v>13361.165670204662</v>
      </c>
      <c r="R221" s="258">
        <v>42654.230602581687</v>
      </c>
      <c r="S221" s="259">
        <v>47743.768393244529</v>
      </c>
      <c r="U221" s="7" t="s">
        <v>3069</v>
      </c>
    </row>
    <row r="222" spans="1:21" ht="16.5" thickBot="1">
      <c r="A222" s="41" t="s">
        <v>31</v>
      </c>
      <c r="B222" s="42">
        <f t="shared" si="12"/>
        <v>140</v>
      </c>
      <c r="C222" s="42" t="s">
        <v>3</v>
      </c>
      <c r="D222" s="42">
        <f t="shared" si="13"/>
        <v>300</v>
      </c>
      <c r="E222" s="42" t="s">
        <v>3</v>
      </c>
      <c r="F222" s="90">
        <f t="shared" si="14"/>
        <v>1000</v>
      </c>
      <c r="G222" s="42" t="s">
        <v>3</v>
      </c>
      <c r="H222" s="39">
        <v>8</v>
      </c>
      <c r="I222" s="40" t="s">
        <v>42</v>
      </c>
      <c r="J222" s="149">
        <v>140</v>
      </c>
      <c r="K222" s="66">
        <v>300</v>
      </c>
      <c r="L222" s="66">
        <v>1000</v>
      </c>
      <c r="M222" s="164">
        <v>13.96277122253624</v>
      </c>
      <c r="N222" s="78">
        <v>754.95809999999994</v>
      </c>
      <c r="O222" s="113">
        <v>30526.550845206853</v>
      </c>
      <c r="P222" s="111">
        <v>35838.88642861924</v>
      </c>
      <c r="Q222" s="110">
        <v>13884.807456205173</v>
      </c>
      <c r="R222" s="258">
        <v>44411.358301412023</v>
      </c>
      <c r="S222" s="259">
        <v>49723.693884824417</v>
      </c>
      <c r="U222" s="7" t="s">
        <v>3070</v>
      </c>
    </row>
    <row r="223" spans="1:21" ht="16.5" thickBot="1">
      <c r="A223" s="41" t="s">
        <v>31</v>
      </c>
      <c r="B223" s="42">
        <f t="shared" si="12"/>
        <v>140</v>
      </c>
      <c r="C223" s="42" t="s">
        <v>3</v>
      </c>
      <c r="D223" s="42">
        <f t="shared" si="13"/>
        <v>300</v>
      </c>
      <c r="E223" s="42" t="s">
        <v>3</v>
      </c>
      <c r="F223" s="90">
        <f t="shared" si="14"/>
        <v>1050</v>
      </c>
      <c r="G223" s="42" t="s">
        <v>3</v>
      </c>
      <c r="H223" s="39">
        <v>8</v>
      </c>
      <c r="I223" s="40" t="s">
        <v>42</v>
      </c>
      <c r="J223" s="149">
        <v>140</v>
      </c>
      <c r="K223" s="66">
        <v>300</v>
      </c>
      <c r="L223" s="66">
        <v>1050</v>
      </c>
      <c r="M223" s="164">
        <v>14.644925102261999</v>
      </c>
      <c r="N223" s="78">
        <v>813.03179999999986</v>
      </c>
      <c r="O223" s="113">
        <v>31760.036758036673</v>
      </c>
      <c r="P223" s="111">
        <v>37295.170287227389</v>
      </c>
      <c r="Q223" s="110">
        <v>14659.78322696069</v>
      </c>
      <c r="R223" s="258">
        <v>46419.819984997361</v>
      </c>
      <c r="S223" s="259">
        <v>51954.953514188077</v>
      </c>
      <c r="U223" s="7" t="s">
        <v>3071</v>
      </c>
    </row>
    <row r="224" spans="1:21" ht="16.5" thickBot="1">
      <c r="A224" s="38" t="s">
        <v>31</v>
      </c>
      <c r="B224" s="39">
        <f t="shared" si="12"/>
        <v>140</v>
      </c>
      <c r="C224" s="39" t="s">
        <v>3</v>
      </c>
      <c r="D224" s="39">
        <f t="shared" si="13"/>
        <v>300</v>
      </c>
      <c r="E224" s="39" t="s">
        <v>3</v>
      </c>
      <c r="F224" s="90">
        <f t="shared" si="14"/>
        <v>1100</v>
      </c>
      <c r="G224" s="39" t="s">
        <v>3</v>
      </c>
      <c r="H224" s="39">
        <v>8</v>
      </c>
      <c r="I224" s="40" t="s">
        <v>42</v>
      </c>
      <c r="J224" s="149">
        <v>140</v>
      </c>
      <c r="K224" s="66">
        <v>300</v>
      </c>
      <c r="L224" s="66">
        <v>1100</v>
      </c>
      <c r="M224" s="164">
        <v>15.310243461987758</v>
      </c>
      <c r="N224" s="78">
        <v>871.10549999999989</v>
      </c>
      <c r="O224" s="113">
        <v>32993.522670866492</v>
      </c>
      <c r="P224" s="111">
        <v>38751.453992806761</v>
      </c>
      <c r="Q224" s="110">
        <v>15183.425012961201</v>
      </c>
      <c r="R224" s="258">
        <v>48176.94768382769</v>
      </c>
      <c r="S224" s="259">
        <v>53934.879005767958</v>
      </c>
      <c r="U224" s="7" t="s">
        <v>3072</v>
      </c>
    </row>
    <row r="225" spans="1:21" ht="16.5" thickBot="1">
      <c r="A225" s="41" t="s">
        <v>31</v>
      </c>
      <c r="B225" s="42">
        <f t="shared" si="12"/>
        <v>140</v>
      </c>
      <c r="C225" s="42" t="s">
        <v>3</v>
      </c>
      <c r="D225" s="42">
        <f t="shared" si="13"/>
        <v>300</v>
      </c>
      <c r="E225" s="42" t="s">
        <v>3</v>
      </c>
      <c r="F225" s="90">
        <f t="shared" si="14"/>
        <v>1150</v>
      </c>
      <c r="G225" s="42" t="s">
        <v>3</v>
      </c>
      <c r="H225" s="39">
        <v>8</v>
      </c>
      <c r="I225" s="40" t="s">
        <v>42</v>
      </c>
      <c r="J225" s="149">
        <v>140</v>
      </c>
      <c r="K225" s="66">
        <v>300</v>
      </c>
      <c r="L225" s="66">
        <v>1150</v>
      </c>
      <c r="M225" s="164">
        <v>15.975561821713519</v>
      </c>
      <c r="N225" s="78">
        <v>929.17920000000004</v>
      </c>
      <c r="O225" s="113">
        <v>34227.008736725082</v>
      </c>
      <c r="P225" s="111">
        <v>40207.73769838614</v>
      </c>
      <c r="Q225" s="110">
        <v>15707.066645932946</v>
      </c>
      <c r="R225" s="258">
        <v>49934.075382658026</v>
      </c>
      <c r="S225" s="259">
        <v>55914.804344319084</v>
      </c>
      <c r="U225" s="7" t="s">
        <v>3073</v>
      </c>
    </row>
    <row r="226" spans="1:21" ht="16.5" thickBot="1">
      <c r="A226" s="41" t="s">
        <v>31</v>
      </c>
      <c r="B226" s="42">
        <f t="shared" si="12"/>
        <v>140</v>
      </c>
      <c r="C226" s="42" t="s">
        <v>3</v>
      </c>
      <c r="D226" s="42">
        <f t="shared" si="13"/>
        <v>300</v>
      </c>
      <c r="E226" s="42" t="s">
        <v>3</v>
      </c>
      <c r="F226" s="90">
        <f t="shared" si="14"/>
        <v>1200</v>
      </c>
      <c r="G226" s="42" t="s">
        <v>3</v>
      </c>
      <c r="H226" s="39">
        <v>8</v>
      </c>
      <c r="I226" s="40" t="s">
        <v>42</v>
      </c>
      <c r="J226" s="149">
        <v>140</v>
      </c>
      <c r="K226" s="66">
        <v>300</v>
      </c>
      <c r="L226" s="66">
        <v>1200</v>
      </c>
      <c r="M226" s="164">
        <v>16.812831701439276</v>
      </c>
      <c r="N226" s="78">
        <v>987.25289999999995</v>
      </c>
      <c r="O226" s="113">
        <v>35628.691166792793</v>
      </c>
      <c r="P226" s="111">
        <v>41833.244897246164</v>
      </c>
      <c r="Q226" s="110">
        <v>16482.042416688462</v>
      </c>
      <c r="R226" s="258">
        <v>52110.733583481255</v>
      </c>
      <c r="S226" s="259">
        <v>58315.287313934627</v>
      </c>
      <c r="U226" s="7" t="s">
        <v>3074</v>
      </c>
    </row>
    <row r="227" spans="1:21" ht="16.5" thickBot="1">
      <c r="A227" s="41" t="s">
        <v>31</v>
      </c>
      <c r="B227" s="42">
        <f t="shared" si="12"/>
        <v>140</v>
      </c>
      <c r="C227" s="42" t="s">
        <v>3</v>
      </c>
      <c r="D227" s="42">
        <f t="shared" si="13"/>
        <v>300</v>
      </c>
      <c r="E227" s="42" t="s">
        <v>3</v>
      </c>
      <c r="F227" s="90">
        <f t="shared" si="14"/>
        <v>1250</v>
      </c>
      <c r="G227" s="42" t="s">
        <v>3</v>
      </c>
      <c r="H227" s="39">
        <v>8</v>
      </c>
      <c r="I227" s="40" t="s">
        <v>42</v>
      </c>
      <c r="J227" s="149">
        <v>140</v>
      </c>
      <c r="K227" s="66">
        <v>300</v>
      </c>
      <c r="L227" s="66">
        <v>1250</v>
      </c>
      <c r="M227" s="164">
        <v>17.478150061165039</v>
      </c>
      <c r="N227" s="78">
        <v>1045.3265999999999</v>
      </c>
      <c r="O227" s="113">
        <v>36862.177232651382</v>
      </c>
      <c r="P227" s="111">
        <v>43289.528602825536</v>
      </c>
      <c r="Q227" s="110">
        <v>17005.684202688975</v>
      </c>
      <c r="R227" s="258">
        <v>53867.861435340354</v>
      </c>
      <c r="S227" s="259">
        <v>60295.212805514515</v>
      </c>
      <c r="U227" s="7" t="s">
        <v>3075</v>
      </c>
    </row>
    <row r="228" spans="1:21" ht="16.5" thickBot="1">
      <c r="A228" s="41" t="s">
        <v>31</v>
      </c>
      <c r="B228" s="42">
        <f t="shared" si="12"/>
        <v>140</v>
      </c>
      <c r="C228" s="42" t="s">
        <v>3</v>
      </c>
      <c r="D228" s="42">
        <f t="shared" si="13"/>
        <v>300</v>
      </c>
      <c r="E228" s="42" t="s">
        <v>3</v>
      </c>
      <c r="F228" s="90">
        <f t="shared" si="14"/>
        <v>1300</v>
      </c>
      <c r="G228" s="42" t="s">
        <v>3</v>
      </c>
      <c r="H228" s="39">
        <v>8</v>
      </c>
      <c r="I228" s="40" t="s">
        <v>42</v>
      </c>
      <c r="J228" s="149">
        <v>140</v>
      </c>
      <c r="K228" s="66">
        <v>300</v>
      </c>
      <c r="L228" s="66">
        <v>1300</v>
      </c>
      <c r="M228" s="164">
        <v>18.160303940890799</v>
      </c>
      <c r="N228" s="78">
        <v>1103.4002999999998</v>
      </c>
      <c r="O228" s="113">
        <v>38095.663145481201</v>
      </c>
      <c r="P228" s="111">
        <v>44745.812308404915</v>
      </c>
      <c r="Q228" s="110">
        <v>17780.65997344449</v>
      </c>
      <c r="R228" s="258">
        <v>55876.323118925691</v>
      </c>
      <c r="S228" s="259">
        <v>62526.472281849405</v>
      </c>
      <c r="U228" s="7" t="s">
        <v>3076</v>
      </c>
    </row>
    <row r="229" spans="1:21" ht="16.5" thickBot="1">
      <c r="A229" s="41" t="s">
        <v>31</v>
      </c>
      <c r="B229" s="42">
        <f t="shared" si="12"/>
        <v>140</v>
      </c>
      <c r="C229" s="42" t="s">
        <v>3</v>
      </c>
      <c r="D229" s="42">
        <f t="shared" si="13"/>
        <v>300</v>
      </c>
      <c r="E229" s="42" t="s">
        <v>3</v>
      </c>
      <c r="F229" s="90">
        <f t="shared" si="14"/>
        <v>1350</v>
      </c>
      <c r="G229" s="42" t="s">
        <v>3</v>
      </c>
      <c r="H229" s="39">
        <v>8</v>
      </c>
      <c r="I229" s="40" t="s">
        <v>42</v>
      </c>
      <c r="J229" s="149">
        <v>140</v>
      </c>
      <c r="K229" s="66">
        <v>300</v>
      </c>
      <c r="L229" s="66">
        <v>1350</v>
      </c>
      <c r="M229" s="164">
        <v>18.825622300616558</v>
      </c>
      <c r="N229" s="78">
        <v>1161.4739999999999</v>
      </c>
      <c r="O229" s="113">
        <v>39329.149058311021</v>
      </c>
      <c r="P229" s="111">
        <v>46202.096167013056</v>
      </c>
      <c r="Q229" s="110">
        <v>18304.301606416237</v>
      </c>
      <c r="R229" s="258">
        <v>57633.450664727257</v>
      </c>
      <c r="S229" s="259">
        <v>64506.397773429293</v>
      </c>
      <c r="U229" s="7" t="s">
        <v>3077</v>
      </c>
    </row>
    <row r="230" spans="1:21" ht="16.5" thickBot="1">
      <c r="A230" s="41" t="s">
        <v>31</v>
      </c>
      <c r="B230" s="42">
        <f t="shared" si="12"/>
        <v>140</v>
      </c>
      <c r="C230" s="42" t="s">
        <v>3</v>
      </c>
      <c r="D230" s="42">
        <f t="shared" si="13"/>
        <v>300</v>
      </c>
      <c r="E230" s="42" t="s">
        <v>3</v>
      </c>
      <c r="F230" s="90">
        <f t="shared" si="14"/>
        <v>1400</v>
      </c>
      <c r="G230" s="42" t="s">
        <v>3</v>
      </c>
      <c r="H230" s="39">
        <v>8</v>
      </c>
      <c r="I230" s="40" t="s">
        <v>42</v>
      </c>
      <c r="J230" s="149">
        <v>140</v>
      </c>
      <c r="K230" s="66">
        <v>300</v>
      </c>
      <c r="L230" s="66">
        <v>1400</v>
      </c>
      <c r="M230" s="164">
        <v>19.507776180342319</v>
      </c>
      <c r="N230" s="78">
        <v>1219.5477000000001</v>
      </c>
      <c r="O230" s="113">
        <v>40562.634971140847</v>
      </c>
      <c r="P230" s="111">
        <v>47658.379872592435</v>
      </c>
      <c r="Q230" s="110">
        <v>19079.277530200521</v>
      </c>
      <c r="R230" s="258">
        <v>59641.912501341372</v>
      </c>
      <c r="S230" s="259">
        <v>66737.65740279296</v>
      </c>
      <c r="U230" s="7" t="s">
        <v>3078</v>
      </c>
    </row>
    <row r="231" spans="1:21" ht="16.5" thickBot="1">
      <c r="A231" s="41" t="s">
        <v>31</v>
      </c>
      <c r="B231" s="42">
        <f t="shared" si="12"/>
        <v>140</v>
      </c>
      <c r="C231" s="42" t="s">
        <v>3</v>
      </c>
      <c r="D231" s="42">
        <f t="shared" si="13"/>
        <v>300</v>
      </c>
      <c r="E231" s="42" t="s">
        <v>3</v>
      </c>
      <c r="F231" s="90">
        <f t="shared" si="14"/>
        <v>1450</v>
      </c>
      <c r="G231" s="42" t="s">
        <v>3</v>
      </c>
      <c r="H231" s="39">
        <v>8</v>
      </c>
      <c r="I231" s="40" t="s">
        <v>42</v>
      </c>
      <c r="J231" s="149">
        <v>140</v>
      </c>
      <c r="K231" s="66">
        <v>300</v>
      </c>
      <c r="L231" s="66">
        <v>1450</v>
      </c>
      <c r="M231" s="164">
        <v>20.173094540068078</v>
      </c>
      <c r="N231" s="78">
        <v>1277.6214</v>
      </c>
      <c r="O231" s="113">
        <v>41796.12103699943</v>
      </c>
      <c r="P231" s="111">
        <v>49114.663578171807</v>
      </c>
      <c r="Q231" s="110">
        <v>19602.919163172111</v>
      </c>
      <c r="R231" s="258">
        <v>61399.040200171541</v>
      </c>
      <c r="S231" s="259">
        <v>68717.582741343911</v>
      </c>
      <c r="U231" s="7" t="s">
        <v>3079</v>
      </c>
    </row>
    <row r="232" spans="1:21" ht="16.5" thickBot="1">
      <c r="A232" s="41" t="s">
        <v>31</v>
      </c>
      <c r="B232" s="42">
        <f t="shared" si="12"/>
        <v>140</v>
      </c>
      <c r="C232" s="42" t="s">
        <v>3</v>
      </c>
      <c r="D232" s="42">
        <f t="shared" si="13"/>
        <v>300</v>
      </c>
      <c r="E232" s="42" t="s">
        <v>3</v>
      </c>
      <c r="F232" s="90">
        <f t="shared" si="14"/>
        <v>1500</v>
      </c>
      <c r="G232" s="42" t="s">
        <v>3</v>
      </c>
      <c r="H232" s="39">
        <v>8</v>
      </c>
      <c r="I232" s="40" t="s">
        <v>42</v>
      </c>
      <c r="J232" s="149">
        <v>140</v>
      </c>
      <c r="K232" s="66">
        <v>300</v>
      </c>
      <c r="L232" s="66">
        <v>1500</v>
      </c>
      <c r="M232" s="164">
        <v>21.02039573920624</v>
      </c>
      <c r="N232" s="78">
        <v>1335.6950999999999</v>
      </c>
      <c r="O232" s="113">
        <v>43797.253713936632</v>
      </c>
      <c r="P232" s="111">
        <v>51292.582276933368</v>
      </c>
      <c r="Q232" s="110">
        <v>20377.895086956549</v>
      </c>
      <c r="R232" s="258">
        <v>64175.148800893177</v>
      </c>
      <c r="S232" s="259">
        <v>71670.477363889921</v>
      </c>
      <c r="U232" s="7" t="s">
        <v>3080</v>
      </c>
    </row>
    <row r="233" spans="1:21" ht="16.5" thickBot="1">
      <c r="A233" s="41" t="s">
        <v>31</v>
      </c>
      <c r="B233" s="42">
        <f t="shared" si="12"/>
        <v>140</v>
      </c>
      <c r="C233" s="42" t="s">
        <v>3</v>
      </c>
      <c r="D233" s="42">
        <f t="shared" si="13"/>
        <v>300</v>
      </c>
      <c r="E233" s="42" t="s">
        <v>3</v>
      </c>
      <c r="F233" s="90">
        <f t="shared" si="14"/>
        <v>1550</v>
      </c>
      <c r="G233" s="42" t="s">
        <v>3</v>
      </c>
      <c r="H233" s="39">
        <v>8</v>
      </c>
      <c r="I233" s="40" t="s">
        <v>42</v>
      </c>
      <c r="J233" s="149">
        <v>140</v>
      </c>
      <c r="K233" s="66">
        <v>300</v>
      </c>
      <c r="L233" s="66">
        <v>1550</v>
      </c>
      <c r="M233" s="164">
        <v>21.685714098931999</v>
      </c>
      <c r="N233" s="78">
        <v>1393.7687999999998</v>
      </c>
      <c r="O233" s="113">
        <v>45030.739626766452</v>
      </c>
      <c r="P233" s="111">
        <v>52748.865982512747</v>
      </c>
      <c r="Q233" s="110">
        <v>20901.536719928292</v>
      </c>
      <c r="R233" s="258">
        <v>65932.276346694736</v>
      </c>
      <c r="S233" s="259">
        <v>73650.402702441032</v>
      </c>
      <c r="U233" s="7" t="s">
        <v>3081</v>
      </c>
    </row>
    <row r="234" spans="1:21" ht="16.5" thickBot="1">
      <c r="A234" s="38" t="s">
        <v>31</v>
      </c>
      <c r="B234" s="39">
        <f t="shared" si="12"/>
        <v>140</v>
      </c>
      <c r="C234" s="39" t="s">
        <v>3</v>
      </c>
      <c r="D234" s="39">
        <f t="shared" si="13"/>
        <v>300</v>
      </c>
      <c r="E234" s="39" t="s">
        <v>3</v>
      </c>
      <c r="F234" s="90">
        <f t="shared" si="14"/>
        <v>1600</v>
      </c>
      <c r="G234" s="39" t="s">
        <v>3</v>
      </c>
      <c r="H234" s="39">
        <v>8</v>
      </c>
      <c r="I234" s="40" t="s">
        <v>42</v>
      </c>
      <c r="J234" s="149">
        <v>140</v>
      </c>
      <c r="K234" s="66">
        <v>300</v>
      </c>
      <c r="L234" s="66">
        <v>1600</v>
      </c>
      <c r="M234" s="164">
        <v>22.351032458657759</v>
      </c>
      <c r="N234" s="78">
        <v>1451.8425</v>
      </c>
      <c r="O234" s="113">
        <v>46264.225692625041</v>
      </c>
      <c r="P234" s="111">
        <v>54205.149841120889</v>
      </c>
      <c r="Q234" s="110">
        <v>21425.178352900039</v>
      </c>
      <c r="R234" s="258">
        <v>67689.40404552508</v>
      </c>
      <c r="S234" s="259">
        <v>75630.328194020927</v>
      </c>
      <c r="U234" s="7" t="s">
        <v>3082</v>
      </c>
    </row>
    <row r="235" spans="1:21" ht="16.5" thickBot="1">
      <c r="A235" s="41" t="s">
        <v>31</v>
      </c>
      <c r="B235" s="42">
        <f t="shared" si="12"/>
        <v>140</v>
      </c>
      <c r="C235" s="42" t="s">
        <v>3</v>
      </c>
      <c r="D235" s="42">
        <f t="shared" si="13"/>
        <v>300</v>
      </c>
      <c r="E235" s="42" t="s">
        <v>3</v>
      </c>
      <c r="F235" s="90">
        <f t="shared" si="14"/>
        <v>1650</v>
      </c>
      <c r="G235" s="42" t="s">
        <v>3</v>
      </c>
      <c r="H235" s="39">
        <v>8</v>
      </c>
      <c r="I235" s="40" t="s">
        <v>42</v>
      </c>
      <c r="J235" s="149">
        <v>140</v>
      </c>
      <c r="K235" s="66">
        <v>300</v>
      </c>
      <c r="L235" s="66">
        <v>1650</v>
      </c>
      <c r="M235" s="164">
        <v>23.033186338383523</v>
      </c>
      <c r="N235" s="78">
        <v>1509.9161999999999</v>
      </c>
      <c r="O235" s="113">
        <v>47497.711605454861</v>
      </c>
      <c r="P235" s="111">
        <v>55661.433546700267</v>
      </c>
      <c r="Q235" s="110">
        <v>22200.154276684319</v>
      </c>
      <c r="R235" s="258">
        <v>69697.865882139187</v>
      </c>
      <c r="S235" s="259">
        <v>77861.587823384587</v>
      </c>
      <c r="U235" s="7" t="s">
        <v>3083</v>
      </c>
    </row>
    <row r="236" spans="1:21" ht="16.5" thickBot="1">
      <c r="A236" s="41" t="s">
        <v>31</v>
      </c>
      <c r="B236" s="42">
        <f t="shared" si="12"/>
        <v>140</v>
      </c>
      <c r="C236" s="42" t="s">
        <v>3</v>
      </c>
      <c r="D236" s="42">
        <f t="shared" si="13"/>
        <v>300</v>
      </c>
      <c r="E236" s="42" t="s">
        <v>3</v>
      </c>
      <c r="F236" s="90">
        <f t="shared" si="14"/>
        <v>1700</v>
      </c>
      <c r="G236" s="42" t="s">
        <v>3</v>
      </c>
      <c r="H236" s="39">
        <v>8</v>
      </c>
      <c r="I236" s="40" t="s">
        <v>42</v>
      </c>
      <c r="J236" s="149">
        <v>140</v>
      </c>
      <c r="K236" s="66">
        <v>300</v>
      </c>
      <c r="L236" s="66">
        <v>1700</v>
      </c>
      <c r="M236" s="164">
        <v>23.698504698109282</v>
      </c>
      <c r="N236" s="78">
        <v>1567.9899</v>
      </c>
      <c r="O236" s="113">
        <v>48731.19751828468</v>
      </c>
      <c r="P236" s="111">
        <v>57117.717252279646</v>
      </c>
      <c r="Q236" s="110">
        <v>22723.795909656066</v>
      </c>
      <c r="R236" s="258">
        <v>71454.993427940746</v>
      </c>
      <c r="S236" s="259">
        <v>79841.513161935713</v>
      </c>
      <c r="U236" s="7" t="s">
        <v>3084</v>
      </c>
    </row>
    <row r="237" spans="1:21" ht="16.5" thickBot="1">
      <c r="A237" s="41" t="s">
        <v>31</v>
      </c>
      <c r="B237" s="42">
        <f t="shared" si="12"/>
        <v>140</v>
      </c>
      <c r="C237" s="42" t="s">
        <v>3</v>
      </c>
      <c r="D237" s="42">
        <f t="shared" si="13"/>
        <v>300</v>
      </c>
      <c r="E237" s="42" t="s">
        <v>3</v>
      </c>
      <c r="F237" s="90">
        <f t="shared" si="14"/>
        <v>1750</v>
      </c>
      <c r="G237" s="42" t="s">
        <v>3</v>
      </c>
      <c r="H237" s="39">
        <v>8</v>
      </c>
      <c r="I237" s="40" t="s">
        <v>42</v>
      </c>
      <c r="J237" s="149">
        <v>140</v>
      </c>
      <c r="K237" s="66">
        <v>300</v>
      </c>
      <c r="L237" s="66">
        <v>1750</v>
      </c>
      <c r="M237" s="164">
        <v>24.380658577835039</v>
      </c>
      <c r="N237" s="78">
        <v>1626.0635999999997</v>
      </c>
      <c r="O237" s="113">
        <v>49964.683431114499</v>
      </c>
      <c r="P237" s="111">
        <v>58574.000957859018</v>
      </c>
      <c r="Q237" s="110">
        <v>23498.771833440347</v>
      </c>
      <c r="R237" s="258">
        <v>73463.455264554854</v>
      </c>
      <c r="S237" s="259">
        <v>82072.772791299358</v>
      </c>
      <c r="U237" s="7" t="s">
        <v>3085</v>
      </c>
    </row>
    <row r="238" spans="1:21" ht="16.5" thickBot="1">
      <c r="A238" s="41" t="s">
        <v>31</v>
      </c>
      <c r="B238" s="42">
        <f t="shared" si="12"/>
        <v>140</v>
      </c>
      <c r="C238" s="42" t="s">
        <v>3</v>
      </c>
      <c r="D238" s="42">
        <f t="shared" si="13"/>
        <v>300</v>
      </c>
      <c r="E238" s="42" t="s">
        <v>3</v>
      </c>
      <c r="F238" s="90">
        <f t="shared" si="14"/>
        <v>1800</v>
      </c>
      <c r="G238" s="42" t="s">
        <v>3</v>
      </c>
      <c r="H238" s="39">
        <v>8</v>
      </c>
      <c r="I238" s="40" t="s">
        <v>42</v>
      </c>
      <c r="J238" s="149">
        <v>140</v>
      </c>
      <c r="K238" s="66">
        <v>300</v>
      </c>
      <c r="L238" s="66">
        <v>1800</v>
      </c>
      <c r="M238" s="164">
        <v>25.045976937560802</v>
      </c>
      <c r="N238" s="78">
        <v>1684.1372999999999</v>
      </c>
      <c r="O238" s="113">
        <v>51198.169496973082</v>
      </c>
      <c r="P238" s="111">
        <v>60030.28481646716</v>
      </c>
      <c r="Q238" s="110">
        <v>24022.413466412094</v>
      </c>
      <c r="R238" s="258">
        <v>75220.582963385183</v>
      </c>
      <c r="S238" s="259">
        <v>84052.698282879253</v>
      </c>
      <c r="U238" s="7" t="s">
        <v>3086</v>
      </c>
    </row>
    <row r="239" spans="1:21" ht="16.5" thickBot="1">
      <c r="A239" s="41" t="s">
        <v>31</v>
      </c>
      <c r="B239" s="42">
        <f t="shared" si="12"/>
        <v>140</v>
      </c>
      <c r="C239" s="42" t="s">
        <v>3</v>
      </c>
      <c r="D239" s="42">
        <f t="shared" si="13"/>
        <v>300</v>
      </c>
      <c r="E239" s="42" t="s">
        <v>3</v>
      </c>
      <c r="F239" s="90">
        <f t="shared" si="14"/>
        <v>1850</v>
      </c>
      <c r="G239" s="42" t="s">
        <v>3</v>
      </c>
      <c r="H239" s="39">
        <v>8</v>
      </c>
      <c r="I239" s="40" t="s">
        <v>42</v>
      </c>
      <c r="J239" s="149">
        <v>140</v>
      </c>
      <c r="K239" s="66">
        <v>300</v>
      </c>
      <c r="L239" s="66">
        <v>1850</v>
      </c>
      <c r="M239" s="164">
        <v>25.728130817286562</v>
      </c>
      <c r="N239" s="78">
        <v>1742.2109999999998</v>
      </c>
      <c r="O239" s="113">
        <v>52431.655409802916</v>
      </c>
      <c r="P239" s="111">
        <v>61486.568522046538</v>
      </c>
      <c r="Q239" s="110">
        <v>24797.389237167612</v>
      </c>
      <c r="R239" s="258">
        <v>77229.04464697052</v>
      </c>
      <c r="S239" s="259">
        <v>86283.957759214158</v>
      </c>
      <c r="U239" s="7" t="s">
        <v>3087</v>
      </c>
    </row>
    <row r="240" spans="1:21" ht="16.5" thickBot="1">
      <c r="A240" s="41" t="s">
        <v>31</v>
      </c>
      <c r="B240" s="42">
        <f t="shared" si="12"/>
        <v>140</v>
      </c>
      <c r="C240" s="42" t="s">
        <v>3</v>
      </c>
      <c r="D240" s="42">
        <f t="shared" si="13"/>
        <v>300</v>
      </c>
      <c r="E240" s="42" t="s">
        <v>3</v>
      </c>
      <c r="F240" s="90">
        <f t="shared" si="14"/>
        <v>1900</v>
      </c>
      <c r="G240" s="42" t="s">
        <v>3</v>
      </c>
      <c r="H240" s="39">
        <v>8</v>
      </c>
      <c r="I240" s="40" t="s">
        <v>42</v>
      </c>
      <c r="J240" s="149">
        <v>140</v>
      </c>
      <c r="K240" s="66">
        <v>300</v>
      </c>
      <c r="L240" s="66">
        <v>1900</v>
      </c>
      <c r="M240" s="164">
        <v>26.393449177012318</v>
      </c>
      <c r="N240" s="78">
        <v>1800.2846999999999</v>
      </c>
      <c r="O240" s="113">
        <v>53665.141322632735</v>
      </c>
      <c r="P240" s="111">
        <v>62942.852227625917</v>
      </c>
      <c r="Q240" s="110">
        <v>25321.031023168125</v>
      </c>
      <c r="R240" s="258">
        <v>78986.172345800864</v>
      </c>
      <c r="S240" s="259">
        <v>88263.883250794039</v>
      </c>
      <c r="U240" s="7" t="s">
        <v>3088</v>
      </c>
    </row>
    <row r="241" spans="1:21" ht="16.5" thickBot="1">
      <c r="A241" s="41" t="s">
        <v>31</v>
      </c>
      <c r="B241" s="42">
        <f t="shared" si="12"/>
        <v>140</v>
      </c>
      <c r="C241" s="42" t="s">
        <v>3</v>
      </c>
      <c r="D241" s="42">
        <f t="shared" si="13"/>
        <v>300</v>
      </c>
      <c r="E241" s="42" t="s">
        <v>3</v>
      </c>
      <c r="F241" s="90">
        <f t="shared" si="14"/>
        <v>1950</v>
      </c>
      <c r="G241" s="42" t="s">
        <v>3</v>
      </c>
      <c r="H241" s="39">
        <v>8</v>
      </c>
      <c r="I241" s="40" t="s">
        <v>42</v>
      </c>
      <c r="J241" s="149">
        <v>140</v>
      </c>
      <c r="K241" s="66">
        <v>300</v>
      </c>
      <c r="L241" s="66">
        <v>1950</v>
      </c>
      <c r="M241" s="164">
        <v>27.213883536738084</v>
      </c>
      <c r="N241" s="78">
        <v>1858.3584000000001</v>
      </c>
      <c r="O241" s="113">
        <v>55066.823905729208</v>
      </c>
      <c r="P241" s="111">
        <v>64568.359426485935</v>
      </c>
      <c r="Q241" s="110">
        <v>25844.672656139872</v>
      </c>
      <c r="R241" s="258">
        <v>80911.496561869077</v>
      </c>
      <c r="S241" s="259">
        <v>90413.03208262581</v>
      </c>
      <c r="U241" s="7" t="s">
        <v>3089</v>
      </c>
    </row>
    <row r="242" spans="1:21" ht="16.5" thickBot="1">
      <c r="A242" s="41" t="s">
        <v>31</v>
      </c>
      <c r="B242" s="42">
        <f t="shared" si="12"/>
        <v>140</v>
      </c>
      <c r="C242" s="42" t="s">
        <v>3</v>
      </c>
      <c r="D242" s="42">
        <f t="shared" si="13"/>
        <v>300</v>
      </c>
      <c r="E242" s="42" t="s">
        <v>3</v>
      </c>
      <c r="F242" s="90">
        <f t="shared" si="14"/>
        <v>2000</v>
      </c>
      <c r="G242" s="42" t="s">
        <v>3</v>
      </c>
      <c r="H242" s="39">
        <v>8</v>
      </c>
      <c r="I242" s="40" t="s">
        <v>42</v>
      </c>
      <c r="J242" s="149">
        <v>140</v>
      </c>
      <c r="K242" s="66">
        <v>300</v>
      </c>
      <c r="L242" s="66">
        <v>2000</v>
      </c>
      <c r="M242" s="164">
        <v>27.986501067663841</v>
      </c>
      <c r="N242" s="78">
        <v>1916.4320999999998</v>
      </c>
      <c r="O242" s="113">
        <v>56551.601720403625</v>
      </c>
      <c r="P242" s="111">
        <v>66365.465125061353</v>
      </c>
      <c r="Q242" s="110">
        <v>26619.648426895383</v>
      </c>
      <c r="R242" s="258">
        <v>83171.250147299012</v>
      </c>
      <c r="S242" s="259">
        <v>92985.113551956732</v>
      </c>
      <c r="U242" s="7" t="s">
        <v>3090</v>
      </c>
    </row>
    <row r="243" spans="1:21" ht="16.5" thickBot="1">
      <c r="A243" s="41" t="s">
        <v>31</v>
      </c>
      <c r="B243" s="42">
        <f t="shared" si="12"/>
        <v>140</v>
      </c>
      <c r="C243" s="42" t="s">
        <v>3</v>
      </c>
      <c r="D243" s="42">
        <f t="shared" si="13"/>
        <v>300</v>
      </c>
      <c r="E243" s="42" t="s">
        <v>3</v>
      </c>
      <c r="F243" s="90">
        <f t="shared" si="14"/>
        <v>2050</v>
      </c>
      <c r="G243" s="42" t="s">
        <v>3</v>
      </c>
      <c r="H243" s="39">
        <v>8</v>
      </c>
      <c r="I243" s="40" t="s">
        <v>42</v>
      </c>
      <c r="J243" s="149">
        <v>140</v>
      </c>
      <c r="K243" s="66">
        <v>300</v>
      </c>
      <c r="L243" s="66">
        <v>2050</v>
      </c>
      <c r="M243" s="164">
        <v>28.651819427389601</v>
      </c>
      <c r="N243" s="78">
        <v>1974.5057999999999</v>
      </c>
      <c r="O243" s="113">
        <v>57785.087633233445</v>
      </c>
      <c r="P243" s="111">
        <v>67821.748983669488</v>
      </c>
      <c r="Q243" s="110">
        <v>27143.290212895896</v>
      </c>
      <c r="R243" s="258">
        <v>84928.37784612934</v>
      </c>
      <c r="S243" s="259">
        <v>94965.039196565383</v>
      </c>
      <c r="U243" s="7" t="s">
        <v>3091</v>
      </c>
    </row>
    <row r="244" spans="1:21" ht="16.5" thickBot="1">
      <c r="A244" s="38" t="s">
        <v>31</v>
      </c>
      <c r="B244" s="39">
        <f t="shared" si="12"/>
        <v>140</v>
      </c>
      <c r="C244" s="39" t="s">
        <v>3</v>
      </c>
      <c r="D244" s="39">
        <f t="shared" si="13"/>
        <v>300</v>
      </c>
      <c r="E244" s="39" t="s">
        <v>3</v>
      </c>
      <c r="F244" s="90">
        <f t="shared" si="14"/>
        <v>2100</v>
      </c>
      <c r="G244" s="39" t="s">
        <v>3</v>
      </c>
      <c r="H244" s="39">
        <v>8</v>
      </c>
      <c r="I244" s="40" t="s">
        <v>42</v>
      </c>
      <c r="J244" s="149">
        <v>140</v>
      </c>
      <c r="K244" s="66">
        <v>300</v>
      </c>
      <c r="L244" s="66">
        <v>2100</v>
      </c>
      <c r="M244" s="164">
        <v>29.333973307115361</v>
      </c>
      <c r="N244" s="78">
        <v>2032.5794999999998</v>
      </c>
      <c r="O244" s="113">
        <v>59018.573546063264</v>
      </c>
      <c r="P244" s="111">
        <v>69278.032689248867</v>
      </c>
      <c r="Q244" s="110">
        <v>27918.265983651414</v>
      </c>
      <c r="R244" s="258">
        <v>86936.839529714678</v>
      </c>
      <c r="S244" s="259">
        <v>97196.298672900273</v>
      </c>
      <c r="U244" s="7" t="s">
        <v>3092</v>
      </c>
    </row>
    <row r="245" spans="1:21" ht="16.5" thickBot="1">
      <c r="A245" s="41" t="s">
        <v>31</v>
      </c>
      <c r="B245" s="42">
        <f t="shared" si="12"/>
        <v>140</v>
      </c>
      <c r="C245" s="42" t="s">
        <v>3</v>
      </c>
      <c r="D245" s="42">
        <f t="shared" si="13"/>
        <v>300</v>
      </c>
      <c r="E245" s="42" t="s">
        <v>3</v>
      </c>
      <c r="F245" s="90">
        <f t="shared" si="14"/>
        <v>2150</v>
      </c>
      <c r="G245" s="42" t="s">
        <v>3</v>
      </c>
      <c r="H245" s="39">
        <v>8</v>
      </c>
      <c r="I245" s="40" t="s">
        <v>42</v>
      </c>
      <c r="J245" s="149">
        <v>140</v>
      </c>
      <c r="K245" s="66">
        <v>300</v>
      </c>
      <c r="L245" s="66">
        <v>2150</v>
      </c>
      <c r="M245" s="164">
        <v>29.999291666841128</v>
      </c>
      <c r="N245" s="78">
        <v>2090.6531999999997</v>
      </c>
      <c r="O245" s="113">
        <v>60252.059611921861</v>
      </c>
      <c r="P245" s="111">
        <v>70734.316394828245</v>
      </c>
      <c r="Q245" s="110">
        <v>28441.907769651927</v>
      </c>
      <c r="R245" s="258">
        <v>88693.967381573791</v>
      </c>
      <c r="S245" s="259">
        <v>99176.224164480169</v>
      </c>
      <c r="U245" s="7" t="s">
        <v>3093</v>
      </c>
    </row>
    <row r="246" spans="1:21" ht="16.5" thickBot="1">
      <c r="A246" s="41" t="s">
        <v>31</v>
      </c>
      <c r="B246" s="42">
        <f t="shared" si="12"/>
        <v>140</v>
      </c>
      <c r="C246" s="42" t="s">
        <v>3</v>
      </c>
      <c r="D246" s="42">
        <f t="shared" si="13"/>
        <v>300</v>
      </c>
      <c r="E246" s="42" t="s">
        <v>3</v>
      </c>
      <c r="F246" s="90">
        <f t="shared" si="14"/>
        <v>2200</v>
      </c>
      <c r="G246" s="42" t="s">
        <v>3</v>
      </c>
      <c r="H246" s="39">
        <v>8</v>
      </c>
      <c r="I246" s="40" t="s">
        <v>42</v>
      </c>
      <c r="J246" s="149">
        <v>140</v>
      </c>
      <c r="K246" s="66">
        <v>300</v>
      </c>
      <c r="L246" s="66">
        <v>2200</v>
      </c>
      <c r="M246" s="164">
        <v>30.681445546566881</v>
      </c>
      <c r="N246" s="78">
        <v>2148.7269000000001</v>
      </c>
      <c r="O246" s="113">
        <v>61485.54552475168</v>
      </c>
      <c r="P246" s="111">
        <v>72190.600100407624</v>
      </c>
      <c r="Q246" s="110">
        <v>29216.883540407438</v>
      </c>
      <c r="R246" s="258">
        <v>90702.429065159115</v>
      </c>
      <c r="S246" s="259">
        <v>101407.48364081506</v>
      </c>
      <c r="U246" s="7" t="s">
        <v>3094</v>
      </c>
    </row>
    <row r="247" spans="1:21" ht="16.5" thickBot="1">
      <c r="A247" s="41" t="s">
        <v>31</v>
      </c>
      <c r="B247" s="42">
        <f t="shared" si="12"/>
        <v>140</v>
      </c>
      <c r="C247" s="42" t="s">
        <v>3</v>
      </c>
      <c r="D247" s="42">
        <f t="shared" si="13"/>
        <v>300</v>
      </c>
      <c r="E247" s="42" t="s">
        <v>3</v>
      </c>
      <c r="F247" s="90">
        <f t="shared" si="14"/>
        <v>2250</v>
      </c>
      <c r="G247" s="42" t="s">
        <v>3</v>
      </c>
      <c r="H247" s="39">
        <v>8</v>
      </c>
      <c r="I247" s="40" t="s">
        <v>42</v>
      </c>
      <c r="J247" s="149">
        <v>140</v>
      </c>
      <c r="K247" s="66">
        <v>300</v>
      </c>
      <c r="L247" s="66">
        <v>2250</v>
      </c>
      <c r="M247" s="164">
        <v>31.34676390629264</v>
      </c>
      <c r="N247" s="78">
        <v>2206.8005999999996</v>
      </c>
      <c r="O247" s="113">
        <v>62719.0314375815</v>
      </c>
      <c r="P247" s="111">
        <v>73646.883959015759</v>
      </c>
      <c r="Q247" s="110">
        <v>29740.525173379188</v>
      </c>
      <c r="R247" s="258">
        <v>92459.556610960688</v>
      </c>
      <c r="S247" s="259">
        <v>103387.40913239494</v>
      </c>
      <c r="U247" s="7" t="s">
        <v>3095</v>
      </c>
    </row>
    <row r="248" spans="1:21" ht="16.5" thickBot="1">
      <c r="A248" s="41" t="s">
        <v>31</v>
      </c>
      <c r="B248" s="42">
        <f t="shared" si="12"/>
        <v>140</v>
      </c>
      <c r="C248" s="42" t="s">
        <v>3</v>
      </c>
      <c r="D248" s="42">
        <f t="shared" si="13"/>
        <v>300</v>
      </c>
      <c r="E248" s="42" t="s">
        <v>3</v>
      </c>
      <c r="F248" s="90">
        <f t="shared" si="14"/>
        <v>2300</v>
      </c>
      <c r="G248" s="42" t="s">
        <v>3</v>
      </c>
      <c r="H248" s="39">
        <v>8</v>
      </c>
      <c r="I248" s="40" t="s">
        <v>42</v>
      </c>
      <c r="J248" s="149">
        <v>140</v>
      </c>
      <c r="K248" s="66">
        <v>300</v>
      </c>
      <c r="L248" s="66">
        <v>2300</v>
      </c>
      <c r="M248" s="164">
        <v>32.012082266018396</v>
      </c>
      <c r="N248" s="78">
        <v>2264.8742999999999</v>
      </c>
      <c r="O248" s="113">
        <v>63952.517350411319</v>
      </c>
      <c r="P248" s="111">
        <v>75103.167664595137</v>
      </c>
      <c r="Q248" s="110">
        <v>30264.166959379701</v>
      </c>
      <c r="R248" s="258">
        <v>94216.684309791017</v>
      </c>
      <c r="S248" s="259">
        <v>105367.33462397484</v>
      </c>
      <c r="U248" s="7" t="s">
        <v>3096</v>
      </c>
    </row>
    <row r="249" spans="1:21" ht="16.5" thickBot="1">
      <c r="A249" s="41" t="s">
        <v>31</v>
      </c>
      <c r="B249" s="42">
        <f t="shared" si="12"/>
        <v>140</v>
      </c>
      <c r="C249" s="42" t="s">
        <v>3</v>
      </c>
      <c r="D249" s="42">
        <f t="shared" si="13"/>
        <v>300</v>
      </c>
      <c r="E249" s="42" t="s">
        <v>3</v>
      </c>
      <c r="F249" s="90">
        <f t="shared" si="14"/>
        <v>2350</v>
      </c>
      <c r="G249" s="42" t="s">
        <v>3</v>
      </c>
      <c r="H249" s="39">
        <v>8</v>
      </c>
      <c r="I249" s="40" t="s">
        <v>42</v>
      </c>
      <c r="J249" s="149">
        <v>140</v>
      </c>
      <c r="K249" s="66">
        <v>300</v>
      </c>
      <c r="L249" s="66">
        <v>2350</v>
      </c>
      <c r="M249" s="164">
        <v>32.694236145744163</v>
      </c>
      <c r="N249" s="78">
        <v>2322.9479999999999</v>
      </c>
      <c r="O249" s="113">
        <v>65186.003416269901</v>
      </c>
      <c r="P249" s="111">
        <v>76559.451370174516</v>
      </c>
      <c r="Q249" s="110">
        <v>31039.142730135216</v>
      </c>
      <c r="R249" s="258">
        <v>96225.14614640511</v>
      </c>
      <c r="S249" s="259">
        <v>107598.59410030974</v>
      </c>
      <c r="U249" s="7" t="s">
        <v>3097</v>
      </c>
    </row>
    <row r="250" spans="1:21" ht="16.5" thickBot="1">
      <c r="A250" s="41" t="s">
        <v>31</v>
      </c>
      <c r="B250" s="42">
        <f t="shared" si="12"/>
        <v>140</v>
      </c>
      <c r="C250" s="42" t="s">
        <v>3</v>
      </c>
      <c r="D250" s="42">
        <f t="shared" si="13"/>
        <v>300</v>
      </c>
      <c r="E250" s="42" t="s">
        <v>3</v>
      </c>
      <c r="F250" s="90">
        <f t="shared" si="14"/>
        <v>2400</v>
      </c>
      <c r="G250" s="42" t="s">
        <v>3</v>
      </c>
      <c r="H250" s="39">
        <v>8</v>
      </c>
      <c r="I250" s="40" t="s">
        <v>42</v>
      </c>
      <c r="J250" s="149">
        <v>140</v>
      </c>
      <c r="K250" s="66">
        <v>300</v>
      </c>
      <c r="L250" s="66">
        <v>2400</v>
      </c>
      <c r="M250" s="164">
        <v>33.359554505469916</v>
      </c>
      <c r="N250" s="78">
        <v>2381.0216999999998</v>
      </c>
      <c r="O250" s="113">
        <v>66419.489329099713</v>
      </c>
      <c r="P250" s="111">
        <v>78015.735075753881</v>
      </c>
      <c r="Q250" s="110">
        <v>31562.784363106966</v>
      </c>
      <c r="R250" s="258">
        <v>97982.273692206683</v>
      </c>
      <c r="S250" s="259">
        <v>109578.51943886085</v>
      </c>
      <c r="U250" s="7" t="s">
        <v>3098</v>
      </c>
    </row>
    <row r="251" spans="1:21" ht="16.5" thickBot="1">
      <c r="A251" s="41" t="s">
        <v>31</v>
      </c>
      <c r="B251" s="42">
        <f t="shared" si="12"/>
        <v>140</v>
      </c>
      <c r="C251" s="42" t="s">
        <v>3</v>
      </c>
      <c r="D251" s="42">
        <f t="shared" si="13"/>
        <v>300</v>
      </c>
      <c r="E251" s="42" t="s">
        <v>3</v>
      </c>
      <c r="F251" s="90">
        <f t="shared" si="14"/>
        <v>2450</v>
      </c>
      <c r="G251" s="42" t="s">
        <v>3</v>
      </c>
      <c r="H251" s="39">
        <v>8</v>
      </c>
      <c r="I251" s="40" t="s">
        <v>42</v>
      </c>
      <c r="J251" s="149">
        <v>140</v>
      </c>
      <c r="K251" s="66">
        <v>300</v>
      </c>
      <c r="L251" s="66">
        <v>2450</v>
      </c>
      <c r="M251" s="164">
        <v>34.206855704608088</v>
      </c>
      <c r="N251" s="78">
        <v>2439.0954000000002</v>
      </c>
      <c r="O251" s="113">
        <v>68420.622006036923</v>
      </c>
      <c r="P251" s="111">
        <v>80193.653927544219</v>
      </c>
      <c r="Q251" s="110">
        <v>32337.760286891244</v>
      </c>
      <c r="R251" s="258">
        <v>100758.38229292817</v>
      </c>
      <c r="S251" s="259">
        <v>112531.41421443547</v>
      </c>
      <c r="U251" s="7" t="s">
        <v>3099</v>
      </c>
    </row>
    <row r="252" spans="1:21" ht="16.5" thickBot="1">
      <c r="A252" s="41" t="s">
        <v>31</v>
      </c>
      <c r="B252" s="42">
        <f t="shared" si="12"/>
        <v>140</v>
      </c>
      <c r="C252" s="42" t="s">
        <v>3</v>
      </c>
      <c r="D252" s="42">
        <f t="shared" si="13"/>
        <v>300</v>
      </c>
      <c r="E252" s="42" t="s">
        <v>3</v>
      </c>
      <c r="F252" s="90">
        <f t="shared" si="14"/>
        <v>2500</v>
      </c>
      <c r="G252" s="42" t="s">
        <v>3</v>
      </c>
      <c r="H252" s="39">
        <v>8</v>
      </c>
      <c r="I252" s="40" t="s">
        <v>42</v>
      </c>
      <c r="J252" s="149">
        <v>140</v>
      </c>
      <c r="K252" s="66">
        <v>300</v>
      </c>
      <c r="L252" s="66">
        <v>2500</v>
      </c>
      <c r="M252" s="164">
        <v>34.872174064333841</v>
      </c>
      <c r="N252" s="78">
        <v>2497.1690999999996</v>
      </c>
      <c r="O252" s="113">
        <v>69654.108071895505</v>
      </c>
      <c r="P252" s="111">
        <v>81649.937633123598</v>
      </c>
      <c r="Q252" s="110">
        <v>32861.40191986299</v>
      </c>
      <c r="R252" s="258">
        <v>102515.5099917585</v>
      </c>
      <c r="S252" s="259">
        <v>114511.33955298658</v>
      </c>
      <c r="U252" s="7" t="s">
        <v>3100</v>
      </c>
    </row>
    <row r="253" spans="1:21" ht="16.5" thickBot="1">
      <c r="A253" s="41" t="s">
        <v>31</v>
      </c>
      <c r="B253" s="42">
        <f t="shared" si="12"/>
        <v>140</v>
      </c>
      <c r="C253" s="42" t="s">
        <v>3</v>
      </c>
      <c r="D253" s="42">
        <f t="shared" si="13"/>
        <v>300</v>
      </c>
      <c r="E253" s="42" t="s">
        <v>3</v>
      </c>
      <c r="F253" s="90">
        <f t="shared" si="14"/>
        <v>2550</v>
      </c>
      <c r="G253" s="42" t="s">
        <v>3</v>
      </c>
      <c r="H253" s="39">
        <v>8</v>
      </c>
      <c r="I253" s="40" t="s">
        <v>42</v>
      </c>
      <c r="J253" s="149">
        <v>140</v>
      </c>
      <c r="K253" s="66">
        <v>300</v>
      </c>
      <c r="L253" s="66">
        <v>2550</v>
      </c>
      <c r="M253" s="164">
        <v>35.554327944059594</v>
      </c>
      <c r="N253" s="78">
        <v>2555.2428</v>
      </c>
      <c r="O253" s="113">
        <v>70887.593984725347</v>
      </c>
      <c r="P253" s="111">
        <v>83106.221338702977</v>
      </c>
      <c r="Q253" s="110">
        <v>33636.377843647271</v>
      </c>
      <c r="R253" s="258">
        <v>104523.97182837263</v>
      </c>
      <c r="S253" s="259">
        <v>116742.59918235024</v>
      </c>
      <c r="U253" s="7" t="s">
        <v>3101</v>
      </c>
    </row>
    <row r="254" spans="1:21" ht="16.5" thickBot="1">
      <c r="A254" s="38" t="s">
        <v>31</v>
      </c>
      <c r="B254" s="39">
        <f t="shared" si="12"/>
        <v>140</v>
      </c>
      <c r="C254" s="39" t="s">
        <v>3</v>
      </c>
      <c r="D254" s="39">
        <f t="shared" si="13"/>
        <v>300</v>
      </c>
      <c r="E254" s="39" t="s">
        <v>3</v>
      </c>
      <c r="F254" s="90">
        <f t="shared" si="14"/>
        <v>2600</v>
      </c>
      <c r="G254" s="39" t="s">
        <v>3</v>
      </c>
      <c r="H254" s="39">
        <v>8</v>
      </c>
      <c r="I254" s="40" t="s">
        <v>42</v>
      </c>
      <c r="J254" s="149">
        <v>140</v>
      </c>
      <c r="K254" s="66">
        <v>300</v>
      </c>
      <c r="L254" s="66">
        <v>2600</v>
      </c>
      <c r="M254" s="164">
        <v>36.21964630378536</v>
      </c>
      <c r="N254" s="78">
        <v>2613.3164999999999</v>
      </c>
      <c r="O254" s="113">
        <v>72121.079897555159</v>
      </c>
      <c r="P254" s="111">
        <v>84562.505044282341</v>
      </c>
      <c r="Q254" s="110">
        <v>34160.019476619018</v>
      </c>
      <c r="R254" s="258">
        <v>106281.09937417417</v>
      </c>
      <c r="S254" s="259">
        <v>118722.52452090135</v>
      </c>
      <c r="U254" s="7" t="s">
        <v>3102</v>
      </c>
    </row>
    <row r="255" spans="1:21" ht="16.5" thickBot="1">
      <c r="A255" s="41" t="s">
        <v>31</v>
      </c>
      <c r="B255" s="42">
        <f t="shared" si="12"/>
        <v>140</v>
      </c>
      <c r="C255" s="42" t="s">
        <v>3</v>
      </c>
      <c r="D255" s="42">
        <f t="shared" si="13"/>
        <v>300</v>
      </c>
      <c r="E255" s="42" t="s">
        <v>3</v>
      </c>
      <c r="F255" s="90">
        <f t="shared" si="14"/>
        <v>2650</v>
      </c>
      <c r="G255" s="42" t="s">
        <v>3</v>
      </c>
      <c r="H255" s="39">
        <v>8</v>
      </c>
      <c r="I255" s="40" t="s">
        <v>42</v>
      </c>
      <c r="J255" s="149">
        <v>140</v>
      </c>
      <c r="K255" s="66">
        <v>300</v>
      </c>
      <c r="L255" s="66">
        <v>2650</v>
      </c>
      <c r="M255" s="164">
        <v>36.901800183511121</v>
      </c>
      <c r="N255" s="78">
        <v>2671.3901999999998</v>
      </c>
      <c r="O255" s="113">
        <v>73354.565963413741</v>
      </c>
      <c r="P255" s="111">
        <v>86018.78890289049</v>
      </c>
      <c r="Q255" s="110">
        <v>34934.995247374536</v>
      </c>
      <c r="R255" s="258">
        <v>108289.56121078828</v>
      </c>
      <c r="S255" s="259">
        <v>120953.78415026503</v>
      </c>
      <c r="U255" s="7" t="s">
        <v>3103</v>
      </c>
    </row>
    <row r="256" spans="1:21" ht="16.5" thickBot="1">
      <c r="A256" s="41" t="s">
        <v>31</v>
      </c>
      <c r="B256" s="42">
        <f t="shared" si="12"/>
        <v>140</v>
      </c>
      <c r="C256" s="42" t="s">
        <v>3</v>
      </c>
      <c r="D256" s="42">
        <f t="shared" si="13"/>
        <v>300</v>
      </c>
      <c r="E256" s="42" t="s">
        <v>3</v>
      </c>
      <c r="F256" s="90">
        <f t="shared" si="14"/>
        <v>2700</v>
      </c>
      <c r="G256" s="42" t="s">
        <v>3</v>
      </c>
      <c r="H256" s="39">
        <v>8</v>
      </c>
      <c r="I256" s="40" t="s">
        <v>42</v>
      </c>
      <c r="J256" s="149">
        <v>140</v>
      </c>
      <c r="K256" s="66">
        <v>300</v>
      </c>
      <c r="L256" s="66">
        <v>2700</v>
      </c>
      <c r="M256" s="164">
        <v>37.722234543236887</v>
      </c>
      <c r="N256" s="78">
        <v>2729.4638999999997</v>
      </c>
      <c r="O256" s="113">
        <v>74756.248393481452</v>
      </c>
      <c r="P256" s="111">
        <v>87644.295948721745</v>
      </c>
      <c r="Q256" s="110">
        <v>35458.637033375046</v>
      </c>
      <c r="R256" s="258">
        <v>110214.88542685649</v>
      </c>
      <c r="S256" s="259">
        <v>123102.9329820968</v>
      </c>
      <c r="U256" s="7" t="s">
        <v>3104</v>
      </c>
    </row>
    <row r="257" spans="1:21" ht="16.5" thickBot="1">
      <c r="A257" s="41" t="s">
        <v>31</v>
      </c>
      <c r="B257" s="42">
        <f t="shared" si="12"/>
        <v>140</v>
      </c>
      <c r="C257" s="42" t="s">
        <v>3</v>
      </c>
      <c r="D257" s="42">
        <f t="shared" si="13"/>
        <v>300</v>
      </c>
      <c r="E257" s="42" t="s">
        <v>3</v>
      </c>
      <c r="F257" s="90">
        <f t="shared" si="14"/>
        <v>2750</v>
      </c>
      <c r="G257" s="42" t="s">
        <v>3</v>
      </c>
      <c r="H257" s="39">
        <v>8</v>
      </c>
      <c r="I257" s="40" t="s">
        <v>42</v>
      </c>
      <c r="J257" s="149">
        <v>140</v>
      </c>
      <c r="K257" s="66">
        <v>300</v>
      </c>
      <c r="L257" s="66">
        <v>2750</v>
      </c>
      <c r="M257" s="164">
        <v>38.387552902962639</v>
      </c>
      <c r="N257" s="78">
        <v>2787.5375999999997</v>
      </c>
      <c r="O257" s="113">
        <v>75989.734306311278</v>
      </c>
      <c r="P257" s="111">
        <v>89100.579654301124</v>
      </c>
      <c r="Q257" s="110">
        <v>35982.278666346792</v>
      </c>
      <c r="R257" s="258">
        <v>111972.01297265806</v>
      </c>
      <c r="S257" s="259">
        <v>125082.85832064791</v>
      </c>
      <c r="U257" s="7" t="s">
        <v>3105</v>
      </c>
    </row>
    <row r="258" spans="1:21" ht="16.5" thickBot="1">
      <c r="A258" s="41" t="s">
        <v>31</v>
      </c>
      <c r="B258" s="42">
        <f t="shared" si="12"/>
        <v>140</v>
      </c>
      <c r="C258" s="42" t="s">
        <v>3</v>
      </c>
      <c r="D258" s="42">
        <f t="shared" si="13"/>
        <v>300</v>
      </c>
      <c r="E258" s="42" t="s">
        <v>3</v>
      </c>
      <c r="F258" s="90">
        <f t="shared" si="14"/>
        <v>2800</v>
      </c>
      <c r="G258" s="42" t="s">
        <v>3</v>
      </c>
      <c r="H258" s="39">
        <v>8</v>
      </c>
      <c r="I258" s="40" t="s">
        <v>42</v>
      </c>
      <c r="J258" s="149">
        <v>140</v>
      </c>
      <c r="K258" s="66">
        <v>300</v>
      </c>
      <c r="L258" s="66">
        <v>2800</v>
      </c>
      <c r="M258" s="164">
        <v>39.069706782688407</v>
      </c>
      <c r="N258" s="78">
        <v>2845.6113</v>
      </c>
      <c r="O258" s="113">
        <v>77223.220372169861</v>
      </c>
      <c r="P258" s="111">
        <v>90556.863512909258</v>
      </c>
      <c r="Q258" s="110">
        <v>36757.25443710231</v>
      </c>
      <c r="R258" s="258">
        <v>113980.47480927217</v>
      </c>
      <c r="S258" s="259">
        <v>127314.11795001157</v>
      </c>
      <c r="U258" s="7" t="s">
        <v>3106</v>
      </c>
    </row>
    <row r="259" spans="1:21" ht="16.5" thickBot="1">
      <c r="A259" s="41" t="s">
        <v>31</v>
      </c>
      <c r="B259" s="42">
        <f t="shared" si="12"/>
        <v>140</v>
      </c>
      <c r="C259" s="42" t="s">
        <v>3</v>
      </c>
      <c r="D259" s="42">
        <f t="shared" si="13"/>
        <v>300</v>
      </c>
      <c r="E259" s="42" t="s">
        <v>3</v>
      </c>
      <c r="F259" s="90">
        <f t="shared" si="14"/>
        <v>2850</v>
      </c>
      <c r="G259" s="42" t="s">
        <v>3</v>
      </c>
      <c r="H259" s="39">
        <v>8</v>
      </c>
      <c r="I259" s="40" t="s">
        <v>42</v>
      </c>
      <c r="J259" s="149">
        <v>140</v>
      </c>
      <c r="K259" s="66">
        <v>300</v>
      </c>
      <c r="L259" s="66">
        <v>2850</v>
      </c>
      <c r="M259" s="164">
        <v>39.735025142414159</v>
      </c>
      <c r="N259" s="78">
        <v>2903.6849999999999</v>
      </c>
      <c r="O259" s="113">
        <v>78456.706284999687</v>
      </c>
      <c r="P259" s="111">
        <v>92013.147218488637</v>
      </c>
      <c r="Q259" s="110">
        <v>37280.89622310282</v>
      </c>
      <c r="R259" s="258">
        <v>115737.60250810251</v>
      </c>
      <c r="S259" s="259">
        <v>129294.04344159146</v>
      </c>
      <c r="U259" s="7" t="s">
        <v>3107</v>
      </c>
    </row>
    <row r="260" spans="1:21" ht="16.5" thickBot="1">
      <c r="A260" s="41" t="s">
        <v>31</v>
      </c>
      <c r="B260" s="42">
        <f t="shared" si="12"/>
        <v>140</v>
      </c>
      <c r="C260" s="42" t="s">
        <v>3</v>
      </c>
      <c r="D260" s="42">
        <f t="shared" si="13"/>
        <v>300</v>
      </c>
      <c r="E260" s="42" t="s">
        <v>3</v>
      </c>
      <c r="F260" s="90">
        <f t="shared" si="14"/>
        <v>2900</v>
      </c>
      <c r="G260" s="42" t="s">
        <v>3</v>
      </c>
      <c r="H260" s="39">
        <v>8</v>
      </c>
      <c r="I260" s="40" t="s">
        <v>42</v>
      </c>
      <c r="J260" s="149">
        <v>140</v>
      </c>
      <c r="K260" s="66">
        <v>300</v>
      </c>
      <c r="L260" s="66">
        <v>2900</v>
      </c>
      <c r="M260" s="164">
        <v>40.417179022139919</v>
      </c>
      <c r="N260" s="78">
        <v>2961.7586999999994</v>
      </c>
      <c r="O260" s="113">
        <v>79690.192197829499</v>
      </c>
      <c r="P260" s="111">
        <v>93469.430924068016</v>
      </c>
      <c r="Q260" s="110">
        <v>38055.871993858338</v>
      </c>
      <c r="R260" s="258">
        <v>117746.06419168784</v>
      </c>
      <c r="S260" s="259">
        <v>131525.30291792634</v>
      </c>
      <c r="U260" s="7" t="s">
        <v>3108</v>
      </c>
    </row>
    <row r="261" spans="1:21" ht="16.5" thickBot="1">
      <c r="A261" s="41" t="s">
        <v>31</v>
      </c>
      <c r="B261" s="42">
        <f t="shared" si="12"/>
        <v>140</v>
      </c>
      <c r="C261" s="42" t="s">
        <v>3</v>
      </c>
      <c r="D261" s="42">
        <f t="shared" si="13"/>
        <v>300</v>
      </c>
      <c r="E261" s="42" t="s">
        <v>3</v>
      </c>
      <c r="F261" s="90">
        <f t="shared" si="14"/>
        <v>2950</v>
      </c>
      <c r="G261" s="42" t="s">
        <v>3</v>
      </c>
      <c r="H261" s="39">
        <v>8</v>
      </c>
      <c r="I261" s="40" t="s">
        <v>42</v>
      </c>
      <c r="J261" s="149">
        <v>140</v>
      </c>
      <c r="K261" s="66">
        <v>300</v>
      </c>
      <c r="L261" s="66">
        <v>2950</v>
      </c>
      <c r="M261" s="164">
        <v>41.082497381865679</v>
      </c>
      <c r="N261" s="78">
        <v>3019.8323999999998</v>
      </c>
      <c r="O261" s="113">
        <v>80923.678110659326</v>
      </c>
      <c r="P261" s="111">
        <v>94925.71462964738</v>
      </c>
      <c r="Q261" s="110">
        <v>38579.513779858848</v>
      </c>
      <c r="R261" s="258">
        <v>119503.19189051818</v>
      </c>
      <c r="S261" s="259">
        <v>133505.22840950624</v>
      </c>
      <c r="U261" s="7" t="s">
        <v>3109</v>
      </c>
    </row>
    <row r="262" spans="1:21" ht="16.5" thickBot="1">
      <c r="A262" s="43" t="s">
        <v>31</v>
      </c>
      <c r="B262" s="44">
        <f t="shared" si="12"/>
        <v>140</v>
      </c>
      <c r="C262" s="44" t="s">
        <v>3</v>
      </c>
      <c r="D262" s="44">
        <f t="shared" si="13"/>
        <v>300</v>
      </c>
      <c r="E262" s="44" t="s">
        <v>3</v>
      </c>
      <c r="F262" s="91">
        <f t="shared" si="14"/>
        <v>3000</v>
      </c>
      <c r="G262" s="44" t="s">
        <v>3</v>
      </c>
      <c r="H262" s="46">
        <v>8</v>
      </c>
      <c r="I262" s="45" t="s">
        <v>42</v>
      </c>
      <c r="J262" s="149">
        <v>140</v>
      </c>
      <c r="K262" s="126">
        <v>300</v>
      </c>
      <c r="L262" s="126">
        <v>3000</v>
      </c>
      <c r="M262" s="171">
        <v>41.764651261591439</v>
      </c>
      <c r="N262" s="127">
        <v>3077.9060999999997</v>
      </c>
      <c r="O262" s="128">
        <v>83438.085639903657</v>
      </c>
      <c r="P262" s="135">
        <v>96381.998488255529</v>
      </c>
      <c r="Q262" s="136">
        <v>39354.489550614366</v>
      </c>
      <c r="R262" s="260">
        <v>122792.57519051802</v>
      </c>
      <c r="S262" s="261">
        <v>135736.48803886989</v>
      </c>
      <c r="U262" s="7" t="s">
        <v>3110</v>
      </c>
    </row>
    <row r="263" spans="1:21" ht="22.5" customHeight="1" thickBot="1">
      <c r="A263" s="3010" t="s">
        <v>44</v>
      </c>
      <c r="B263" s="3011"/>
      <c r="C263" s="3011"/>
      <c r="D263" s="3011"/>
      <c r="E263" s="3011"/>
      <c r="F263" s="3011"/>
      <c r="G263" s="3011"/>
      <c r="H263" s="3011"/>
      <c r="I263" s="3011"/>
      <c r="J263" s="3011"/>
      <c r="K263" s="3011"/>
      <c r="L263" s="3011"/>
      <c r="M263" s="3011"/>
      <c r="N263" s="3011"/>
      <c r="O263" s="3011"/>
      <c r="P263" s="3011"/>
      <c r="Q263" s="3011"/>
      <c r="R263" s="3011"/>
      <c r="S263" s="3012"/>
      <c r="U263" s="7"/>
    </row>
    <row r="264" spans="1:21" ht="16.5" thickBot="1">
      <c r="A264" s="2974" t="s">
        <v>148</v>
      </c>
      <c r="B264" s="2975"/>
      <c r="C264" s="2975"/>
      <c r="D264" s="2975"/>
      <c r="E264" s="2975"/>
      <c r="F264" s="2975"/>
      <c r="G264" s="2975"/>
      <c r="H264" s="2975"/>
      <c r="I264" s="2975"/>
      <c r="J264" s="2975"/>
      <c r="K264" s="2975"/>
      <c r="L264" s="2975"/>
      <c r="M264" s="2975"/>
      <c r="N264" s="2975"/>
      <c r="O264" s="2975"/>
      <c r="P264" s="2975"/>
      <c r="Q264" s="2975"/>
      <c r="R264" s="2975"/>
      <c r="S264" s="2976"/>
      <c r="U264" s="7"/>
    </row>
    <row r="265" spans="1:21" ht="16.5" thickBot="1">
      <c r="A265" s="38" t="s">
        <v>31</v>
      </c>
      <c r="B265" s="39">
        <f>J265</f>
        <v>140</v>
      </c>
      <c r="C265" s="39" t="s">
        <v>3</v>
      </c>
      <c r="D265" s="39">
        <f>K265</f>
        <v>360</v>
      </c>
      <c r="E265" s="39" t="s">
        <v>3</v>
      </c>
      <c r="F265" s="90">
        <f>L265</f>
        <v>600</v>
      </c>
      <c r="G265" s="39" t="s">
        <v>3</v>
      </c>
      <c r="H265" s="39">
        <v>6</v>
      </c>
      <c r="I265" s="40" t="s">
        <v>42</v>
      </c>
      <c r="J265" s="146">
        <v>140</v>
      </c>
      <c r="K265" s="122">
        <v>360</v>
      </c>
      <c r="L265" s="122">
        <v>600</v>
      </c>
      <c r="M265" s="163">
        <v>8.8558008154790198</v>
      </c>
      <c r="N265" s="123">
        <v>278.42070062298762</v>
      </c>
      <c r="O265" s="124">
        <v>18795.872082908147</v>
      </c>
      <c r="P265" s="148">
        <v>23143.292745320639</v>
      </c>
      <c r="Q265" s="139">
        <v>10032.760953270536</v>
      </c>
      <c r="R265" s="256">
        <v>28828.633036178682</v>
      </c>
      <c r="S265" s="257">
        <v>33176.053698591175</v>
      </c>
      <c r="U265" s="7" t="s">
        <v>3111</v>
      </c>
    </row>
    <row r="266" spans="1:21" ht="16.5" thickBot="1">
      <c r="A266" s="41" t="s">
        <v>31</v>
      </c>
      <c r="B266" s="42">
        <f t="shared" ref="B266:B313" si="15">J266</f>
        <v>140</v>
      </c>
      <c r="C266" s="42" t="s">
        <v>3</v>
      </c>
      <c r="D266" s="42">
        <f t="shared" ref="D266:D313" si="16">K266</f>
        <v>360</v>
      </c>
      <c r="E266" s="42" t="s">
        <v>3</v>
      </c>
      <c r="F266" s="90">
        <f t="shared" ref="F266:F313" si="17">L266</f>
        <v>650</v>
      </c>
      <c r="G266" s="42" t="s">
        <v>3</v>
      </c>
      <c r="H266" s="39">
        <v>6</v>
      </c>
      <c r="I266" s="40" t="s">
        <v>42</v>
      </c>
      <c r="J266" s="149">
        <v>140</v>
      </c>
      <c r="K266" s="66">
        <v>360</v>
      </c>
      <c r="L266" s="66">
        <v>650</v>
      </c>
      <c r="M266" s="164">
        <v>9.5025034491033402</v>
      </c>
      <c r="N266" s="78">
        <v>334.10484074758511</v>
      </c>
      <c r="O266" s="113">
        <v>19811.667844081992</v>
      </c>
      <c r="P266" s="111">
        <v>24429.16468925817</v>
      </c>
      <c r="Q266" s="110">
        <v>10636.181837508726</v>
      </c>
      <c r="R266" s="258">
        <v>30447.84968159072</v>
      </c>
      <c r="S266" s="259">
        <v>35065.346526766894</v>
      </c>
      <c r="U266" s="7" t="s">
        <v>3112</v>
      </c>
    </row>
    <row r="267" spans="1:21" ht="16.5" thickBot="1">
      <c r="A267" s="41" t="s">
        <v>31</v>
      </c>
      <c r="B267" s="42">
        <f t="shared" si="15"/>
        <v>140</v>
      </c>
      <c r="C267" s="42" t="s">
        <v>3</v>
      </c>
      <c r="D267" s="42">
        <f t="shared" si="16"/>
        <v>360</v>
      </c>
      <c r="E267" s="42" t="s">
        <v>3</v>
      </c>
      <c r="F267" s="90">
        <f t="shared" si="17"/>
        <v>700</v>
      </c>
      <c r="G267" s="42" t="s">
        <v>3</v>
      </c>
      <c r="H267" s="39">
        <v>6</v>
      </c>
      <c r="I267" s="40" t="s">
        <v>42</v>
      </c>
      <c r="J267" s="149">
        <v>140</v>
      </c>
      <c r="K267" s="66">
        <v>360</v>
      </c>
      <c r="L267" s="66">
        <v>700</v>
      </c>
      <c r="M267" s="164">
        <v>10.149206082727661</v>
      </c>
      <c r="N267" s="78">
        <v>389.78898087218266</v>
      </c>
      <c r="O267" s="113">
        <v>20828.195388810662</v>
      </c>
      <c r="P267" s="111">
        <v>25715.408034008662</v>
      </c>
      <c r="Q267" s="110">
        <v>11490.936859530682</v>
      </c>
      <c r="R267" s="258">
        <v>32319.132248341346</v>
      </c>
      <c r="S267" s="259">
        <v>37206.344893539346</v>
      </c>
      <c r="U267" s="7" t="s">
        <v>3113</v>
      </c>
    </row>
    <row r="268" spans="1:21" ht="16.5" thickBot="1">
      <c r="A268" s="41" t="s">
        <v>31</v>
      </c>
      <c r="B268" s="42">
        <f t="shared" si="15"/>
        <v>140</v>
      </c>
      <c r="C268" s="42" t="s">
        <v>3</v>
      </c>
      <c r="D268" s="42">
        <f t="shared" si="16"/>
        <v>360</v>
      </c>
      <c r="E268" s="42" t="s">
        <v>3</v>
      </c>
      <c r="F268" s="90">
        <f t="shared" si="17"/>
        <v>750</v>
      </c>
      <c r="G268" s="42" t="s">
        <v>3</v>
      </c>
      <c r="H268" s="39">
        <v>6</v>
      </c>
      <c r="I268" s="40" t="s">
        <v>42</v>
      </c>
      <c r="J268" s="149">
        <v>140</v>
      </c>
      <c r="K268" s="66">
        <v>360</v>
      </c>
      <c r="L268" s="66">
        <v>750</v>
      </c>
      <c r="M268" s="164">
        <v>10.795908716351979</v>
      </c>
      <c r="N268" s="78">
        <v>445.47312099678021</v>
      </c>
      <c r="O268" s="113">
        <v>21845.337650088837</v>
      </c>
      <c r="P268" s="111">
        <v>27001.964628641363</v>
      </c>
      <c r="Q268" s="110">
        <v>12094.357743768871</v>
      </c>
      <c r="R268" s="258">
        <v>33939.695393857706</v>
      </c>
      <c r="S268" s="259">
        <v>39096.322372410235</v>
      </c>
      <c r="U268" s="7" t="s">
        <v>3114</v>
      </c>
    </row>
    <row r="269" spans="1:21" ht="16.5" thickBot="1">
      <c r="A269" s="41" t="s">
        <v>31</v>
      </c>
      <c r="B269" s="42">
        <f t="shared" si="15"/>
        <v>140</v>
      </c>
      <c r="C269" s="42" t="s">
        <v>3</v>
      </c>
      <c r="D269" s="42">
        <f t="shared" si="16"/>
        <v>360</v>
      </c>
      <c r="E269" s="42" t="s">
        <v>3</v>
      </c>
      <c r="F269" s="90">
        <f t="shared" si="17"/>
        <v>800</v>
      </c>
      <c r="G269" s="42" t="s">
        <v>3</v>
      </c>
      <c r="H269" s="39">
        <v>6</v>
      </c>
      <c r="I269" s="40" t="s">
        <v>42</v>
      </c>
      <c r="J269" s="149">
        <v>140</v>
      </c>
      <c r="K269" s="66">
        <v>360</v>
      </c>
      <c r="L269" s="66">
        <v>800</v>
      </c>
      <c r="M269" s="164">
        <v>11.4426113499763</v>
      </c>
      <c r="N269" s="78">
        <v>501.15726112137776</v>
      </c>
      <c r="O269" s="113">
        <v>22863.000668254736</v>
      </c>
      <c r="P269" s="111">
        <v>28288.78779938291</v>
      </c>
      <c r="Q269" s="110">
        <v>12697.77862800706</v>
      </c>
      <c r="R269" s="258">
        <v>35560.779296261797</v>
      </c>
      <c r="S269" s="259">
        <v>40986.566427389967</v>
      </c>
      <c r="U269" s="7" t="s">
        <v>3115</v>
      </c>
    </row>
    <row r="270" spans="1:21" ht="16.5" thickBot="1">
      <c r="A270" s="41" t="s">
        <v>31</v>
      </c>
      <c r="B270" s="42">
        <f t="shared" si="15"/>
        <v>140</v>
      </c>
      <c r="C270" s="42" t="s">
        <v>3</v>
      </c>
      <c r="D270" s="42">
        <f t="shared" si="16"/>
        <v>360</v>
      </c>
      <c r="E270" s="42" t="s">
        <v>3</v>
      </c>
      <c r="F270" s="90">
        <f t="shared" si="17"/>
        <v>850</v>
      </c>
      <c r="G270" s="42" t="s">
        <v>3</v>
      </c>
      <c r="H270" s="39">
        <v>6</v>
      </c>
      <c r="I270" s="40" t="s">
        <v>42</v>
      </c>
      <c r="J270" s="149">
        <v>140</v>
      </c>
      <c r="K270" s="66">
        <v>360</v>
      </c>
      <c r="L270" s="66">
        <v>850</v>
      </c>
      <c r="M270" s="164">
        <v>12.08931398360062</v>
      </c>
      <c r="N270" s="78">
        <v>556.84140124597525</v>
      </c>
      <c r="O270" s="113">
        <v>23881.10915315591</v>
      </c>
      <c r="P270" s="111">
        <v>29575.839901157087</v>
      </c>
      <c r="Q270" s="110">
        <v>13552.533650029018</v>
      </c>
      <c r="R270" s="258">
        <v>37433.642803184928</v>
      </c>
      <c r="S270" s="259">
        <v>43128.373551186101</v>
      </c>
      <c r="U270" s="7" t="s">
        <v>3116</v>
      </c>
    </row>
    <row r="271" spans="1:21" ht="16.5" thickBot="1">
      <c r="A271" s="41" t="s">
        <v>31</v>
      </c>
      <c r="B271" s="42">
        <f t="shared" si="15"/>
        <v>140</v>
      </c>
      <c r="C271" s="42" t="s">
        <v>3</v>
      </c>
      <c r="D271" s="42">
        <f t="shared" si="16"/>
        <v>360</v>
      </c>
      <c r="E271" s="42" t="s">
        <v>3</v>
      </c>
      <c r="F271" s="90">
        <f t="shared" si="17"/>
        <v>900</v>
      </c>
      <c r="G271" s="42" t="s">
        <v>3</v>
      </c>
      <c r="H271" s="39">
        <v>6</v>
      </c>
      <c r="I271" s="40" t="s">
        <v>42</v>
      </c>
      <c r="J271" s="149">
        <v>140</v>
      </c>
      <c r="K271" s="66">
        <v>360</v>
      </c>
      <c r="L271" s="66">
        <v>900</v>
      </c>
      <c r="M271" s="164">
        <v>12.736016617224941</v>
      </c>
      <c r="N271" s="78">
        <v>612.5255413705728</v>
      </c>
      <c r="O271" s="113">
        <v>24899.60143420002</v>
      </c>
      <c r="P271" s="111">
        <v>30863.089563067038</v>
      </c>
      <c r="Q271" s="110">
        <v>14155.954534267206</v>
      </c>
      <c r="R271" s="258">
        <v>39055.555968467226</v>
      </c>
      <c r="S271" s="259">
        <v>45019.044097334248</v>
      </c>
      <c r="U271" s="7" t="s">
        <v>3117</v>
      </c>
    </row>
    <row r="272" spans="1:21" ht="16.5" thickBot="1">
      <c r="A272" s="41" t="s">
        <v>31</v>
      </c>
      <c r="B272" s="42">
        <f t="shared" si="15"/>
        <v>140</v>
      </c>
      <c r="C272" s="42" t="s">
        <v>3</v>
      </c>
      <c r="D272" s="42">
        <f t="shared" si="16"/>
        <v>360</v>
      </c>
      <c r="E272" s="42" t="s">
        <v>3</v>
      </c>
      <c r="F272" s="90">
        <f t="shared" si="17"/>
        <v>950</v>
      </c>
      <c r="G272" s="42" t="s">
        <v>3</v>
      </c>
      <c r="H272" s="39">
        <v>6</v>
      </c>
      <c r="I272" s="40" t="s">
        <v>42</v>
      </c>
      <c r="J272" s="149">
        <v>140</v>
      </c>
      <c r="K272" s="66">
        <v>360</v>
      </c>
      <c r="L272" s="66">
        <v>950</v>
      </c>
      <c r="M272" s="164">
        <v>13.382719250849261</v>
      </c>
      <c r="N272" s="78">
        <v>668.20968149517023</v>
      </c>
      <c r="O272" s="113">
        <v>25918.426705837042</v>
      </c>
      <c r="P272" s="111">
        <v>32150.511535366524</v>
      </c>
      <c r="Q272" s="110">
        <v>15010.709556289165</v>
      </c>
      <c r="R272" s="258">
        <v>40929.136262126209</v>
      </c>
      <c r="S272" s="259">
        <v>47161.221091655687</v>
      </c>
      <c r="U272" s="7" t="s">
        <v>3118</v>
      </c>
    </row>
    <row r="273" spans="1:21" ht="16.5" thickBot="1">
      <c r="A273" s="41" t="s">
        <v>31</v>
      </c>
      <c r="B273" s="42">
        <f t="shared" si="15"/>
        <v>140</v>
      </c>
      <c r="C273" s="42" t="s">
        <v>3</v>
      </c>
      <c r="D273" s="42">
        <f t="shared" si="16"/>
        <v>360</v>
      </c>
      <c r="E273" s="42" t="s">
        <v>3</v>
      </c>
      <c r="F273" s="90">
        <f t="shared" si="17"/>
        <v>1000</v>
      </c>
      <c r="G273" s="42" t="s">
        <v>3</v>
      </c>
      <c r="H273" s="39">
        <v>6</v>
      </c>
      <c r="I273" s="40" t="s">
        <v>42</v>
      </c>
      <c r="J273" s="149">
        <v>140</v>
      </c>
      <c r="K273" s="66">
        <v>360</v>
      </c>
      <c r="L273" s="66">
        <v>1000</v>
      </c>
      <c r="M273" s="164">
        <v>14.029421884473582</v>
      </c>
      <c r="N273" s="78">
        <v>723.89382161976789</v>
      </c>
      <c r="O273" s="113">
        <v>26937.543038185337</v>
      </c>
      <c r="P273" s="111">
        <v>33438.084240999655</v>
      </c>
      <c r="Q273" s="110">
        <v>15614.130440527351</v>
      </c>
      <c r="R273" s="258">
        <v>42551.673478712692</v>
      </c>
      <c r="S273" s="259">
        <v>49052.21468152701</v>
      </c>
      <c r="U273" s="7" t="s">
        <v>3119</v>
      </c>
    </row>
    <row r="274" spans="1:21" ht="16.5" thickBot="1">
      <c r="A274" s="41" t="s">
        <v>31</v>
      </c>
      <c r="B274" s="42">
        <f t="shared" si="15"/>
        <v>140</v>
      </c>
      <c r="C274" s="42" t="s">
        <v>3</v>
      </c>
      <c r="D274" s="42">
        <f t="shared" si="16"/>
        <v>360</v>
      </c>
      <c r="E274" s="42" t="s">
        <v>3</v>
      </c>
      <c r="F274" s="90">
        <f t="shared" si="17"/>
        <v>1050</v>
      </c>
      <c r="G274" s="42" t="s">
        <v>3</v>
      </c>
      <c r="H274" s="39">
        <v>6</v>
      </c>
      <c r="I274" s="40" t="s">
        <v>42</v>
      </c>
      <c r="J274" s="149">
        <v>140</v>
      </c>
      <c r="K274" s="66">
        <v>360</v>
      </c>
      <c r="L274" s="66">
        <v>1050</v>
      </c>
      <c r="M274" s="164">
        <v>14.6761245180979</v>
      </c>
      <c r="N274" s="78">
        <v>779.57796174436533</v>
      </c>
      <c r="O274" s="113">
        <v>27967.182087509915</v>
      </c>
      <c r="P274" s="111">
        <v>34738.766767912282</v>
      </c>
      <c r="Q274" s="110">
        <v>16468.885462549311</v>
      </c>
      <c r="R274" s="258">
        <v>44436.067550059226</v>
      </c>
      <c r="S274" s="259">
        <v>51207.652230461594</v>
      </c>
      <c r="U274" s="7" t="s">
        <v>3120</v>
      </c>
    </row>
    <row r="275" spans="1:21" ht="16.5" thickBot="1">
      <c r="A275" s="38" t="s">
        <v>31</v>
      </c>
      <c r="B275" s="39">
        <f t="shared" si="15"/>
        <v>140</v>
      </c>
      <c r="C275" s="39" t="s">
        <v>3</v>
      </c>
      <c r="D275" s="39">
        <f t="shared" si="16"/>
        <v>360</v>
      </c>
      <c r="E275" s="39" t="s">
        <v>3</v>
      </c>
      <c r="F275" s="90">
        <f t="shared" si="17"/>
        <v>1100</v>
      </c>
      <c r="G275" s="39" t="s">
        <v>3</v>
      </c>
      <c r="H275" s="39">
        <v>6</v>
      </c>
      <c r="I275" s="40" t="s">
        <v>42</v>
      </c>
      <c r="J275" s="149">
        <v>140</v>
      </c>
      <c r="K275" s="66">
        <v>360</v>
      </c>
      <c r="L275" s="66">
        <v>1100</v>
      </c>
      <c r="M275" s="164">
        <v>15.322827151722221</v>
      </c>
      <c r="N275" s="78">
        <v>835.26210186896287</v>
      </c>
      <c r="O275" s="113">
        <v>28986.761025815176</v>
      </c>
      <c r="P275" s="111">
        <v>36026.57712721765</v>
      </c>
      <c r="Q275" s="110">
        <v>17072.3063467875</v>
      </c>
      <c r="R275" s="258">
        <v>46059.067372602673</v>
      </c>
      <c r="S275" s="259">
        <v>53098.883474005153</v>
      </c>
      <c r="U275" s="7" t="s">
        <v>3121</v>
      </c>
    </row>
    <row r="276" spans="1:21" ht="16.5" thickBot="1">
      <c r="A276" s="41" t="s">
        <v>31</v>
      </c>
      <c r="B276" s="42">
        <f t="shared" si="15"/>
        <v>140</v>
      </c>
      <c r="C276" s="42" t="s">
        <v>3</v>
      </c>
      <c r="D276" s="42">
        <f t="shared" si="16"/>
        <v>360</v>
      </c>
      <c r="E276" s="42" t="s">
        <v>3</v>
      </c>
      <c r="F276" s="90">
        <f t="shared" si="17"/>
        <v>1150</v>
      </c>
      <c r="G276" s="42" t="s">
        <v>3</v>
      </c>
      <c r="H276" s="39">
        <v>6</v>
      </c>
      <c r="I276" s="40" t="s">
        <v>42</v>
      </c>
      <c r="J276" s="149">
        <v>140</v>
      </c>
      <c r="K276" s="66">
        <v>360</v>
      </c>
      <c r="L276" s="66">
        <v>1150</v>
      </c>
      <c r="M276" s="164">
        <v>15.969529785346541</v>
      </c>
      <c r="N276" s="78">
        <v>890.94624199356042</v>
      </c>
      <c r="O276" s="113">
        <v>30006.54196209041</v>
      </c>
      <c r="P276" s="111">
        <v>37314.493076370956</v>
      </c>
      <c r="Q276" s="110">
        <v>17675.727231025689</v>
      </c>
      <c r="R276" s="258">
        <v>47682.269193116095</v>
      </c>
      <c r="S276" s="259">
        <v>54990.220307396645</v>
      </c>
      <c r="U276" s="7" t="s">
        <v>3122</v>
      </c>
    </row>
    <row r="277" spans="1:21" ht="16.5" thickBot="1">
      <c r="A277" s="41" t="s">
        <v>31</v>
      </c>
      <c r="B277" s="42">
        <f t="shared" si="15"/>
        <v>140</v>
      </c>
      <c r="C277" s="42" t="s">
        <v>3</v>
      </c>
      <c r="D277" s="42">
        <f t="shared" si="16"/>
        <v>360</v>
      </c>
      <c r="E277" s="42" t="s">
        <v>3</v>
      </c>
      <c r="F277" s="90">
        <f t="shared" si="17"/>
        <v>1200</v>
      </c>
      <c r="G277" s="42" t="s">
        <v>3</v>
      </c>
      <c r="H277" s="39">
        <v>6</v>
      </c>
      <c r="I277" s="40" t="s">
        <v>42</v>
      </c>
      <c r="J277" s="149">
        <v>140</v>
      </c>
      <c r="K277" s="66">
        <v>360</v>
      </c>
      <c r="L277" s="66">
        <v>1200</v>
      </c>
      <c r="M277" s="164">
        <v>16.732569418970858</v>
      </c>
      <c r="N277" s="78">
        <v>946.63038211815785</v>
      </c>
      <c r="O277" s="113">
        <v>31160.243114618243</v>
      </c>
      <c r="P277" s="111">
        <v>38739.316210243342</v>
      </c>
      <c r="Q277" s="110">
        <v>18530.482406076411</v>
      </c>
      <c r="R277" s="258">
        <v>49690.725520694657</v>
      </c>
      <c r="S277" s="259">
        <v>57269.798616319749</v>
      </c>
      <c r="U277" s="7" t="s">
        <v>3123</v>
      </c>
    </row>
    <row r="278" spans="1:21" s="7" customFormat="1" ht="16.5" thickBot="1">
      <c r="A278" s="41" t="s">
        <v>31</v>
      </c>
      <c r="B278" s="42">
        <f t="shared" si="15"/>
        <v>140</v>
      </c>
      <c r="C278" s="42" t="s">
        <v>3</v>
      </c>
      <c r="D278" s="42">
        <f t="shared" si="16"/>
        <v>360</v>
      </c>
      <c r="E278" s="42" t="s">
        <v>3</v>
      </c>
      <c r="F278" s="90">
        <f t="shared" si="17"/>
        <v>1250</v>
      </c>
      <c r="G278" s="42" t="s">
        <v>3</v>
      </c>
      <c r="H278" s="39">
        <v>6</v>
      </c>
      <c r="I278" s="40" t="s">
        <v>42</v>
      </c>
      <c r="J278" s="149">
        <v>140</v>
      </c>
      <c r="K278" s="66">
        <v>360</v>
      </c>
      <c r="L278" s="66">
        <v>1250</v>
      </c>
      <c r="M278" s="164">
        <v>17.37927205259518</v>
      </c>
      <c r="N278" s="78">
        <v>1002.3145222427555</v>
      </c>
      <c r="O278" s="113">
        <v>32180.37066104648</v>
      </c>
      <c r="P278" s="111">
        <v>40027.390238111024</v>
      </c>
      <c r="Q278" s="110">
        <v>19133.9032903146</v>
      </c>
      <c r="R278" s="258">
        <v>51314.27395136108</v>
      </c>
      <c r="S278" s="259">
        <v>59161.293528425624</v>
      </c>
      <c r="U278" s="7" t="s">
        <v>3124</v>
      </c>
    </row>
    <row r="279" spans="1:21" s="7" customFormat="1" ht="16.5" thickBot="1">
      <c r="A279" s="41" t="s">
        <v>31</v>
      </c>
      <c r="B279" s="42">
        <f t="shared" si="15"/>
        <v>140</v>
      </c>
      <c r="C279" s="42" t="s">
        <v>3</v>
      </c>
      <c r="D279" s="42">
        <f t="shared" si="16"/>
        <v>360</v>
      </c>
      <c r="E279" s="42" t="s">
        <v>3</v>
      </c>
      <c r="F279" s="90">
        <f t="shared" si="17"/>
        <v>1300</v>
      </c>
      <c r="G279" s="42" t="s">
        <v>3</v>
      </c>
      <c r="H279" s="39">
        <v>6</v>
      </c>
      <c r="I279" s="40" t="s">
        <v>42</v>
      </c>
      <c r="J279" s="149">
        <v>140</v>
      </c>
      <c r="K279" s="66">
        <v>360</v>
      </c>
      <c r="L279" s="66">
        <v>1300</v>
      </c>
      <c r="M279" s="164">
        <v>18.025974686219499</v>
      </c>
      <c r="N279" s="78">
        <v>1057.9986623673528</v>
      </c>
      <c r="O279" s="113">
        <v>33200.642207542696</v>
      </c>
      <c r="P279" s="111">
        <v>41315.54154550509</v>
      </c>
      <c r="Q279" s="110">
        <v>19988.658312336556</v>
      </c>
      <c r="R279" s="258">
        <v>53189.300519879253</v>
      </c>
      <c r="S279" s="259">
        <v>61304.199857841646</v>
      </c>
      <c r="U279" s="7" t="s">
        <v>3125</v>
      </c>
    </row>
    <row r="280" spans="1:21" s="7" customFormat="1" ht="16.5" thickBot="1">
      <c r="A280" s="41" t="s">
        <v>31</v>
      </c>
      <c r="B280" s="42">
        <f t="shared" si="15"/>
        <v>140</v>
      </c>
      <c r="C280" s="42" t="s">
        <v>3</v>
      </c>
      <c r="D280" s="42">
        <f t="shared" si="16"/>
        <v>360</v>
      </c>
      <c r="E280" s="42" t="s">
        <v>3</v>
      </c>
      <c r="F280" s="90">
        <f t="shared" si="17"/>
        <v>1350</v>
      </c>
      <c r="G280" s="42" t="s">
        <v>3</v>
      </c>
      <c r="H280" s="39">
        <v>6</v>
      </c>
      <c r="I280" s="40" t="s">
        <v>42</v>
      </c>
      <c r="J280" s="149">
        <v>140</v>
      </c>
      <c r="K280" s="66">
        <v>360</v>
      </c>
      <c r="L280" s="66">
        <v>1350</v>
      </c>
      <c r="M280" s="164">
        <v>18.672677319843821</v>
      </c>
      <c r="N280" s="78">
        <v>1113.6828024919505</v>
      </c>
      <c r="O280" s="113">
        <v>34221.043369402971</v>
      </c>
      <c r="P280" s="111">
        <v>42603.762634016057</v>
      </c>
      <c r="Q280" s="110">
        <v>20592.079196574745</v>
      </c>
      <c r="R280" s="258">
        <v>54813.122565977712</v>
      </c>
      <c r="S280" s="259">
        <v>63195.841830590798</v>
      </c>
      <c r="U280" s="7" t="s">
        <v>3126</v>
      </c>
    </row>
    <row r="281" spans="1:21" s="7" customFormat="1" ht="16.5" thickBot="1">
      <c r="A281" s="41" t="s">
        <v>31</v>
      </c>
      <c r="B281" s="42">
        <f t="shared" si="15"/>
        <v>140</v>
      </c>
      <c r="C281" s="42" t="s">
        <v>3</v>
      </c>
      <c r="D281" s="42">
        <f t="shared" si="16"/>
        <v>360</v>
      </c>
      <c r="E281" s="42" t="s">
        <v>3</v>
      </c>
      <c r="F281" s="90">
        <f t="shared" si="17"/>
        <v>1400</v>
      </c>
      <c r="G281" s="42" t="s">
        <v>3</v>
      </c>
      <c r="H281" s="39">
        <v>6</v>
      </c>
      <c r="I281" s="40" t="s">
        <v>42</v>
      </c>
      <c r="J281" s="149">
        <v>140</v>
      </c>
      <c r="K281" s="66">
        <v>360</v>
      </c>
      <c r="L281" s="66">
        <v>1400</v>
      </c>
      <c r="M281" s="164">
        <v>19.31937995346814</v>
      </c>
      <c r="N281" s="78">
        <v>1169.3669426165482</v>
      </c>
      <c r="O281" s="113">
        <v>35241.562210383636</v>
      </c>
      <c r="P281" s="111">
        <v>43892.047076435789</v>
      </c>
      <c r="Q281" s="110">
        <v>21446.834218596705</v>
      </c>
      <c r="R281" s="258">
        <v>56688.396428980341</v>
      </c>
      <c r="S281" s="259">
        <v>65338.881295032494</v>
      </c>
      <c r="U281" s="7" t="s">
        <v>3127</v>
      </c>
    </row>
    <row r="282" spans="1:21" s="7" customFormat="1" ht="16.5" thickBot="1">
      <c r="A282" s="41" t="s">
        <v>31</v>
      </c>
      <c r="B282" s="42">
        <f t="shared" si="15"/>
        <v>140</v>
      </c>
      <c r="C282" s="42" t="s">
        <v>3</v>
      </c>
      <c r="D282" s="42">
        <f t="shared" si="16"/>
        <v>360</v>
      </c>
      <c r="E282" s="42" t="s">
        <v>3</v>
      </c>
      <c r="F282" s="90">
        <f t="shared" si="17"/>
        <v>1450</v>
      </c>
      <c r="G282" s="42" t="s">
        <v>3</v>
      </c>
      <c r="H282" s="39">
        <v>6</v>
      </c>
      <c r="I282" s="40" t="s">
        <v>42</v>
      </c>
      <c r="J282" s="149">
        <v>140</v>
      </c>
      <c r="K282" s="66">
        <v>360</v>
      </c>
      <c r="L282" s="66">
        <v>1450</v>
      </c>
      <c r="M282" s="164">
        <v>19.966082587092458</v>
      </c>
      <c r="N282" s="78">
        <v>1225.0510827411456</v>
      </c>
      <c r="O282" s="113">
        <v>36262.188018471119</v>
      </c>
      <c r="P282" s="111">
        <v>45180.389210699963</v>
      </c>
      <c r="Q282" s="110">
        <v>22050.255102834893</v>
      </c>
      <c r="R282" s="258">
        <v>58312.443121306016</v>
      </c>
      <c r="S282" s="259">
        <v>67230.644313534853</v>
      </c>
      <c r="U282" s="7" t="s">
        <v>3128</v>
      </c>
    </row>
    <row r="283" spans="1:21" s="7" customFormat="1" ht="16.5" thickBot="1">
      <c r="A283" s="41" t="s">
        <v>31</v>
      </c>
      <c r="B283" s="42">
        <f t="shared" si="15"/>
        <v>140</v>
      </c>
      <c r="C283" s="42" t="s">
        <v>3</v>
      </c>
      <c r="D283" s="42">
        <f t="shared" si="16"/>
        <v>360</v>
      </c>
      <c r="E283" s="42" t="s">
        <v>3</v>
      </c>
      <c r="F283" s="90">
        <f t="shared" si="17"/>
        <v>1500</v>
      </c>
      <c r="G283" s="42" t="s">
        <v>3</v>
      </c>
      <c r="H283" s="39">
        <v>6</v>
      </c>
      <c r="I283" s="40" t="s">
        <v>42</v>
      </c>
      <c r="J283" s="149">
        <v>140</v>
      </c>
      <c r="K283" s="66">
        <v>360</v>
      </c>
      <c r="L283" s="66">
        <v>1500</v>
      </c>
      <c r="M283" s="164">
        <v>20.813575846477182</v>
      </c>
      <c r="N283" s="78">
        <v>1280.735222865743</v>
      </c>
      <c r="O283" s="113">
        <v>38069.109288099186</v>
      </c>
      <c r="P283" s="111">
        <v>47267.187390354142</v>
      </c>
      <c r="Q283" s="110">
        <v>22905.01012485685</v>
      </c>
      <c r="R283" s="258">
        <v>60974.119412956032</v>
      </c>
      <c r="S283" s="259">
        <v>70172.197515210995</v>
      </c>
      <c r="U283" s="7" t="s">
        <v>3129</v>
      </c>
    </row>
    <row r="284" spans="1:21" s="7" customFormat="1" ht="16.5" thickBot="1">
      <c r="A284" s="41" t="s">
        <v>31</v>
      </c>
      <c r="B284" s="42">
        <f t="shared" si="15"/>
        <v>140</v>
      </c>
      <c r="C284" s="42" t="s">
        <v>3</v>
      </c>
      <c r="D284" s="42">
        <f t="shared" si="16"/>
        <v>360</v>
      </c>
      <c r="E284" s="42" t="s">
        <v>3</v>
      </c>
      <c r="F284" s="90">
        <f t="shared" si="17"/>
        <v>1550</v>
      </c>
      <c r="G284" s="42" t="s">
        <v>3</v>
      </c>
      <c r="H284" s="39">
        <v>6</v>
      </c>
      <c r="I284" s="40" t="s">
        <v>42</v>
      </c>
      <c r="J284" s="149">
        <v>140</v>
      </c>
      <c r="K284" s="66">
        <v>360</v>
      </c>
      <c r="L284" s="66">
        <v>1550</v>
      </c>
      <c r="M284" s="164">
        <v>21.460278480101501</v>
      </c>
      <c r="N284" s="78">
        <v>1336.4193629903405</v>
      </c>
      <c r="O284" s="113">
        <v>39089.711070670543</v>
      </c>
      <c r="P284" s="111">
        <v>48555.675667089017</v>
      </c>
      <c r="Q284" s="110">
        <v>23508.431009095038</v>
      </c>
      <c r="R284" s="258">
        <v>62598.142079765581</v>
      </c>
      <c r="S284" s="259">
        <v>72064.106676184048</v>
      </c>
      <c r="U284" s="7" t="s">
        <v>3130</v>
      </c>
    </row>
    <row r="285" spans="1:21" s="7" customFormat="1" ht="16.5" thickBot="1">
      <c r="A285" s="38" t="s">
        <v>31</v>
      </c>
      <c r="B285" s="39">
        <f t="shared" si="15"/>
        <v>140</v>
      </c>
      <c r="C285" s="39" t="s">
        <v>3</v>
      </c>
      <c r="D285" s="39">
        <f t="shared" si="16"/>
        <v>360</v>
      </c>
      <c r="E285" s="39" t="s">
        <v>3</v>
      </c>
      <c r="F285" s="90">
        <f t="shared" si="17"/>
        <v>1600</v>
      </c>
      <c r="G285" s="39" t="s">
        <v>3</v>
      </c>
      <c r="H285" s="39">
        <v>6</v>
      </c>
      <c r="I285" s="40" t="s">
        <v>42</v>
      </c>
      <c r="J285" s="149">
        <v>140</v>
      </c>
      <c r="K285" s="66">
        <v>360</v>
      </c>
      <c r="L285" s="66">
        <v>1600</v>
      </c>
      <c r="M285" s="164">
        <v>22.106981113725819</v>
      </c>
      <c r="N285" s="78">
        <v>1392.1035031149381</v>
      </c>
      <c r="O285" s="113">
        <v>40110.404670500975</v>
      </c>
      <c r="P285" s="111">
        <v>49844.204955532943</v>
      </c>
      <c r="Q285" s="110">
        <v>24111.851893333227</v>
      </c>
      <c r="R285" s="258">
        <v>64222.256563834206</v>
      </c>
      <c r="S285" s="259">
        <v>73956.056848866167</v>
      </c>
      <c r="U285" s="7" t="s">
        <v>3131</v>
      </c>
    </row>
    <row r="286" spans="1:21" s="7" customFormat="1" ht="16.5" thickBot="1">
      <c r="A286" s="41" t="s">
        <v>31</v>
      </c>
      <c r="B286" s="42">
        <f t="shared" si="15"/>
        <v>140</v>
      </c>
      <c r="C286" s="42" t="s">
        <v>3</v>
      </c>
      <c r="D286" s="42">
        <f t="shared" si="16"/>
        <v>360</v>
      </c>
      <c r="E286" s="42" t="s">
        <v>3</v>
      </c>
      <c r="F286" s="90">
        <f t="shared" si="17"/>
        <v>1650</v>
      </c>
      <c r="G286" s="42" t="s">
        <v>3</v>
      </c>
      <c r="H286" s="39">
        <v>6</v>
      </c>
      <c r="I286" s="40" t="s">
        <v>42</v>
      </c>
      <c r="J286" s="149">
        <v>140</v>
      </c>
      <c r="K286" s="66">
        <v>360</v>
      </c>
      <c r="L286" s="66">
        <v>1650</v>
      </c>
      <c r="M286" s="164">
        <v>22.753683747350141</v>
      </c>
      <c r="N286" s="78">
        <v>1447.7876432395358</v>
      </c>
      <c r="O286" s="113">
        <v>41131.182742209756</v>
      </c>
      <c r="P286" s="111">
        <v>51132.771889053096</v>
      </c>
      <c r="Q286" s="110">
        <v>24966.606915355183</v>
      </c>
      <c r="R286" s="258">
        <v>66097.789657564936</v>
      </c>
      <c r="S286" s="259">
        <v>76099.378804408276</v>
      </c>
      <c r="U286" s="7" t="s">
        <v>3132</v>
      </c>
    </row>
    <row r="287" spans="1:21" s="7" customFormat="1" ht="16.5" thickBot="1">
      <c r="A287" s="41" t="s">
        <v>31</v>
      </c>
      <c r="B287" s="42">
        <f t="shared" si="15"/>
        <v>140</v>
      </c>
      <c r="C287" s="42" t="s">
        <v>3</v>
      </c>
      <c r="D287" s="42">
        <f t="shared" si="16"/>
        <v>360</v>
      </c>
      <c r="E287" s="42" t="s">
        <v>3</v>
      </c>
      <c r="F287" s="90">
        <f t="shared" si="17"/>
        <v>1700</v>
      </c>
      <c r="G287" s="42" t="s">
        <v>3</v>
      </c>
      <c r="H287" s="39">
        <v>6</v>
      </c>
      <c r="I287" s="40" t="s">
        <v>42</v>
      </c>
      <c r="J287" s="149">
        <v>140</v>
      </c>
      <c r="K287" s="66">
        <v>360</v>
      </c>
      <c r="L287" s="66">
        <v>1700</v>
      </c>
      <c r="M287" s="164">
        <v>23.40038638097446</v>
      </c>
      <c r="N287" s="78">
        <v>1503.4717833641332</v>
      </c>
      <c r="O287" s="113">
        <v>42152.038858588749</v>
      </c>
      <c r="P287" s="111">
        <v>52421.373560102918</v>
      </c>
      <c r="Q287" s="110">
        <v>25570.027799593372</v>
      </c>
      <c r="R287" s="258">
        <v>67722.066658182128</v>
      </c>
      <c r="S287" s="259">
        <v>77991.40135969629</v>
      </c>
      <c r="U287" s="7" t="s">
        <v>3133</v>
      </c>
    </row>
    <row r="288" spans="1:21" s="7" customFormat="1" ht="16.5" thickBot="1">
      <c r="A288" s="41" t="s">
        <v>31</v>
      </c>
      <c r="B288" s="42">
        <f t="shared" si="15"/>
        <v>140</v>
      </c>
      <c r="C288" s="42" t="s">
        <v>3</v>
      </c>
      <c r="D288" s="42">
        <f t="shared" si="16"/>
        <v>360</v>
      </c>
      <c r="E288" s="42" t="s">
        <v>3</v>
      </c>
      <c r="F288" s="90">
        <f t="shared" si="17"/>
        <v>1750</v>
      </c>
      <c r="G288" s="42" t="s">
        <v>3</v>
      </c>
      <c r="H288" s="39">
        <v>6</v>
      </c>
      <c r="I288" s="40" t="s">
        <v>42</v>
      </c>
      <c r="J288" s="149">
        <v>140</v>
      </c>
      <c r="K288" s="66">
        <v>360</v>
      </c>
      <c r="L288" s="66">
        <v>1750</v>
      </c>
      <c r="M288" s="164">
        <v>24.047089014598779</v>
      </c>
      <c r="N288" s="78">
        <v>1559.1559234887307</v>
      </c>
      <c r="O288" s="113">
        <v>43172.966898487357</v>
      </c>
      <c r="P288" s="111">
        <v>53710.007520222192</v>
      </c>
      <c r="Q288" s="110">
        <v>26424.782821615332</v>
      </c>
      <c r="R288" s="258">
        <v>69597.749720102685</v>
      </c>
      <c r="S288" s="259">
        <v>80134.790341837521</v>
      </c>
      <c r="U288" s="7" t="s">
        <v>3134</v>
      </c>
    </row>
    <row r="289" spans="1:21" s="7" customFormat="1" ht="16.5" thickBot="1">
      <c r="A289" s="41" t="s">
        <v>31</v>
      </c>
      <c r="B289" s="42">
        <f t="shared" si="15"/>
        <v>140</v>
      </c>
      <c r="C289" s="42" t="s">
        <v>3</v>
      </c>
      <c r="D289" s="42">
        <f t="shared" si="16"/>
        <v>360</v>
      </c>
      <c r="E289" s="42" t="s">
        <v>3</v>
      </c>
      <c r="F289" s="90">
        <f t="shared" si="17"/>
        <v>1800</v>
      </c>
      <c r="G289" s="42" t="s">
        <v>3</v>
      </c>
      <c r="H289" s="39">
        <v>6</v>
      </c>
      <c r="I289" s="40" t="s">
        <v>42</v>
      </c>
      <c r="J289" s="149">
        <v>140</v>
      </c>
      <c r="K289" s="66">
        <v>360</v>
      </c>
      <c r="L289" s="66">
        <v>1800</v>
      </c>
      <c r="M289" s="164">
        <v>24.693791648223097</v>
      </c>
      <c r="N289" s="78">
        <v>1614.8400636133281</v>
      </c>
      <c r="O289" s="113">
        <v>44193.961505898784</v>
      </c>
      <c r="P289" s="111">
        <v>54998.671167921908</v>
      </c>
      <c r="Q289" s="110">
        <v>27028.203705853517</v>
      </c>
      <c r="R289" s="258">
        <v>71222.165211752304</v>
      </c>
      <c r="S289" s="259">
        <v>82026.874873775421</v>
      </c>
      <c r="U289" s="7" t="s">
        <v>3135</v>
      </c>
    </row>
    <row r="290" spans="1:21" s="7" customFormat="1" ht="16.5" thickBot="1">
      <c r="A290" s="41" t="s">
        <v>31</v>
      </c>
      <c r="B290" s="42">
        <f t="shared" si="15"/>
        <v>140</v>
      </c>
      <c r="C290" s="42" t="s">
        <v>3</v>
      </c>
      <c r="D290" s="42">
        <f t="shared" si="16"/>
        <v>360</v>
      </c>
      <c r="E290" s="42" t="s">
        <v>3</v>
      </c>
      <c r="F290" s="90">
        <f t="shared" si="17"/>
        <v>1850</v>
      </c>
      <c r="G290" s="42" t="s">
        <v>3</v>
      </c>
      <c r="H290" s="39">
        <v>6</v>
      </c>
      <c r="I290" s="40" t="s">
        <v>42</v>
      </c>
      <c r="J290" s="149">
        <v>140</v>
      </c>
      <c r="K290" s="66">
        <v>360</v>
      </c>
      <c r="L290" s="66">
        <v>1850</v>
      </c>
      <c r="M290" s="164">
        <v>25.340494281847423</v>
      </c>
      <c r="N290" s="78">
        <v>1670.5242037379257</v>
      </c>
      <c r="O290" s="113">
        <v>45215.017936931334</v>
      </c>
      <c r="P290" s="111">
        <v>56287.362513828099</v>
      </c>
      <c r="Q290" s="110">
        <v>27882.958880904247</v>
      </c>
      <c r="R290" s="258">
        <v>73097.976817835588</v>
      </c>
      <c r="S290" s="259">
        <v>84170.321394732338</v>
      </c>
      <c r="U290" s="7" t="s">
        <v>3136</v>
      </c>
    </row>
    <row r="291" spans="1:21" s="7" customFormat="1" ht="16.5" thickBot="1">
      <c r="A291" s="41" t="s">
        <v>31</v>
      </c>
      <c r="B291" s="42">
        <f t="shared" si="15"/>
        <v>140</v>
      </c>
      <c r="C291" s="42" t="s">
        <v>3</v>
      </c>
      <c r="D291" s="42">
        <f t="shared" si="16"/>
        <v>360</v>
      </c>
      <c r="E291" s="42" t="s">
        <v>3</v>
      </c>
      <c r="F291" s="90">
        <f t="shared" si="17"/>
        <v>1900</v>
      </c>
      <c r="G291" s="42" t="s">
        <v>3</v>
      </c>
      <c r="H291" s="39">
        <v>6</v>
      </c>
      <c r="I291" s="40" t="s">
        <v>42</v>
      </c>
      <c r="J291" s="149">
        <v>140</v>
      </c>
      <c r="K291" s="66">
        <v>360</v>
      </c>
      <c r="L291" s="66">
        <v>1900</v>
      </c>
      <c r="M291" s="164">
        <v>25.987196915471738</v>
      </c>
      <c r="N291" s="78">
        <v>1726.2083438625234</v>
      </c>
      <c r="O291" s="113">
        <v>46236.1317537508</v>
      </c>
      <c r="P291" s="111">
        <v>57576.079415538072</v>
      </c>
      <c r="Q291" s="110">
        <v>28486.379765142432</v>
      </c>
      <c r="R291" s="258">
        <v>74722.51151889324</v>
      </c>
      <c r="S291" s="259">
        <v>86062.459180680511</v>
      </c>
      <c r="U291" s="7" t="s">
        <v>3137</v>
      </c>
    </row>
    <row r="292" spans="1:21" s="7" customFormat="1" ht="16.5" thickBot="1">
      <c r="A292" s="41" t="s">
        <v>31</v>
      </c>
      <c r="B292" s="42">
        <f t="shared" si="15"/>
        <v>140</v>
      </c>
      <c r="C292" s="42" t="s">
        <v>3</v>
      </c>
      <c r="D292" s="42">
        <f t="shared" si="16"/>
        <v>360</v>
      </c>
      <c r="E292" s="42" t="s">
        <v>3</v>
      </c>
      <c r="F292" s="90">
        <f t="shared" si="17"/>
        <v>1950</v>
      </c>
      <c r="G292" s="42" t="s">
        <v>3</v>
      </c>
      <c r="H292" s="39">
        <v>6</v>
      </c>
      <c r="I292" s="40" t="s">
        <v>42</v>
      </c>
      <c r="J292" s="149">
        <v>140</v>
      </c>
      <c r="K292" s="66">
        <v>360</v>
      </c>
      <c r="L292" s="66">
        <v>1950</v>
      </c>
      <c r="M292" s="164">
        <v>26.750236549096059</v>
      </c>
      <c r="N292" s="78">
        <v>1781.8924839871208</v>
      </c>
      <c r="O292" s="113">
        <v>47391.063869665304</v>
      </c>
      <c r="P292" s="111">
        <v>59001.460798345637</v>
      </c>
      <c r="Q292" s="110">
        <v>29089.800649380621</v>
      </c>
      <c r="R292" s="258">
        <v>76480.864519045921</v>
      </c>
      <c r="S292" s="259">
        <v>88091.261447726254</v>
      </c>
      <c r="U292" s="7" t="s">
        <v>3138</v>
      </c>
    </row>
    <row r="293" spans="1:21" s="7" customFormat="1" ht="16.5" thickBot="1">
      <c r="A293" s="41" t="s">
        <v>31</v>
      </c>
      <c r="B293" s="42">
        <f t="shared" si="15"/>
        <v>140</v>
      </c>
      <c r="C293" s="42" t="s">
        <v>3</v>
      </c>
      <c r="D293" s="42">
        <f t="shared" si="16"/>
        <v>360</v>
      </c>
      <c r="E293" s="42" t="s">
        <v>3</v>
      </c>
      <c r="F293" s="90">
        <f t="shared" si="17"/>
        <v>2000</v>
      </c>
      <c r="G293" s="42" t="s">
        <v>3</v>
      </c>
      <c r="H293" s="39">
        <v>6</v>
      </c>
      <c r="I293" s="40" t="s">
        <v>42</v>
      </c>
      <c r="J293" s="149">
        <v>140</v>
      </c>
      <c r="K293" s="66">
        <v>360</v>
      </c>
      <c r="L293" s="66">
        <v>2000</v>
      </c>
      <c r="M293" s="164">
        <v>27.487402833920381</v>
      </c>
      <c r="N293" s="78">
        <v>1837.5766241117183</v>
      </c>
      <c r="O293" s="113">
        <v>48677.262376987608</v>
      </c>
      <c r="P293" s="111">
        <v>60644.922556160236</v>
      </c>
      <c r="Q293" s="110">
        <v>29944.555671402581</v>
      </c>
      <c r="R293" s="258">
        <v>78621.818048390182</v>
      </c>
      <c r="S293" s="259">
        <v>90589.478227562824</v>
      </c>
      <c r="U293" s="7" t="s">
        <v>3139</v>
      </c>
    </row>
    <row r="294" spans="1:21" s="7" customFormat="1" ht="16.5" thickBot="1">
      <c r="A294" s="41" t="s">
        <v>31</v>
      </c>
      <c r="B294" s="42">
        <f t="shared" si="15"/>
        <v>140</v>
      </c>
      <c r="C294" s="42" t="s">
        <v>3</v>
      </c>
      <c r="D294" s="42">
        <f t="shared" si="16"/>
        <v>360</v>
      </c>
      <c r="E294" s="42" t="s">
        <v>3</v>
      </c>
      <c r="F294" s="90">
        <f t="shared" si="17"/>
        <v>2050</v>
      </c>
      <c r="G294" s="42" t="s">
        <v>3</v>
      </c>
      <c r="H294" s="39">
        <v>6</v>
      </c>
      <c r="I294" s="40" t="s">
        <v>42</v>
      </c>
      <c r="J294" s="149">
        <v>140</v>
      </c>
      <c r="K294" s="66">
        <v>360</v>
      </c>
      <c r="L294" s="66">
        <v>2050</v>
      </c>
      <c r="M294" s="164">
        <v>28.134105467544696</v>
      </c>
      <c r="N294" s="78">
        <v>1893.2607642363157</v>
      </c>
      <c r="O294" s="113">
        <v>49698.504584941016</v>
      </c>
      <c r="P294" s="111">
        <v>61933.683836212098</v>
      </c>
      <c r="Q294" s="110">
        <v>30547.976555640766</v>
      </c>
      <c r="R294" s="258">
        <v>80246.481140581775</v>
      </c>
      <c r="S294" s="259">
        <v>92481.660391852871</v>
      </c>
      <c r="U294" s="7" t="s">
        <v>3140</v>
      </c>
    </row>
    <row r="295" spans="1:21" s="7" customFormat="1" ht="16.5" thickBot="1">
      <c r="A295" s="38" t="s">
        <v>31</v>
      </c>
      <c r="B295" s="39">
        <f t="shared" si="15"/>
        <v>140</v>
      </c>
      <c r="C295" s="39" t="s">
        <v>3</v>
      </c>
      <c r="D295" s="39">
        <f t="shared" si="16"/>
        <v>360</v>
      </c>
      <c r="E295" s="39" t="s">
        <v>3</v>
      </c>
      <c r="F295" s="90">
        <f t="shared" si="17"/>
        <v>2100</v>
      </c>
      <c r="G295" s="39" t="s">
        <v>3</v>
      </c>
      <c r="H295" s="39">
        <v>6</v>
      </c>
      <c r="I295" s="40" t="s">
        <v>42</v>
      </c>
      <c r="J295" s="149">
        <v>140</v>
      </c>
      <c r="K295" s="66">
        <v>360</v>
      </c>
      <c r="L295" s="66">
        <v>2100</v>
      </c>
      <c r="M295" s="164">
        <v>28.780808101169022</v>
      </c>
      <c r="N295" s="78">
        <v>1948.9449043609134</v>
      </c>
      <c r="O295" s="113">
        <v>50719.791018207543</v>
      </c>
      <c r="P295" s="111">
        <v>63222.465469089715</v>
      </c>
      <c r="Q295" s="110">
        <v>31402.731577662726</v>
      </c>
      <c r="R295" s="258">
        <v>82122.522595870265</v>
      </c>
      <c r="S295" s="259">
        <v>94625.197046752437</v>
      </c>
      <c r="U295" s="7" t="s">
        <v>3141</v>
      </c>
    </row>
    <row r="296" spans="1:21" s="7" customFormat="1" ht="16.5" thickBot="1">
      <c r="A296" s="41" t="s">
        <v>31</v>
      </c>
      <c r="B296" s="42">
        <f t="shared" si="15"/>
        <v>140</v>
      </c>
      <c r="C296" s="42" t="s">
        <v>3</v>
      </c>
      <c r="D296" s="42">
        <f t="shared" si="16"/>
        <v>360</v>
      </c>
      <c r="E296" s="42" t="s">
        <v>3</v>
      </c>
      <c r="F296" s="90">
        <f t="shared" si="17"/>
        <v>2150</v>
      </c>
      <c r="G296" s="42" t="s">
        <v>3</v>
      </c>
      <c r="H296" s="39">
        <v>6</v>
      </c>
      <c r="I296" s="40" t="s">
        <v>42</v>
      </c>
      <c r="J296" s="149">
        <v>140</v>
      </c>
      <c r="K296" s="66">
        <v>360</v>
      </c>
      <c r="L296" s="66">
        <v>2150</v>
      </c>
      <c r="M296" s="164">
        <v>29.427510734793337</v>
      </c>
      <c r="N296" s="78">
        <v>2004.629044485511</v>
      </c>
      <c r="O296" s="113">
        <v>51741.11861621189</v>
      </c>
      <c r="P296" s="111">
        <v>64511.266230562986</v>
      </c>
      <c r="Q296" s="110">
        <v>32006.152461900914</v>
      </c>
      <c r="R296" s="258">
        <v>83747.271078112797</v>
      </c>
      <c r="S296" s="259">
        <v>96517.418692463893</v>
      </c>
      <c r="U296" s="7" t="s">
        <v>3142</v>
      </c>
    </row>
    <row r="297" spans="1:21" s="7" customFormat="1" ht="16.5" thickBot="1">
      <c r="A297" s="41" t="s">
        <v>31</v>
      </c>
      <c r="B297" s="42">
        <f t="shared" si="15"/>
        <v>140</v>
      </c>
      <c r="C297" s="42" t="s">
        <v>3</v>
      </c>
      <c r="D297" s="42">
        <f t="shared" si="16"/>
        <v>360</v>
      </c>
      <c r="E297" s="42" t="s">
        <v>3</v>
      </c>
      <c r="F297" s="90">
        <f t="shared" si="17"/>
        <v>2200</v>
      </c>
      <c r="G297" s="42" t="s">
        <v>3</v>
      </c>
      <c r="H297" s="39">
        <v>6</v>
      </c>
      <c r="I297" s="40" t="s">
        <v>42</v>
      </c>
      <c r="J297" s="149">
        <v>140</v>
      </c>
      <c r="K297" s="66">
        <v>360</v>
      </c>
      <c r="L297" s="66">
        <v>2200</v>
      </c>
      <c r="M297" s="164">
        <v>30.074213368417656</v>
      </c>
      <c r="N297" s="78">
        <v>2060.3131846101087</v>
      </c>
      <c r="O297" s="113">
        <v>52762.485236551343</v>
      </c>
      <c r="P297" s="111">
        <v>65800.084896401764</v>
      </c>
      <c r="Q297" s="110">
        <v>32860.907483922878</v>
      </c>
      <c r="R297" s="258">
        <v>85623.392720474221</v>
      </c>
      <c r="S297" s="259">
        <v>98660.992380324635</v>
      </c>
      <c r="U297" s="7" t="s">
        <v>3143</v>
      </c>
    </row>
    <row r="298" spans="1:21" s="7" customFormat="1" ht="16.5" thickBot="1">
      <c r="A298" s="41" t="s">
        <v>31</v>
      </c>
      <c r="B298" s="42">
        <f t="shared" si="15"/>
        <v>140</v>
      </c>
      <c r="C298" s="42" t="s">
        <v>3</v>
      </c>
      <c r="D298" s="42">
        <f t="shared" si="16"/>
        <v>360</v>
      </c>
      <c r="E298" s="42" t="s">
        <v>3</v>
      </c>
      <c r="F298" s="90">
        <f t="shared" si="17"/>
        <v>2250</v>
      </c>
      <c r="G298" s="42" t="s">
        <v>3</v>
      </c>
      <c r="H298" s="39">
        <v>6</v>
      </c>
      <c r="I298" s="40" t="s">
        <v>42</v>
      </c>
      <c r="J298" s="149">
        <v>140</v>
      </c>
      <c r="K298" s="66">
        <v>360</v>
      </c>
      <c r="L298" s="66">
        <v>2250</v>
      </c>
      <c r="M298" s="164">
        <v>30.720916002041978</v>
      </c>
      <c r="N298" s="78">
        <v>2115.9973247347057</v>
      </c>
      <c r="O298" s="113">
        <v>53783.888124708137</v>
      </c>
      <c r="P298" s="111">
        <v>67088.920548433467</v>
      </c>
      <c r="Q298" s="110">
        <v>33464.328368161063</v>
      </c>
      <c r="R298" s="258">
        <v>87248.216492869193</v>
      </c>
      <c r="S298" s="259">
        <v>100553.24891659453</v>
      </c>
      <c r="U298" s="7" t="s">
        <v>3144</v>
      </c>
    </row>
    <row r="299" spans="1:21" s="7" customFormat="1" ht="16.5" thickBot="1">
      <c r="A299" s="41" t="s">
        <v>31</v>
      </c>
      <c r="B299" s="42">
        <f t="shared" si="15"/>
        <v>140</v>
      </c>
      <c r="C299" s="42" t="s">
        <v>3</v>
      </c>
      <c r="D299" s="42">
        <f t="shared" si="16"/>
        <v>360</v>
      </c>
      <c r="E299" s="42" t="s">
        <v>3</v>
      </c>
      <c r="F299" s="90">
        <f t="shared" si="17"/>
        <v>2300</v>
      </c>
      <c r="G299" s="42" t="s">
        <v>3</v>
      </c>
      <c r="H299" s="39">
        <v>6</v>
      </c>
      <c r="I299" s="40" t="s">
        <v>42</v>
      </c>
      <c r="J299" s="149">
        <v>140</v>
      </c>
      <c r="K299" s="66">
        <v>360</v>
      </c>
      <c r="L299" s="66">
        <v>2300</v>
      </c>
      <c r="M299" s="164">
        <v>31.367618635666304</v>
      </c>
      <c r="N299" s="78">
        <v>2171.6814648593036</v>
      </c>
      <c r="O299" s="113">
        <v>54805.325444337068</v>
      </c>
      <c r="P299" s="111">
        <v>68377.771962427985</v>
      </c>
      <c r="Q299" s="110">
        <v>34067.749252399248</v>
      </c>
      <c r="R299" s="258">
        <v>88873.074696736323</v>
      </c>
      <c r="S299" s="259">
        <v>102445.52121482723</v>
      </c>
      <c r="U299" s="7" t="s">
        <v>3145</v>
      </c>
    </row>
    <row r="300" spans="1:21" s="7" customFormat="1" ht="16.5" thickBot="1">
      <c r="A300" s="41" t="s">
        <v>31</v>
      </c>
      <c r="B300" s="42">
        <f t="shared" si="15"/>
        <v>140</v>
      </c>
      <c r="C300" s="42" t="s">
        <v>3</v>
      </c>
      <c r="D300" s="42">
        <f t="shared" si="16"/>
        <v>360</v>
      </c>
      <c r="E300" s="42" t="s">
        <v>3</v>
      </c>
      <c r="F300" s="90">
        <f t="shared" si="17"/>
        <v>2350</v>
      </c>
      <c r="G300" s="42" t="s">
        <v>3</v>
      </c>
      <c r="H300" s="39">
        <v>6</v>
      </c>
      <c r="I300" s="40" t="s">
        <v>42</v>
      </c>
      <c r="J300" s="149">
        <v>140</v>
      </c>
      <c r="K300" s="66">
        <v>360</v>
      </c>
      <c r="L300" s="66">
        <v>2350</v>
      </c>
      <c r="M300" s="164">
        <v>32.014321269290619</v>
      </c>
      <c r="N300" s="78">
        <v>2227.365604983901</v>
      </c>
      <c r="O300" s="113">
        <v>55826.795053035305</v>
      </c>
      <c r="P300" s="111">
        <v>69666.638526270239</v>
      </c>
      <c r="Q300" s="110">
        <v>34922.504274421211</v>
      </c>
      <c r="R300" s="258">
        <v>90749.299327456509</v>
      </c>
      <c r="S300" s="259">
        <v>104589.14280069145</v>
      </c>
      <c r="U300" s="7" t="s">
        <v>3146</v>
      </c>
    </row>
    <row r="301" spans="1:21" s="7" customFormat="1" ht="16.5" thickBot="1">
      <c r="A301" s="41" t="s">
        <v>31</v>
      </c>
      <c r="B301" s="42">
        <f t="shared" si="15"/>
        <v>140</v>
      </c>
      <c r="C301" s="42" t="s">
        <v>3</v>
      </c>
      <c r="D301" s="42">
        <f t="shared" si="16"/>
        <v>360</v>
      </c>
      <c r="E301" s="42" t="s">
        <v>3</v>
      </c>
      <c r="F301" s="90">
        <f t="shared" si="17"/>
        <v>2400</v>
      </c>
      <c r="G301" s="42" t="s">
        <v>3</v>
      </c>
      <c r="H301" s="39">
        <v>6</v>
      </c>
      <c r="I301" s="40" t="s">
        <v>42</v>
      </c>
      <c r="J301" s="149">
        <v>140</v>
      </c>
      <c r="K301" s="66">
        <v>360</v>
      </c>
      <c r="L301" s="66">
        <v>2400</v>
      </c>
      <c r="M301" s="164">
        <v>32.661023902914934</v>
      </c>
      <c r="N301" s="78">
        <v>2283.0497451084984</v>
      </c>
      <c r="O301" s="113">
        <v>56848.294961429332</v>
      </c>
      <c r="P301" s="111">
        <v>70955.519168758896</v>
      </c>
      <c r="Q301" s="110">
        <v>35525.925158659396</v>
      </c>
      <c r="R301" s="258">
        <v>92374.220120088721</v>
      </c>
      <c r="S301" s="259">
        <v>106481.44432741828</v>
      </c>
      <c r="U301" s="7" t="s">
        <v>3147</v>
      </c>
    </row>
    <row r="302" spans="1:21" s="7" customFormat="1" ht="16.5" thickBot="1">
      <c r="A302" s="41" t="s">
        <v>31</v>
      </c>
      <c r="B302" s="42">
        <f t="shared" si="15"/>
        <v>140</v>
      </c>
      <c r="C302" s="42" t="s">
        <v>3</v>
      </c>
      <c r="D302" s="42">
        <f t="shared" si="16"/>
        <v>360</v>
      </c>
      <c r="E302" s="42" t="s">
        <v>3</v>
      </c>
      <c r="F302" s="90">
        <f t="shared" si="17"/>
        <v>2450</v>
      </c>
      <c r="G302" s="42" t="s">
        <v>3</v>
      </c>
      <c r="H302" s="39">
        <v>6</v>
      </c>
      <c r="I302" s="40" t="s">
        <v>42</v>
      </c>
      <c r="J302" s="149">
        <v>140</v>
      </c>
      <c r="K302" s="66">
        <v>360</v>
      </c>
      <c r="L302" s="66">
        <v>2450</v>
      </c>
      <c r="M302" s="164">
        <v>33.508517162299661</v>
      </c>
      <c r="N302" s="78">
        <v>2338.7338852330963</v>
      </c>
      <c r="O302" s="113">
        <v>58653.711958296211</v>
      </c>
      <c r="P302" s="111">
        <v>73043.050356198029</v>
      </c>
      <c r="Q302" s="110">
        <v>36380.680180681353</v>
      </c>
      <c r="R302" s="258">
        <v>95034.392138977564</v>
      </c>
      <c r="S302" s="259">
        <v>109423.73053687939</v>
      </c>
      <c r="U302" s="7" t="s">
        <v>3148</v>
      </c>
    </row>
    <row r="303" spans="1:21" s="7" customFormat="1" ht="16.5" thickBot="1">
      <c r="A303" s="41" t="s">
        <v>31</v>
      </c>
      <c r="B303" s="42">
        <f t="shared" si="15"/>
        <v>140</v>
      </c>
      <c r="C303" s="42" t="s">
        <v>3</v>
      </c>
      <c r="D303" s="42">
        <f t="shared" si="16"/>
        <v>360</v>
      </c>
      <c r="E303" s="42" t="s">
        <v>3</v>
      </c>
      <c r="F303" s="90">
        <f t="shared" si="17"/>
        <v>2500</v>
      </c>
      <c r="G303" s="42" t="s">
        <v>3</v>
      </c>
      <c r="H303" s="39">
        <v>6</v>
      </c>
      <c r="I303" s="40" t="s">
        <v>42</v>
      </c>
      <c r="J303" s="149">
        <v>140</v>
      </c>
      <c r="K303" s="66">
        <v>360</v>
      </c>
      <c r="L303" s="66">
        <v>2500</v>
      </c>
      <c r="M303" s="164">
        <v>34.155219795923976</v>
      </c>
      <c r="N303" s="78">
        <v>2394.4180253576933</v>
      </c>
      <c r="O303" s="113">
        <v>59675.167794405737</v>
      </c>
      <c r="P303" s="111">
        <v>74331.977060344972</v>
      </c>
      <c r="Q303" s="110">
        <v>36984.101064919538</v>
      </c>
      <c r="R303" s="258">
        <v>96659.268859325268</v>
      </c>
      <c r="S303" s="259">
        <v>111316.07812526451</v>
      </c>
      <c r="U303" s="7" t="s">
        <v>3149</v>
      </c>
    </row>
    <row r="304" spans="1:21" s="7" customFormat="1" ht="16.5" thickBot="1">
      <c r="A304" s="41" t="s">
        <v>31</v>
      </c>
      <c r="B304" s="42">
        <f t="shared" si="15"/>
        <v>140</v>
      </c>
      <c r="C304" s="42" t="s">
        <v>3</v>
      </c>
      <c r="D304" s="42">
        <f t="shared" si="16"/>
        <v>360</v>
      </c>
      <c r="E304" s="42" t="s">
        <v>3</v>
      </c>
      <c r="F304" s="90">
        <f t="shared" si="17"/>
        <v>2550</v>
      </c>
      <c r="G304" s="42" t="s">
        <v>3</v>
      </c>
      <c r="H304" s="39">
        <v>6</v>
      </c>
      <c r="I304" s="40" t="s">
        <v>42</v>
      </c>
      <c r="J304" s="149">
        <v>140</v>
      </c>
      <c r="K304" s="66">
        <v>360</v>
      </c>
      <c r="L304" s="66">
        <v>2550</v>
      </c>
      <c r="M304" s="164">
        <v>34.801922429548291</v>
      </c>
      <c r="N304" s="78">
        <v>2450.1021654822912</v>
      </c>
      <c r="O304" s="113">
        <v>60696.652859009395</v>
      </c>
      <c r="P304" s="111">
        <v>75620.914935591791</v>
      </c>
      <c r="Q304" s="110">
        <v>37838.856239970264</v>
      </c>
      <c r="R304" s="258">
        <v>98535.509098979659</v>
      </c>
      <c r="S304" s="259">
        <v>113459.77117556205</v>
      </c>
      <c r="U304" s="7" t="s">
        <v>3150</v>
      </c>
    </row>
    <row r="305" spans="1:21" s="7" customFormat="1" ht="16.5" thickBot="1">
      <c r="A305" s="38" t="s">
        <v>31</v>
      </c>
      <c r="B305" s="39">
        <f t="shared" si="15"/>
        <v>140</v>
      </c>
      <c r="C305" s="39" t="s">
        <v>3</v>
      </c>
      <c r="D305" s="39">
        <f t="shared" si="16"/>
        <v>360</v>
      </c>
      <c r="E305" s="39" t="s">
        <v>3</v>
      </c>
      <c r="F305" s="90">
        <f t="shared" si="17"/>
        <v>2600</v>
      </c>
      <c r="G305" s="39" t="s">
        <v>3</v>
      </c>
      <c r="H305" s="39">
        <v>6</v>
      </c>
      <c r="I305" s="40" t="s">
        <v>42</v>
      </c>
      <c r="J305" s="149">
        <v>140</v>
      </c>
      <c r="K305" s="66">
        <v>360</v>
      </c>
      <c r="L305" s="66">
        <v>2600</v>
      </c>
      <c r="M305" s="164">
        <v>35.448625063172621</v>
      </c>
      <c r="N305" s="78">
        <v>2505.7863056068886</v>
      </c>
      <c r="O305" s="113">
        <v>60583.135508924614</v>
      </c>
      <c r="P305" s="111">
        <v>75465.540086468667</v>
      </c>
      <c r="Q305" s="110">
        <v>38442.277124208456</v>
      </c>
      <c r="R305" s="258">
        <v>99025.412633133063</v>
      </c>
      <c r="S305" s="259">
        <v>113907.81721067712</v>
      </c>
      <c r="U305" s="7" t="s">
        <v>3151</v>
      </c>
    </row>
    <row r="306" spans="1:21" s="7" customFormat="1" ht="16.5" thickBot="1">
      <c r="A306" s="41" t="s">
        <v>31</v>
      </c>
      <c r="B306" s="42">
        <f t="shared" si="15"/>
        <v>140</v>
      </c>
      <c r="C306" s="42" t="s">
        <v>3</v>
      </c>
      <c r="D306" s="42">
        <f t="shared" si="16"/>
        <v>360</v>
      </c>
      <c r="E306" s="42" t="s">
        <v>3</v>
      </c>
      <c r="F306" s="90">
        <f t="shared" si="17"/>
        <v>2650</v>
      </c>
      <c r="G306" s="42" t="s">
        <v>3</v>
      </c>
      <c r="H306" s="39">
        <v>6</v>
      </c>
      <c r="I306" s="40" t="s">
        <v>42</v>
      </c>
      <c r="J306" s="149">
        <v>140</v>
      </c>
      <c r="K306" s="66">
        <v>360</v>
      </c>
      <c r="L306" s="66">
        <v>2650</v>
      </c>
      <c r="M306" s="164">
        <v>36.095327696796943</v>
      </c>
      <c r="N306" s="78">
        <v>2561.4704457314861</v>
      </c>
      <c r="O306" s="113">
        <v>61908.186183366975</v>
      </c>
      <c r="P306" s="111">
        <v>77140.448184315115</v>
      </c>
      <c r="Q306" s="110">
        <v>39297.032146230413</v>
      </c>
      <c r="R306" s="258">
        <v>101205.21832959738</v>
      </c>
      <c r="S306" s="259">
        <v>116437.48033054553</v>
      </c>
      <c r="U306" s="7" t="s">
        <v>3152</v>
      </c>
    </row>
    <row r="307" spans="1:21" s="7" customFormat="1" ht="16.5" thickBot="1">
      <c r="A307" s="41" t="s">
        <v>31</v>
      </c>
      <c r="B307" s="42">
        <f t="shared" si="15"/>
        <v>140</v>
      </c>
      <c r="C307" s="42" t="s">
        <v>3</v>
      </c>
      <c r="D307" s="42">
        <f t="shared" si="16"/>
        <v>360</v>
      </c>
      <c r="E307" s="42" t="s">
        <v>3</v>
      </c>
      <c r="F307" s="90">
        <f t="shared" si="17"/>
        <v>2700</v>
      </c>
      <c r="G307" s="42" t="s">
        <v>3</v>
      </c>
      <c r="H307" s="39">
        <v>6</v>
      </c>
      <c r="I307" s="40" t="s">
        <v>42</v>
      </c>
      <c r="J307" s="149">
        <v>140</v>
      </c>
      <c r="K307" s="66">
        <v>360</v>
      </c>
      <c r="L307" s="66">
        <v>2700</v>
      </c>
      <c r="M307" s="164">
        <v>36.85836733042126</v>
      </c>
      <c r="N307" s="78">
        <v>2617.1545858560839</v>
      </c>
      <c r="O307" s="113">
        <v>63066.050177392506</v>
      </c>
      <c r="P307" s="111">
        <v>78568.7254834739</v>
      </c>
      <c r="Q307" s="110">
        <v>39900.453030468605</v>
      </c>
      <c r="R307" s="258">
        <v>102966.50320786111</v>
      </c>
      <c r="S307" s="259">
        <v>118469.1785139425</v>
      </c>
      <c r="U307" s="7" t="s">
        <v>3153</v>
      </c>
    </row>
    <row r="308" spans="1:21" s="7" customFormat="1" ht="16.5" thickBot="1">
      <c r="A308" s="41" t="s">
        <v>31</v>
      </c>
      <c r="B308" s="42">
        <f t="shared" si="15"/>
        <v>140</v>
      </c>
      <c r="C308" s="42" t="s">
        <v>3</v>
      </c>
      <c r="D308" s="42">
        <f t="shared" si="16"/>
        <v>360</v>
      </c>
      <c r="E308" s="42" t="s">
        <v>3</v>
      </c>
      <c r="F308" s="90">
        <f t="shared" si="17"/>
        <v>2750</v>
      </c>
      <c r="G308" s="42" t="s">
        <v>3</v>
      </c>
      <c r="H308" s="39">
        <v>6</v>
      </c>
      <c r="I308" s="40" t="s">
        <v>42</v>
      </c>
      <c r="J308" s="149">
        <v>140</v>
      </c>
      <c r="K308" s="66">
        <v>360</v>
      </c>
      <c r="L308" s="66">
        <v>2750</v>
      </c>
      <c r="M308" s="164">
        <v>37.505069964045575</v>
      </c>
      <c r="N308" s="78">
        <v>2672.8387259806809</v>
      </c>
      <c r="O308" s="113">
        <v>64090.244769311466</v>
      </c>
      <c r="P308" s="111">
        <v>79860.770913854096</v>
      </c>
      <c r="Q308" s="110">
        <v>40503.87391470679</v>
      </c>
      <c r="R308" s="258">
        <v>104594.11868401826</v>
      </c>
      <c r="S308" s="259">
        <v>120364.64482856088</v>
      </c>
      <c r="U308" s="7" t="s">
        <v>3154</v>
      </c>
    </row>
    <row r="309" spans="1:21" s="7" customFormat="1" ht="16.5" thickBot="1">
      <c r="A309" s="41" t="s">
        <v>31</v>
      </c>
      <c r="B309" s="42">
        <f t="shared" si="15"/>
        <v>140</v>
      </c>
      <c r="C309" s="42" t="s">
        <v>3</v>
      </c>
      <c r="D309" s="42">
        <f t="shared" si="16"/>
        <v>360</v>
      </c>
      <c r="E309" s="42" t="s">
        <v>3</v>
      </c>
      <c r="F309" s="90">
        <f t="shared" si="17"/>
        <v>2800</v>
      </c>
      <c r="G309" s="42" t="s">
        <v>3</v>
      </c>
      <c r="H309" s="39">
        <v>6</v>
      </c>
      <c r="I309" s="40" t="s">
        <v>42</v>
      </c>
      <c r="J309" s="149">
        <v>140</v>
      </c>
      <c r="K309" s="66">
        <v>360</v>
      </c>
      <c r="L309" s="66">
        <v>2800</v>
      </c>
      <c r="M309" s="164">
        <v>38.151772597669897</v>
      </c>
      <c r="N309" s="78">
        <v>2728.5228661052788</v>
      </c>
      <c r="O309" s="113">
        <v>65114.449461128934</v>
      </c>
      <c r="P309" s="111">
        <v>81152.818945723309</v>
      </c>
      <c r="Q309" s="110">
        <v>41358.628936728746</v>
      </c>
      <c r="R309" s="258">
        <v>106473.07839785768</v>
      </c>
      <c r="S309" s="259">
        <v>122511.44788245205</v>
      </c>
      <c r="U309" s="7" t="s">
        <v>3155</v>
      </c>
    </row>
    <row r="310" spans="1:21" ht="16.5" thickBot="1">
      <c r="A310" s="41" t="s">
        <v>31</v>
      </c>
      <c r="B310" s="42">
        <f t="shared" si="15"/>
        <v>140</v>
      </c>
      <c r="C310" s="42" t="s">
        <v>3</v>
      </c>
      <c r="D310" s="42">
        <f t="shared" si="16"/>
        <v>360</v>
      </c>
      <c r="E310" s="42" t="s">
        <v>3</v>
      </c>
      <c r="F310" s="90">
        <f t="shared" si="17"/>
        <v>2850</v>
      </c>
      <c r="G310" s="42" t="s">
        <v>3</v>
      </c>
      <c r="H310" s="39">
        <v>6</v>
      </c>
      <c r="I310" s="40" t="s">
        <v>42</v>
      </c>
      <c r="J310" s="149">
        <v>140</v>
      </c>
      <c r="K310" s="66">
        <v>360</v>
      </c>
      <c r="L310" s="66">
        <v>2850</v>
      </c>
      <c r="M310" s="164">
        <v>38.798475231294219</v>
      </c>
      <c r="N310" s="78">
        <v>2784.2070062298762</v>
      </c>
      <c r="O310" s="113">
        <v>66138.663793758591</v>
      </c>
      <c r="P310" s="111">
        <v>82444.86942605277</v>
      </c>
      <c r="Q310" s="110">
        <v>41962.049820966939</v>
      </c>
      <c r="R310" s="258">
        <v>108100.71361472554</v>
      </c>
      <c r="S310" s="259">
        <v>124406.91924701972</v>
      </c>
      <c r="U310" s="7" t="s">
        <v>3156</v>
      </c>
    </row>
    <row r="311" spans="1:21" ht="16.5" thickBot="1">
      <c r="A311" s="41" t="s">
        <v>31</v>
      </c>
      <c r="B311" s="42">
        <f t="shared" si="15"/>
        <v>140</v>
      </c>
      <c r="C311" s="42" t="s">
        <v>3</v>
      </c>
      <c r="D311" s="42">
        <f t="shared" si="16"/>
        <v>360</v>
      </c>
      <c r="E311" s="42" t="s">
        <v>3</v>
      </c>
      <c r="F311" s="90">
        <f t="shared" si="17"/>
        <v>2900</v>
      </c>
      <c r="G311" s="42" t="s">
        <v>3</v>
      </c>
      <c r="H311" s="39">
        <v>6</v>
      </c>
      <c r="I311" s="40" t="s">
        <v>42</v>
      </c>
      <c r="J311" s="149">
        <v>140</v>
      </c>
      <c r="K311" s="66">
        <v>360</v>
      </c>
      <c r="L311" s="66">
        <v>2900</v>
      </c>
      <c r="M311" s="164">
        <v>39.445177864918534</v>
      </c>
      <c r="N311" s="78">
        <v>2839.8911463544737</v>
      </c>
      <c r="O311" s="113">
        <v>67162.887002056625</v>
      </c>
      <c r="P311" s="111">
        <v>83736.922048784778</v>
      </c>
      <c r="Q311" s="110">
        <v>42816.804842988895</v>
      </c>
      <c r="R311" s="258">
        <v>109979.69184504551</v>
      </c>
      <c r="S311" s="259">
        <v>126553.72689177367</v>
      </c>
      <c r="U311" s="7" t="s">
        <v>3157</v>
      </c>
    </row>
    <row r="312" spans="1:21" ht="16.5" thickBot="1">
      <c r="A312" s="41" t="s">
        <v>31</v>
      </c>
      <c r="B312" s="42">
        <f t="shared" si="15"/>
        <v>140</v>
      </c>
      <c r="C312" s="42" t="s">
        <v>3</v>
      </c>
      <c r="D312" s="42">
        <f t="shared" si="16"/>
        <v>360</v>
      </c>
      <c r="E312" s="42" t="s">
        <v>3</v>
      </c>
      <c r="F312" s="90">
        <f t="shared" si="17"/>
        <v>2950</v>
      </c>
      <c r="G312" s="42" t="s">
        <v>3</v>
      </c>
      <c r="H312" s="39">
        <v>6</v>
      </c>
      <c r="I312" s="40" t="s">
        <v>42</v>
      </c>
      <c r="J312" s="149">
        <v>140</v>
      </c>
      <c r="K312" s="66">
        <v>360</v>
      </c>
      <c r="L312" s="66">
        <v>2950</v>
      </c>
      <c r="M312" s="164">
        <v>40.091880498542857</v>
      </c>
      <c r="N312" s="78">
        <v>2895.5752864790716</v>
      </c>
      <c r="O312" s="113">
        <v>68187.119086023056</v>
      </c>
      <c r="P312" s="111">
        <v>85028.976813919799</v>
      </c>
      <c r="Q312" s="110">
        <v>43420.22572722708</v>
      </c>
      <c r="R312" s="258">
        <v>111607.34481325014</v>
      </c>
      <c r="S312" s="259">
        <v>128449.20254114688</v>
      </c>
      <c r="U312" s="7" t="s">
        <v>3158</v>
      </c>
    </row>
    <row r="313" spans="1:21" ht="16.5" thickBot="1">
      <c r="A313" s="43" t="s">
        <v>31</v>
      </c>
      <c r="B313" s="44">
        <f t="shared" si="15"/>
        <v>140</v>
      </c>
      <c r="C313" s="44" t="s">
        <v>3</v>
      </c>
      <c r="D313" s="44">
        <f t="shared" si="16"/>
        <v>360</v>
      </c>
      <c r="E313" s="44" t="s">
        <v>3</v>
      </c>
      <c r="F313" s="91">
        <f t="shared" si="17"/>
        <v>3000</v>
      </c>
      <c r="G313" s="44" t="s">
        <v>3</v>
      </c>
      <c r="H313" s="39">
        <v>6</v>
      </c>
      <c r="I313" s="45" t="s">
        <v>42</v>
      </c>
      <c r="J313" s="149">
        <v>140</v>
      </c>
      <c r="K313" s="126">
        <v>360</v>
      </c>
      <c r="L313" s="126">
        <v>3000</v>
      </c>
      <c r="M313" s="171">
        <v>40.738583132167172</v>
      </c>
      <c r="N313" s="127">
        <v>2951.2594266036685</v>
      </c>
      <c r="O313" s="128">
        <v>70261.334628493438</v>
      </c>
      <c r="P313" s="135">
        <v>86321.033721457396</v>
      </c>
      <c r="Q313" s="136">
        <v>44274.980749249036</v>
      </c>
      <c r="R313" s="260">
        <v>114536.31537774247</v>
      </c>
      <c r="S313" s="261">
        <v>130596.01447070643</v>
      </c>
      <c r="U313" s="7" t="s">
        <v>3159</v>
      </c>
    </row>
    <row r="314" spans="1:21" ht="22.5" customHeight="1" thickBot="1">
      <c r="A314" s="3010" t="s">
        <v>44</v>
      </c>
      <c r="B314" s="3011"/>
      <c r="C314" s="3011"/>
      <c r="D314" s="3011"/>
      <c r="E314" s="3011"/>
      <c r="F314" s="3011"/>
      <c r="G314" s="3011"/>
      <c r="H314" s="3011"/>
      <c r="I314" s="3011"/>
      <c r="J314" s="3011"/>
      <c r="K314" s="3011"/>
      <c r="L314" s="3011"/>
      <c r="M314" s="3011"/>
      <c r="N314" s="3011"/>
      <c r="O314" s="3011"/>
      <c r="P314" s="3011"/>
      <c r="Q314" s="3011"/>
      <c r="R314" s="3011"/>
      <c r="S314" s="3012"/>
      <c r="U314" s="7"/>
    </row>
    <row r="315" spans="1:21" ht="16.5" thickBot="1">
      <c r="A315" s="2974" t="s">
        <v>118</v>
      </c>
      <c r="B315" s="2975"/>
      <c r="C315" s="2975"/>
      <c r="D315" s="2975"/>
      <c r="E315" s="2975"/>
      <c r="F315" s="2975"/>
      <c r="G315" s="2975"/>
      <c r="H315" s="2975"/>
      <c r="I315" s="2975"/>
      <c r="J315" s="2975"/>
      <c r="K315" s="2975"/>
      <c r="L315" s="2975"/>
      <c r="M315" s="2975"/>
      <c r="N315" s="2975"/>
      <c r="O315" s="2975"/>
      <c r="P315" s="2975"/>
      <c r="Q315" s="2975"/>
      <c r="R315" s="2975"/>
      <c r="S315" s="2976"/>
      <c r="U315" s="7"/>
    </row>
    <row r="316" spans="1:21" ht="16.5" thickBot="1">
      <c r="A316" s="38" t="s">
        <v>31</v>
      </c>
      <c r="B316" s="39">
        <f>J316</f>
        <v>140</v>
      </c>
      <c r="C316" s="39" t="s">
        <v>3</v>
      </c>
      <c r="D316" s="39">
        <f>K316</f>
        <v>360</v>
      </c>
      <c r="E316" s="39" t="s">
        <v>3</v>
      </c>
      <c r="F316" s="90">
        <f>L316</f>
        <v>600</v>
      </c>
      <c r="G316" s="39" t="s">
        <v>3</v>
      </c>
      <c r="H316" s="39">
        <v>8</v>
      </c>
      <c r="I316" s="40" t="s">
        <v>42</v>
      </c>
      <c r="J316" s="146">
        <v>140</v>
      </c>
      <c r="K316" s="122">
        <v>360</v>
      </c>
      <c r="L316" s="122">
        <v>600</v>
      </c>
      <c r="M316" s="163">
        <v>9.4419859768821617</v>
      </c>
      <c r="N316" s="123">
        <v>305.95681387141497</v>
      </c>
      <c r="O316" s="124">
        <v>21359.901943762023</v>
      </c>
      <c r="P316" s="148">
        <v>25369.750638092206</v>
      </c>
      <c r="Q316" s="139">
        <v>10032.760953270536</v>
      </c>
      <c r="R316" s="256">
        <v>31392.662897032558</v>
      </c>
      <c r="S316" s="257">
        <v>35402.511591362738</v>
      </c>
      <c r="U316" s="7" t="s">
        <v>3160</v>
      </c>
    </row>
    <row r="317" spans="1:21" ht="16.5" thickBot="1">
      <c r="A317" s="41" t="s">
        <v>31</v>
      </c>
      <c r="B317" s="42">
        <f t="shared" ref="B317:B364" si="18">J317</f>
        <v>140</v>
      </c>
      <c r="C317" s="42" t="s">
        <v>3</v>
      </c>
      <c r="D317" s="42">
        <f t="shared" ref="D317:D364" si="19">K317</f>
        <v>360</v>
      </c>
      <c r="E317" s="42" t="s">
        <v>3</v>
      </c>
      <c r="F317" s="90">
        <f t="shared" ref="F317:F364" si="20">L317</f>
        <v>650</v>
      </c>
      <c r="G317" s="42" t="s">
        <v>3</v>
      </c>
      <c r="H317" s="39">
        <v>8</v>
      </c>
      <c r="I317" s="40" t="s">
        <v>42</v>
      </c>
      <c r="J317" s="149">
        <v>140</v>
      </c>
      <c r="K317" s="66">
        <v>360</v>
      </c>
      <c r="L317" s="66">
        <v>650</v>
      </c>
      <c r="M317" s="164">
        <v>10.15451153170792</v>
      </c>
      <c r="N317" s="78">
        <v>367.14817664569796</v>
      </c>
      <c r="O317" s="113">
        <v>22624.037528872435</v>
      </c>
      <c r="P317" s="111">
        <v>26879.715610247313</v>
      </c>
      <c r="Q317" s="110">
        <v>10636.181837508726</v>
      </c>
      <c r="R317" s="258">
        <v>33260.219366381163</v>
      </c>
      <c r="S317" s="259">
        <v>37515.89744775604</v>
      </c>
      <c r="U317" s="7" t="s">
        <v>3161</v>
      </c>
    </row>
    <row r="318" spans="1:21" ht="16.5" thickBot="1">
      <c r="A318" s="41" t="s">
        <v>31</v>
      </c>
      <c r="B318" s="42">
        <f t="shared" si="18"/>
        <v>140</v>
      </c>
      <c r="C318" s="42" t="s">
        <v>3</v>
      </c>
      <c r="D318" s="42">
        <f t="shared" si="19"/>
        <v>360</v>
      </c>
      <c r="E318" s="42" t="s">
        <v>3</v>
      </c>
      <c r="F318" s="90">
        <f t="shared" si="20"/>
        <v>700</v>
      </c>
      <c r="G318" s="42" t="s">
        <v>3</v>
      </c>
      <c r="H318" s="39">
        <v>8</v>
      </c>
      <c r="I318" s="40" t="s">
        <v>42</v>
      </c>
      <c r="J318" s="149">
        <v>140</v>
      </c>
      <c r="K318" s="66">
        <v>360</v>
      </c>
      <c r="L318" s="66">
        <v>700</v>
      </c>
      <c r="M318" s="164">
        <v>10.883872606533679</v>
      </c>
      <c r="N318" s="78">
        <v>428.33953941998095</v>
      </c>
      <c r="O318" s="113">
        <v>23888.173267011611</v>
      </c>
      <c r="P318" s="111">
        <v>28389.680735431179</v>
      </c>
      <c r="Q318" s="110">
        <v>11490.936859530682</v>
      </c>
      <c r="R318" s="258">
        <v>35379.110126542291</v>
      </c>
      <c r="S318" s="259">
        <v>39880.617594961863</v>
      </c>
      <c r="U318" s="7" t="s">
        <v>3162</v>
      </c>
    </row>
    <row r="319" spans="1:21" ht="16.5" thickBot="1">
      <c r="A319" s="41" t="s">
        <v>31</v>
      </c>
      <c r="B319" s="42">
        <f t="shared" si="18"/>
        <v>140</v>
      </c>
      <c r="C319" s="42" t="s">
        <v>3</v>
      </c>
      <c r="D319" s="42">
        <f t="shared" si="19"/>
        <v>360</v>
      </c>
      <c r="E319" s="42" t="s">
        <v>3</v>
      </c>
      <c r="F319" s="90">
        <f t="shared" si="20"/>
        <v>750</v>
      </c>
      <c r="G319" s="42" t="s">
        <v>3</v>
      </c>
      <c r="H319" s="39">
        <v>8</v>
      </c>
      <c r="I319" s="40" t="s">
        <v>42</v>
      </c>
      <c r="J319" s="149">
        <v>140</v>
      </c>
      <c r="K319" s="66">
        <v>360</v>
      </c>
      <c r="L319" s="66">
        <v>750</v>
      </c>
      <c r="M319" s="164">
        <v>11.596398161359438</v>
      </c>
      <c r="N319" s="78">
        <v>489.53090219426394</v>
      </c>
      <c r="O319" s="113">
        <v>25152.308852122023</v>
      </c>
      <c r="P319" s="111">
        <v>29899.645707586282</v>
      </c>
      <c r="Q319" s="110">
        <v>12094.357743768871</v>
      </c>
      <c r="R319" s="258">
        <v>37246.666595890892</v>
      </c>
      <c r="S319" s="259">
        <v>41994.003451355151</v>
      </c>
      <c r="U319" s="7" t="s">
        <v>3163</v>
      </c>
    </row>
    <row r="320" spans="1:21" ht="16.5" thickBot="1">
      <c r="A320" s="41" t="s">
        <v>31</v>
      </c>
      <c r="B320" s="42">
        <f t="shared" si="18"/>
        <v>140</v>
      </c>
      <c r="C320" s="42" t="s">
        <v>3</v>
      </c>
      <c r="D320" s="42">
        <f t="shared" si="19"/>
        <v>360</v>
      </c>
      <c r="E320" s="42" t="s">
        <v>3</v>
      </c>
      <c r="F320" s="90">
        <f t="shared" si="20"/>
        <v>800</v>
      </c>
      <c r="G320" s="42" t="s">
        <v>3</v>
      </c>
      <c r="H320" s="39">
        <v>8</v>
      </c>
      <c r="I320" s="40" t="s">
        <v>42</v>
      </c>
      <c r="J320" s="149">
        <v>140</v>
      </c>
      <c r="K320" s="66">
        <v>360</v>
      </c>
      <c r="L320" s="66">
        <v>800</v>
      </c>
      <c r="M320" s="164">
        <v>12.3089237161852</v>
      </c>
      <c r="N320" s="78">
        <v>550.72226496854694</v>
      </c>
      <c r="O320" s="113">
        <v>26416.444437232436</v>
      </c>
      <c r="P320" s="111">
        <v>31409.610679741389</v>
      </c>
      <c r="Q320" s="110">
        <v>12697.77862800706</v>
      </c>
      <c r="R320" s="258">
        <v>39114.223065239494</v>
      </c>
      <c r="S320" s="259">
        <v>44107.389307748446</v>
      </c>
      <c r="U320" s="7" t="s">
        <v>3164</v>
      </c>
    </row>
    <row r="321" spans="1:21" ht="16.5" thickBot="1">
      <c r="A321" s="41" t="s">
        <v>31</v>
      </c>
      <c r="B321" s="42">
        <f t="shared" si="18"/>
        <v>140</v>
      </c>
      <c r="C321" s="42" t="s">
        <v>3</v>
      </c>
      <c r="D321" s="42">
        <f t="shared" si="19"/>
        <v>360</v>
      </c>
      <c r="E321" s="42" t="s">
        <v>3</v>
      </c>
      <c r="F321" s="90">
        <f t="shared" si="20"/>
        <v>850</v>
      </c>
      <c r="G321" s="42" t="s">
        <v>3</v>
      </c>
      <c r="H321" s="39">
        <v>8</v>
      </c>
      <c r="I321" s="40" t="s">
        <v>42</v>
      </c>
      <c r="J321" s="149">
        <v>140</v>
      </c>
      <c r="K321" s="66">
        <v>360</v>
      </c>
      <c r="L321" s="66">
        <v>850</v>
      </c>
      <c r="M321" s="164">
        <v>13.038284791010961</v>
      </c>
      <c r="N321" s="78">
        <v>611.91362774282993</v>
      </c>
      <c r="O321" s="113">
        <v>27680.580175371615</v>
      </c>
      <c r="P321" s="111">
        <v>32919.575804925254</v>
      </c>
      <c r="Q321" s="110">
        <v>13552.533650029018</v>
      </c>
      <c r="R321" s="258">
        <v>41233.113825400636</v>
      </c>
      <c r="S321" s="259">
        <v>46472.109454954276</v>
      </c>
      <c r="U321" s="7" t="s">
        <v>3165</v>
      </c>
    </row>
    <row r="322" spans="1:21" ht="16.5" thickBot="1">
      <c r="A322" s="41" t="s">
        <v>31</v>
      </c>
      <c r="B322" s="42">
        <f t="shared" si="18"/>
        <v>140</v>
      </c>
      <c r="C322" s="42" t="s">
        <v>3</v>
      </c>
      <c r="D322" s="42">
        <f t="shared" si="19"/>
        <v>360</v>
      </c>
      <c r="E322" s="42" t="s">
        <v>3</v>
      </c>
      <c r="F322" s="90">
        <f t="shared" si="20"/>
        <v>900</v>
      </c>
      <c r="G322" s="42" t="s">
        <v>3</v>
      </c>
      <c r="H322" s="39">
        <v>8</v>
      </c>
      <c r="I322" s="40" t="s">
        <v>42</v>
      </c>
      <c r="J322" s="149">
        <v>140</v>
      </c>
      <c r="K322" s="66">
        <v>360</v>
      </c>
      <c r="L322" s="66">
        <v>900</v>
      </c>
      <c r="M322" s="164">
        <v>13.750810345836721</v>
      </c>
      <c r="N322" s="78">
        <v>673.10499051711292</v>
      </c>
      <c r="O322" s="113">
        <v>28944.715760481871</v>
      </c>
      <c r="P322" s="111">
        <v>34429.540777080365</v>
      </c>
      <c r="Q322" s="110">
        <v>14155.954534267206</v>
      </c>
      <c r="R322" s="258">
        <v>43100.670294749078</v>
      </c>
      <c r="S322" s="259">
        <v>48585.495311347571</v>
      </c>
      <c r="U322" s="7" t="s">
        <v>3166</v>
      </c>
    </row>
    <row r="323" spans="1:21" ht="16.5" thickBot="1">
      <c r="A323" s="41" t="s">
        <v>31</v>
      </c>
      <c r="B323" s="42">
        <f t="shared" si="18"/>
        <v>140</v>
      </c>
      <c r="C323" s="42" t="s">
        <v>3</v>
      </c>
      <c r="D323" s="42">
        <f t="shared" si="19"/>
        <v>360</v>
      </c>
      <c r="E323" s="42" t="s">
        <v>3</v>
      </c>
      <c r="F323" s="90">
        <f t="shared" si="20"/>
        <v>950</v>
      </c>
      <c r="G323" s="42" t="s">
        <v>3</v>
      </c>
      <c r="H323" s="39">
        <v>8</v>
      </c>
      <c r="I323" s="40" t="s">
        <v>42</v>
      </c>
      <c r="J323" s="149">
        <v>140</v>
      </c>
      <c r="K323" s="66">
        <v>360</v>
      </c>
      <c r="L323" s="66">
        <v>950</v>
      </c>
      <c r="M323" s="164">
        <v>14.480171420662481</v>
      </c>
      <c r="N323" s="78">
        <v>734.29635329139592</v>
      </c>
      <c r="O323" s="113">
        <v>30208.851498621199</v>
      </c>
      <c r="P323" s="111">
        <v>35939.505902264231</v>
      </c>
      <c r="Q323" s="110">
        <v>15010.709556289165</v>
      </c>
      <c r="R323" s="258">
        <v>45219.561054910366</v>
      </c>
      <c r="S323" s="259">
        <v>50950.215458553394</v>
      </c>
      <c r="U323" s="7" t="s">
        <v>3167</v>
      </c>
    </row>
    <row r="324" spans="1:21" ht="16.5" thickBot="1">
      <c r="A324" s="41" t="s">
        <v>31</v>
      </c>
      <c r="B324" s="42">
        <f t="shared" si="18"/>
        <v>140</v>
      </c>
      <c r="C324" s="42" t="s">
        <v>3</v>
      </c>
      <c r="D324" s="42">
        <f t="shared" si="19"/>
        <v>360</v>
      </c>
      <c r="E324" s="42" t="s">
        <v>3</v>
      </c>
      <c r="F324" s="90">
        <f t="shared" si="20"/>
        <v>1000</v>
      </c>
      <c r="G324" s="42" t="s">
        <v>3</v>
      </c>
      <c r="H324" s="39">
        <v>8</v>
      </c>
      <c r="I324" s="40" t="s">
        <v>42</v>
      </c>
      <c r="J324" s="149">
        <v>140</v>
      </c>
      <c r="K324" s="66">
        <v>360</v>
      </c>
      <c r="L324" s="66">
        <v>1000</v>
      </c>
      <c r="M324" s="164">
        <v>15.192696975488241</v>
      </c>
      <c r="N324" s="78">
        <v>795.48771606567891</v>
      </c>
      <c r="O324" s="113">
        <v>31472.987083731616</v>
      </c>
      <c r="P324" s="111">
        <v>37449.470874419341</v>
      </c>
      <c r="Q324" s="110">
        <v>15614.130440527351</v>
      </c>
      <c r="R324" s="258">
        <v>47087.117524258967</v>
      </c>
      <c r="S324" s="259">
        <v>53063.601314946689</v>
      </c>
      <c r="U324" s="7" t="s">
        <v>3168</v>
      </c>
    </row>
    <row r="325" spans="1:21" ht="16.5" thickBot="1">
      <c r="A325" s="41" t="s">
        <v>31</v>
      </c>
      <c r="B325" s="42">
        <f t="shared" si="18"/>
        <v>140</v>
      </c>
      <c r="C325" s="42" t="s">
        <v>3</v>
      </c>
      <c r="D325" s="42">
        <f t="shared" si="19"/>
        <v>360</v>
      </c>
      <c r="E325" s="42" t="s">
        <v>3</v>
      </c>
      <c r="F325" s="90">
        <f t="shared" si="20"/>
        <v>1050</v>
      </c>
      <c r="G325" s="42" t="s">
        <v>3</v>
      </c>
      <c r="H325" s="39">
        <v>8</v>
      </c>
      <c r="I325" s="40" t="s">
        <v>42</v>
      </c>
      <c r="J325" s="149">
        <v>140</v>
      </c>
      <c r="K325" s="66">
        <v>360</v>
      </c>
      <c r="L325" s="66">
        <v>1050</v>
      </c>
      <c r="M325" s="164">
        <v>15.922058050314002</v>
      </c>
      <c r="N325" s="78">
        <v>856.6790788399619</v>
      </c>
      <c r="O325" s="113">
        <v>32737.122668842025</v>
      </c>
      <c r="P325" s="111">
        <v>38959.435999603207</v>
      </c>
      <c r="Q325" s="110">
        <v>16468.885462549311</v>
      </c>
      <c r="R325" s="258">
        <v>49206.00813139134</v>
      </c>
      <c r="S325" s="259">
        <v>55428.321462152519</v>
      </c>
      <c r="U325" s="7" t="s">
        <v>3169</v>
      </c>
    </row>
    <row r="326" spans="1:21" ht="16.5" thickBot="1">
      <c r="A326" s="38" t="s">
        <v>31</v>
      </c>
      <c r="B326" s="39">
        <f t="shared" si="18"/>
        <v>140</v>
      </c>
      <c r="C326" s="39" t="s">
        <v>3</v>
      </c>
      <c r="D326" s="39">
        <f t="shared" si="19"/>
        <v>360</v>
      </c>
      <c r="E326" s="39" t="s">
        <v>3</v>
      </c>
      <c r="F326" s="90">
        <f t="shared" si="20"/>
        <v>1100</v>
      </c>
      <c r="G326" s="39" t="s">
        <v>3</v>
      </c>
      <c r="H326" s="39">
        <v>8</v>
      </c>
      <c r="I326" s="40" t="s">
        <v>42</v>
      </c>
      <c r="J326" s="149">
        <v>140</v>
      </c>
      <c r="K326" s="66">
        <v>360</v>
      </c>
      <c r="L326" s="66">
        <v>1100</v>
      </c>
      <c r="M326" s="164">
        <v>16.63458360513976</v>
      </c>
      <c r="N326" s="78">
        <v>917.8704416142449</v>
      </c>
      <c r="O326" s="113">
        <v>34001.2584069812</v>
      </c>
      <c r="P326" s="111">
        <v>40469.400971758318</v>
      </c>
      <c r="Q326" s="110">
        <v>17072.3063467875</v>
      </c>
      <c r="R326" s="258">
        <v>51073.564753768704</v>
      </c>
      <c r="S326" s="259">
        <v>57541.707318545814</v>
      </c>
      <c r="U326" s="7" t="s">
        <v>3170</v>
      </c>
    </row>
    <row r="327" spans="1:21" ht="16.5" thickBot="1">
      <c r="A327" s="41" t="s">
        <v>31</v>
      </c>
      <c r="B327" s="42">
        <f t="shared" si="18"/>
        <v>140</v>
      </c>
      <c r="C327" s="42" t="s">
        <v>3</v>
      </c>
      <c r="D327" s="42">
        <f t="shared" si="19"/>
        <v>360</v>
      </c>
      <c r="E327" s="42" t="s">
        <v>3</v>
      </c>
      <c r="F327" s="90">
        <f t="shared" si="20"/>
        <v>1150</v>
      </c>
      <c r="G327" s="42" t="s">
        <v>3</v>
      </c>
      <c r="H327" s="39">
        <v>8</v>
      </c>
      <c r="I327" s="40" t="s">
        <v>42</v>
      </c>
      <c r="J327" s="149">
        <v>140</v>
      </c>
      <c r="K327" s="66">
        <v>360</v>
      </c>
      <c r="L327" s="66">
        <v>1150</v>
      </c>
      <c r="M327" s="164">
        <v>17.34710915996552</v>
      </c>
      <c r="N327" s="78">
        <v>979.06180438852789</v>
      </c>
      <c r="O327" s="113">
        <v>35265.393992091616</v>
      </c>
      <c r="P327" s="111">
        <v>41979.365943913421</v>
      </c>
      <c r="Q327" s="110">
        <v>17675.727231025689</v>
      </c>
      <c r="R327" s="258">
        <v>52941.121223117305</v>
      </c>
      <c r="S327" s="259">
        <v>59655.093174939109</v>
      </c>
      <c r="U327" s="7" t="s">
        <v>3171</v>
      </c>
    </row>
    <row r="328" spans="1:21" ht="16.5" thickBot="1">
      <c r="A328" s="41" t="s">
        <v>31</v>
      </c>
      <c r="B328" s="42">
        <f t="shared" si="18"/>
        <v>140</v>
      </c>
      <c r="C328" s="42" t="s">
        <v>3</v>
      </c>
      <c r="D328" s="42">
        <f t="shared" si="19"/>
        <v>360</v>
      </c>
      <c r="E328" s="42" t="s">
        <v>3</v>
      </c>
      <c r="F328" s="90">
        <f t="shared" si="20"/>
        <v>1200</v>
      </c>
      <c r="G328" s="42" t="s">
        <v>3</v>
      </c>
      <c r="H328" s="39">
        <v>8</v>
      </c>
      <c r="I328" s="40" t="s">
        <v>42</v>
      </c>
      <c r="J328" s="149">
        <v>140</v>
      </c>
      <c r="K328" s="66">
        <v>360</v>
      </c>
      <c r="L328" s="66">
        <v>1200</v>
      </c>
      <c r="M328" s="164">
        <v>18.23158623479128</v>
      </c>
      <c r="N328" s="78">
        <v>1040.2531671628108</v>
      </c>
      <c r="O328" s="113">
        <v>36697.726247468687</v>
      </c>
      <c r="P328" s="111">
        <v>43658.554409349177</v>
      </c>
      <c r="Q328" s="110">
        <v>18530.482406076411</v>
      </c>
      <c r="R328" s="258">
        <v>55228.208653545094</v>
      </c>
      <c r="S328" s="259">
        <v>62189.036815425585</v>
      </c>
      <c r="U328" s="7" t="s">
        <v>3172</v>
      </c>
    </row>
    <row r="329" spans="1:21" s="7" customFormat="1" ht="16.5" thickBot="1">
      <c r="A329" s="41" t="s">
        <v>31</v>
      </c>
      <c r="B329" s="42">
        <f t="shared" si="18"/>
        <v>140</v>
      </c>
      <c r="C329" s="42" t="s">
        <v>3</v>
      </c>
      <c r="D329" s="42">
        <f t="shared" si="19"/>
        <v>360</v>
      </c>
      <c r="E329" s="42" t="s">
        <v>3</v>
      </c>
      <c r="F329" s="90">
        <f t="shared" si="20"/>
        <v>1250</v>
      </c>
      <c r="G329" s="42" t="s">
        <v>3</v>
      </c>
      <c r="H329" s="39">
        <v>8</v>
      </c>
      <c r="I329" s="40" t="s">
        <v>42</v>
      </c>
      <c r="J329" s="149">
        <v>140</v>
      </c>
      <c r="K329" s="66">
        <v>360</v>
      </c>
      <c r="L329" s="66">
        <v>1250</v>
      </c>
      <c r="M329" s="164">
        <v>18.94411178961704</v>
      </c>
      <c r="N329" s="78">
        <v>1101.4445299370939</v>
      </c>
      <c r="O329" s="113">
        <v>37961.861832579096</v>
      </c>
      <c r="P329" s="111">
        <v>45168.519534533043</v>
      </c>
      <c r="Q329" s="110">
        <v>19133.9032903146</v>
      </c>
      <c r="R329" s="258">
        <v>57095.765122893696</v>
      </c>
      <c r="S329" s="259">
        <v>64302.422824847643</v>
      </c>
      <c r="U329" s="7" t="s">
        <v>3173</v>
      </c>
    </row>
    <row r="330" spans="1:21" s="7" customFormat="1" ht="16.5" thickBot="1">
      <c r="A330" s="41" t="s">
        <v>31</v>
      </c>
      <c r="B330" s="42">
        <f t="shared" si="18"/>
        <v>140</v>
      </c>
      <c r="C330" s="42" t="s">
        <v>3</v>
      </c>
      <c r="D330" s="42">
        <f t="shared" si="19"/>
        <v>360</v>
      </c>
      <c r="E330" s="42" t="s">
        <v>3</v>
      </c>
      <c r="F330" s="90">
        <f t="shared" si="20"/>
        <v>1300</v>
      </c>
      <c r="G330" s="42" t="s">
        <v>3</v>
      </c>
      <c r="H330" s="39">
        <v>8</v>
      </c>
      <c r="I330" s="40" t="s">
        <v>42</v>
      </c>
      <c r="J330" s="149">
        <v>140</v>
      </c>
      <c r="K330" s="66">
        <v>360</v>
      </c>
      <c r="L330" s="66">
        <v>1300</v>
      </c>
      <c r="M330" s="164">
        <v>19.6734728644428</v>
      </c>
      <c r="N330" s="78">
        <v>1162.6358927113768</v>
      </c>
      <c r="O330" s="113">
        <v>39225.997417689505</v>
      </c>
      <c r="P330" s="111">
        <v>46678.484506688146</v>
      </c>
      <c r="Q330" s="110">
        <v>19988.658312336556</v>
      </c>
      <c r="R330" s="258">
        <v>59214.655730026061</v>
      </c>
      <c r="S330" s="259">
        <v>66667.14281902471</v>
      </c>
      <c r="U330" s="7" t="s">
        <v>3174</v>
      </c>
    </row>
    <row r="331" spans="1:21" s="7" customFormat="1" ht="16.5" thickBot="1">
      <c r="A331" s="41" t="s">
        <v>31</v>
      </c>
      <c r="B331" s="42">
        <f t="shared" si="18"/>
        <v>140</v>
      </c>
      <c r="C331" s="42" t="s">
        <v>3</v>
      </c>
      <c r="D331" s="42">
        <f t="shared" si="19"/>
        <v>360</v>
      </c>
      <c r="E331" s="42" t="s">
        <v>3</v>
      </c>
      <c r="F331" s="90">
        <f t="shared" si="20"/>
        <v>1350</v>
      </c>
      <c r="G331" s="42" t="s">
        <v>3</v>
      </c>
      <c r="H331" s="39">
        <v>8</v>
      </c>
      <c r="I331" s="40" t="s">
        <v>42</v>
      </c>
      <c r="J331" s="149">
        <v>140</v>
      </c>
      <c r="K331" s="66">
        <v>360</v>
      </c>
      <c r="L331" s="66">
        <v>1350</v>
      </c>
      <c r="M331" s="164">
        <v>20.38599841926856</v>
      </c>
      <c r="N331" s="78">
        <v>1223.8272554856599</v>
      </c>
      <c r="O331" s="113">
        <v>40490.133155828684</v>
      </c>
      <c r="P331" s="111">
        <v>48188.449631872019</v>
      </c>
      <c r="Q331" s="110">
        <v>20592.079196574745</v>
      </c>
      <c r="R331" s="258">
        <v>61082.212352403425</v>
      </c>
      <c r="S331" s="259">
        <v>68780.528828446768</v>
      </c>
      <c r="U331" s="7" t="s">
        <v>3175</v>
      </c>
    </row>
    <row r="332" spans="1:21" s="7" customFormat="1" ht="16.5" thickBot="1">
      <c r="A332" s="41" t="s">
        <v>31</v>
      </c>
      <c r="B332" s="42">
        <f t="shared" si="18"/>
        <v>140</v>
      </c>
      <c r="C332" s="42" t="s">
        <v>3</v>
      </c>
      <c r="D332" s="42">
        <f t="shared" si="19"/>
        <v>360</v>
      </c>
      <c r="E332" s="42" t="s">
        <v>3</v>
      </c>
      <c r="F332" s="90">
        <f t="shared" si="20"/>
        <v>1400</v>
      </c>
      <c r="G332" s="42" t="s">
        <v>3</v>
      </c>
      <c r="H332" s="39">
        <v>8</v>
      </c>
      <c r="I332" s="40" t="s">
        <v>42</v>
      </c>
      <c r="J332" s="149">
        <v>140</v>
      </c>
      <c r="K332" s="66">
        <v>360</v>
      </c>
      <c r="L332" s="66">
        <v>1400</v>
      </c>
      <c r="M332" s="164">
        <v>21.115359494094321</v>
      </c>
      <c r="N332" s="78">
        <v>1285.018618259943</v>
      </c>
      <c r="O332" s="113">
        <v>41754.2687409391</v>
      </c>
      <c r="P332" s="111">
        <v>49698.414604027123</v>
      </c>
      <c r="Q332" s="110">
        <v>21446.834218596705</v>
      </c>
      <c r="R332" s="258">
        <v>63201.102959535805</v>
      </c>
      <c r="S332" s="259">
        <v>71145.248822623835</v>
      </c>
      <c r="U332" s="7" t="s">
        <v>3176</v>
      </c>
    </row>
    <row r="333" spans="1:21" s="7" customFormat="1" ht="16.5" thickBot="1">
      <c r="A333" s="41" t="s">
        <v>31</v>
      </c>
      <c r="B333" s="42">
        <f t="shared" si="18"/>
        <v>140</v>
      </c>
      <c r="C333" s="42" t="s">
        <v>3</v>
      </c>
      <c r="D333" s="42">
        <f t="shared" si="19"/>
        <v>360</v>
      </c>
      <c r="E333" s="42" t="s">
        <v>3</v>
      </c>
      <c r="F333" s="90">
        <f t="shared" si="20"/>
        <v>1450</v>
      </c>
      <c r="G333" s="42" t="s">
        <v>3</v>
      </c>
      <c r="H333" s="39">
        <v>8</v>
      </c>
      <c r="I333" s="40" t="s">
        <v>42</v>
      </c>
      <c r="J333" s="149">
        <v>140</v>
      </c>
      <c r="K333" s="66">
        <v>360</v>
      </c>
      <c r="L333" s="66">
        <v>1450</v>
      </c>
      <c r="M333" s="164">
        <v>21.827885048920084</v>
      </c>
      <c r="N333" s="78">
        <v>1346.2099810342258</v>
      </c>
      <c r="O333" s="113">
        <v>43018.404326049509</v>
      </c>
      <c r="P333" s="111">
        <v>51208.379729210996</v>
      </c>
      <c r="Q333" s="110">
        <v>22050.255102834893</v>
      </c>
      <c r="R333" s="258">
        <v>65068.659428884406</v>
      </c>
      <c r="S333" s="259">
        <v>73258.634832045893</v>
      </c>
      <c r="U333" s="7" t="s">
        <v>3177</v>
      </c>
    </row>
    <row r="334" spans="1:21" s="7" customFormat="1" ht="16.5" thickBot="1">
      <c r="A334" s="41" t="s">
        <v>31</v>
      </c>
      <c r="B334" s="42">
        <f t="shared" si="18"/>
        <v>140</v>
      </c>
      <c r="C334" s="42" t="s">
        <v>3</v>
      </c>
      <c r="D334" s="42">
        <f t="shared" si="19"/>
        <v>360</v>
      </c>
      <c r="E334" s="42" t="s">
        <v>3</v>
      </c>
      <c r="F334" s="90">
        <f t="shared" si="20"/>
        <v>1500</v>
      </c>
      <c r="G334" s="42" t="s">
        <v>3</v>
      </c>
      <c r="H334" s="39">
        <v>8</v>
      </c>
      <c r="I334" s="40" t="s">
        <v>42</v>
      </c>
      <c r="J334" s="149">
        <v>140</v>
      </c>
      <c r="K334" s="66">
        <v>360</v>
      </c>
      <c r="L334" s="66">
        <v>1500</v>
      </c>
      <c r="M334" s="164">
        <v>22.758036749506239</v>
      </c>
      <c r="N334" s="78">
        <v>1407.4013438085087</v>
      </c>
      <c r="O334" s="113">
        <v>45102.731550233213</v>
      </c>
      <c r="P334" s="111">
        <v>53523.455202607409</v>
      </c>
      <c r="Q334" s="110">
        <v>22905.01012485685</v>
      </c>
      <c r="R334" s="258">
        <v>68007.741675090059</v>
      </c>
      <c r="S334" s="259">
        <v>76428.465327464262</v>
      </c>
      <c r="U334" s="7" t="s">
        <v>3178</v>
      </c>
    </row>
    <row r="335" spans="1:21" s="7" customFormat="1" ht="16.5" thickBot="1">
      <c r="A335" s="41" t="s">
        <v>31</v>
      </c>
      <c r="B335" s="42">
        <f t="shared" si="18"/>
        <v>140</v>
      </c>
      <c r="C335" s="42" t="s">
        <v>3</v>
      </c>
      <c r="D335" s="42">
        <f t="shared" si="19"/>
        <v>360</v>
      </c>
      <c r="E335" s="42" t="s">
        <v>3</v>
      </c>
      <c r="F335" s="90">
        <f t="shared" si="20"/>
        <v>1550</v>
      </c>
      <c r="G335" s="42" t="s">
        <v>3</v>
      </c>
      <c r="H335" s="39">
        <v>8</v>
      </c>
      <c r="I335" s="40" t="s">
        <v>42</v>
      </c>
      <c r="J335" s="149">
        <v>140</v>
      </c>
      <c r="K335" s="66">
        <v>360</v>
      </c>
      <c r="L335" s="66">
        <v>1550</v>
      </c>
      <c r="M335" s="164">
        <v>23.470562304331999</v>
      </c>
      <c r="N335" s="78">
        <v>1468.5927065827918</v>
      </c>
      <c r="O335" s="113">
        <v>46366.867288372392</v>
      </c>
      <c r="P335" s="111">
        <v>55033.420327791435</v>
      </c>
      <c r="Q335" s="110">
        <v>23508.431009095038</v>
      </c>
      <c r="R335" s="258">
        <v>69875.298297467438</v>
      </c>
      <c r="S335" s="259">
        <v>78541.851336886466</v>
      </c>
      <c r="U335" s="7" t="s">
        <v>3179</v>
      </c>
    </row>
    <row r="336" spans="1:21" s="7" customFormat="1" ht="16.5" thickBot="1">
      <c r="A336" s="38" t="s">
        <v>31</v>
      </c>
      <c r="B336" s="39">
        <f t="shared" si="18"/>
        <v>140</v>
      </c>
      <c r="C336" s="39" t="s">
        <v>3</v>
      </c>
      <c r="D336" s="39">
        <f t="shared" si="19"/>
        <v>360</v>
      </c>
      <c r="E336" s="39" t="s">
        <v>3</v>
      </c>
      <c r="F336" s="90">
        <f t="shared" si="20"/>
        <v>1600</v>
      </c>
      <c r="G336" s="39" t="s">
        <v>3</v>
      </c>
      <c r="H336" s="39">
        <v>8</v>
      </c>
      <c r="I336" s="40" t="s">
        <v>42</v>
      </c>
      <c r="J336" s="149">
        <v>140</v>
      </c>
      <c r="K336" s="66">
        <v>360</v>
      </c>
      <c r="L336" s="66">
        <v>1600</v>
      </c>
      <c r="M336" s="164">
        <v>24.183087859157759</v>
      </c>
      <c r="N336" s="78">
        <v>1529.7840693570747</v>
      </c>
      <c r="O336" s="113">
        <v>47631.002873482801</v>
      </c>
      <c r="P336" s="111">
        <v>56543.385299946531</v>
      </c>
      <c r="Q336" s="110">
        <v>24111.851893333227</v>
      </c>
      <c r="R336" s="258">
        <v>71742.854766816032</v>
      </c>
      <c r="S336" s="259">
        <v>80655.237193279754</v>
      </c>
      <c r="U336" s="7" t="s">
        <v>3180</v>
      </c>
    </row>
    <row r="337" spans="1:21" s="7" customFormat="1" ht="16.5" thickBot="1">
      <c r="A337" s="41" t="s">
        <v>31</v>
      </c>
      <c r="B337" s="42">
        <f t="shared" si="18"/>
        <v>140</v>
      </c>
      <c r="C337" s="42" t="s">
        <v>3</v>
      </c>
      <c r="D337" s="42">
        <f t="shared" si="19"/>
        <v>360</v>
      </c>
      <c r="E337" s="42" t="s">
        <v>3</v>
      </c>
      <c r="F337" s="90">
        <f t="shared" si="20"/>
        <v>1650</v>
      </c>
      <c r="G337" s="42" t="s">
        <v>3</v>
      </c>
      <c r="H337" s="39">
        <v>8</v>
      </c>
      <c r="I337" s="40" t="s">
        <v>42</v>
      </c>
      <c r="J337" s="149">
        <v>140</v>
      </c>
      <c r="K337" s="66">
        <v>360</v>
      </c>
      <c r="L337" s="66">
        <v>1650</v>
      </c>
      <c r="M337" s="164">
        <v>24.912448933983519</v>
      </c>
      <c r="N337" s="78">
        <v>1590.9754321313578</v>
      </c>
      <c r="O337" s="113">
        <v>48895.13845859321</v>
      </c>
      <c r="P337" s="111">
        <v>58053.350425130397</v>
      </c>
      <c r="Q337" s="110">
        <v>24966.606915355183</v>
      </c>
      <c r="R337" s="258">
        <v>73861.74537394839</v>
      </c>
      <c r="S337" s="259">
        <v>83019.957340485576</v>
      </c>
      <c r="U337" s="7" t="s">
        <v>3181</v>
      </c>
    </row>
    <row r="338" spans="1:21" s="7" customFormat="1" ht="16.5" thickBot="1">
      <c r="A338" s="41" t="s">
        <v>31</v>
      </c>
      <c r="B338" s="42">
        <f t="shared" si="18"/>
        <v>140</v>
      </c>
      <c r="C338" s="42" t="s">
        <v>3</v>
      </c>
      <c r="D338" s="42">
        <f t="shared" si="19"/>
        <v>360</v>
      </c>
      <c r="E338" s="42" t="s">
        <v>3</v>
      </c>
      <c r="F338" s="90">
        <f t="shared" si="20"/>
        <v>1700</v>
      </c>
      <c r="G338" s="42" t="s">
        <v>3</v>
      </c>
      <c r="H338" s="39">
        <v>8</v>
      </c>
      <c r="I338" s="40" t="s">
        <v>42</v>
      </c>
      <c r="J338" s="149">
        <v>140</v>
      </c>
      <c r="K338" s="66">
        <v>360</v>
      </c>
      <c r="L338" s="66">
        <v>1700</v>
      </c>
      <c r="M338" s="164">
        <v>25.624974488809279</v>
      </c>
      <c r="N338" s="78">
        <v>1652.1667949056409</v>
      </c>
      <c r="O338" s="113">
        <v>50159.274196732389</v>
      </c>
      <c r="P338" s="111">
        <v>59563.315397285507</v>
      </c>
      <c r="Q338" s="110">
        <v>25570.027799593372</v>
      </c>
      <c r="R338" s="258">
        <v>75729.301996325754</v>
      </c>
      <c r="S338" s="259">
        <v>85133.343196878879</v>
      </c>
      <c r="U338" s="7" t="s">
        <v>3182</v>
      </c>
    </row>
    <row r="339" spans="1:21" s="7" customFormat="1" ht="16.5" thickBot="1">
      <c r="A339" s="41" t="s">
        <v>31</v>
      </c>
      <c r="B339" s="42">
        <f t="shared" si="18"/>
        <v>140</v>
      </c>
      <c r="C339" s="42" t="s">
        <v>3</v>
      </c>
      <c r="D339" s="42">
        <f t="shared" si="19"/>
        <v>360</v>
      </c>
      <c r="E339" s="42" t="s">
        <v>3</v>
      </c>
      <c r="F339" s="90">
        <f t="shared" si="20"/>
        <v>1750</v>
      </c>
      <c r="G339" s="42" t="s">
        <v>3</v>
      </c>
      <c r="H339" s="39">
        <v>8</v>
      </c>
      <c r="I339" s="40" t="s">
        <v>42</v>
      </c>
      <c r="J339" s="149">
        <v>140</v>
      </c>
      <c r="K339" s="66">
        <v>360</v>
      </c>
      <c r="L339" s="66">
        <v>1750</v>
      </c>
      <c r="M339" s="164">
        <v>26.354335563635036</v>
      </c>
      <c r="N339" s="78">
        <v>1713.3581576799238</v>
      </c>
      <c r="O339" s="113">
        <v>51423.409781842805</v>
      </c>
      <c r="P339" s="111">
        <v>61073.280369440618</v>
      </c>
      <c r="Q339" s="110">
        <v>26424.782821615332</v>
      </c>
      <c r="R339" s="258">
        <v>77848.192603458141</v>
      </c>
      <c r="S339" s="259">
        <v>87498.063191055946</v>
      </c>
      <c r="U339" s="7" t="s">
        <v>3183</v>
      </c>
    </row>
    <row r="340" spans="1:21" s="7" customFormat="1" ht="16.5" thickBot="1">
      <c r="A340" s="41" t="s">
        <v>31</v>
      </c>
      <c r="B340" s="42">
        <f t="shared" si="18"/>
        <v>140</v>
      </c>
      <c r="C340" s="42" t="s">
        <v>3</v>
      </c>
      <c r="D340" s="42">
        <f t="shared" si="19"/>
        <v>360</v>
      </c>
      <c r="E340" s="42" t="s">
        <v>3</v>
      </c>
      <c r="F340" s="90">
        <f t="shared" si="20"/>
        <v>1800</v>
      </c>
      <c r="G340" s="42" t="s">
        <v>3</v>
      </c>
      <c r="H340" s="39">
        <v>8</v>
      </c>
      <c r="I340" s="40" t="s">
        <v>42</v>
      </c>
      <c r="J340" s="149">
        <v>140</v>
      </c>
      <c r="K340" s="66">
        <v>360</v>
      </c>
      <c r="L340" s="66">
        <v>1800</v>
      </c>
      <c r="M340" s="164">
        <v>27.0668611184608</v>
      </c>
      <c r="N340" s="78">
        <v>1774.5495204542067</v>
      </c>
      <c r="O340" s="113">
        <v>52687.545366953222</v>
      </c>
      <c r="P340" s="111">
        <v>62583.245494624483</v>
      </c>
      <c r="Q340" s="110">
        <v>27028.203705853517</v>
      </c>
      <c r="R340" s="258">
        <v>79715.749072806735</v>
      </c>
      <c r="S340" s="259">
        <v>89611.449200478004</v>
      </c>
      <c r="U340" s="7" t="s">
        <v>3184</v>
      </c>
    </row>
    <row r="341" spans="1:21" s="7" customFormat="1" ht="16.5" thickBot="1">
      <c r="A341" s="41" t="s">
        <v>31</v>
      </c>
      <c r="B341" s="42">
        <f t="shared" si="18"/>
        <v>140</v>
      </c>
      <c r="C341" s="42" t="s">
        <v>3</v>
      </c>
      <c r="D341" s="42">
        <f t="shared" si="19"/>
        <v>360</v>
      </c>
      <c r="E341" s="42" t="s">
        <v>3</v>
      </c>
      <c r="F341" s="90">
        <f t="shared" si="20"/>
        <v>1850</v>
      </c>
      <c r="G341" s="42" t="s">
        <v>3</v>
      </c>
      <c r="H341" s="39">
        <v>8</v>
      </c>
      <c r="I341" s="40" t="s">
        <v>42</v>
      </c>
      <c r="J341" s="149">
        <v>140</v>
      </c>
      <c r="K341" s="66">
        <v>360</v>
      </c>
      <c r="L341" s="66">
        <v>1850</v>
      </c>
      <c r="M341" s="164">
        <v>27.796222193286567</v>
      </c>
      <c r="N341" s="78">
        <v>1835.7408832284898</v>
      </c>
      <c r="O341" s="113">
        <v>53951.681105092393</v>
      </c>
      <c r="P341" s="111">
        <v>64093.210466779587</v>
      </c>
      <c r="Q341" s="110">
        <v>27882.958880904247</v>
      </c>
      <c r="R341" s="258">
        <v>81834.639985996648</v>
      </c>
      <c r="S341" s="259">
        <v>91976.169347683841</v>
      </c>
      <c r="U341" s="7" t="s">
        <v>3185</v>
      </c>
    </row>
    <row r="342" spans="1:21" s="7" customFormat="1" ht="16.5" thickBot="1">
      <c r="A342" s="41" t="s">
        <v>31</v>
      </c>
      <c r="B342" s="42">
        <f t="shared" si="18"/>
        <v>140</v>
      </c>
      <c r="C342" s="42" t="s">
        <v>3</v>
      </c>
      <c r="D342" s="42">
        <f t="shared" si="19"/>
        <v>360</v>
      </c>
      <c r="E342" s="42" t="s">
        <v>3</v>
      </c>
      <c r="F342" s="90">
        <f t="shared" si="20"/>
        <v>1900</v>
      </c>
      <c r="G342" s="42" t="s">
        <v>3</v>
      </c>
      <c r="H342" s="39">
        <v>8</v>
      </c>
      <c r="I342" s="40" t="s">
        <v>42</v>
      </c>
      <c r="J342" s="149">
        <v>140</v>
      </c>
      <c r="K342" s="66">
        <v>360</v>
      </c>
      <c r="L342" s="66">
        <v>1900</v>
      </c>
      <c r="M342" s="164">
        <v>28.508747748112317</v>
      </c>
      <c r="N342" s="78">
        <v>1896.9322460027729</v>
      </c>
      <c r="O342" s="113">
        <v>55215.816690202802</v>
      </c>
      <c r="P342" s="111">
        <v>65603.17559196346</v>
      </c>
      <c r="Q342" s="110">
        <v>28486.379765142432</v>
      </c>
      <c r="R342" s="258">
        <v>83702.196455345227</v>
      </c>
      <c r="S342" s="259">
        <v>94089.555357105884</v>
      </c>
      <c r="U342" s="7" t="s">
        <v>3186</v>
      </c>
    </row>
    <row r="343" spans="1:21" s="7" customFormat="1" ht="16.5" thickBot="1">
      <c r="A343" s="41" t="s">
        <v>31</v>
      </c>
      <c r="B343" s="42">
        <f t="shared" si="18"/>
        <v>140</v>
      </c>
      <c r="C343" s="42" t="s">
        <v>3</v>
      </c>
      <c r="D343" s="42">
        <f t="shared" si="19"/>
        <v>360</v>
      </c>
      <c r="E343" s="42" t="s">
        <v>3</v>
      </c>
      <c r="F343" s="90">
        <f t="shared" si="20"/>
        <v>1950</v>
      </c>
      <c r="G343" s="42" t="s">
        <v>3</v>
      </c>
      <c r="H343" s="39">
        <v>8</v>
      </c>
      <c r="I343" s="40" t="s">
        <v>42</v>
      </c>
      <c r="J343" s="149">
        <v>140</v>
      </c>
      <c r="K343" s="66">
        <v>360</v>
      </c>
      <c r="L343" s="66">
        <v>1950</v>
      </c>
      <c r="M343" s="164">
        <v>29.376389302938076</v>
      </c>
      <c r="N343" s="78">
        <v>1958.1236087770558</v>
      </c>
      <c r="O343" s="113">
        <v>56648.14894557988</v>
      </c>
      <c r="P343" s="111">
        <v>67282.364057399202</v>
      </c>
      <c r="Q343" s="110">
        <v>29089.800649380621</v>
      </c>
      <c r="R343" s="258">
        <v>85737.949594960504</v>
      </c>
      <c r="S343" s="259">
        <v>96372.164706779819</v>
      </c>
      <c r="U343" s="7" t="s">
        <v>3187</v>
      </c>
    </row>
    <row r="344" spans="1:21" s="7" customFormat="1" ht="16.5" thickBot="1">
      <c r="A344" s="41" t="s">
        <v>31</v>
      </c>
      <c r="B344" s="42">
        <f t="shared" si="18"/>
        <v>140</v>
      </c>
      <c r="C344" s="42" t="s">
        <v>3</v>
      </c>
      <c r="D344" s="42">
        <f t="shared" si="19"/>
        <v>360</v>
      </c>
      <c r="E344" s="42" t="s">
        <v>3</v>
      </c>
      <c r="F344" s="90">
        <f t="shared" si="20"/>
        <v>2000</v>
      </c>
      <c r="G344" s="42" t="s">
        <v>3</v>
      </c>
      <c r="H344" s="39">
        <v>8</v>
      </c>
      <c r="I344" s="40" t="s">
        <v>42</v>
      </c>
      <c r="J344" s="149">
        <v>140</v>
      </c>
      <c r="K344" s="66">
        <v>360</v>
      </c>
      <c r="L344" s="66">
        <v>2000</v>
      </c>
      <c r="M344" s="164">
        <v>30.196214028963844</v>
      </c>
      <c r="N344" s="78">
        <v>2019.3149715513387</v>
      </c>
      <c r="O344" s="113">
        <v>58163.576432534879</v>
      </c>
      <c r="P344" s="111">
        <v>69133.151022550359</v>
      </c>
      <c r="Q344" s="110">
        <v>29944.555671402581</v>
      </c>
      <c r="R344" s="258">
        <v>88108.13210393746</v>
      </c>
      <c r="S344" s="259">
        <v>99077.706693952932</v>
      </c>
      <c r="U344" s="7" t="s">
        <v>3188</v>
      </c>
    </row>
    <row r="345" spans="1:21" s="7" customFormat="1" ht="16.5" thickBot="1">
      <c r="A345" s="41" t="s">
        <v>31</v>
      </c>
      <c r="B345" s="42">
        <f t="shared" si="18"/>
        <v>140</v>
      </c>
      <c r="C345" s="42" t="s">
        <v>3</v>
      </c>
      <c r="D345" s="42">
        <f t="shared" si="19"/>
        <v>360</v>
      </c>
      <c r="E345" s="42" t="s">
        <v>3</v>
      </c>
      <c r="F345" s="90">
        <f t="shared" si="20"/>
        <v>2050</v>
      </c>
      <c r="G345" s="42" t="s">
        <v>3</v>
      </c>
      <c r="H345" s="39">
        <v>8</v>
      </c>
      <c r="I345" s="40" t="s">
        <v>42</v>
      </c>
      <c r="J345" s="149">
        <v>140</v>
      </c>
      <c r="K345" s="66">
        <v>360</v>
      </c>
      <c r="L345" s="66">
        <v>2050</v>
      </c>
      <c r="M345" s="164">
        <v>30.908739583789593</v>
      </c>
      <c r="N345" s="78">
        <v>2080.5063343256215</v>
      </c>
      <c r="O345" s="113">
        <v>59427.712017645295</v>
      </c>
      <c r="P345" s="111">
        <v>70643.116147734225</v>
      </c>
      <c r="Q345" s="110">
        <v>30547.976555640766</v>
      </c>
      <c r="R345" s="258">
        <v>89975.688573286054</v>
      </c>
      <c r="S345" s="259">
        <v>101191.09270337499</v>
      </c>
      <c r="U345" s="7" t="s">
        <v>3189</v>
      </c>
    </row>
    <row r="346" spans="1:21" s="7" customFormat="1" ht="16.5" thickBot="1">
      <c r="A346" s="38" t="s">
        <v>31</v>
      </c>
      <c r="B346" s="39">
        <f t="shared" si="18"/>
        <v>140</v>
      </c>
      <c r="C346" s="39" t="s">
        <v>3</v>
      </c>
      <c r="D346" s="39">
        <f t="shared" si="19"/>
        <v>360</v>
      </c>
      <c r="E346" s="39" t="s">
        <v>3</v>
      </c>
      <c r="F346" s="90">
        <f t="shared" si="20"/>
        <v>2100</v>
      </c>
      <c r="G346" s="39" t="s">
        <v>3</v>
      </c>
      <c r="H346" s="39">
        <v>8</v>
      </c>
      <c r="I346" s="40" t="s">
        <v>42</v>
      </c>
      <c r="J346" s="149">
        <v>140</v>
      </c>
      <c r="K346" s="66">
        <v>360</v>
      </c>
      <c r="L346" s="66">
        <v>2100</v>
      </c>
      <c r="M346" s="164">
        <v>31.638100658615361</v>
      </c>
      <c r="N346" s="78">
        <v>2141.6976970999049</v>
      </c>
      <c r="O346" s="113">
        <v>60691.847755784474</v>
      </c>
      <c r="P346" s="111">
        <v>72153.081119889335</v>
      </c>
      <c r="Q346" s="110">
        <v>31402.731577662726</v>
      </c>
      <c r="R346" s="258">
        <v>92094.579333447196</v>
      </c>
      <c r="S346" s="259">
        <v>103555.81269755206</v>
      </c>
      <c r="U346" s="7" t="s">
        <v>3190</v>
      </c>
    </row>
    <row r="347" spans="1:21" s="7" customFormat="1" ht="16.5" thickBot="1">
      <c r="A347" s="41" t="s">
        <v>31</v>
      </c>
      <c r="B347" s="42">
        <f t="shared" si="18"/>
        <v>140</v>
      </c>
      <c r="C347" s="42" t="s">
        <v>3</v>
      </c>
      <c r="D347" s="42">
        <f t="shared" si="19"/>
        <v>360</v>
      </c>
      <c r="E347" s="42" t="s">
        <v>3</v>
      </c>
      <c r="F347" s="90">
        <f t="shared" si="20"/>
        <v>2150</v>
      </c>
      <c r="G347" s="42" t="s">
        <v>3</v>
      </c>
      <c r="H347" s="39">
        <v>8</v>
      </c>
      <c r="I347" s="40" t="s">
        <v>42</v>
      </c>
      <c r="J347" s="149">
        <v>140</v>
      </c>
      <c r="K347" s="66">
        <v>360</v>
      </c>
      <c r="L347" s="66">
        <v>2150</v>
      </c>
      <c r="M347" s="164">
        <v>32.350626213441124</v>
      </c>
      <c r="N347" s="78">
        <v>2202.8890598741878</v>
      </c>
      <c r="O347" s="113">
        <v>61955.983340894883</v>
      </c>
      <c r="P347" s="111">
        <v>73663.046245073201</v>
      </c>
      <c r="Q347" s="110">
        <v>32006.152461900914</v>
      </c>
      <c r="R347" s="258">
        <v>93962.13580279579</v>
      </c>
      <c r="S347" s="259">
        <v>105669.19870697412</v>
      </c>
      <c r="U347" s="7" t="s">
        <v>3191</v>
      </c>
    </row>
    <row r="348" spans="1:21" s="7" customFormat="1" ht="16.5" thickBot="1">
      <c r="A348" s="41" t="s">
        <v>31</v>
      </c>
      <c r="B348" s="42">
        <f t="shared" si="18"/>
        <v>140</v>
      </c>
      <c r="C348" s="42" t="s">
        <v>3</v>
      </c>
      <c r="D348" s="42">
        <f t="shared" si="19"/>
        <v>360</v>
      </c>
      <c r="E348" s="42" t="s">
        <v>3</v>
      </c>
      <c r="F348" s="90">
        <f t="shared" si="20"/>
        <v>2200</v>
      </c>
      <c r="G348" s="42" t="s">
        <v>3</v>
      </c>
      <c r="H348" s="39">
        <v>8</v>
      </c>
      <c r="I348" s="40" t="s">
        <v>42</v>
      </c>
      <c r="J348" s="149">
        <v>140</v>
      </c>
      <c r="K348" s="66">
        <v>360</v>
      </c>
      <c r="L348" s="66">
        <v>2200</v>
      </c>
      <c r="M348" s="164">
        <v>33.079987288266878</v>
      </c>
      <c r="N348" s="78">
        <v>2264.0804226484706</v>
      </c>
      <c r="O348" s="113">
        <v>63220.118926005292</v>
      </c>
      <c r="P348" s="111">
        <v>75173.011217228312</v>
      </c>
      <c r="Q348" s="110">
        <v>32860.907483922878</v>
      </c>
      <c r="R348" s="258">
        <v>96081.026409928163</v>
      </c>
      <c r="S348" s="259">
        <v>108033.91870115118</v>
      </c>
      <c r="U348" s="7" t="s">
        <v>3192</v>
      </c>
    </row>
    <row r="349" spans="1:21" s="7" customFormat="1" ht="16.5" thickBot="1">
      <c r="A349" s="41" t="s">
        <v>31</v>
      </c>
      <c r="B349" s="42">
        <f t="shared" si="18"/>
        <v>140</v>
      </c>
      <c r="C349" s="42" t="s">
        <v>3</v>
      </c>
      <c r="D349" s="42">
        <f t="shared" si="19"/>
        <v>360</v>
      </c>
      <c r="E349" s="42" t="s">
        <v>3</v>
      </c>
      <c r="F349" s="90">
        <f t="shared" si="20"/>
        <v>2250</v>
      </c>
      <c r="G349" s="42" t="s">
        <v>3</v>
      </c>
      <c r="H349" s="39">
        <v>8</v>
      </c>
      <c r="I349" s="40" t="s">
        <v>42</v>
      </c>
      <c r="J349" s="149">
        <v>140</v>
      </c>
      <c r="K349" s="66">
        <v>360</v>
      </c>
      <c r="L349" s="66">
        <v>2250</v>
      </c>
      <c r="M349" s="164">
        <v>33.792512843092645</v>
      </c>
      <c r="N349" s="78">
        <v>2325.2717854227535</v>
      </c>
      <c r="O349" s="113">
        <v>64484.254664144464</v>
      </c>
      <c r="P349" s="111">
        <v>76682.976342412177</v>
      </c>
      <c r="Q349" s="110">
        <v>33464.328368161063</v>
      </c>
      <c r="R349" s="258">
        <v>97948.583032305527</v>
      </c>
      <c r="S349" s="259">
        <v>110147.30471057324</v>
      </c>
      <c r="U349" s="7" t="s">
        <v>3193</v>
      </c>
    </row>
    <row r="350" spans="1:21" s="7" customFormat="1" ht="16.5" thickBot="1">
      <c r="A350" s="41" t="s">
        <v>31</v>
      </c>
      <c r="B350" s="42">
        <f t="shared" si="18"/>
        <v>140</v>
      </c>
      <c r="C350" s="42" t="s">
        <v>3</v>
      </c>
      <c r="D350" s="42">
        <f t="shared" si="19"/>
        <v>360</v>
      </c>
      <c r="E350" s="42" t="s">
        <v>3</v>
      </c>
      <c r="F350" s="90">
        <f t="shared" si="20"/>
        <v>2300</v>
      </c>
      <c r="G350" s="42" t="s">
        <v>3</v>
      </c>
      <c r="H350" s="39">
        <v>8</v>
      </c>
      <c r="I350" s="40" t="s">
        <v>42</v>
      </c>
      <c r="J350" s="149">
        <v>140</v>
      </c>
      <c r="K350" s="66">
        <v>360</v>
      </c>
      <c r="L350" s="66">
        <v>2300</v>
      </c>
      <c r="M350" s="164">
        <v>34.505038397918405</v>
      </c>
      <c r="N350" s="78">
        <v>2386.4631481970368</v>
      </c>
      <c r="O350" s="113">
        <v>65748.39024925488</v>
      </c>
      <c r="P350" s="111">
        <v>78192.941314567288</v>
      </c>
      <c r="Q350" s="110">
        <v>34067.749252399248</v>
      </c>
      <c r="R350" s="258">
        <v>99816.139501654136</v>
      </c>
      <c r="S350" s="259">
        <v>112260.69056696654</v>
      </c>
      <c r="U350" s="7" t="s">
        <v>3194</v>
      </c>
    </row>
    <row r="351" spans="1:21" s="7" customFormat="1" ht="16.5" thickBot="1">
      <c r="A351" s="41" t="s">
        <v>31</v>
      </c>
      <c r="B351" s="42">
        <f t="shared" si="18"/>
        <v>140</v>
      </c>
      <c r="C351" s="42" t="s">
        <v>3</v>
      </c>
      <c r="D351" s="42">
        <f t="shared" si="19"/>
        <v>360</v>
      </c>
      <c r="E351" s="42" t="s">
        <v>3</v>
      </c>
      <c r="F351" s="90">
        <f t="shared" si="20"/>
        <v>2350</v>
      </c>
      <c r="G351" s="42" t="s">
        <v>3</v>
      </c>
      <c r="H351" s="39">
        <v>8</v>
      </c>
      <c r="I351" s="40" t="s">
        <v>42</v>
      </c>
      <c r="J351" s="149">
        <v>140</v>
      </c>
      <c r="K351" s="66">
        <v>360</v>
      </c>
      <c r="L351" s="66">
        <v>2350</v>
      </c>
      <c r="M351" s="164">
        <v>35.234399472744158</v>
      </c>
      <c r="N351" s="78">
        <v>2447.6545109713197</v>
      </c>
      <c r="O351" s="113">
        <v>67012.525834365297</v>
      </c>
      <c r="P351" s="111">
        <v>79702.906286722384</v>
      </c>
      <c r="Q351" s="110">
        <v>34922.504274421211</v>
      </c>
      <c r="R351" s="258">
        <v>101935.03010878651</v>
      </c>
      <c r="S351" s="259">
        <v>114625.4105611436</v>
      </c>
      <c r="U351" s="7" t="s">
        <v>3195</v>
      </c>
    </row>
    <row r="352" spans="1:21" s="7" customFormat="1" ht="16.5" thickBot="1">
      <c r="A352" s="41" t="s">
        <v>31</v>
      </c>
      <c r="B352" s="42">
        <f t="shared" si="18"/>
        <v>140</v>
      </c>
      <c r="C352" s="42" t="s">
        <v>3</v>
      </c>
      <c r="D352" s="42">
        <f t="shared" si="19"/>
        <v>360</v>
      </c>
      <c r="E352" s="42" t="s">
        <v>3</v>
      </c>
      <c r="F352" s="90">
        <f t="shared" si="20"/>
        <v>2400</v>
      </c>
      <c r="G352" s="42" t="s">
        <v>3</v>
      </c>
      <c r="H352" s="39">
        <v>8</v>
      </c>
      <c r="I352" s="40" t="s">
        <v>42</v>
      </c>
      <c r="J352" s="149">
        <v>140</v>
      </c>
      <c r="K352" s="66">
        <v>360</v>
      </c>
      <c r="L352" s="66">
        <v>2400</v>
      </c>
      <c r="M352" s="164">
        <v>35.946925027569911</v>
      </c>
      <c r="N352" s="78">
        <v>2508.8458737456026</v>
      </c>
      <c r="O352" s="113">
        <v>68276.661572504468</v>
      </c>
      <c r="P352" s="111">
        <v>81212.87141190625</v>
      </c>
      <c r="Q352" s="110">
        <v>35525.925158659396</v>
      </c>
      <c r="R352" s="258">
        <v>103802.58673116387</v>
      </c>
      <c r="S352" s="259">
        <v>116738.79657056564</v>
      </c>
      <c r="U352" s="7" t="s">
        <v>3196</v>
      </c>
    </row>
    <row r="353" spans="1:21" s="7" customFormat="1" ht="16.5" thickBot="1">
      <c r="A353" s="41" t="s">
        <v>31</v>
      </c>
      <c r="B353" s="42">
        <f t="shared" si="18"/>
        <v>140</v>
      </c>
      <c r="C353" s="42" t="s">
        <v>3</v>
      </c>
      <c r="D353" s="42">
        <f t="shared" si="19"/>
        <v>360</v>
      </c>
      <c r="E353" s="42" t="s">
        <v>3</v>
      </c>
      <c r="F353" s="90">
        <f t="shared" si="20"/>
        <v>2450</v>
      </c>
      <c r="G353" s="42" t="s">
        <v>3</v>
      </c>
      <c r="H353" s="39">
        <v>8</v>
      </c>
      <c r="I353" s="40" t="s">
        <v>42</v>
      </c>
      <c r="J353" s="149">
        <v>140</v>
      </c>
      <c r="K353" s="66">
        <v>360</v>
      </c>
      <c r="L353" s="66">
        <v>2450</v>
      </c>
      <c r="M353" s="164">
        <v>36.877076728156077</v>
      </c>
      <c r="N353" s="78">
        <v>2570.0372365198859</v>
      </c>
      <c r="O353" s="113">
        <v>70360.98879668818</v>
      </c>
      <c r="P353" s="111">
        <v>83527.947038331578</v>
      </c>
      <c r="Q353" s="110">
        <v>36380.680180681353</v>
      </c>
      <c r="R353" s="258">
        <v>106741.66897736953</v>
      </c>
      <c r="S353" s="259">
        <v>119908.62721901294</v>
      </c>
      <c r="U353" s="7" t="s">
        <v>3197</v>
      </c>
    </row>
    <row r="354" spans="1:21" s="7" customFormat="1" ht="16.5" thickBot="1">
      <c r="A354" s="41" t="s">
        <v>31</v>
      </c>
      <c r="B354" s="42">
        <f t="shared" si="18"/>
        <v>140</v>
      </c>
      <c r="C354" s="42" t="s">
        <v>3</v>
      </c>
      <c r="D354" s="42">
        <f t="shared" si="19"/>
        <v>360</v>
      </c>
      <c r="E354" s="42" t="s">
        <v>3</v>
      </c>
      <c r="F354" s="90">
        <f t="shared" si="20"/>
        <v>2500</v>
      </c>
      <c r="G354" s="42" t="s">
        <v>3</v>
      </c>
      <c r="H354" s="39">
        <v>8</v>
      </c>
      <c r="I354" s="40" t="s">
        <v>42</v>
      </c>
      <c r="J354" s="149">
        <v>140</v>
      </c>
      <c r="K354" s="66">
        <v>360</v>
      </c>
      <c r="L354" s="66">
        <v>2500</v>
      </c>
      <c r="M354" s="164">
        <v>37.589602282981836</v>
      </c>
      <c r="N354" s="78">
        <v>2631.2285992941688</v>
      </c>
      <c r="O354" s="113">
        <v>71625.124381798596</v>
      </c>
      <c r="P354" s="111">
        <v>85037.912010486689</v>
      </c>
      <c r="Q354" s="110">
        <v>36984.101064919538</v>
      </c>
      <c r="R354" s="258">
        <v>108609.22544671813</v>
      </c>
      <c r="S354" s="259">
        <v>122022.01307540623</v>
      </c>
      <c r="U354" s="7" t="s">
        <v>3198</v>
      </c>
    </row>
    <row r="355" spans="1:21" s="7" customFormat="1" ht="16.5" thickBot="1">
      <c r="A355" s="41" t="s">
        <v>31</v>
      </c>
      <c r="B355" s="42">
        <f t="shared" si="18"/>
        <v>140</v>
      </c>
      <c r="C355" s="42" t="s">
        <v>3</v>
      </c>
      <c r="D355" s="42">
        <f t="shared" si="19"/>
        <v>360</v>
      </c>
      <c r="E355" s="42" t="s">
        <v>3</v>
      </c>
      <c r="F355" s="90">
        <f t="shared" si="20"/>
        <v>2550</v>
      </c>
      <c r="G355" s="42" t="s">
        <v>3</v>
      </c>
      <c r="H355" s="39">
        <v>8</v>
      </c>
      <c r="I355" s="40" t="s">
        <v>42</v>
      </c>
      <c r="J355" s="149">
        <v>140</v>
      </c>
      <c r="K355" s="66">
        <v>360</v>
      </c>
      <c r="L355" s="66">
        <v>2550</v>
      </c>
      <c r="M355" s="164">
        <v>38.318963357807597</v>
      </c>
      <c r="N355" s="78">
        <v>2692.4199620684517</v>
      </c>
      <c r="O355" s="113">
        <v>72889.260119937768</v>
      </c>
      <c r="P355" s="111">
        <v>86547.877135670555</v>
      </c>
      <c r="Q355" s="110">
        <v>37838.856239970264</v>
      </c>
      <c r="R355" s="258">
        <v>110728.11635990803</v>
      </c>
      <c r="S355" s="259">
        <v>124386.73337564082</v>
      </c>
      <c r="U355" s="7" t="s">
        <v>3199</v>
      </c>
    </row>
    <row r="356" spans="1:21" s="7" customFormat="1" ht="16.5" thickBot="1">
      <c r="A356" s="38" t="s">
        <v>31</v>
      </c>
      <c r="B356" s="39">
        <f t="shared" si="18"/>
        <v>140</v>
      </c>
      <c r="C356" s="39" t="s">
        <v>3</v>
      </c>
      <c r="D356" s="39">
        <f t="shared" si="19"/>
        <v>360</v>
      </c>
      <c r="E356" s="39" t="s">
        <v>3</v>
      </c>
      <c r="F356" s="90">
        <f t="shared" si="20"/>
        <v>2600</v>
      </c>
      <c r="G356" s="39" t="s">
        <v>3</v>
      </c>
      <c r="H356" s="39">
        <v>8</v>
      </c>
      <c r="I356" s="40" t="s">
        <v>42</v>
      </c>
      <c r="J356" s="149">
        <v>140</v>
      </c>
      <c r="K356" s="66">
        <v>360</v>
      </c>
      <c r="L356" s="66">
        <v>2600</v>
      </c>
      <c r="M356" s="164">
        <v>39.031488912633364</v>
      </c>
      <c r="N356" s="78">
        <v>2753.6113248427346</v>
      </c>
      <c r="O356" s="113">
        <v>74153.395705048169</v>
      </c>
      <c r="P356" s="111">
        <v>88057.842107825665</v>
      </c>
      <c r="Q356" s="110">
        <v>38442.277124208456</v>
      </c>
      <c r="R356" s="258">
        <v>112595.67282925663</v>
      </c>
      <c r="S356" s="259">
        <v>126500.11923203412</v>
      </c>
      <c r="U356" s="7" t="s">
        <v>3200</v>
      </c>
    </row>
    <row r="357" spans="1:21" s="7" customFormat="1" ht="16.5" thickBot="1">
      <c r="A357" s="41" t="s">
        <v>31</v>
      </c>
      <c r="B357" s="42">
        <f t="shared" si="18"/>
        <v>140</v>
      </c>
      <c r="C357" s="42" t="s">
        <v>3</v>
      </c>
      <c r="D357" s="42">
        <f t="shared" si="19"/>
        <v>360</v>
      </c>
      <c r="E357" s="42" t="s">
        <v>3</v>
      </c>
      <c r="F357" s="90">
        <f t="shared" si="20"/>
        <v>2650</v>
      </c>
      <c r="G357" s="42" t="s">
        <v>3</v>
      </c>
      <c r="H357" s="39">
        <v>8</v>
      </c>
      <c r="I357" s="40" t="s">
        <v>42</v>
      </c>
      <c r="J357" s="149">
        <v>140</v>
      </c>
      <c r="K357" s="66">
        <v>360</v>
      </c>
      <c r="L357" s="66">
        <v>2650</v>
      </c>
      <c r="M357" s="164">
        <v>39.760849987459117</v>
      </c>
      <c r="N357" s="78">
        <v>2814.8026876170175</v>
      </c>
      <c r="O357" s="113">
        <v>75417.531290158586</v>
      </c>
      <c r="P357" s="111">
        <v>89567.807079980776</v>
      </c>
      <c r="Q357" s="110">
        <v>39297.032146230413</v>
      </c>
      <c r="R357" s="258">
        <v>114714.563436389</v>
      </c>
      <c r="S357" s="259">
        <v>128864.83922621119</v>
      </c>
      <c r="U357" s="7" t="s">
        <v>3201</v>
      </c>
    </row>
    <row r="358" spans="1:21" s="7" customFormat="1" ht="16.5" thickBot="1">
      <c r="A358" s="41" t="s">
        <v>31</v>
      </c>
      <c r="B358" s="42">
        <f t="shared" si="18"/>
        <v>140</v>
      </c>
      <c r="C358" s="42" t="s">
        <v>3</v>
      </c>
      <c r="D358" s="42">
        <f t="shared" si="19"/>
        <v>360</v>
      </c>
      <c r="E358" s="42" t="s">
        <v>3</v>
      </c>
      <c r="F358" s="90">
        <f t="shared" si="20"/>
        <v>2700</v>
      </c>
      <c r="G358" s="42" t="s">
        <v>3</v>
      </c>
      <c r="H358" s="39">
        <v>8</v>
      </c>
      <c r="I358" s="40" t="s">
        <v>42</v>
      </c>
      <c r="J358" s="149">
        <v>140</v>
      </c>
      <c r="K358" s="66">
        <v>360</v>
      </c>
      <c r="L358" s="66">
        <v>2700</v>
      </c>
      <c r="M358" s="164">
        <v>40.628491542284884</v>
      </c>
      <c r="N358" s="78">
        <v>2875.9940503913008</v>
      </c>
      <c r="O358" s="113">
        <v>76849.863545535671</v>
      </c>
      <c r="P358" s="111">
        <v>91246.995545416532</v>
      </c>
      <c r="Q358" s="110">
        <v>39900.453030468605</v>
      </c>
      <c r="R358" s="258">
        <v>116750.31657600428</v>
      </c>
      <c r="S358" s="259">
        <v>131147.44857588515</v>
      </c>
      <c r="U358" s="7" t="s">
        <v>3202</v>
      </c>
    </row>
    <row r="359" spans="1:21" s="7" customFormat="1" ht="16.5" thickBot="1">
      <c r="A359" s="41" t="s">
        <v>31</v>
      </c>
      <c r="B359" s="42">
        <f t="shared" si="18"/>
        <v>140</v>
      </c>
      <c r="C359" s="42" t="s">
        <v>3</v>
      </c>
      <c r="D359" s="42">
        <f t="shared" si="19"/>
        <v>360</v>
      </c>
      <c r="E359" s="42" t="s">
        <v>3</v>
      </c>
      <c r="F359" s="90">
        <f t="shared" si="20"/>
        <v>2750</v>
      </c>
      <c r="G359" s="42" t="s">
        <v>3</v>
      </c>
      <c r="H359" s="39">
        <v>8</v>
      </c>
      <c r="I359" s="40" t="s">
        <v>42</v>
      </c>
      <c r="J359" s="149">
        <v>140</v>
      </c>
      <c r="K359" s="66">
        <v>360</v>
      </c>
      <c r="L359" s="66">
        <v>2750</v>
      </c>
      <c r="M359" s="164">
        <v>41.341017097110637</v>
      </c>
      <c r="N359" s="78">
        <v>2937.1854131655837</v>
      </c>
      <c r="O359" s="113">
        <v>78113.999130646072</v>
      </c>
      <c r="P359" s="111">
        <v>92756.960670600398</v>
      </c>
      <c r="Q359" s="110">
        <v>40503.87391470679</v>
      </c>
      <c r="R359" s="258">
        <v>118617.87304535287</v>
      </c>
      <c r="S359" s="259">
        <v>133260.8345853072</v>
      </c>
      <c r="U359" s="7" t="s">
        <v>3203</v>
      </c>
    </row>
    <row r="360" spans="1:21" s="7" customFormat="1" ht="16.5" thickBot="1">
      <c r="A360" s="41" t="s">
        <v>31</v>
      </c>
      <c r="B360" s="42">
        <f t="shared" si="18"/>
        <v>140</v>
      </c>
      <c r="C360" s="42" t="s">
        <v>3</v>
      </c>
      <c r="D360" s="42">
        <f t="shared" si="19"/>
        <v>360</v>
      </c>
      <c r="E360" s="42" t="s">
        <v>3</v>
      </c>
      <c r="F360" s="90">
        <f t="shared" si="20"/>
        <v>2800</v>
      </c>
      <c r="G360" s="42" t="s">
        <v>3</v>
      </c>
      <c r="H360" s="39">
        <v>8</v>
      </c>
      <c r="I360" s="40" t="s">
        <v>42</v>
      </c>
      <c r="J360" s="149">
        <v>140</v>
      </c>
      <c r="K360" s="66">
        <v>360</v>
      </c>
      <c r="L360" s="66">
        <v>2800</v>
      </c>
      <c r="M360" s="164">
        <v>42.070378171936397</v>
      </c>
      <c r="N360" s="78">
        <v>2998.376775939867</v>
      </c>
      <c r="O360" s="113">
        <v>79378.134868785244</v>
      </c>
      <c r="P360" s="111">
        <v>94266.925642755494</v>
      </c>
      <c r="Q360" s="110">
        <v>41358.628936728746</v>
      </c>
      <c r="R360" s="258">
        <v>120736.763805514</v>
      </c>
      <c r="S360" s="259">
        <v>135625.55457948425</v>
      </c>
      <c r="U360" s="7" t="s">
        <v>3204</v>
      </c>
    </row>
    <row r="361" spans="1:21" ht="16.5" thickBot="1">
      <c r="A361" s="41" t="s">
        <v>31</v>
      </c>
      <c r="B361" s="42">
        <f t="shared" si="18"/>
        <v>140</v>
      </c>
      <c r="C361" s="42" t="s">
        <v>3</v>
      </c>
      <c r="D361" s="42">
        <f t="shared" si="19"/>
        <v>360</v>
      </c>
      <c r="E361" s="42" t="s">
        <v>3</v>
      </c>
      <c r="F361" s="90">
        <f t="shared" si="20"/>
        <v>2850</v>
      </c>
      <c r="G361" s="42" t="s">
        <v>3</v>
      </c>
      <c r="H361" s="39">
        <v>8</v>
      </c>
      <c r="I361" s="40" t="s">
        <v>42</v>
      </c>
      <c r="J361" s="149">
        <v>140</v>
      </c>
      <c r="K361" s="66">
        <v>360</v>
      </c>
      <c r="L361" s="66">
        <v>2850</v>
      </c>
      <c r="M361" s="164">
        <v>42.782903726762157</v>
      </c>
      <c r="N361" s="78">
        <v>3059.5681387141494</v>
      </c>
      <c r="O361" s="113">
        <v>80642.27045389566</v>
      </c>
      <c r="P361" s="111">
        <v>95776.890767939374</v>
      </c>
      <c r="Q361" s="110">
        <v>41962.049820966939</v>
      </c>
      <c r="R361" s="258">
        <v>122604.32027486261</v>
      </c>
      <c r="S361" s="259">
        <v>137738.94058890632</v>
      </c>
      <c r="U361" s="7" t="s">
        <v>3205</v>
      </c>
    </row>
    <row r="362" spans="1:21" ht="16.5" thickBot="1">
      <c r="A362" s="41" t="s">
        <v>31</v>
      </c>
      <c r="B362" s="42">
        <f t="shared" si="18"/>
        <v>140</v>
      </c>
      <c r="C362" s="42" t="s">
        <v>3</v>
      </c>
      <c r="D362" s="42">
        <f t="shared" si="19"/>
        <v>360</v>
      </c>
      <c r="E362" s="42" t="s">
        <v>3</v>
      </c>
      <c r="F362" s="90">
        <f t="shared" si="20"/>
        <v>2900</v>
      </c>
      <c r="G362" s="42" t="s">
        <v>3</v>
      </c>
      <c r="H362" s="39">
        <v>8</v>
      </c>
      <c r="I362" s="40" t="s">
        <v>42</v>
      </c>
      <c r="J362" s="149">
        <v>140</v>
      </c>
      <c r="K362" s="66">
        <v>360</v>
      </c>
      <c r="L362" s="66">
        <v>2900</v>
      </c>
      <c r="M362" s="164">
        <v>43.512264801587911</v>
      </c>
      <c r="N362" s="78">
        <v>3120.7595014884323</v>
      </c>
      <c r="O362" s="113">
        <v>81906.406039006077</v>
      </c>
      <c r="P362" s="111">
        <v>97286.85574009447</v>
      </c>
      <c r="Q362" s="110">
        <v>42816.804842988895</v>
      </c>
      <c r="R362" s="258">
        <v>124723.21088199498</v>
      </c>
      <c r="S362" s="259">
        <v>140103.66058308337</v>
      </c>
      <c r="U362" s="7" t="s">
        <v>3206</v>
      </c>
    </row>
    <row r="363" spans="1:21" ht="16.5" thickBot="1">
      <c r="A363" s="41" t="s">
        <v>31</v>
      </c>
      <c r="B363" s="42">
        <f t="shared" si="18"/>
        <v>140</v>
      </c>
      <c r="C363" s="42" t="s">
        <v>3</v>
      </c>
      <c r="D363" s="42">
        <f t="shared" si="19"/>
        <v>360</v>
      </c>
      <c r="E363" s="42" t="s">
        <v>3</v>
      </c>
      <c r="F363" s="90">
        <f t="shared" si="20"/>
        <v>2950</v>
      </c>
      <c r="G363" s="42" t="s">
        <v>3</v>
      </c>
      <c r="H363" s="39">
        <v>8</v>
      </c>
      <c r="I363" s="40" t="s">
        <v>42</v>
      </c>
      <c r="J363" s="149">
        <v>140</v>
      </c>
      <c r="K363" s="66">
        <v>360</v>
      </c>
      <c r="L363" s="66">
        <v>2950</v>
      </c>
      <c r="M363" s="164">
        <v>44.224790356413671</v>
      </c>
      <c r="N363" s="78">
        <v>3181.9508642627156</v>
      </c>
      <c r="O363" s="113">
        <v>83170.541777145248</v>
      </c>
      <c r="P363" s="111">
        <v>98796.820712249581</v>
      </c>
      <c r="Q363" s="110">
        <v>43420.22572722708</v>
      </c>
      <c r="R363" s="258">
        <v>126590.76750437233</v>
      </c>
      <c r="S363" s="259">
        <v>142217.04643947666</v>
      </c>
      <c r="U363" s="7" t="s">
        <v>3207</v>
      </c>
    </row>
    <row r="364" spans="1:21" ht="16.5" thickBot="1">
      <c r="A364" s="43" t="s">
        <v>31</v>
      </c>
      <c r="B364" s="44">
        <f t="shared" si="18"/>
        <v>140</v>
      </c>
      <c r="C364" s="44" t="s">
        <v>3</v>
      </c>
      <c r="D364" s="44">
        <f t="shared" si="19"/>
        <v>360</v>
      </c>
      <c r="E364" s="44" t="s">
        <v>3</v>
      </c>
      <c r="F364" s="91">
        <f t="shared" si="20"/>
        <v>3000</v>
      </c>
      <c r="G364" s="44" t="s">
        <v>3</v>
      </c>
      <c r="H364" s="46">
        <v>8</v>
      </c>
      <c r="I364" s="45" t="s">
        <v>42</v>
      </c>
      <c r="J364" s="149">
        <v>140</v>
      </c>
      <c r="K364" s="126">
        <v>360</v>
      </c>
      <c r="L364" s="126">
        <v>3000</v>
      </c>
      <c r="M364" s="171">
        <v>44.954151431239431</v>
      </c>
      <c r="N364" s="127">
        <v>3243.1422270369985</v>
      </c>
      <c r="O364" s="128">
        <v>85715.598978670168</v>
      </c>
      <c r="P364" s="135">
        <v>100306.78583743345</v>
      </c>
      <c r="Q364" s="136">
        <v>44274.980749249036</v>
      </c>
      <c r="R364" s="260">
        <v>129990.5797279192</v>
      </c>
      <c r="S364" s="261">
        <v>144581.76658668247</v>
      </c>
      <c r="U364" s="7" t="s">
        <v>3208</v>
      </c>
    </row>
    <row r="365" spans="1:21" ht="22.5" customHeight="1" thickBot="1">
      <c r="A365" s="3010" t="s">
        <v>60</v>
      </c>
      <c r="B365" s="3011"/>
      <c r="C365" s="3011"/>
      <c r="D365" s="3011"/>
      <c r="E365" s="3011"/>
      <c r="F365" s="3011"/>
      <c r="G365" s="3011"/>
      <c r="H365" s="3011"/>
      <c r="I365" s="3011"/>
      <c r="J365" s="3011"/>
      <c r="K365" s="3011"/>
      <c r="L365" s="3011"/>
      <c r="M365" s="3011"/>
      <c r="N365" s="3011"/>
      <c r="O365" s="3011"/>
      <c r="P365" s="3011"/>
      <c r="Q365" s="3011"/>
      <c r="R365" s="3011"/>
      <c r="S365" s="3012"/>
      <c r="U365" s="7"/>
    </row>
    <row r="366" spans="1:21" ht="16.5" thickBot="1">
      <c r="A366" s="2974" t="s">
        <v>118</v>
      </c>
      <c r="B366" s="2975"/>
      <c r="C366" s="2975"/>
      <c r="D366" s="2975"/>
      <c r="E366" s="2975"/>
      <c r="F366" s="2975"/>
      <c r="G366" s="2975"/>
      <c r="H366" s="2975"/>
      <c r="I366" s="2975"/>
      <c r="J366" s="2975"/>
      <c r="K366" s="2975"/>
      <c r="L366" s="2975"/>
      <c r="M366" s="2975"/>
      <c r="N366" s="2975"/>
      <c r="O366" s="2975"/>
      <c r="P366" s="2975"/>
      <c r="Q366" s="2975"/>
      <c r="R366" s="2975"/>
      <c r="S366" s="2976"/>
      <c r="U366" s="7"/>
    </row>
    <row r="367" spans="1:21" ht="16.5" thickBot="1">
      <c r="A367" s="38" t="s">
        <v>31</v>
      </c>
      <c r="B367" s="39">
        <f>J367</f>
        <v>140</v>
      </c>
      <c r="C367" s="39" t="s">
        <v>3</v>
      </c>
      <c r="D367" s="39">
        <f>K367</f>
        <v>400</v>
      </c>
      <c r="E367" s="39" t="s">
        <v>3</v>
      </c>
      <c r="F367" s="90">
        <f>L367</f>
        <v>600</v>
      </c>
      <c r="G367" s="39" t="s">
        <v>3</v>
      </c>
      <c r="H367" s="39">
        <v>6</v>
      </c>
      <c r="I367" s="40" t="s">
        <v>42</v>
      </c>
      <c r="J367" s="146">
        <v>140</v>
      </c>
      <c r="K367" s="122">
        <v>400</v>
      </c>
      <c r="L367" s="122">
        <v>600</v>
      </c>
      <c r="M367" s="163">
        <v>9.4257654982470207</v>
      </c>
      <c r="N367" s="123">
        <v>296.5059</v>
      </c>
      <c r="O367" s="124">
        <v>19409.015955796083</v>
      </c>
      <c r="P367" s="148">
        <v>23919.581808938459</v>
      </c>
      <c r="Q367" s="139">
        <v>10760.15380676932</v>
      </c>
      <c r="R367" s="256">
        <v>30169.169762565405</v>
      </c>
      <c r="S367" s="257">
        <v>34679.735615707781</v>
      </c>
      <c r="U367" s="7" t="s">
        <v>3209</v>
      </c>
    </row>
    <row r="368" spans="1:21" ht="16.5" thickBot="1">
      <c r="A368" s="41" t="s">
        <v>31</v>
      </c>
      <c r="B368" s="42">
        <f t="shared" ref="B368:B415" si="21">J368</f>
        <v>140</v>
      </c>
      <c r="C368" s="42" t="s">
        <v>3</v>
      </c>
      <c r="D368" s="42">
        <f t="shared" ref="D368:D415" si="22">K368</f>
        <v>400</v>
      </c>
      <c r="E368" s="42" t="s">
        <v>3</v>
      </c>
      <c r="F368" s="90">
        <f t="shared" ref="F368:F415" si="23">L368</f>
        <v>650</v>
      </c>
      <c r="G368" s="42" t="s">
        <v>3</v>
      </c>
      <c r="H368" s="39">
        <v>6</v>
      </c>
      <c r="I368" s="40" t="s">
        <v>42</v>
      </c>
      <c r="J368" s="149">
        <v>140</v>
      </c>
      <c r="K368" s="66">
        <v>400</v>
      </c>
      <c r="L368" s="66">
        <v>650</v>
      </c>
      <c r="M368" s="164">
        <v>10.10393959527134</v>
      </c>
      <c r="N368" s="78">
        <v>355.80707999999998</v>
      </c>
      <c r="O368" s="113">
        <v>20441.126725734961</v>
      </c>
      <c r="P368" s="111">
        <v>25231.292812896114</v>
      </c>
      <c r="Q368" s="110">
        <v>11416.760909528057</v>
      </c>
      <c r="R368" s="258">
        <v>31857.887635263018</v>
      </c>
      <c r="S368" s="259">
        <v>36648.053722424171</v>
      </c>
      <c r="U368" s="7" t="s">
        <v>3210</v>
      </c>
    </row>
    <row r="369" spans="1:21" ht="16.5" thickBot="1">
      <c r="A369" s="41" t="s">
        <v>31</v>
      </c>
      <c r="B369" s="42">
        <f t="shared" si="21"/>
        <v>140</v>
      </c>
      <c r="C369" s="42" t="s">
        <v>3</v>
      </c>
      <c r="D369" s="42">
        <f t="shared" si="22"/>
        <v>400</v>
      </c>
      <c r="E369" s="42" t="s">
        <v>3</v>
      </c>
      <c r="F369" s="90">
        <f t="shared" si="23"/>
        <v>700</v>
      </c>
      <c r="G369" s="42" t="s">
        <v>3</v>
      </c>
      <c r="H369" s="39">
        <v>6</v>
      </c>
      <c r="I369" s="40" t="s">
        <v>42</v>
      </c>
      <c r="J369" s="149">
        <v>140</v>
      </c>
      <c r="K369" s="66">
        <v>400</v>
      </c>
      <c r="L369" s="66">
        <v>700</v>
      </c>
      <c r="M369" s="164">
        <v>10.782113692295658</v>
      </c>
      <c r="N369" s="78">
        <v>415.10825999999997</v>
      </c>
      <c r="O369" s="113">
        <v>21474.110065692585</v>
      </c>
      <c r="P369" s="111">
        <v>26543.502996685605</v>
      </c>
      <c r="Q369" s="110">
        <v>12324.7019970418</v>
      </c>
      <c r="R369" s="258">
        <v>33798.812062734389</v>
      </c>
      <c r="S369" s="259">
        <v>38868.204993727406</v>
      </c>
      <c r="U369" s="7" t="s">
        <v>3211</v>
      </c>
    </row>
    <row r="370" spans="1:21" ht="16.5" thickBot="1">
      <c r="A370" s="41" t="s">
        <v>31</v>
      </c>
      <c r="B370" s="42">
        <f t="shared" si="21"/>
        <v>140</v>
      </c>
      <c r="C370" s="42" t="s">
        <v>3</v>
      </c>
      <c r="D370" s="42">
        <f t="shared" si="22"/>
        <v>400</v>
      </c>
      <c r="E370" s="42" t="s">
        <v>3</v>
      </c>
      <c r="F370" s="90">
        <f t="shared" si="23"/>
        <v>750</v>
      </c>
      <c r="G370" s="42" t="s">
        <v>3</v>
      </c>
      <c r="H370" s="39">
        <v>6</v>
      </c>
      <c r="I370" s="40" t="s">
        <v>42</v>
      </c>
      <c r="J370" s="149">
        <v>140</v>
      </c>
      <c r="K370" s="66">
        <v>400</v>
      </c>
      <c r="L370" s="66">
        <v>750</v>
      </c>
      <c r="M370" s="164">
        <v>11.460287789319979</v>
      </c>
      <c r="N370" s="78">
        <v>474.40944000000002</v>
      </c>
      <c r="O370" s="113">
        <v>22507.826260406389</v>
      </c>
      <c r="P370" s="111">
        <v>27856.134315636722</v>
      </c>
      <c r="Q370" s="110">
        <v>12981.309099800537</v>
      </c>
      <c r="R370" s="258">
        <v>35489.135360206928</v>
      </c>
      <c r="S370" s="259">
        <v>40837.443415437257</v>
      </c>
      <c r="U370" s="7" t="s">
        <v>3212</v>
      </c>
    </row>
    <row r="371" spans="1:21" ht="16.5" thickBot="1">
      <c r="A371" s="41" t="s">
        <v>31</v>
      </c>
      <c r="B371" s="42">
        <f t="shared" si="21"/>
        <v>140</v>
      </c>
      <c r="C371" s="42" t="s">
        <v>3</v>
      </c>
      <c r="D371" s="42">
        <f t="shared" si="22"/>
        <v>400</v>
      </c>
      <c r="E371" s="42" t="s">
        <v>3</v>
      </c>
      <c r="F371" s="90">
        <f t="shared" si="23"/>
        <v>800</v>
      </c>
      <c r="G371" s="42" t="s">
        <v>3</v>
      </c>
      <c r="H371" s="39">
        <v>6</v>
      </c>
      <c r="I371" s="40" t="s">
        <v>42</v>
      </c>
      <c r="J371" s="149">
        <v>140</v>
      </c>
      <c r="K371" s="66">
        <v>400</v>
      </c>
      <c r="L371" s="66">
        <v>800</v>
      </c>
      <c r="M371" s="164">
        <v>12.138461886344302</v>
      </c>
      <c r="N371" s="78">
        <v>533.71062000000006</v>
      </c>
      <c r="O371" s="113">
        <v>23542.163292820307</v>
      </c>
      <c r="P371" s="111">
        <v>29169.123874926991</v>
      </c>
      <c r="Q371" s="110">
        <v>13637.916049530511</v>
      </c>
      <c r="R371" s="258">
        <v>37180.079342350815</v>
      </c>
      <c r="S371" s="259">
        <v>42807.039924457502</v>
      </c>
      <c r="U371" s="7" t="s">
        <v>3213</v>
      </c>
    </row>
    <row r="372" spans="1:21" ht="16.5" thickBot="1">
      <c r="A372" s="41" t="s">
        <v>31</v>
      </c>
      <c r="B372" s="42">
        <f t="shared" si="21"/>
        <v>140</v>
      </c>
      <c r="C372" s="42" t="s">
        <v>3</v>
      </c>
      <c r="D372" s="42">
        <f t="shared" si="22"/>
        <v>400</v>
      </c>
      <c r="E372" s="42" t="s">
        <v>3</v>
      </c>
      <c r="F372" s="90">
        <f t="shared" si="23"/>
        <v>850</v>
      </c>
      <c r="G372" s="42" t="s">
        <v>3</v>
      </c>
      <c r="H372" s="39">
        <v>6</v>
      </c>
      <c r="I372" s="40" t="s">
        <v>42</v>
      </c>
      <c r="J372" s="149">
        <v>140</v>
      </c>
      <c r="K372" s="66">
        <v>400</v>
      </c>
      <c r="L372" s="66">
        <v>850</v>
      </c>
      <c r="M372" s="164">
        <v>12.81663598336862</v>
      </c>
      <c r="N372" s="78">
        <v>593.01179999999999</v>
      </c>
      <c r="O372" s="113">
        <v>24577.031488077973</v>
      </c>
      <c r="P372" s="111">
        <v>30482.421022035163</v>
      </c>
      <c r="Q372" s="110">
        <v>14545.85729007302</v>
      </c>
      <c r="R372" s="258">
        <v>39122.888778150991</v>
      </c>
      <c r="S372" s="259">
        <v>45028.278312108181</v>
      </c>
      <c r="U372" s="7" t="s">
        <v>3214</v>
      </c>
    </row>
    <row r="373" spans="1:21" ht="16.5" thickBot="1">
      <c r="A373" s="41" t="s">
        <v>31</v>
      </c>
      <c r="B373" s="42">
        <f t="shared" si="21"/>
        <v>140</v>
      </c>
      <c r="C373" s="42" t="s">
        <v>3</v>
      </c>
      <c r="D373" s="42">
        <f t="shared" si="22"/>
        <v>400</v>
      </c>
      <c r="E373" s="42" t="s">
        <v>3</v>
      </c>
      <c r="F373" s="90">
        <f t="shared" si="23"/>
        <v>900</v>
      </c>
      <c r="G373" s="42" t="s">
        <v>3</v>
      </c>
      <c r="H373" s="39">
        <v>6</v>
      </c>
      <c r="I373" s="40" t="s">
        <v>42</v>
      </c>
      <c r="J373" s="149">
        <v>140</v>
      </c>
      <c r="K373" s="66">
        <v>400</v>
      </c>
      <c r="L373" s="66">
        <v>900</v>
      </c>
      <c r="M373" s="164">
        <v>13.494810080392941</v>
      </c>
      <c r="N373" s="78">
        <v>652.31298000000004</v>
      </c>
      <c r="O373" s="113">
        <v>25612.357239343364</v>
      </c>
      <c r="P373" s="111">
        <v>31795.983980108362</v>
      </c>
      <c r="Q373" s="110">
        <v>15202.464239802994</v>
      </c>
      <c r="R373" s="258">
        <v>40814.821479146354</v>
      </c>
      <c r="S373" s="259">
        <v>46998.448219911355</v>
      </c>
      <c r="U373" s="7" t="s">
        <v>3215</v>
      </c>
    </row>
    <row r="374" spans="1:21" ht="16.5" thickBot="1">
      <c r="A374" s="41" t="s">
        <v>31</v>
      </c>
      <c r="B374" s="42">
        <f t="shared" si="21"/>
        <v>140</v>
      </c>
      <c r="C374" s="42" t="s">
        <v>3</v>
      </c>
      <c r="D374" s="42">
        <f t="shared" si="22"/>
        <v>400</v>
      </c>
      <c r="E374" s="42" t="s">
        <v>3</v>
      </c>
      <c r="F374" s="90">
        <f t="shared" si="23"/>
        <v>950</v>
      </c>
      <c r="G374" s="42" t="s">
        <v>3</v>
      </c>
      <c r="H374" s="39">
        <v>6</v>
      </c>
      <c r="I374" s="40" t="s">
        <v>42</v>
      </c>
      <c r="J374" s="149">
        <v>140</v>
      </c>
      <c r="K374" s="66">
        <v>400</v>
      </c>
      <c r="L374" s="66">
        <v>950</v>
      </c>
      <c r="M374" s="164">
        <v>14.172984177417261</v>
      </c>
      <c r="N374" s="78">
        <v>711.61415999999997</v>
      </c>
      <c r="O374" s="113">
        <v>26517.879401166778</v>
      </c>
      <c r="P374" s="111">
        <v>32968.99445524843</v>
      </c>
      <c r="Q374" s="110">
        <v>16110.4054803455</v>
      </c>
      <c r="R374" s="258">
        <v>42628.284881512278</v>
      </c>
      <c r="S374" s="259">
        <v>49079.39993559393</v>
      </c>
      <c r="U374" s="7" t="s">
        <v>3216</v>
      </c>
    </row>
    <row r="375" spans="1:21" ht="16.5" thickBot="1">
      <c r="A375" s="41" t="s">
        <v>31</v>
      </c>
      <c r="B375" s="42">
        <f t="shared" si="21"/>
        <v>140</v>
      </c>
      <c r="C375" s="42" t="s">
        <v>3</v>
      </c>
      <c r="D375" s="42">
        <f t="shared" si="22"/>
        <v>400</v>
      </c>
      <c r="E375" s="42" t="s">
        <v>3</v>
      </c>
      <c r="F375" s="90">
        <f t="shared" si="23"/>
        <v>1000</v>
      </c>
      <c r="G375" s="42" t="s">
        <v>3</v>
      </c>
      <c r="H375" s="39">
        <v>6</v>
      </c>
      <c r="I375" s="40" t="s">
        <v>42</v>
      </c>
      <c r="J375" s="149">
        <v>140</v>
      </c>
      <c r="K375" s="66">
        <v>400</v>
      </c>
      <c r="L375" s="66">
        <v>1000</v>
      </c>
      <c r="M375" s="164">
        <v>14.85115827444158</v>
      </c>
      <c r="N375" s="78">
        <v>770.91534000000001</v>
      </c>
      <c r="O375" s="113">
        <v>27749.123901673811</v>
      </c>
      <c r="P375" s="111">
        <v>34494.034597113532</v>
      </c>
      <c r="Q375" s="110">
        <v>16767.012583104239</v>
      </c>
      <c r="R375" s="258">
        <v>44516.13648477805</v>
      </c>
      <c r="S375" s="259">
        <v>51261.047180217771</v>
      </c>
      <c r="U375" s="7" t="s">
        <v>3217</v>
      </c>
    </row>
    <row r="376" spans="1:21" ht="16.5" thickBot="1">
      <c r="A376" s="41" t="s">
        <v>31</v>
      </c>
      <c r="B376" s="42">
        <f t="shared" si="21"/>
        <v>140</v>
      </c>
      <c r="C376" s="42" t="s">
        <v>3</v>
      </c>
      <c r="D376" s="42">
        <f t="shared" si="22"/>
        <v>400</v>
      </c>
      <c r="E376" s="42" t="s">
        <v>3</v>
      </c>
      <c r="F376" s="90">
        <f t="shared" si="23"/>
        <v>1050</v>
      </c>
      <c r="G376" s="42" t="s">
        <v>3</v>
      </c>
      <c r="H376" s="39">
        <v>6</v>
      </c>
      <c r="I376" s="40" t="s">
        <v>42</v>
      </c>
      <c r="J376" s="149">
        <v>140</v>
      </c>
      <c r="K376" s="66">
        <v>400</v>
      </c>
      <c r="L376" s="66">
        <v>1050</v>
      </c>
      <c r="M376" s="164">
        <v>15.529332371465902</v>
      </c>
      <c r="N376" s="78">
        <v>830.21651999999995</v>
      </c>
      <c r="O376" s="113">
        <v>28795.953743386242</v>
      </c>
      <c r="P376" s="111">
        <v>35821.469306687781</v>
      </c>
      <c r="Q376" s="110">
        <v>17674.953670617982</v>
      </c>
      <c r="R376" s="258">
        <v>46470.907414004221</v>
      </c>
      <c r="S376" s="259">
        <v>53496.42297730576</v>
      </c>
      <c r="U376" s="7" t="s">
        <v>3218</v>
      </c>
    </row>
    <row r="377" spans="1:21" s="7" customFormat="1" ht="16.5" thickBot="1">
      <c r="A377" s="38" t="s">
        <v>31</v>
      </c>
      <c r="B377" s="39">
        <f t="shared" si="21"/>
        <v>140</v>
      </c>
      <c r="C377" s="39" t="s">
        <v>3</v>
      </c>
      <c r="D377" s="39">
        <f t="shared" si="22"/>
        <v>400</v>
      </c>
      <c r="E377" s="39" t="s">
        <v>3</v>
      </c>
      <c r="F377" s="90">
        <f t="shared" si="23"/>
        <v>1100</v>
      </c>
      <c r="G377" s="39" t="s">
        <v>3</v>
      </c>
      <c r="H377" s="39">
        <v>6</v>
      </c>
      <c r="I377" s="40" t="s">
        <v>42</v>
      </c>
      <c r="J377" s="149">
        <v>140</v>
      </c>
      <c r="K377" s="66">
        <v>400</v>
      </c>
      <c r="L377" s="66">
        <v>1100</v>
      </c>
      <c r="M377" s="164">
        <v>16.207506468490219</v>
      </c>
      <c r="N377" s="78">
        <v>889.51769999999999</v>
      </c>
      <c r="O377" s="113">
        <v>29832.466385753938</v>
      </c>
      <c r="P377" s="111">
        <v>37135.671924999202</v>
      </c>
      <c r="Q377" s="110">
        <v>18331.560773376717</v>
      </c>
      <c r="R377" s="258">
        <v>48164.027159130652</v>
      </c>
      <c r="S377" s="259">
        <v>55467.232698375919</v>
      </c>
      <c r="U377" s="7" t="s">
        <v>3219</v>
      </c>
    </row>
    <row r="378" spans="1:21" s="7" customFormat="1" ht="16.5" thickBot="1">
      <c r="A378" s="41" t="s">
        <v>31</v>
      </c>
      <c r="B378" s="42">
        <f t="shared" si="21"/>
        <v>140</v>
      </c>
      <c r="C378" s="42" t="s">
        <v>3</v>
      </c>
      <c r="D378" s="42">
        <f t="shared" si="22"/>
        <v>400</v>
      </c>
      <c r="E378" s="42" t="s">
        <v>3</v>
      </c>
      <c r="F378" s="90">
        <f t="shared" si="23"/>
        <v>1150</v>
      </c>
      <c r="G378" s="42" t="s">
        <v>3</v>
      </c>
      <c r="H378" s="39">
        <v>6</v>
      </c>
      <c r="I378" s="40" t="s">
        <v>42</v>
      </c>
      <c r="J378" s="149">
        <v>140</v>
      </c>
      <c r="K378" s="66">
        <v>400</v>
      </c>
      <c r="L378" s="66">
        <v>1150</v>
      </c>
      <c r="M378" s="164">
        <v>16.885680565514541</v>
      </c>
      <c r="N378" s="78">
        <v>948.81888000000004</v>
      </c>
      <c r="O378" s="113">
        <v>30869.227852893731</v>
      </c>
      <c r="P378" s="111">
        <v>38450.024664529206</v>
      </c>
      <c r="Q378" s="110">
        <v>18988.167723106693</v>
      </c>
      <c r="R378" s="258">
        <v>49857.395576000425</v>
      </c>
      <c r="S378" s="259">
        <v>57438.1923876359</v>
      </c>
      <c r="U378" s="7" t="s">
        <v>3220</v>
      </c>
    </row>
    <row r="379" spans="1:21" s="7" customFormat="1" ht="16.5" thickBot="1">
      <c r="A379" s="41" t="s">
        <v>31</v>
      </c>
      <c r="B379" s="42">
        <f t="shared" si="21"/>
        <v>140</v>
      </c>
      <c r="C379" s="42" t="s">
        <v>3</v>
      </c>
      <c r="D379" s="42">
        <f t="shared" si="22"/>
        <v>400</v>
      </c>
      <c r="E379" s="42" t="s">
        <v>3</v>
      </c>
      <c r="F379" s="90">
        <f t="shared" si="23"/>
        <v>1200</v>
      </c>
      <c r="G379" s="42" t="s">
        <v>3</v>
      </c>
      <c r="H379" s="39">
        <v>6</v>
      </c>
      <c r="I379" s="40" t="s">
        <v>42</v>
      </c>
      <c r="J379" s="149">
        <v>140</v>
      </c>
      <c r="K379" s="66">
        <v>400</v>
      </c>
      <c r="L379" s="66">
        <v>1200</v>
      </c>
      <c r="M379" s="164">
        <v>17.68019166253886</v>
      </c>
      <c r="N379" s="78">
        <v>1008.12006</v>
      </c>
      <c r="O379" s="113">
        <v>32039.816800854467</v>
      </c>
      <c r="P379" s="111">
        <v>39900.518373751307</v>
      </c>
      <c r="Q379" s="110">
        <v>19896.1089636492</v>
      </c>
      <c r="R379" s="258">
        <v>51935.925764503671</v>
      </c>
      <c r="S379" s="259">
        <v>59796.62733740051</v>
      </c>
      <c r="U379" s="7" t="s">
        <v>3221</v>
      </c>
    </row>
    <row r="380" spans="1:21" s="7" customFormat="1" ht="16.5" thickBot="1">
      <c r="A380" s="41" t="s">
        <v>31</v>
      </c>
      <c r="B380" s="42">
        <f t="shared" si="21"/>
        <v>140</v>
      </c>
      <c r="C380" s="42" t="s">
        <v>3</v>
      </c>
      <c r="D380" s="42">
        <f t="shared" si="22"/>
        <v>400</v>
      </c>
      <c r="E380" s="42" t="s">
        <v>3</v>
      </c>
      <c r="F380" s="90">
        <f t="shared" si="23"/>
        <v>1250</v>
      </c>
      <c r="G380" s="42" t="s">
        <v>3</v>
      </c>
      <c r="H380" s="39">
        <v>6</v>
      </c>
      <c r="I380" s="40" t="s">
        <v>42</v>
      </c>
      <c r="J380" s="149">
        <v>140</v>
      </c>
      <c r="K380" s="66">
        <v>400</v>
      </c>
      <c r="L380" s="66">
        <v>1250</v>
      </c>
      <c r="M380" s="164">
        <v>18.358365759563181</v>
      </c>
      <c r="N380" s="78">
        <v>1067.4212400000001</v>
      </c>
      <c r="O380" s="113">
        <v>33077.011339399563</v>
      </c>
      <c r="P380" s="111">
        <v>41215.114735075396</v>
      </c>
      <c r="Q380" s="110">
        <v>20552.715913379172</v>
      </c>
      <c r="R380" s="258">
        <v>53629.727252778735</v>
      </c>
      <c r="S380" s="259">
        <v>61767.830648454568</v>
      </c>
      <c r="U380" s="7" t="s">
        <v>3222</v>
      </c>
    </row>
    <row r="381" spans="1:21" s="7" customFormat="1" ht="16.5" thickBot="1">
      <c r="A381" s="41" t="s">
        <v>31</v>
      </c>
      <c r="B381" s="42">
        <f t="shared" si="21"/>
        <v>140</v>
      </c>
      <c r="C381" s="42" t="s">
        <v>3</v>
      </c>
      <c r="D381" s="42">
        <f t="shared" si="22"/>
        <v>400</v>
      </c>
      <c r="E381" s="42" t="s">
        <v>3</v>
      </c>
      <c r="F381" s="90">
        <f t="shared" si="23"/>
        <v>1300</v>
      </c>
      <c r="G381" s="42" t="s">
        <v>3</v>
      </c>
      <c r="H381" s="39">
        <v>6</v>
      </c>
      <c r="I381" s="40" t="s">
        <v>42</v>
      </c>
      <c r="J381" s="149">
        <v>140</v>
      </c>
      <c r="K381" s="66">
        <v>400</v>
      </c>
      <c r="L381" s="66">
        <v>1300</v>
      </c>
      <c r="M381" s="164">
        <v>19.036539856587503</v>
      </c>
      <c r="N381" s="78">
        <v>1126.7224199999998</v>
      </c>
      <c r="O381" s="113">
        <v>34114.382626168379</v>
      </c>
      <c r="P381" s="111">
        <v>42529.820052880248</v>
      </c>
      <c r="Q381" s="110">
        <v>21460.657153921682</v>
      </c>
      <c r="R381" s="258">
        <v>55575.039780090061</v>
      </c>
      <c r="S381" s="259">
        <v>63990.47720680193</v>
      </c>
      <c r="U381" s="7" t="s">
        <v>3223</v>
      </c>
    </row>
    <row r="382" spans="1:21" s="7" customFormat="1" ht="16.5" thickBot="1">
      <c r="A382" s="41" t="s">
        <v>31</v>
      </c>
      <c r="B382" s="42">
        <f t="shared" si="21"/>
        <v>140</v>
      </c>
      <c r="C382" s="42" t="s">
        <v>3</v>
      </c>
      <c r="D382" s="42">
        <f t="shared" si="22"/>
        <v>400</v>
      </c>
      <c r="E382" s="42" t="s">
        <v>3</v>
      </c>
      <c r="F382" s="90">
        <f t="shared" si="23"/>
        <v>1350</v>
      </c>
      <c r="G382" s="42" t="s">
        <v>3</v>
      </c>
      <c r="H382" s="39">
        <v>6</v>
      </c>
      <c r="I382" s="40" t="s">
        <v>42</v>
      </c>
      <c r="J382" s="149">
        <v>140</v>
      </c>
      <c r="K382" s="66">
        <v>400</v>
      </c>
      <c r="L382" s="66">
        <v>1350</v>
      </c>
      <c r="M382" s="164">
        <v>19.71471395361182</v>
      </c>
      <c r="N382" s="78">
        <v>1186.0236</v>
      </c>
      <c r="O382" s="113">
        <v>35151.913827996752</v>
      </c>
      <c r="P382" s="111">
        <v>43844.623615152312</v>
      </c>
      <c r="Q382" s="110">
        <v>22117.264103651651</v>
      </c>
      <c r="R382" s="258">
        <v>57269.177931648403</v>
      </c>
      <c r="S382" s="259">
        <v>65961.887718803962</v>
      </c>
      <c r="U382" s="7" t="s">
        <v>3224</v>
      </c>
    </row>
    <row r="383" spans="1:21" s="7" customFormat="1" ht="16.5" thickBot="1">
      <c r="A383" s="41" t="s">
        <v>31</v>
      </c>
      <c r="B383" s="42">
        <f t="shared" si="21"/>
        <v>140</v>
      </c>
      <c r="C383" s="42" t="s">
        <v>3</v>
      </c>
      <c r="D383" s="42">
        <f t="shared" si="22"/>
        <v>400</v>
      </c>
      <c r="E383" s="42" t="s">
        <v>3</v>
      </c>
      <c r="F383" s="90">
        <f t="shared" si="23"/>
        <v>1400</v>
      </c>
      <c r="G383" s="42" t="s">
        <v>3</v>
      </c>
      <c r="H383" s="39">
        <v>6</v>
      </c>
      <c r="I383" s="40" t="s">
        <v>42</v>
      </c>
      <c r="J383" s="149">
        <v>140</v>
      </c>
      <c r="K383" s="66">
        <v>400</v>
      </c>
      <c r="L383" s="66">
        <v>1400</v>
      </c>
      <c r="M383" s="164">
        <v>20.392888050636142</v>
      </c>
      <c r="N383" s="78">
        <v>1245.3247800000001</v>
      </c>
      <c r="O383" s="113">
        <v>36189.589488979407</v>
      </c>
      <c r="P383" s="111">
        <v>45159.516240165678</v>
      </c>
      <c r="Q383" s="110">
        <v>23025.205344194161</v>
      </c>
      <c r="R383" s="258">
        <v>59214.794833173568</v>
      </c>
      <c r="S383" s="259">
        <v>68184.721584359839</v>
      </c>
      <c r="U383" s="7" t="s">
        <v>3225</v>
      </c>
    </row>
    <row r="384" spans="1:21" s="7" customFormat="1" ht="16.5" thickBot="1">
      <c r="A384" s="41" t="s">
        <v>31</v>
      </c>
      <c r="B384" s="42">
        <f t="shared" si="21"/>
        <v>140</v>
      </c>
      <c r="C384" s="42" t="s">
        <v>3</v>
      </c>
      <c r="D384" s="42">
        <f t="shared" si="22"/>
        <v>400</v>
      </c>
      <c r="E384" s="42" t="s">
        <v>3</v>
      </c>
      <c r="F384" s="90">
        <f t="shared" si="23"/>
        <v>1450</v>
      </c>
      <c r="G384" s="42" t="s">
        <v>3</v>
      </c>
      <c r="H384" s="39">
        <v>6</v>
      </c>
      <c r="I384" s="40" t="s">
        <v>42</v>
      </c>
      <c r="J384" s="149">
        <v>140</v>
      </c>
      <c r="K384" s="66">
        <v>400</v>
      </c>
      <c r="L384" s="66">
        <v>1450</v>
      </c>
      <c r="M384" s="164">
        <v>21.071062147660459</v>
      </c>
      <c r="N384" s="78">
        <v>1304.6259600000001</v>
      </c>
      <c r="O384" s="113">
        <v>37227.396448642532</v>
      </c>
      <c r="P384" s="111">
        <v>46474.490123453332</v>
      </c>
      <c r="Q384" s="110">
        <v>23681.812293924133</v>
      </c>
      <c r="R384" s="258">
        <v>60909.208742566669</v>
      </c>
      <c r="S384" s="259">
        <v>70156.302417377461</v>
      </c>
      <c r="U384" s="7" t="s">
        <v>3226</v>
      </c>
    </row>
    <row r="385" spans="1:21" s="7" customFormat="1" ht="16.5" thickBot="1">
      <c r="A385" s="41" t="s">
        <v>31</v>
      </c>
      <c r="B385" s="42">
        <f t="shared" si="21"/>
        <v>140</v>
      </c>
      <c r="C385" s="42" t="s">
        <v>3</v>
      </c>
      <c r="D385" s="42">
        <f t="shared" si="22"/>
        <v>400</v>
      </c>
      <c r="E385" s="42" t="s">
        <v>3</v>
      </c>
      <c r="F385" s="90">
        <f t="shared" si="23"/>
        <v>1500</v>
      </c>
      <c r="G385" s="42" t="s">
        <v>3</v>
      </c>
      <c r="H385" s="39">
        <v>6</v>
      </c>
      <c r="I385" s="40" t="s">
        <v>42</v>
      </c>
      <c r="J385" s="149">
        <v>140</v>
      </c>
      <c r="K385" s="66">
        <v>400</v>
      </c>
      <c r="L385" s="66">
        <v>1500</v>
      </c>
      <c r="M385" s="164">
        <v>21.973789074677182</v>
      </c>
      <c r="N385" s="78">
        <v>1363.9271399999998</v>
      </c>
      <c r="O385" s="113">
        <v>39139.205623261209</v>
      </c>
      <c r="P385" s="111">
        <v>48672.749864761608</v>
      </c>
      <c r="Q385" s="110">
        <v>24589.753534466639</v>
      </c>
      <c r="R385" s="258">
        <v>63728.959157727848</v>
      </c>
      <c r="S385" s="259">
        <v>73262.503399228241</v>
      </c>
      <c r="U385" s="7" t="s">
        <v>3227</v>
      </c>
    </row>
    <row r="386" spans="1:21" s="7" customFormat="1" ht="16.5" thickBot="1">
      <c r="A386" s="41" t="s">
        <v>31</v>
      </c>
      <c r="B386" s="42">
        <f t="shared" si="21"/>
        <v>140</v>
      </c>
      <c r="C386" s="42" t="s">
        <v>3</v>
      </c>
      <c r="D386" s="42">
        <f t="shared" si="22"/>
        <v>400</v>
      </c>
      <c r="E386" s="42" t="s">
        <v>3</v>
      </c>
      <c r="F386" s="90">
        <f t="shared" si="23"/>
        <v>1550</v>
      </c>
      <c r="G386" s="42" t="s">
        <v>3</v>
      </c>
      <c r="H386" s="39">
        <v>6</v>
      </c>
      <c r="I386" s="40" t="s">
        <v>42</v>
      </c>
      <c r="J386" s="149">
        <v>140</v>
      </c>
      <c r="K386" s="66">
        <v>400</v>
      </c>
      <c r="L386" s="66">
        <v>1550</v>
      </c>
      <c r="M386" s="164">
        <v>22.6519631717015</v>
      </c>
      <c r="N386" s="78">
        <v>1423.2283199999999</v>
      </c>
      <c r="O386" s="113">
        <v>40176.937139743131</v>
      </c>
      <c r="P386" s="111">
        <v>49987.836530249151</v>
      </c>
      <c r="Q386" s="110">
        <v>25246.360484196612</v>
      </c>
      <c r="R386" s="258">
        <v>65423.297623939739</v>
      </c>
      <c r="S386" s="259">
        <v>75234.197014445759</v>
      </c>
      <c r="U386" s="7" t="s">
        <v>3228</v>
      </c>
    </row>
    <row r="387" spans="1:21" s="7" customFormat="1" ht="16.5" thickBot="1">
      <c r="A387" s="38" t="s">
        <v>31</v>
      </c>
      <c r="B387" s="39">
        <f t="shared" si="21"/>
        <v>140</v>
      </c>
      <c r="C387" s="39" t="s">
        <v>3</v>
      </c>
      <c r="D387" s="39">
        <f t="shared" si="22"/>
        <v>400</v>
      </c>
      <c r="E387" s="39" t="s">
        <v>3</v>
      </c>
      <c r="F387" s="90">
        <f t="shared" si="23"/>
        <v>1600</v>
      </c>
      <c r="G387" s="39" t="s">
        <v>3</v>
      </c>
      <c r="H387" s="39">
        <v>6</v>
      </c>
      <c r="I387" s="40" t="s">
        <v>42</v>
      </c>
      <c r="J387" s="149">
        <v>140</v>
      </c>
      <c r="K387" s="66">
        <v>400</v>
      </c>
      <c r="L387" s="66">
        <v>1600</v>
      </c>
      <c r="M387" s="164">
        <v>23.330137268725821</v>
      </c>
      <c r="N387" s="78">
        <v>1482.5295000000001</v>
      </c>
      <c r="O387" s="113">
        <v>41214.784192942723</v>
      </c>
      <c r="P387" s="111">
        <v>51302.98578450163</v>
      </c>
      <c r="Q387" s="110">
        <v>25902.96758695535</v>
      </c>
      <c r="R387" s="258">
        <v>67117.75177989807</v>
      </c>
      <c r="S387" s="259">
        <v>77205.953371456984</v>
      </c>
      <c r="U387" s="7" t="s">
        <v>3229</v>
      </c>
    </row>
    <row r="388" spans="1:21" s="7" customFormat="1" ht="16.5" thickBot="1">
      <c r="A388" s="41" t="s">
        <v>31</v>
      </c>
      <c r="B388" s="42">
        <f t="shared" si="21"/>
        <v>140</v>
      </c>
      <c r="C388" s="42" t="s">
        <v>3</v>
      </c>
      <c r="D388" s="42">
        <f t="shared" si="22"/>
        <v>400</v>
      </c>
      <c r="E388" s="42" t="s">
        <v>3</v>
      </c>
      <c r="F388" s="90">
        <f t="shared" si="23"/>
        <v>1650</v>
      </c>
      <c r="G388" s="42" t="s">
        <v>3</v>
      </c>
      <c r="H388" s="39">
        <v>6</v>
      </c>
      <c r="I388" s="40" t="s">
        <v>42</v>
      </c>
      <c r="J388" s="149">
        <v>140</v>
      </c>
      <c r="K388" s="66">
        <v>400</v>
      </c>
      <c r="L388" s="66">
        <v>1650</v>
      </c>
      <c r="M388" s="164">
        <v>24.008311365750142</v>
      </c>
      <c r="N388" s="78">
        <v>1541.83068</v>
      </c>
      <c r="O388" s="113">
        <v>42252.737601134075</v>
      </c>
      <c r="P388" s="111">
        <v>52618.192730598574</v>
      </c>
      <c r="Q388" s="110">
        <v>26810.908827497857</v>
      </c>
      <c r="R388" s="258">
        <v>69063.646428631939</v>
      </c>
      <c r="S388" s="259">
        <v>79429.10155809643</v>
      </c>
      <c r="U388" s="7" t="s">
        <v>3230</v>
      </c>
    </row>
    <row r="389" spans="1:21" s="7" customFormat="1" ht="16.5" thickBot="1">
      <c r="A389" s="41" t="s">
        <v>31</v>
      </c>
      <c r="B389" s="42">
        <f t="shared" si="21"/>
        <v>140</v>
      </c>
      <c r="C389" s="42" t="s">
        <v>3</v>
      </c>
      <c r="D389" s="42">
        <f t="shared" si="22"/>
        <v>400</v>
      </c>
      <c r="E389" s="42" t="s">
        <v>3</v>
      </c>
      <c r="F389" s="90">
        <f t="shared" si="23"/>
        <v>1700</v>
      </c>
      <c r="G389" s="42" t="s">
        <v>3</v>
      </c>
      <c r="H389" s="39">
        <v>6</v>
      </c>
      <c r="I389" s="40" t="s">
        <v>42</v>
      </c>
      <c r="J389" s="149">
        <v>140</v>
      </c>
      <c r="K389" s="66">
        <v>400</v>
      </c>
      <c r="L389" s="66">
        <v>1700</v>
      </c>
      <c r="M389" s="164">
        <v>24.686485462774463</v>
      </c>
      <c r="N389" s="78">
        <v>1601.1318600000002</v>
      </c>
      <c r="O389" s="113">
        <v>43290.788794706343</v>
      </c>
      <c r="P389" s="111">
        <v>53933.452930705767</v>
      </c>
      <c r="Q389" s="110">
        <v>27467.515777227836</v>
      </c>
      <c r="R389" s="258">
        <v>70758.304571934175</v>
      </c>
      <c r="S389" s="259">
        <v>81400.9687079336</v>
      </c>
      <c r="U389" s="7" t="s">
        <v>3231</v>
      </c>
    </row>
    <row r="390" spans="1:21" s="7" customFormat="1" ht="16.5" thickBot="1">
      <c r="A390" s="41" t="s">
        <v>31</v>
      </c>
      <c r="B390" s="42">
        <f t="shared" si="21"/>
        <v>140</v>
      </c>
      <c r="C390" s="42" t="s">
        <v>3</v>
      </c>
      <c r="D390" s="42">
        <f t="shared" si="22"/>
        <v>400</v>
      </c>
      <c r="E390" s="42" t="s">
        <v>3</v>
      </c>
      <c r="F390" s="90">
        <f t="shared" si="23"/>
        <v>1750</v>
      </c>
      <c r="G390" s="42" t="s">
        <v>3</v>
      </c>
      <c r="H390" s="39">
        <v>6</v>
      </c>
      <c r="I390" s="40" t="s">
        <v>42</v>
      </c>
      <c r="J390" s="149">
        <v>140</v>
      </c>
      <c r="K390" s="66">
        <v>400</v>
      </c>
      <c r="L390" s="66">
        <v>1750</v>
      </c>
      <c r="M390" s="164">
        <v>25.364659559798781</v>
      </c>
      <c r="N390" s="78">
        <v>1660.4330399999999</v>
      </c>
      <c r="O390" s="113">
        <v>44328.930581307563</v>
      </c>
      <c r="P390" s="111">
        <v>55248.76240607533</v>
      </c>
      <c r="Q390" s="110">
        <v>28375.457017770343</v>
      </c>
      <c r="R390" s="258">
        <v>72704.387599077905</v>
      </c>
      <c r="S390" s="259">
        <v>83624.219423845672</v>
      </c>
      <c r="U390" s="7" t="s">
        <v>3232</v>
      </c>
    </row>
    <row r="391" spans="1:21" s="7" customFormat="1" ht="16.5" thickBot="1">
      <c r="A391" s="41" t="s">
        <v>31</v>
      </c>
      <c r="B391" s="42">
        <f t="shared" si="21"/>
        <v>140</v>
      </c>
      <c r="C391" s="42" t="s">
        <v>3</v>
      </c>
      <c r="D391" s="42">
        <f t="shared" si="22"/>
        <v>400</v>
      </c>
      <c r="E391" s="42" t="s">
        <v>3</v>
      </c>
      <c r="F391" s="90">
        <f t="shared" si="23"/>
        <v>1800</v>
      </c>
      <c r="G391" s="42" t="s">
        <v>3</v>
      </c>
      <c r="H391" s="39">
        <v>6</v>
      </c>
      <c r="I391" s="40" t="s">
        <v>42</v>
      </c>
      <c r="J391" s="149">
        <v>140</v>
      </c>
      <c r="K391" s="66">
        <v>400</v>
      </c>
      <c r="L391" s="66">
        <v>1800</v>
      </c>
      <c r="M391" s="164">
        <v>26.042833656823099</v>
      </c>
      <c r="N391" s="78">
        <v>1719.7342199999998</v>
      </c>
      <c r="O391" s="113">
        <v>45367.15607464331</v>
      </c>
      <c r="P391" s="111">
        <v>56564.117484016911</v>
      </c>
      <c r="Q391" s="110">
        <v>29032.063967500315</v>
      </c>
      <c r="R391" s="258">
        <v>74399.220042143628</v>
      </c>
      <c r="S391" s="259">
        <v>85596.18145151723</v>
      </c>
      <c r="U391" s="7" t="s">
        <v>3233</v>
      </c>
    </row>
    <row r="392" spans="1:21" s="7" customFormat="1" ht="16.5" thickBot="1">
      <c r="A392" s="41" t="s">
        <v>31</v>
      </c>
      <c r="B392" s="42">
        <f t="shared" si="21"/>
        <v>140</v>
      </c>
      <c r="C392" s="42" t="s">
        <v>3</v>
      </c>
      <c r="D392" s="42">
        <f t="shared" si="22"/>
        <v>400</v>
      </c>
      <c r="E392" s="42" t="s">
        <v>3</v>
      </c>
      <c r="F392" s="90">
        <f t="shared" si="23"/>
        <v>1850</v>
      </c>
      <c r="G392" s="42" t="s">
        <v>3</v>
      </c>
      <c r="H392" s="39">
        <v>6</v>
      </c>
      <c r="I392" s="40" t="s">
        <v>42</v>
      </c>
      <c r="J392" s="149">
        <v>140</v>
      </c>
      <c r="K392" s="66">
        <v>400</v>
      </c>
      <c r="L392" s="66">
        <v>1850</v>
      </c>
      <c r="M392" s="164">
        <v>26.721007753847424</v>
      </c>
      <c r="N392" s="78">
        <v>1779.0354</v>
      </c>
      <c r="O392" s="113">
        <v>46405.459306591736</v>
      </c>
      <c r="P392" s="111">
        <v>57879.514950926416</v>
      </c>
      <c r="Q392" s="110">
        <v>29940.005208042821</v>
      </c>
      <c r="R392" s="258">
        <v>76345.464514634557</v>
      </c>
      <c r="S392" s="259">
        <v>87819.520158969244</v>
      </c>
      <c r="U392" s="7" t="s">
        <v>3234</v>
      </c>
    </row>
    <row r="393" spans="1:21" s="7" customFormat="1" ht="16.5" thickBot="1">
      <c r="A393" s="41" t="s">
        <v>31</v>
      </c>
      <c r="B393" s="42">
        <f t="shared" si="21"/>
        <v>140</v>
      </c>
      <c r="C393" s="42" t="s">
        <v>3</v>
      </c>
      <c r="D393" s="42">
        <f t="shared" si="22"/>
        <v>400</v>
      </c>
      <c r="E393" s="42" t="s">
        <v>3</v>
      </c>
      <c r="F393" s="90">
        <f t="shared" si="23"/>
        <v>1900</v>
      </c>
      <c r="G393" s="42" t="s">
        <v>3</v>
      </c>
      <c r="H393" s="39">
        <v>6</v>
      </c>
      <c r="I393" s="40" t="s">
        <v>42</v>
      </c>
      <c r="J393" s="149">
        <v>140</v>
      </c>
      <c r="K393" s="66">
        <v>400</v>
      </c>
      <c r="L393" s="66">
        <v>1900</v>
      </c>
      <c r="M393" s="164">
        <v>27.399181850871742</v>
      </c>
      <c r="N393" s="78">
        <v>1838.3365800000001</v>
      </c>
      <c r="O393" s="113">
        <v>47443.834615088541</v>
      </c>
      <c r="P393" s="111">
        <v>59194.951746228573</v>
      </c>
      <c r="Q393" s="110">
        <v>30596.612157772794</v>
      </c>
      <c r="R393" s="258">
        <v>78040.446772861338</v>
      </c>
      <c r="S393" s="259">
        <v>89791.563904001363</v>
      </c>
      <c r="U393" s="7" t="s">
        <v>3235</v>
      </c>
    </row>
    <row r="394" spans="1:21" s="7" customFormat="1" ht="16.5" thickBot="1">
      <c r="A394" s="41" t="s">
        <v>31</v>
      </c>
      <c r="B394" s="42">
        <f t="shared" si="21"/>
        <v>140</v>
      </c>
      <c r="C394" s="42" t="s">
        <v>3</v>
      </c>
      <c r="D394" s="42">
        <f t="shared" si="22"/>
        <v>400</v>
      </c>
      <c r="E394" s="42" t="s">
        <v>3</v>
      </c>
      <c r="F394" s="90">
        <f t="shared" si="23"/>
        <v>1950</v>
      </c>
      <c r="G394" s="42" t="s">
        <v>3</v>
      </c>
      <c r="H394" s="39">
        <v>6</v>
      </c>
      <c r="I394" s="40" t="s">
        <v>42</v>
      </c>
      <c r="J394" s="149">
        <v>140</v>
      </c>
      <c r="K394" s="66">
        <v>400</v>
      </c>
      <c r="L394" s="66">
        <v>1950</v>
      </c>
      <c r="M394" s="164">
        <v>28.193692947896064</v>
      </c>
      <c r="N394" s="78">
        <v>1897.6377600000001</v>
      </c>
      <c r="O394" s="113">
        <v>48615.960124879886</v>
      </c>
      <c r="P394" s="111">
        <v>60646.3370010363</v>
      </c>
      <c r="Q394" s="110">
        <v>31253.219260531532</v>
      </c>
      <c r="R394" s="258">
        <v>79869.179385411422</v>
      </c>
      <c r="S394" s="259">
        <v>91899.556261567835</v>
      </c>
      <c r="U394" s="7" t="s">
        <v>3236</v>
      </c>
    </row>
    <row r="395" spans="1:21" s="7" customFormat="1" ht="16.5" thickBot="1">
      <c r="A395" s="41" t="s">
        <v>31</v>
      </c>
      <c r="B395" s="42">
        <f t="shared" si="21"/>
        <v>140</v>
      </c>
      <c r="C395" s="42" t="s">
        <v>3</v>
      </c>
      <c r="D395" s="42">
        <f t="shared" si="22"/>
        <v>400</v>
      </c>
      <c r="E395" s="42" t="s">
        <v>3</v>
      </c>
      <c r="F395" s="90">
        <f t="shared" si="23"/>
        <v>2000</v>
      </c>
      <c r="G395" s="42" t="s">
        <v>3</v>
      </c>
      <c r="H395" s="39">
        <v>6</v>
      </c>
      <c r="I395" s="40" t="s">
        <v>42</v>
      </c>
      <c r="J395" s="149">
        <v>140</v>
      </c>
      <c r="K395" s="66">
        <v>400</v>
      </c>
      <c r="L395" s="66">
        <v>2000</v>
      </c>
      <c r="M395" s="164">
        <v>28.962330696120386</v>
      </c>
      <c r="N395" s="78">
        <v>1956.9389399999998</v>
      </c>
      <c r="O395" s="113">
        <v>49919.937973220716</v>
      </c>
      <c r="P395" s="111">
        <v>62439.061026979885</v>
      </c>
      <c r="Q395" s="110">
        <v>32161.160348045276</v>
      </c>
      <c r="R395" s="258">
        <v>82081.098321265992</v>
      </c>
      <c r="S395" s="259">
        <v>94600.221375025169</v>
      </c>
      <c r="U395" s="7" t="s">
        <v>3237</v>
      </c>
    </row>
    <row r="396" spans="1:21" s="7" customFormat="1" ht="16.5" thickBot="1">
      <c r="A396" s="41" t="s">
        <v>31</v>
      </c>
      <c r="B396" s="42">
        <f t="shared" si="21"/>
        <v>140</v>
      </c>
      <c r="C396" s="42" t="s">
        <v>3</v>
      </c>
      <c r="D396" s="42">
        <f t="shared" si="22"/>
        <v>400</v>
      </c>
      <c r="E396" s="42" t="s">
        <v>3</v>
      </c>
      <c r="F396" s="90">
        <f t="shared" si="23"/>
        <v>2050</v>
      </c>
      <c r="G396" s="42" t="s">
        <v>3</v>
      </c>
      <c r="H396" s="39">
        <v>6</v>
      </c>
      <c r="I396" s="40" t="s">
        <v>42</v>
      </c>
      <c r="J396" s="149">
        <v>140</v>
      </c>
      <c r="K396" s="66">
        <v>400</v>
      </c>
      <c r="L396" s="66">
        <v>2050</v>
      </c>
      <c r="M396" s="164">
        <v>29.6405047931447</v>
      </c>
      <c r="N396" s="78">
        <v>2016.2401199999999</v>
      </c>
      <c r="O396" s="113">
        <v>50958.48253153175</v>
      </c>
      <c r="P396" s="111">
        <v>63754.508075209305</v>
      </c>
      <c r="Q396" s="110">
        <v>32817.767450804015</v>
      </c>
      <c r="R396" s="258">
        <v>83776.249982335765</v>
      </c>
      <c r="S396" s="259">
        <v>96572.275526013313</v>
      </c>
      <c r="U396" s="7" t="s">
        <v>3238</v>
      </c>
    </row>
    <row r="397" spans="1:21" s="7" customFormat="1" ht="16.5" thickBot="1">
      <c r="A397" s="38" t="s">
        <v>31</v>
      </c>
      <c r="B397" s="39">
        <f t="shared" si="21"/>
        <v>140</v>
      </c>
      <c r="C397" s="39" t="s">
        <v>3</v>
      </c>
      <c r="D397" s="39">
        <f t="shared" si="22"/>
        <v>400</v>
      </c>
      <c r="E397" s="39" t="s">
        <v>3</v>
      </c>
      <c r="F397" s="90">
        <f t="shared" si="23"/>
        <v>2100</v>
      </c>
      <c r="G397" s="39" t="s">
        <v>3</v>
      </c>
      <c r="H397" s="39">
        <v>6</v>
      </c>
      <c r="I397" s="40" t="s">
        <v>42</v>
      </c>
      <c r="J397" s="149">
        <v>140</v>
      </c>
      <c r="K397" s="66">
        <v>400</v>
      </c>
      <c r="L397" s="66">
        <v>2100</v>
      </c>
      <c r="M397" s="164">
        <v>30.318678890169021</v>
      </c>
      <c r="N397" s="78">
        <v>2075.5412999999999</v>
      </c>
      <c r="O397" s="113">
        <v>51997.082333226979</v>
      </c>
      <c r="P397" s="111">
        <v>65069.988789767041</v>
      </c>
      <c r="Q397" s="110">
        <v>33725.708538317755</v>
      </c>
      <c r="R397" s="258">
        <v>85722.790871544741</v>
      </c>
      <c r="S397" s="259">
        <v>98795.697328084789</v>
      </c>
      <c r="U397" s="7" t="s">
        <v>3239</v>
      </c>
    </row>
    <row r="398" spans="1:21" s="7" customFormat="1" ht="16.5" thickBot="1">
      <c r="A398" s="41" t="s">
        <v>31</v>
      </c>
      <c r="B398" s="42">
        <f t="shared" si="21"/>
        <v>140</v>
      </c>
      <c r="C398" s="42" t="s">
        <v>3</v>
      </c>
      <c r="D398" s="42">
        <f t="shared" si="22"/>
        <v>400</v>
      </c>
      <c r="E398" s="42" t="s">
        <v>3</v>
      </c>
      <c r="F398" s="90">
        <f t="shared" si="23"/>
        <v>2150</v>
      </c>
      <c r="G398" s="42" t="s">
        <v>3</v>
      </c>
      <c r="H398" s="39">
        <v>6</v>
      </c>
      <c r="I398" s="40" t="s">
        <v>42</v>
      </c>
      <c r="J398" s="149">
        <v>140</v>
      </c>
      <c r="K398" s="66">
        <v>400</v>
      </c>
      <c r="L398" s="66">
        <v>2150</v>
      </c>
      <c r="M398" s="164">
        <v>30.996852987193339</v>
      </c>
      <c r="N398" s="78">
        <v>2134.8424800000003</v>
      </c>
      <c r="O398" s="113">
        <v>53035.733705616069</v>
      </c>
      <c r="P398" s="111">
        <v>66385.501181279164</v>
      </c>
      <c r="Q398" s="110">
        <v>34382.315641076493</v>
      </c>
      <c r="R398" s="258">
        <v>87418.049346692569</v>
      </c>
      <c r="S398" s="259">
        <v>100767.81682235566</v>
      </c>
      <c r="U398" s="7" t="s">
        <v>3240</v>
      </c>
    </row>
    <row r="399" spans="1:21" s="7" customFormat="1" ht="16.5" thickBot="1">
      <c r="A399" s="41" t="s">
        <v>31</v>
      </c>
      <c r="B399" s="42">
        <f t="shared" si="21"/>
        <v>140</v>
      </c>
      <c r="C399" s="42" t="s">
        <v>3</v>
      </c>
      <c r="D399" s="42">
        <f t="shared" si="22"/>
        <v>400</v>
      </c>
      <c r="E399" s="42" t="s">
        <v>3</v>
      </c>
      <c r="F399" s="90">
        <f t="shared" si="23"/>
        <v>2200</v>
      </c>
      <c r="G399" s="42" t="s">
        <v>3</v>
      </c>
      <c r="H399" s="39">
        <v>6</v>
      </c>
      <c r="I399" s="40" t="s">
        <v>42</v>
      </c>
      <c r="J399" s="149">
        <v>140</v>
      </c>
      <c r="K399" s="66">
        <v>400</v>
      </c>
      <c r="L399" s="66">
        <v>2200</v>
      </c>
      <c r="M399" s="164">
        <v>31.67502708421766</v>
      </c>
      <c r="N399" s="78">
        <v>2194.1436600000002</v>
      </c>
      <c r="O399" s="113">
        <v>54074.433741152468</v>
      </c>
      <c r="P399" s="111">
        <v>67701.04310734295</v>
      </c>
      <c r="Q399" s="110">
        <v>35290.256728590233</v>
      </c>
      <c r="R399" s="258">
        <v>89364.690469742694</v>
      </c>
      <c r="S399" s="259">
        <v>102991.29983593318</v>
      </c>
      <c r="U399" s="7" t="s">
        <v>3241</v>
      </c>
    </row>
    <row r="400" spans="1:21" s="7" customFormat="1" ht="16.5" thickBot="1">
      <c r="A400" s="41" t="s">
        <v>31</v>
      </c>
      <c r="B400" s="42">
        <f t="shared" si="21"/>
        <v>140</v>
      </c>
      <c r="C400" s="42" t="s">
        <v>3</v>
      </c>
      <c r="D400" s="42">
        <f t="shared" si="22"/>
        <v>400</v>
      </c>
      <c r="E400" s="42" t="s">
        <v>3</v>
      </c>
      <c r="F400" s="90">
        <f t="shared" si="23"/>
        <v>2250</v>
      </c>
      <c r="G400" s="42" t="s">
        <v>3</v>
      </c>
      <c r="H400" s="39">
        <v>6</v>
      </c>
      <c r="I400" s="40" t="s">
        <v>42</v>
      </c>
      <c r="J400" s="149">
        <v>140</v>
      </c>
      <c r="K400" s="66">
        <v>400</v>
      </c>
      <c r="L400" s="66">
        <v>2250</v>
      </c>
      <c r="M400" s="164">
        <v>32.353201181241978</v>
      </c>
      <c r="N400" s="78">
        <v>2253.4448399999997</v>
      </c>
      <c r="O400" s="113">
        <v>55113.179073203341</v>
      </c>
      <c r="P400" s="111">
        <v>69016.612884642003</v>
      </c>
      <c r="Q400" s="110">
        <v>35946.863831348819</v>
      </c>
      <c r="R400" s="258">
        <v>91060.04290455216</v>
      </c>
      <c r="S400" s="259">
        <v>104963.47671599082</v>
      </c>
      <c r="U400" s="7" t="s">
        <v>3242</v>
      </c>
    </row>
    <row r="401" spans="1:21" s="7" customFormat="1" ht="16.5" thickBot="1">
      <c r="A401" s="41" t="s">
        <v>31</v>
      </c>
      <c r="B401" s="42">
        <f t="shared" si="21"/>
        <v>140</v>
      </c>
      <c r="C401" s="42" t="s">
        <v>3</v>
      </c>
      <c r="D401" s="42">
        <f t="shared" si="22"/>
        <v>400</v>
      </c>
      <c r="E401" s="42" t="s">
        <v>3</v>
      </c>
      <c r="F401" s="90">
        <f t="shared" si="23"/>
        <v>2300</v>
      </c>
      <c r="G401" s="42" t="s">
        <v>3</v>
      </c>
      <c r="H401" s="39">
        <v>6</v>
      </c>
      <c r="I401" s="40" t="s">
        <v>42</v>
      </c>
      <c r="J401" s="149">
        <v>140</v>
      </c>
      <c r="K401" s="66">
        <v>400</v>
      </c>
      <c r="L401" s="66">
        <v>2300</v>
      </c>
      <c r="M401" s="164">
        <v>33.031375278266303</v>
      </c>
      <c r="N401" s="78">
        <v>2312.74602</v>
      </c>
      <c r="O401" s="113">
        <v>56151.967406337215</v>
      </c>
      <c r="P401" s="111">
        <v>70332.208982888653</v>
      </c>
      <c r="Q401" s="110">
        <v>36603.470781078948</v>
      </c>
      <c r="R401" s="258">
        <v>92755.438187416163</v>
      </c>
      <c r="S401" s="259">
        <v>106935.67976396761</v>
      </c>
      <c r="U401" s="7" t="s">
        <v>3243</v>
      </c>
    </row>
    <row r="402" spans="1:21" s="7" customFormat="1" ht="16.5" thickBot="1">
      <c r="A402" s="41" t="s">
        <v>31</v>
      </c>
      <c r="B402" s="42">
        <f t="shared" si="21"/>
        <v>140</v>
      </c>
      <c r="C402" s="42" t="s">
        <v>3</v>
      </c>
      <c r="D402" s="42">
        <f t="shared" si="22"/>
        <v>400</v>
      </c>
      <c r="E402" s="42" t="s">
        <v>3</v>
      </c>
      <c r="F402" s="90">
        <f t="shared" si="23"/>
        <v>2350</v>
      </c>
      <c r="G402" s="42" t="s">
        <v>3</v>
      </c>
      <c r="H402" s="39">
        <v>6</v>
      </c>
      <c r="I402" s="40" t="s">
        <v>42</v>
      </c>
      <c r="J402" s="149">
        <v>140</v>
      </c>
      <c r="K402" s="66">
        <v>400</v>
      </c>
      <c r="L402" s="66">
        <v>2350</v>
      </c>
      <c r="M402" s="164">
        <v>33.709549375290621</v>
      </c>
      <c r="N402" s="78">
        <v>2372.0472</v>
      </c>
      <c r="O402" s="113">
        <v>57190.796139065082</v>
      </c>
      <c r="P402" s="111">
        <v>71647.829871795242</v>
      </c>
      <c r="Q402" s="110">
        <v>37511.412021621458</v>
      </c>
      <c r="R402" s="258">
        <v>94702.208160686539</v>
      </c>
      <c r="S402" s="259">
        <v>109159.24189341671</v>
      </c>
      <c r="U402" s="7" t="s">
        <v>3244</v>
      </c>
    </row>
    <row r="403" spans="1:21" s="7" customFormat="1" ht="16.5" thickBot="1">
      <c r="A403" s="41" t="s">
        <v>31</v>
      </c>
      <c r="B403" s="42">
        <f t="shared" si="21"/>
        <v>140</v>
      </c>
      <c r="C403" s="42" t="s">
        <v>3</v>
      </c>
      <c r="D403" s="42">
        <f t="shared" si="22"/>
        <v>400</v>
      </c>
      <c r="E403" s="42" t="s">
        <v>3</v>
      </c>
      <c r="F403" s="90">
        <f t="shared" si="23"/>
        <v>2400</v>
      </c>
      <c r="G403" s="42" t="s">
        <v>3</v>
      </c>
      <c r="H403" s="39">
        <v>6</v>
      </c>
      <c r="I403" s="40" t="s">
        <v>42</v>
      </c>
      <c r="J403" s="149">
        <v>140</v>
      </c>
      <c r="K403" s="66">
        <v>400</v>
      </c>
      <c r="L403" s="66">
        <v>2400</v>
      </c>
      <c r="M403" s="164">
        <v>34.387723472314939</v>
      </c>
      <c r="N403" s="78">
        <v>2431.3483799999999</v>
      </c>
      <c r="O403" s="113">
        <v>58229.662822926708</v>
      </c>
      <c r="P403" s="111">
        <v>72963.474021074144</v>
      </c>
      <c r="Q403" s="110">
        <v>38168.019124380196</v>
      </c>
      <c r="R403" s="258">
        <v>96397.681947306904</v>
      </c>
      <c r="S403" s="259">
        <v>111131.49314545434</v>
      </c>
      <c r="U403" s="7" t="s">
        <v>3245</v>
      </c>
    </row>
    <row r="404" spans="1:21" s="7" customFormat="1" ht="16.5" thickBot="1">
      <c r="A404" s="41" t="s">
        <v>31</v>
      </c>
      <c r="B404" s="42">
        <f t="shared" si="21"/>
        <v>140</v>
      </c>
      <c r="C404" s="42" t="s">
        <v>3</v>
      </c>
      <c r="D404" s="42">
        <f t="shared" si="22"/>
        <v>400</v>
      </c>
      <c r="E404" s="42" t="s">
        <v>3</v>
      </c>
      <c r="F404" s="90">
        <f t="shared" si="23"/>
        <v>2450</v>
      </c>
      <c r="G404" s="42" t="s">
        <v>3</v>
      </c>
      <c r="H404" s="39">
        <v>6</v>
      </c>
      <c r="I404" s="40" t="s">
        <v>42</v>
      </c>
      <c r="J404" s="149">
        <v>140</v>
      </c>
      <c r="K404" s="66">
        <v>400</v>
      </c>
      <c r="L404" s="66">
        <v>2450</v>
      </c>
      <c r="M404" s="164">
        <v>35.290450399331661</v>
      </c>
      <c r="N404" s="78">
        <v>2490.6495600000003</v>
      </c>
      <c r="O404" s="113">
        <v>60139.180850873934</v>
      </c>
      <c r="P404" s="111">
        <v>75161.960551012337</v>
      </c>
      <c r="Q404" s="110">
        <v>39075.960211893937</v>
      </c>
      <c r="R404" s="258">
        <v>99215.141062767871</v>
      </c>
      <c r="S404" s="259">
        <v>114237.92076290627</v>
      </c>
      <c r="U404" s="7" t="s">
        <v>3246</v>
      </c>
    </row>
    <row r="405" spans="1:21" s="7" customFormat="1" ht="16.5" thickBot="1">
      <c r="A405" s="41" t="s">
        <v>31</v>
      </c>
      <c r="B405" s="42">
        <f t="shared" si="21"/>
        <v>140</v>
      </c>
      <c r="C405" s="42" t="s">
        <v>3</v>
      </c>
      <c r="D405" s="42">
        <f t="shared" si="22"/>
        <v>400</v>
      </c>
      <c r="E405" s="42" t="s">
        <v>3</v>
      </c>
      <c r="F405" s="90">
        <f t="shared" si="23"/>
        <v>2500</v>
      </c>
      <c r="G405" s="42" t="s">
        <v>3</v>
      </c>
      <c r="H405" s="39">
        <v>6</v>
      </c>
      <c r="I405" s="40" t="s">
        <v>42</v>
      </c>
      <c r="J405" s="149">
        <v>140</v>
      </c>
      <c r="K405" s="66">
        <v>400</v>
      </c>
      <c r="L405" s="66">
        <v>2500</v>
      </c>
      <c r="M405" s="164">
        <v>35.968624496355979</v>
      </c>
      <c r="N405" s="78">
        <v>2549.9507399999998</v>
      </c>
      <c r="O405" s="113">
        <v>61177.972856698172</v>
      </c>
      <c r="P405" s="111">
        <v>76477.629797008703</v>
      </c>
      <c r="Q405" s="110">
        <v>39732.567314652675</v>
      </c>
      <c r="R405" s="258">
        <v>100910.54017135085</v>
      </c>
      <c r="S405" s="259">
        <v>116210.19711166137</v>
      </c>
      <c r="U405" s="7" t="s">
        <v>3247</v>
      </c>
    </row>
    <row r="406" spans="1:21" s="7" customFormat="1" ht="16.5" thickBot="1">
      <c r="A406" s="41" t="s">
        <v>31</v>
      </c>
      <c r="B406" s="42">
        <f t="shared" si="21"/>
        <v>140</v>
      </c>
      <c r="C406" s="42" t="s">
        <v>3</v>
      </c>
      <c r="D406" s="42">
        <f t="shared" si="22"/>
        <v>400</v>
      </c>
      <c r="E406" s="42" t="s">
        <v>3</v>
      </c>
      <c r="F406" s="90">
        <f t="shared" si="23"/>
        <v>2550</v>
      </c>
      <c r="G406" s="42" t="s">
        <v>3</v>
      </c>
      <c r="H406" s="39">
        <v>6</v>
      </c>
      <c r="I406" s="40" t="s">
        <v>42</v>
      </c>
      <c r="J406" s="149">
        <v>140</v>
      </c>
      <c r="K406" s="66">
        <v>400</v>
      </c>
      <c r="L406" s="66">
        <v>2550</v>
      </c>
      <c r="M406" s="164">
        <v>36.646798593380296</v>
      </c>
      <c r="N406" s="78">
        <v>2609.2519200000002</v>
      </c>
      <c r="O406" s="113">
        <v>62216.801895483572</v>
      </c>
      <c r="P406" s="111">
        <v>77793.319242802085</v>
      </c>
      <c r="Q406" s="110">
        <v>40640.508402166415</v>
      </c>
      <c r="R406" s="258">
        <v>102857.31029764999</v>
      </c>
      <c r="S406" s="259">
        <v>118433.82764496849</v>
      </c>
      <c r="U406" s="7" t="s">
        <v>3248</v>
      </c>
    </row>
    <row r="407" spans="1:21" s="7" customFormat="1" ht="16.5" thickBot="1">
      <c r="A407" s="38" t="s">
        <v>31</v>
      </c>
      <c r="B407" s="39">
        <f t="shared" si="21"/>
        <v>140</v>
      </c>
      <c r="C407" s="39" t="s">
        <v>3</v>
      </c>
      <c r="D407" s="39">
        <f t="shared" si="22"/>
        <v>400</v>
      </c>
      <c r="E407" s="39" t="s">
        <v>3</v>
      </c>
      <c r="F407" s="90">
        <f t="shared" si="23"/>
        <v>2600</v>
      </c>
      <c r="G407" s="39" t="s">
        <v>3</v>
      </c>
      <c r="H407" s="39">
        <v>6</v>
      </c>
      <c r="I407" s="40" t="s">
        <v>42</v>
      </c>
      <c r="J407" s="149">
        <v>140</v>
      </c>
      <c r="K407" s="66">
        <v>400</v>
      </c>
      <c r="L407" s="66">
        <v>2600</v>
      </c>
      <c r="M407" s="164">
        <v>37.324972690404621</v>
      </c>
      <c r="N407" s="78">
        <v>2668.5531000000001</v>
      </c>
      <c r="O407" s="113">
        <v>62092.360587000338</v>
      </c>
      <c r="P407" s="111">
        <v>77623.405589790724</v>
      </c>
      <c r="Q407" s="110">
        <v>41297.115504925154</v>
      </c>
      <c r="R407" s="258">
        <v>103389.47609192549</v>
      </c>
      <c r="S407" s="259">
        <v>118920.52109471588</v>
      </c>
      <c r="U407" s="7" t="s">
        <v>3249</v>
      </c>
    </row>
    <row r="408" spans="1:21" s="7" customFormat="1" ht="16.5" thickBot="1">
      <c r="A408" s="41" t="s">
        <v>31</v>
      </c>
      <c r="B408" s="42">
        <f t="shared" si="21"/>
        <v>140</v>
      </c>
      <c r="C408" s="42" t="s">
        <v>3</v>
      </c>
      <c r="D408" s="42">
        <f t="shared" si="22"/>
        <v>400</v>
      </c>
      <c r="E408" s="42" t="s">
        <v>3</v>
      </c>
      <c r="F408" s="90">
        <f t="shared" si="23"/>
        <v>2650</v>
      </c>
      <c r="G408" s="42" t="s">
        <v>3</v>
      </c>
      <c r="H408" s="39">
        <v>6</v>
      </c>
      <c r="I408" s="40" t="s">
        <v>42</v>
      </c>
      <c r="J408" s="149">
        <v>140</v>
      </c>
      <c r="K408" s="66">
        <v>400</v>
      </c>
      <c r="L408" s="66">
        <v>2650</v>
      </c>
      <c r="M408" s="164">
        <v>38.003146787428946</v>
      </c>
      <c r="N408" s="78">
        <v>2727.8542799999996</v>
      </c>
      <c r="O408" s="113">
        <v>63442.438197806296</v>
      </c>
      <c r="P408" s="111">
        <v>79336.254415432137</v>
      </c>
      <c r="Q408" s="110">
        <v>42205.056592438901</v>
      </c>
      <c r="R408" s="258">
        <v>105647.4947902452</v>
      </c>
      <c r="S408" s="259">
        <v>121541.31100787103</v>
      </c>
      <c r="U408" s="7" t="s">
        <v>3250</v>
      </c>
    </row>
    <row r="409" spans="1:21" ht="16.5" thickBot="1">
      <c r="A409" s="41" t="s">
        <v>31</v>
      </c>
      <c r="B409" s="42">
        <f t="shared" si="21"/>
        <v>140</v>
      </c>
      <c r="C409" s="42" t="s">
        <v>3</v>
      </c>
      <c r="D409" s="42">
        <f t="shared" si="22"/>
        <v>400</v>
      </c>
      <c r="E409" s="42" t="s">
        <v>3</v>
      </c>
      <c r="F409" s="90">
        <f t="shared" si="23"/>
        <v>2700</v>
      </c>
      <c r="G409" s="42" t="s">
        <v>3</v>
      </c>
      <c r="H409" s="39">
        <v>6</v>
      </c>
      <c r="I409" s="40" t="s">
        <v>42</v>
      </c>
      <c r="J409" s="149">
        <v>140</v>
      </c>
      <c r="K409" s="66">
        <v>400</v>
      </c>
      <c r="L409" s="66">
        <v>2700</v>
      </c>
      <c r="M409" s="164">
        <v>38.797657884453258</v>
      </c>
      <c r="N409" s="78">
        <v>2787.1554599999999</v>
      </c>
      <c r="O409" s="113">
        <v>64617.816640057921</v>
      </c>
      <c r="P409" s="111">
        <v>80790.865516608697</v>
      </c>
      <c r="Q409" s="110">
        <v>42861.66369519764</v>
      </c>
      <c r="R409" s="258">
        <v>107479.48033525556</v>
      </c>
      <c r="S409" s="259">
        <v>123652.52921180634</v>
      </c>
      <c r="U409" s="7" t="s">
        <v>3251</v>
      </c>
    </row>
    <row r="410" spans="1:21" ht="16.5" thickBot="1">
      <c r="A410" s="41" t="s">
        <v>31</v>
      </c>
      <c r="B410" s="42">
        <f t="shared" si="21"/>
        <v>140</v>
      </c>
      <c r="C410" s="42" t="s">
        <v>3</v>
      </c>
      <c r="D410" s="42">
        <f t="shared" si="22"/>
        <v>400</v>
      </c>
      <c r="E410" s="42" t="s">
        <v>3</v>
      </c>
      <c r="F410" s="90">
        <f t="shared" si="23"/>
        <v>2750</v>
      </c>
      <c r="G410" s="42" t="s">
        <v>3</v>
      </c>
      <c r="H410" s="39">
        <v>6</v>
      </c>
      <c r="I410" s="40" t="s">
        <v>42</v>
      </c>
      <c r="J410" s="149">
        <v>140</v>
      </c>
      <c r="K410" s="66">
        <v>400</v>
      </c>
      <c r="L410" s="66">
        <v>2750</v>
      </c>
      <c r="M410" s="164">
        <v>39.475831981477583</v>
      </c>
      <c r="N410" s="78">
        <v>2846.4566399999999</v>
      </c>
      <c r="O410" s="113">
        <v>65659.547716345143</v>
      </c>
      <c r="P410" s="111">
        <v>82109.909965048661</v>
      </c>
      <c r="Q410" s="110">
        <v>43518.270644927608</v>
      </c>
      <c r="R410" s="258">
        <v>109177.81836127274</v>
      </c>
      <c r="S410" s="259">
        <v>125628.18060997626</v>
      </c>
      <c r="U410" s="7" t="s">
        <v>3252</v>
      </c>
    </row>
    <row r="411" spans="1:21" ht="16.5" thickBot="1">
      <c r="A411" s="41" t="s">
        <v>31</v>
      </c>
      <c r="B411" s="42">
        <f t="shared" si="21"/>
        <v>140</v>
      </c>
      <c r="C411" s="42" t="s">
        <v>3</v>
      </c>
      <c r="D411" s="42">
        <f t="shared" si="22"/>
        <v>400</v>
      </c>
      <c r="E411" s="42" t="s">
        <v>3</v>
      </c>
      <c r="F411" s="90">
        <f t="shared" si="23"/>
        <v>2800</v>
      </c>
      <c r="G411" s="42" t="s">
        <v>3</v>
      </c>
      <c r="H411" s="39">
        <v>6</v>
      </c>
      <c r="I411" s="40" t="s">
        <v>42</v>
      </c>
      <c r="J411" s="149">
        <v>140</v>
      </c>
      <c r="K411" s="66">
        <v>400</v>
      </c>
      <c r="L411" s="66">
        <v>2800</v>
      </c>
      <c r="M411" s="164">
        <v>40.154006078501908</v>
      </c>
      <c r="N411" s="78">
        <v>2905.7578200000003</v>
      </c>
      <c r="O411" s="113">
        <v>66701.290881904817</v>
      </c>
      <c r="P411" s="111">
        <v>83428.958698294067</v>
      </c>
      <c r="Q411" s="110">
        <v>44426.211885470118</v>
      </c>
      <c r="R411" s="258">
        <v>111127.50276737494</v>
      </c>
      <c r="S411" s="259">
        <v>127855.17058376418</v>
      </c>
      <c r="U411" s="7" t="s">
        <v>3253</v>
      </c>
    </row>
    <row r="412" spans="1:21" ht="16.5" thickBot="1">
      <c r="A412" s="41" t="s">
        <v>31</v>
      </c>
      <c r="B412" s="42">
        <f t="shared" si="21"/>
        <v>140</v>
      </c>
      <c r="C412" s="42" t="s">
        <v>3</v>
      </c>
      <c r="D412" s="42">
        <f t="shared" si="22"/>
        <v>400</v>
      </c>
      <c r="E412" s="42" t="s">
        <v>3</v>
      </c>
      <c r="F412" s="90">
        <f t="shared" si="23"/>
        <v>2850</v>
      </c>
      <c r="G412" s="42" t="s">
        <v>3</v>
      </c>
      <c r="H412" s="39">
        <v>6</v>
      </c>
      <c r="I412" s="40" t="s">
        <v>42</v>
      </c>
      <c r="J412" s="149">
        <v>140</v>
      </c>
      <c r="K412" s="66">
        <v>400</v>
      </c>
      <c r="L412" s="66">
        <v>2850</v>
      </c>
      <c r="M412" s="164">
        <v>40.832180175526219</v>
      </c>
      <c r="N412" s="78">
        <v>2965.0590000000002</v>
      </c>
      <c r="O412" s="113">
        <v>67743.045371593107</v>
      </c>
      <c r="P412" s="111">
        <v>84748.011869373659</v>
      </c>
      <c r="Q412" s="110">
        <v>45082.818835200087</v>
      </c>
      <c r="R412" s="258">
        <v>112825.86420679319</v>
      </c>
      <c r="S412" s="259">
        <v>129830.83070457375</v>
      </c>
      <c r="U412" s="7" t="s">
        <v>3254</v>
      </c>
    </row>
    <row r="413" spans="1:21" ht="16.5" thickBot="1">
      <c r="A413" s="41" t="s">
        <v>31</v>
      </c>
      <c r="B413" s="42">
        <f t="shared" si="21"/>
        <v>140</v>
      </c>
      <c r="C413" s="42" t="s">
        <v>3</v>
      </c>
      <c r="D413" s="42">
        <f t="shared" si="22"/>
        <v>400</v>
      </c>
      <c r="E413" s="42" t="s">
        <v>3</v>
      </c>
      <c r="F413" s="90">
        <f t="shared" si="23"/>
        <v>2900</v>
      </c>
      <c r="G413" s="42" t="s">
        <v>3</v>
      </c>
      <c r="H413" s="39">
        <v>6</v>
      </c>
      <c r="I413" s="40" t="s">
        <v>42</v>
      </c>
      <c r="J413" s="149">
        <v>140</v>
      </c>
      <c r="K413" s="66">
        <v>400</v>
      </c>
      <c r="L413" s="66">
        <v>2900</v>
      </c>
      <c r="M413" s="164">
        <v>41.510354272550536</v>
      </c>
      <c r="N413" s="78">
        <v>3024.3601799999997</v>
      </c>
      <c r="O413" s="113">
        <v>68784.810879352503</v>
      </c>
      <c r="P413" s="111">
        <v>86067.068866172369</v>
      </c>
      <c r="Q413" s="110">
        <v>45990.760075742597</v>
      </c>
      <c r="R413" s="258">
        <v>114775.5709550951</v>
      </c>
      <c r="S413" s="259">
        <v>132057.82894191495</v>
      </c>
      <c r="U413" s="7" t="s">
        <v>3255</v>
      </c>
    </row>
    <row r="414" spans="1:21" ht="16.5" thickBot="1">
      <c r="A414" s="41" t="s">
        <v>31</v>
      </c>
      <c r="B414" s="42">
        <f t="shared" si="21"/>
        <v>140</v>
      </c>
      <c r="C414" s="42" t="s">
        <v>3</v>
      </c>
      <c r="D414" s="42">
        <f t="shared" si="22"/>
        <v>400</v>
      </c>
      <c r="E414" s="42" t="s">
        <v>3</v>
      </c>
      <c r="F414" s="200">
        <f t="shared" si="23"/>
        <v>2950</v>
      </c>
      <c r="G414" s="42" t="s">
        <v>3</v>
      </c>
      <c r="H414" s="39">
        <v>6</v>
      </c>
      <c r="I414" s="201" t="s">
        <v>42</v>
      </c>
      <c r="J414" s="149">
        <v>140</v>
      </c>
      <c r="K414" s="66">
        <v>400</v>
      </c>
      <c r="L414" s="66">
        <v>2950</v>
      </c>
      <c r="M414" s="164">
        <v>42.188528369574868</v>
      </c>
      <c r="N414" s="78">
        <v>3083.6613600000001</v>
      </c>
      <c r="O414" s="113">
        <v>69826.586793067909</v>
      </c>
      <c r="P414" s="111">
        <v>87386.129841718968</v>
      </c>
      <c r="Q414" s="110">
        <v>46647.367025472573</v>
      </c>
      <c r="R414" s="258">
        <v>116473.95381854048</v>
      </c>
      <c r="S414" s="259">
        <v>134033.49686719154</v>
      </c>
      <c r="U414" s="7" t="s">
        <v>3256</v>
      </c>
    </row>
    <row r="415" spans="1:21" ht="16.5" thickBot="1">
      <c r="A415" s="38" t="s">
        <v>31</v>
      </c>
      <c r="B415" s="39">
        <f t="shared" si="21"/>
        <v>140</v>
      </c>
      <c r="C415" s="39" t="s">
        <v>3</v>
      </c>
      <c r="D415" s="39">
        <f t="shared" si="22"/>
        <v>400</v>
      </c>
      <c r="E415" s="39" t="s">
        <v>3</v>
      </c>
      <c r="F415" s="90">
        <f t="shared" si="23"/>
        <v>3000</v>
      </c>
      <c r="G415" s="39" t="s">
        <v>3</v>
      </c>
      <c r="H415" s="39">
        <v>6</v>
      </c>
      <c r="I415" s="40" t="s">
        <v>42</v>
      </c>
      <c r="J415" s="149">
        <v>140</v>
      </c>
      <c r="K415" s="126">
        <v>400</v>
      </c>
      <c r="L415" s="126">
        <v>3000</v>
      </c>
      <c r="M415" s="171">
        <v>42.866702466599179</v>
      </c>
      <c r="N415" s="127">
        <v>3142.96254</v>
      </c>
      <c r="O415" s="128">
        <v>71943.485730822169</v>
      </c>
      <c r="P415" s="135">
        <v>88705.194489955931</v>
      </c>
      <c r="Q415" s="136">
        <v>47555.308266015076</v>
      </c>
      <c r="R415" s="260">
        <v>119498.79399683725</v>
      </c>
      <c r="S415" s="261">
        <v>136260.50275597101</v>
      </c>
      <c r="U415" s="7" t="s">
        <v>3257</v>
      </c>
    </row>
    <row r="416" spans="1:21" ht="22.5" customHeight="1" thickBot="1">
      <c r="A416" s="3049" t="s">
        <v>60</v>
      </c>
      <c r="B416" s="3047"/>
      <c r="C416" s="3047"/>
      <c r="D416" s="3047"/>
      <c r="E416" s="3047"/>
      <c r="F416" s="3047"/>
      <c r="G416" s="3047"/>
      <c r="H416" s="3047"/>
      <c r="I416" s="3047"/>
      <c r="J416" s="3047"/>
      <c r="K416" s="3047"/>
      <c r="L416" s="3047"/>
      <c r="M416" s="3047"/>
      <c r="N416" s="3047"/>
      <c r="O416" s="3047"/>
      <c r="P416" s="3047"/>
      <c r="Q416" s="3047"/>
      <c r="R416" s="3047"/>
      <c r="S416" s="3048"/>
      <c r="U416" s="7"/>
    </row>
    <row r="417" spans="1:21" ht="16.5" thickBot="1">
      <c r="A417" s="2974" t="s">
        <v>118</v>
      </c>
      <c r="B417" s="2975"/>
      <c r="C417" s="2975"/>
      <c r="D417" s="2975"/>
      <c r="E417" s="2975"/>
      <c r="F417" s="2975"/>
      <c r="G417" s="2975"/>
      <c r="H417" s="2975"/>
      <c r="I417" s="2975"/>
      <c r="J417" s="2975"/>
      <c r="K417" s="2975"/>
      <c r="L417" s="2975"/>
      <c r="M417" s="2975"/>
      <c r="N417" s="2975"/>
      <c r="O417" s="2975"/>
      <c r="P417" s="2975"/>
      <c r="Q417" s="2975"/>
      <c r="R417" s="2975"/>
      <c r="S417" s="2976"/>
      <c r="U417" s="7"/>
    </row>
    <row r="418" spans="1:21" ht="16.5" thickBot="1">
      <c r="A418" s="38" t="s">
        <v>31</v>
      </c>
      <c r="B418" s="39">
        <f>J418</f>
        <v>140</v>
      </c>
      <c r="C418" s="39" t="s">
        <v>3</v>
      </c>
      <c r="D418" s="39">
        <f>K418</f>
        <v>400</v>
      </c>
      <c r="E418" s="39" t="s">
        <v>3</v>
      </c>
      <c r="F418" s="90">
        <f>L418</f>
        <v>600</v>
      </c>
      <c r="G418" s="39" t="s">
        <v>3</v>
      </c>
      <c r="H418" s="39">
        <v>8</v>
      </c>
      <c r="I418" s="40" t="s">
        <v>42</v>
      </c>
      <c r="J418" s="146">
        <v>140</v>
      </c>
      <c r="K418" s="122">
        <v>400</v>
      </c>
      <c r="L418" s="122">
        <v>600</v>
      </c>
      <c r="M418" s="163">
        <v>10.010164771650162</v>
      </c>
      <c r="N418" s="123">
        <v>329.45099999999996</v>
      </c>
      <c r="O418" s="124">
        <v>22056.687666976923</v>
      </c>
      <c r="P418" s="148">
        <v>26220.721105723856</v>
      </c>
      <c r="Q418" s="139">
        <v>10760.15380676932</v>
      </c>
      <c r="R418" s="256">
        <v>32816.841473746244</v>
      </c>
      <c r="S418" s="257">
        <v>36980.874912493178</v>
      </c>
      <c r="U418" s="7" t="s">
        <v>3258</v>
      </c>
    </row>
    <row r="419" spans="1:21" ht="16.5" thickBot="1">
      <c r="A419" s="41" t="s">
        <v>31</v>
      </c>
      <c r="B419" s="42">
        <f t="shared" ref="B419:B466" si="24">J419</f>
        <v>140</v>
      </c>
      <c r="C419" s="42" t="s">
        <v>3</v>
      </c>
      <c r="D419" s="42">
        <f t="shared" ref="D419:D466" si="25">K419</f>
        <v>400</v>
      </c>
      <c r="E419" s="42" t="s">
        <v>3</v>
      </c>
      <c r="F419" s="90">
        <f t="shared" ref="F419:F466" si="26">L419</f>
        <v>650</v>
      </c>
      <c r="G419" s="42" t="s">
        <v>3</v>
      </c>
      <c r="H419" s="39">
        <v>8</v>
      </c>
      <c r="I419" s="40" t="s">
        <v>42</v>
      </c>
      <c r="J419" s="149">
        <v>140</v>
      </c>
      <c r="K419" s="66">
        <v>400</v>
      </c>
      <c r="L419" s="66">
        <v>650</v>
      </c>
      <c r="M419" s="164">
        <v>10.754161789875921</v>
      </c>
      <c r="N419" s="78">
        <v>395.34119999999996</v>
      </c>
      <c r="O419" s="113">
        <v>23342.85143676955</v>
      </c>
      <c r="P419" s="111">
        <v>27762.307176760565</v>
      </c>
      <c r="Q419" s="110">
        <v>11416.760909528057</v>
      </c>
      <c r="R419" s="258">
        <v>34759.61234629761</v>
      </c>
      <c r="S419" s="259">
        <v>39179.068086288622</v>
      </c>
      <c r="U419" s="7" t="s">
        <v>3259</v>
      </c>
    </row>
    <row r="420" spans="1:21" ht="16.5" thickBot="1">
      <c r="A420" s="41" t="s">
        <v>31</v>
      </c>
      <c r="B420" s="42">
        <f t="shared" si="24"/>
        <v>140</v>
      </c>
      <c r="C420" s="42" t="s">
        <v>3</v>
      </c>
      <c r="D420" s="42">
        <f t="shared" si="25"/>
        <v>400</v>
      </c>
      <c r="E420" s="42" t="s">
        <v>3</v>
      </c>
      <c r="F420" s="90">
        <f t="shared" si="26"/>
        <v>700</v>
      </c>
      <c r="G420" s="42" t="s">
        <v>3</v>
      </c>
      <c r="H420" s="39">
        <v>8</v>
      </c>
      <c r="I420" s="40" t="s">
        <v>42</v>
      </c>
      <c r="J420" s="149">
        <v>140</v>
      </c>
      <c r="K420" s="66">
        <v>400</v>
      </c>
      <c r="L420" s="66">
        <v>700</v>
      </c>
      <c r="M420" s="164">
        <v>11.514994328101679</v>
      </c>
      <c r="N420" s="78">
        <v>461.23139999999989</v>
      </c>
      <c r="O420" s="113">
        <v>24628.982611435204</v>
      </c>
      <c r="P420" s="111">
        <v>29303.89340082604</v>
      </c>
      <c r="Q420" s="110">
        <v>12324.7019970418</v>
      </c>
      <c r="R420" s="258">
        <v>36953.684608477008</v>
      </c>
      <c r="S420" s="259">
        <v>41628.595397867844</v>
      </c>
      <c r="U420" s="7" t="s">
        <v>3260</v>
      </c>
    </row>
    <row r="421" spans="1:21" ht="16.5" thickBot="1">
      <c r="A421" s="41" t="s">
        <v>31</v>
      </c>
      <c r="B421" s="42">
        <f t="shared" si="24"/>
        <v>140</v>
      </c>
      <c r="C421" s="42" t="s">
        <v>3</v>
      </c>
      <c r="D421" s="42">
        <f t="shared" si="25"/>
        <v>400</v>
      </c>
      <c r="E421" s="42" t="s">
        <v>3</v>
      </c>
      <c r="F421" s="90">
        <f t="shared" si="26"/>
        <v>750</v>
      </c>
      <c r="G421" s="42" t="s">
        <v>3</v>
      </c>
      <c r="H421" s="39">
        <v>8</v>
      </c>
      <c r="I421" s="40" t="s">
        <v>42</v>
      </c>
      <c r="J421" s="149">
        <v>140</v>
      </c>
      <c r="K421" s="66">
        <v>400</v>
      </c>
      <c r="L421" s="66">
        <v>750</v>
      </c>
      <c r="M421" s="164">
        <v>12.258991346327441</v>
      </c>
      <c r="N421" s="78">
        <v>527.12159999999994</v>
      </c>
      <c r="O421" s="113">
        <v>25915.085628808069</v>
      </c>
      <c r="P421" s="111">
        <v>30845.479471862749</v>
      </c>
      <c r="Q421" s="110">
        <v>12981.309099800537</v>
      </c>
      <c r="R421" s="258">
        <v>38896.394728608604</v>
      </c>
      <c r="S421" s="259">
        <v>43826.788571663288</v>
      </c>
      <c r="U421" s="7" t="s">
        <v>3261</v>
      </c>
    </row>
    <row r="422" spans="1:21" ht="16.5" thickBot="1">
      <c r="A422" s="41" t="s">
        <v>31</v>
      </c>
      <c r="B422" s="42">
        <f t="shared" si="24"/>
        <v>140</v>
      </c>
      <c r="C422" s="42" t="s">
        <v>3</v>
      </c>
      <c r="D422" s="42">
        <f t="shared" si="25"/>
        <v>400</v>
      </c>
      <c r="E422" s="42" t="s">
        <v>3</v>
      </c>
      <c r="F422" s="90">
        <f t="shared" si="26"/>
        <v>800</v>
      </c>
      <c r="G422" s="42" t="s">
        <v>3</v>
      </c>
      <c r="H422" s="39">
        <v>8</v>
      </c>
      <c r="I422" s="40" t="s">
        <v>42</v>
      </c>
      <c r="J422" s="149">
        <v>140</v>
      </c>
      <c r="K422" s="66">
        <v>400</v>
      </c>
      <c r="L422" s="66">
        <v>800</v>
      </c>
      <c r="M422" s="164">
        <v>13.002988364553202</v>
      </c>
      <c r="N422" s="78">
        <v>593.01179999999999</v>
      </c>
      <c r="O422" s="113">
        <v>27201.164926722347</v>
      </c>
      <c r="P422" s="111">
        <v>32387.065542899461</v>
      </c>
      <c r="Q422" s="110">
        <v>13637.916049530511</v>
      </c>
      <c r="R422" s="258">
        <v>40839.080976252859</v>
      </c>
      <c r="S422" s="259">
        <v>46024.981592429976</v>
      </c>
      <c r="U422" s="7" t="s">
        <v>3262</v>
      </c>
    </row>
    <row r="423" spans="1:21" ht="16.5" thickBot="1">
      <c r="A423" s="41" t="s">
        <v>31</v>
      </c>
      <c r="B423" s="42">
        <f t="shared" si="24"/>
        <v>140</v>
      </c>
      <c r="C423" s="42" t="s">
        <v>3</v>
      </c>
      <c r="D423" s="42">
        <f t="shared" si="25"/>
        <v>400</v>
      </c>
      <c r="E423" s="42" t="s">
        <v>3</v>
      </c>
      <c r="F423" s="90">
        <f t="shared" si="26"/>
        <v>850</v>
      </c>
      <c r="G423" s="42" t="s">
        <v>3</v>
      </c>
      <c r="H423" s="39">
        <v>8</v>
      </c>
      <c r="I423" s="40" t="s">
        <v>42</v>
      </c>
      <c r="J423" s="149">
        <v>140</v>
      </c>
      <c r="K423" s="66">
        <v>400</v>
      </c>
      <c r="L423" s="66">
        <v>850</v>
      </c>
      <c r="M423" s="164">
        <v>13.76382090277896</v>
      </c>
      <c r="N423" s="78">
        <v>658.90199999999993</v>
      </c>
      <c r="O423" s="113">
        <v>28487.223412724565</v>
      </c>
      <c r="P423" s="111">
        <v>33928.651766964933</v>
      </c>
      <c r="Q423" s="110">
        <v>14545.85729007302</v>
      </c>
      <c r="R423" s="258">
        <v>43033.080702797582</v>
      </c>
      <c r="S423" s="259">
        <v>48474.509057037954</v>
      </c>
      <c r="U423" s="7" t="s">
        <v>3263</v>
      </c>
    </row>
    <row r="424" spans="1:21" ht="16.5" thickBot="1">
      <c r="A424" s="41" t="s">
        <v>31</v>
      </c>
      <c r="B424" s="42">
        <f t="shared" si="24"/>
        <v>140</v>
      </c>
      <c r="C424" s="42" t="s">
        <v>3</v>
      </c>
      <c r="D424" s="42">
        <f t="shared" si="25"/>
        <v>400</v>
      </c>
      <c r="E424" s="42" t="s">
        <v>3</v>
      </c>
      <c r="F424" s="90">
        <f t="shared" si="26"/>
        <v>900</v>
      </c>
      <c r="G424" s="42" t="s">
        <v>3</v>
      </c>
      <c r="H424" s="39">
        <v>8</v>
      </c>
      <c r="I424" s="40" t="s">
        <v>42</v>
      </c>
      <c r="J424" s="149">
        <v>140</v>
      </c>
      <c r="K424" s="66">
        <v>400</v>
      </c>
      <c r="L424" s="66">
        <v>900</v>
      </c>
      <c r="M424" s="164">
        <v>14.507817921004722</v>
      </c>
      <c r="N424" s="78">
        <v>724.79219999999998</v>
      </c>
      <c r="O424" s="113">
        <v>29773.2638413325</v>
      </c>
      <c r="P424" s="111">
        <v>35470.237838001638</v>
      </c>
      <c r="Q424" s="110">
        <v>15202.464239802994</v>
      </c>
      <c r="R424" s="258">
        <v>44975.728081135494</v>
      </c>
      <c r="S424" s="259">
        <v>50672.702077804628</v>
      </c>
      <c r="U424" s="7" t="s">
        <v>3264</v>
      </c>
    </row>
    <row r="425" spans="1:21" ht="16.5" thickBot="1">
      <c r="A425" s="41" t="s">
        <v>31</v>
      </c>
      <c r="B425" s="42">
        <f t="shared" si="24"/>
        <v>140</v>
      </c>
      <c r="C425" s="42" t="s">
        <v>3</v>
      </c>
      <c r="D425" s="42">
        <f t="shared" si="25"/>
        <v>400</v>
      </c>
      <c r="E425" s="42" t="s">
        <v>3</v>
      </c>
      <c r="F425" s="90">
        <f t="shared" si="26"/>
        <v>950</v>
      </c>
      <c r="G425" s="42" t="s">
        <v>3</v>
      </c>
      <c r="H425" s="39">
        <v>8</v>
      </c>
      <c r="I425" s="40" t="s">
        <v>42</v>
      </c>
      <c r="J425" s="149">
        <v>140</v>
      </c>
      <c r="K425" s="66">
        <v>400</v>
      </c>
      <c r="L425" s="66">
        <v>950</v>
      </c>
      <c r="M425" s="164">
        <v>15.268650459230479</v>
      </c>
      <c r="N425" s="78">
        <v>790.68239999999992</v>
      </c>
      <c r="O425" s="113">
        <v>30907.534931552411</v>
      </c>
      <c r="P425" s="111">
        <v>36854.448361839975</v>
      </c>
      <c r="Q425" s="110">
        <v>16110.4054803455</v>
      </c>
      <c r="R425" s="258">
        <v>47017.940411897915</v>
      </c>
      <c r="S425" s="259">
        <v>52964.853842185476</v>
      </c>
      <c r="U425" s="7" t="s">
        <v>3265</v>
      </c>
    </row>
    <row r="426" spans="1:21" ht="16.5" thickBot="1">
      <c r="A426" s="41" t="s">
        <v>31</v>
      </c>
      <c r="B426" s="42">
        <f t="shared" si="24"/>
        <v>140</v>
      </c>
      <c r="C426" s="42" t="s">
        <v>3</v>
      </c>
      <c r="D426" s="42">
        <f t="shared" si="25"/>
        <v>400</v>
      </c>
      <c r="E426" s="42" t="s">
        <v>3</v>
      </c>
      <c r="F426" s="90">
        <f t="shared" si="26"/>
        <v>1000</v>
      </c>
      <c r="G426" s="42" t="s">
        <v>3</v>
      </c>
      <c r="H426" s="39">
        <v>8</v>
      </c>
      <c r="I426" s="40" t="s">
        <v>42</v>
      </c>
      <c r="J426" s="149">
        <v>140</v>
      </c>
      <c r="K426" s="66">
        <v>400</v>
      </c>
      <c r="L426" s="66">
        <v>1000</v>
      </c>
      <c r="M426" s="164">
        <v>16.012647477456241</v>
      </c>
      <c r="N426" s="78">
        <v>856.57259999999997</v>
      </c>
      <c r="O426" s="113">
        <v>32421.212993664511</v>
      </c>
      <c r="P426" s="111">
        <v>38632.097830188635</v>
      </c>
      <c r="Q426" s="110">
        <v>16767.012583104239</v>
      </c>
      <c r="R426" s="258">
        <v>49188.225576768746</v>
      </c>
      <c r="S426" s="259">
        <v>55399.110413292874</v>
      </c>
      <c r="U426" s="7" t="s">
        <v>3266</v>
      </c>
    </row>
    <row r="427" spans="1:21" ht="16.5" thickBot="1">
      <c r="A427" s="41" t="s">
        <v>31</v>
      </c>
      <c r="B427" s="42">
        <f t="shared" si="24"/>
        <v>140</v>
      </c>
      <c r="C427" s="42" t="s">
        <v>3</v>
      </c>
      <c r="D427" s="42">
        <f t="shared" si="25"/>
        <v>400</v>
      </c>
      <c r="E427" s="42" t="s">
        <v>3</v>
      </c>
      <c r="F427" s="90">
        <f t="shared" si="26"/>
        <v>1050</v>
      </c>
      <c r="G427" s="42" t="s">
        <v>3</v>
      </c>
      <c r="H427" s="39">
        <v>8</v>
      </c>
      <c r="I427" s="40" t="s">
        <v>42</v>
      </c>
      <c r="J427" s="149">
        <v>140</v>
      </c>
      <c r="K427" s="66">
        <v>400</v>
      </c>
      <c r="L427" s="66">
        <v>1050</v>
      </c>
      <c r="M427" s="164">
        <v>16.773480015681997</v>
      </c>
      <c r="N427" s="78">
        <v>922.46279999999979</v>
      </c>
      <c r="O427" s="113">
        <v>33707.245464776657</v>
      </c>
      <c r="P427" s="111">
        <v>40173.68390122534</v>
      </c>
      <c r="Q427" s="110">
        <v>17674.953670617982</v>
      </c>
      <c r="R427" s="258">
        <v>51382.199135394636</v>
      </c>
      <c r="S427" s="259">
        <v>57848.637571843326</v>
      </c>
      <c r="U427" s="7" t="s">
        <v>3267</v>
      </c>
    </row>
    <row r="428" spans="1:21" s="7" customFormat="1" ht="16.5" thickBot="1">
      <c r="A428" s="38" t="s">
        <v>31</v>
      </c>
      <c r="B428" s="39">
        <f t="shared" si="24"/>
        <v>140</v>
      </c>
      <c r="C428" s="39" t="s">
        <v>3</v>
      </c>
      <c r="D428" s="39">
        <f t="shared" si="25"/>
        <v>400</v>
      </c>
      <c r="E428" s="39" t="s">
        <v>3</v>
      </c>
      <c r="F428" s="90">
        <f t="shared" si="26"/>
        <v>1100</v>
      </c>
      <c r="G428" s="39" t="s">
        <v>3</v>
      </c>
      <c r="H428" s="39">
        <v>8</v>
      </c>
      <c r="I428" s="40" t="s">
        <v>42</v>
      </c>
      <c r="J428" s="149">
        <v>140</v>
      </c>
      <c r="K428" s="66">
        <v>400</v>
      </c>
      <c r="L428" s="66">
        <v>1100</v>
      </c>
      <c r="M428" s="164">
        <v>17.51747703390776</v>
      </c>
      <c r="N428" s="78">
        <v>988.35299999999984</v>
      </c>
      <c r="O428" s="113">
        <v>34993.264469357477</v>
      </c>
      <c r="P428" s="111">
        <v>41715.270125290815</v>
      </c>
      <c r="Q428" s="110">
        <v>18331.560773376717</v>
      </c>
      <c r="R428" s="258">
        <v>53324.825242734194</v>
      </c>
      <c r="S428" s="259">
        <v>60046.830898667533</v>
      </c>
      <c r="U428" s="7" t="s">
        <v>3268</v>
      </c>
    </row>
    <row r="429" spans="1:21" s="7" customFormat="1" ht="16.5" thickBot="1">
      <c r="A429" s="41" t="s">
        <v>31</v>
      </c>
      <c r="B429" s="42">
        <f t="shared" si="24"/>
        <v>140</v>
      </c>
      <c r="C429" s="42" t="s">
        <v>3</v>
      </c>
      <c r="D429" s="42">
        <f t="shared" si="25"/>
        <v>400</v>
      </c>
      <c r="E429" s="42" t="s">
        <v>3</v>
      </c>
      <c r="F429" s="90">
        <f t="shared" si="26"/>
        <v>1150</v>
      </c>
      <c r="G429" s="42" t="s">
        <v>3</v>
      </c>
      <c r="H429" s="39">
        <v>8</v>
      </c>
      <c r="I429" s="40" t="s">
        <v>42</v>
      </c>
      <c r="J429" s="149">
        <v>140</v>
      </c>
      <c r="K429" s="66">
        <v>400</v>
      </c>
      <c r="L429" s="66">
        <v>1150</v>
      </c>
      <c r="M429" s="164">
        <v>18.261474052133522</v>
      </c>
      <c r="N429" s="78">
        <v>1054.2431999999999</v>
      </c>
      <c r="O429" s="113">
        <v>36279.271537694614</v>
      </c>
      <c r="P429" s="111">
        <v>43256.856196327521</v>
      </c>
      <c r="Q429" s="110">
        <v>18988.167723106693</v>
      </c>
      <c r="R429" s="258">
        <v>55267.439260801308</v>
      </c>
      <c r="S429" s="259">
        <v>62245.023919434214</v>
      </c>
      <c r="U429" s="7" t="s">
        <v>3269</v>
      </c>
    </row>
    <row r="430" spans="1:21" s="7" customFormat="1" ht="16.5" thickBot="1">
      <c r="A430" s="41" t="s">
        <v>31</v>
      </c>
      <c r="B430" s="42">
        <f t="shared" si="24"/>
        <v>140</v>
      </c>
      <c r="C430" s="42" t="s">
        <v>3</v>
      </c>
      <c r="D430" s="42">
        <f t="shared" si="25"/>
        <v>400</v>
      </c>
      <c r="E430" s="42" t="s">
        <v>3</v>
      </c>
      <c r="F430" s="90">
        <f t="shared" si="26"/>
        <v>1200</v>
      </c>
      <c r="G430" s="42" t="s">
        <v>3</v>
      </c>
      <c r="H430" s="39">
        <v>8</v>
      </c>
      <c r="I430" s="40" t="s">
        <v>42</v>
      </c>
      <c r="J430" s="149">
        <v>140</v>
      </c>
      <c r="K430" s="66">
        <v>400</v>
      </c>
      <c r="L430" s="66">
        <v>1200</v>
      </c>
      <c r="M430" s="164">
        <v>19.177422590359281</v>
      </c>
      <c r="N430" s="78">
        <v>1120.1333999999999</v>
      </c>
      <c r="O430" s="113">
        <v>37733.608717381605</v>
      </c>
      <c r="P430" s="111">
        <v>44967.209581896044</v>
      </c>
      <c r="Q430" s="110">
        <v>19896.1089636492</v>
      </c>
      <c r="R430" s="258">
        <v>57629.717681030801</v>
      </c>
      <c r="S430" s="259">
        <v>64863.318545545248</v>
      </c>
      <c r="U430" s="7" t="s">
        <v>3270</v>
      </c>
    </row>
    <row r="431" spans="1:21" s="7" customFormat="1" ht="16.5" thickBot="1">
      <c r="A431" s="41" t="s">
        <v>31</v>
      </c>
      <c r="B431" s="42">
        <f t="shared" si="24"/>
        <v>140</v>
      </c>
      <c r="C431" s="42" t="s">
        <v>3</v>
      </c>
      <c r="D431" s="42">
        <f t="shared" si="25"/>
        <v>400</v>
      </c>
      <c r="E431" s="42" t="s">
        <v>3</v>
      </c>
      <c r="F431" s="90">
        <f t="shared" si="26"/>
        <v>1250</v>
      </c>
      <c r="G431" s="42" t="s">
        <v>3</v>
      </c>
      <c r="H431" s="39">
        <v>8</v>
      </c>
      <c r="I431" s="40" t="s">
        <v>42</v>
      </c>
      <c r="J431" s="149">
        <v>140</v>
      </c>
      <c r="K431" s="66">
        <v>400</v>
      </c>
      <c r="L431" s="66">
        <v>1250</v>
      </c>
      <c r="M431" s="164">
        <v>19.92141960858504</v>
      </c>
      <c r="N431" s="78">
        <v>1186.0236</v>
      </c>
      <c r="O431" s="113">
        <v>39019.591913231379</v>
      </c>
      <c r="P431" s="111">
        <v>46508.795652932757</v>
      </c>
      <c r="Q431" s="110">
        <v>20552.715913379172</v>
      </c>
      <c r="R431" s="258">
        <v>59572.307826610551</v>
      </c>
      <c r="S431" s="259">
        <v>67061.511566311936</v>
      </c>
      <c r="U431" s="7" t="s">
        <v>3271</v>
      </c>
    </row>
    <row r="432" spans="1:21" s="7" customFormat="1" ht="16.5" thickBot="1">
      <c r="A432" s="41" t="s">
        <v>31</v>
      </c>
      <c r="B432" s="42">
        <f t="shared" si="24"/>
        <v>140</v>
      </c>
      <c r="C432" s="42" t="s">
        <v>3</v>
      </c>
      <c r="D432" s="42">
        <f t="shared" si="25"/>
        <v>400</v>
      </c>
      <c r="E432" s="42" t="s">
        <v>3</v>
      </c>
      <c r="F432" s="90">
        <f t="shared" si="26"/>
        <v>1300</v>
      </c>
      <c r="G432" s="42" t="s">
        <v>3</v>
      </c>
      <c r="H432" s="39">
        <v>8</v>
      </c>
      <c r="I432" s="40" t="s">
        <v>42</v>
      </c>
      <c r="J432" s="149">
        <v>140</v>
      </c>
      <c r="K432" s="66">
        <v>400</v>
      </c>
      <c r="L432" s="66">
        <v>1300</v>
      </c>
      <c r="M432" s="164">
        <v>20.682252146810804</v>
      </c>
      <c r="N432" s="78">
        <v>1251.9137999999998</v>
      </c>
      <c r="O432" s="113">
        <v>40305.56653947031</v>
      </c>
      <c r="P432" s="111">
        <v>48050.381876998232</v>
      </c>
      <c r="Q432" s="110">
        <v>21460.657153921682</v>
      </c>
      <c r="R432" s="258">
        <v>61766.223693391992</v>
      </c>
      <c r="S432" s="259">
        <v>69511.039030919914</v>
      </c>
      <c r="U432" s="7" t="s">
        <v>3272</v>
      </c>
    </row>
    <row r="433" spans="1:21" s="7" customFormat="1" ht="16.5" thickBot="1">
      <c r="A433" s="41" t="s">
        <v>31</v>
      </c>
      <c r="B433" s="42">
        <f t="shared" si="24"/>
        <v>140</v>
      </c>
      <c r="C433" s="42" t="s">
        <v>3</v>
      </c>
      <c r="D433" s="42">
        <f t="shared" si="25"/>
        <v>400</v>
      </c>
      <c r="E433" s="42" t="s">
        <v>3</v>
      </c>
      <c r="F433" s="90">
        <f t="shared" si="26"/>
        <v>1350</v>
      </c>
      <c r="G433" s="42" t="s">
        <v>3</v>
      </c>
      <c r="H433" s="39">
        <v>8</v>
      </c>
      <c r="I433" s="40" t="s">
        <v>42</v>
      </c>
      <c r="J433" s="149">
        <v>140</v>
      </c>
      <c r="K433" s="66">
        <v>400</v>
      </c>
      <c r="L433" s="66">
        <v>1350</v>
      </c>
      <c r="M433" s="164">
        <v>21.426249165036563</v>
      </c>
      <c r="N433" s="78">
        <v>1317.8039999999999</v>
      </c>
      <c r="O433" s="113">
        <v>41591.533361242218</v>
      </c>
      <c r="P433" s="111">
        <v>49591.967948034937</v>
      </c>
      <c r="Q433" s="110">
        <v>22117.264103651651</v>
      </c>
      <c r="R433" s="258">
        <v>63708.797464893869</v>
      </c>
      <c r="S433" s="259">
        <v>71709.232051686588</v>
      </c>
      <c r="U433" s="7" t="s">
        <v>3273</v>
      </c>
    </row>
    <row r="434" spans="1:21" s="7" customFormat="1" ht="16.5" thickBot="1">
      <c r="A434" s="41" t="s">
        <v>31</v>
      </c>
      <c r="B434" s="42">
        <f t="shared" si="24"/>
        <v>140</v>
      </c>
      <c r="C434" s="42" t="s">
        <v>3</v>
      </c>
      <c r="D434" s="42">
        <f t="shared" si="25"/>
        <v>400</v>
      </c>
      <c r="E434" s="42" t="s">
        <v>3</v>
      </c>
      <c r="F434" s="90">
        <f t="shared" si="26"/>
        <v>1400</v>
      </c>
      <c r="G434" s="42" t="s">
        <v>3</v>
      </c>
      <c r="H434" s="39">
        <v>8</v>
      </c>
      <c r="I434" s="40" t="s">
        <v>42</v>
      </c>
      <c r="J434" s="149">
        <v>140</v>
      </c>
      <c r="K434" s="66">
        <v>400</v>
      </c>
      <c r="L434" s="66">
        <v>1400</v>
      </c>
      <c r="M434" s="164">
        <v>22.187081703262319</v>
      </c>
      <c r="N434" s="78">
        <v>1383.6941999999999</v>
      </c>
      <c r="O434" s="113">
        <v>42877.493143690932</v>
      </c>
      <c r="P434" s="111">
        <v>51133.554019071642</v>
      </c>
      <c r="Q434" s="110">
        <v>23025.205344194161</v>
      </c>
      <c r="R434" s="258">
        <v>65902.698487885093</v>
      </c>
      <c r="S434" s="259">
        <v>74158.759363265795</v>
      </c>
      <c r="U434" s="7" t="s">
        <v>3274</v>
      </c>
    </row>
    <row r="435" spans="1:21" s="7" customFormat="1" ht="16.5" thickBot="1">
      <c r="A435" s="41" t="s">
        <v>31</v>
      </c>
      <c r="B435" s="42">
        <f t="shared" si="24"/>
        <v>140</v>
      </c>
      <c r="C435" s="42" t="s">
        <v>3</v>
      </c>
      <c r="D435" s="42">
        <f t="shared" si="25"/>
        <v>400</v>
      </c>
      <c r="E435" s="42" t="s">
        <v>3</v>
      </c>
      <c r="F435" s="90">
        <f t="shared" si="26"/>
        <v>1450</v>
      </c>
      <c r="G435" s="42" t="s">
        <v>3</v>
      </c>
      <c r="H435" s="39">
        <v>8</v>
      </c>
      <c r="I435" s="40" t="s">
        <v>42</v>
      </c>
      <c r="J435" s="149">
        <v>140</v>
      </c>
      <c r="K435" s="66">
        <v>400</v>
      </c>
      <c r="L435" s="66">
        <v>1450</v>
      </c>
      <c r="M435" s="164">
        <v>22.931078721488081</v>
      </c>
      <c r="N435" s="78">
        <v>1449.5844</v>
      </c>
      <c r="O435" s="113">
        <v>44163.446498931509</v>
      </c>
      <c r="P435" s="111">
        <v>52675.140243137117</v>
      </c>
      <c r="Q435" s="110">
        <v>23681.812293924133</v>
      </c>
      <c r="R435" s="258">
        <v>67845.258792855646</v>
      </c>
      <c r="S435" s="259">
        <v>76356.952537061254</v>
      </c>
      <c r="U435" s="7" t="s">
        <v>3275</v>
      </c>
    </row>
    <row r="436" spans="1:21" s="7" customFormat="1" ht="16.5" thickBot="1">
      <c r="A436" s="41" t="s">
        <v>31</v>
      </c>
      <c r="B436" s="42">
        <f t="shared" si="24"/>
        <v>140</v>
      </c>
      <c r="C436" s="42" t="s">
        <v>3</v>
      </c>
      <c r="D436" s="42">
        <f t="shared" si="25"/>
        <v>400</v>
      </c>
      <c r="E436" s="42" t="s">
        <v>3</v>
      </c>
      <c r="F436" s="90">
        <f t="shared" si="26"/>
        <v>1500</v>
      </c>
      <c r="G436" s="42" t="s">
        <v>3</v>
      </c>
      <c r="H436" s="39">
        <v>8</v>
      </c>
      <c r="I436" s="40" t="s">
        <v>42</v>
      </c>
      <c r="J436" s="149">
        <v>140</v>
      </c>
      <c r="K436" s="66">
        <v>400</v>
      </c>
      <c r="L436" s="66">
        <v>1500</v>
      </c>
      <c r="M436" s="164">
        <v>23.916464089706242</v>
      </c>
      <c r="N436" s="78">
        <v>1515.4745999999998</v>
      </c>
      <c r="O436" s="113">
        <v>46370.538142390214</v>
      </c>
      <c r="P436" s="111">
        <v>55115.057501295247</v>
      </c>
      <c r="Q436" s="110">
        <v>24589.753534466639</v>
      </c>
      <c r="R436" s="258">
        <v>70960.291676856854</v>
      </c>
      <c r="S436" s="259">
        <v>79704.811035761886</v>
      </c>
      <c r="U436" s="7" t="s">
        <v>3276</v>
      </c>
    </row>
    <row r="437" spans="1:21" s="7" customFormat="1" ht="16.5" thickBot="1">
      <c r="A437" s="41" t="s">
        <v>31</v>
      </c>
      <c r="B437" s="42">
        <f t="shared" si="24"/>
        <v>140</v>
      </c>
      <c r="C437" s="42" t="s">
        <v>3</v>
      </c>
      <c r="D437" s="42">
        <f t="shared" si="25"/>
        <v>400</v>
      </c>
      <c r="E437" s="42" t="s">
        <v>3</v>
      </c>
      <c r="F437" s="90">
        <f t="shared" si="26"/>
        <v>1550</v>
      </c>
      <c r="G437" s="42" t="s">
        <v>3</v>
      </c>
      <c r="H437" s="39">
        <v>8</v>
      </c>
      <c r="I437" s="40" t="s">
        <v>42</v>
      </c>
      <c r="J437" s="149">
        <v>140</v>
      </c>
      <c r="K437" s="66">
        <v>400</v>
      </c>
      <c r="L437" s="66">
        <v>1550</v>
      </c>
      <c r="M437" s="164">
        <v>24.660461107932001</v>
      </c>
      <c r="N437" s="78">
        <v>1581.3647999999998</v>
      </c>
      <c r="O437" s="113">
        <v>47656.497465752625</v>
      </c>
      <c r="P437" s="111">
        <v>56656.643725360729</v>
      </c>
      <c r="Q437" s="110">
        <v>25246.360484196612</v>
      </c>
      <c r="R437" s="258">
        <v>72902.857949949233</v>
      </c>
      <c r="S437" s="259">
        <v>81903.004209557344</v>
      </c>
      <c r="U437" s="7" t="s">
        <v>3277</v>
      </c>
    </row>
    <row r="438" spans="1:21" s="7" customFormat="1" ht="16.5" thickBot="1">
      <c r="A438" s="38" t="s">
        <v>31</v>
      </c>
      <c r="B438" s="39">
        <f t="shared" si="24"/>
        <v>140</v>
      </c>
      <c r="C438" s="39" t="s">
        <v>3</v>
      </c>
      <c r="D438" s="39">
        <f t="shared" si="25"/>
        <v>400</v>
      </c>
      <c r="E438" s="39" t="s">
        <v>3</v>
      </c>
      <c r="F438" s="90">
        <f t="shared" si="26"/>
        <v>1600</v>
      </c>
      <c r="G438" s="39" t="s">
        <v>3</v>
      </c>
      <c r="H438" s="39">
        <v>8</v>
      </c>
      <c r="I438" s="40" t="s">
        <v>42</v>
      </c>
      <c r="J438" s="149">
        <v>140</v>
      </c>
      <c r="K438" s="66">
        <v>400</v>
      </c>
      <c r="L438" s="66">
        <v>1600</v>
      </c>
      <c r="M438" s="164">
        <v>25.40445812615776</v>
      </c>
      <c r="N438" s="78">
        <v>1647.2549999999999</v>
      </c>
      <c r="O438" s="113">
        <v>48942.450820993203</v>
      </c>
      <c r="P438" s="111">
        <v>58198.229796397442</v>
      </c>
      <c r="Q438" s="110">
        <v>25902.96758695535</v>
      </c>
      <c r="R438" s="258">
        <v>74845.418407948557</v>
      </c>
      <c r="S438" s="259">
        <v>84101.197383352788</v>
      </c>
      <c r="U438" s="7" t="s">
        <v>3278</v>
      </c>
    </row>
    <row r="439" spans="1:21" s="7" customFormat="1" ht="16.5" thickBot="1">
      <c r="A439" s="41" t="s">
        <v>31</v>
      </c>
      <c r="B439" s="42">
        <f t="shared" si="24"/>
        <v>140</v>
      </c>
      <c r="C439" s="42" t="s">
        <v>3</v>
      </c>
      <c r="D439" s="42">
        <f t="shared" si="25"/>
        <v>400</v>
      </c>
      <c r="E439" s="42" t="s">
        <v>3</v>
      </c>
      <c r="F439" s="90">
        <f t="shared" si="26"/>
        <v>1650</v>
      </c>
      <c r="G439" s="42" t="s">
        <v>3</v>
      </c>
      <c r="H439" s="39">
        <v>8</v>
      </c>
      <c r="I439" s="40" t="s">
        <v>42</v>
      </c>
      <c r="J439" s="149">
        <v>140</v>
      </c>
      <c r="K439" s="66">
        <v>400</v>
      </c>
      <c r="L439" s="66">
        <v>1650</v>
      </c>
      <c r="M439" s="164">
        <v>26.165290664383523</v>
      </c>
      <c r="N439" s="78">
        <v>1713.1451999999999</v>
      </c>
      <c r="O439" s="113">
        <v>50228.398820227005</v>
      </c>
      <c r="P439" s="111">
        <v>59739.815867434147</v>
      </c>
      <c r="Q439" s="110">
        <v>26810.908827497857</v>
      </c>
      <c r="R439" s="258">
        <v>77039.307647724869</v>
      </c>
      <c r="S439" s="259">
        <v>86550.724694931996</v>
      </c>
      <c r="U439" s="7" t="s">
        <v>3279</v>
      </c>
    </row>
    <row r="440" spans="1:21" s="7" customFormat="1" ht="16.5" thickBot="1">
      <c r="A440" s="41" t="s">
        <v>31</v>
      </c>
      <c r="B440" s="42">
        <f t="shared" si="24"/>
        <v>140</v>
      </c>
      <c r="C440" s="42" t="s">
        <v>3</v>
      </c>
      <c r="D440" s="42">
        <f t="shared" si="25"/>
        <v>400</v>
      </c>
      <c r="E440" s="42" t="s">
        <v>3</v>
      </c>
      <c r="F440" s="90">
        <f t="shared" si="26"/>
        <v>1700</v>
      </c>
      <c r="G440" s="42" t="s">
        <v>3</v>
      </c>
      <c r="H440" s="39">
        <v>8</v>
      </c>
      <c r="I440" s="40" t="s">
        <v>42</v>
      </c>
      <c r="J440" s="149">
        <v>140</v>
      </c>
      <c r="K440" s="66">
        <v>400</v>
      </c>
      <c r="L440" s="66">
        <v>1700</v>
      </c>
      <c r="M440" s="164">
        <v>26.909287682609282</v>
      </c>
      <c r="N440" s="78">
        <v>1779.0354</v>
      </c>
      <c r="O440" s="113">
        <v>51514.342075569082</v>
      </c>
      <c r="P440" s="111">
        <v>61281.401938470859</v>
      </c>
      <c r="Q440" s="110">
        <v>27467.515777227836</v>
      </c>
      <c r="R440" s="258">
        <v>78981.857852796922</v>
      </c>
      <c r="S440" s="259">
        <v>88748.917715698699</v>
      </c>
      <c r="U440" s="7" t="s">
        <v>3280</v>
      </c>
    </row>
    <row r="441" spans="1:21" s="7" customFormat="1" ht="16.5" thickBot="1">
      <c r="A441" s="41" t="s">
        <v>31</v>
      </c>
      <c r="B441" s="42">
        <f t="shared" si="24"/>
        <v>140</v>
      </c>
      <c r="C441" s="42" t="s">
        <v>3</v>
      </c>
      <c r="D441" s="42">
        <f t="shared" si="25"/>
        <v>400</v>
      </c>
      <c r="E441" s="42" t="s">
        <v>3</v>
      </c>
      <c r="F441" s="90">
        <f t="shared" si="26"/>
        <v>1750</v>
      </c>
      <c r="G441" s="42" t="s">
        <v>3</v>
      </c>
      <c r="H441" s="39">
        <v>8</v>
      </c>
      <c r="I441" s="40" t="s">
        <v>42</v>
      </c>
      <c r="J441" s="149">
        <v>140</v>
      </c>
      <c r="K441" s="66">
        <v>400</v>
      </c>
      <c r="L441" s="66">
        <v>1750</v>
      </c>
      <c r="M441" s="164">
        <v>27.670120220835042</v>
      </c>
      <c r="N441" s="78">
        <v>1844.9255999999996</v>
      </c>
      <c r="O441" s="113">
        <v>52800.280587019442</v>
      </c>
      <c r="P441" s="111">
        <v>62822.988162536327</v>
      </c>
      <c r="Q441" s="110">
        <v>28375.457017770343</v>
      </c>
      <c r="R441" s="258">
        <v>81175.737604789785</v>
      </c>
      <c r="S441" s="259">
        <v>91198.445180306677</v>
      </c>
      <c r="U441" s="7" t="s">
        <v>3281</v>
      </c>
    </row>
    <row r="442" spans="1:21" s="7" customFormat="1" ht="16.5" thickBot="1">
      <c r="A442" s="41" t="s">
        <v>31</v>
      </c>
      <c r="B442" s="42">
        <f t="shared" si="24"/>
        <v>140</v>
      </c>
      <c r="C442" s="42" t="s">
        <v>3</v>
      </c>
      <c r="D442" s="42">
        <f t="shared" si="25"/>
        <v>400</v>
      </c>
      <c r="E442" s="42" t="s">
        <v>3</v>
      </c>
      <c r="F442" s="90">
        <f t="shared" si="26"/>
        <v>1800</v>
      </c>
      <c r="G442" s="42" t="s">
        <v>3</v>
      </c>
      <c r="H442" s="39">
        <v>8</v>
      </c>
      <c r="I442" s="40" t="s">
        <v>42</v>
      </c>
      <c r="J442" s="149">
        <v>140</v>
      </c>
      <c r="K442" s="66">
        <v>400</v>
      </c>
      <c r="L442" s="66">
        <v>1800</v>
      </c>
      <c r="M442" s="164">
        <v>28.414117239060797</v>
      </c>
      <c r="N442" s="78">
        <v>1910.8157999999996</v>
      </c>
      <c r="O442" s="113">
        <v>54086.214813664381</v>
      </c>
      <c r="P442" s="111">
        <v>64364.574233573039</v>
      </c>
      <c r="Q442" s="110">
        <v>29032.063967500315</v>
      </c>
      <c r="R442" s="258">
        <v>83118.278781164699</v>
      </c>
      <c r="S442" s="259">
        <v>93396.638201073351</v>
      </c>
      <c r="U442" s="7" t="s">
        <v>3282</v>
      </c>
    </row>
    <row r="443" spans="1:21" s="7" customFormat="1" ht="16.5" thickBot="1">
      <c r="A443" s="41" t="s">
        <v>31</v>
      </c>
      <c r="B443" s="42">
        <f t="shared" si="24"/>
        <v>140</v>
      </c>
      <c r="C443" s="42" t="s">
        <v>3</v>
      </c>
      <c r="D443" s="42">
        <f t="shared" si="25"/>
        <v>400</v>
      </c>
      <c r="E443" s="42" t="s">
        <v>3</v>
      </c>
      <c r="F443" s="90">
        <f t="shared" si="26"/>
        <v>1850</v>
      </c>
      <c r="G443" s="42" t="s">
        <v>3</v>
      </c>
      <c r="H443" s="39">
        <v>8</v>
      </c>
      <c r="I443" s="40" t="s">
        <v>42</v>
      </c>
      <c r="J443" s="149">
        <v>140</v>
      </c>
      <c r="K443" s="66">
        <v>400</v>
      </c>
      <c r="L443" s="66">
        <v>1850</v>
      </c>
      <c r="M443" s="164">
        <v>29.174949777286564</v>
      </c>
      <c r="N443" s="78">
        <v>1976.7059999999997</v>
      </c>
      <c r="O443" s="113">
        <v>55372.145214590193</v>
      </c>
      <c r="P443" s="111">
        <v>65906.160304609599</v>
      </c>
      <c r="Q443" s="110">
        <v>29940.005208042821</v>
      </c>
      <c r="R443" s="258">
        <v>85312.150422633014</v>
      </c>
      <c r="S443" s="259">
        <v>95846.165512652427</v>
      </c>
      <c r="U443" s="7" t="s">
        <v>3283</v>
      </c>
    </row>
    <row r="444" spans="1:21" s="7" customFormat="1" ht="16.5" thickBot="1">
      <c r="A444" s="41" t="s">
        <v>31</v>
      </c>
      <c r="B444" s="42">
        <f t="shared" si="24"/>
        <v>140</v>
      </c>
      <c r="C444" s="42" t="s">
        <v>3</v>
      </c>
      <c r="D444" s="42">
        <f t="shared" si="25"/>
        <v>400</v>
      </c>
      <c r="E444" s="42" t="s">
        <v>3</v>
      </c>
      <c r="F444" s="90">
        <f t="shared" si="26"/>
        <v>1900</v>
      </c>
      <c r="G444" s="42" t="s">
        <v>3</v>
      </c>
      <c r="H444" s="39">
        <v>8</v>
      </c>
      <c r="I444" s="40" t="s">
        <v>42</v>
      </c>
      <c r="J444" s="149">
        <v>140</v>
      </c>
      <c r="K444" s="66">
        <v>400</v>
      </c>
      <c r="L444" s="66">
        <v>1900</v>
      </c>
      <c r="M444" s="164">
        <v>29.918946795512319</v>
      </c>
      <c r="N444" s="78">
        <v>2042.5962</v>
      </c>
      <c r="O444" s="113">
        <v>56658.071942825642</v>
      </c>
      <c r="P444" s="111">
        <v>67447.746528675227</v>
      </c>
      <c r="Q444" s="110">
        <v>30596.612157772794</v>
      </c>
      <c r="R444" s="258">
        <v>87254.684100598432</v>
      </c>
      <c r="S444" s="259">
        <v>98044.358686448017</v>
      </c>
      <c r="U444" s="7" t="s">
        <v>3284</v>
      </c>
    </row>
    <row r="445" spans="1:21" s="7" customFormat="1" ht="16.5" thickBot="1">
      <c r="A445" s="41" t="s">
        <v>31</v>
      </c>
      <c r="B445" s="42">
        <f t="shared" si="24"/>
        <v>140</v>
      </c>
      <c r="C445" s="42" t="s">
        <v>3</v>
      </c>
      <c r="D445" s="42">
        <f t="shared" si="25"/>
        <v>400</v>
      </c>
      <c r="E445" s="42" t="s">
        <v>3</v>
      </c>
      <c r="F445" s="90">
        <f t="shared" si="26"/>
        <v>1950</v>
      </c>
      <c r="G445" s="42" t="s">
        <v>3</v>
      </c>
      <c r="H445" s="39">
        <v>8</v>
      </c>
      <c r="I445" s="40" t="s">
        <v>42</v>
      </c>
      <c r="J445" s="149">
        <v>140</v>
      </c>
      <c r="K445" s="66">
        <v>400</v>
      </c>
      <c r="L445" s="66">
        <v>1950</v>
      </c>
      <c r="M445" s="164">
        <v>30.818059813738085</v>
      </c>
      <c r="N445" s="78">
        <v>2108.4863999999998</v>
      </c>
      <c r="O445" s="113">
        <v>58112.309041700231</v>
      </c>
      <c r="P445" s="111">
        <v>69158.09991424375</v>
      </c>
      <c r="Q445" s="110">
        <v>31253.219260531532</v>
      </c>
      <c r="R445" s="258">
        <v>89365.52830223176</v>
      </c>
      <c r="S445" s="259">
        <v>100411.31917477529</v>
      </c>
      <c r="U445" s="7" t="s">
        <v>3285</v>
      </c>
    </row>
    <row r="446" spans="1:21" s="7" customFormat="1" ht="16.5" thickBot="1">
      <c r="A446" s="41" t="s">
        <v>31</v>
      </c>
      <c r="B446" s="42">
        <f t="shared" si="24"/>
        <v>140</v>
      </c>
      <c r="C446" s="42" t="s">
        <v>3</v>
      </c>
      <c r="D446" s="42">
        <f t="shared" si="25"/>
        <v>400</v>
      </c>
      <c r="E446" s="42" t="s">
        <v>3</v>
      </c>
      <c r="F446" s="90">
        <f t="shared" si="26"/>
        <v>2000</v>
      </c>
      <c r="G446" s="42" t="s">
        <v>3</v>
      </c>
      <c r="H446" s="39">
        <v>8</v>
      </c>
      <c r="I446" s="40" t="s">
        <v>42</v>
      </c>
      <c r="J446" s="149">
        <v>140</v>
      </c>
      <c r="K446" s="66">
        <v>400</v>
      </c>
      <c r="L446" s="66">
        <v>2000</v>
      </c>
      <c r="M446" s="164">
        <v>31.669356003163848</v>
      </c>
      <c r="N446" s="78">
        <v>2174.3765999999996</v>
      </c>
      <c r="O446" s="113">
        <v>59648.426935872732</v>
      </c>
      <c r="P446" s="111">
        <v>71178.407860594933</v>
      </c>
      <c r="Q446" s="110">
        <v>32161.160348045276</v>
      </c>
      <c r="R446" s="258">
        <v>91809.587283918008</v>
      </c>
      <c r="S446" s="259">
        <v>103339.56820864021</v>
      </c>
      <c r="U446" s="7" t="s">
        <v>3286</v>
      </c>
    </row>
    <row r="447" spans="1:21" s="7" customFormat="1" ht="16.5" thickBot="1">
      <c r="A447" s="41" t="s">
        <v>31</v>
      </c>
      <c r="B447" s="42">
        <f t="shared" si="24"/>
        <v>140</v>
      </c>
      <c r="C447" s="42" t="s">
        <v>3</v>
      </c>
      <c r="D447" s="42">
        <f t="shared" si="25"/>
        <v>400</v>
      </c>
      <c r="E447" s="42" t="s">
        <v>3</v>
      </c>
      <c r="F447" s="90">
        <f t="shared" si="26"/>
        <v>2050</v>
      </c>
      <c r="G447" s="42" t="s">
        <v>3</v>
      </c>
      <c r="H447" s="39">
        <v>8</v>
      </c>
      <c r="I447" s="40" t="s">
        <v>42</v>
      </c>
      <c r="J447" s="149">
        <v>140</v>
      </c>
      <c r="K447" s="66">
        <v>400</v>
      </c>
      <c r="L447" s="66">
        <v>2050</v>
      </c>
      <c r="M447" s="164">
        <v>32.413353021389604</v>
      </c>
      <c r="N447" s="78">
        <v>2240.2667999999999</v>
      </c>
      <c r="O447" s="113">
        <v>60934.349073245226</v>
      </c>
      <c r="P447" s="111">
        <v>72719.993931631645</v>
      </c>
      <c r="Q447" s="110">
        <v>32817.767450804015</v>
      </c>
      <c r="R447" s="258">
        <v>93752.116524049241</v>
      </c>
      <c r="S447" s="259">
        <v>105537.76138243565</v>
      </c>
      <c r="U447" s="7" t="s">
        <v>3287</v>
      </c>
    </row>
    <row r="448" spans="1:21" s="7" customFormat="1" ht="16.5" thickBot="1">
      <c r="A448" s="38" t="s">
        <v>31</v>
      </c>
      <c r="B448" s="39">
        <f t="shared" si="24"/>
        <v>140</v>
      </c>
      <c r="C448" s="39" t="s">
        <v>3</v>
      </c>
      <c r="D448" s="39">
        <f t="shared" si="25"/>
        <v>400</v>
      </c>
      <c r="E448" s="39" t="s">
        <v>3</v>
      </c>
      <c r="F448" s="90">
        <f t="shared" si="26"/>
        <v>2100</v>
      </c>
      <c r="G448" s="39" t="s">
        <v>3</v>
      </c>
      <c r="H448" s="39">
        <v>8</v>
      </c>
      <c r="I448" s="40" t="s">
        <v>42</v>
      </c>
      <c r="J448" s="149">
        <v>140</v>
      </c>
      <c r="K448" s="66">
        <v>400</v>
      </c>
      <c r="L448" s="66">
        <v>2100</v>
      </c>
      <c r="M448" s="164">
        <v>33.17418555961536</v>
      </c>
      <c r="N448" s="78">
        <v>2306.1569999999997</v>
      </c>
      <c r="O448" s="113">
        <v>62220.268303071185</v>
      </c>
      <c r="P448" s="111">
        <v>74261.580155697127</v>
      </c>
      <c r="Q448" s="110">
        <v>33725.708538317755</v>
      </c>
      <c r="R448" s="258">
        <v>95945.97684138894</v>
      </c>
      <c r="S448" s="259">
        <v>107987.28869401489</v>
      </c>
      <c r="U448" s="7" t="s">
        <v>3288</v>
      </c>
    </row>
    <row r="449" spans="1:21" s="7" customFormat="1" ht="16.5" thickBot="1">
      <c r="A449" s="41" t="s">
        <v>31</v>
      </c>
      <c r="B449" s="42">
        <f t="shared" si="24"/>
        <v>140</v>
      </c>
      <c r="C449" s="42" t="s">
        <v>3</v>
      </c>
      <c r="D449" s="42">
        <f t="shared" si="25"/>
        <v>400</v>
      </c>
      <c r="E449" s="42" t="s">
        <v>3</v>
      </c>
      <c r="F449" s="90">
        <f t="shared" si="26"/>
        <v>2150</v>
      </c>
      <c r="G449" s="42" t="s">
        <v>3</v>
      </c>
      <c r="H449" s="39">
        <v>8</v>
      </c>
      <c r="I449" s="40" t="s">
        <v>42</v>
      </c>
      <c r="J449" s="149">
        <v>140</v>
      </c>
      <c r="K449" s="66">
        <v>400</v>
      </c>
      <c r="L449" s="66">
        <v>2150</v>
      </c>
      <c r="M449" s="164">
        <v>33.918182577841122</v>
      </c>
      <c r="N449" s="78">
        <v>2372.0472</v>
      </c>
      <c r="O449" s="113">
        <v>63506.184625350601</v>
      </c>
      <c r="P449" s="111">
        <v>75803.16622673384</v>
      </c>
      <c r="Q449" s="110">
        <v>34382.315641076493</v>
      </c>
      <c r="R449" s="258">
        <v>97888.500266427087</v>
      </c>
      <c r="S449" s="259">
        <v>110185.48186781033</v>
      </c>
      <c r="U449" s="7" t="s">
        <v>3289</v>
      </c>
    </row>
    <row r="450" spans="1:21" s="7" customFormat="1" ht="16.5" thickBot="1">
      <c r="A450" s="41" t="s">
        <v>31</v>
      </c>
      <c r="B450" s="42">
        <f t="shared" si="24"/>
        <v>140</v>
      </c>
      <c r="C450" s="42" t="s">
        <v>3</v>
      </c>
      <c r="D450" s="42">
        <f t="shared" si="25"/>
        <v>400</v>
      </c>
      <c r="E450" s="42" t="s">
        <v>3</v>
      </c>
      <c r="F450" s="90">
        <f t="shared" si="26"/>
        <v>2200</v>
      </c>
      <c r="G450" s="42" t="s">
        <v>3</v>
      </c>
      <c r="H450" s="39">
        <v>8</v>
      </c>
      <c r="I450" s="40" t="s">
        <v>42</v>
      </c>
      <c r="J450" s="149">
        <v>140</v>
      </c>
      <c r="K450" s="66">
        <v>400</v>
      </c>
      <c r="L450" s="66">
        <v>2200</v>
      </c>
      <c r="M450" s="164">
        <v>34.679015116066878</v>
      </c>
      <c r="N450" s="78">
        <v>2437.9373999999998</v>
      </c>
      <c r="O450" s="113">
        <v>64792.098346141014</v>
      </c>
      <c r="P450" s="111">
        <v>77344.752297770538</v>
      </c>
      <c r="Q450" s="110">
        <v>35290.256728590233</v>
      </c>
      <c r="R450" s="258">
        <v>100082.35507473125</v>
      </c>
      <c r="S450" s="259">
        <v>112635.00902636077</v>
      </c>
      <c r="U450" s="7" t="s">
        <v>3290</v>
      </c>
    </row>
    <row r="451" spans="1:21" s="7" customFormat="1" ht="16.5" thickBot="1">
      <c r="A451" s="41" t="s">
        <v>31</v>
      </c>
      <c r="B451" s="42">
        <f t="shared" si="24"/>
        <v>140</v>
      </c>
      <c r="C451" s="42" t="s">
        <v>3</v>
      </c>
      <c r="D451" s="42">
        <f t="shared" si="25"/>
        <v>400</v>
      </c>
      <c r="E451" s="42" t="s">
        <v>3</v>
      </c>
      <c r="F451" s="90">
        <f t="shared" si="26"/>
        <v>2250</v>
      </c>
      <c r="G451" s="42" t="s">
        <v>3</v>
      </c>
      <c r="H451" s="39">
        <v>8</v>
      </c>
      <c r="I451" s="40" t="s">
        <v>42</v>
      </c>
      <c r="J451" s="149">
        <v>140</v>
      </c>
      <c r="K451" s="66">
        <v>400</v>
      </c>
      <c r="L451" s="66">
        <v>2250</v>
      </c>
      <c r="M451" s="164">
        <v>35.423012134292634</v>
      </c>
      <c r="N451" s="78">
        <v>2503.8275999999996</v>
      </c>
      <c r="O451" s="113">
        <v>66078.009618471173</v>
      </c>
      <c r="P451" s="111">
        <v>78886.33852183602</v>
      </c>
      <c r="Q451" s="110">
        <v>35946.863831348819</v>
      </c>
      <c r="R451" s="258">
        <v>102024.87344981999</v>
      </c>
      <c r="S451" s="259">
        <v>114833.20235318484</v>
      </c>
      <c r="U451" s="7" t="s">
        <v>3291</v>
      </c>
    </row>
    <row r="452" spans="1:21" s="7" customFormat="1" ht="16.5" thickBot="1">
      <c r="A452" s="41" t="s">
        <v>31</v>
      </c>
      <c r="B452" s="42">
        <f t="shared" si="24"/>
        <v>140</v>
      </c>
      <c r="C452" s="42" t="s">
        <v>3</v>
      </c>
      <c r="D452" s="42">
        <f t="shared" si="25"/>
        <v>400</v>
      </c>
      <c r="E452" s="42" t="s">
        <v>3</v>
      </c>
      <c r="F452" s="90">
        <f t="shared" si="26"/>
        <v>2300</v>
      </c>
      <c r="G452" s="42" t="s">
        <v>3</v>
      </c>
      <c r="H452" s="39">
        <v>8</v>
      </c>
      <c r="I452" s="40" t="s">
        <v>42</v>
      </c>
      <c r="J452" s="149">
        <v>140</v>
      </c>
      <c r="K452" s="66">
        <v>400</v>
      </c>
      <c r="L452" s="66">
        <v>2300</v>
      </c>
      <c r="M452" s="164">
        <v>36.167009152518403</v>
      </c>
      <c r="N452" s="78">
        <v>2569.7177999999994</v>
      </c>
      <c r="O452" s="113">
        <v>67363.918442341106</v>
      </c>
      <c r="P452" s="111">
        <v>80427.924592872718</v>
      </c>
      <c r="Q452" s="110">
        <v>36603.470781078948</v>
      </c>
      <c r="R452" s="258">
        <v>103967.38922342006</v>
      </c>
      <c r="S452" s="259">
        <v>117031.39537395167</v>
      </c>
      <c r="U452" s="7" t="s">
        <v>3292</v>
      </c>
    </row>
    <row r="453" spans="1:21" s="7" customFormat="1" ht="16.5" thickBot="1">
      <c r="A453" s="41" t="s">
        <v>31</v>
      </c>
      <c r="B453" s="42">
        <f t="shared" si="24"/>
        <v>140</v>
      </c>
      <c r="C453" s="42" t="s">
        <v>3</v>
      </c>
      <c r="D453" s="42">
        <f t="shared" si="25"/>
        <v>400</v>
      </c>
      <c r="E453" s="42" t="s">
        <v>3</v>
      </c>
      <c r="F453" s="90">
        <f t="shared" si="26"/>
        <v>2350</v>
      </c>
      <c r="G453" s="42" t="s">
        <v>3</v>
      </c>
      <c r="H453" s="39">
        <v>8</v>
      </c>
      <c r="I453" s="40" t="s">
        <v>42</v>
      </c>
      <c r="J453" s="149">
        <v>140</v>
      </c>
      <c r="K453" s="66">
        <v>400</v>
      </c>
      <c r="L453" s="66">
        <v>2350</v>
      </c>
      <c r="M453" s="164">
        <v>36.92784169074416</v>
      </c>
      <c r="N453" s="78">
        <v>2635.6079999999997</v>
      </c>
      <c r="O453" s="113">
        <v>68649.824970779548</v>
      </c>
      <c r="P453" s="111">
        <v>81969.51066390943</v>
      </c>
      <c r="Q453" s="110">
        <v>37511.412021621458</v>
      </c>
      <c r="R453" s="258">
        <v>106161.23699240101</v>
      </c>
      <c r="S453" s="259">
        <v>119480.92268553088</v>
      </c>
      <c r="U453" s="7" t="s">
        <v>3293</v>
      </c>
    </row>
    <row r="454" spans="1:21" s="7" customFormat="1" ht="16.5" thickBot="1">
      <c r="A454" s="41" t="s">
        <v>31</v>
      </c>
      <c r="B454" s="42">
        <f t="shared" si="24"/>
        <v>140</v>
      </c>
      <c r="C454" s="42" t="s">
        <v>3</v>
      </c>
      <c r="D454" s="42">
        <f t="shared" si="25"/>
        <v>400</v>
      </c>
      <c r="E454" s="42" t="s">
        <v>3</v>
      </c>
      <c r="F454" s="90">
        <f t="shared" si="26"/>
        <v>2400</v>
      </c>
      <c r="G454" s="42" t="s">
        <v>3</v>
      </c>
      <c r="H454" s="39">
        <v>8</v>
      </c>
      <c r="I454" s="40" t="s">
        <v>42</v>
      </c>
      <c r="J454" s="149">
        <v>140</v>
      </c>
      <c r="K454" s="66">
        <v>400</v>
      </c>
      <c r="L454" s="66">
        <v>2400</v>
      </c>
      <c r="M454" s="164">
        <v>37.671838708969915</v>
      </c>
      <c r="N454" s="78">
        <v>2701.4981999999995</v>
      </c>
      <c r="O454" s="113">
        <v>69935.729509844066</v>
      </c>
      <c r="P454" s="111">
        <v>83511.096887974913</v>
      </c>
      <c r="Q454" s="110">
        <v>38168.019124380196</v>
      </c>
      <c r="R454" s="258">
        <v>108103.74863422426</v>
      </c>
      <c r="S454" s="259">
        <v>121679.11601235511</v>
      </c>
      <c r="U454" s="7" t="s">
        <v>3294</v>
      </c>
    </row>
    <row r="455" spans="1:21" s="7" customFormat="1" ht="16.5" thickBot="1">
      <c r="A455" s="41" t="s">
        <v>31</v>
      </c>
      <c r="B455" s="42">
        <f t="shared" si="24"/>
        <v>140</v>
      </c>
      <c r="C455" s="42" t="s">
        <v>3</v>
      </c>
      <c r="D455" s="42">
        <f t="shared" si="25"/>
        <v>400</v>
      </c>
      <c r="E455" s="42" t="s">
        <v>3</v>
      </c>
      <c r="F455" s="90">
        <f t="shared" si="26"/>
        <v>2450</v>
      </c>
      <c r="G455" s="42" t="s">
        <v>3</v>
      </c>
      <c r="H455" s="39">
        <v>8</v>
      </c>
      <c r="I455" s="40" t="s">
        <v>42</v>
      </c>
      <c r="J455" s="149">
        <v>140</v>
      </c>
      <c r="K455" s="66">
        <v>400</v>
      </c>
      <c r="L455" s="66">
        <v>2450</v>
      </c>
      <c r="M455" s="164">
        <v>38.657224077188083</v>
      </c>
      <c r="N455" s="78">
        <v>2767.3883999999998</v>
      </c>
      <c r="O455" s="113">
        <v>72142.957195874958</v>
      </c>
      <c r="P455" s="111">
        <v>85951.014146133035</v>
      </c>
      <c r="Q455" s="110">
        <v>39075.960211893937</v>
      </c>
      <c r="R455" s="258">
        <v>111218.91740776889</v>
      </c>
      <c r="S455" s="259">
        <v>125026.97435802697</v>
      </c>
      <c r="U455" s="7" t="s">
        <v>3295</v>
      </c>
    </row>
    <row r="456" spans="1:21" s="7" customFormat="1" ht="16.5" thickBot="1">
      <c r="A456" s="41" t="s">
        <v>31</v>
      </c>
      <c r="B456" s="42">
        <f t="shared" si="24"/>
        <v>140</v>
      </c>
      <c r="C456" s="42" t="s">
        <v>3</v>
      </c>
      <c r="D456" s="42">
        <f t="shared" si="25"/>
        <v>400</v>
      </c>
      <c r="E456" s="42" t="s">
        <v>3</v>
      </c>
      <c r="F456" s="90">
        <f t="shared" si="26"/>
        <v>2500</v>
      </c>
      <c r="G456" s="42" t="s">
        <v>3</v>
      </c>
      <c r="H456" s="39">
        <v>8</v>
      </c>
      <c r="I456" s="40" t="s">
        <v>42</v>
      </c>
      <c r="J456" s="149">
        <v>140</v>
      </c>
      <c r="K456" s="66">
        <v>400</v>
      </c>
      <c r="L456" s="66">
        <v>2500</v>
      </c>
      <c r="M456" s="164">
        <v>39.401221095413838</v>
      </c>
      <c r="N456" s="78">
        <v>2833.2785999999996</v>
      </c>
      <c r="O456" s="113">
        <v>73428.866172773647</v>
      </c>
      <c r="P456" s="111">
        <v>87492.600217169747</v>
      </c>
      <c r="Q456" s="110">
        <v>39732.567314652675</v>
      </c>
      <c r="R456" s="258">
        <v>113161.43348742631</v>
      </c>
      <c r="S456" s="259">
        <v>127225.16753182243</v>
      </c>
      <c r="U456" s="7" t="s">
        <v>3296</v>
      </c>
    </row>
    <row r="457" spans="1:21" s="7" customFormat="1" ht="16.5" thickBot="1">
      <c r="A457" s="41" t="s">
        <v>31</v>
      </c>
      <c r="B457" s="42">
        <f t="shared" si="24"/>
        <v>140</v>
      </c>
      <c r="C457" s="42" t="s">
        <v>3</v>
      </c>
      <c r="D457" s="42">
        <f t="shared" si="25"/>
        <v>400</v>
      </c>
      <c r="E457" s="42" t="s">
        <v>3</v>
      </c>
      <c r="F457" s="90">
        <f t="shared" si="26"/>
        <v>2550</v>
      </c>
      <c r="G457" s="42" t="s">
        <v>3</v>
      </c>
      <c r="H457" s="39">
        <v>8</v>
      </c>
      <c r="I457" s="40" t="s">
        <v>42</v>
      </c>
      <c r="J457" s="149">
        <v>140</v>
      </c>
      <c r="K457" s="66">
        <v>400</v>
      </c>
      <c r="L457" s="66">
        <v>2550</v>
      </c>
      <c r="M457" s="164">
        <v>40.162053633639601</v>
      </c>
      <c r="N457" s="78">
        <v>2899.1687999999999</v>
      </c>
      <c r="O457" s="113">
        <v>74714.773160298399</v>
      </c>
      <c r="P457" s="111">
        <v>89034.186441235215</v>
      </c>
      <c r="Q457" s="110">
        <v>40640.508402166415</v>
      </c>
      <c r="R457" s="258">
        <v>115355.28156246481</v>
      </c>
      <c r="S457" s="259">
        <v>129674.69484340164</v>
      </c>
      <c r="U457" s="7" t="s">
        <v>3297</v>
      </c>
    </row>
    <row r="458" spans="1:21" s="7" customFormat="1" ht="16.5" thickBot="1">
      <c r="A458" s="38" t="s">
        <v>31</v>
      </c>
      <c r="B458" s="39">
        <f t="shared" si="24"/>
        <v>140</v>
      </c>
      <c r="C458" s="39" t="s">
        <v>3</v>
      </c>
      <c r="D458" s="39">
        <f t="shared" si="25"/>
        <v>400</v>
      </c>
      <c r="E458" s="39" t="s">
        <v>3</v>
      </c>
      <c r="F458" s="90">
        <f t="shared" si="26"/>
        <v>2600</v>
      </c>
      <c r="G458" s="39" t="s">
        <v>3</v>
      </c>
      <c r="H458" s="39">
        <v>8</v>
      </c>
      <c r="I458" s="40" t="s">
        <v>42</v>
      </c>
      <c r="J458" s="149">
        <v>140</v>
      </c>
      <c r="K458" s="66">
        <v>400</v>
      </c>
      <c r="L458" s="66">
        <v>2600</v>
      </c>
      <c r="M458" s="164">
        <v>40.906050651865371</v>
      </c>
      <c r="N458" s="78">
        <v>2965.0589999999997</v>
      </c>
      <c r="O458" s="113">
        <v>76000.678158449184</v>
      </c>
      <c r="P458" s="111">
        <v>90575.772512271942</v>
      </c>
      <c r="Q458" s="110">
        <v>41297.115504925154</v>
      </c>
      <c r="R458" s="258">
        <v>117297.79366337434</v>
      </c>
      <c r="S458" s="259">
        <v>131872.88801719708</v>
      </c>
      <c r="U458" s="7" t="s">
        <v>3298</v>
      </c>
    </row>
    <row r="459" spans="1:21" s="7" customFormat="1" ht="16.5" thickBot="1">
      <c r="A459" s="41" t="s">
        <v>31</v>
      </c>
      <c r="B459" s="42">
        <f t="shared" si="24"/>
        <v>140</v>
      </c>
      <c r="C459" s="42" t="s">
        <v>3</v>
      </c>
      <c r="D459" s="42">
        <f t="shared" si="25"/>
        <v>400</v>
      </c>
      <c r="E459" s="42" t="s">
        <v>3</v>
      </c>
      <c r="F459" s="90">
        <f t="shared" si="26"/>
        <v>2650</v>
      </c>
      <c r="G459" s="42" t="s">
        <v>3</v>
      </c>
      <c r="H459" s="39">
        <v>8</v>
      </c>
      <c r="I459" s="40" t="s">
        <v>42</v>
      </c>
      <c r="J459" s="149">
        <v>140</v>
      </c>
      <c r="K459" s="66">
        <v>400</v>
      </c>
      <c r="L459" s="66">
        <v>2650</v>
      </c>
      <c r="M459" s="164">
        <v>41.666883190091127</v>
      </c>
      <c r="N459" s="78">
        <v>3030.9491999999996</v>
      </c>
      <c r="O459" s="113">
        <v>77286.581320254816</v>
      </c>
      <c r="P459" s="111">
        <v>92117.35858330864</v>
      </c>
      <c r="Q459" s="110">
        <v>42205.056592438901</v>
      </c>
      <c r="R459" s="258">
        <v>119491.63791269372</v>
      </c>
      <c r="S459" s="259">
        <v>134322.41517574753</v>
      </c>
      <c r="U459" s="7" t="s">
        <v>3299</v>
      </c>
    </row>
    <row r="460" spans="1:21" ht="16.5" thickBot="1">
      <c r="A460" s="41" t="s">
        <v>31</v>
      </c>
      <c r="B460" s="42">
        <f t="shared" si="24"/>
        <v>140</v>
      </c>
      <c r="C460" s="42" t="s">
        <v>3</v>
      </c>
      <c r="D460" s="42">
        <f t="shared" si="25"/>
        <v>400</v>
      </c>
      <c r="E460" s="42" t="s">
        <v>3</v>
      </c>
      <c r="F460" s="90">
        <f t="shared" si="26"/>
        <v>2700</v>
      </c>
      <c r="G460" s="42" t="s">
        <v>3</v>
      </c>
      <c r="H460" s="39">
        <v>8</v>
      </c>
      <c r="I460" s="40" t="s">
        <v>42</v>
      </c>
      <c r="J460" s="149">
        <v>140</v>
      </c>
      <c r="K460" s="66">
        <v>400</v>
      </c>
      <c r="L460" s="66">
        <v>2700</v>
      </c>
      <c r="M460" s="164">
        <v>42.565996208316882</v>
      </c>
      <c r="N460" s="78">
        <v>3096.8393999999998</v>
      </c>
      <c r="O460" s="113">
        <v>78740.786436117487</v>
      </c>
      <c r="P460" s="111">
        <v>93827.712121905919</v>
      </c>
      <c r="Q460" s="110">
        <v>42861.66369519764</v>
      </c>
      <c r="R460" s="258">
        <v>121602.45013131513</v>
      </c>
      <c r="S460" s="259">
        <v>136689.37581710354</v>
      </c>
      <c r="U460" s="7" t="s">
        <v>3300</v>
      </c>
    </row>
    <row r="461" spans="1:21" ht="16.5" thickBot="1">
      <c r="A461" s="41" t="s">
        <v>31</v>
      </c>
      <c r="B461" s="42">
        <f t="shared" si="24"/>
        <v>140</v>
      </c>
      <c r="C461" s="42" t="s">
        <v>3</v>
      </c>
      <c r="D461" s="42">
        <f t="shared" si="25"/>
        <v>400</v>
      </c>
      <c r="E461" s="42" t="s">
        <v>3</v>
      </c>
      <c r="F461" s="90">
        <f t="shared" si="26"/>
        <v>2750</v>
      </c>
      <c r="G461" s="42" t="s">
        <v>3</v>
      </c>
      <c r="H461" s="39">
        <v>8</v>
      </c>
      <c r="I461" s="40" t="s">
        <v>42</v>
      </c>
      <c r="J461" s="149">
        <v>140</v>
      </c>
      <c r="K461" s="66">
        <v>400</v>
      </c>
      <c r="L461" s="66">
        <v>2750</v>
      </c>
      <c r="M461" s="164">
        <v>43.309993226542645</v>
      </c>
      <c r="N461" s="78">
        <v>3162.7295999999997</v>
      </c>
      <c r="O461" s="113">
        <v>80026.68531311769</v>
      </c>
      <c r="P461" s="111">
        <v>95369.298192942646</v>
      </c>
      <c r="Q461" s="110">
        <v>43518.270644927608</v>
      </c>
      <c r="R461" s="258">
        <v>123544.95595804529</v>
      </c>
      <c r="S461" s="259">
        <v>138887.56883787026</v>
      </c>
      <c r="U461" s="7" t="s">
        <v>3301</v>
      </c>
    </row>
    <row r="462" spans="1:21" ht="16.5" thickBot="1">
      <c r="A462" s="41" t="s">
        <v>31</v>
      </c>
      <c r="B462" s="42">
        <f t="shared" si="24"/>
        <v>140</v>
      </c>
      <c r="C462" s="42" t="s">
        <v>3</v>
      </c>
      <c r="D462" s="42">
        <f t="shared" si="25"/>
        <v>400</v>
      </c>
      <c r="E462" s="42" t="s">
        <v>3</v>
      </c>
      <c r="F462" s="90">
        <f t="shared" si="26"/>
        <v>2800</v>
      </c>
      <c r="G462" s="42" t="s">
        <v>3</v>
      </c>
      <c r="H462" s="39">
        <v>8</v>
      </c>
      <c r="I462" s="40" t="s">
        <v>42</v>
      </c>
      <c r="J462" s="149">
        <v>140</v>
      </c>
      <c r="K462" s="66">
        <v>400</v>
      </c>
      <c r="L462" s="66">
        <v>2800</v>
      </c>
      <c r="M462" s="164">
        <v>44.070825764768408</v>
      </c>
      <c r="N462" s="78">
        <v>3228.6197999999999</v>
      </c>
      <c r="O462" s="113">
        <v>81312.582659830237</v>
      </c>
      <c r="P462" s="111">
        <v>96910.884263979344</v>
      </c>
      <c r="Q462" s="110">
        <v>44426.211885470118</v>
      </c>
      <c r="R462" s="258">
        <v>125738.79454530036</v>
      </c>
      <c r="S462" s="259">
        <v>141337.09614944947</v>
      </c>
      <c r="U462" s="7" t="s">
        <v>3302</v>
      </c>
    </row>
    <row r="463" spans="1:21" ht="16.5" thickBot="1">
      <c r="A463" s="41" t="s">
        <v>31</v>
      </c>
      <c r="B463" s="42">
        <f t="shared" si="24"/>
        <v>140</v>
      </c>
      <c r="C463" s="42" t="s">
        <v>3</v>
      </c>
      <c r="D463" s="42">
        <f t="shared" si="25"/>
        <v>400</v>
      </c>
      <c r="E463" s="42" t="s">
        <v>3</v>
      </c>
      <c r="F463" s="90">
        <f t="shared" si="26"/>
        <v>2850</v>
      </c>
      <c r="G463" s="42" t="s">
        <v>3</v>
      </c>
      <c r="H463" s="39">
        <v>8</v>
      </c>
      <c r="I463" s="40" t="s">
        <v>42</v>
      </c>
      <c r="J463" s="149">
        <v>140</v>
      </c>
      <c r="K463" s="66">
        <v>400</v>
      </c>
      <c r="L463" s="66">
        <v>2850</v>
      </c>
      <c r="M463" s="164">
        <v>44.814822782994163</v>
      </c>
      <c r="N463" s="78">
        <v>3294.5099999999998</v>
      </c>
      <c r="O463" s="113">
        <v>82598.478476255113</v>
      </c>
      <c r="P463" s="111">
        <v>98452.470488044826</v>
      </c>
      <c r="Q463" s="110">
        <v>45082.818835200087</v>
      </c>
      <c r="R463" s="258">
        <v>127681.2973114552</v>
      </c>
      <c r="S463" s="259">
        <v>143535.28932324491</v>
      </c>
      <c r="U463" s="7" t="s">
        <v>3303</v>
      </c>
    </row>
    <row r="464" spans="1:21" ht="16.5" thickBot="1">
      <c r="A464" s="41" t="s">
        <v>31</v>
      </c>
      <c r="B464" s="42">
        <f t="shared" si="24"/>
        <v>140</v>
      </c>
      <c r="C464" s="42" t="s">
        <v>3</v>
      </c>
      <c r="D464" s="42">
        <f t="shared" si="25"/>
        <v>400</v>
      </c>
      <c r="E464" s="42" t="s">
        <v>3</v>
      </c>
      <c r="F464" s="90">
        <f t="shared" si="26"/>
        <v>2900</v>
      </c>
      <c r="G464" s="42" t="s">
        <v>3</v>
      </c>
      <c r="H464" s="39">
        <v>8</v>
      </c>
      <c r="I464" s="40" t="s">
        <v>42</v>
      </c>
      <c r="J464" s="149">
        <v>140</v>
      </c>
      <c r="K464" s="66">
        <v>400</v>
      </c>
      <c r="L464" s="66">
        <v>2900</v>
      </c>
      <c r="M464" s="164">
        <v>45.575655321219919</v>
      </c>
      <c r="N464" s="78">
        <v>3360.4001999999996</v>
      </c>
      <c r="O464" s="113">
        <v>83884.372762392362</v>
      </c>
      <c r="P464" s="111">
        <v>99994.056559081539</v>
      </c>
      <c r="Q464" s="110">
        <v>45990.760075742597</v>
      </c>
      <c r="R464" s="258">
        <v>129875.13283813496</v>
      </c>
      <c r="S464" s="259">
        <v>145984.81663482415</v>
      </c>
      <c r="U464" s="7" t="s">
        <v>3304</v>
      </c>
    </row>
    <row r="465" spans="1:21" ht="16.5" thickBot="1">
      <c r="A465" s="41" t="s">
        <v>31</v>
      </c>
      <c r="B465" s="42">
        <f t="shared" si="24"/>
        <v>140</v>
      </c>
      <c r="C465" s="42" t="s">
        <v>3</v>
      </c>
      <c r="D465" s="42">
        <f t="shared" si="25"/>
        <v>400</v>
      </c>
      <c r="E465" s="42" t="s">
        <v>3</v>
      </c>
      <c r="F465" s="200">
        <f t="shared" si="26"/>
        <v>2950</v>
      </c>
      <c r="G465" s="42" t="s">
        <v>3</v>
      </c>
      <c r="H465" s="42">
        <v>8</v>
      </c>
      <c r="I465" s="201" t="s">
        <v>42</v>
      </c>
      <c r="J465" s="149">
        <v>140</v>
      </c>
      <c r="K465" s="66">
        <v>400</v>
      </c>
      <c r="L465" s="66">
        <v>2950</v>
      </c>
      <c r="M465" s="164">
        <v>46.319652339445682</v>
      </c>
      <c r="N465" s="78">
        <v>3426.2903999999999</v>
      </c>
      <c r="O465" s="113">
        <v>85170.26582429948</v>
      </c>
      <c r="P465" s="111">
        <v>101535.64263011825</v>
      </c>
      <c r="Q465" s="110">
        <v>46647.367025472573</v>
      </c>
      <c r="R465" s="258">
        <v>131817.63284977205</v>
      </c>
      <c r="S465" s="259">
        <v>148183.00965559081</v>
      </c>
      <c r="U465" s="7" t="s">
        <v>3305</v>
      </c>
    </row>
    <row r="466" spans="1:21" ht="16.5" thickBot="1">
      <c r="A466" s="38" t="s">
        <v>31</v>
      </c>
      <c r="B466" s="39">
        <f t="shared" si="24"/>
        <v>140</v>
      </c>
      <c r="C466" s="39" t="s">
        <v>3</v>
      </c>
      <c r="D466" s="39">
        <f t="shared" si="25"/>
        <v>400</v>
      </c>
      <c r="E466" s="39" t="s">
        <v>3</v>
      </c>
      <c r="F466" s="90">
        <f t="shared" si="26"/>
        <v>3000</v>
      </c>
      <c r="G466" s="39" t="s">
        <v>3</v>
      </c>
      <c r="H466" s="39">
        <v>8</v>
      </c>
      <c r="I466" s="40" t="s">
        <v>42</v>
      </c>
      <c r="J466" s="149">
        <v>140</v>
      </c>
      <c r="K466" s="126">
        <v>400</v>
      </c>
      <c r="L466" s="126">
        <v>3000</v>
      </c>
      <c r="M466" s="171">
        <v>47.080484877671445</v>
      </c>
      <c r="N466" s="127">
        <v>3492.1805999999997</v>
      </c>
      <c r="O466" s="128">
        <v>87767.746089893262</v>
      </c>
      <c r="P466" s="135">
        <v>103077.22870115495</v>
      </c>
      <c r="Q466" s="136">
        <v>47555.308266015076</v>
      </c>
      <c r="R466" s="260">
        <v>135323.05435590833</v>
      </c>
      <c r="S466" s="261">
        <v>150632.53696717002</v>
      </c>
      <c r="U466" s="7" t="s">
        <v>3306</v>
      </c>
    </row>
    <row r="467" spans="1:21">
      <c r="M467" s="84"/>
      <c r="P467" s="84"/>
      <c r="R467" s="84"/>
      <c r="S467" s="84"/>
    </row>
    <row r="468" spans="1:21">
      <c r="M468" s="84"/>
      <c r="P468" s="84"/>
      <c r="R468" s="84"/>
      <c r="S468" s="84"/>
    </row>
    <row r="469" spans="1:21">
      <c r="M469" s="84"/>
      <c r="P469" s="84"/>
      <c r="R469" s="84"/>
      <c r="S469" s="84"/>
    </row>
    <row r="470" spans="1:21">
      <c r="M470" s="84"/>
      <c r="P470" s="84"/>
      <c r="R470" s="84"/>
      <c r="S470" s="84"/>
    </row>
    <row r="471" spans="1:21">
      <c r="M471" s="84"/>
      <c r="P471" s="84"/>
      <c r="R471" s="84"/>
      <c r="S471" s="84"/>
    </row>
    <row r="472" spans="1:21">
      <c r="M472" s="84"/>
      <c r="P472" s="84"/>
      <c r="R472" s="84"/>
      <c r="S472" s="84"/>
    </row>
    <row r="473" spans="1:21">
      <c r="M473" s="84"/>
      <c r="P473" s="84"/>
      <c r="R473" s="84"/>
      <c r="S473" s="84"/>
    </row>
    <row r="474" spans="1:21">
      <c r="M474" s="84"/>
      <c r="P474" s="84"/>
      <c r="R474" s="84"/>
      <c r="S474" s="84"/>
    </row>
    <row r="475" spans="1:21">
      <c r="M475" s="84"/>
      <c r="P475" s="84"/>
      <c r="R475" s="84"/>
      <c r="S475" s="84"/>
    </row>
    <row r="476" spans="1:21">
      <c r="M476" s="84"/>
      <c r="P476" s="84"/>
      <c r="R476" s="84"/>
      <c r="S476" s="84"/>
    </row>
    <row r="477" spans="1:21">
      <c r="M477" s="84"/>
      <c r="P477" s="84"/>
      <c r="R477" s="84"/>
      <c r="S477" s="84"/>
    </row>
    <row r="478" spans="1:21">
      <c r="M478" s="84"/>
      <c r="P478" s="84"/>
      <c r="R478" s="84"/>
      <c r="S478" s="84"/>
    </row>
    <row r="479" spans="1:21">
      <c r="M479" s="84"/>
      <c r="P479" s="84"/>
      <c r="R479" s="84"/>
      <c r="S479" s="84"/>
    </row>
    <row r="480" spans="1:21">
      <c r="M480" s="84"/>
      <c r="P480" s="84"/>
      <c r="R480" s="84"/>
      <c r="S480" s="84"/>
    </row>
    <row r="481" spans="13:19">
      <c r="M481" s="84"/>
      <c r="P481" s="84"/>
      <c r="R481" s="84"/>
      <c r="S481" s="84"/>
    </row>
    <row r="482" spans="13:19">
      <c r="M482" s="84"/>
      <c r="P482" s="84"/>
      <c r="R482" s="84"/>
      <c r="S482" s="84"/>
    </row>
    <row r="483" spans="13:19">
      <c r="M483" s="84"/>
      <c r="P483" s="84"/>
      <c r="R483" s="84"/>
      <c r="S483" s="84"/>
    </row>
    <row r="484" spans="13:19">
      <c r="M484" s="84"/>
      <c r="P484" s="84"/>
      <c r="R484" s="84"/>
      <c r="S484" s="84"/>
    </row>
    <row r="485" spans="13:19">
      <c r="M485" s="84"/>
      <c r="P485" s="84"/>
      <c r="R485" s="84"/>
      <c r="S485" s="84"/>
    </row>
    <row r="486" spans="13:19">
      <c r="M486" s="84"/>
      <c r="P486" s="84"/>
      <c r="R486" s="84"/>
      <c r="S486" s="84"/>
    </row>
    <row r="487" spans="13:19">
      <c r="M487" s="84"/>
      <c r="P487" s="84"/>
      <c r="R487" s="84"/>
      <c r="S487" s="84"/>
    </row>
    <row r="488" spans="13:19">
      <c r="M488" s="84"/>
      <c r="P488" s="84"/>
      <c r="R488" s="84"/>
      <c r="S488" s="84"/>
    </row>
    <row r="489" spans="13:19">
      <c r="M489" s="84"/>
      <c r="P489" s="84"/>
      <c r="R489" s="84"/>
      <c r="S489" s="84"/>
    </row>
    <row r="490" spans="13:19">
      <c r="M490" s="84"/>
      <c r="P490" s="84"/>
      <c r="R490" s="84"/>
      <c r="S490" s="84"/>
    </row>
    <row r="491" spans="13:19">
      <c r="M491" s="84"/>
      <c r="P491" s="84"/>
      <c r="R491" s="84"/>
      <c r="S491" s="84"/>
    </row>
    <row r="492" spans="13:19">
      <c r="M492" s="84"/>
      <c r="P492" s="84"/>
      <c r="R492" s="84"/>
      <c r="S492" s="84"/>
    </row>
    <row r="493" spans="13:19">
      <c r="M493" s="84"/>
      <c r="P493" s="84"/>
      <c r="R493" s="84"/>
      <c r="S493" s="84"/>
    </row>
    <row r="494" spans="13:19">
      <c r="M494" s="84"/>
      <c r="P494" s="84"/>
      <c r="R494" s="84"/>
      <c r="S494" s="84"/>
    </row>
    <row r="495" spans="13:19">
      <c r="M495" s="84"/>
      <c r="P495" s="84"/>
      <c r="R495" s="84"/>
      <c r="S495" s="84"/>
    </row>
    <row r="496" spans="13:19">
      <c r="M496" s="84"/>
      <c r="P496" s="84"/>
      <c r="R496" s="84"/>
      <c r="S496" s="84"/>
    </row>
    <row r="497" spans="13:19">
      <c r="M497" s="84"/>
      <c r="P497" s="84"/>
      <c r="R497" s="84"/>
      <c r="S497" s="84"/>
    </row>
    <row r="498" spans="13:19">
      <c r="M498" s="84"/>
      <c r="P498" s="84"/>
      <c r="R498" s="84"/>
      <c r="S498" s="84"/>
    </row>
    <row r="499" spans="13:19">
      <c r="M499" s="84"/>
      <c r="P499" s="84"/>
      <c r="R499" s="84"/>
      <c r="S499" s="84"/>
    </row>
    <row r="500" spans="13:19">
      <c r="M500" s="84"/>
      <c r="P500" s="84"/>
      <c r="R500" s="84"/>
      <c r="S500" s="84"/>
    </row>
    <row r="501" spans="13:19">
      <c r="M501" s="84"/>
      <c r="P501" s="84"/>
      <c r="R501" s="84"/>
      <c r="S501" s="84"/>
    </row>
    <row r="502" spans="13:19">
      <c r="M502" s="84"/>
      <c r="P502" s="84"/>
      <c r="R502" s="84"/>
      <c r="S502" s="84"/>
    </row>
    <row r="503" spans="13:19">
      <c r="M503" s="84"/>
      <c r="P503" s="84"/>
      <c r="R503" s="84"/>
      <c r="S503" s="84"/>
    </row>
    <row r="504" spans="13:19">
      <c r="M504" s="84"/>
      <c r="P504" s="84"/>
      <c r="R504" s="84"/>
      <c r="S504" s="84"/>
    </row>
    <row r="505" spans="13:19">
      <c r="M505" s="84"/>
      <c r="P505" s="84"/>
      <c r="R505" s="84"/>
      <c r="S505" s="84"/>
    </row>
    <row r="506" spans="13:19">
      <c r="M506" s="84"/>
      <c r="P506" s="84"/>
      <c r="R506" s="84"/>
      <c r="S506" s="84"/>
    </row>
    <row r="507" spans="13:19">
      <c r="M507" s="84"/>
      <c r="P507" s="84"/>
      <c r="R507" s="84"/>
      <c r="S507" s="84"/>
    </row>
    <row r="508" spans="13:19">
      <c r="M508" s="84"/>
      <c r="P508" s="84"/>
      <c r="R508" s="84"/>
      <c r="S508" s="84"/>
    </row>
    <row r="509" spans="13:19">
      <c r="M509" s="84"/>
      <c r="P509" s="84"/>
      <c r="R509" s="84"/>
      <c r="S509" s="84"/>
    </row>
    <row r="510" spans="13:19">
      <c r="M510" s="84"/>
      <c r="P510" s="84"/>
      <c r="R510" s="84"/>
      <c r="S510" s="84"/>
    </row>
    <row r="511" spans="13:19">
      <c r="M511" s="84"/>
      <c r="P511" s="84"/>
      <c r="R511" s="84"/>
      <c r="S511" s="84"/>
    </row>
    <row r="512" spans="13:19">
      <c r="M512" s="84"/>
      <c r="P512" s="84"/>
      <c r="R512" s="84"/>
      <c r="S512" s="84"/>
    </row>
    <row r="513" spans="13:19">
      <c r="M513" s="84"/>
      <c r="P513" s="84"/>
      <c r="R513" s="84"/>
      <c r="S513" s="84"/>
    </row>
    <row r="514" spans="13:19">
      <c r="M514" s="84"/>
      <c r="P514" s="84"/>
      <c r="R514" s="84"/>
      <c r="S514" s="84"/>
    </row>
    <row r="515" spans="13:19">
      <c r="M515" s="84"/>
      <c r="P515" s="84"/>
      <c r="R515" s="84"/>
      <c r="S515" s="84"/>
    </row>
    <row r="516" spans="13:19">
      <c r="M516" s="84"/>
      <c r="P516" s="84"/>
      <c r="R516" s="84"/>
      <c r="S516" s="84"/>
    </row>
    <row r="517" spans="13:19">
      <c r="M517" s="84"/>
      <c r="P517" s="84"/>
      <c r="R517" s="84"/>
      <c r="S517" s="84"/>
    </row>
    <row r="518" spans="13:19">
      <c r="M518" s="84"/>
      <c r="P518" s="84"/>
      <c r="R518" s="84"/>
      <c r="S518" s="84"/>
    </row>
    <row r="519" spans="13:19">
      <c r="M519" s="84"/>
      <c r="P519" s="84"/>
      <c r="R519" s="84"/>
      <c r="S519" s="84"/>
    </row>
    <row r="520" spans="13:19">
      <c r="M520" s="84"/>
      <c r="P520" s="84"/>
      <c r="R520" s="84"/>
      <c r="S520" s="84"/>
    </row>
    <row r="521" spans="13:19">
      <c r="M521" s="84"/>
      <c r="P521" s="84"/>
      <c r="R521" s="84"/>
      <c r="S521" s="84"/>
    </row>
    <row r="522" spans="13:19">
      <c r="M522" s="84"/>
      <c r="P522" s="84"/>
      <c r="R522" s="84"/>
      <c r="S522" s="84"/>
    </row>
    <row r="523" spans="13:19">
      <c r="M523" s="84"/>
      <c r="P523" s="84"/>
      <c r="R523" s="84"/>
      <c r="S523" s="84"/>
    </row>
    <row r="524" spans="13:19">
      <c r="M524" s="84"/>
      <c r="P524" s="84"/>
      <c r="R524" s="84"/>
      <c r="S524" s="84"/>
    </row>
    <row r="525" spans="13:19">
      <c r="M525" s="84"/>
      <c r="P525" s="84"/>
      <c r="R525" s="84"/>
      <c r="S525" s="84"/>
    </row>
    <row r="526" spans="13:19">
      <c r="M526" s="84"/>
      <c r="P526" s="84"/>
      <c r="R526" s="84"/>
      <c r="S526" s="84"/>
    </row>
    <row r="527" spans="13:19">
      <c r="M527" s="84"/>
      <c r="P527" s="84"/>
      <c r="R527" s="84"/>
      <c r="S527" s="84"/>
    </row>
    <row r="528" spans="13:19">
      <c r="M528" s="84"/>
      <c r="P528" s="84"/>
      <c r="R528" s="84"/>
      <c r="S528" s="84"/>
    </row>
    <row r="529" spans="13:19">
      <c r="M529" s="84"/>
      <c r="P529" s="84"/>
      <c r="R529" s="84"/>
      <c r="S529" s="84"/>
    </row>
    <row r="530" spans="13:19">
      <c r="M530" s="84"/>
      <c r="P530" s="84"/>
      <c r="R530" s="84"/>
      <c r="S530" s="84"/>
    </row>
    <row r="531" spans="13:19">
      <c r="M531" s="84"/>
      <c r="P531" s="84"/>
      <c r="R531" s="84"/>
      <c r="S531" s="84"/>
    </row>
    <row r="532" spans="13:19">
      <c r="M532" s="84"/>
      <c r="P532" s="84"/>
      <c r="R532" s="84"/>
      <c r="S532" s="84"/>
    </row>
    <row r="533" spans="13:19">
      <c r="M533" s="84"/>
      <c r="P533" s="84"/>
      <c r="R533" s="84"/>
      <c r="S533" s="84"/>
    </row>
    <row r="534" spans="13:19">
      <c r="M534" s="84"/>
      <c r="P534" s="84"/>
      <c r="R534" s="84"/>
      <c r="S534" s="84"/>
    </row>
    <row r="535" spans="13:19">
      <c r="M535" s="84"/>
      <c r="P535" s="84"/>
      <c r="R535" s="84"/>
      <c r="S535" s="84"/>
    </row>
    <row r="536" spans="13:19">
      <c r="M536" s="84"/>
      <c r="P536" s="84"/>
      <c r="R536" s="84"/>
      <c r="S536" s="84"/>
    </row>
    <row r="537" spans="13:19">
      <c r="M537" s="84"/>
      <c r="P537" s="84"/>
      <c r="R537" s="84"/>
      <c r="S537" s="84"/>
    </row>
    <row r="538" spans="13:19">
      <c r="M538" s="84"/>
      <c r="P538" s="84"/>
      <c r="R538" s="84"/>
      <c r="S538" s="84"/>
    </row>
    <row r="539" spans="13:19">
      <c r="M539" s="84"/>
      <c r="P539" s="84"/>
      <c r="R539" s="84"/>
      <c r="S539" s="84"/>
    </row>
    <row r="540" spans="13:19">
      <c r="M540" s="84"/>
      <c r="P540" s="84"/>
      <c r="R540" s="84"/>
      <c r="S540" s="84"/>
    </row>
    <row r="541" spans="13:19">
      <c r="M541" s="84"/>
      <c r="P541" s="84"/>
      <c r="R541" s="84"/>
      <c r="S541" s="84"/>
    </row>
    <row r="542" spans="13:19">
      <c r="M542" s="84"/>
      <c r="P542" s="84"/>
      <c r="R542" s="84"/>
      <c r="S542" s="84"/>
    </row>
    <row r="543" spans="13:19">
      <c r="M543" s="84"/>
      <c r="P543" s="84"/>
      <c r="R543" s="84"/>
      <c r="S543" s="84"/>
    </row>
    <row r="544" spans="13:19">
      <c r="M544" s="84"/>
      <c r="P544" s="84"/>
      <c r="R544" s="84"/>
      <c r="S544" s="84"/>
    </row>
    <row r="545" spans="13:19">
      <c r="M545" s="84"/>
      <c r="P545" s="84"/>
      <c r="R545" s="84"/>
      <c r="S545" s="84"/>
    </row>
    <row r="546" spans="13:19">
      <c r="M546" s="84"/>
      <c r="P546" s="84"/>
      <c r="R546" s="84"/>
      <c r="S546" s="84"/>
    </row>
    <row r="547" spans="13:19">
      <c r="M547" s="84"/>
      <c r="P547" s="84"/>
      <c r="R547" s="84"/>
      <c r="S547" s="84"/>
    </row>
    <row r="548" spans="13:19">
      <c r="M548" s="84"/>
      <c r="P548" s="84"/>
      <c r="R548" s="84"/>
      <c r="S548" s="84"/>
    </row>
    <row r="549" spans="13:19">
      <c r="M549" s="84"/>
      <c r="P549" s="84"/>
      <c r="R549" s="84"/>
      <c r="S549" s="84"/>
    </row>
    <row r="550" spans="13:19">
      <c r="M550" s="84"/>
      <c r="P550" s="84"/>
      <c r="R550" s="84"/>
      <c r="S550" s="84"/>
    </row>
    <row r="551" spans="13:19">
      <c r="M551" s="84"/>
      <c r="P551" s="84"/>
      <c r="R551" s="84"/>
      <c r="S551" s="84"/>
    </row>
    <row r="552" spans="13:19">
      <c r="M552" s="84"/>
      <c r="P552" s="84"/>
      <c r="R552" s="84"/>
      <c r="S552" s="84"/>
    </row>
    <row r="553" spans="13:19">
      <c r="M553" s="84"/>
      <c r="P553" s="84"/>
      <c r="R553" s="84"/>
      <c r="S553" s="84"/>
    </row>
    <row r="554" spans="13:19">
      <c r="M554" s="84"/>
      <c r="P554" s="84"/>
      <c r="R554" s="84"/>
      <c r="S554" s="84"/>
    </row>
    <row r="555" spans="13:19">
      <c r="M555" s="84"/>
      <c r="P555" s="84"/>
      <c r="R555" s="84"/>
      <c r="S555" s="84"/>
    </row>
    <row r="556" spans="13:19">
      <c r="M556" s="84"/>
      <c r="P556" s="84"/>
      <c r="R556" s="84"/>
      <c r="S556" s="84"/>
    </row>
    <row r="557" spans="13:19">
      <c r="M557" s="84"/>
      <c r="P557" s="84"/>
      <c r="R557" s="84"/>
      <c r="S557" s="84"/>
    </row>
    <row r="558" spans="13:19">
      <c r="M558" s="84"/>
      <c r="P558" s="84"/>
      <c r="R558" s="84"/>
      <c r="S558" s="84"/>
    </row>
    <row r="559" spans="13:19">
      <c r="M559" s="84"/>
      <c r="P559" s="84"/>
      <c r="R559" s="84"/>
      <c r="S559" s="84"/>
    </row>
    <row r="560" spans="13:19">
      <c r="M560" s="84"/>
      <c r="P560" s="84"/>
      <c r="R560" s="84"/>
      <c r="S560" s="84"/>
    </row>
    <row r="561" spans="13:19">
      <c r="M561" s="84"/>
      <c r="P561" s="84"/>
      <c r="R561" s="84"/>
      <c r="S561" s="84"/>
    </row>
    <row r="562" spans="13:19">
      <c r="M562" s="84"/>
      <c r="P562" s="84"/>
      <c r="R562" s="84"/>
      <c r="S562" s="84"/>
    </row>
    <row r="563" spans="13:19">
      <c r="M563" s="84"/>
      <c r="P563" s="84"/>
      <c r="R563" s="84"/>
      <c r="S563" s="84"/>
    </row>
    <row r="564" spans="13:19">
      <c r="M564" s="84"/>
      <c r="P564" s="84"/>
      <c r="R564" s="84"/>
      <c r="S564" s="84"/>
    </row>
    <row r="565" spans="13:19">
      <c r="M565" s="84"/>
      <c r="P565" s="84"/>
      <c r="R565" s="84"/>
      <c r="S565" s="84"/>
    </row>
    <row r="566" spans="13:19">
      <c r="M566" s="84"/>
      <c r="P566" s="84"/>
      <c r="R566" s="84"/>
      <c r="S566" s="84"/>
    </row>
    <row r="567" spans="13:19">
      <c r="M567" s="84"/>
      <c r="P567" s="84"/>
      <c r="R567" s="84"/>
      <c r="S567" s="84"/>
    </row>
    <row r="568" spans="13:19">
      <c r="M568" s="84"/>
      <c r="P568" s="84"/>
      <c r="R568" s="84"/>
      <c r="S568" s="84"/>
    </row>
  </sheetData>
  <mergeCells count="28">
    <mergeCell ref="A416:S416"/>
    <mergeCell ref="A417:S417"/>
    <mergeCell ref="A212:S212"/>
    <mergeCell ref="A213:S213"/>
    <mergeCell ref="A263:S263"/>
    <mergeCell ref="A264:S264"/>
    <mergeCell ref="A314:S314"/>
    <mergeCell ref="A315:S315"/>
    <mergeCell ref="A110:S110"/>
    <mergeCell ref="A111:S111"/>
    <mergeCell ref="A161:S161"/>
    <mergeCell ref="A365:S365"/>
    <mergeCell ref="A366:S366"/>
    <mergeCell ref="A162:S162"/>
    <mergeCell ref="A59:S59"/>
    <mergeCell ref="A60:S60"/>
    <mergeCell ref="O4:O5"/>
    <mergeCell ref="P4:P5"/>
    <mergeCell ref="Q4:Q5"/>
    <mergeCell ref="A9:S9"/>
    <mergeCell ref="O6:S6"/>
    <mergeCell ref="A7:S7"/>
    <mergeCell ref="A8:S8"/>
    <mergeCell ref="R4:R5"/>
    <mergeCell ref="S4:S5"/>
    <mergeCell ref="A4:I6"/>
    <mergeCell ref="J4:M5"/>
    <mergeCell ref="N4:N6"/>
  </mergeCells>
  <hyperlinks>
    <hyperlink ref="A1:I1" location="Главная!A1" display="Вернуться на главную страницу" xr:uid="{00000000-0004-0000-1600-000000000000}"/>
    <hyperlink ref="A2" location="'Калькулятор теплоотдач ВК'!R1C1" display="Вернуться Калькулятор теплоотдач ВК" xr:uid="{00000000-0004-0000-16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5">
    <tabColor rgb="FFFFC000"/>
  </sheetPr>
  <dimension ref="A1:U568"/>
  <sheetViews>
    <sheetView zoomScale="70" zoomScaleNormal="70" workbookViewId="0">
      <pane ySplit="6" topLeftCell="A7" activePane="bottomLeft" state="frozen"/>
      <selection pane="bottomLeft" activeCell="AA35" sqref="AA35"/>
    </sheetView>
  </sheetViews>
  <sheetFormatPr defaultRowHeight="15.75"/>
  <cols>
    <col min="1" max="1" width="3.710937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4.5703125" style="7" customWidth="1"/>
    <col min="10" max="10" width="11.28515625" style="7" customWidth="1"/>
    <col min="11" max="12" width="11.28515625" style="87" customWidth="1"/>
    <col min="13" max="13" width="15.5703125" style="1" customWidth="1"/>
    <col min="14" max="14" width="19.140625" style="7" customWidth="1"/>
    <col min="15" max="15" width="27.7109375" style="112" customWidth="1"/>
    <col min="16" max="16" width="27.7109375" style="106" customWidth="1"/>
    <col min="17" max="17" width="26.28515625" style="107" customWidth="1"/>
    <col min="18" max="18" width="27.7109375" style="112" customWidth="1"/>
    <col min="19" max="19" width="27.7109375" style="107" customWidth="1"/>
    <col min="21" max="21" width="22.42578125" customWidth="1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0"/>
      <c r="O1" s="107"/>
      <c r="P1" s="107"/>
      <c r="R1" s="107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s="65" customFormat="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142</v>
      </c>
      <c r="P4" s="3008" t="s">
        <v>138</v>
      </c>
      <c r="Q4" s="3045" t="s">
        <v>143</v>
      </c>
      <c r="R4" s="3020" t="s">
        <v>420</v>
      </c>
      <c r="S4" s="2981" t="s">
        <v>421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s="65" customFormat="1" ht="22.5" customHeight="1" thickBot="1">
      <c r="A7" s="2968" t="s">
        <v>472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s="65" customFormat="1" ht="22.5" customHeight="1" thickBot="1">
      <c r="A8" s="2971" t="s">
        <v>62</v>
      </c>
      <c r="B8" s="2972"/>
      <c r="C8" s="2972"/>
      <c r="D8" s="2972"/>
      <c r="E8" s="2972"/>
      <c r="F8" s="2972"/>
      <c r="G8" s="2972"/>
      <c r="H8" s="2972"/>
      <c r="I8" s="2972"/>
      <c r="J8" s="2972"/>
      <c r="K8" s="2972"/>
      <c r="L8" s="2972"/>
      <c r="M8" s="2972"/>
      <c r="N8" s="2972"/>
      <c r="O8" s="2972"/>
      <c r="P8" s="2972"/>
      <c r="Q8" s="2972"/>
      <c r="R8" s="2972"/>
      <c r="S8" s="2973"/>
    </row>
    <row r="9" spans="1:21" s="65" customFormat="1" ht="16.5" customHeight="1" thickBot="1">
      <c r="A9" s="2974" t="s">
        <v>117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5"/>
      <c r="R9" s="3022"/>
      <c r="S9" s="3023"/>
    </row>
    <row r="10" spans="1:21" s="65" customFormat="1" ht="16.5" customHeight="1" thickBot="1">
      <c r="A10" s="38" t="s">
        <v>31</v>
      </c>
      <c r="B10" s="39">
        <f>J10</f>
        <v>150</v>
      </c>
      <c r="C10" s="39" t="s">
        <v>3</v>
      </c>
      <c r="D10" s="39">
        <f>K10</f>
        <v>160</v>
      </c>
      <c r="E10" s="39" t="s">
        <v>3</v>
      </c>
      <c r="F10" s="101">
        <f>L10</f>
        <v>600</v>
      </c>
      <c r="G10" s="39" t="s">
        <v>3</v>
      </c>
      <c r="H10" s="39">
        <v>4</v>
      </c>
      <c r="I10" s="40" t="s">
        <v>41</v>
      </c>
      <c r="J10" s="146">
        <v>150</v>
      </c>
      <c r="K10" s="138">
        <v>160</v>
      </c>
      <c r="L10" s="138">
        <v>600</v>
      </c>
      <c r="M10" s="163">
        <v>6.1993394580763157</v>
      </c>
      <c r="N10" s="123">
        <v>168.86699999999999</v>
      </c>
      <c r="O10" s="148">
        <v>13834.124329195773</v>
      </c>
      <c r="P10" s="148">
        <v>16330.960177455854</v>
      </c>
      <c r="Q10" s="253">
        <v>6395.7962266903232</v>
      </c>
      <c r="R10" s="256">
        <v>20229.920555886096</v>
      </c>
      <c r="S10" s="257">
        <v>22726.756404146177</v>
      </c>
      <c r="U10" s="7" t="s">
        <v>3307</v>
      </c>
    </row>
    <row r="11" spans="1:21" s="65" customFormat="1" ht="16.5" customHeight="1" thickBot="1">
      <c r="A11" s="41" t="s">
        <v>31</v>
      </c>
      <c r="B11" s="42">
        <f t="shared" ref="B11:B58" si="0">J11</f>
        <v>150</v>
      </c>
      <c r="C11" s="42" t="s">
        <v>3</v>
      </c>
      <c r="D11" s="42">
        <f t="shared" ref="D11:D58" si="1">K11</f>
        <v>160</v>
      </c>
      <c r="E11" s="42" t="s">
        <v>3</v>
      </c>
      <c r="F11" s="101">
        <f t="shared" ref="F11:F58" si="2">L11</f>
        <v>650</v>
      </c>
      <c r="G11" s="42" t="s">
        <v>3</v>
      </c>
      <c r="H11" s="39">
        <v>4</v>
      </c>
      <c r="I11" s="40" t="s">
        <v>41</v>
      </c>
      <c r="J11" s="149">
        <v>150</v>
      </c>
      <c r="K11" s="104">
        <v>160</v>
      </c>
      <c r="L11" s="104">
        <v>650</v>
      </c>
      <c r="M11" s="164">
        <v>6.657194001099473</v>
      </c>
      <c r="N11" s="78">
        <v>202.64039999999997</v>
      </c>
      <c r="O11" s="111">
        <v>14522.542898619929</v>
      </c>
      <c r="P11" s="111">
        <v>17201.872741643532</v>
      </c>
      <c r="Q11" s="254">
        <v>6733.286477412059</v>
      </c>
      <c r="R11" s="258">
        <v>21255.829376031987</v>
      </c>
      <c r="S11" s="259">
        <v>23935.159219055589</v>
      </c>
      <c r="U11" s="7" t="s">
        <v>3308</v>
      </c>
    </row>
    <row r="12" spans="1:21" s="65" customFormat="1" ht="16.5" customHeight="1" thickBot="1">
      <c r="A12" s="41" t="s">
        <v>31</v>
      </c>
      <c r="B12" s="42">
        <f t="shared" si="0"/>
        <v>150</v>
      </c>
      <c r="C12" s="42" t="s">
        <v>3</v>
      </c>
      <c r="D12" s="42">
        <f t="shared" si="1"/>
        <v>160</v>
      </c>
      <c r="E12" s="42" t="s">
        <v>3</v>
      </c>
      <c r="F12" s="101">
        <f t="shared" si="2"/>
        <v>700</v>
      </c>
      <c r="G12" s="42" t="s">
        <v>3</v>
      </c>
      <c r="H12" s="39">
        <v>4</v>
      </c>
      <c r="I12" s="40" t="s">
        <v>41</v>
      </c>
      <c r="J12" s="149">
        <v>150</v>
      </c>
      <c r="K12" s="104">
        <v>160</v>
      </c>
      <c r="L12" s="104">
        <v>700</v>
      </c>
      <c r="M12" s="164">
        <v>7.1320885441226309</v>
      </c>
      <c r="N12" s="78">
        <v>236.41380000000001</v>
      </c>
      <c r="O12" s="111">
        <v>15210.961621072853</v>
      </c>
      <c r="P12" s="111">
        <v>18072.785152802451</v>
      </c>
      <c r="Q12" s="254">
        <v>7322.1107128887988</v>
      </c>
      <c r="R12" s="258">
        <v>22533.072333961652</v>
      </c>
      <c r="S12" s="259">
        <v>25394.895865691251</v>
      </c>
      <c r="U12" s="7" t="s">
        <v>3309</v>
      </c>
    </row>
    <row r="13" spans="1:21" s="65" customFormat="1" ht="16.5" customHeight="1" thickBot="1">
      <c r="A13" s="41" t="s">
        <v>31</v>
      </c>
      <c r="B13" s="42">
        <f t="shared" si="0"/>
        <v>150</v>
      </c>
      <c r="C13" s="42" t="s">
        <v>3</v>
      </c>
      <c r="D13" s="42">
        <f t="shared" si="1"/>
        <v>160</v>
      </c>
      <c r="E13" s="42" t="s">
        <v>3</v>
      </c>
      <c r="F13" s="101">
        <f t="shared" si="2"/>
        <v>750</v>
      </c>
      <c r="G13" s="42" t="s">
        <v>3</v>
      </c>
      <c r="H13" s="39">
        <v>4</v>
      </c>
      <c r="I13" s="40" t="s">
        <v>41</v>
      </c>
      <c r="J13" s="149">
        <v>150</v>
      </c>
      <c r="K13" s="104">
        <v>160</v>
      </c>
      <c r="L13" s="104">
        <v>750</v>
      </c>
      <c r="M13" s="164">
        <v>7.5899430871457891</v>
      </c>
      <c r="N13" s="78">
        <v>270.18720000000002</v>
      </c>
      <c r="O13" s="111">
        <v>15899.380190497011</v>
      </c>
      <c r="P13" s="111">
        <v>18943.697563961367</v>
      </c>
      <c r="Q13" s="254">
        <v>7659.6009636105346</v>
      </c>
      <c r="R13" s="258">
        <v>23558.981154107547</v>
      </c>
      <c r="S13" s="259">
        <v>26603.2985275719</v>
      </c>
      <c r="U13" s="7" t="s">
        <v>3310</v>
      </c>
    </row>
    <row r="14" spans="1:21" s="65" customFormat="1" ht="16.5" customHeight="1" thickBot="1">
      <c r="A14" s="41" t="s">
        <v>31</v>
      </c>
      <c r="B14" s="42">
        <f t="shared" si="0"/>
        <v>150</v>
      </c>
      <c r="C14" s="42" t="s">
        <v>3</v>
      </c>
      <c r="D14" s="42">
        <f t="shared" si="1"/>
        <v>160</v>
      </c>
      <c r="E14" s="42" t="s">
        <v>3</v>
      </c>
      <c r="F14" s="101">
        <f t="shared" si="2"/>
        <v>800</v>
      </c>
      <c r="G14" s="42" t="s">
        <v>3</v>
      </c>
      <c r="H14" s="39">
        <v>4</v>
      </c>
      <c r="I14" s="40" t="s">
        <v>41</v>
      </c>
      <c r="J14" s="149">
        <v>150</v>
      </c>
      <c r="K14" s="104">
        <v>160</v>
      </c>
      <c r="L14" s="104">
        <v>800</v>
      </c>
      <c r="M14" s="164">
        <v>8.0477976301689473</v>
      </c>
      <c r="N14" s="78">
        <v>303.9606</v>
      </c>
      <c r="O14" s="111">
        <v>16587.798912949936</v>
      </c>
      <c r="P14" s="111">
        <v>19814.610128149048</v>
      </c>
      <c r="Q14" s="254">
        <v>7997.0912143322694</v>
      </c>
      <c r="R14" s="258">
        <v>24584.890127282204</v>
      </c>
      <c r="S14" s="259">
        <v>27811.701342481319</v>
      </c>
      <c r="U14" s="7" t="s">
        <v>3311</v>
      </c>
    </row>
    <row r="15" spans="1:21" s="65" customFormat="1" ht="16.5" customHeight="1" thickBot="1">
      <c r="A15" s="41" t="s">
        <v>31</v>
      </c>
      <c r="B15" s="42">
        <f t="shared" si="0"/>
        <v>150</v>
      </c>
      <c r="C15" s="42" t="s">
        <v>3</v>
      </c>
      <c r="D15" s="42">
        <f t="shared" si="1"/>
        <v>160</v>
      </c>
      <c r="E15" s="42" t="s">
        <v>3</v>
      </c>
      <c r="F15" s="101">
        <f t="shared" si="2"/>
        <v>850</v>
      </c>
      <c r="G15" s="42" t="s">
        <v>3</v>
      </c>
      <c r="H15" s="39">
        <v>4</v>
      </c>
      <c r="I15" s="40" t="s">
        <v>41</v>
      </c>
      <c r="J15" s="149">
        <v>150</v>
      </c>
      <c r="K15" s="104">
        <v>160</v>
      </c>
      <c r="L15" s="104">
        <v>850</v>
      </c>
      <c r="M15" s="164">
        <v>8.5226921731921053</v>
      </c>
      <c r="N15" s="78">
        <v>337.73399999999998</v>
      </c>
      <c r="O15" s="111">
        <v>17276.217635402856</v>
      </c>
      <c r="P15" s="111">
        <v>20685.522539307964</v>
      </c>
      <c r="Q15" s="254">
        <v>8585.9156028377747</v>
      </c>
      <c r="R15" s="258">
        <v>25862.133238240633</v>
      </c>
      <c r="S15" s="259">
        <v>29271.438142145736</v>
      </c>
      <c r="U15" s="7" t="s">
        <v>3312</v>
      </c>
    </row>
    <row r="16" spans="1:21" s="65" customFormat="1" ht="16.5" customHeight="1" thickBot="1">
      <c r="A16" s="41" t="s">
        <v>31</v>
      </c>
      <c r="B16" s="42">
        <f t="shared" si="0"/>
        <v>150</v>
      </c>
      <c r="C16" s="42" t="s">
        <v>3</v>
      </c>
      <c r="D16" s="42">
        <f t="shared" si="1"/>
        <v>160</v>
      </c>
      <c r="E16" s="42" t="s">
        <v>3</v>
      </c>
      <c r="F16" s="101">
        <f t="shared" si="2"/>
        <v>900</v>
      </c>
      <c r="G16" s="42" t="s">
        <v>3</v>
      </c>
      <c r="H16" s="39">
        <v>4</v>
      </c>
      <c r="I16" s="40" t="s">
        <v>41</v>
      </c>
      <c r="J16" s="149">
        <v>150</v>
      </c>
      <c r="K16" s="104">
        <v>160</v>
      </c>
      <c r="L16" s="104">
        <v>900</v>
      </c>
      <c r="M16" s="164">
        <v>8.9805467162152635</v>
      </c>
      <c r="N16" s="78">
        <v>371.50739999999996</v>
      </c>
      <c r="O16" s="111">
        <v>17964.636204827017</v>
      </c>
      <c r="P16" s="111">
        <v>21556.435103495645</v>
      </c>
      <c r="Q16" s="254">
        <v>8923.4057005307459</v>
      </c>
      <c r="R16" s="258">
        <v>26888.041905357764</v>
      </c>
      <c r="S16" s="259">
        <v>30479.840804026389</v>
      </c>
      <c r="U16" s="7" t="s">
        <v>3313</v>
      </c>
    </row>
    <row r="17" spans="1:21" s="65" customFormat="1" ht="16.5" customHeight="1" thickBot="1">
      <c r="A17" s="41" t="s">
        <v>31</v>
      </c>
      <c r="B17" s="42">
        <f t="shared" si="0"/>
        <v>150</v>
      </c>
      <c r="C17" s="42" t="s">
        <v>3</v>
      </c>
      <c r="D17" s="42">
        <f t="shared" si="1"/>
        <v>160</v>
      </c>
      <c r="E17" s="42" t="s">
        <v>3</v>
      </c>
      <c r="F17" s="101">
        <f t="shared" si="2"/>
        <v>950</v>
      </c>
      <c r="G17" s="42" t="s">
        <v>3</v>
      </c>
      <c r="H17" s="39">
        <v>4</v>
      </c>
      <c r="I17" s="40" t="s">
        <v>41</v>
      </c>
      <c r="J17" s="149">
        <v>150</v>
      </c>
      <c r="K17" s="104">
        <v>160</v>
      </c>
      <c r="L17" s="104">
        <v>950</v>
      </c>
      <c r="M17" s="164">
        <v>9.4554412592384196</v>
      </c>
      <c r="N17" s="78">
        <v>405.28079999999994</v>
      </c>
      <c r="O17" s="111">
        <v>18653.054927279936</v>
      </c>
      <c r="P17" s="111">
        <v>22427.347514654561</v>
      </c>
      <c r="Q17" s="254">
        <v>9512.2300890362512</v>
      </c>
      <c r="R17" s="258">
        <v>28165.285016316186</v>
      </c>
      <c r="S17" s="259">
        <v>31939.577603690814</v>
      </c>
      <c r="U17" s="7" t="s">
        <v>3314</v>
      </c>
    </row>
    <row r="18" spans="1:21" s="65" customFormat="1" ht="16.5" customHeight="1" thickBot="1">
      <c r="A18" s="41" t="s">
        <v>31</v>
      </c>
      <c r="B18" s="42">
        <f t="shared" si="0"/>
        <v>150</v>
      </c>
      <c r="C18" s="42" t="s">
        <v>3</v>
      </c>
      <c r="D18" s="42">
        <f t="shared" si="1"/>
        <v>160</v>
      </c>
      <c r="E18" s="42" t="s">
        <v>3</v>
      </c>
      <c r="F18" s="101">
        <f t="shared" si="2"/>
        <v>1000</v>
      </c>
      <c r="G18" s="42" t="s">
        <v>3</v>
      </c>
      <c r="H18" s="39">
        <v>4</v>
      </c>
      <c r="I18" s="40" t="s">
        <v>41</v>
      </c>
      <c r="J18" s="149">
        <v>150</v>
      </c>
      <c r="K18" s="104">
        <v>160</v>
      </c>
      <c r="L18" s="104">
        <v>1000</v>
      </c>
      <c r="M18" s="164">
        <v>9.9132958022615796</v>
      </c>
      <c r="N18" s="78">
        <v>439.05419999999998</v>
      </c>
      <c r="O18" s="111">
        <v>19341.473496704097</v>
      </c>
      <c r="P18" s="111">
        <v>23298.260078842242</v>
      </c>
      <c r="Q18" s="254">
        <v>9849.7203397579869</v>
      </c>
      <c r="R18" s="258">
        <v>29191.193836462084</v>
      </c>
      <c r="S18" s="259">
        <v>33147.980418600229</v>
      </c>
      <c r="U18" s="7" t="s">
        <v>3315</v>
      </c>
    </row>
    <row r="19" spans="1:21" s="65" customFormat="1" ht="16.5" customHeight="1" thickBot="1">
      <c r="A19" s="41" t="s">
        <v>31</v>
      </c>
      <c r="B19" s="42">
        <f t="shared" si="0"/>
        <v>150</v>
      </c>
      <c r="C19" s="42" t="s">
        <v>3</v>
      </c>
      <c r="D19" s="42">
        <f t="shared" si="1"/>
        <v>160</v>
      </c>
      <c r="E19" s="42" t="s">
        <v>3</v>
      </c>
      <c r="F19" s="101">
        <f t="shared" si="2"/>
        <v>1050</v>
      </c>
      <c r="G19" s="42" t="s">
        <v>3</v>
      </c>
      <c r="H19" s="39">
        <v>4</v>
      </c>
      <c r="I19" s="40" t="s">
        <v>41</v>
      </c>
      <c r="J19" s="149">
        <v>150</v>
      </c>
      <c r="K19" s="104">
        <v>160</v>
      </c>
      <c r="L19" s="104">
        <v>1050</v>
      </c>
      <c r="M19" s="164">
        <v>10.388190345284738</v>
      </c>
      <c r="N19" s="78">
        <v>472.82760000000002</v>
      </c>
      <c r="O19" s="111">
        <v>20029.89221915702</v>
      </c>
      <c r="P19" s="111">
        <v>24169.172490001161</v>
      </c>
      <c r="Q19" s="254">
        <v>10438.544728263492</v>
      </c>
      <c r="R19" s="258">
        <v>30468.436947420512</v>
      </c>
      <c r="S19" s="259">
        <v>34607.717218264654</v>
      </c>
      <c r="U19" s="7" t="s">
        <v>3316</v>
      </c>
    </row>
    <row r="20" spans="1:21" s="65" customFormat="1" ht="16.5" customHeight="1" thickBot="1">
      <c r="A20" s="38" t="s">
        <v>31</v>
      </c>
      <c r="B20" s="39">
        <f t="shared" si="0"/>
        <v>150</v>
      </c>
      <c r="C20" s="39" t="s">
        <v>3</v>
      </c>
      <c r="D20" s="39">
        <f t="shared" si="1"/>
        <v>160</v>
      </c>
      <c r="E20" s="39" t="s">
        <v>3</v>
      </c>
      <c r="F20" s="101">
        <f t="shared" si="2"/>
        <v>1100</v>
      </c>
      <c r="G20" s="39" t="s">
        <v>3</v>
      </c>
      <c r="H20" s="39">
        <v>4</v>
      </c>
      <c r="I20" s="40" t="s">
        <v>41</v>
      </c>
      <c r="J20" s="149">
        <v>150</v>
      </c>
      <c r="K20" s="104">
        <v>160</v>
      </c>
      <c r="L20" s="104">
        <v>1100</v>
      </c>
      <c r="M20" s="164">
        <v>10.846044888307894</v>
      </c>
      <c r="N20" s="78">
        <v>506.601</v>
      </c>
      <c r="O20" s="111">
        <v>20718.310941609943</v>
      </c>
      <c r="P20" s="111">
        <v>25040.085054188839</v>
      </c>
      <c r="Q20" s="254">
        <v>10776.034825956463</v>
      </c>
      <c r="R20" s="258">
        <v>31494.345767566407</v>
      </c>
      <c r="S20" s="259">
        <v>35816.119880145299</v>
      </c>
      <c r="U20" s="7" t="s">
        <v>3317</v>
      </c>
    </row>
    <row r="21" spans="1:21" s="65" customFormat="1" ht="16.5" customHeight="1" thickBot="1">
      <c r="A21" s="41" t="s">
        <v>31</v>
      </c>
      <c r="B21" s="42">
        <f t="shared" si="0"/>
        <v>150</v>
      </c>
      <c r="C21" s="42" t="s">
        <v>3</v>
      </c>
      <c r="D21" s="42">
        <f t="shared" si="1"/>
        <v>160</v>
      </c>
      <c r="E21" s="42" t="s">
        <v>3</v>
      </c>
      <c r="F21" s="101">
        <f t="shared" si="2"/>
        <v>1150</v>
      </c>
      <c r="G21" s="42" t="s">
        <v>3</v>
      </c>
      <c r="H21" s="39">
        <v>4</v>
      </c>
      <c r="I21" s="40" t="s">
        <v>41</v>
      </c>
      <c r="J21" s="149">
        <v>150</v>
      </c>
      <c r="K21" s="104">
        <v>160</v>
      </c>
      <c r="L21" s="104">
        <v>1150</v>
      </c>
      <c r="M21" s="164">
        <v>11.303899431331054</v>
      </c>
      <c r="N21" s="78">
        <v>540.37440000000004</v>
      </c>
      <c r="O21" s="111">
        <v>21406.7295110341</v>
      </c>
      <c r="P21" s="111">
        <v>25910.997465347758</v>
      </c>
      <c r="Q21" s="254">
        <v>11113.525076678199</v>
      </c>
      <c r="R21" s="258">
        <v>32520.254587712298</v>
      </c>
      <c r="S21" s="259">
        <v>37024.522542025959</v>
      </c>
      <c r="U21" s="7" t="s">
        <v>3318</v>
      </c>
    </row>
    <row r="22" spans="1:21" s="65" customFormat="1" ht="16.5" customHeight="1" thickBot="1">
      <c r="A22" s="41" t="s">
        <v>31</v>
      </c>
      <c r="B22" s="42">
        <f t="shared" si="0"/>
        <v>150</v>
      </c>
      <c r="C22" s="42" t="s">
        <v>3</v>
      </c>
      <c r="D22" s="42">
        <f t="shared" si="1"/>
        <v>160</v>
      </c>
      <c r="E22" s="42" t="s">
        <v>3</v>
      </c>
      <c r="F22" s="101">
        <f t="shared" si="2"/>
        <v>1200</v>
      </c>
      <c r="G22" s="42" t="s">
        <v>3</v>
      </c>
      <c r="H22" s="39">
        <v>4</v>
      </c>
      <c r="I22" s="40" t="s">
        <v>41</v>
      </c>
      <c r="J22" s="149">
        <v>150</v>
      </c>
      <c r="K22" s="104">
        <v>160</v>
      </c>
      <c r="L22" s="104">
        <v>1200</v>
      </c>
      <c r="M22" s="164">
        <v>11.85729397435421</v>
      </c>
      <c r="N22" s="78">
        <v>574.14779999999996</v>
      </c>
      <c r="O22" s="111">
        <v>22174.820211589111</v>
      </c>
      <c r="P22" s="111">
        <v>26866.521623146997</v>
      </c>
      <c r="Q22" s="254">
        <v>11702.349465183703</v>
      </c>
      <c r="R22" s="258">
        <v>33877.169676772814</v>
      </c>
      <c r="S22" s="259">
        <v>38568.871088330699</v>
      </c>
      <c r="U22" s="7" t="s">
        <v>3319</v>
      </c>
    </row>
    <row r="23" spans="1:21" s="65" customFormat="1" ht="16.5" customHeight="1" thickBot="1">
      <c r="A23" s="41" t="s">
        <v>31</v>
      </c>
      <c r="B23" s="42">
        <f t="shared" si="0"/>
        <v>150</v>
      </c>
      <c r="C23" s="42" t="s">
        <v>3</v>
      </c>
      <c r="D23" s="42">
        <f t="shared" si="1"/>
        <v>160</v>
      </c>
      <c r="E23" s="42" t="s">
        <v>3</v>
      </c>
      <c r="F23" s="101">
        <f t="shared" si="2"/>
        <v>1250</v>
      </c>
      <c r="G23" s="42" t="s">
        <v>3</v>
      </c>
      <c r="H23" s="39">
        <v>4</v>
      </c>
      <c r="I23" s="40" t="s">
        <v>41</v>
      </c>
      <c r="J23" s="149">
        <v>150</v>
      </c>
      <c r="K23" s="104">
        <v>160</v>
      </c>
      <c r="L23" s="104">
        <v>1250</v>
      </c>
      <c r="M23" s="164">
        <v>12.315148517377366</v>
      </c>
      <c r="N23" s="78">
        <v>607.9212</v>
      </c>
      <c r="O23" s="111">
        <v>22863.238934042038</v>
      </c>
      <c r="P23" s="111">
        <v>27737.434187334678</v>
      </c>
      <c r="Q23" s="254">
        <v>12039.83971590544</v>
      </c>
      <c r="R23" s="258">
        <v>34903.078649947478</v>
      </c>
      <c r="S23" s="259">
        <v>39777.273903240115</v>
      </c>
      <c r="U23" s="7" t="s">
        <v>3320</v>
      </c>
    </row>
    <row r="24" spans="1:21" s="65" customFormat="1" ht="16.5" customHeight="1" thickBot="1">
      <c r="A24" s="41" t="s">
        <v>31</v>
      </c>
      <c r="B24" s="42">
        <f t="shared" si="0"/>
        <v>150</v>
      </c>
      <c r="C24" s="42" t="s">
        <v>3</v>
      </c>
      <c r="D24" s="42">
        <f t="shared" si="1"/>
        <v>160</v>
      </c>
      <c r="E24" s="42" t="s">
        <v>3</v>
      </c>
      <c r="F24" s="101">
        <f t="shared" si="2"/>
        <v>1300</v>
      </c>
      <c r="G24" s="42" t="s">
        <v>3</v>
      </c>
      <c r="H24" s="39">
        <v>4</v>
      </c>
      <c r="I24" s="40" t="s">
        <v>41</v>
      </c>
      <c r="J24" s="149">
        <v>150</v>
      </c>
      <c r="K24" s="104">
        <v>160</v>
      </c>
      <c r="L24" s="104">
        <v>1300</v>
      </c>
      <c r="M24" s="164">
        <v>12.790043060400524</v>
      </c>
      <c r="N24" s="78">
        <v>641.69459999999992</v>
      </c>
      <c r="O24" s="111">
        <v>23551.657656494957</v>
      </c>
      <c r="P24" s="111">
        <v>28608.346598493594</v>
      </c>
      <c r="Q24" s="254">
        <v>12628.663951382177</v>
      </c>
      <c r="R24" s="258">
        <v>36180.321607877137</v>
      </c>
      <c r="S24" s="259">
        <v>41237.010549875769</v>
      </c>
      <c r="U24" s="7" t="s">
        <v>3321</v>
      </c>
    </row>
    <row r="25" spans="1:21" s="65" customFormat="1" ht="16.5" customHeight="1" thickBot="1">
      <c r="A25" s="41" t="s">
        <v>31</v>
      </c>
      <c r="B25" s="42">
        <f t="shared" si="0"/>
        <v>150</v>
      </c>
      <c r="C25" s="42" t="s">
        <v>3</v>
      </c>
      <c r="D25" s="42">
        <f t="shared" si="1"/>
        <v>160</v>
      </c>
      <c r="E25" s="42" t="s">
        <v>3</v>
      </c>
      <c r="F25" s="101">
        <f t="shared" si="2"/>
        <v>1350</v>
      </c>
      <c r="G25" s="42" t="s">
        <v>3</v>
      </c>
      <c r="H25" s="39">
        <v>4</v>
      </c>
      <c r="I25" s="40" t="s">
        <v>41</v>
      </c>
      <c r="J25" s="149">
        <v>150</v>
      </c>
      <c r="K25" s="104">
        <v>160</v>
      </c>
      <c r="L25" s="104">
        <v>1350</v>
      </c>
      <c r="M25" s="164">
        <v>13.247897603423683</v>
      </c>
      <c r="N25" s="78">
        <v>675.46799999999996</v>
      </c>
      <c r="O25" s="111">
        <v>24240.076225919118</v>
      </c>
      <c r="P25" s="111">
        <v>29479.259009652513</v>
      </c>
      <c r="Q25" s="254">
        <v>12966.154202103913</v>
      </c>
      <c r="R25" s="258">
        <v>37206.230428023031</v>
      </c>
      <c r="S25" s="259">
        <v>42445.41321175643</v>
      </c>
      <c r="U25" s="7" t="s">
        <v>3322</v>
      </c>
    </row>
    <row r="26" spans="1:21" s="65" customFormat="1" ht="16.5" customHeight="1" thickBot="1">
      <c r="A26" s="41" t="s">
        <v>31</v>
      </c>
      <c r="B26" s="42">
        <f t="shared" si="0"/>
        <v>150</v>
      </c>
      <c r="C26" s="42" t="s">
        <v>3</v>
      </c>
      <c r="D26" s="42">
        <f t="shared" si="1"/>
        <v>160</v>
      </c>
      <c r="E26" s="42" t="s">
        <v>3</v>
      </c>
      <c r="F26" s="101">
        <f t="shared" si="2"/>
        <v>1400</v>
      </c>
      <c r="G26" s="42" t="s">
        <v>3</v>
      </c>
      <c r="H26" s="39">
        <v>4</v>
      </c>
      <c r="I26" s="40" t="s">
        <v>41</v>
      </c>
      <c r="J26" s="149">
        <v>150</v>
      </c>
      <c r="K26" s="104">
        <v>160</v>
      </c>
      <c r="L26" s="104">
        <v>1400</v>
      </c>
      <c r="M26" s="164">
        <v>13.722792146446842</v>
      </c>
      <c r="N26" s="78">
        <v>709.2414</v>
      </c>
      <c r="O26" s="111">
        <v>24928.494948372037</v>
      </c>
      <c r="P26" s="111">
        <v>30350.171573840194</v>
      </c>
      <c r="Q26" s="254">
        <v>13554.97859060942</v>
      </c>
      <c r="R26" s="258">
        <v>38483.47353898146</v>
      </c>
      <c r="S26" s="259">
        <v>43905.150164449617</v>
      </c>
      <c r="U26" s="7" t="s">
        <v>3323</v>
      </c>
    </row>
    <row r="27" spans="1:21" s="65" customFormat="1" ht="16.5" customHeight="1" thickBot="1">
      <c r="A27" s="41" t="s">
        <v>31</v>
      </c>
      <c r="B27" s="42">
        <f t="shared" si="0"/>
        <v>150</v>
      </c>
      <c r="C27" s="42" t="s">
        <v>3</v>
      </c>
      <c r="D27" s="42">
        <f t="shared" si="1"/>
        <v>160</v>
      </c>
      <c r="E27" s="42" t="s">
        <v>3</v>
      </c>
      <c r="F27" s="101">
        <f t="shared" si="2"/>
        <v>1450</v>
      </c>
      <c r="G27" s="42" t="s">
        <v>3</v>
      </c>
      <c r="H27" s="39">
        <v>4</v>
      </c>
      <c r="I27" s="40" t="s">
        <v>41</v>
      </c>
      <c r="J27" s="149">
        <v>150</v>
      </c>
      <c r="K27" s="104">
        <v>160</v>
      </c>
      <c r="L27" s="104">
        <v>1450</v>
      </c>
      <c r="M27" s="164">
        <v>14.180646689470001</v>
      </c>
      <c r="N27" s="78">
        <v>743.01479999999992</v>
      </c>
      <c r="O27" s="111">
        <v>25616.913517796194</v>
      </c>
      <c r="P27" s="111">
        <v>31221.08398499911</v>
      </c>
      <c r="Q27" s="254">
        <v>13892.468841331156</v>
      </c>
      <c r="R27" s="258">
        <v>39509.382359127354</v>
      </c>
      <c r="S27" s="259">
        <v>45113.552826330269</v>
      </c>
      <c r="U27" s="7" t="s">
        <v>3324</v>
      </c>
    </row>
    <row r="28" spans="1:21" s="65" customFormat="1" ht="16.5" customHeight="1" thickBot="1">
      <c r="A28" s="41" t="s">
        <v>31</v>
      </c>
      <c r="B28" s="42">
        <f t="shared" si="0"/>
        <v>150</v>
      </c>
      <c r="C28" s="42" t="s">
        <v>3</v>
      </c>
      <c r="D28" s="42">
        <f t="shared" si="1"/>
        <v>160</v>
      </c>
      <c r="E28" s="42" t="s">
        <v>3</v>
      </c>
      <c r="F28" s="101">
        <f t="shared" si="2"/>
        <v>1500</v>
      </c>
      <c r="G28" s="42" t="s">
        <v>3</v>
      </c>
      <c r="H28" s="39">
        <v>4</v>
      </c>
      <c r="I28" s="40" t="s">
        <v>41</v>
      </c>
      <c r="J28" s="149">
        <v>150</v>
      </c>
      <c r="K28" s="104">
        <v>160</v>
      </c>
      <c r="L28" s="104">
        <v>1500</v>
      </c>
      <c r="M28" s="164">
        <v>14.761013783253157</v>
      </c>
      <c r="N28" s="78">
        <v>776.78819999999996</v>
      </c>
      <c r="O28" s="111">
        <v>26852.012965925496</v>
      </c>
      <c r="P28" s="111">
        <v>32572.457290359391</v>
      </c>
      <c r="Q28" s="254">
        <v>14481.293076807897</v>
      </c>
      <c r="R28" s="258">
        <v>41333.306042733391</v>
      </c>
      <c r="S28" s="259">
        <v>47053.750367167289</v>
      </c>
      <c r="U28" s="7" t="s">
        <v>3325</v>
      </c>
    </row>
    <row r="29" spans="1:21" s="65" customFormat="1" ht="16.5" customHeight="1" thickBot="1">
      <c r="A29" s="41" t="s">
        <v>31</v>
      </c>
      <c r="B29" s="42">
        <f t="shared" si="0"/>
        <v>150</v>
      </c>
      <c r="C29" s="42" t="s">
        <v>3</v>
      </c>
      <c r="D29" s="42">
        <f t="shared" si="1"/>
        <v>160</v>
      </c>
      <c r="E29" s="42" t="s">
        <v>3</v>
      </c>
      <c r="F29" s="101">
        <f t="shared" si="2"/>
        <v>1550</v>
      </c>
      <c r="G29" s="42" t="s">
        <v>3</v>
      </c>
      <c r="H29" s="39">
        <v>4</v>
      </c>
      <c r="I29" s="40" t="s">
        <v>41</v>
      </c>
      <c r="J29" s="149">
        <v>150</v>
      </c>
      <c r="K29" s="104">
        <v>160</v>
      </c>
      <c r="L29" s="104">
        <v>1550</v>
      </c>
      <c r="M29" s="164">
        <v>15.218868326276315</v>
      </c>
      <c r="N29" s="78">
        <v>810.56159999999988</v>
      </c>
      <c r="O29" s="111">
        <v>27540.431688378419</v>
      </c>
      <c r="P29" s="111">
        <v>33443.369701518306</v>
      </c>
      <c r="Q29" s="254">
        <v>14818.783327529631</v>
      </c>
      <c r="R29" s="258">
        <v>42359.215015908048</v>
      </c>
      <c r="S29" s="259">
        <v>48262.153029047935</v>
      </c>
      <c r="U29" s="7" t="s">
        <v>3326</v>
      </c>
    </row>
    <row r="30" spans="1:21" s="65" customFormat="1" ht="16.5" customHeight="1" thickBot="1">
      <c r="A30" s="38" t="s">
        <v>31</v>
      </c>
      <c r="B30" s="39">
        <f t="shared" si="0"/>
        <v>150</v>
      </c>
      <c r="C30" s="39" t="s">
        <v>3</v>
      </c>
      <c r="D30" s="39">
        <f t="shared" si="1"/>
        <v>160</v>
      </c>
      <c r="E30" s="39" t="s">
        <v>3</v>
      </c>
      <c r="F30" s="101">
        <f t="shared" si="2"/>
        <v>1600</v>
      </c>
      <c r="G30" s="39" t="s">
        <v>3</v>
      </c>
      <c r="H30" s="39">
        <v>4</v>
      </c>
      <c r="I30" s="40" t="s">
        <v>41</v>
      </c>
      <c r="J30" s="149">
        <v>150</v>
      </c>
      <c r="K30" s="104">
        <v>160</v>
      </c>
      <c r="L30" s="104">
        <v>1600</v>
      </c>
      <c r="M30" s="164">
        <v>15.67672286929947</v>
      </c>
      <c r="N30" s="78">
        <v>844.33499999999992</v>
      </c>
      <c r="O30" s="111">
        <v>28228.850257802576</v>
      </c>
      <c r="P30" s="111">
        <v>34314.282265705988</v>
      </c>
      <c r="Q30" s="254">
        <v>15156.273578251366</v>
      </c>
      <c r="R30" s="258">
        <v>43385.123836053943</v>
      </c>
      <c r="S30" s="259">
        <v>49470.555843957351</v>
      </c>
      <c r="U30" s="7" t="s">
        <v>3327</v>
      </c>
    </row>
    <row r="31" spans="1:21" s="65" customFormat="1" ht="16.5" customHeight="1" thickBot="1">
      <c r="A31" s="41" t="s">
        <v>31</v>
      </c>
      <c r="B31" s="42">
        <f t="shared" si="0"/>
        <v>150</v>
      </c>
      <c r="C31" s="42" t="s">
        <v>3</v>
      </c>
      <c r="D31" s="42">
        <f t="shared" si="1"/>
        <v>160</v>
      </c>
      <c r="E31" s="42" t="s">
        <v>3</v>
      </c>
      <c r="F31" s="101">
        <f t="shared" si="2"/>
        <v>1650</v>
      </c>
      <c r="G31" s="42" t="s">
        <v>3</v>
      </c>
      <c r="H31" s="39">
        <v>4</v>
      </c>
      <c r="I31" s="40" t="s">
        <v>41</v>
      </c>
      <c r="J31" s="149">
        <v>150</v>
      </c>
      <c r="K31" s="104">
        <v>160</v>
      </c>
      <c r="L31" s="104">
        <v>1650</v>
      </c>
      <c r="M31" s="164">
        <v>16.151617412322633</v>
      </c>
      <c r="N31" s="78">
        <v>878.10839999999996</v>
      </c>
      <c r="O31" s="111">
        <v>28917.2689802555</v>
      </c>
      <c r="P31" s="111">
        <v>35185.1946768649</v>
      </c>
      <c r="Q31" s="254">
        <v>15745.097966756874</v>
      </c>
      <c r="R31" s="258">
        <v>44662.366947012371</v>
      </c>
      <c r="S31" s="259">
        <v>50930.292643621775</v>
      </c>
      <c r="U31" s="7" t="s">
        <v>3328</v>
      </c>
    </row>
    <row r="32" spans="1:21" s="65" customFormat="1" ht="16.5" customHeight="1" thickBot="1">
      <c r="A32" s="41" t="s">
        <v>31</v>
      </c>
      <c r="B32" s="42">
        <f t="shared" si="0"/>
        <v>150</v>
      </c>
      <c r="C32" s="42" t="s">
        <v>3</v>
      </c>
      <c r="D32" s="42">
        <f t="shared" si="1"/>
        <v>160</v>
      </c>
      <c r="E32" s="42" t="s">
        <v>3</v>
      </c>
      <c r="F32" s="101">
        <f t="shared" si="2"/>
        <v>1700</v>
      </c>
      <c r="G32" s="42" t="s">
        <v>3</v>
      </c>
      <c r="H32" s="39">
        <v>4</v>
      </c>
      <c r="I32" s="40" t="s">
        <v>41</v>
      </c>
      <c r="J32" s="149">
        <v>150</v>
      </c>
      <c r="K32" s="104">
        <v>160</v>
      </c>
      <c r="L32" s="104">
        <v>1700</v>
      </c>
      <c r="M32" s="164">
        <v>16.609471955345789</v>
      </c>
      <c r="N32" s="78">
        <v>911.8818</v>
      </c>
      <c r="O32" s="111">
        <v>29605.687702708427</v>
      </c>
      <c r="P32" s="111">
        <v>36056.107241052581</v>
      </c>
      <c r="Q32" s="254">
        <v>16082.58806444969</v>
      </c>
      <c r="R32" s="258">
        <v>45688.27576715812</v>
      </c>
      <c r="S32" s="259">
        <v>52138.695305502275</v>
      </c>
      <c r="U32" s="7" t="s">
        <v>3329</v>
      </c>
    </row>
    <row r="33" spans="1:21" s="65" customFormat="1" ht="16.5" customHeight="1" thickBot="1">
      <c r="A33" s="41" t="s">
        <v>31</v>
      </c>
      <c r="B33" s="42">
        <f t="shared" si="0"/>
        <v>150</v>
      </c>
      <c r="C33" s="42" t="s">
        <v>3</v>
      </c>
      <c r="D33" s="42">
        <f t="shared" si="1"/>
        <v>160</v>
      </c>
      <c r="E33" s="42" t="s">
        <v>3</v>
      </c>
      <c r="F33" s="101">
        <f t="shared" si="2"/>
        <v>1750</v>
      </c>
      <c r="G33" s="42" t="s">
        <v>3</v>
      </c>
      <c r="H33" s="39">
        <v>4</v>
      </c>
      <c r="I33" s="40" t="s">
        <v>41</v>
      </c>
      <c r="J33" s="149">
        <v>150</v>
      </c>
      <c r="K33" s="104">
        <v>160</v>
      </c>
      <c r="L33" s="104">
        <v>1750</v>
      </c>
      <c r="M33" s="164">
        <v>17.084366498368947</v>
      </c>
      <c r="N33" s="78">
        <v>945.65520000000004</v>
      </c>
      <c r="O33" s="111">
        <v>30294.106272132583</v>
      </c>
      <c r="P33" s="111">
        <v>36927.0196522115</v>
      </c>
      <c r="Q33" s="254">
        <v>16671.412452955348</v>
      </c>
      <c r="R33" s="258">
        <v>46965.518725087932</v>
      </c>
      <c r="S33" s="259">
        <v>53598.432105166852</v>
      </c>
      <c r="U33" s="7" t="s">
        <v>3330</v>
      </c>
    </row>
    <row r="34" spans="1:21" s="65" customFormat="1" ht="16.5" customHeight="1" thickBot="1">
      <c r="A34" s="41" t="s">
        <v>31</v>
      </c>
      <c r="B34" s="42">
        <f t="shared" si="0"/>
        <v>150</v>
      </c>
      <c r="C34" s="42" t="s">
        <v>3</v>
      </c>
      <c r="D34" s="42">
        <f t="shared" si="1"/>
        <v>160</v>
      </c>
      <c r="E34" s="42" t="s">
        <v>3</v>
      </c>
      <c r="F34" s="101">
        <f t="shared" si="2"/>
        <v>1800</v>
      </c>
      <c r="G34" s="42" t="s">
        <v>3</v>
      </c>
      <c r="H34" s="39">
        <v>4</v>
      </c>
      <c r="I34" s="40" t="s">
        <v>41</v>
      </c>
      <c r="J34" s="149">
        <v>150</v>
      </c>
      <c r="K34" s="104">
        <v>160</v>
      </c>
      <c r="L34" s="104">
        <v>1800</v>
      </c>
      <c r="M34" s="164">
        <v>17.542221041392104</v>
      </c>
      <c r="N34" s="78">
        <v>979.42859999999996</v>
      </c>
      <c r="O34" s="111">
        <v>30982.524994585507</v>
      </c>
      <c r="P34" s="111">
        <v>37797.932063370412</v>
      </c>
      <c r="Q34" s="254">
        <v>17008.902703677086</v>
      </c>
      <c r="R34" s="258">
        <v>47991.427698262589</v>
      </c>
      <c r="S34" s="259">
        <v>54806.834767047498</v>
      </c>
      <c r="U34" s="7" t="s">
        <v>3331</v>
      </c>
    </row>
    <row r="35" spans="1:21" s="65" customFormat="1" ht="16.5" customHeight="1" thickBot="1">
      <c r="A35" s="41" t="s">
        <v>31</v>
      </c>
      <c r="B35" s="42">
        <f t="shared" si="0"/>
        <v>150</v>
      </c>
      <c r="C35" s="42" t="s">
        <v>3</v>
      </c>
      <c r="D35" s="42">
        <f t="shared" si="1"/>
        <v>160</v>
      </c>
      <c r="E35" s="42" t="s">
        <v>3</v>
      </c>
      <c r="F35" s="101">
        <f t="shared" si="2"/>
        <v>1850</v>
      </c>
      <c r="G35" s="42" t="s">
        <v>3</v>
      </c>
      <c r="H35" s="39">
        <v>4</v>
      </c>
      <c r="I35" s="40" t="s">
        <v>41</v>
      </c>
      <c r="J35" s="149">
        <v>150</v>
      </c>
      <c r="K35" s="104">
        <v>160</v>
      </c>
      <c r="L35" s="104">
        <v>1850</v>
      </c>
      <c r="M35" s="164">
        <v>18.017115584415262</v>
      </c>
      <c r="N35" s="78">
        <v>1013.202</v>
      </c>
      <c r="O35" s="111">
        <v>31670.943564009664</v>
      </c>
      <c r="P35" s="111">
        <v>38668.844627558101</v>
      </c>
      <c r="Q35" s="254">
        <v>17597.727092182588</v>
      </c>
      <c r="R35" s="258">
        <v>49268.670656192247</v>
      </c>
      <c r="S35" s="259">
        <v>56266.571719740692</v>
      </c>
      <c r="U35" s="7" t="s">
        <v>3332</v>
      </c>
    </row>
    <row r="36" spans="1:21" s="65" customFormat="1" ht="16.5" customHeight="1" thickBot="1">
      <c r="A36" s="41" t="s">
        <v>31</v>
      </c>
      <c r="B36" s="42">
        <f t="shared" si="0"/>
        <v>150</v>
      </c>
      <c r="C36" s="42" t="s">
        <v>3</v>
      </c>
      <c r="D36" s="42">
        <f t="shared" si="1"/>
        <v>160</v>
      </c>
      <c r="E36" s="42" t="s">
        <v>3</v>
      </c>
      <c r="F36" s="101">
        <f t="shared" si="2"/>
        <v>1900</v>
      </c>
      <c r="G36" s="42" t="s">
        <v>3</v>
      </c>
      <c r="H36" s="39">
        <v>4</v>
      </c>
      <c r="I36" s="40" t="s">
        <v>41</v>
      </c>
      <c r="J36" s="149">
        <v>150</v>
      </c>
      <c r="K36" s="104">
        <v>160</v>
      </c>
      <c r="L36" s="104">
        <v>1900</v>
      </c>
      <c r="M36" s="164">
        <v>18.474970127438418</v>
      </c>
      <c r="N36" s="78">
        <v>1046.9754</v>
      </c>
      <c r="O36" s="111">
        <v>32359.362286462583</v>
      </c>
      <c r="P36" s="111">
        <v>39539.757038717013</v>
      </c>
      <c r="Q36" s="254">
        <v>17935.217189875559</v>
      </c>
      <c r="R36" s="258">
        <v>50294.579476338142</v>
      </c>
      <c r="S36" s="259">
        <v>57474.974228592575</v>
      </c>
      <c r="U36" s="7" t="s">
        <v>3333</v>
      </c>
    </row>
    <row r="37" spans="1:21" s="65" customFormat="1" ht="16.5" customHeight="1" thickBot="1">
      <c r="A37" s="41" t="s">
        <v>31</v>
      </c>
      <c r="B37" s="42">
        <f t="shared" si="0"/>
        <v>150</v>
      </c>
      <c r="C37" s="42" t="s">
        <v>3</v>
      </c>
      <c r="D37" s="42">
        <f t="shared" si="1"/>
        <v>160</v>
      </c>
      <c r="E37" s="42" t="s">
        <v>3</v>
      </c>
      <c r="F37" s="101">
        <f t="shared" si="2"/>
        <v>1950</v>
      </c>
      <c r="G37" s="42" t="s">
        <v>3</v>
      </c>
      <c r="H37" s="39">
        <v>4</v>
      </c>
      <c r="I37" s="40" t="s">
        <v>41</v>
      </c>
      <c r="J37" s="149">
        <v>150</v>
      </c>
      <c r="K37" s="104">
        <v>160</v>
      </c>
      <c r="L37" s="104">
        <v>1950</v>
      </c>
      <c r="M37" s="164">
        <v>19.01132467046158</v>
      </c>
      <c r="N37" s="78">
        <v>1080.7488000000001</v>
      </c>
      <c r="O37" s="111">
        <v>33127.452987017597</v>
      </c>
      <c r="P37" s="111">
        <v>40495.281349545017</v>
      </c>
      <c r="Q37" s="254">
        <v>18272.707440597296</v>
      </c>
      <c r="R37" s="258">
        <v>51400.160427614894</v>
      </c>
      <c r="S37" s="259">
        <v>58767.988790142314</v>
      </c>
      <c r="U37" s="7" t="s">
        <v>3334</v>
      </c>
    </row>
    <row r="38" spans="1:21" s="65" customFormat="1" ht="16.5" customHeight="1" thickBot="1">
      <c r="A38" s="41" t="s">
        <v>31</v>
      </c>
      <c r="B38" s="42">
        <f t="shared" si="0"/>
        <v>150</v>
      </c>
      <c r="C38" s="42" t="s">
        <v>3</v>
      </c>
      <c r="D38" s="42">
        <f t="shared" si="1"/>
        <v>160</v>
      </c>
      <c r="E38" s="42" t="s">
        <v>3</v>
      </c>
      <c r="F38" s="101">
        <f t="shared" si="2"/>
        <v>2000</v>
      </c>
      <c r="G38" s="42" t="s">
        <v>3</v>
      </c>
      <c r="H38" s="39">
        <v>4</v>
      </c>
      <c r="I38" s="40" t="s">
        <v>41</v>
      </c>
      <c r="J38" s="149">
        <v>150</v>
      </c>
      <c r="K38" s="104">
        <v>160</v>
      </c>
      <c r="L38" s="104">
        <v>2000</v>
      </c>
      <c r="M38" s="164">
        <v>19.577781613484738</v>
      </c>
      <c r="N38" s="78">
        <v>1114.5221999999999</v>
      </c>
      <c r="O38" s="111">
        <v>34053.937641202894</v>
      </c>
      <c r="P38" s="111">
        <v>41707.015753699969</v>
      </c>
      <c r="Q38" s="254">
        <v>18861.531829102802</v>
      </c>
      <c r="R38" s="258">
        <v>52915.469470305696</v>
      </c>
      <c r="S38" s="259">
        <v>60568.54758280277</v>
      </c>
      <c r="U38" s="7" t="s">
        <v>3335</v>
      </c>
    </row>
    <row r="39" spans="1:21" s="65" customFormat="1" ht="16.5" customHeight="1" thickBot="1">
      <c r="A39" s="41" t="s">
        <v>31</v>
      </c>
      <c r="B39" s="42">
        <f t="shared" si="0"/>
        <v>150</v>
      </c>
      <c r="C39" s="42" t="s">
        <v>3</v>
      </c>
      <c r="D39" s="42">
        <f t="shared" si="1"/>
        <v>160</v>
      </c>
      <c r="E39" s="42" t="s">
        <v>3</v>
      </c>
      <c r="F39" s="101">
        <f t="shared" si="2"/>
        <v>2050</v>
      </c>
      <c r="G39" s="42" t="s">
        <v>3</v>
      </c>
      <c r="H39" s="39">
        <v>4</v>
      </c>
      <c r="I39" s="40" t="s">
        <v>41</v>
      </c>
      <c r="J39" s="149">
        <v>150</v>
      </c>
      <c r="K39" s="104">
        <v>160</v>
      </c>
      <c r="L39" s="104">
        <v>2050</v>
      </c>
      <c r="M39" s="164">
        <v>20.035636156507891</v>
      </c>
      <c r="N39" s="78">
        <v>1148.2955999999999</v>
      </c>
      <c r="O39" s="111">
        <v>34742.356363655817</v>
      </c>
      <c r="P39" s="111">
        <v>42577.92831788765</v>
      </c>
      <c r="Q39" s="254">
        <v>19199.022079824535</v>
      </c>
      <c r="R39" s="258">
        <v>53941.378443480353</v>
      </c>
      <c r="S39" s="259">
        <v>61776.950397712186</v>
      </c>
      <c r="U39" s="7" t="s">
        <v>3336</v>
      </c>
    </row>
    <row r="40" spans="1:21" s="65" customFormat="1" ht="16.5" customHeight="1" thickBot="1">
      <c r="A40" s="38" t="s">
        <v>31</v>
      </c>
      <c r="B40" s="39">
        <f t="shared" si="0"/>
        <v>150</v>
      </c>
      <c r="C40" s="39" t="s">
        <v>3</v>
      </c>
      <c r="D40" s="39">
        <f t="shared" si="1"/>
        <v>160</v>
      </c>
      <c r="E40" s="39" t="s">
        <v>3</v>
      </c>
      <c r="F40" s="101">
        <f t="shared" si="2"/>
        <v>2100</v>
      </c>
      <c r="G40" s="39" t="s">
        <v>3</v>
      </c>
      <c r="H40" s="39">
        <v>4</v>
      </c>
      <c r="I40" s="40" t="s">
        <v>41</v>
      </c>
      <c r="J40" s="149">
        <v>150</v>
      </c>
      <c r="K40" s="104">
        <v>160</v>
      </c>
      <c r="L40" s="104">
        <v>2100</v>
      </c>
      <c r="M40" s="164">
        <v>20.510530699531053</v>
      </c>
      <c r="N40" s="78">
        <v>1182.069</v>
      </c>
      <c r="O40" s="111">
        <v>35430.774933079971</v>
      </c>
      <c r="P40" s="111">
        <v>43448.840729046569</v>
      </c>
      <c r="Q40" s="254">
        <v>19787.846468330041</v>
      </c>
      <c r="R40" s="258">
        <v>55218.621401410011</v>
      </c>
      <c r="S40" s="259">
        <v>63236.68719737661</v>
      </c>
      <c r="U40" s="7" t="s">
        <v>3337</v>
      </c>
    </row>
    <row r="41" spans="1:21" s="65" customFormat="1" ht="16.5" customHeight="1" thickBot="1">
      <c r="A41" s="41" t="s">
        <v>31</v>
      </c>
      <c r="B41" s="42">
        <f t="shared" si="0"/>
        <v>150</v>
      </c>
      <c r="C41" s="42" t="s">
        <v>3</v>
      </c>
      <c r="D41" s="42">
        <f t="shared" si="1"/>
        <v>160</v>
      </c>
      <c r="E41" s="42" t="s">
        <v>3</v>
      </c>
      <c r="F41" s="101">
        <f t="shared" si="2"/>
        <v>2150</v>
      </c>
      <c r="G41" s="42" t="s">
        <v>3</v>
      </c>
      <c r="H41" s="39">
        <v>4</v>
      </c>
      <c r="I41" s="40" t="s">
        <v>41</v>
      </c>
      <c r="J41" s="149">
        <v>150</v>
      </c>
      <c r="K41" s="104">
        <v>160</v>
      </c>
      <c r="L41" s="104">
        <v>2150</v>
      </c>
      <c r="M41" s="164">
        <v>20.968385242554213</v>
      </c>
      <c r="N41" s="78">
        <v>1215.8424</v>
      </c>
      <c r="O41" s="111">
        <v>36119.193655532894</v>
      </c>
      <c r="P41" s="111">
        <v>44319.753140205488</v>
      </c>
      <c r="Q41" s="254">
        <v>20125.336566023012</v>
      </c>
      <c r="R41" s="258">
        <v>56244.530221555906</v>
      </c>
      <c r="S41" s="259">
        <v>64445.0897062285</v>
      </c>
      <c r="U41" s="7" t="s">
        <v>3338</v>
      </c>
    </row>
    <row r="42" spans="1:21" s="65" customFormat="1" ht="16.5" customHeight="1" thickBot="1">
      <c r="A42" s="41" t="s">
        <v>31</v>
      </c>
      <c r="B42" s="42">
        <f t="shared" si="0"/>
        <v>150</v>
      </c>
      <c r="C42" s="42" t="s">
        <v>3</v>
      </c>
      <c r="D42" s="42">
        <f t="shared" si="1"/>
        <v>160</v>
      </c>
      <c r="E42" s="42" t="s">
        <v>3</v>
      </c>
      <c r="F42" s="101">
        <f t="shared" si="2"/>
        <v>2200</v>
      </c>
      <c r="G42" s="42" t="s">
        <v>3</v>
      </c>
      <c r="H42" s="39">
        <v>4</v>
      </c>
      <c r="I42" s="40" t="s">
        <v>41</v>
      </c>
      <c r="J42" s="149">
        <v>150</v>
      </c>
      <c r="K42" s="104">
        <v>160</v>
      </c>
      <c r="L42" s="104">
        <v>2200</v>
      </c>
      <c r="M42" s="164">
        <v>21.443279785577374</v>
      </c>
      <c r="N42" s="78">
        <v>1249.6158</v>
      </c>
      <c r="O42" s="111">
        <v>36807.612377985817</v>
      </c>
      <c r="P42" s="111">
        <v>45190.66570439317</v>
      </c>
      <c r="Q42" s="254">
        <v>20714.160954528517</v>
      </c>
      <c r="R42" s="258">
        <v>57521.773332514334</v>
      </c>
      <c r="S42" s="259">
        <v>65904.826658921695</v>
      </c>
      <c r="U42" s="7" t="s">
        <v>3339</v>
      </c>
    </row>
    <row r="43" spans="1:21" s="65" customFormat="1" ht="16.5" customHeight="1" thickBot="1">
      <c r="A43" s="41" t="s">
        <v>31</v>
      </c>
      <c r="B43" s="42">
        <f t="shared" si="0"/>
        <v>150</v>
      </c>
      <c r="C43" s="42" t="s">
        <v>3</v>
      </c>
      <c r="D43" s="42">
        <f t="shared" si="1"/>
        <v>160</v>
      </c>
      <c r="E43" s="42" t="s">
        <v>3</v>
      </c>
      <c r="F43" s="101">
        <f t="shared" si="2"/>
        <v>2250</v>
      </c>
      <c r="G43" s="42" t="s">
        <v>3</v>
      </c>
      <c r="H43" s="39">
        <v>4</v>
      </c>
      <c r="I43" s="40" t="s">
        <v>41</v>
      </c>
      <c r="J43" s="149">
        <v>150</v>
      </c>
      <c r="K43" s="104">
        <v>160</v>
      </c>
      <c r="L43" s="104">
        <v>2250</v>
      </c>
      <c r="M43" s="164">
        <v>21.901134328600524</v>
      </c>
      <c r="N43" s="78">
        <v>1283.3891999999998</v>
      </c>
      <c r="O43" s="111">
        <v>37496.030947409978</v>
      </c>
      <c r="P43" s="111">
        <v>46061.578115552082</v>
      </c>
      <c r="Q43" s="254">
        <v>21051.651205250255</v>
      </c>
      <c r="R43" s="258">
        <v>58547.682152660229</v>
      </c>
      <c r="S43" s="259">
        <v>67113.229320802333</v>
      </c>
      <c r="U43" s="7" t="s">
        <v>3340</v>
      </c>
    </row>
    <row r="44" spans="1:21" s="65" customFormat="1" ht="16.5" customHeight="1" thickBot="1">
      <c r="A44" s="41" t="s">
        <v>31</v>
      </c>
      <c r="B44" s="42">
        <f t="shared" si="0"/>
        <v>150</v>
      </c>
      <c r="C44" s="42" t="s">
        <v>3</v>
      </c>
      <c r="D44" s="42">
        <f t="shared" si="1"/>
        <v>160</v>
      </c>
      <c r="E44" s="42" t="s">
        <v>3</v>
      </c>
      <c r="F44" s="101">
        <f t="shared" si="2"/>
        <v>2300</v>
      </c>
      <c r="G44" s="42" t="s">
        <v>3</v>
      </c>
      <c r="H44" s="39">
        <v>4</v>
      </c>
      <c r="I44" s="40" t="s">
        <v>41</v>
      </c>
      <c r="J44" s="149">
        <v>150</v>
      </c>
      <c r="K44" s="104">
        <v>160</v>
      </c>
      <c r="L44" s="104">
        <v>2300</v>
      </c>
      <c r="M44" s="164">
        <v>22.358988871623687</v>
      </c>
      <c r="N44" s="78">
        <v>1317.1626000000001</v>
      </c>
      <c r="O44" s="111">
        <v>38184.449669862901</v>
      </c>
      <c r="P44" s="111">
        <v>46932.490679739763</v>
      </c>
      <c r="Q44" s="254">
        <v>21389.141302943226</v>
      </c>
      <c r="R44" s="258">
        <v>59573.590972806123</v>
      </c>
      <c r="S44" s="259">
        <v>68321.631982682986</v>
      </c>
      <c r="U44" s="7" t="s">
        <v>3341</v>
      </c>
    </row>
    <row r="45" spans="1:21" s="65" customFormat="1" ht="16.5" customHeight="1" thickBot="1">
      <c r="A45" s="41" t="s">
        <v>31</v>
      </c>
      <c r="B45" s="42">
        <f t="shared" si="0"/>
        <v>150</v>
      </c>
      <c r="C45" s="42" t="s">
        <v>3</v>
      </c>
      <c r="D45" s="42">
        <f t="shared" si="1"/>
        <v>160</v>
      </c>
      <c r="E45" s="42" t="s">
        <v>3</v>
      </c>
      <c r="F45" s="101">
        <f t="shared" si="2"/>
        <v>2350</v>
      </c>
      <c r="G45" s="42" t="s">
        <v>3</v>
      </c>
      <c r="H45" s="39">
        <v>4</v>
      </c>
      <c r="I45" s="40" t="s">
        <v>41</v>
      </c>
      <c r="J45" s="149">
        <v>150</v>
      </c>
      <c r="K45" s="104">
        <v>160</v>
      </c>
      <c r="L45" s="104">
        <v>2350</v>
      </c>
      <c r="M45" s="164">
        <v>22.833883414646849</v>
      </c>
      <c r="N45" s="78">
        <v>1350.9359999999999</v>
      </c>
      <c r="O45" s="111">
        <v>38872.868239287061</v>
      </c>
      <c r="P45" s="111">
        <v>47803.403090898682</v>
      </c>
      <c r="Q45" s="254">
        <v>21977.965691448728</v>
      </c>
      <c r="R45" s="258">
        <v>60850.833930735789</v>
      </c>
      <c r="S45" s="259">
        <v>69781.368782347417</v>
      </c>
      <c r="U45" s="7" t="s">
        <v>3342</v>
      </c>
    </row>
    <row r="46" spans="1:21" s="65" customFormat="1" ht="16.5" customHeight="1" thickBot="1">
      <c r="A46" s="41" t="s">
        <v>31</v>
      </c>
      <c r="B46" s="42">
        <f t="shared" si="0"/>
        <v>150</v>
      </c>
      <c r="C46" s="42" t="s">
        <v>3</v>
      </c>
      <c r="D46" s="42">
        <f t="shared" si="1"/>
        <v>160</v>
      </c>
      <c r="E46" s="42" t="s">
        <v>3</v>
      </c>
      <c r="F46" s="101">
        <f t="shared" si="2"/>
        <v>2400</v>
      </c>
      <c r="G46" s="42" t="s">
        <v>3</v>
      </c>
      <c r="H46" s="39">
        <v>4</v>
      </c>
      <c r="I46" s="40" t="s">
        <v>41</v>
      </c>
      <c r="J46" s="149">
        <v>150</v>
      </c>
      <c r="K46" s="104">
        <v>160</v>
      </c>
      <c r="L46" s="104">
        <v>2400</v>
      </c>
      <c r="M46" s="164">
        <v>23.291737957669994</v>
      </c>
      <c r="N46" s="78">
        <v>1384.7094</v>
      </c>
      <c r="O46" s="111">
        <v>39561.286961739985</v>
      </c>
      <c r="P46" s="111">
        <v>48674.315655086364</v>
      </c>
      <c r="Q46" s="254">
        <v>22315.455942170465</v>
      </c>
      <c r="R46" s="258">
        <v>61876.742903910446</v>
      </c>
      <c r="S46" s="259">
        <v>70989.771597256826</v>
      </c>
      <c r="U46" s="7" t="s">
        <v>3343</v>
      </c>
    </row>
    <row r="47" spans="1:21" s="65" customFormat="1" ht="16.5" customHeight="1" thickBot="1">
      <c r="A47" s="41" t="s">
        <v>31</v>
      </c>
      <c r="B47" s="42">
        <f t="shared" si="0"/>
        <v>150</v>
      </c>
      <c r="C47" s="42" t="s">
        <v>3</v>
      </c>
      <c r="D47" s="42">
        <f t="shared" si="1"/>
        <v>160</v>
      </c>
      <c r="E47" s="42" t="s">
        <v>3</v>
      </c>
      <c r="F47" s="101">
        <f t="shared" si="2"/>
        <v>2450</v>
      </c>
      <c r="G47" s="42" t="s">
        <v>3</v>
      </c>
      <c r="H47" s="39">
        <v>4</v>
      </c>
      <c r="I47" s="40" t="s">
        <v>41</v>
      </c>
      <c r="J47" s="149">
        <v>150</v>
      </c>
      <c r="K47" s="104">
        <v>160</v>
      </c>
      <c r="L47" s="104">
        <v>2450</v>
      </c>
      <c r="M47" s="164">
        <v>23.872105051453158</v>
      </c>
      <c r="N47" s="78">
        <v>1418.4828</v>
      </c>
      <c r="O47" s="111">
        <v>40796.386409869279</v>
      </c>
      <c r="P47" s="111">
        <v>50025.688807417879</v>
      </c>
      <c r="Q47" s="254">
        <v>22904.280330675971</v>
      </c>
      <c r="R47" s="258">
        <v>63700.666740545246</v>
      </c>
      <c r="S47" s="259">
        <v>72929.969138093846</v>
      </c>
      <c r="U47" s="7" t="s">
        <v>3344</v>
      </c>
    </row>
    <row r="48" spans="1:21" s="65" customFormat="1" ht="16.5" customHeight="1" thickBot="1">
      <c r="A48" s="41" t="s">
        <v>31</v>
      </c>
      <c r="B48" s="42">
        <f t="shared" si="0"/>
        <v>150</v>
      </c>
      <c r="C48" s="42" t="s">
        <v>3</v>
      </c>
      <c r="D48" s="42">
        <f t="shared" si="1"/>
        <v>160</v>
      </c>
      <c r="E48" s="42" t="s">
        <v>3</v>
      </c>
      <c r="F48" s="101">
        <f t="shared" si="2"/>
        <v>2500</v>
      </c>
      <c r="G48" s="42" t="s">
        <v>3</v>
      </c>
      <c r="H48" s="39">
        <v>4</v>
      </c>
      <c r="I48" s="40" t="s">
        <v>41</v>
      </c>
      <c r="J48" s="149">
        <v>150</v>
      </c>
      <c r="K48" s="104">
        <v>160</v>
      </c>
      <c r="L48" s="104">
        <v>2500</v>
      </c>
      <c r="M48" s="164">
        <v>24.329959594476314</v>
      </c>
      <c r="N48" s="78">
        <v>1452.2562</v>
      </c>
      <c r="O48" s="111">
        <v>41484.80497929344</v>
      </c>
      <c r="P48" s="111">
        <v>50896.60137160556</v>
      </c>
      <c r="Q48" s="254">
        <v>23241.770581397705</v>
      </c>
      <c r="R48" s="258">
        <v>64726.575560691141</v>
      </c>
      <c r="S48" s="259">
        <v>74138.371953003269</v>
      </c>
      <c r="U48" s="7" t="s">
        <v>3345</v>
      </c>
    </row>
    <row r="49" spans="1:21" s="65" customFormat="1" ht="16.5" customHeight="1" thickBot="1">
      <c r="A49" s="41" t="s">
        <v>31</v>
      </c>
      <c r="B49" s="42">
        <f t="shared" si="0"/>
        <v>150</v>
      </c>
      <c r="C49" s="42" t="s">
        <v>3</v>
      </c>
      <c r="D49" s="42">
        <f t="shared" si="1"/>
        <v>160</v>
      </c>
      <c r="E49" s="42" t="s">
        <v>3</v>
      </c>
      <c r="F49" s="101">
        <f t="shared" si="2"/>
        <v>2550</v>
      </c>
      <c r="G49" s="42" t="s">
        <v>3</v>
      </c>
      <c r="H49" s="39">
        <v>4</v>
      </c>
      <c r="I49" s="40" t="s">
        <v>41</v>
      </c>
      <c r="J49" s="149">
        <v>150</v>
      </c>
      <c r="K49" s="104">
        <v>160</v>
      </c>
      <c r="L49" s="104">
        <v>2550</v>
      </c>
      <c r="M49" s="164">
        <v>24.804854137499472</v>
      </c>
      <c r="N49" s="78">
        <v>1486.0295999999998</v>
      </c>
      <c r="O49" s="111">
        <v>42173.223701746356</v>
      </c>
      <c r="P49" s="111">
        <v>51767.513782764479</v>
      </c>
      <c r="Q49" s="254">
        <v>23830.594816874447</v>
      </c>
      <c r="R49" s="258">
        <v>66003.818518620799</v>
      </c>
      <c r="S49" s="259">
        <v>75598.10859963893</v>
      </c>
      <c r="U49" s="7" t="s">
        <v>3346</v>
      </c>
    </row>
    <row r="50" spans="1:21" s="65" customFormat="1" ht="16.5" customHeight="1" thickBot="1">
      <c r="A50" s="38" t="s">
        <v>31</v>
      </c>
      <c r="B50" s="39">
        <f t="shared" si="0"/>
        <v>150</v>
      </c>
      <c r="C50" s="39" t="s">
        <v>3</v>
      </c>
      <c r="D50" s="39">
        <f t="shared" si="1"/>
        <v>160</v>
      </c>
      <c r="E50" s="39" t="s">
        <v>3</v>
      </c>
      <c r="F50" s="101">
        <f t="shared" si="2"/>
        <v>2600</v>
      </c>
      <c r="G50" s="39" t="s">
        <v>3</v>
      </c>
      <c r="H50" s="39">
        <v>4</v>
      </c>
      <c r="I50" s="40" t="s">
        <v>41</v>
      </c>
      <c r="J50" s="149">
        <v>150</v>
      </c>
      <c r="K50" s="104">
        <v>160</v>
      </c>
      <c r="L50" s="104">
        <v>2600</v>
      </c>
      <c r="M50" s="164">
        <v>25.262708680522636</v>
      </c>
      <c r="N50" s="78">
        <v>1519.8030000000001</v>
      </c>
      <c r="O50" s="111">
        <v>42861.642424199279</v>
      </c>
      <c r="P50" s="111">
        <v>52638.426193923391</v>
      </c>
      <c r="Q50" s="254">
        <v>24168.085067596181</v>
      </c>
      <c r="R50" s="258">
        <v>67029.727491795464</v>
      </c>
      <c r="S50" s="259">
        <v>76806.511261519569</v>
      </c>
      <c r="U50" s="7" t="s">
        <v>3347</v>
      </c>
    </row>
    <row r="51" spans="1:21" s="65" customFormat="1" ht="16.5" customHeight="1" thickBot="1">
      <c r="A51" s="41" t="s">
        <v>31</v>
      </c>
      <c r="B51" s="42">
        <f t="shared" si="0"/>
        <v>150</v>
      </c>
      <c r="C51" s="42" t="s">
        <v>3</v>
      </c>
      <c r="D51" s="42">
        <f t="shared" si="1"/>
        <v>160</v>
      </c>
      <c r="E51" s="42" t="s">
        <v>3</v>
      </c>
      <c r="F51" s="101">
        <f t="shared" si="2"/>
        <v>2650</v>
      </c>
      <c r="G51" s="42" t="s">
        <v>3</v>
      </c>
      <c r="H51" s="39">
        <v>4</v>
      </c>
      <c r="I51" s="40" t="s">
        <v>41</v>
      </c>
      <c r="J51" s="149">
        <v>150</v>
      </c>
      <c r="K51" s="104">
        <v>160</v>
      </c>
      <c r="L51" s="104">
        <v>2650</v>
      </c>
      <c r="M51" s="164">
        <v>25.737603223545793</v>
      </c>
      <c r="N51" s="78">
        <v>1553.5763999999999</v>
      </c>
      <c r="O51" s="111">
        <v>43550.06099362344</v>
      </c>
      <c r="P51" s="111">
        <v>53509.338758111073</v>
      </c>
      <c r="Q51" s="254">
        <v>24756.909456101686</v>
      </c>
      <c r="R51" s="258">
        <v>68306.970449725122</v>
      </c>
      <c r="S51" s="259">
        <v>78266.248214212756</v>
      </c>
      <c r="U51" s="7" t="s">
        <v>3348</v>
      </c>
    </row>
    <row r="52" spans="1:21" s="65" customFormat="1" ht="16.5" customHeight="1" thickBot="1">
      <c r="A52" s="41" t="s">
        <v>31</v>
      </c>
      <c r="B52" s="42">
        <f t="shared" si="0"/>
        <v>150</v>
      </c>
      <c r="C52" s="42" t="s">
        <v>3</v>
      </c>
      <c r="D52" s="42">
        <f t="shared" si="1"/>
        <v>160</v>
      </c>
      <c r="E52" s="42" t="s">
        <v>3</v>
      </c>
      <c r="F52" s="101">
        <f t="shared" si="2"/>
        <v>2700</v>
      </c>
      <c r="G52" s="42" t="s">
        <v>3</v>
      </c>
      <c r="H52" s="39">
        <v>4</v>
      </c>
      <c r="I52" s="40" t="s">
        <v>41</v>
      </c>
      <c r="J52" s="149">
        <v>150</v>
      </c>
      <c r="K52" s="104">
        <v>160</v>
      </c>
      <c r="L52" s="104">
        <v>2700</v>
      </c>
      <c r="M52" s="164">
        <v>26.273957766568955</v>
      </c>
      <c r="N52" s="78">
        <v>1587.3498</v>
      </c>
      <c r="O52" s="111">
        <v>44318.15169417845</v>
      </c>
      <c r="P52" s="111">
        <v>54464.862915910307</v>
      </c>
      <c r="Q52" s="254">
        <v>25094.399706823424</v>
      </c>
      <c r="R52" s="258">
        <v>69412.551401001867</v>
      </c>
      <c r="S52" s="259">
        <v>79559.262622733731</v>
      </c>
      <c r="U52" s="7" t="s">
        <v>3349</v>
      </c>
    </row>
    <row r="53" spans="1:21" s="65" customFormat="1" ht="16.5" customHeight="1" thickBot="1">
      <c r="A53" s="41" t="s">
        <v>31</v>
      </c>
      <c r="B53" s="42">
        <f t="shared" si="0"/>
        <v>150</v>
      </c>
      <c r="C53" s="42" t="s">
        <v>3</v>
      </c>
      <c r="D53" s="42">
        <f t="shared" si="1"/>
        <v>160</v>
      </c>
      <c r="E53" s="42" t="s">
        <v>3</v>
      </c>
      <c r="F53" s="101">
        <f t="shared" si="2"/>
        <v>2750</v>
      </c>
      <c r="G53" s="42" t="s">
        <v>3</v>
      </c>
      <c r="H53" s="39">
        <v>4</v>
      </c>
      <c r="I53" s="40" t="s">
        <v>41</v>
      </c>
      <c r="J53" s="149">
        <v>150</v>
      </c>
      <c r="K53" s="104">
        <v>160</v>
      </c>
      <c r="L53" s="104">
        <v>2750</v>
      </c>
      <c r="M53" s="164">
        <v>26.731812309592108</v>
      </c>
      <c r="N53" s="78">
        <v>1621.1231999999998</v>
      </c>
      <c r="O53" s="111">
        <v>45006.570416631374</v>
      </c>
      <c r="P53" s="111">
        <v>55335.775480097989</v>
      </c>
      <c r="Q53" s="254">
        <v>25431.889804516391</v>
      </c>
      <c r="R53" s="258">
        <v>70438.460221147761</v>
      </c>
      <c r="S53" s="259">
        <v>80767.665284614384</v>
      </c>
      <c r="U53" s="7" t="s">
        <v>3350</v>
      </c>
    </row>
    <row r="54" spans="1:21" s="65" customFormat="1" ht="16.5" customHeight="1" thickBot="1">
      <c r="A54" s="41" t="s">
        <v>31</v>
      </c>
      <c r="B54" s="42">
        <f t="shared" si="0"/>
        <v>150</v>
      </c>
      <c r="C54" s="42" t="s">
        <v>3</v>
      </c>
      <c r="D54" s="42">
        <f t="shared" si="1"/>
        <v>160</v>
      </c>
      <c r="E54" s="42" t="s">
        <v>3</v>
      </c>
      <c r="F54" s="101">
        <f t="shared" si="2"/>
        <v>2800</v>
      </c>
      <c r="G54" s="42" t="s">
        <v>3</v>
      </c>
      <c r="H54" s="39">
        <v>4</v>
      </c>
      <c r="I54" s="40" t="s">
        <v>41</v>
      </c>
      <c r="J54" s="149">
        <v>150</v>
      </c>
      <c r="K54" s="104">
        <v>160</v>
      </c>
      <c r="L54" s="104">
        <v>2800</v>
      </c>
      <c r="M54" s="164">
        <v>27.206706852615262</v>
      </c>
      <c r="N54" s="78">
        <v>1654.8966</v>
      </c>
      <c r="O54" s="111">
        <v>45694.989139084297</v>
      </c>
      <c r="P54" s="111">
        <v>56206.687891256915</v>
      </c>
      <c r="Q54" s="254">
        <v>26020.714193021897</v>
      </c>
      <c r="R54" s="258">
        <v>71715.70333210619</v>
      </c>
      <c r="S54" s="259">
        <v>82227.402084278816</v>
      </c>
      <c r="U54" s="7" t="s">
        <v>3351</v>
      </c>
    </row>
    <row r="55" spans="1:21" s="65" customFormat="1" ht="16.5" customHeight="1" thickBot="1">
      <c r="A55" s="41" t="s">
        <v>31</v>
      </c>
      <c r="B55" s="42">
        <f t="shared" si="0"/>
        <v>150</v>
      </c>
      <c r="C55" s="42" t="s">
        <v>3</v>
      </c>
      <c r="D55" s="42">
        <f t="shared" si="1"/>
        <v>160</v>
      </c>
      <c r="E55" s="42" t="s">
        <v>3</v>
      </c>
      <c r="F55" s="101">
        <f t="shared" si="2"/>
        <v>2850</v>
      </c>
      <c r="G55" s="42" t="s">
        <v>3</v>
      </c>
      <c r="H55" s="39">
        <v>4</v>
      </c>
      <c r="I55" s="40" t="s">
        <v>41</v>
      </c>
      <c r="J55" s="149">
        <v>150</v>
      </c>
      <c r="K55" s="104">
        <v>160</v>
      </c>
      <c r="L55" s="104">
        <v>2850</v>
      </c>
      <c r="M55" s="164">
        <v>27.664561395638422</v>
      </c>
      <c r="N55" s="78">
        <v>1688.6699999999998</v>
      </c>
      <c r="O55" s="111">
        <v>46383.407708508457</v>
      </c>
      <c r="P55" s="111">
        <v>57077.60030241582</v>
      </c>
      <c r="Q55" s="254">
        <v>26358.204443743634</v>
      </c>
      <c r="R55" s="258">
        <v>72741.612152252084</v>
      </c>
      <c r="S55" s="259">
        <v>83435.804746159454</v>
      </c>
      <c r="U55" s="7" t="s">
        <v>3352</v>
      </c>
    </row>
    <row r="56" spans="1:21" s="65" customFormat="1" ht="16.5" customHeight="1" thickBot="1">
      <c r="A56" s="41" t="s">
        <v>31</v>
      </c>
      <c r="B56" s="42">
        <f t="shared" si="0"/>
        <v>150</v>
      </c>
      <c r="C56" s="42" t="s">
        <v>3</v>
      </c>
      <c r="D56" s="42">
        <f t="shared" si="1"/>
        <v>160</v>
      </c>
      <c r="E56" s="42" t="s">
        <v>3</v>
      </c>
      <c r="F56" s="101">
        <f t="shared" si="2"/>
        <v>2900</v>
      </c>
      <c r="G56" s="42" t="s">
        <v>3</v>
      </c>
      <c r="H56" s="39">
        <v>4</v>
      </c>
      <c r="I56" s="40" t="s">
        <v>41</v>
      </c>
      <c r="J56" s="149">
        <v>150</v>
      </c>
      <c r="K56" s="104">
        <v>160</v>
      </c>
      <c r="L56" s="104">
        <v>2900</v>
      </c>
      <c r="M56" s="164">
        <v>28.139455938661577</v>
      </c>
      <c r="N56" s="78">
        <v>1722.4433999999999</v>
      </c>
      <c r="O56" s="111">
        <v>47071.826430961381</v>
      </c>
      <c r="P56" s="111">
        <v>57948.512866603509</v>
      </c>
      <c r="Q56" s="254">
        <v>26947.028832249136</v>
      </c>
      <c r="R56" s="258">
        <v>74018.855263210513</v>
      </c>
      <c r="S56" s="259">
        <v>84895.541698852641</v>
      </c>
      <c r="U56" s="7" t="s">
        <v>3353</v>
      </c>
    </row>
    <row r="57" spans="1:21" s="65" customFormat="1" ht="16.5" customHeight="1" thickBot="1">
      <c r="A57" s="41" t="s">
        <v>31</v>
      </c>
      <c r="B57" s="42">
        <f t="shared" si="0"/>
        <v>150</v>
      </c>
      <c r="C57" s="42" t="s">
        <v>3</v>
      </c>
      <c r="D57" s="42">
        <f t="shared" si="1"/>
        <v>160</v>
      </c>
      <c r="E57" s="42" t="s">
        <v>3</v>
      </c>
      <c r="F57" s="101">
        <f t="shared" si="2"/>
        <v>2950</v>
      </c>
      <c r="G57" s="42" t="s">
        <v>3</v>
      </c>
      <c r="H57" s="39">
        <v>4</v>
      </c>
      <c r="I57" s="40" t="s">
        <v>41</v>
      </c>
      <c r="J57" s="149">
        <v>150</v>
      </c>
      <c r="K57" s="104">
        <v>160</v>
      </c>
      <c r="L57" s="104">
        <v>2950</v>
      </c>
      <c r="M57" s="164">
        <v>28.597310481684737</v>
      </c>
      <c r="N57" s="78">
        <v>1756.2167999999999</v>
      </c>
      <c r="O57" s="111">
        <v>47760.245000385541</v>
      </c>
      <c r="P57" s="111">
        <v>58819.425277762428</v>
      </c>
      <c r="Q57" s="254">
        <v>27284.518929942107</v>
      </c>
      <c r="R57" s="258">
        <v>75044.763930327652</v>
      </c>
      <c r="S57" s="259">
        <v>86103.944207704539</v>
      </c>
      <c r="U57" s="7" t="s">
        <v>3354</v>
      </c>
    </row>
    <row r="58" spans="1:21" s="65" customFormat="1" ht="16.5" customHeight="1" thickBot="1">
      <c r="A58" s="43" t="s">
        <v>31</v>
      </c>
      <c r="B58" s="44">
        <f t="shared" si="0"/>
        <v>150</v>
      </c>
      <c r="C58" s="44" t="s">
        <v>3</v>
      </c>
      <c r="D58" s="44">
        <f t="shared" si="1"/>
        <v>160</v>
      </c>
      <c r="E58" s="44" t="s">
        <v>3</v>
      </c>
      <c r="F58" s="102">
        <f t="shared" si="2"/>
        <v>3000</v>
      </c>
      <c r="G58" s="44" t="s">
        <v>3</v>
      </c>
      <c r="H58" s="46">
        <v>4</v>
      </c>
      <c r="I58" s="45" t="s">
        <v>41</v>
      </c>
      <c r="J58" s="151">
        <v>150</v>
      </c>
      <c r="K58" s="134">
        <v>160</v>
      </c>
      <c r="L58" s="134">
        <v>3000</v>
      </c>
      <c r="M58" s="171">
        <v>29.072205024707895</v>
      </c>
      <c r="N58" s="127">
        <v>1789.9902</v>
      </c>
      <c r="O58" s="135">
        <v>49513.57988127225</v>
      </c>
      <c r="P58" s="135">
        <v>60821.278567154608</v>
      </c>
      <c r="Q58" s="255">
        <v>27873.343318447616</v>
      </c>
      <c r="R58" s="260">
        <v>77386.923199719866</v>
      </c>
      <c r="S58" s="261">
        <v>88694.621885602217</v>
      </c>
      <c r="U58" s="7" t="s">
        <v>3355</v>
      </c>
    </row>
    <row r="59" spans="1:21" ht="22.5" customHeight="1" thickBot="1">
      <c r="A59" s="2968" t="s">
        <v>473</v>
      </c>
      <c r="B59" s="2969"/>
      <c r="C59" s="2969"/>
      <c r="D59" s="2969"/>
      <c r="E59" s="2969"/>
      <c r="F59" s="2969"/>
      <c r="G59" s="2969"/>
      <c r="H59" s="2969"/>
      <c r="I59" s="2969"/>
      <c r="J59" s="2969"/>
      <c r="K59" s="2969"/>
      <c r="L59" s="2969"/>
      <c r="M59" s="2969"/>
      <c r="N59" s="2969"/>
      <c r="O59" s="2969"/>
      <c r="P59" s="2969"/>
      <c r="Q59" s="2969"/>
      <c r="R59" s="3018"/>
      <c r="S59" s="3019"/>
      <c r="U59" s="7"/>
    </row>
    <row r="60" spans="1:21" ht="16.5" customHeight="1" thickBot="1">
      <c r="A60" s="2974" t="s">
        <v>117</v>
      </c>
      <c r="B60" s="2975"/>
      <c r="C60" s="2975"/>
      <c r="D60" s="2975"/>
      <c r="E60" s="2975"/>
      <c r="F60" s="2975"/>
      <c r="G60" s="2975"/>
      <c r="H60" s="2975"/>
      <c r="I60" s="2975"/>
      <c r="J60" s="2975"/>
      <c r="K60" s="2975"/>
      <c r="L60" s="2975"/>
      <c r="M60" s="2975"/>
      <c r="N60" s="2975"/>
      <c r="O60" s="2975"/>
      <c r="P60" s="2975"/>
      <c r="Q60" s="2975"/>
      <c r="R60" s="2975"/>
      <c r="S60" s="2976"/>
      <c r="U60" s="7"/>
    </row>
    <row r="61" spans="1:21" ht="16.5" customHeight="1" thickBot="1">
      <c r="A61" s="38" t="s">
        <v>31</v>
      </c>
      <c r="B61" s="39">
        <f>J61</f>
        <v>150</v>
      </c>
      <c r="C61" s="39" t="s">
        <v>3</v>
      </c>
      <c r="D61" s="39">
        <f>K61</f>
        <v>200</v>
      </c>
      <c r="E61" s="39" t="s">
        <v>3</v>
      </c>
      <c r="F61" s="90">
        <f>L61</f>
        <v>600</v>
      </c>
      <c r="G61" s="39" t="s">
        <v>3</v>
      </c>
      <c r="H61" s="39">
        <v>4</v>
      </c>
      <c r="I61" s="40" t="s">
        <v>41</v>
      </c>
      <c r="J61" s="146">
        <v>150</v>
      </c>
      <c r="K61" s="122">
        <v>200</v>
      </c>
      <c r="L61" s="122">
        <v>600</v>
      </c>
      <c r="M61" s="163">
        <v>6.2413193860363165</v>
      </c>
      <c r="N61" s="123">
        <v>194.1</v>
      </c>
      <c r="O61" s="124">
        <v>14335.677637180612</v>
      </c>
      <c r="P61" s="153">
        <v>17047.48217353769</v>
      </c>
      <c r="Q61" s="139">
        <v>7123.1890801891068</v>
      </c>
      <c r="R61" s="256">
        <v>21458.866717369718</v>
      </c>
      <c r="S61" s="257">
        <v>24170.671253726796</v>
      </c>
      <c r="U61" s="7" t="s">
        <v>3356</v>
      </c>
    </row>
    <row r="62" spans="1:21" ht="16.5" customHeight="1" thickBot="1">
      <c r="A62" s="41" t="s">
        <v>31</v>
      </c>
      <c r="B62" s="42">
        <f t="shared" ref="B62:B109" si="3">J62</f>
        <v>150</v>
      </c>
      <c r="C62" s="42" t="s">
        <v>3</v>
      </c>
      <c r="D62" s="42">
        <f t="shared" ref="D62:D109" si="4">K62</f>
        <v>200</v>
      </c>
      <c r="E62" s="42" t="s">
        <v>3</v>
      </c>
      <c r="F62" s="90">
        <f t="shared" ref="F62:F109" si="5">L62</f>
        <v>650</v>
      </c>
      <c r="G62" s="42" t="s">
        <v>3</v>
      </c>
      <c r="H62" s="39">
        <v>4</v>
      </c>
      <c r="I62" s="40" t="s">
        <v>41</v>
      </c>
      <c r="J62" s="149">
        <v>150</v>
      </c>
      <c r="K62" s="66">
        <v>200</v>
      </c>
      <c r="L62" s="66">
        <v>650</v>
      </c>
      <c r="M62" s="164">
        <v>6.7018394860594732</v>
      </c>
      <c r="N62" s="78">
        <v>232.92</v>
      </c>
      <c r="O62" s="113">
        <v>15064.881739143415</v>
      </c>
      <c r="P62" s="109">
        <v>17954.182044737503</v>
      </c>
      <c r="Q62" s="110">
        <v>7513.8655494313916</v>
      </c>
      <c r="R62" s="258">
        <v>22578.747288574807</v>
      </c>
      <c r="S62" s="259">
        <v>25468.047594168893</v>
      </c>
      <c r="U62" s="7" t="s">
        <v>3357</v>
      </c>
    </row>
    <row r="63" spans="1:21" ht="16.5" customHeight="1" thickBot="1">
      <c r="A63" s="41" t="s">
        <v>31</v>
      </c>
      <c r="B63" s="42">
        <f t="shared" si="3"/>
        <v>150</v>
      </c>
      <c r="C63" s="42" t="s">
        <v>3</v>
      </c>
      <c r="D63" s="42">
        <f t="shared" si="4"/>
        <v>200</v>
      </c>
      <c r="E63" s="42" t="s">
        <v>3</v>
      </c>
      <c r="F63" s="90">
        <f t="shared" si="5"/>
        <v>700</v>
      </c>
      <c r="G63" s="42" t="s">
        <v>3</v>
      </c>
      <c r="H63" s="39">
        <v>4</v>
      </c>
      <c r="I63" s="40" t="s">
        <v>41</v>
      </c>
      <c r="J63" s="149">
        <v>150</v>
      </c>
      <c r="K63" s="66">
        <v>200</v>
      </c>
      <c r="L63" s="66">
        <v>700</v>
      </c>
      <c r="M63" s="164">
        <v>7.1793995860826314</v>
      </c>
      <c r="N63" s="78">
        <v>271.73999999999995</v>
      </c>
      <c r="O63" s="113">
        <v>15794.085688077454</v>
      </c>
      <c r="P63" s="109">
        <v>18860.882068966079</v>
      </c>
      <c r="Q63" s="110">
        <v>8155.8760034286815</v>
      </c>
      <c r="R63" s="258">
        <v>23949.961691506134</v>
      </c>
      <c r="S63" s="259">
        <v>27016.758072394761</v>
      </c>
      <c r="U63" s="7" t="s">
        <v>3358</v>
      </c>
    </row>
    <row r="64" spans="1:21" ht="16.5" customHeight="1" thickBot="1">
      <c r="A64" s="41" t="s">
        <v>31</v>
      </c>
      <c r="B64" s="42">
        <f t="shared" si="3"/>
        <v>150</v>
      </c>
      <c r="C64" s="42" t="s">
        <v>3</v>
      </c>
      <c r="D64" s="42">
        <f t="shared" si="4"/>
        <v>200</v>
      </c>
      <c r="E64" s="42" t="s">
        <v>3</v>
      </c>
      <c r="F64" s="90">
        <f t="shared" si="5"/>
        <v>750</v>
      </c>
      <c r="G64" s="42" t="s">
        <v>3</v>
      </c>
      <c r="H64" s="39">
        <v>4</v>
      </c>
      <c r="I64" s="40" t="s">
        <v>41</v>
      </c>
      <c r="J64" s="149">
        <v>150</v>
      </c>
      <c r="K64" s="66">
        <v>200</v>
      </c>
      <c r="L64" s="66">
        <v>750</v>
      </c>
      <c r="M64" s="164">
        <v>7.6399196861057899</v>
      </c>
      <c r="N64" s="78">
        <v>310.56</v>
      </c>
      <c r="O64" s="113">
        <v>16523.28963701149</v>
      </c>
      <c r="P64" s="109">
        <v>19767.582093194658</v>
      </c>
      <c r="Q64" s="110">
        <v>8546.5523196422018</v>
      </c>
      <c r="R64" s="258">
        <v>25069.84195665369</v>
      </c>
      <c r="S64" s="259">
        <v>28314.134412836858</v>
      </c>
      <c r="U64" s="7" t="s">
        <v>3359</v>
      </c>
    </row>
    <row r="65" spans="1:21" ht="16.5" customHeight="1" thickBot="1">
      <c r="A65" s="41" t="s">
        <v>31</v>
      </c>
      <c r="B65" s="42">
        <f t="shared" si="3"/>
        <v>150</v>
      </c>
      <c r="C65" s="42" t="s">
        <v>3</v>
      </c>
      <c r="D65" s="42">
        <f t="shared" si="4"/>
        <v>200</v>
      </c>
      <c r="E65" s="42" t="s">
        <v>3</v>
      </c>
      <c r="F65" s="90">
        <f t="shared" si="5"/>
        <v>800</v>
      </c>
      <c r="G65" s="42" t="s">
        <v>3</v>
      </c>
      <c r="H65" s="39">
        <v>4</v>
      </c>
      <c r="I65" s="40" t="s">
        <v>41</v>
      </c>
      <c r="J65" s="149">
        <v>150</v>
      </c>
      <c r="K65" s="66">
        <v>200</v>
      </c>
      <c r="L65" s="66">
        <v>800</v>
      </c>
      <c r="M65" s="164">
        <v>8.1004397861289483</v>
      </c>
      <c r="N65" s="78">
        <v>349.37999999999994</v>
      </c>
      <c r="O65" s="113">
        <v>17252.493585945529</v>
      </c>
      <c r="P65" s="109">
        <v>20674.282117423238</v>
      </c>
      <c r="Q65" s="110">
        <v>8937.2286358557212</v>
      </c>
      <c r="R65" s="258">
        <v>26189.72222180125</v>
      </c>
      <c r="S65" s="259">
        <v>29611.510753278959</v>
      </c>
      <c r="U65" s="7" t="s">
        <v>3360</v>
      </c>
    </row>
    <row r="66" spans="1:21" ht="16.5" customHeight="1" thickBot="1">
      <c r="A66" s="41" t="s">
        <v>31</v>
      </c>
      <c r="B66" s="42">
        <f t="shared" si="3"/>
        <v>150</v>
      </c>
      <c r="C66" s="42" t="s">
        <v>3</v>
      </c>
      <c r="D66" s="42">
        <f t="shared" si="4"/>
        <v>200</v>
      </c>
      <c r="E66" s="42" t="s">
        <v>3</v>
      </c>
      <c r="F66" s="90">
        <f t="shared" si="5"/>
        <v>850</v>
      </c>
      <c r="G66" s="42" t="s">
        <v>3</v>
      </c>
      <c r="H66" s="39">
        <v>4</v>
      </c>
      <c r="I66" s="40" t="s">
        <v>41</v>
      </c>
      <c r="J66" s="149">
        <v>150</v>
      </c>
      <c r="K66" s="66">
        <v>200</v>
      </c>
      <c r="L66" s="66">
        <v>850</v>
      </c>
      <c r="M66" s="164">
        <v>8.5779998861521047</v>
      </c>
      <c r="N66" s="78">
        <v>388.2</v>
      </c>
      <c r="O66" s="113">
        <v>17981.697534879564</v>
      </c>
      <c r="P66" s="109">
        <v>21580.982141651817</v>
      </c>
      <c r="Q66" s="110">
        <v>9579.239089853012</v>
      </c>
      <c r="R66" s="258">
        <v>27560.936624732574</v>
      </c>
      <c r="S66" s="259">
        <v>31160.221231504831</v>
      </c>
      <c r="U66" s="7" t="s">
        <v>3361</v>
      </c>
    </row>
    <row r="67" spans="1:21" ht="16.5" customHeight="1" thickBot="1">
      <c r="A67" s="41" t="s">
        <v>31</v>
      </c>
      <c r="B67" s="42">
        <f t="shared" si="3"/>
        <v>150</v>
      </c>
      <c r="C67" s="42" t="s">
        <v>3</v>
      </c>
      <c r="D67" s="42">
        <f t="shared" si="4"/>
        <v>200</v>
      </c>
      <c r="E67" s="42" t="s">
        <v>3</v>
      </c>
      <c r="F67" s="90">
        <f t="shared" si="5"/>
        <v>900</v>
      </c>
      <c r="G67" s="42" t="s">
        <v>3</v>
      </c>
      <c r="H67" s="39">
        <v>4</v>
      </c>
      <c r="I67" s="40" t="s">
        <v>41</v>
      </c>
      <c r="J67" s="149">
        <v>150</v>
      </c>
      <c r="K67" s="66">
        <v>200</v>
      </c>
      <c r="L67" s="66">
        <v>900</v>
      </c>
      <c r="M67" s="164">
        <v>9.0385199861752632</v>
      </c>
      <c r="N67" s="78">
        <v>427.02000000000004</v>
      </c>
      <c r="O67" s="113">
        <v>18710.901483813606</v>
      </c>
      <c r="P67" s="109">
        <v>22487.682165880396</v>
      </c>
      <c r="Q67" s="110">
        <v>9969.915559095296</v>
      </c>
      <c r="R67" s="258">
        <v>28680.8170429089</v>
      </c>
      <c r="S67" s="259">
        <v>32457.597724975691</v>
      </c>
      <c r="U67" s="7" t="s">
        <v>3362</v>
      </c>
    </row>
    <row r="68" spans="1:21" ht="16.5" customHeight="1" thickBot="1">
      <c r="A68" s="41" t="s">
        <v>31</v>
      </c>
      <c r="B68" s="42">
        <f t="shared" si="3"/>
        <v>150</v>
      </c>
      <c r="C68" s="42" t="s">
        <v>3</v>
      </c>
      <c r="D68" s="42">
        <f t="shared" si="4"/>
        <v>200</v>
      </c>
      <c r="E68" s="42" t="s">
        <v>3</v>
      </c>
      <c r="F68" s="90">
        <f t="shared" si="5"/>
        <v>950</v>
      </c>
      <c r="G68" s="42" t="s">
        <v>3</v>
      </c>
      <c r="H68" s="39">
        <v>4</v>
      </c>
      <c r="I68" s="40" t="s">
        <v>41</v>
      </c>
      <c r="J68" s="149">
        <v>150</v>
      </c>
      <c r="K68" s="66">
        <v>200</v>
      </c>
      <c r="L68" s="66">
        <v>950</v>
      </c>
      <c r="M68" s="164">
        <v>9.5160800861984214</v>
      </c>
      <c r="N68" s="78">
        <v>465.84</v>
      </c>
      <c r="O68" s="113">
        <v>19440.105432747645</v>
      </c>
      <c r="P68" s="109">
        <v>23394.382190108976</v>
      </c>
      <c r="Q68" s="110">
        <v>10611.926013092587</v>
      </c>
      <c r="R68" s="258">
        <v>30052.031445840232</v>
      </c>
      <c r="S68" s="259">
        <v>34006.308203201566</v>
      </c>
      <c r="U68" s="7" t="s">
        <v>3363</v>
      </c>
    </row>
    <row r="69" spans="1:21" ht="16.5" customHeight="1" thickBot="1">
      <c r="A69" s="41" t="s">
        <v>31</v>
      </c>
      <c r="B69" s="42">
        <f t="shared" si="3"/>
        <v>150</v>
      </c>
      <c r="C69" s="42" t="s">
        <v>3</v>
      </c>
      <c r="D69" s="42">
        <f t="shared" si="4"/>
        <v>200</v>
      </c>
      <c r="E69" s="42" t="s">
        <v>3</v>
      </c>
      <c r="F69" s="90">
        <f t="shared" si="5"/>
        <v>1000</v>
      </c>
      <c r="G69" s="42" t="s">
        <v>3</v>
      </c>
      <c r="H69" s="39">
        <v>4</v>
      </c>
      <c r="I69" s="40" t="s">
        <v>41</v>
      </c>
      <c r="J69" s="149">
        <v>150</v>
      </c>
      <c r="K69" s="66">
        <v>200</v>
      </c>
      <c r="L69" s="66">
        <v>1000</v>
      </c>
      <c r="M69" s="164">
        <v>9.9766001862215798</v>
      </c>
      <c r="N69" s="78">
        <v>504.65999999999997</v>
      </c>
      <c r="O69" s="113">
        <v>20169.30938168168</v>
      </c>
      <c r="P69" s="109">
        <v>24301.082214337552</v>
      </c>
      <c r="Q69" s="110">
        <v>11002.602329306106</v>
      </c>
      <c r="R69" s="258">
        <v>31171.911710987784</v>
      </c>
      <c r="S69" s="259">
        <v>35303.684543643656</v>
      </c>
      <c r="U69" s="7" t="s">
        <v>3364</v>
      </c>
    </row>
    <row r="70" spans="1:21" ht="16.5" customHeight="1" thickBot="1">
      <c r="A70" s="41" t="s">
        <v>31</v>
      </c>
      <c r="B70" s="42">
        <f t="shared" si="3"/>
        <v>150</v>
      </c>
      <c r="C70" s="42" t="s">
        <v>3</v>
      </c>
      <c r="D70" s="42">
        <f t="shared" si="4"/>
        <v>200</v>
      </c>
      <c r="E70" s="42" t="s">
        <v>3</v>
      </c>
      <c r="F70" s="90">
        <f t="shared" si="5"/>
        <v>1050</v>
      </c>
      <c r="G70" s="42" t="s">
        <v>3</v>
      </c>
      <c r="H70" s="39">
        <v>4</v>
      </c>
      <c r="I70" s="40" t="s">
        <v>41</v>
      </c>
      <c r="J70" s="149">
        <v>150</v>
      </c>
      <c r="K70" s="66">
        <v>200</v>
      </c>
      <c r="L70" s="66">
        <v>1050</v>
      </c>
      <c r="M70" s="164">
        <v>10.454160286244736</v>
      </c>
      <c r="N70" s="78">
        <v>543.4799999999999</v>
      </c>
      <c r="O70" s="113">
        <v>20898.513330615719</v>
      </c>
      <c r="P70" s="109">
        <v>25207.782238566135</v>
      </c>
      <c r="Q70" s="110">
        <v>11644.612783303395</v>
      </c>
      <c r="R70" s="258">
        <v>32543.126113919112</v>
      </c>
      <c r="S70" s="259">
        <v>36852.395021869532</v>
      </c>
      <c r="U70" s="7" t="s">
        <v>3365</v>
      </c>
    </row>
    <row r="71" spans="1:21" ht="16.5" customHeight="1" thickBot="1">
      <c r="A71" s="38" t="s">
        <v>31</v>
      </c>
      <c r="B71" s="39">
        <f t="shared" si="3"/>
        <v>150</v>
      </c>
      <c r="C71" s="39" t="s">
        <v>3</v>
      </c>
      <c r="D71" s="39">
        <f t="shared" si="4"/>
        <v>200</v>
      </c>
      <c r="E71" s="39" t="s">
        <v>3</v>
      </c>
      <c r="F71" s="90">
        <f t="shared" si="5"/>
        <v>1100</v>
      </c>
      <c r="G71" s="39" t="s">
        <v>3</v>
      </c>
      <c r="H71" s="39">
        <v>4</v>
      </c>
      <c r="I71" s="40" t="s">
        <v>41</v>
      </c>
      <c r="J71" s="149">
        <v>150</v>
      </c>
      <c r="K71" s="66">
        <v>200</v>
      </c>
      <c r="L71" s="66">
        <v>1100</v>
      </c>
      <c r="M71" s="164">
        <v>10.914680386267893</v>
      </c>
      <c r="N71" s="78">
        <v>582.29999999999995</v>
      </c>
      <c r="O71" s="113">
        <v>21627.717279549757</v>
      </c>
      <c r="P71" s="109">
        <v>26114.482109765948</v>
      </c>
      <c r="Q71" s="110">
        <v>12035.289252545683</v>
      </c>
      <c r="R71" s="258">
        <v>33663.006532095438</v>
      </c>
      <c r="S71" s="259">
        <v>38149.771362311629</v>
      </c>
      <c r="U71" s="7" t="s">
        <v>3366</v>
      </c>
    </row>
    <row r="72" spans="1:21" ht="16.5" customHeight="1" thickBot="1">
      <c r="A72" s="41" t="s">
        <v>31</v>
      </c>
      <c r="B72" s="42">
        <f t="shared" si="3"/>
        <v>150</v>
      </c>
      <c r="C72" s="42" t="s">
        <v>3</v>
      </c>
      <c r="D72" s="42">
        <f t="shared" si="4"/>
        <v>200</v>
      </c>
      <c r="E72" s="42" t="s">
        <v>3</v>
      </c>
      <c r="F72" s="90">
        <f t="shared" si="5"/>
        <v>1150</v>
      </c>
      <c r="G72" s="42" t="s">
        <v>3</v>
      </c>
      <c r="H72" s="39">
        <v>4</v>
      </c>
      <c r="I72" s="40" t="s">
        <v>41</v>
      </c>
      <c r="J72" s="149">
        <v>150</v>
      </c>
      <c r="K72" s="66">
        <v>200</v>
      </c>
      <c r="L72" s="66">
        <v>1150</v>
      </c>
      <c r="M72" s="164">
        <v>11.375200486291053</v>
      </c>
      <c r="N72" s="78">
        <v>621.12</v>
      </c>
      <c r="O72" s="113">
        <v>22356.921228483796</v>
      </c>
      <c r="P72" s="109">
        <v>27021.182133994527</v>
      </c>
      <c r="Q72" s="110">
        <v>12425.965568759202</v>
      </c>
      <c r="R72" s="258">
        <v>34782.886797243002</v>
      </c>
      <c r="S72" s="259">
        <v>39447.147702753733</v>
      </c>
      <c r="U72" s="7" t="s">
        <v>3367</v>
      </c>
    </row>
    <row r="73" spans="1:21" ht="16.5" customHeight="1" thickBot="1">
      <c r="A73" s="41" t="s">
        <v>31</v>
      </c>
      <c r="B73" s="42">
        <f t="shared" si="3"/>
        <v>150</v>
      </c>
      <c r="C73" s="42" t="s">
        <v>3</v>
      </c>
      <c r="D73" s="42">
        <f t="shared" si="4"/>
        <v>200</v>
      </c>
      <c r="E73" s="42" t="s">
        <v>3</v>
      </c>
      <c r="F73" s="90">
        <f t="shared" si="5"/>
        <v>1200</v>
      </c>
      <c r="G73" s="42" t="s">
        <v>3</v>
      </c>
      <c r="H73" s="39">
        <v>4</v>
      </c>
      <c r="I73" s="40" t="s">
        <v>41</v>
      </c>
      <c r="J73" s="149">
        <v>150</v>
      </c>
      <c r="K73" s="66">
        <v>200</v>
      </c>
      <c r="L73" s="66">
        <v>1200</v>
      </c>
      <c r="M73" s="164">
        <v>11.93126058631421</v>
      </c>
      <c r="N73" s="78">
        <v>659.94</v>
      </c>
      <c r="O73" s="113">
        <v>23170.223359522399</v>
      </c>
      <c r="P73" s="109">
        <v>28012.49390486343</v>
      </c>
      <c r="Q73" s="110">
        <v>13067.976022756491</v>
      </c>
      <c r="R73" s="258">
        <v>36238.199382278894</v>
      </c>
      <c r="S73" s="259">
        <v>41080.469927619924</v>
      </c>
      <c r="U73" s="7" t="s">
        <v>3368</v>
      </c>
    </row>
    <row r="74" spans="1:21" ht="16.5" customHeight="1" thickBot="1">
      <c r="A74" s="41" t="s">
        <v>31</v>
      </c>
      <c r="B74" s="42">
        <f t="shared" si="3"/>
        <v>150</v>
      </c>
      <c r="C74" s="42" t="s">
        <v>3</v>
      </c>
      <c r="D74" s="42">
        <f t="shared" si="4"/>
        <v>200</v>
      </c>
      <c r="E74" s="42" t="s">
        <v>3</v>
      </c>
      <c r="F74" s="90">
        <f t="shared" si="5"/>
        <v>1250</v>
      </c>
      <c r="G74" s="42" t="s">
        <v>3</v>
      </c>
      <c r="H74" s="39">
        <v>4</v>
      </c>
      <c r="I74" s="40" t="s">
        <v>41</v>
      </c>
      <c r="J74" s="149">
        <v>150</v>
      </c>
      <c r="K74" s="66">
        <v>200</v>
      </c>
      <c r="L74" s="66">
        <v>1250</v>
      </c>
      <c r="M74" s="164">
        <v>12.391780686337366</v>
      </c>
      <c r="N74" s="78">
        <v>698.75999999999988</v>
      </c>
      <c r="O74" s="113">
        <v>23899.427308456434</v>
      </c>
      <c r="P74" s="109">
        <v>28919.193929092009</v>
      </c>
      <c r="Q74" s="110">
        <v>13458.652338970012</v>
      </c>
      <c r="R74" s="258">
        <v>37358.07964742645</v>
      </c>
      <c r="S74" s="259">
        <v>42377.846268062021</v>
      </c>
      <c r="U74" s="7" t="s">
        <v>3369</v>
      </c>
    </row>
    <row r="75" spans="1:21" ht="16.5" customHeight="1" thickBot="1">
      <c r="A75" s="41" t="s">
        <v>31</v>
      </c>
      <c r="B75" s="42">
        <f t="shared" si="3"/>
        <v>150</v>
      </c>
      <c r="C75" s="42" t="s">
        <v>3</v>
      </c>
      <c r="D75" s="42">
        <f t="shared" si="4"/>
        <v>200</v>
      </c>
      <c r="E75" s="42" t="s">
        <v>3</v>
      </c>
      <c r="F75" s="90">
        <f t="shared" si="5"/>
        <v>1300</v>
      </c>
      <c r="G75" s="42" t="s">
        <v>3</v>
      </c>
      <c r="H75" s="39">
        <v>4</v>
      </c>
      <c r="I75" s="40" t="s">
        <v>41</v>
      </c>
      <c r="J75" s="149">
        <v>150</v>
      </c>
      <c r="K75" s="66">
        <v>200</v>
      </c>
      <c r="L75" s="66">
        <v>1300</v>
      </c>
      <c r="M75" s="164">
        <v>12.869340786360526</v>
      </c>
      <c r="N75" s="78">
        <v>737.57999999999993</v>
      </c>
      <c r="O75" s="113">
        <v>24628.631257390472</v>
      </c>
      <c r="P75" s="109">
        <v>29825.893953320585</v>
      </c>
      <c r="Q75" s="110">
        <v>14100.662792967301</v>
      </c>
      <c r="R75" s="258">
        <v>38729.29405035777</v>
      </c>
      <c r="S75" s="259">
        <v>43926.556746287883</v>
      </c>
      <c r="U75" s="7" t="s">
        <v>3370</v>
      </c>
    </row>
    <row r="76" spans="1:21" ht="16.5" customHeight="1" thickBot="1">
      <c r="A76" s="41" t="s">
        <v>31</v>
      </c>
      <c r="B76" s="42">
        <f t="shared" si="3"/>
        <v>150</v>
      </c>
      <c r="C76" s="42" t="s">
        <v>3</v>
      </c>
      <c r="D76" s="42">
        <f t="shared" si="4"/>
        <v>200</v>
      </c>
      <c r="E76" s="42" t="s">
        <v>3</v>
      </c>
      <c r="F76" s="90">
        <f t="shared" si="5"/>
        <v>1350</v>
      </c>
      <c r="G76" s="42" t="s">
        <v>3</v>
      </c>
      <c r="H76" s="39">
        <v>4</v>
      </c>
      <c r="I76" s="40" t="s">
        <v>41</v>
      </c>
      <c r="J76" s="149">
        <v>150</v>
      </c>
      <c r="K76" s="66">
        <v>200</v>
      </c>
      <c r="L76" s="66">
        <v>1350</v>
      </c>
      <c r="M76" s="164">
        <v>13.329860886383685</v>
      </c>
      <c r="N76" s="78">
        <v>776.4</v>
      </c>
      <c r="O76" s="113">
        <v>25357.835206324511</v>
      </c>
      <c r="P76" s="109">
        <v>30732.593977549164</v>
      </c>
      <c r="Q76" s="110">
        <v>14491.339262209587</v>
      </c>
      <c r="R76" s="258">
        <v>39849.174468534096</v>
      </c>
      <c r="S76" s="259">
        <v>45223.93323975875</v>
      </c>
      <c r="U76" s="7" t="s">
        <v>3371</v>
      </c>
    </row>
    <row r="77" spans="1:21" ht="16.5" customHeight="1" thickBot="1">
      <c r="A77" s="41" t="s">
        <v>31</v>
      </c>
      <c r="B77" s="42">
        <f t="shared" si="3"/>
        <v>150</v>
      </c>
      <c r="C77" s="42" t="s">
        <v>3</v>
      </c>
      <c r="D77" s="42">
        <f t="shared" si="4"/>
        <v>200</v>
      </c>
      <c r="E77" s="42" t="s">
        <v>3</v>
      </c>
      <c r="F77" s="90">
        <f t="shared" si="5"/>
        <v>1400</v>
      </c>
      <c r="G77" s="42" t="s">
        <v>3</v>
      </c>
      <c r="H77" s="39">
        <v>4</v>
      </c>
      <c r="I77" s="40" t="s">
        <v>41</v>
      </c>
      <c r="J77" s="149">
        <v>150</v>
      </c>
      <c r="K77" s="66">
        <v>200</v>
      </c>
      <c r="L77" s="66">
        <v>1400</v>
      </c>
      <c r="M77" s="164">
        <v>13.807420986406843</v>
      </c>
      <c r="N77" s="78">
        <v>815.22</v>
      </c>
      <c r="O77" s="113">
        <v>26087.039155258553</v>
      </c>
      <c r="P77" s="109">
        <v>31639.294001777744</v>
      </c>
      <c r="Q77" s="110">
        <v>15133.349716206876</v>
      </c>
      <c r="R77" s="258">
        <v>41220.388871465431</v>
      </c>
      <c r="S77" s="259">
        <v>46772.643717984618</v>
      </c>
      <c r="U77" s="7" t="s">
        <v>3372</v>
      </c>
    </row>
    <row r="78" spans="1:21" ht="16.5" customHeight="1" thickBot="1">
      <c r="A78" s="41" t="s">
        <v>31</v>
      </c>
      <c r="B78" s="42">
        <f t="shared" si="3"/>
        <v>150</v>
      </c>
      <c r="C78" s="42" t="s">
        <v>3</v>
      </c>
      <c r="D78" s="42">
        <f t="shared" si="4"/>
        <v>200</v>
      </c>
      <c r="E78" s="42" t="s">
        <v>3</v>
      </c>
      <c r="F78" s="90">
        <f t="shared" si="5"/>
        <v>1450</v>
      </c>
      <c r="G78" s="42" t="s">
        <v>3</v>
      </c>
      <c r="H78" s="39">
        <v>4</v>
      </c>
      <c r="I78" s="40" t="s">
        <v>41</v>
      </c>
      <c r="J78" s="149">
        <v>150</v>
      </c>
      <c r="K78" s="66">
        <v>200</v>
      </c>
      <c r="L78" s="66">
        <v>1450</v>
      </c>
      <c r="M78" s="164">
        <v>14.267941086430003</v>
      </c>
      <c r="N78" s="78">
        <v>854.04000000000008</v>
      </c>
      <c r="O78" s="113">
        <v>26816.243104192588</v>
      </c>
      <c r="P78" s="109">
        <v>32545.993872977557</v>
      </c>
      <c r="Q78" s="110">
        <v>15524.026032420395</v>
      </c>
      <c r="R78" s="258">
        <v>42340.269136612987</v>
      </c>
      <c r="S78" s="259">
        <v>48070.019905397952</v>
      </c>
      <c r="U78" s="7" t="s">
        <v>3373</v>
      </c>
    </row>
    <row r="79" spans="1:21" ht="16.5" customHeight="1" thickBot="1">
      <c r="A79" s="41" t="s">
        <v>31</v>
      </c>
      <c r="B79" s="42">
        <f t="shared" si="3"/>
        <v>150</v>
      </c>
      <c r="C79" s="42" t="s">
        <v>3</v>
      </c>
      <c r="D79" s="42">
        <f t="shared" si="4"/>
        <v>200</v>
      </c>
      <c r="E79" s="42" t="s">
        <v>3</v>
      </c>
      <c r="F79" s="90">
        <f t="shared" si="5"/>
        <v>1500</v>
      </c>
      <c r="G79" s="42" t="s">
        <v>3</v>
      </c>
      <c r="H79" s="39">
        <v>4</v>
      </c>
      <c r="I79" s="40" t="s">
        <v>41</v>
      </c>
      <c r="J79" s="149">
        <v>150</v>
      </c>
      <c r="K79" s="66">
        <v>200</v>
      </c>
      <c r="L79" s="66">
        <v>1500</v>
      </c>
      <c r="M79" s="164">
        <v>14.852527308753157</v>
      </c>
      <c r="N79" s="78">
        <v>892.8599999999999</v>
      </c>
      <c r="O79" s="113">
        <v>28151.30905222609</v>
      </c>
      <c r="P79" s="109">
        <v>33990.404994843477</v>
      </c>
      <c r="Q79" s="110">
        <v>16166.036486417688</v>
      </c>
      <c r="R79" s="258">
        <v>44317.345538643778</v>
      </c>
      <c r="S79" s="259">
        <v>50156.441481261165</v>
      </c>
      <c r="U79" s="7" t="s">
        <v>3374</v>
      </c>
    </row>
    <row r="80" spans="1:21" ht="16.5" customHeight="1" thickBot="1">
      <c r="A80" s="41" t="s">
        <v>31</v>
      </c>
      <c r="B80" s="42">
        <f t="shared" si="3"/>
        <v>150</v>
      </c>
      <c r="C80" s="42" t="s">
        <v>3</v>
      </c>
      <c r="D80" s="42">
        <f t="shared" si="4"/>
        <v>200</v>
      </c>
      <c r="E80" s="42" t="s">
        <v>3</v>
      </c>
      <c r="F80" s="90">
        <f t="shared" si="5"/>
        <v>1550</v>
      </c>
      <c r="G80" s="42" t="s">
        <v>3</v>
      </c>
      <c r="H80" s="39">
        <v>4</v>
      </c>
      <c r="I80" s="40" t="s">
        <v>41</v>
      </c>
      <c r="J80" s="149">
        <v>150</v>
      </c>
      <c r="K80" s="66">
        <v>200</v>
      </c>
      <c r="L80" s="66">
        <v>1550</v>
      </c>
      <c r="M80" s="164">
        <v>15.313047408776313</v>
      </c>
      <c r="N80" s="78">
        <v>931.68</v>
      </c>
      <c r="O80" s="113">
        <v>28880.513001160129</v>
      </c>
      <c r="P80" s="109">
        <v>34897.105019072049</v>
      </c>
      <c r="Q80" s="110">
        <v>16556.712955659972</v>
      </c>
      <c r="R80" s="258">
        <v>45437.225956820097</v>
      </c>
      <c r="S80" s="259">
        <v>51453.817974732025</v>
      </c>
      <c r="U80" s="7" t="s">
        <v>3375</v>
      </c>
    </row>
    <row r="81" spans="1:21" ht="16.5" customHeight="1" thickBot="1">
      <c r="A81" s="38" t="s">
        <v>31</v>
      </c>
      <c r="B81" s="39">
        <f t="shared" si="3"/>
        <v>150</v>
      </c>
      <c r="C81" s="39" t="s">
        <v>3</v>
      </c>
      <c r="D81" s="39">
        <f t="shared" si="4"/>
        <v>200</v>
      </c>
      <c r="E81" s="39" t="s">
        <v>3</v>
      </c>
      <c r="F81" s="90">
        <f t="shared" si="5"/>
        <v>1600</v>
      </c>
      <c r="G81" s="39" t="s">
        <v>3</v>
      </c>
      <c r="H81" s="39">
        <v>4</v>
      </c>
      <c r="I81" s="40" t="s">
        <v>41</v>
      </c>
      <c r="J81" s="149">
        <v>150</v>
      </c>
      <c r="K81" s="66">
        <v>200</v>
      </c>
      <c r="L81" s="66">
        <v>1600</v>
      </c>
      <c r="M81" s="164">
        <v>15.773567508799472</v>
      </c>
      <c r="N81" s="78">
        <v>970.5</v>
      </c>
      <c r="O81" s="113">
        <v>29609.716950094164</v>
      </c>
      <c r="P81" s="109">
        <v>35803.805043300636</v>
      </c>
      <c r="Q81" s="110">
        <v>16947.389271873493</v>
      </c>
      <c r="R81" s="258">
        <v>46557.106221967653</v>
      </c>
      <c r="S81" s="259">
        <v>52751.194315174129</v>
      </c>
      <c r="U81" s="7" t="s">
        <v>3376</v>
      </c>
    </row>
    <row r="82" spans="1:21" ht="16.5" customHeight="1" thickBot="1">
      <c r="A82" s="41" t="s">
        <v>31</v>
      </c>
      <c r="B82" s="42">
        <f t="shared" si="3"/>
        <v>150</v>
      </c>
      <c r="C82" s="42" t="s">
        <v>3</v>
      </c>
      <c r="D82" s="42">
        <f t="shared" si="4"/>
        <v>200</v>
      </c>
      <c r="E82" s="42" t="s">
        <v>3</v>
      </c>
      <c r="F82" s="90">
        <f t="shared" si="5"/>
        <v>1650</v>
      </c>
      <c r="G82" s="42" t="s">
        <v>3</v>
      </c>
      <c r="H82" s="39">
        <v>4</v>
      </c>
      <c r="I82" s="40" t="s">
        <v>41</v>
      </c>
      <c r="J82" s="149">
        <v>150</v>
      </c>
      <c r="K82" s="66">
        <v>200</v>
      </c>
      <c r="L82" s="66">
        <v>1650</v>
      </c>
      <c r="M82" s="164">
        <v>16.251127608822632</v>
      </c>
      <c r="N82" s="78">
        <v>1009.3199999999999</v>
      </c>
      <c r="O82" s="113">
        <v>30338.920899028199</v>
      </c>
      <c r="P82" s="109">
        <v>36710.505067529215</v>
      </c>
      <c r="Q82" s="110">
        <v>17589.399725870782</v>
      </c>
      <c r="R82" s="258">
        <v>47928.320624898981</v>
      </c>
      <c r="S82" s="259">
        <v>54299.904793399997</v>
      </c>
      <c r="U82" s="7" t="s">
        <v>3377</v>
      </c>
    </row>
    <row r="83" spans="1:21" ht="16.5" customHeight="1" thickBot="1">
      <c r="A83" s="41" t="s">
        <v>31</v>
      </c>
      <c r="B83" s="42">
        <f t="shared" si="3"/>
        <v>150</v>
      </c>
      <c r="C83" s="42" t="s">
        <v>3</v>
      </c>
      <c r="D83" s="42">
        <f t="shared" si="4"/>
        <v>200</v>
      </c>
      <c r="E83" s="42" t="s">
        <v>3</v>
      </c>
      <c r="F83" s="90">
        <f t="shared" si="5"/>
        <v>1700</v>
      </c>
      <c r="G83" s="42" t="s">
        <v>3</v>
      </c>
      <c r="H83" s="39">
        <v>4</v>
      </c>
      <c r="I83" s="40" t="s">
        <v>41</v>
      </c>
      <c r="J83" s="149">
        <v>150</v>
      </c>
      <c r="K83" s="66">
        <v>200</v>
      </c>
      <c r="L83" s="66">
        <v>1700</v>
      </c>
      <c r="M83" s="164">
        <v>16.711647708845788</v>
      </c>
      <c r="N83" s="78">
        <v>1048.1400000000001</v>
      </c>
      <c r="O83" s="113">
        <v>31068.124847962241</v>
      </c>
      <c r="P83" s="109">
        <v>37617.205091757794</v>
      </c>
      <c r="Q83" s="110">
        <v>17980.076042084303</v>
      </c>
      <c r="R83" s="258">
        <v>49048.200890046544</v>
      </c>
      <c r="S83" s="259">
        <v>55597.281133842102</v>
      </c>
      <c r="U83" s="7" t="s">
        <v>3378</v>
      </c>
    </row>
    <row r="84" spans="1:21" ht="16.5" customHeight="1" thickBot="1">
      <c r="A84" s="41" t="s">
        <v>31</v>
      </c>
      <c r="B84" s="42">
        <f t="shared" si="3"/>
        <v>150</v>
      </c>
      <c r="C84" s="42" t="s">
        <v>3</v>
      </c>
      <c r="D84" s="42">
        <f t="shared" si="4"/>
        <v>200</v>
      </c>
      <c r="E84" s="42" t="s">
        <v>3</v>
      </c>
      <c r="F84" s="90">
        <f t="shared" si="5"/>
        <v>1750</v>
      </c>
      <c r="G84" s="42" t="s">
        <v>3</v>
      </c>
      <c r="H84" s="39">
        <v>4</v>
      </c>
      <c r="I84" s="40" t="s">
        <v>41</v>
      </c>
      <c r="J84" s="149">
        <v>150</v>
      </c>
      <c r="K84" s="66">
        <v>200</v>
      </c>
      <c r="L84" s="66">
        <v>1750</v>
      </c>
      <c r="M84" s="164">
        <v>17.189207808868947</v>
      </c>
      <c r="N84" s="78">
        <v>1086.9599999999998</v>
      </c>
      <c r="O84" s="113">
        <v>31797.32879689628</v>
      </c>
      <c r="P84" s="109">
        <v>38523.905115986374</v>
      </c>
      <c r="Q84" s="110">
        <v>18622.086496081592</v>
      </c>
      <c r="R84" s="258">
        <v>50419.415292977872</v>
      </c>
      <c r="S84" s="259">
        <v>57145.99161206797</v>
      </c>
      <c r="U84" s="7" t="s">
        <v>3379</v>
      </c>
    </row>
    <row r="85" spans="1:21" ht="16.5" customHeight="1" thickBot="1">
      <c r="A85" s="41" t="s">
        <v>31</v>
      </c>
      <c r="B85" s="42">
        <f t="shared" si="3"/>
        <v>150</v>
      </c>
      <c r="C85" s="42" t="s">
        <v>3</v>
      </c>
      <c r="D85" s="42">
        <f t="shared" si="4"/>
        <v>200</v>
      </c>
      <c r="E85" s="42" t="s">
        <v>3</v>
      </c>
      <c r="F85" s="90">
        <f t="shared" si="5"/>
        <v>1800</v>
      </c>
      <c r="G85" s="42" t="s">
        <v>3</v>
      </c>
      <c r="H85" s="39">
        <v>4</v>
      </c>
      <c r="I85" s="40" t="s">
        <v>41</v>
      </c>
      <c r="J85" s="149">
        <v>150</v>
      </c>
      <c r="K85" s="66">
        <v>200</v>
      </c>
      <c r="L85" s="66">
        <v>1800</v>
      </c>
      <c r="M85" s="164">
        <v>17.649727908892103</v>
      </c>
      <c r="N85" s="78">
        <v>1125.78</v>
      </c>
      <c r="O85" s="113">
        <v>32526.532745830315</v>
      </c>
      <c r="P85" s="109">
        <v>39430.604987186183</v>
      </c>
      <c r="Q85" s="110">
        <v>19012.762965323876</v>
      </c>
      <c r="R85" s="258">
        <v>51539.295711154191</v>
      </c>
      <c r="S85" s="259">
        <v>58443.36795251006</v>
      </c>
      <c r="U85" s="7" t="s">
        <v>3380</v>
      </c>
    </row>
    <row r="86" spans="1:21" ht="16.5" customHeight="1" thickBot="1">
      <c r="A86" s="41" t="s">
        <v>31</v>
      </c>
      <c r="B86" s="42">
        <f t="shared" si="3"/>
        <v>150</v>
      </c>
      <c r="C86" s="42" t="s">
        <v>3</v>
      </c>
      <c r="D86" s="42">
        <f t="shared" si="4"/>
        <v>200</v>
      </c>
      <c r="E86" s="42" t="s">
        <v>3</v>
      </c>
      <c r="F86" s="90">
        <f t="shared" si="5"/>
        <v>1850</v>
      </c>
      <c r="G86" s="42" t="s">
        <v>3</v>
      </c>
      <c r="H86" s="39">
        <v>4</v>
      </c>
      <c r="I86" s="40" t="s">
        <v>41</v>
      </c>
      <c r="J86" s="149">
        <v>150</v>
      </c>
      <c r="K86" s="66">
        <v>200</v>
      </c>
      <c r="L86" s="66">
        <v>1850</v>
      </c>
      <c r="M86" s="164">
        <v>18.127288008915265</v>
      </c>
      <c r="N86" s="78">
        <v>1164.5999999999999</v>
      </c>
      <c r="O86" s="113">
        <v>33255.736694764353</v>
      </c>
      <c r="P86" s="109">
        <v>40337.305011414763</v>
      </c>
      <c r="Q86" s="110">
        <v>19654.773419321165</v>
      </c>
      <c r="R86" s="258">
        <v>52910.510114085519</v>
      </c>
      <c r="S86" s="259">
        <v>59992.078430735928</v>
      </c>
      <c r="U86" s="7" t="s">
        <v>3381</v>
      </c>
    </row>
    <row r="87" spans="1:21" ht="16.5" customHeight="1" thickBot="1">
      <c r="A87" s="41" t="s">
        <v>31</v>
      </c>
      <c r="B87" s="42">
        <f t="shared" si="3"/>
        <v>150</v>
      </c>
      <c r="C87" s="42" t="s">
        <v>3</v>
      </c>
      <c r="D87" s="42">
        <f t="shared" si="4"/>
        <v>200</v>
      </c>
      <c r="E87" s="42" t="s">
        <v>3</v>
      </c>
      <c r="F87" s="90">
        <f t="shared" si="5"/>
        <v>1900</v>
      </c>
      <c r="G87" s="42" t="s">
        <v>3</v>
      </c>
      <c r="H87" s="39">
        <v>4</v>
      </c>
      <c r="I87" s="40" t="s">
        <v>41</v>
      </c>
      <c r="J87" s="149">
        <v>150</v>
      </c>
      <c r="K87" s="66">
        <v>200</v>
      </c>
      <c r="L87" s="66">
        <v>1900</v>
      </c>
      <c r="M87" s="164">
        <v>18.587808108938418</v>
      </c>
      <c r="N87" s="78">
        <v>1203.42</v>
      </c>
      <c r="O87" s="113">
        <v>33984.940643698392</v>
      </c>
      <c r="P87" s="109">
        <v>41244.005035643342</v>
      </c>
      <c r="Q87" s="110">
        <v>20045.449735534687</v>
      </c>
      <c r="R87" s="258">
        <v>54030.390379233082</v>
      </c>
      <c r="S87" s="259">
        <v>61289.454771178032</v>
      </c>
      <c r="U87" s="7" t="s">
        <v>3382</v>
      </c>
    </row>
    <row r="88" spans="1:21" ht="16.5" customHeight="1" thickBot="1">
      <c r="A88" s="41" t="s">
        <v>31</v>
      </c>
      <c r="B88" s="42">
        <f t="shared" si="3"/>
        <v>150</v>
      </c>
      <c r="C88" s="42" t="s">
        <v>3</v>
      </c>
      <c r="D88" s="42">
        <f t="shared" si="4"/>
        <v>200</v>
      </c>
      <c r="E88" s="42" t="s">
        <v>3</v>
      </c>
      <c r="F88" s="90">
        <f t="shared" si="5"/>
        <v>1950</v>
      </c>
      <c r="G88" s="42" t="s">
        <v>3</v>
      </c>
      <c r="H88" s="39">
        <v>4</v>
      </c>
      <c r="I88" s="40" t="s">
        <v>41</v>
      </c>
      <c r="J88" s="149">
        <v>150</v>
      </c>
      <c r="K88" s="66">
        <v>200</v>
      </c>
      <c r="L88" s="66">
        <v>1950</v>
      </c>
      <c r="M88" s="164">
        <v>19.126828208961577</v>
      </c>
      <c r="N88" s="78">
        <v>1242.24</v>
      </c>
      <c r="O88" s="113">
        <v>34798.242927765757</v>
      </c>
      <c r="P88" s="109">
        <v>42235.316806512245</v>
      </c>
      <c r="Q88" s="110">
        <v>20436.126051748208</v>
      </c>
      <c r="R88" s="258">
        <v>55234.368979513965</v>
      </c>
      <c r="S88" s="259">
        <v>62671.442858260452</v>
      </c>
      <c r="U88" s="7" t="s">
        <v>3383</v>
      </c>
    </row>
    <row r="89" spans="1:21" ht="16.5" customHeight="1" thickBot="1">
      <c r="A89" s="41" t="s">
        <v>31</v>
      </c>
      <c r="B89" s="42">
        <f t="shared" si="3"/>
        <v>150</v>
      </c>
      <c r="C89" s="42" t="s">
        <v>3</v>
      </c>
      <c r="D89" s="42">
        <f t="shared" si="4"/>
        <v>200</v>
      </c>
      <c r="E89" s="42" t="s">
        <v>3</v>
      </c>
      <c r="F89" s="90">
        <f t="shared" si="5"/>
        <v>2000</v>
      </c>
      <c r="G89" s="42" t="s">
        <v>3</v>
      </c>
      <c r="H89" s="39">
        <v>4</v>
      </c>
      <c r="I89" s="40" t="s">
        <v>41</v>
      </c>
      <c r="J89" s="149">
        <v>150</v>
      </c>
      <c r="K89" s="66">
        <v>200</v>
      </c>
      <c r="L89" s="66">
        <v>2000</v>
      </c>
      <c r="M89" s="164">
        <v>19.695950708984736</v>
      </c>
      <c r="N89" s="78">
        <v>1281.06</v>
      </c>
      <c r="O89" s="113">
        <v>35778.738625515631</v>
      </c>
      <c r="P89" s="109">
        <v>43482.838823736864</v>
      </c>
      <c r="Q89" s="110">
        <v>21078.136658774263</v>
      </c>
      <c r="R89" s="258">
        <v>56856.875284289898</v>
      </c>
      <c r="S89" s="259">
        <v>64560.97548251113</v>
      </c>
      <c r="U89" s="7" t="s">
        <v>3384</v>
      </c>
    </row>
    <row r="90" spans="1:21" ht="16.5" customHeight="1" thickBot="1">
      <c r="A90" s="41" t="s">
        <v>31</v>
      </c>
      <c r="B90" s="42">
        <f t="shared" si="3"/>
        <v>150</v>
      </c>
      <c r="C90" s="42" t="s">
        <v>3</v>
      </c>
      <c r="D90" s="42">
        <f t="shared" si="4"/>
        <v>200</v>
      </c>
      <c r="E90" s="42" t="s">
        <v>3</v>
      </c>
      <c r="F90" s="90">
        <f t="shared" si="5"/>
        <v>2050</v>
      </c>
      <c r="G90" s="42" t="s">
        <v>3</v>
      </c>
      <c r="H90" s="39">
        <v>4</v>
      </c>
      <c r="I90" s="40" t="s">
        <v>41</v>
      </c>
      <c r="J90" s="149">
        <v>150</v>
      </c>
      <c r="K90" s="66">
        <v>200</v>
      </c>
      <c r="L90" s="66">
        <v>2050</v>
      </c>
      <c r="M90" s="164">
        <v>20.156470809007892</v>
      </c>
      <c r="N90" s="78">
        <v>1319.88</v>
      </c>
      <c r="O90" s="113">
        <v>36507.942727478432</v>
      </c>
      <c r="P90" s="109">
        <v>44389.538847965443</v>
      </c>
      <c r="Q90" s="110">
        <v>21468.812974987781</v>
      </c>
      <c r="R90" s="258">
        <v>57976.755702466209</v>
      </c>
      <c r="S90" s="259">
        <v>65858.35182295322</v>
      </c>
      <c r="U90" s="7" t="s">
        <v>3385</v>
      </c>
    </row>
    <row r="91" spans="1:21" ht="16.5" customHeight="1" thickBot="1">
      <c r="A91" s="38" t="s">
        <v>31</v>
      </c>
      <c r="B91" s="39">
        <f t="shared" si="3"/>
        <v>150</v>
      </c>
      <c r="C91" s="39" t="s">
        <v>3</v>
      </c>
      <c r="D91" s="39">
        <f t="shared" si="4"/>
        <v>200</v>
      </c>
      <c r="E91" s="39" t="s">
        <v>3</v>
      </c>
      <c r="F91" s="90">
        <f t="shared" si="5"/>
        <v>2100</v>
      </c>
      <c r="G91" s="39" t="s">
        <v>3</v>
      </c>
      <c r="H91" s="39">
        <v>4</v>
      </c>
      <c r="I91" s="40" t="s">
        <v>41</v>
      </c>
      <c r="J91" s="149">
        <v>150</v>
      </c>
      <c r="K91" s="66">
        <v>200</v>
      </c>
      <c r="L91" s="66">
        <v>2100</v>
      </c>
      <c r="M91" s="164">
        <v>20.634030909031051</v>
      </c>
      <c r="N91" s="78">
        <v>1358.7</v>
      </c>
      <c r="O91" s="113">
        <v>37237.146676412471</v>
      </c>
      <c r="P91" s="109">
        <v>45296.238872194015</v>
      </c>
      <c r="Q91" s="110">
        <v>22110.823428985073</v>
      </c>
      <c r="R91" s="258">
        <v>59347.970105397544</v>
      </c>
      <c r="S91" s="259">
        <v>67407.062301179089</v>
      </c>
      <c r="U91" s="7" t="s">
        <v>3386</v>
      </c>
    </row>
    <row r="92" spans="1:21" ht="16.5" customHeight="1" thickBot="1">
      <c r="A92" s="41" t="s">
        <v>31</v>
      </c>
      <c r="B92" s="42">
        <f t="shared" si="3"/>
        <v>150</v>
      </c>
      <c r="C92" s="42" t="s">
        <v>3</v>
      </c>
      <c r="D92" s="42">
        <f t="shared" si="4"/>
        <v>200</v>
      </c>
      <c r="E92" s="42" t="s">
        <v>3</v>
      </c>
      <c r="F92" s="90">
        <f t="shared" si="5"/>
        <v>2150</v>
      </c>
      <c r="G92" s="42" t="s">
        <v>3</v>
      </c>
      <c r="H92" s="39">
        <v>4</v>
      </c>
      <c r="I92" s="40" t="s">
        <v>41</v>
      </c>
      <c r="J92" s="149">
        <v>150</v>
      </c>
      <c r="K92" s="66">
        <v>200</v>
      </c>
      <c r="L92" s="66">
        <v>2150</v>
      </c>
      <c r="M92" s="164">
        <v>21.094551009054211</v>
      </c>
      <c r="N92" s="78">
        <v>1397.5199999999998</v>
      </c>
      <c r="O92" s="113">
        <v>37966.350625346509</v>
      </c>
      <c r="P92" s="109">
        <v>46202.938896422595</v>
      </c>
      <c r="Q92" s="110">
        <v>22501.499745198591</v>
      </c>
      <c r="R92" s="258">
        <v>60467.8503705451</v>
      </c>
      <c r="S92" s="259">
        <v>68704.438641621178</v>
      </c>
      <c r="U92" s="7" t="s">
        <v>3387</v>
      </c>
    </row>
    <row r="93" spans="1:21" ht="16.5" customHeight="1" thickBot="1">
      <c r="A93" s="41" t="s">
        <v>31</v>
      </c>
      <c r="B93" s="42">
        <f t="shared" si="3"/>
        <v>150</v>
      </c>
      <c r="C93" s="42" t="s">
        <v>3</v>
      </c>
      <c r="D93" s="42">
        <f t="shared" si="4"/>
        <v>200</v>
      </c>
      <c r="E93" s="42" t="s">
        <v>3</v>
      </c>
      <c r="F93" s="90">
        <f t="shared" si="5"/>
        <v>2200</v>
      </c>
      <c r="G93" s="42" t="s">
        <v>3</v>
      </c>
      <c r="H93" s="39">
        <v>4</v>
      </c>
      <c r="I93" s="40" t="s">
        <v>41</v>
      </c>
      <c r="J93" s="149">
        <v>150</v>
      </c>
      <c r="K93" s="66">
        <v>200</v>
      </c>
      <c r="L93" s="66">
        <v>2200</v>
      </c>
      <c r="M93" s="164">
        <v>21.572111109077369</v>
      </c>
      <c r="N93" s="78">
        <v>1436.34</v>
      </c>
      <c r="O93" s="113">
        <v>38695.554574280548</v>
      </c>
      <c r="P93" s="109">
        <v>47109.638920651174</v>
      </c>
      <c r="Q93" s="110">
        <v>23143.510199195884</v>
      </c>
      <c r="R93" s="258">
        <v>61839.064773476435</v>
      </c>
      <c r="S93" s="259">
        <v>70253.149119847061</v>
      </c>
      <c r="U93" s="7" t="s">
        <v>3388</v>
      </c>
    </row>
    <row r="94" spans="1:21" ht="16.5" customHeight="1" thickBot="1">
      <c r="A94" s="41" t="s">
        <v>31</v>
      </c>
      <c r="B94" s="42">
        <f t="shared" si="3"/>
        <v>150</v>
      </c>
      <c r="C94" s="42" t="s">
        <v>3</v>
      </c>
      <c r="D94" s="42">
        <f t="shared" si="4"/>
        <v>200</v>
      </c>
      <c r="E94" s="42" t="s">
        <v>3</v>
      </c>
      <c r="F94" s="90">
        <f t="shared" si="5"/>
        <v>2250</v>
      </c>
      <c r="G94" s="42" t="s">
        <v>3</v>
      </c>
      <c r="H94" s="39">
        <v>4</v>
      </c>
      <c r="I94" s="40" t="s">
        <v>41</v>
      </c>
      <c r="J94" s="149">
        <v>150</v>
      </c>
      <c r="K94" s="66">
        <v>200</v>
      </c>
      <c r="L94" s="66">
        <v>2250</v>
      </c>
      <c r="M94" s="164">
        <v>22.032631209100522</v>
      </c>
      <c r="N94" s="78">
        <v>1475.1599999999999</v>
      </c>
      <c r="O94" s="113">
        <v>39424.758523214579</v>
      </c>
      <c r="P94" s="109">
        <v>48016.338944879753</v>
      </c>
      <c r="Q94" s="110">
        <v>23534.186668438168</v>
      </c>
      <c r="R94" s="258">
        <v>62958.945191652747</v>
      </c>
      <c r="S94" s="259">
        <v>71550.525613317921</v>
      </c>
      <c r="U94" s="7" t="s">
        <v>3389</v>
      </c>
    </row>
    <row r="95" spans="1:21" ht="16.5" customHeight="1" thickBot="1">
      <c r="A95" s="41" t="s">
        <v>31</v>
      </c>
      <c r="B95" s="42">
        <f t="shared" si="3"/>
        <v>150</v>
      </c>
      <c r="C95" s="42" t="s">
        <v>3</v>
      </c>
      <c r="D95" s="42">
        <f t="shared" si="4"/>
        <v>200</v>
      </c>
      <c r="E95" s="42" t="s">
        <v>3</v>
      </c>
      <c r="F95" s="90">
        <f t="shared" si="5"/>
        <v>2300</v>
      </c>
      <c r="G95" s="42" t="s">
        <v>3</v>
      </c>
      <c r="H95" s="39">
        <v>4</v>
      </c>
      <c r="I95" s="40" t="s">
        <v>41</v>
      </c>
      <c r="J95" s="149">
        <v>150</v>
      </c>
      <c r="K95" s="66">
        <v>200</v>
      </c>
      <c r="L95" s="66">
        <v>2300</v>
      </c>
      <c r="M95" s="164">
        <v>22.493151309123682</v>
      </c>
      <c r="N95" s="78">
        <v>1513.98</v>
      </c>
      <c r="O95" s="113">
        <v>40153.962472148625</v>
      </c>
      <c r="P95" s="109">
        <v>48923.03881607957</v>
      </c>
      <c r="Q95" s="110">
        <v>23924.862984651689</v>
      </c>
      <c r="R95" s="258">
        <v>64078.825456800318</v>
      </c>
      <c r="S95" s="259">
        <v>72847.901800731255</v>
      </c>
      <c r="U95" s="7" t="s">
        <v>3390</v>
      </c>
    </row>
    <row r="96" spans="1:21" ht="16.5" customHeight="1" thickBot="1">
      <c r="A96" s="41" t="s">
        <v>31</v>
      </c>
      <c r="B96" s="42">
        <f t="shared" si="3"/>
        <v>150</v>
      </c>
      <c r="C96" s="42" t="s">
        <v>3</v>
      </c>
      <c r="D96" s="42">
        <f t="shared" si="4"/>
        <v>200</v>
      </c>
      <c r="E96" s="42" t="s">
        <v>3</v>
      </c>
      <c r="F96" s="90">
        <f t="shared" si="5"/>
        <v>2350</v>
      </c>
      <c r="G96" s="42" t="s">
        <v>3</v>
      </c>
      <c r="H96" s="39">
        <v>4</v>
      </c>
      <c r="I96" s="40" t="s">
        <v>41</v>
      </c>
      <c r="J96" s="149">
        <v>150</v>
      </c>
      <c r="K96" s="66">
        <v>200</v>
      </c>
      <c r="L96" s="66">
        <v>2350</v>
      </c>
      <c r="M96" s="164">
        <v>22.970711409146844</v>
      </c>
      <c r="N96" s="78">
        <v>1552.8</v>
      </c>
      <c r="O96" s="113">
        <v>40883.166421082664</v>
      </c>
      <c r="P96" s="109">
        <v>49829.73884030815</v>
      </c>
      <c r="Q96" s="110">
        <v>24566.873438648978</v>
      </c>
      <c r="R96" s="258">
        <v>65450.039859731638</v>
      </c>
      <c r="S96" s="259">
        <v>74396.612278957124</v>
      </c>
      <c r="U96" s="7" t="s">
        <v>3391</v>
      </c>
    </row>
    <row r="97" spans="1:21" ht="16.5" customHeight="1" thickBot="1">
      <c r="A97" s="41" t="s">
        <v>31</v>
      </c>
      <c r="B97" s="42">
        <f t="shared" si="3"/>
        <v>150</v>
      </c>
      <c r="C97" s="42" t="s">
        <v>3</v>
      </c>
      <c r="D97" s="42">
        <f t="shared" si="4"/>
        <v>200</v>
      </c>
      <c r="E97" s="42" t="s">
        <v>3</v>
      </c>
      <c r="F97" s="90">
        <f t="shared" si="5"/>
        <v>2400</v>
      </c>
      <c r="G97" s="42" t="s">
        <v>3</v>
      </c>
      <c r="H97" s="39">
        <v>4</v>
      </c>
      <c r="I97" s="40" t="s">
        <v>41</v>
      </c>
      <c r="J97" s="149">
        <v>150</v>
      </c>
      <c r="K97" s="66">
        <v>200</v>
      </c>
      <c r="L97" s="66">
        <v>2400</v>
      </c>
      <c r="M97" s="164">
        <v>23.431231509169997</v>
      </c>
      <c r="N97" s="78">
        <v>1591.62</v>
      </c>
      <c r="O97" s="113">
        <v>41612.370370016695</v>
      </c>
      <c r="P97" s="109">
        <v>50736.438864536729</v>
      </c>
      <c r="Q97" s="110">
        <v>24957.549754862499</v>
      </c>
      <c r="R97" s="258">
        <v>66569.920124879194</v>
      </c>
      <c r="S97" s="259">
        <v>75693.988619399228</v>
      </c>
      <c r="U97" s="7" t="s">
        <v>3392</v>
      </c>
    </row>
    <row r="98" spans="1:21" ht="16.5" customHeight="1" thickBot="1">
      <c r="A98" s="41" t="s">
        <v>31</v>
      </c>
      <c r="B98" s="42">
        <f t="shared" si="3"/>
        <v>150</v>
      </c>
      <c r="C98" s="42" t="s">
        <v>3</v>
      </c>
      <c r="D98" s="42">
        <f t="shared" si="4"/>
        <v>200</v>
      </c>
      <c r="E98" s="42" t="s">
        <v>3</v>
      </c>
      <c r="F98" s="90">
        <f t="shared" si="5"/>
        <v>2450</v>
      </c>
      <c r="G98" s="42" t="s">
        <v>3</v>
      </c>
      <c r="H98" s="39">
        <v>4</v>
      </c>
      <c r="I98" s="40" t="s">
        <v>41</v>
      </c>
      <c r="J98" s="149">
        <v>150</v>
      </c>
      <c r="K98" s="66">
        <v>200</v>
      </c>
      <c r="L98" s="66">
        <v>2450</v>
      </c>
      <c r="M98" s="164">
        <v>24.015817731493158</v>
      </c>
      <c r="N98" s="78">
        <v>1630.44</v>
      </c>
      <c r="O98" s="113">
        <v>42947.436165021434</v>
      </c>
      <c r="P98" s="109">
        <v>52180.849986402638</v>
      </c>
      <c r="Q98" s="110">
        <v>25599.560361888554</v>
      </c>
      <c r="R98" s="258">
        <v>68546.996526909992</v>
      </c>
      <c r="S98" s="259">
        <v>77780.410348291189</v>
      </c>
      <c r="U98" s="7" t="s">
        <v>3393</v>
      </c>
    </row>
    <row r="99" spans="1:21" ht="16.5" customHeight="1" thickBot="1">
      <c r="A99" s="41" t="s">
        <v>31</v>
      </c>
      <c r="B99" s="42">
        <f t="shared" si="3"/>
        <v>150</v>
      </c>
      <c r="C99" s="42" t="s">
        <v>3</v>
      </c>
      <c r="D99" s="42">
        <f t="shared" si="4"/>
        <v>200</v>
      </c>
      <c r="E99" s="42" t="s">
        <v>3</v>
      </c>
      <c r="F99" s="90">
        <f t="shared" si="5"/>
        <v>2500</v>
      </c>
      <c r="G99" s="42" t="s">
        <v>3</v>
      </c>
      <c r="H99" s="39">
        <v>4</v>
      </c>
      <c r="I99" s="40" t="s">
        <v>41</v>
      </c>
      <c r="J99" s="149">
        <v>150</v>
      </c>
      <c r="K99" s="66">
        <v>200</v>
      </c>
      <c r="L99" s="66">
        <v>2500</v>
      </c>
      <c r="M99" s="164">
        <v>24.476337831516318</v>
      </c>
      <c r="N99" s="78">
        <v>1669.26</v>
      </c>
      <c r="O99" s="113">
        <v>43676.640113955473</v>
      </c>
      <c r="P99" s="109">
        <v>53087.550010631225</v>
      </c>
      <c r="Q99" s="110">
        <v>25990.236678102072</v>
      </c>
      <c r="R99" s="258">
        <v>69666.876792057548</v>
      </c>
      <c r="S99" s="259">
        <v>79077.786688733293</v>
      </c>
      <c r="U99" s="7" t="s">
        <v>3394</v>
      </c>
    </row>
    <row r="100" spans="1:21" ht="16.5" customHeight="1" thickBot="1">
      <c r="A100" s="41" t="s">
        <v>31</v>
      </c>
      <c r="B100" s="42">
        <f t="shared" si="3"/>
        <v>150</v>
      </c>
      <c r="C100" s="42" t="s">
        <v>3</v>
      </c>
      <c r="D100" s="42">
        <f t="shared" si="4"/>
        <v>200</v>
      </c>
      <c r="E100" s="42" t="s">
        <v>3</v>
      </c>
      <c r="F100" s="90">
        <f t="shared" si="5"/>
        <v>2550</v>
      </c>
      <c r="G100" s="42" t="s">
        <v>3</v>
      </c>
      <c r="H100" s="39">
        <v>4</v>
      </c>
      <c r="I100" s="40" t="s">
        <v>41</v>
      </c>
      <c r="J100" s="149">
        <v>150</v>
      </c>
      <c r="K100" s="66">
        <v>200</v>
      </c>
      <c r="L100" s="66">
        <v>2550</v>
      </c>
      <c r="M100" s="164">
        <v>24.953897931539473</v>
      </c>
      <c r="N100" s="78">
        <v>1708.0800000000002</v>
      </c>
      <c r="O100" s="113">
        <v>44405.844062889511</v>
      </c>
      <c r="P100" s="109">
        <v>53994.250034859797</v>
      </c>
      <c r="Q100" s="110">
        <v>26632.247132099365</v>
      </c>
      <c r="R100" s="258">
        <v>71038.091194988869</v>
      </c>
      <c r="S100" s="259">
        <v>80626.497166959161</v>
      </c>
      <c r="U100" s="7" t="s">
        <v>3395</v>
      </c>
    </row>
    <row r="101" spans="1:21" ht="16.5" customHeight="1" thickBot="1">
      <c r="A101" s="38" t="s">
        <v>31</v>
      </c>
      <c r="B101" s="39">
        <f t="shared" si="3"/>
        <v>150</v>
      </c>
      <c r="C101" s="39" t="s">
        <v>3</v>
      </c>
      <c r="D101" s="39">
        <f t="shared" si="4"/>
        <v>200</v>
      </c>
      <c r="E101" s="39" t="s">
        <v>3</v>
      </c>
      <c r="F101" s="90">
        <f t="shared" si="5"/>
        <v>2600</v>
      </c>
      <c r="G101" s="39" t="s">
        <v>3</v>
      </c>
      <c r="H101" s="39">
        <v>4</v>
      </c>
      <c r="I101" s="40" t="s">
        <v>41</v>
      </c>
      <c r="J101" s="149">
        <v>150</v>
      </c>
      <c r="K101" s="66">
        <v>200</v>
      </c>
      <c r="L101" s="66">
        <v>2600</v>
      </c>
      <c r="M101" s="164">
        <v>25.414418031562636</v>
      </c>
      <c r="N101" s="78">
        <v>1746.8999999999999</v>
      </c>
      <c r="O101" s="113">
        <v>45135.048011823543</v>
      </c>
      <c r="P101" s="109">
        <v>54900.950059088384</v>
      </c>
      <c r="Q101" s="110">
        <v>27022.923448312882</v>
      </c>
      <c r="R101" s="258">
        <v>72157.971460136425</v>
      </c>
      <c r="S101" s="259">
        <v>81923.873507401266</v>
      </c>
      <c r="U101" s="7" t="s">
        <v>3396</v>
      </c>
    </row>
    <row r="102" spans="1:21" ht="16.5" customHeight="1" thickBot="1">
      <c r="A102" s="41" t="s">
        <v>31</v>
      </c>
      <c r="B102" s="42">
        <f t="shared" si="3"/>
        <v>150</v>
      </c>
      <c r="C102" s="42" t="s">
        <v>3</v>
      </c>
      <c r="D102" s="42">
        <f t="shared" si="4"/>
        <v>200</v>
      </c>
      <c r="E102" s="42" t="s">
        <v>3</v>
      </c>
      <c r="F102" s="90">
        <f t="shared" si="5"/>
        <v>2650</v>
      </c>
      <c r="G102" s="42" t="s">
        <v>3</v>
      </c>
      <c r="H102" s="39">
        <v>4</v>
      </c>
      <c r="I102" s="40" t="s">
        <v>41</v>
      </c>
      <c r="J102" s="149">
        <v>150</v>
      </c>
      <c r="K102" s="66">
        <v>200</v>
      </c>
      <c r="L102" s="66">
        <v>2650</v>
      </c>
      <c r="M102" s="164">
        <v>25.891978131585795</v>
      </c>
      <c r="N102" s="78">
        <v>1785.7199999999998</v>
      </c>
      <c r="O102" s="113">
        <v>45864.251960757581</v>
      </c>
      <c r="P102" s="109">
        <v>55807.6499302882</v>
      </c>
      <c r="Q102" s="110">
        <v>27664.933902310175</v>
      </c>
      <c r="R102" s="258">
        <v>73529.18586306776</v>
      </c>
      <c r="S102" s="259">
        <v>83472.583832598379</v>
      </c>
      <c r="U102" s="7" t="s">
        <v>3397</v>
      </c>
    </row>
    <row r="103" spans="1:21" ht="16.5" customHeight="1" thickBot="1">
      <c r="A103" s="41" t="s">
        <v>31</v>
      </c>
      <c r="B103" s="42">
        <f t="shared" si="3"/>
        <v>150</v>
      </c>
      <c r="C103" s="42" t="s">
        <v>3</v>
      </c>
      <c r="D103" s="42">
        <f t="shared" si="4"/>
        <v>200</v>
      </c>
      <c r="E103" s="42" t="s">
        <v>3</v>
      </c>
      <c r="F103" s="90">
        <f t="shared" si="5"/>
        <v>2700</v>
      </c>
      <c r="G103" s="42" t="s">
        <v>3</v>
      </c>
      <c r="H103" s="39">
        <v>4</v>
      </c>
      <c r="I103" s="40" t="s">
        <v>41</v>
      </c>
      <c r="J103" s="149">
        <v>150</v>
      </c>
      <c r="K103" s="66">
        <v>200</v>
      </c>
      <c r="L103" s="66">
        <v>2700</v>
      </c>
      <c r="M103" s="164">
        <v>26.430998231608953</v>
      </c>
      <c r="N103" s="78">
        <v>1824.54</v>
      </c>
      <c r="O103" s="113">
        <v>46677.554244824954</v>
      </c>
      <c r="P103" s="109">
        <v>56798.961701157103</v>
      </c>
      <c r="Q103" s="110">
        <v>28055.610371552459</v>
      </c>
      <c r="R103" s="258">
        <v>74733.164616377413</v>
      </c>
      <c r="S103" s="259">
        <v>84854.572072709561</v>
      </c>
      <c r="U103" s="7" t="s">
        <v>3398</v>
      </c>
    </row>
    <row r="104" spans="1:21" ht="16.5" customHeight="1" thickBot="1">
      <c r="A104" s="41" t="s">
        <v>31</v>
      </c>
      <c r="B104" s="42">
        <f t="shared" si="3"/>
        <v>150</v>
      </c>
      <c r="C104" s="42" t="s">
        <v>3</v>
      </c>
      <c r="D104" s="42">
        <f t="shared" si="4"/>
        <v>200</v>
      </c>
      <c r="E104" s="42" t="s">
        <v>3</v>
      </c>
      <c r="F104" s="90">
        <f t="shared" si="5"/>
        <v>2750</v>
      </c>
      <c r="G104" s="42" t="s">
        <v>3</v>
      </c>
      <c r="H104" s="39">
        <v>4</v>
      </c>
      <c r="I104" s="40" t="s">
        <v>41</v>
      </c>
      <c r="J104" s="149">
        <v>150</v>
      </c>
      <c r="K104" s="66">
        <v>200</v>
      </c>
      <c r="L104" s="66">
        <v>2750</v>
      </c>
      <c r="M104" s="164">
        <v>26.891518331632106</v>
      </c>
      <c r="N104" s="78">
        <v>1863.36</v>
      </c>
      <c r="O104" s="113">
        <v>47406.758193758993</v>
      </c>
      <c r="P104" s="109">
        <v>57705.661725385675</v>
      </c>
      <c r="Q104" s="110">
        <v>28446.286687765976</v>
      </c>
      <c r="R104" s="258">
        <v>75853.044881524969</v>
      </c>
      <c r="S104" s="259">
        <v>86151.948413151651</v>
      </c>
      <c r="U104" s="7" t="s">
        <v>3399</v>
      </c>
    </row>
    <row r="105" spans="1:21" ht="16.5" customHeight="1" thickBot="1">
      <c r="A105" s="41" t="s">
        <v>31</v>
      </c>
      <c r="B105" s="42">
        <f t="shared" si="3"/>
        <v>150</v>
      </c>
      <c r="C105" s="42" t="s">
        <v>3</v>
      </c>
      <c r="D105" s="42">
        <f t="shared" si="4"/>
        <v>200</v>
      </c>
      <c r="E105" s="42" t="s">
        <v>3</v>
      </c>
      <c r="F105" s="90">
        <f t="shared" si="5"/>
        <v>2800</v>
      </c>
      <c r="G105" s="42" t="s">
        <v>3</v>
      </c>
      <c r="H105" s="39">
        <v>4</v>
      </c>
      <c r="I105" s="40" t="s">
        <v>41</v>
      </c>
      <c r="J105" s="149">
        <v>150</v>
      </c>
      <c r="K105" s="66">
        <v>200</v>
      </c>
      <c r="L105" s="66">
        <v>2800</v>
      </c>
      <c r="M105" s="164">
        <v>27.369078431655268</v>
      </c>
      <c r="N105" s="78">
        <v>1902.18</v>
      </c>
      <c r="O105" s="113">
        <v>48135.962142693032</v>
      </c>
      <c r="P105" s="109">
        <v>58612.361749614261</v>
      </c>
      <c r="Q105" s="110">
        <v>29088.297141763269</v>
      </c>
      <c r="R105" s="258">
        <v>77224.259284456304</v>
      </c>
      <c r="S105" s="259">
        <v>87700.658891377534</v>
      </c>
      <c r="U105" s="7" t="s">
        <v>3400</v>
      </c>
    </row>
    <row r="106" spans="1:21" ht="16.5" customHeight="1" thickBot="1">
      <c r="A106" s="41" t="s">
        <v>31</v>
      </c>
      <c r="B106" s="42">
        <f t="shared" si="3"/>
        <v>150</v>
      </c>
      <c r="C106" s="42" t="s">
        <v>3</v>
      </c>
      <c r="D106" s="42">
        <f t="shared" si="4"/>
        <v>200</v>
      </c>
      <c r="E106" s="42" t="s">
        <v>3</v>
      </c>
      <c r="F106" s="90">
        <f t="shared" si="5"/>
        <v>2850</v>
      </c>
      <c r="G106" s="42" t="s">
        <v>3</v>
      </c>
      <c r="H106" s="39">
        <v>4</v>
      </c>
      <c r="I106" s="40" t="s">
        <v>41</v>
      </c>
      <c r="J106" s="149">
        <v>150</v>
      </c>
      <c r="K106" s="66">
        <v>200</v>
      </c>
      <c r="L106" s="66">
        <v>2850</v>
      </c>
      <c r="M106" s="164">
        <v>27.829598531678421</v>
      </c>
      <c r="N106" s="78">
        <v>1941</v>
      </c>
      <c r="O106" s="113">
        <v>48865.166091627063</v>
      </c>
      <c r="P106" s="109">
        <v>59519.061773842834</v>
      </c>
      <c r="Q106" s="110">
        <v>29478.973457976786</v>
      </c>
      <c r="R106" s="258">
        <v>78344.139549603846</v>
      </c>
      <c r="S106" s="259">
        <v>88998.035231819624</v>
      </c>
      <c r="U106" s="7" t="s">
        <v>3401</v>
      </c>
    </row>
    <row r="107" spans="1:21" ht="16.5" customHeight="1" thickBot="1">
      <c r="A107" s="41" t="s">
        <v>31</v>
      </c>
      <c r="B107" s="42">
        <f t="shared" si="3"/>
        <v>150</v>
      </c>
      <c r="C107" s="42" t="s">
        <v>3</v>
      </c>
      <c r="D107" s="42">
        <f t="shared" si="4"/>
        <v>200</v>
      </c>
      <c r="E107" s="42" t="s">
        <v>3</v>
      </c>
      <c r="F107" s="90">
        <f t="shared" si="5"/>
        <v>2900</v>
      </c>
      <c r="G107" s="42" t="s">
        <v>3</v>
      </c>
      <c r="H107" s="39">
        <v>4</v>
      </c>
      <c r="I107" s="40" t="s">
        <v>41</v>
      </c>
      <c r="J107" s="149">
        <v>150</v>
      </c>
      <c r="K107" s="66">
        <v>200</v>
      </c>
      <c r="L107" s="66">
        <v>2900</v>
      </c>
      <c r="M107" s="164">
        <v>28.307158631701583</v>
      </c>
      <c r="N107" s="78">
        <v>1979.8199999999997</v>
      </c>
      <c r="O107" s="113">
        <v>49594.370040561109</v>
      </c>
      <c r="P107" s="109">
        <v>60425.76179807142</v>
      </c>
      <c r="Q107" s="110">
        <v>30120.983911974079</v>
      </c>
      <c r="R107" s="258">
        <v>79715.353952535195</v>
      </c>
      <c r="S107" s="259">
        <v>90546.745710045507</v>
      </c>
      <c r="U107" s="7" t="s">
        <v>3402</v>
      </c>
    </row>
    <row r="108" spans="1:21" ht="16.5" customHeight="1" thickBot="1">
      <c r="A108" s="41" t="s">
        <v>31</v>
      </c>
      <c r="B108" s="42">
        <f t="shared" si="3"/>
        <v>150</v>
      </c>
      <c r="C108" s="42" t="s">
        <v>3</v>
      </c>
      <c r="D108" s="42">
        <f t="shared" si="4"/>
        <v>200</v>
      </c>
      <c r="E108" s="42" t="s">
        <v>3</v>
      </c>
      <c r="F108" s="90">
        <f t="shared" si="5"/>
        <v>2950</v>
      </c>
      <c r="G108" s="42" t="s">
        <v>3</v>
      </c>
      <c r="H108" s="39">
        <v>4</v>
      </c>
      <c r="I108" s="40" t="s">
        <v>41</v>
      </c>
      <c r="J108" s="149">
        <v>150</v>
      </c>
      <c r="K108" s="66">
        <v>200</v>
      </c>
      <c r="L108" s="66">
        <v>2950</v>
      </c>
      <c r="M108" s="164">
        <v>28.76767873172474</v>
      </c>
      <c r="N108" s="78">
        <v>2018.6399999999999</v>
      </c>
      <c r="O108" s="113">
        <v>50323.573989495148</v>
      </c>
      <c r="P108" s="109">
        <v>61332.461822299992</v>
      </c>
      <c r="Q108" s="110">
        <v>30511.660381216363</v>
      </c>
      <c r="R108" s="258">
        <v>80835.234370711507</v>
      </c>
      <c r="S108" s="259">
        <v>91844.122203516352</v>
      </c>
      <c r="U108" s="7" t="s">
        <v>3403</v>
      </c>
    </row>
    <row r="109" spans="1:21" ht="16.5" customHeight="1" thickBot="1">
      <c r="A109" s="43" t="s">
        <v>31</v>
      </c>
      <c r="B109" s="44">
        <f t="shared" si="3"/>
        <v>150</v>
      </c>
      <c r="C109" s="44" t="s">
        <v>3</v>
      </c>
      <c r="D109" s="44">
        <f t="shared" si="4"/>
        <v>200</v>
      </c>
      <c r="E109" s="44" t="s">
        <v>3</v>
      </c>
      <c r="F109" s="91">
        <f t="shared" si="5"/>
        <v>3000</v>
      </c>
      <c r="G109" s="44" t="s">
        <v>3</v>
      </c>
      <c r="H109" s="46">
        <v>4</v>
      </c>
      <c r="I109" s="45" t="s">
        <v>41</v>
      </c>
      <c r="J109" s="151">
        <v>150</v>
      </c>
      <c r="K109" s="126">
        <v>200</v>
      </c>
      <c r="L109" s="126">
        <v>3000</v>
      </c>
      <c r="M109" s="171">
        <v>29.245238831747898</v>
      </c>
      <c r="N109" s="127">
        <v>2057.46</v>
      </c>
      <c r="O109" s="128">
        <v>52333.699554843683</v>
      </c>
      <c r="P109" s="154">
        <v>62239.161693499809</v>
      </c>
      <c r="Q109" s="136">
        <v>31153.670835213656</v>
      </c>
      <c r="R109" s="260">
        <v>83487.370390057331</v>
      </c>
      <c r="S109" s="261">
        <v>93392.832528713465</v>
      </c>
      <c r="U109" s="7" t="s">
        <v>3404</v>
      </c>
    </row>
    <row r="110" spans="1:21" ht="22.5" customHeight="1" thickBot="1">
      <c r="A110" s="3010" t="s">
        <v>45</v>
      </c>
      <c r="B110" s="3011"/>
      <c r="C110" s="3011"/>
      <c r="D110" s="3011"/>
      <c r="E110" s="3011"/>
      <c r="F110" s="3011"/>
      <c r="G110" s="3011"/>
      <c r="H110" s="3011"/>
      <c r="I110" s="3011"/>
      <c r="J110" s="3011"/>
      <c r="K110" s="3011"/>
      <c r="L110" s="3011"/>
      <c r="M110" s="3011"/>
      <c r="N110" s="3011"/>
      <c r="O110" s="3011"/>
      <c r="P110" s="3011"/>
      <c r="Q110" s="3011"/>
      <c r="R110" s="3011"/>
      <c r="S110" s="3012"/>
      <c r="U110" s="7"/>
    </row>
    <row r="111" spans="1:21" ht="16.5" customHeight="1" thickBot="1">
      <c r="A111" s="2974" t="s">
        <v>117</v>
      </c>
      <c r="B111" s="2975"/>
      <c r="C111" s="2975"/>
      <c r="D111" s="2975"/>
      <c r="E111" s="2975"/>
      <c r="F111" s="2975"/>
      <c r="G111" s="2975"/>
      <c r="H111" s="2975"/>
      <c r="I111" s="2975"/>
      <c r="J111" s="2975"/>
      <c r="K111" s="2975"/>
      <c r="L111" s="2975"/>
      <c r="M111" s="2975"/>
      <c r="N111" s="2975"/>
      <c r="O111" s="2975"/>
      <c r="P111" s="2975"/>
      <c r="Q111" s="2975"/>
      <c r="R111" s="2975"/>
      <c r="S111" s="2976"/>
      <c r="U111" s="7"/>
    </row>
    <row r="112" spans="1:21" ht="16.5" thickBot="1">
      <c r="A112" s="38" t="s">
        <v>31</v>
      </c>
      <c r="B112" s="39">
        <f>J112</f>
        <v>150</v>
      </c>
      <c r="C112" s="39" t="s">
        <v>3</v>
      </c>
      <c r="D112" s="39">
        <f>K112</f>
        <v>260</v>
      </c>
      <c r="E112" s="39" t="s">
        <v>3</v>
      </c>
      <c r="F112" s="90">
        <f>L112</f>
        <v>600</v>
      </c>
      <c r="G112" s="39" t="s">
        <v>3</v>
      </c>
      <c r="H112" s="39">
        <v>4</v>
      </c>
      <c r="I112" s="40" t="s">
        <v>41</v>
      </c>
      <c r="J112" s="146">
        <v>150</v>
      </c>
      <c r="K112" s="122">
        <v>260</v>
      </c>
      <c r="L112" s="122">
        <v>600</v>
      </c>
      <c r="M112" s="163">
        <v>7.1039390137205265</v>
      </c>
      <c r="N112" s="123">
        <v>251.65882160999996</v>
      </c>
      <c r="O112" s="124">
        <v>15052.818634617375</v>
      </c>
      <c r="P112" s="153">
        <v>18238.21567511071</v>
      </c>
      <c r="Q112" s="139">
        <v>8214.2785134660462</v>
      </c>
      <c r="R112" s="256">
        <v>23267.09714808342</v>
      </c>
      <c r="S112" s="257">
        <v>26452.494188576755</v>
      </c>
      <c r="U112" s="7" t="s">
        <v>3405</v>
      </c>
    </row>
    <row r="113" spans="1:21" ht="16.5" thickBot="1">
      <c r="A113" s="41" t="s">
        <v>31</v>
      </c>
      <c r="B113" s="42">
        <f t="shared" ref="B113:B160" si="6">J113</f>
        <v>150</v>
      </c>
      <c r="C113" s="42" t="s">
        <v>3</v>
      </c>
      <c r="D113" s="42">
        <f t="shared" ref="D113:D160" si="7">K113</f>
        <v>260</v>
      </c>
      <c r="E113" s="42" t="s">
        <v>3</v>
      </c>
      <c r="F113" s="90">
        <f t="shared" ref="F113:F160" si="8">L113</f>
        <v>650</v>
      </c>
      <c r="G113" s="42" t="s">
        <v>3</v>
      </c>
      <c r="H113" s="39">
        <v>4</v>
      </c>
      <c r="I113" s="40" t="s">
        <v>41</v>
      </c>
      <c r="J113" s="149">
        <v>150</v>
      </c>
      <c r="K113" s="66">
        <v>260</v>
      </c>
      <c r="L113" s="66">
        <v>650</v>
      </c>
      <c r="M113" s="164">
        <v>7.6122396755857888</v>
      </c>
      <c r="N113" s="78">
        <v>301.99058593199999</v>
      </c>
      <c r="O113" s="113">
        <v>15812.672255832003</v>
      </c>
      <c r="P113" s="109">
        <v>19198.596965915018</v>
      </c>
      <c r="Q113" s="110">
        <v>8684.7340809460093</v>
      </c>
      <c r="R113" s="258">
        <v>24497.406336778011</v>
      </c>
      <c r="S113" s="259">
        <v>27883.331046861029</v>
      </c>
      <c r="U113" s="7" t="s">
        <v>3406</v>
      </c>
    </row>
    <row r="114" spans="1:21" ht="16.5" thickBot="1">
      <c r="A114" s="41" t="s">
        <v>31</v>
      </c>
      <c r="B114" s="42">
        <f t="shared" si="6"/>
        <v>150</v>
      </c>
      <c r="C114" s="42" t="s">
        <v>3</v>
      </c>
      <c r="D114" s="42">
        <f t="shared" si="7"/>
        <v>260</v>
      </c>
      <c r="E114" s="42" t="s">
        <v>3</v>
      </c>
      <c r="F114" s="90">
        <f t="shared" si="8"/>
        <v>700</v>
      </c>
      <c r="G114" s="42" t="s">
        <v>3</v>
      </c>
      <c r="H114" s="39">
        <v>4</v>
      </c>
      <c r="I114" s="40" t="s">
        <v>41</v>
      </c>
      <c r="J114" s="149">
        <v>150</v>
      </c>
      <c r="K114" s="66">
        <v>260</v>
      </c>
      <c r="L114" s="66">
        <v>700</v>
      </c>
      <c r="M114" s="164">
        <v>8.1375803374510518</v>
      </c>
      <c r="N114" s="78">
        <v>352.3223502539999</v>
      </c>
      <c r="O114" s="113">
        <v>16572.525877046635</v>
      </c>
      <c r="P114" s="109">
        <v>20158.978256719329</v>
      </c>
      <c r="Q114" s="110">
        <v>9406.5237862097401</v>
      </c>
      <c r="R114" s="258">
        <v>25979.049663256374</v>
      </c>
      <c r="S114" s="259">
        <v>29565.502042929067</v>
      </c>
      <c r="U114" s="7" t="s">
        <v>3407</v>
      </c>
    </row>
    <row r="115" spans="1:21" ht="16.5" thickBot="1">
      <c r="A115" s="41" t="s">
        <v>31</v>
      </c>
      <c r="B115" s="42">
        <f t="shared" si="6"/>
        <v>150</v>
      </c>
      <c r="C115" s="42" t="s">
        <v>3</v>
      </c>
      <c r="D115" s="42">
        <f t="shared" si="7"/>
        <v>260</v>
      </c>
      <c r="E115" s="42" t="s">
        <v>3</v>
      </c>
      <c r="F115" s="90">
        <f t="shared" si="8"/>
        <v>750</v>
      </c>
      <c r="G115" s="42" t="s">
        <v>3</v>
      </c>
      <c r="H115" s="39">
        <v>4</v>
      </c>
      <c r="I115" s="40" t="s">
        <v>41</v>
      </c>
      <c r="J115" s="149">
        <v>150</v>
      </c>
      <c r="K115" s="66">
        <v>260</v>
      </c>
      <c r="L115" s="66">
        <v>750</v>
      </c>
      <c r="M115" s="164">
        <v>8.6458809993163168</v>
      </c>
      <c r="N115" s="78">
        <v>402.65411457599998</v>
      </c>
      <c r="O115" s="113">
        <v>17332.379651290026</v>
      </c>
      <c r="P115" s="109">
        <v>21119.359700552399</v>
      </c>
      <c r="Q115" s="110">
        <v>9876.9793536897032</v>
      </c>
      <c r="R115" s="258">
        <v>27209.359004979728</v>
      </c>
      <c r="S115" s="259">
        <v>30996.339054242104</v>
      </c>
      <c r="U115" s="7" t="s">
        <v>3408</v>
      </c>
    </row>
    <row r="116" spans="1:21" ht="16.5" thickBot="1">
      <c r="A116" s="41" t="s">
        <v>31</v>
      </c>
      <c r="B116" s="42">
        <f t="shared" si="6"/>
        <v>150</v>
      </c>
      <c r="C116" s="42" t="s">
        <v>3</v>
      </c>
      <c r="D116" s="42">
        <f t="shared" si="7"/>
        <v>260</v>
      </c>
      <c r="E116" s="42" t="s">
        <v>3</v>
      </c>
      <c r="F116" s="90">
        <f t="shared" si="8"/>
        <v>800</v>
      </c>
      <c r="G116" s="42" t="s">
        <v>3</v>
      </c>
      <c r="H116" s="39">
        <v>4</v>
      </c>
      <c r="I116" s="40" t="s">
        <v>41</v>
      </c>
      <c r="J116" s="149">
        <v>150</v>
      </c>
      <c r="K116" s="66">
        <v>260</v>
      </c>
      <c r="L116" s="66">
        <v>800</v>
      </c>
      <c r="M116" s="164">
        <v>9.1541816611815783</v>
      </c>
      <c r="N116" s="78">
        <v>452.98587889799995</v>
      </c>
      <c r="O116" s="113">
        <v>18092.233272504654</v>
      </c>
      <c r="P116" s="109">
        <v>22079.740991356706</v>
      </c>
      <c r="Q116" s="110">
        <v>10347.434921169664</v>
      </c>
      <c r="R116" s="258">
        <v>28439.668193674319</v>
      </c>
      <c r="S116" s="259">
        <v>32427.175912526371</v>
      </c>
      <c r="U116" s="7" t="s">
        <v>3409</v>
      </c>
    </row>
    <row r="117" spans="1:21" ht="16.5" thickBot="1">
      <c r="A117" s="41" t="s">
        <v>31</v>
      </c>
      <c r="B117" s="42">
        <f t="shared" si="6"/>
        <v>150</v>
      </c>
      <c r="C117" s="42" t="s">
        <v>3</v>
      </c>
      <c r="D117" s="42">
        <f t="shared" si="7"/>
        <v>260</v>
      </c>
      <c r="E117" s="42" t="s">
        <v>3</v>
      </c>
      <c r="F117" s="90">
        <f t="shared" si="8"/>
        <v>850</v>
      </c>
      <c r="G117" s="42" t="s">
        <v>3</v>
      </c>
      <c r="H117" s="39">
        <v>4</v>
      </c>
      <c r="I117" s="40" t="s">
        <v>41</v>
      </c>
      <c r="J117" s="149">
        <v>150</v>
      </c>
      <c r="K117" s="66">
        <v>260</v>
      </c>
      <c r="L117" s="66">
        <v>850</v>
      </c>
      <c r="M117" s="164">
        <v>9.679522323046843</v>
      </c>
      <c r="N117" s="78">
        <v>503.31764321999992</v>
      </c>
      <c r="O117" s="113">
        <v>18852.086893719286</v>
      </c>
      <c r="P117" s="109">
        <v>23040.122282161017</v>
      </c>
      <c r="Q117" s="110">
        <v>11069.224626433395</v>
      </c>
      <c r="R117" s="258">
        <v>29921.311520152682</v>
      </c>
      <c r="S117" s="259">
        <v>34109.346908594409</v>
      </c>
      <c r="U117" s="7" t="s">
        <v>3410</v>
      </c>
    </row>
    <row r="118" spans="1:21" ht="16.5" thickBot="1">
      <c r="A118" s="41" t="s">
        <v>31</v>
      </c>
      <c r="B118" s="42">
        <f t="shared" si="6"/>
        <v>150</v>
      </c>
      <c r="C118" s="42" t="s">
        <v>3</v>
      </c>
      <c r="D118" s="42">
        <f t="shared" si="7"/>
        <v>260</v>
      </c>
      <c r="E118" s="42" t="s">
        <v>3</v>
      </c>
      <c r="F118" s="90">
        <f t="shared" si="8"/>
        <v>900</v>
      </c>
      <c r="G118" s="42" t="s">
        <v>3</v>
      </c>
      <c r="H118" s="39">
        <v>4</v>
      </c>
      <c r="I118" s="40" t="s">
        <v>41</v>
      </c>
      <c r="J118" s="149">
        <v>150</v>
      </c>
      <c r="K118" s="66">
        <v>260</v>
      </c>
      <c r="L118" s="66">
        <v>900</v>
      </c>
      <c r="M118" s="164">
        <v>10.187822984912106</v>
      </c>
      <c r="N118" s="78">
        <v>553.64940754199995</v>
      </c>
      <c r="O118" s="113">
        <v>19611.940514933915</v>
      </c>
      <c r="P118" s="109">
        <v>24000.503572965325</v>
      </c>
      <c r="Q118" s="110">
        <v>11539.680193913358</v>
      </c>
      <c r="R118" s="258">
        <v>31151.620708847273</v>
      </c>
      <c r="S118" s="259">
        <v>35540.183766878683</v>
      </c>
      <c r="U118" s="7" t="s">
        <v>3411</v>
      </c>
    </row>
    <row r="119" spans="1:21" ht="16.5" thickBot="1">
      <c r="A119" s="41" t="s">
        <v>31</v>
      </c>
      <c r="B119" s="42">
        <f t="shared" si="6"/>
        <v>150</v>
      </c>
      <c r="C119" s="42" t="s">
        <v>3</v>
      </c>
      <c r="D119" s="42">
        <f t="shared" si="7"/>
        <v>260</v>
      </c>
      <c r="E119" s="42" t="s">
        <v>3</v>
      </c>
      <c r="F119" s="90">
        <f t="shared" si="8"/>
        <v>950</v>
      </c>
      <c r="G119" s="42" t="s">
        <v>3</v>
      </c>
      <c r="H119" s="39">
        <v>4</v>
      </c>
      <c r="I119" s="40" t="s">
        <v>41</v>
      </c>
      <c r="J119" s="149">
        <v>150</v>
      </c>
      <c r="K119" s="66">
        <v>260</v>
      </c>
      <c r="L119" s="66">
        <v>950</v>
      </c>
      <c r="M119" s="164">
        <v>10.713163646777367</v>
      </c>
      <c r="N119" s="78">
        <v>603.98117186399998</v>
      </c>
      <c r="O119" s="113">
        <v>20371.794136148543</v>
      </c>
      <c r="P119" s="109">
        <v>24960.884863769632</v>
      </c>
      <c r="Q119" s="110">
        <v>12261.469899177091</v>
      </c>
      <c r="R119" s="258">
        <v>32633.264035325636</v>
      </c>
      <c r="S119" s="259">
        <v>37222.354762946721</v>
      </c>
      <c r="U119" s="7" t="s">
        <v>3412</v>
      </c>
    </row>
    <row r="120" spans="1:21" ht="16.5" thickBot="1">
      <c r="A120" s="41" t="s">
        <v>31</v>
      </c>
      <c r="B120" s="42">
        <f t="shared" si="6"/>
        <v>150</v>
      </c>
      <c r="C120" s="42" t="s">
        <v>3</v>
      </c>
      <c r="D120" s="42">
        <f t="shared" si="7"/>
        <v>260</v>
      </c>
      <c r="E120" s="42" t="s">
        <v>3</v>
      </c>
      <c r="F120" s="90">
        <f t="shared" si="8"/>
        <v>1000</v>
      </c>
      <c r="G120" s="42" t="s">
        <v>3</v>
      </c>
      <c r="H120" s="39">
        <v>4</v>
      </c>
      <c r="I120" s="40" t="s">
        <v>41</v>
      </c>
      <c r="J120" s="149">
        <v>150</v>
      </c>
      <c r="K120" s="66">
        <v>260</v>
      </c>
      <c r="L120" s="66">
        <v>1000</v>
      </c>
      <c r="M120" s="164">
        <v>11.221464308642632</v>
      </c>
      <c r="N120" s="78">
        <v>654.31293618599989</v>
      </c>
      <c r="O120" s="113">
        <v>21131.647757363171</v>
      </c>
      <c r="P120" s="109">
        <v>25921.266154573939</v>
      </c>
      <c r="Q120" s="110">
        <v>12731.925466657052</v>
      </c>
      <c r="R120" s="258">
        <v>33863.57322402022</v>
      </c>
      <c r="S120" s="259">
        <v>38653.191621230988</v>
      </c>
      <c r="U120" s="7" t="s">
        <v>3413</v>
      </c>
    </row>
    <row r="121" spans="1:21" ht="16.5" thickBot="1">
      <c r="A121" s="41" t="s">
        <v>31</v>
      </c>
      <c r="B121" s="42">
        <f t="shared" si="6"/>
        <v>150</v>
      </c>
      <c r="C121" s="42" t="s">
        <v>3</v>
      </c>
      <c r="D121" s="42">
        <f t="shared" si="7"/>
        <v>260</v>
      </c>
      <c r="E121" s="42" t="s">
        <v>3</v>
      </c>
      <c r="F121" s="90">
        <f t="shared" si="8"/>
        <v>1050</v>
      </c>
      <c r="G121" s="42" t="s">
        <v>3</v>
      </c>
      <c r="H121" s="39">
        <v>4</v>
      </c>
      <c r="I121" s="40" t="s">
        <v>41</v>
      </c>
      <c r="J121" s="149">
        <v>150</v>
      </c>
      <c r="K121" s="66">
        <v>260</v>
      </c>
      <c r="L121" s="66">
        <v>1050</v>
      </c>
      <c r="M121" s="164">
        <v>11.746804970507895</v>
      </c>
      <c r="N121" s="78">
        <v>704.6447005079998</v>
      </c>
      <c r="O121" s="113">
        <v>21891.501378577799</v>
      </c>
      <c r="P121" s="109">
        <v>26881.64744537825</v>
      </c>
      <c r="Q121" s="110">
        <v>13453.71501889202</v>
      </c>
      <c r="R121" s="258">
        <v>35345.21639746982</v>
      </c>
      <c r="S121" s="259">
        <v>40335.362464270271</v>
      </c>
      <c r="U121" s="7" t="s">
        <v>3414</v>
      </c>
    </row>
    <row r="122" spans="1:21" ht="16.5" thickBot="1">
      <c r="A122" s="38" t="s">
        <v>31</v>
      </c>
      <c r="B122" s="39">
        <f t="shared" si="6"/>
        <v>150</v>
      </c>
      <c r="C122" s="39" t="s">
        <v>3</v>
      </c>
      <c r="D122" s="39">
        <f t="shared" si="7"/>
        <v>260</v>
      </c>
      <c r="E122" s="39" t="s">
        <v>3</v>
      </c>
      <c r="F122" s="90">
        <f t="shared" si="8"/>
        <v>1100</v>
      </c>
      <c r="G122" s="39" t="s">
        <v>3</v>
      </c>
      <c r="H122" s="39">
        <v>4</v>
      </c>
      <c r="I122" s="40" t="s">
        <v>41</v>
      </c>
      <c r="J122" s="149">
        <v>150</v>
      </c>
      <c r="K122" s="66">
        <v>260</v>
      </c>
      <c r="L122" s="66">
        <v>1100</v>
      </c>
      <c r="M122" s="164">
        <v>12.255105632373159</v>
      </c>
      <c r="N122" s="78">
        <v>754.97646482999994</v>
      </c>
      <c r="O122" s="113">
        <v>22651.354999792427</v>
      </c>
      <c r="P122" s="109">
        <v>27842.028736182558</v>
      </c>
      <c r="Q122" s="110">
        <v>13924.170586371982</v>
      </c>
      <c r="R122" s="258">
        <v>36575.525586164411</v>
      </c>
      <c r="S122" s="259">
        <v>41766.199322554538</v>
      </c>
      <c r="U122" s="7" t="s">
        <v>3415</v>
      </c>
    </row>
    <row r="123" spans="1:21" ht="16.5" thickBot="1">
      <c r="A123" s="41" t="s">
        <v>31</v>
      </c>
      <c r="B123" s="42">
        <f t="shared" si="6"/>
        <v>150</v>
      </c>
      <c r="C123" s="42" t="s">
        <v>3</v>
      </c>
      <c r="D123" s="42">
        <f t="shared" si="7"/>
        <v>260</v>
      </c>
      <c r="E123" s="42" t="s">
        <v>3</v>
      </c>
      <c r="F123" s="90">
        <f t="shared" si="8"/>
        <v>1150</v>
      </c>
      <c r="G123" s="42" t="s">
        <v>3</v>
      </c>
      <c r="H123" s="39">
        <v>4</v>
      </c>
      <c r="I123" s="40" t="s">
        <v>41</v>
      </c>
      <c r="J123" s="149">
        <v>150</v>
      </c>
      <c r="K123" s="66">
        <v>260</v>
      </c>
      <c r="L123" s="66">
        <v>1150</v>
      </c>
      <c r="M123" s="164">
        <v>12.76340629423842</v>
      </c>
      <c r="N123" s="78">
        <v>805.30822915199997</v>
      </c>
      <c r="O123" s="113">
        <v>23411.208621007059</v>
      </c>
      <c r="P123" s="109">
        <v>28802.410026986861</v>
      </c>
      <c r="Q123" s="110">
        <v>14394.626153851941</v>
      </c>
      <c r="R123" s="258">
        <v>37805.834774859002</v>
      </c>
      <c r="S123" s="259">
        <v>43197.036180838804</v>
      </c>
      <c r="U123" s="7" t="s">
        <v>3416</v>
      </c>
    </row>
    <row r="124" spans="1:21" ht="16.5" thickBot="1">
      <c r="A124" s="41" t="s">
        <v>31</v>
      </c>
      <c r="B124" s="42">
        <f t="shared" si="6"/>
        <v>150</v>
      </c>
      <c r="C124" s="42" t="s">
        <v>3</v>
      </c>
      <c r="D124" s="42">
        <f t="shared" si="7"/>
        <v>260</v>
      </c>
      <c r="E124" s="42" t="s">
        <v>3</v>
      </c>
      <c r="F124" s="90">
        <f t="shared" si="8"/>
        <v>1200</v>
      </c>
      <c r="G124" s="42" t="s">
        <v>3</v>
      </c>
      <c r="H124" s="39">
        <v>4</v>
      </c>
      <c r="I124" s="40" t="s">
        <v>41</v>
      </c>
      <c r="J124" s="149">
        <v>150</v>
      </c>
      <c r="K124" s="66">
        <v>260</v>
      </c>
      <c r="L124" s="66">
        <v>1200</v>
      </c>
      <c r="M124" s="164">
        <v>13.367246956103683</v>
      </c>
      <c r="N124" s="78">
        <v>855.63999347399977</v>
      </c>
      <c r="O124" s="113">
        <v>24255.160577355018</v>
      </c>
      <c r="P124" s="109">
        <v>29847.403064431499</v>
      </c>
      <c r="Q124" s="110">
        <v>15116.415859115676</v>
      </c>
      <c r="R124" s="258">
        <v>39371.576436470692</v>
      </c>
      <c r="S124" s="259">
        <v>44963.818923547173</v>
      </c>
      <c r="U124" s="7" t="s">
        <v>3417</v>
      </c>
    </row>
    <row r="125" spans="1:21" ht="16.5" thickBot="1">
      <c r="A125" s="41" t="s">
        <v>31</v>
      </c>
      <c r="B125" s="42">
        <f t="shared" si="6"/>
        <v>150</v>
      </c>
      <c r="C125" s="42" t="s">
        <v>3</v>
      </c>
      <c r="D125" s="42">
        <f t="shared" si="7"/>
        <v>260</v>
      </c>
      <c r="E125" s="42" t="s">
        <v>3</v>
      </c>
      <c r="F125" s="90">
        <f t="shared" si="8"/>
        <v>1250</v>
      </c>
      <c r="G125" s="42" t="s">
        <v>3</v>
      </c>
      <c r="H125" s="39">
        <v>4</v>
      </c>
      <c r="I125" s="40" t="s">
        <v>41</v>
      </c>
      <c r="J125" s="149">
        <v>150</v>
      </c>
      <c r="K125" s="66">
        <v>260</v>
      </c>
      <c r="L125" s="66">
        <v>1250</v>
      </c>
      <c r="M125" s="164">
        <v>13.875547617968946</v>
      </c>
      <c r="N125" s="78">
        <v>905.97175779599991</v>
      </c>
      <c r="O125" s="113">
        <v>25015.014198569646</v>
      </c>
      <c r="P125" s="109">
        <v>30807.784355235803</v>
      </c>
      <c r="Q125" s="110">
        <v>15586.871426595639</v>
      </c>
      <c r="R125" s="258">
        <v>40601.885625165283</v>
      </c>
      <c r="S125" s="259">
        <v>46394.65578183144</v>
      </c>
      <c r="U125" s="7" t="s">
        <v>3418</v>
      </c>
    </row>
    <row r="126" spans="1:21" ht="16.5" thickBot="1">
      <c r="A126" s="41" t="s">
        <v>31</v>
      </c>
      <c r="B126" s="42">
        <f t="shared" si="6"/>
        <v>150</v>
      </c>
      <c r="C126" s="42" t="s">
        <v>3</v>
      </c>
      <c r="D126" s="42">
        <f t="shared" si="7"/>
        <v>260</v>
      </c>
      <c r="E126" s="42" t="s">
        <v>3</v>
      </c>
      <c r="F126" s="90">
        <f t="shared" si="8"/>
        <v>1300</v>
      </c>
      <c r="G126" s="42" t="s">
        <v>3</v>
      </c>
      <c r="H126" s="39">
        <v>4</v>
      </c>
      <c r="I126" s="40" t="s">
        <v>41</v>
      </c>
      <c r="J126" s="149">
        <v>150</v>
      </c>
      <c r="K126" s="66">
        <v>260</v>
      </c>
      <c r="L126" s="66">
        <v>1300</v>
      </c>
      <c r="M126" s="164">
        <v>14.400888279834211</v>
      </c>
      <c r="N126" s="78">
        <v>956.30352211799982</v>
      </c>
      <c r="O126" s="113">
        <v>25774.867819784275</v>
      </c>
      <c r="P126" s="109">
        <v>31768.16564604011</v>
      </c>
      <c r="Q126" s="110">
        <v>16308.66113185937</v>
      </c>
      <c r="R126" s="258">
        <v>42083.528951643646</v>
      </c>
      <c r="S126" s="259">
        <v>48076.826777899478</v>
      </c>
      <c r="U126" s="7" t="s">
        <v>3419</v>
      </c>
    </row>
    <row r="127" spans="1:21" ht="16.5" thickBot="1">
      <c r="A127" s="41" t="s">
        <v>31</v>
      </c>
      <c r="B127" s="42">
        <f t="shared" si="6"/>
        <v>150</v>
      </c>
      <c r="C127" s="42" t="s">
        <v>3</v>
      </c>
      <c r="D127" s="42">
        <f t="shared" si="7"/>
        <v>260</v>
      </c>
      <c r="E127" s="42" t="s">
        <v>3</v>
      </c>
      <c r="F127" s="90">
        <f t="shared" si="8"/>
        <v>1350</v>
      </c>
      <c r="G127" s="42" t="s">
        <v>3</v>
      </c>
      <c r="H127" s="39">
        <v>4</v>
      </c>
      <c r="I127" s="40" t="s">
        <v>41</v>
      </c>
      <c r="J127" s="149">
        <v>150</v>
      </c>
      <c r="K127" s="66">
        <v>260</v>
      </c>
      <c r="L127" s="66">
        <v>1350</v>
      </c>
      <c r="M127" s="164">
        <v>14.909188941699474</v>
      </c>
      <c r="N127" s="78">
        <v>1006.6352864399998</v>
      </c>
      <c r="O127" s="113">
        <v>26534.721440998903</v>
      </c>
      <c r="P127" s="109">
        <v>32728.546936844421</v>
      </c>
      <c r="Q127" s="110">
        <v>16779.116699339331</v>
      </c>
      <c r="R127" s="258">
        <v>43313.838140338237</v>
      </c>
      <c r="S127" s="259">
        <v>49507.663636183752</v>
      </c>
      <c r="U127" s="7" t="s">
        <v>3420</v>
      </c>
    </row>
    <row r="128" spans="1:21" ht="16.5" thickBot="1">
      <c r="A128" s="41" t="s">
        <v>31</v>
      </c>
      <c r="B128" s="42">
        <f t="shared" si="6"/>
        <v>150</v>
      </c>
      <c r="C128" s="42" t="s">
        <v>3</v>
      </c>
      <c r="D128" s="42">
        <f t="shared" si="7"/>
        <v>260</v>
      </c>
      <c r="E128" s="42" t="s">
        <v>3</v>
      </c>
      <c r="F128" s="90">
        <f t="shared" si="8"/>
        <v>1400</v>
      </c>
      <c r="G128" s="42" t="s">
        <v>3</v>
      </c>
      <c r="H128" s="39">
        <v>4</v>
      </c>
      <c r="I128" s="40" t="s">
        <v>41</v>
      </c>
      <c r="J128" s="149">
        <v>150</v>
      </c>
      <c r="K128" s="66">
        <v>260</v>
      </c>
      <c r="L128" s="66">
        <v>1400</v>
      </c>
      <c r="M128" s="164">
        <v>15.434529603564737</v>
      </c>
      <c r="N128" s="78">
        <v>1056.9670507619999</v>
      </c>
      <c r="O128" s="113">
        <v>27294.575062213535</v>
      </c>
      <c r="P128" s="109">
        <v>33688.928227648728</v>
      </c>
      <c r="Q128" s="110">
        <v>17500.906404603062</v>
      </c>
      <c r="R128" s="258">
        <v>44795.481466816593</v>
      </c>
      <c r="S128" s="259">
        <v>51189.83463225179</v>
      </c>
      <c r="U128" s="7" t="s">
        <v>3421</v>
      </c>
    </row>
    <row r="129" spans="1:21" ht="16.5" thickBot="1">
      <c r="A129" s="41" t="s">
        <v>31</v>
      </c>
      <c r="B129" s="42">
        <f t="shared" si="6"/>
        <v>150</v>
      </c>
      <c r="C129" s="42" t="s">
        <v>3</v>
      </c>
      <c r="D129" s="42">
        <f t="shared" si="7"/>
        <v>260</v>
      </c>
      <c r="E129" s="42" t="s">
        <v>3</v>
      </c>
      <c r="F129" s="90">
        <f t="shared" si="8"/>
        <v>1450</v>
      </c>
      <c r="G129" s="42" t="s">
        <v>3</v>
      </c>
      <c r="H129" s="39">
        <v>4</v>
      </c>
      <c r="I129" s="40" t="s">
        <v>41</v>
      </c>
      <c r="J129" s="149">
        <v>150</v>
      </c>
      <c r="K129" s="66">
        <v>260</v>
      </c>
      <c r="L129" s="66">
        <v>1450</v>
      </c>
      <c r="M129" s="164">
        <v>15.94283026543</v>
      </c>
      <c r="N129" s="78">
        <v>1107.2988150839999</v>
      </c>
      <c r="O129" s="113">
        <v>28054.428836456926</v>
      </c>
      <c r="P129" s="109">
        <v>34649.309518453039</v>
      </c>
      <c r="Q129" s="110">
        <v>17971.361972083025</v>
      </c>
      <c r="R129" s="258">
        <v>46025.790808539954</v>
      </c>
      <c r="S129" s="259">
        <v>52620.671490536064</v>
      </c>
      <c r="U129" s="7" t="s">
        <v>3422</v>
      </c>
    </row>
    <row r="130" spans="1:21" ht="16.5" thickBot="1">
      <c r="A130" s="41" t="s">
        <v>31</v>
      </c>
      <c r="B130" s="42">
        <f t="shared" si="6"/>
        <v>150</v>
      </c>
      <c r="C130" s="42" t="s">
        <v>3</v>
      </c>
      <c r="D130" s="42">
        <f t="shared" si="7"/>
        <v>260</v>
      </c>
      <c r="E130" s="42" t="s">
        <v>3</v>
      </c>
      <c r="F130" s="90">
        <f t="shared" si="8"/>
        <v>1500</v>
      </c>
      <c r="G130" s="42" t="s">
        <v>3</v>
      </c>
      <c r="H130" s="39">
        <v>4</v>
      </c>
      <c r="I130" s="40" t="s">
        <v>41</v>
      </c>
      <c r="J130" s="149">
        <v>150</v>
      </c>
      <c r="K130" s="66">
        <v>260</v>
      </c>
      <c r="L130" s="66">
        <v>1500</v>
      </c>
      <c r="M130" s="164">
        <v>16.611273270595262</v>
      </c>
      <c r="N130" s="78">
        <v>1157.6305794059997</v>
      </c>
      <c r="O130" s="113">
        <v>29480.64024728653</v>
      </c>
      <c r="P130" s="109">
        <v>36235.677315200868</v>
      </c>
      <c r="Q130" s="110">
        <v>18693.151677346756</v>
      </c>
      <c r="R130" s="258">
        <v>48173.791924633289</v>
      </c>
      <c r="S130" s="259">
        <v>54928.828992547627</v>
      </c>
      <c r="U130" s="7" t="s">
        <v>3423</v>
      </c>
    </row>
    <row r="131" spans="1:21" ht="16.5" thickBot="1">
      <c r="A131" s="41" t="s">
        <v>31</v>
      </c>
      <c r="B131" s="42">
        <f t="shared" si="6"/>
        <v>150</v>
      </c>
      <c r="C131" s="42" t="s">
        <v>3</v>
      </c>
      <c r="D131" s="42">
        <f t="shared" si="7"/>
        <v>260</v>
      </c>
      <c r="E131" s="42" t="s">
        <v>3</v>
      </c>
      <c r="F131" s="90">
        <f t="shared" si="8"/>
        <v>1550</v>
      </c>
      <c r="G131" s="42" t="s">
        <v>3</v>
      </c>
      <c r="H131" s="39">
        <v>4</v>
      </c>
      <c r="I131" s="40" t="s">
        <v>41</v>
      </c>
      <c r="J131" s="149">
        <v>150</v>
      </c>
      <c r="K131" s="66">
        <v>260</v>
      </c>
      <c r="L131" s="66">
        <v>1550</v>
      </c>
      <c r="M131" s="164">
        <v>17.119573932460526</v>
      </c>
      <c r="N131" s="78">
        <v>1207.962343728</v>
      </c>
      <c r="O131" s="113">
        <v>30240.493868501158</v>
      </c>
      <c r="P131" s="109">
        <v>37196.058606005172</v>
      </c>
      <c r="Q131" s="110">
        <v>19163.607244826719</v>
      </c>
      <c r="R131" s="258">
        <v>49404.101113327881</v>
      </c>
      <c r="S131" s="259">
        <v>56359.665850831894</v>
      </c>
      <c r="U131" s="7" t="s">
        <v>3424</v>
      </c>
    </row>
    <row r="132" spans="1:21" ht="16.5" thickBot="1">
      <c r="A132" s="38" t="s">
        <v>31</v>
      </c>
      <c r="B132" s="39">
        <f t="shared" si="6"/>
        <v>150</v>
      </c>
      <c r="C132" s="39" t="s">
        <v>3</v>
      </c>
      <c r="D132" s="39">
        <f t="shared" si="7"/>
        <v>260</v>
      </c>
      <c r="E132" s="39" t="s">
        <v>3</v>
      </c>
      <c r="F132" s="90">
        <f t="shared" si="8"/>
        <v>1600</v>
      </c>
      <c r="G132" s="39" t="s">
        <v>3</v>
      </c>
      <c r="H132" s="39">
        <v>4</v>
      </c>
      <c r="I132" s="40" t="s">
        <v>41</v>
      </c>
      <c r="J132" s="149">
        <v>150</v>
      </c>
      <c r="K132" s="66">
        <v>260</v>
      </c>
      <c r="L132" s="66">
        <v>1600</v>
      </c>
      <c r="M132" s="164">
        <v>17.627874594325789</v>
      </c>
      <c r="N132" s="78">
        <v>1258.2941080499997</v>
      </c>
      <c r="O132" s="113">
        <v>31000.347489715787</v>
      </c>
      <c r="P132" s="109">
        <v>38156.439896809483</v>
      </c>
      <c r="Q132" s="110">
        <v>19634.062812306682</v>
      </c>
      <c r="R132" s="258">
        <v>50634.410302022472</v>
      </c>
      <c r="S132" s="259">
        <v>57790.502709116161</v>
      </c>
      <c r="U132" s="7" t="s">
        <v>3425</v>
      </c>
    </row>
    <row r="133" spans="1:21" ht="16.5" thickBot="1">
      <c r="A133" s="41" t="s">
        <v>31</v>
      </c>
      <c r="B133" s="42">
        <f t="shared" si="6"/>
        <v>150</v>
      </c>
      <c r="C133" s="42" t="s">
        <v>3</v>
      </c>
      <c r="D133" s="42">
        <f t="shared" si="7"/>
        <v>260</v>
      </c>
      <c r="E133" s="42" t="s">
        <v>3</v>
      </c>
      <c r="F133" s="90">
        <f t="shared" si="8"/>
        <v>1650</v>
      </c>
      <c r="G133" s="42" t="s">
        <v>3</v>
      </c>
      <c r="H133" s="39">
        <v>4</v>
      </c>
      <c r="I133" s="40" t="s">
        <v>41</v>
      </c>
      <c r="J133" s="149">
        <v>150</v>
      </c>
      <c r="K133" s="66">
        <v>260</v>
      </c>
      <c r="L133" s="66">
        <v>1650</v>
      </c>
      <c r="M133" s="164">
        <v>18.153215256191054</v>
      </c>
      <c r="N133" s="78">
        <v>1308.6258723719998</v>
      </c>
      <c r="O133" s="113">
        <v>31760.201110930415</v>
      </c>
      <c r="P133" s="109">
        <v>39116.821187613787</v>
      </c>
      <c r="Q133" s="110">
        <v>20355.852364541646</v>
      </c>
      <c r="R133" s="258">
        <v>52116.053475472057</v>
      </c>
      <c r="S133" s="259">
        <v>59472.673552155436</v>
      </c>
      <c r="U133" s="7" t="s">
        <v>3426</v>
      </c>
    </row>
    <row r="134" spans="1:21" ht="16.5" thickBot="1">
      <c r="A134" s="41" t="s">
        <v>31</v>
      </c>
      <c r="B134" s="42">
        <f t="shared" si="6"/>
        <v>150</v>
      </c>
      <c r="C134" s="42" t="s">
        <v>3</v>
      </c>
      <c r="D134" s="42">
        <f t="shared" si="7"/>
        <v>260</v>
      </c>
      <c r="E134" s="42" t="s">
        <v>3</v>
      </c>
      <c r="F134" s="90">
        <f t="shared" si="8"/>
        <v>1700</v>
      </c>
      <c r="G134" s="42" t="s">
        <v>3</v>
      </c>
      <c r="H134" s="39">
        <v>4</v>
      </c>
      <c r="I134" s="40" t="s">
        <v>41</v>
      </c>
      <c r="J134" s="149">
        <v>150</v>
      </c>
      <c r="K134" s="66">
        <v>260</v>
      </c>
      <c r="L134" s="66">
        <v>1700</v>
      </c>
      <c r="M134" s="164">
        <v>18.661515918056317</v>
      </c>
      <c r="N134" s="78">
        <v>1358.957636694</v>
      </c>
      <c r="O134" s="113">
        <v>32520.054732145043</v>
      </c>
      <c r="P134" s="109">
        <v>40077.202478418098</v>
      </c>
      <c r="Q134" s="110">
        <v>20826.307932021609</v>
      </c>
      <c r="R134" s="258">
        <v>53346.362664166649</v>
      </c>
      <c r="S134" s="259">
        <v>60903.510410439703</v>
      </c>
      <c r="U134" s="7" t="s">
        <v>3427</v>
      </c>
    </row>
    <row r="135" spans="1:21" ht="16.5" thickBot="1">
      <c r="A135" s="41" t="s">
        <v>31</v>
      </c>
      <c r="B135" s="42">
        <f t="shared" si="6"/>
        <v>150</v>
      </c>
      <c r="C135" s="42" t="s">
        <v>3</v>
      </c>
      <c r="D135" s="42">
        <f t="shared" si="7"/>
        <v>260</v>
      </c>
      <c r="E135" s="42" t="s">
        <v>3</v>
      </c>
      <c r="F135" s="90">
        <f t="shared" si="8"/>
        <v>1750</v>
      </c>
      <c r="G135" s="42" t="s">
        <v>3</v>
      </c>
      <c r="H135" s="39">
        <v>4</v>
      </c>
      <c r="I135" s="40" t="s">
        <v>41</v>
      </c>
      <c r="J135" s="149">
        <v>150</v>
      </c>
      <c r="K135" s="66">
        <v>260</v>
      </c>
      <c r="L135" s="66">
        <v>1750</v>
      </c>
      <c r="M135" s="164">
        <v>19.186856579921574</v>
      </c>
      <c r="N135" s="78">
        <v>1409.2894010159996</v>
      </c>
      <c r="O135" s="113">
        <v>33279.908353359679</v>
      </c>
      <c r="P135" s="109">
        <v>41037.583769222401</v>
      </c>
      <c r="Q135" s="110">
        <v>21548.09763728534</v>
      </c>
      <c r="R135" s="258">
        <v>54828.005990645019</v>
      </c>
      <c r="S135" s="259">
        <v>62585.681406507741</v>
      </c>
      <c r="U135" s="7" t="s">
        <v>3428</v>
      </c>
    </row>
    <row r="136" spans="1:21" ht="16.5" thickBot="1">
      <c r="A136" s="41" t="s">
        <v>31</v>
      </c>
      <c r="B136" s="42">
        <f t="shared" si="6"/>
        <v>150</v>
      </c>
      <c r="C136" s="42" t="s">
        <v>3</v>
      </c>
      <c r="D136" s="42">
        <f t="shared" si="7"/>
        <v>260</v>
      </c>
      <c r="E136" s="42" t="s">
        <v>3</v>
      </c>
      <c r="F136" s="90">
        <f t="shared" si="8"/>
        <v>1800</v>
      </c>
      <c r="G136" s="42" t="s">
        <v>3</v>
      </c>
      <c r="H136" s="39">
        <v>4</v>
      </c>
      <c r="I136" s="40" t="s">
        <v>41</v>
      </c>
      <c r="J136" s="149">
        <v>150</v>
      </c>
      <c r="K136" s="66">
        <v>260</v>
      </c>
      <c r="L136" s="66">
        <v>1800</v>
      </c>
      <c r="M136" s="164">
        <v>19.695157241786841</v>
      </c>
      <c r="N136" s="78">
        <v>1459.6211653379996</v>
      </c>
      <c r="O136" s="113">
        <v>34039.7619745743</v>
      </c>
      <c r="P136" s="109">
        <v>41997.965060026712</v>
      </c>
      <c r="Q136" s="110">
        <v>22018.553204765303</v>
      </c>
      <c r="R136" s="258">
        <v>56058.315179339603</v>
      </c>
      <c r="S136" s="259">
        <v>64016.518264792016</v>
      </c>
      <c r="U136" s="7" t="s">
        <v>3429</v>
      </c>
    </row>
    <row r="137" spans="1:21" ht="16.5" thickBot="1">
      <c r="A137" s="41" t="s">
        <v>31</v>
      </c>
      <c r="B137" s="42">
        <f t="shared" si="6"/>
        <v>150</v>
      </c>
      <c r="C137" s="42" t="s">
        <v>3</v>
      </c>
      <c r="D137" s="42">
        <f t="shared" si="7"/>
        <v>260</v>
      </c>
      <c r="E137" s="42" t="s">
        <v>3</v>
      </c>
      <c r="F137" s="90">
        <f t="shared" si="8"/>
        <v>1850</v>
      </c>
      <c r="G137" s="42" t="s">
        <v>3</v>
      </c>
      <c r="H137" s="39">
        <v>4</v>
      </c>
      <c r="I137" s="40" t="s">
        <v>41</v>
      </c>
      <c r="J137" s="149">
        <v>150</v>
      </c>
      <c r="K137" s="66">
        <v>260</v>
      </c>
      <c r="L137" s="66">
        <v>1850</v>
      </c>
      <c r="M137" s="164">
        <v>20.220497903652106</v>
      </c>
      <c r="N137" s="78">
        <v>1509.9529296599999</v>
      </c>
      <c r="O137" s="113">
        <v>34799.615595788935</v>
      </c>
      <c r="P137" s="109">
        <v>42958.346503859786</v>
      </c>
      <c r="Q137" s="110">
        <v>22740.342910029034</v>
      </c>
      <c r="R137" s="258">
        <v>57539.958505817965</v>
      </c>
      <c r="S137" s="259">
        <v>65698.689413888816</v>
      </c>
      <c r="U137" s="7" t="s">
        <v>3430</v>
      </c>
    </row>
    <row r="138" spans="1:21" ht="16.5" thickBot="1">
      <c r="A138" s="41" t="s">
        <v>31</v>
      </c>
      <c r="B138" s="42">
        <f t="shared" si="6"/>
        <v>150</v>
      </c>
      <c r="C138" s="42" t="s">
        <v>3</v>
      </c>
      <c r="D138" s="42">
        <f t="shared" si="7"/>
        <v>260</v>
      </c>
      <c r="E138" s="42" t="s">
        <v>3</v>
      </c>
      <c r="F138" s="90">
        <f t="shared" si="8"/>
        <v>1900</v>
      </c>
      <c r="G138" s="42" t="s">
        <v>3</v>
      </c>
      <c r="H138" s="39">
        <v>4</v>
      </c>
      <c r="I138" s="40" t="s">
        <v>41</v>
      </c>
      <c r="J138" s="149">
        <v>150</v>
      </c>
      <c r="K138" s="66">
        <v>260</v>
      </c>
      <c r="L138" s="66">
        <v>1900</v>
      </c>
      <c r="M138" s="164">
        <v>20.728798565517366</v>
      </c>
      <c r="N138" s="78">
        <v>1560.2846939819997</v>
      </c>
      <c r="O138" s="113">
        <v>35559.469217003556</v>
      </c>
      <c r="P138" s="109">
        <v>43918.72779466409</v>
      </c>
      <c r="Q138" s="110">
        <v>23210.798477508997</v>
      </c>
      <c r="R138" s="258">
        <v>58770.267694512557</v>
      </c>
      <c r="S138" s="259">
        <v>67129.526272173083</v>
      </c>
      <c r="U138" s="7" t="s">
        <v>3431</v>
      </c>
    </row>
    <row r="139" spans="1:21" ht="16.5" thickBot="1">
      <c r="A139" s="41" t="s">
        <v>31</v>
      </c>
      <c r="B139" s="42">
        <f t="shared" si="6"/>
        <v>150</v>
      </c>
      <c r="C139" s="42" t="s">
        <v>3</v>
      </c>
      <c r="D139" s="42">
        <f t="shared" si="7"/>
        <v>260</v>
      </c>
      <c r="E139" s="42" t="s">
        <v>3</v>
      </c>
      <c r="F139" s="90">
        <f t="shared" si="8"/>
        <v>1950</v>
      </c>
      <c r="G139" s="42" t="s">
        <v>3</v>
      </c>
      <c r="H139" s="39">
        <v>4</v>
      </c>
      <c r="I139" s="40" t="s">
        <v>41</v>
      </c>
      <c r="J139" s="149">
        <v>150</v>
      </c>
      <c r="K139" s="66">
        <v>260</v>
      </c>
      <c r="L139" s="66">
        <v>1950</v>
      </c>
      <c r="M139" s="164">
        <v>21.315599227382631</v>
      </c>
      <c r="N139" s="78">
        <v>1610.6164583039999</v>
      </c>
      <c r="O139" s="113">
        <v>36403.421173351519</v>
      </c>
      <c r="P139" s="109">
        <v>44963.720679079961</v>
      </c>
      <c r="Q139" s="110">
        <v>23681.25404498896</v>
      </c>
      <c r="R139" s="258">
        <v>60084.675218340475</v>
      </c>
      <c r="S139" s="259">
        <v>68644.974724068918</v>
      </c>
      <c r="U139" s="7" t="s">
        <v>3432</v>
      </c>
    </row>
    <row r="140" spans="1:21" ht="16.5" thickBot="1">
      <c r="A140" s="41" t="s">
        <v>31</v>
      </c>
      <c r="B140" s="42">
        <f t="shared" si="6"/>
        <v>150</v>
      </c>
      <c r="C140" s="42" t="s">
        <v>3</v>
      </c>
      <c r="D140" s="42">
        <f t="shared" si="7"/>
        <v>260</v>
      </c>
      <c r="E140" s="42" t="s">
        <v>3</v>
      </c>
      <c r="F140" s="90">
        <f t="shared" si="8"/>
        <v>2000</v>
      </c>
      <c r="G140" s="42" t="s">
        <v>3</v>
      </c>
      <c r="H140" s="39">
        <v>4</v>
      </c>
      <c r="I140" s="40" t="s">
        <v>41</v>
      </c>
      <c r="J140" s="149">
        <v>150</v>
      </c>
      <c r="K140" s="66">
        <v>260</v>
      </c>
      <c r="L140" s="66">
        <v>2000</v>
      </c>
      <c r="M140" s="164">
        <v>21.932502289247896</v>
      </c>
      <c r="N140" s="78">
        <v>1660.948222626</v>
      </c>
      <c r="O140" s="113">
        <v>37414.566696410744</v>
      </c>
      <c r="P140" s="109">
        <v>46264.924115909067</v>
      </c>
      <c r="Q140" s="110">
        <v>24403.043750252691</v>
      </c>
      <c r="R140" s="258">
        <v>61817.610446663435</v>
      </c>
      <c r="S140" s="259">
        <v>70667.967866161751</v>
      </c>
      <c r="U140" s="7" t="s">
        <v>3433</v>
      </c>
    </row>
    <row r="141" spans="1:21" ht="16.5" thickBot="1">
      <c r="A141" s="41" t="s">
        <v>31</v>
      </c>
      <c r="B141" s="42">
        <f t="shared" si="6"/>
        <v>150</v>
      </c>
      <c r="C141" s="42" t="s">
        <v>3</v>
      </c>
      <c r="D141" s="42">
        <f t="shared" si="7"/>
        <v>260</v>
      </c>
      <c r="E141" s="42" t="s">
        <v>3</v>
      </c>
      <c r="F141" s="90">
        <f t="shared" si="8"/>
        <v>2050</v>
      </c>
      <c r="G141" s="42" t="s">
        <v>3</v>
      </c>
      <c r="H141" s="39">
        <v>4</v>
      </c>
      <c r="I141" s="40" t="s">
        <v>41</v>
      </c>
      <c r="J141" s="149">
        <v>150</v>
      </c>
      <c r="K141" s="66">
        <v>260</v>
      </c>
      <c r="L141" s="66">
        <v>2050</v>
      </c>
      <c r="M141" s="164">
        <v>22.440802951113156</v>
      </c>
      <c r="N141" s="78">
        <v>1711.2799869479995</v>
      </c>
      <c r="O141" s="113">
        <v>38174.420317625372</v>
      </c>
      <c r="P141" s="109">
        <v>47225.305406713378</v>
      </c>
      <c r="Q141" s="110">
        <v>24873.499317732651</v>
      </c>
      <c r="R141" s="258">
        <v>63047.919635358019</v>
      </c>
      <c r="S141" s="259">
        <v>72098.804724446032</v>
      </c>
      <c r="U141" s="7" t="s">
        <v>3434</v>
      </c>
    </row>
    <row r="142" spans="1:21" ht="16.5" thickBot="1">
      <c r="A142" s="38" t="s">
        <v>31</v>
      </c>
      <c r="B142" s="39">
        <f t="shared" si="6"/>
        <v>150</v>
      </c>
      <c r="C142" s="39" t="s">
        <v>3</v>
      </c>
      <c r="D142" s="39">
        <f t="shared" si="7"/>
        <v>260</v>
      </c>
      <c r="E142" s="39" t="s">
        <v>3</v>
      </c>
      <c r="F142" s="90">
        <f t="shared" si="8"/>
        <v>2100</v>
      </c>
      <c r="G142" s="39" t="s">
        <v>3</v>
      </c>
      <c r="H142" s="39">
        <v>4</v>
      </c>
      <c r="I142" s="40" t="s">
        <v>41</v>
      </c>
      <c r="J142" s="149">
        <v>150</v>
      </c>
      <c r="K142" s="66">
        <v>260</v>
      </c>
      <c r="L142" s="66">
        <v>2100</v>
      </c>
      <c r="M142" s="164">
        <v>22.966143612978421</v>
      </c>
      <c r="N142" s="78">
        <v>1761.6117512699998</v>
      </c>
      <c r="O142" s="113">
        <v>38934.27393884</v>
      </c>
      <c r="P142" s="109">
        <v>48185.686697517689</v>
      </c>
      <c r="Q142" s="110">
        <v>25595.289022996385</v>
      </c>
      <c r="R142" s="258">
        <v>64529.562961836389</v>
      </c>
      <c r="S142" s="259">
        <v>73780.975720514078</v>
      </c>
      <c r="U142" s="7" t="s">
        <v>3435</v>
      </c>
    </row>
    <row r="143" spans="1:21" ht="16.5" thickBot="1">
      <c r="A143" s="41" t="s">
        <v>31</v>
      </c>
      <c r="B143" s="42">
        <f t="shared" si="6"/>
        <v>150</v>
      </c>
      <c r="C143" s="42" t="s">
        <v>3</v>
      </c>
      <c r="D143" s="42">
        <f t="shared" si="7"/>
        <v>260</v>
      </c>
      <c r="E143" s="42" t="s">
        <v>3</v>
      </c>
      <c r="F143" s="90">
        <f t="shared" si="8"/>
        <v>2150</v>
      </c>
      <c r="G143" s="42" t="s">
        <v>3</v>
      </c>
      <c r="H143" s="39">
        <v>4</v>
      </c>
      <c r="I143" s="40" t="s">
        <v>41</v>
      </c>
      <c r="J143" s="149">
        <v>150</v>
      </c>
      <c r="K143" s="66">
        <v>260</v>
      </c>
      <c r="L143" s="66">
        <v>2150</v>
      </c>
      <c r="M143" s="164">
        <v>23.474444274843684</v>
      </c>
      <c r="N143" s="78">
        <v>1811.9435155919998</v>
      </c>
      <c r="O143" s="113">
        <v>39694.127560054629</v>
      </c>
      <c r="P143" s="109">
        <v>49146.067988321993</v>
      </c>
      <c r="Q143" s="110">
        <v>26065.744590476344</v>
      </c>
      <c r="R143" s="258">
        <v>65759.87215053098</v>
      </c>
      <c r="S143" s="259">
        <v>75211.81257879833</v>
      </c>
      <c r="U143" s="7" t="s">
        <v>3436</v>
      </c>
    </row>
    <row r="144" spans="1:21" ht="16.5" thickBot="1">
      <c r="A144" s="41" t="s">
        <v>31</v>
      </c>
      <c r="B144" s="42">
        <f t="shared" si="6"/>
        <v>150</v>
      </c>
      <c r="C144" s="42" t="s">
        <v>3</v>
      </c>
      <c r="D144" s="42">
        <f t="shared" si="7"/>
        <v>260</v>
      </c>
      <c r="E144" s="42" t="s">
        <v>3</v>
      </c>
      <c r="F144" s="90">
        <f t="shared" si="8"/>
        <v>2200</v>
      </c>
      <c r="G144" s="42" t="s">
        <v>3</v>
      </c>
      <c r="H144" s="39">
        <v>4</v>
      </c>
      <c r="I144" s="40" t="s">
        <v>41</v>
      </c>
      <c r="J144" s="149">
        <v>150</v>
      </c>
      <c r="K144" s="66">
        <v>260</v>
      </c>
      <c r="L144" s="66">
        <v>2200</v>
      </c>
      <c r="M144" s="164">
        <v>23.999784936708949</v>
      </c>
      <c r="N144" s="78">
        <v>1862.2752799139994</v>
      </c>
      <c r="O144" s="113">
        <v>40453.981334298027</v>
      </c>
      <c r="P144" s="109">
        <v>50106.449279126304</v>
      </c>
      <c r="Q144" s="110">
        <v>26787.534295740079</v>
      </c>
      <c r="R144" s="258">
        <v>67241.515630038106</v>
      </c>
      <c r="S144" s="259">
        <v>76893.983574866375</v>
      </c>
      <c r="U144" s="7" t="s">
        <v>3437</v>
      </c>
    </row>
    <row r="145" spans="1:21" ht="16.5" thickBot="1">
      <c r="A145" s="41" t="s">
        <v>31</v>
      </c>
      <c r="B145" s="42">
        <f t="shared" si="6"/>
        <v>150</v>
      </c>
      <c r="C145" s="42" t="s">
        <v>3</v>
      </c>
      <c r="D145" s="42">
        <f t="shared" si="7"/>
        <v>260</v>
      </c>
      <c r="E145" s="42" t="s">
        <v>3</v>
      </c>
      <c r="F145" s="90">
        <f t="shared" si="8"/>
        <v>2250</v>
      </c>
      <c r="G145" s="42" t="s">
        <v>3</v>
      </c>
      <c r="H145" s="39">
        <v>4</v>
      </c>
      <c r="I145" s="40" t="s">
        <v>41</v>
      </c>
      <c r="J145" s="149">
        <v>150</v>
      </c>
      <c r="K145" s="66">
        <v>260</v>
      </c>
      <c r="L145" s="66">
        <v>2250</v>
      </c>
      <c r="M145" s="164">
        <v>24.508085598574205</v>
      </c>
      <c r="N145" s="78">
        <v>1912.6070442359996</v>
      </c>
      <c r="O145" s="113">
        <v>41213.834955512655</v>
      </c>
      <c r="P145" s="109">
        <v>51066.830569930615</v>
      </c>
      <c r="Q145" s="110">
        <v>27257.989710191272</v>
      </c>
      <c r="R145" s="258">
        <v>68471.824665703927</v>
      </c>
      <c r="S145" s="259">
        <v>78324.820280121887</v>
      </c>
      <c r="U145" s="7" t="s">
        <v>3438</v>
      </c>
    </row>
    <row r="146" spans="1:21" ht="16.5" thickBot="1">
      <c r="A146" s="41" t="s">
        <v>31</v>
      </c>
      <c r="B146" s="42">
        <f t="shared" si="6"/>
        <v>150</v>
      </c>
      <c r="C146" s="42" t="s">
        <v>3</v>
      </c>
      <c r="D146" s="42">
        <f t="shared" si="7"/>
        <v>260</v>
      </c>
      <c r="E146" s="42" t="s">
        <v>3</v>
      </c>
      <c r="F146" s="90">
        <f t="shared" si="8"/>
        <v>2300</v>
      </c>
      <c r="G146" s="42" t="s">
        <v>3</v>
      </c>
      <c r="H146" s="39">
        <v>4</v>
      </c>
      <c r="I146" s="40" t="s">
        <v>41</v>
      </c>
      <c r="J146" s="149">
        <v>150</v>
      </c>
      <c r="K146" s="66">
        <v>260</v>
      </c>
      <c r="L146" s="66">
        <v>2300</v>
      </c>
      <c r="M146" s="164">
        <v>25.016386260439475</v>
      </c>
      <c r="N146" s="78">
        <v>1962.9388085579997</v>
      </c>
      <c r="O146" s="113">
        <v>41973.688576727283</v>
      </c>
      <c r="P146" s="109">
        <v>52027.211860734918</v>
      </c>
      <c r="Q146" s="110">
        <v>27728.445277671239</v>
      </c>
      <c r="R146" s="258">
        <v>69702.133854398518</v>
      </c>
      <c r="S146" s="259">
        <v>79755.657138406154</v>
      </c>
      <c r="U146" s="7" t="s">
        <v>3439</v>
      </c>
    </row>
    <row r="147" spans="1:21" ht="16.5" thickBot="1">
      <c r="A147" s="41" t="s">
        <v>31</v>
      </c>
      <c r="B147" s="42">
        <f t="shared" si="6"/>
        <v>150</v>
      </c>
      <c r="C147" s="42" t="s">
        <v>3</v>
      </c>
      <c r="D147" s="42">
        <f t="shared" si="7"/>
        <v>260</v>
      </c>
      <c r="E147" s="42" t="s">
        <v>3</v>
      </c>
      <c r="F147" s="90">
        <f t="shared" si="8"/>
        <v>2350</v>
      </c>
      <c r="G147" s="42" t="s">
        <v>3</v>
      </c>
      <c r="H147" s="39">
        <v>4</v>
      </c>
      <c r="I147" s="40" t="s">
        <v>41</v>
      </c>
      <c r="J147" s="149">
        <v>150</v>
      </c>
      <c r="K147" s="66">
        <v>260</v>
      </c>
      <c r="L147" s="66">
        <v>2350</v>
      </c>
      <c r="M147" s="164">
        <v>25.54172692230474</v>
      </c>
      <c r="N147" s="78">
        <v>2013.2705728799997</v>
      </c>
      <c r="O147" s="113">
        <v>42733.542197941912</v>
      </c>
      <c r="P147" s="109">
        <v>52987.593151539222</v>
      </c>
      <c r="Q147" s="110">
        <v>28450.234982934966</v>
      </c>
      <c r="R147" s="258">
        <v>71183.777180876874</v>
      </c>
      <c r="S147" s="259">
        <v>81437.828134474184</v>
      </c>
      <c r="U147" s="7" t="s">
        <v>3440</v>
      </c>
    </row>
    <row r="148" spans="1:21" ht="16.5" thickBot="1">
      <c r="A148" s="41" t="s">
        <v>31</v>
      </c>
      <c r="B148" s="42">
        <f t="shared" si="6"/>
        <v>150</v>
      </c>
      <c r="C148" s="42" t="s">
        <v>3</v>
      </c>
      <c r="D148" s="42">
        <f t="shared" si="7"/>
        <v>260</v>
      </c>
      <c r="E148" s="42" t="s">
        <v>3</v>
      </c>
      <c r="F148" s="90">
        <f t="shared" si="8"/>
        <v>2400</v>
      </c>
      <c r="G148" s="42" t="s">
        <v>3</v>
      </c>
      <c r="H148" s="39">
        <v>4</v>
      </c>
      <c r="I148" s="40" t="s">
        <v>41</v>
      </c>
      <c r="J148" s="149">
        <v>150</v>
      </c>
      <c r="K148" s="66">
        <v>260</v>
      </c>
      <c r="L148" s="66">
        <v>2400</v>
      </c>
      <c r="M148" s="164">
        <v>26.050027584169996</v>
      </c>
      <c r="N148" s="78">
        <v>2063.6023372019995</v>
      </c>
      <c r="O148" s="113">
        <v>43493.39581915654</v>
      </c>
      <c r="P148" s="109">
        <v>53947.97444234354</v>
      </c>
      <c r="Q148" s="110">
        <v>28920.690550414929</v>
      </c>
      <c r="R148" s="258">
        <v>72414.086369571465</v>
      </c>
      <c r="S148" s="259">
        <v>82868.664992758466</v>
      </c>
      <c r="U148" s="7" t="s">
        <v>3441</v>
      </c>
    </row>
    <row r="149" spans="1:21" ht="16.5" thickBot="1">
      <c r="A149" s="41" t="s">
        <v>31</v>
      </c>
      <c r="B149" s="42">
        <f t="shared" si="6"/>
        <v>150</v>
      </c>
      <c r="C149" s="42" t="s">
        <v>3</v>
      </c>
      <c r="D149" s="42">
        <f t="shared" si="7"/>
        <v>260</v>
      </c>
      <c r="E149" s="42" t="s">
        <v>3</v>
      </c>
      <c r="F149" s="90">
        <f t="shared" si="8"/>
        <v>2450</v>
      </c>
      <c r="G149" s="42" t="s">
        <v>3</v>
      </c>
      <c r="H149" s="39">
        <v>4</v>
      </c>
      <c r="I149" s="40" t="s">
        <v>41</v>
      </c>
      <c r="J149" s="149">
        <v>150</v>
      </c>
      <c r="K149" s="66">
        <v>260</v>
      </c>
      <c r="L149" s="66">
        <v>2450</v>
      </c>
      <c r="M149" s="164">
        <v>26.718470589335261</v>
      </c>
      <c r="N149" s="78">
        <v>2113.9341015239997</v>
      </c>
      <c r="O149" s="113">
        <v>44919.607229986141</v>
      </c>
      <c r="P149" s="109">
        <v>55534.342239091355</v>
      </c>
      <c r="Q149" s="110">
        <v>29642.480255678664</v>
      </c>
      <c r="R149" s="258">
        <v>74562.087485664801</v>
      </c>
      <c r="S149" s="259">
        <v>85176.822494770022</v>
      </c>
      <c r="U149" s="7" t="s">
        <v>3442</v>
      </c>
    </row>
    <row r="150" spans="1:21" ht="16.5" thickBot="1">
      <c r="A150" s="41" t="s">
        <v>31</v>
      </c>
      <c r="B150" s="42">
        <f t="shared" si="6"/>
        <v>150</v>
      </c>
      <c r="C150" s="42" t="s">
        <v>3</v>
      </c>
      <c r="D150" s="42">
        <f t="shared" si="7"/>
        <v>260</v>
      </c>
      <c r="E150" s="42" t="s">
        <v>3</v>
      </c>
      <c r="F150" s="90">
        <f t="shared" si="8"/>
        <v>2500</v>
      </c>
      <c r="G150" s="42" t="s">
        <v>3</v>
      </c>
      <c r="H150" s="39">
        <v>4</v>
      </c>
      <c r="I150" s="40" t="s">
        <v>41</v>
      </c>
      <c r="J150" s="149">
        <v>150</v>
      </c>
      <c r="K150" s="66">
        <v>260</v>
      </c>
      <c r="L150" s="66">
        <v>2500</v>
      </c>
      <c r="M150" s="164">
        <v>27.226771251200525</v>
      </c>
      <c r="N150" s="78">
        <v>2164.2658658459995</v>
      </c>
      <c r="O150" s="113">
        <v>45679.460851200769</v>
      </c>
      <c r="P150" s="109">
        <v>56494.723529895673</v>
      </c>
      <c r="Q150" s="110">
        <v>30112.935823158623</v>
      </c>
      <c r="R150" s="258">
        <v>75792.396674359392</v>
      </c>
      <c r="S150" s="259">
        <v>86607.659353054303</v>
      </c>
      <c r="U150" s="7" t="s">
        <v>3443</v>
      </c>
    </row>
    <row r="151" spans="1:21" ht="16.5" thickBot="1">
      <c r="A151" s="41" t="s">
        <v>31</v>
      </c>
      <c r="B151" s="42">
        <f t="shared" si="6"/>
        <v>150</v>
      </c>
      <c r="C151" s="42" t="s">
        <v>3</v>
      </c>
      <c r="D151" s="42">
        <f t="shared" si="7"/>
        <v>260</v>
      </c>
      <c r="E151" s="42" t="s">
        <v>3</v>
      </c>
      <c r="F151" s="90">
        <f t="shared" si="8"/>
        <v>2550</v>
      </c>
      <c r="G151" s="42" t="s">
        <v>3</v>
      </c>
      <c r="H151" s="39">
        <v>4</v>
      </c>
      <c r="I151" s="40" t="s">
        <v>41</v>
      </c>
      <c r="J151" s="149">
        <v>150</v>
      </c>
      <c r="K151" s="66">
        <v>260</v>
      </c>
      <c r="L151" s="66">
        <v>2550</v>
      </c>
      <c r="M151" s="164">
        <v>27.752111913065789</v>
      </c>
      <c r="N151" s="78">
        <v>2214.5976301679998</v>
      </c>
      <c r="O151" s="113">
        <v>46439.314472415397</v>
      </c>
      <c r="P151" s="109">
        <v>57455.104820699977</v>
      </c>
      <c r="Q151" s="110">
        <v>30834.725528422357</v>
      </c>
      <c r="R151" s="258">
        <v>77274.040000837762</v>
      </c>
      <c r="S151" s="259">
        <v>88289.830349122334</v>
      </c>
      <c r="U151" s="7" t="s">
        <v>3444</v>
      </c>
    </row>
    <row r="152" spans="1:21" ht="16.5" thickBot="1">
      <c r="A152" s="38" t="s">
        <v>31</v>
      </c>
      <c r="B152" s="39">
        <f t="shared" si="6"/>
        <v>150</v>
      </c>
      <c r="C152" s="39" t="s">
        <v>3</v>
      </c>
      <c r="D152" s="39">
        <f t="shared" si="7"/>
        <v>260</v>
      </c>
      <c r="E152" s="39" t="s">
        <v>3</v>
      </c>
      <c r="F152" s="90">
        <f t="shared" si="8"/>
        <v>2600</v>
      </c>
      <c r="G152" s="39" t="s">
        <v>3</v>
      </c>
      <c r="H152" s="39">
        <v>4</v>
      </c>
      <c r="I152" s="40" t="s">
        <v>41</v>
      </c>
      <c r="J152" s="149">
        <v>150</v>
      </c>
      <c r="K152" s="66">
        <v>260</v>
      </c>
      <c r="L152" s="66">
        <v>2600</v>
      </c>
      <c r="M152" s="164">
        <v>28.260412574931056</v>
      </c>
      <c r="N152" s="78">
        <v>2264.92939449</v>
      </c>
      <c r="O152" s="113">
        <v>47199.168093630025</v>
      </c>
      <c r="P152" s="109">
        <v>58415.486111504288</v>
      </c>
      <c r="Q152" s="110">
        <v>31305.181095902317</v>
      </c>
      <c r="R152" s="258">
        <v>78504.349189532339</v>
      </c>
      <c r="S152" s="259">
        <v>89720.667207406601</v>
      </c>
      <c r="U152" s="7" t="s">
        <v>3445</v>
      </c>
    </row>
    <row r="153" spans="1:21" ht="16.5" thickBot="1">
      <c r="A153" s="41" t="s">
        <v>31</v>
      </c>
      <c r="B153" s="42">
        <f t="shared" si="6"/>
        <v>150</v>
      </c>
      <c r="C153" s="42" t="s">
        <v>3</v>
      </c>
      <c r="D153" s="42">
        <f t="shared" si="7"/>
        <v>260</v>
      </c>
      <c r="E153" s="42" t="s">
        <v>3</v>
      </c>
      <c r="F153" s="90">
        <f t="shared" si="8"/>
        <v>2650</v>
      </c>
      <c r="G153" s="42" t="s">
        <v>3</v>
      </c>
      <c r="H153" s="39">
        <v>4</v>
      </c>
      <c r="I153" s="40" t="s">
        <v>41</v>
      </c>
      <c r="J153" s="149">
        <v>150</v>
      </c>
      <c r="K153" s="66">
        <v>260</v>
      </c>
      <c r="L153" s="66">
        <v>2650</v>
      </c>
      <c r="M153" s="164">
        <v>28.785753236796317</v>
      </c>
      <c r="N153" s="78">
        <v>2315.2611588119994</v>
      </c>
      <c r="O153" s="113">
        <v>47959.021867873424</v>
      </c>
      <c r="P153" s="109">
        <v>59375.867402308591</v>
      </c>
      <c r="Q153" s="110">
        <v>32026.970801166051</v>
      </c>
      <c r="R153" s="258">
        <v>79985.992669039479</v>
      </c>
      <c r="S153" s="259">
        <v>91402.838203474646</v>
      </c>
      <c r="U153" s="7" t="s">
        <v>3446</v>
      </c>
    </row>
    <row r="154" spans="1:21" ht="16.5" thickBot="1">
      <c r="A154" s="41" t="s">
        <v>31</v>
      </c>
      <c r="B154" s="42">
        <f t="shared" si="6"/>
        <v>150</v>
      </c>
      <c r="C154" s="42" t="s">
        <v>3</v>
      </c>
      <c r="D154" s="42">
        <f t="shared" si="7"/>
        <v>260</v>
      </c>
      <c r="E154" s="42" t="s">
        <v>3</v>
      </c>
      <c r="F154" s="90">
        <f t="shared" si="8"/>
        <v>2700</v>
      </c>
      <c r="G154" s="42" t="s">
        <v>3</v>
      </c>
      <c r="H154" s="39">
        <v>4</v>
      </c>
      <c r="I154" s="40" t="s">
        <v>41</v>
      </c>
      <c r="J154" s="149">
        <v>150</v>
      </c>
      <c r="K154" s="66">
        <v>260</v>
      </c>
      <c r="L154" s="66">
        <v>2700</v>
      </c>
      <c r="M154" s="164">
        <v>29.372553898661582</v>
      </c>
      <c r="N154" s="78">
        <v>2365.5929231339996</v>
      </c>
      <c r="O154" s="113">
        <v>48802.973671192616</v>
      </c>
      <c r="P154" s="109">
        <v>60420.860439753225</v>
      </c>
      <c r="Q154" s="110">
        <v>32497.426368646011</v>
      </c>
      <c r="R154" s="258">
        <v>81300.400039838627</v>
      </c>
      <c r="S154" s="259">
        <v>92918.286808399236</v>
      </c>
      <c r="U154" s="7" t="s">
        <v>3447</v>
      </c>
    </row>
    <row r="155" spans="1:21" ht="16.5" thickBot="1">
      <c r="A155" s="41" t="s">
        <v>31</v>
      </c>
      <c r="B155" s="42">
        <f t="shared" si="6"/>
        <v>150</v>
      </c>
      <c r="C155" s="42" t="s">
        <v>3</v>
      </c>
      <c r="D155" s="42">
        <f t="shared" si="7"/>
        <v>260</v>
      </c>
      <c r="E155" s="42" t="s">
        <v>3</v>
      </c>
      <c r="F155" s="90">
        <f t="shared" si="8"/>
        <v>2750</v>
      </c>
      <c r="G155" s="42" t="s">
        <v>3</v>
      </c>
      <c r="H155" s="39">
        <v>4</v>
      </c>
      <c r="I155" s="40" t="s">
        <v>41</v>
      </c>
      <c r="J155" s="149">
        <v>150</v>
      </c>
      <c r="K155" s="66">
        <v>260</v>
      </c>
      <c r="L155" s="66">
        <v>2750</v>
      </c>
      <c r="M155" s="164">
        <v>29.880854560526842</v>
      </c>
      <c r="N155" s="78">
        <v>2415.9246874559999</v>
      </c>
      <c r="O155" s="113">
        <v>49562.827292407244</v>
      </c>
      <c r="P155" s="109">
        <v>61381.241730557536</v>
      </c>
      <c r="Q155" s="110">
        <v>32967.881936125974</v>
      </c>
      <c r="R155" s="258">
        <v>82530.709228533218</v>
      </c>
      <c r="S155" s="259">
        <v>94349.123666683503</v>
      </c>
      <c r="U155" s="7" t="s">
        <v>3448</v>
      </c>
    </row>
    <row r="156" spans="1:21" ht="16.5" thickBot="1">
      <c r="A156" s="41" t="s">
        <v>31</v>
      </c>
      <c r="B156" s="42">
        <f t="shared" si="6"/>
        <v>150</v>
      </c>
      <c r="C156" s="42" t="s">
        <v>3</v>
      </c>
      <c r="D156" s="42">
        <f t="shared" si="7"/>
        <v>260</v>
      </c>
      <c r="E156" s="42" t="s">
        <v>3</v>
      </c>
      <c r="F156" s="90">
        <f t="shared" si="8"/>
        <v>2800</v>
      </c>
      <c r="G156" s="42" t="s">
        <v>3</v>
      </c>
      <c r="H156" s="39">
        <v>4</v>
      </c>
      <c r="I156" s="40" t="s">
        <v>41</v>
      </c>
      <c r="J156" s="149">
        <v>150</v>
      </c>
      <c r="K156" s="66">
        <v>260</v>
      </c>
      <c r="L156" s="66">
        <v>2800</v>
      </c>
      <c r="M156" s="164">
        <v>30.406195222392107</v>
      </c>
      <c r="N156" s="78">
        <v>2466.2564517779997</v>
      </c>
      <c r="O156" s="113">
        <v>50322.680913621873</v>
      </c>
      <c r="P156" s="109">
        <v>62341.62302136184</v>
      </c>
      <c r="Q156" s="110">
        <v>33689.671488360938</v>
      </c>
      <c r="R156" s="258">
        <v>84012.352401982818</v>
      </c>
      <c r="S156" s="259">
        <v>96031.294509722778</v>
      </c>
      <c r="U156" s="7" t="s">
        <v>3449</v>
      </c>
    </row>
    <row r="157" spans="1:21" ht="16.5" thickBot="1">
      <c r="A157" s="41" t="s">
        <v>31</v>
      </c>
      <c r="B157" s="42">
        <f t="shared" si="6"/>
        <v>150</v>
      </c>
      <c r="C157" s="42" t="s">
        <v>3</v>
      </c>
      <c r="D157" s="42">
        <f t="shared" si="7"/>
        <v>260</v>
      </c>
      <c r="E157" s="42" t="s">
        <v>3</v>
      </c>
      <c r="F157" s="90">
        <f t="shared" si="8"/>
        <v>2850</v>
      </c>
      <c r="G157" s="42" t="s">
        <v>3</v>
      </c>
      <c r="H157" s="39">
        <v>4</v>
      </c>
      <c r="I157" s="40" t="s">
        <v>41</v>
      </c>
      <c r="J157" s="149">
        <v>150</v>
      </c>
      <c r="K157" s="66">
        <v>260</v>
      </c>
      <c r="L157" s="66">
        <v>2850</v>
      </c>
      <c r="M157" s="164">
        <v>30.91449588425737</v>
      </c>
      <c r="N157" s="78">
        <v>2516.5882160999995</v>
      </c>
      <c r="O157" s="113">
        <v>51082.534687865271</v>
      </c>
      <c r="P157" s="109">
        <v>63302.004312166144</v>
      </c>
      <c r="Q157" s="110">
        <v>34160.127055840901</v>
      </c>
      <c r="R157" s="258">
        <v>85242.66174370618</v>
      </c>
      <c r="S157" s="259">
        <v>97462.131368007045</v>
      </c>
      <c r="U157" s="7" t="s">
        <v>3450</v>
      </c>
    </row>
    <row r="158" spans="1:21" ht="16.5" thickBot="1">
      <c r="A158" s="41" t="s">
        <v>31</v>
      </c>
      <c r="B158" s="42">
        <f t="shared" si="6"/>
        <v>150</v>
      </c>
      <c r="C158" s="42" t="s">
        <v>3</v>
      </c>
      <c r="D158" s="42">
        <f t="shared" si="7"/>
        <v>260</v>
      </c>
      <c r="E158" s="42" t="s">
        <v>3</v>
      </c>
      <c r="F158" s="90">
        <f t="shared" si="8"/>
        <v>2900</v>
      </c>
      <c r="G158" s="42" t="s">
        <v>3</v>
      </c>
      <c r="H158" s="39">
        <v>4</v>
      </c>
      <c r="I158" s="40" t="s">
        <v>41</v>
      </c>
      <c r="J158" s="149">
        <v>150</v>
      </c>
      <c r="K158" s="66">
        <v>260</v>
      </c>
      <c r="L158" s="66">
        <v>2900</v>
      </c>
      <c r="M158" s="164">
        <v>31.439836546122628</v>
      </c>
      <c r="N158" s="78">
        <v>2566.9199804219993</v>
      </c>
      <c r="O158" s="113">
        <v>51842.388309079892</v>
      </c>
      <c r="P158" s="109">
        <v>64262.385602970462</v>
      </c>
      <c r="Q158" s="110">
        <v>34881.916761104636</v>
      </c>
      <c r="R158" s="258">
        <v>86724.30507018452</v>
      </c>
      <c r="S158" s="259">
        <v>99144.302364075091</v>
      </c>
      <c r="U158" s="7" t="s">
        <v>3451</v>
      </c>
    </row>
    <row r="159" spans="1:21" ht="16.5" thickBot="1">
      <c r="A159" s="41" t="s">
        <v>31</v>
      </c>
      <c r="B159" s="42">
        <f t="shared" si="6"/>
        <v>150</v>
      </c>
      <c r="C159" s="42" t="s">
        <v>3</v>
      </c>
      <c r="D159" s="42">
        <f t="shared" si="7"/>
        <v>260</v>
      </c>
      <c r="E159" s="42" t="s">
        <v>3</v>
      </c>
      <c r="F159" s="90">
        <f t="shared" si="8"/>
        <v>2950</v>
      </c>
      <c r="G159" s="42" t="s">
        <v>3</v>
      </c>
      <c r="H159" s="39">
        <v>4</v>
      </c>
      <c r="I159" s="40" t="s">
        <v>41</v>
      </c>
      <c r="J159" s="149">
        <v>150</v>
      </c>
      <c r="K159" s="66">
        <v>260</v>
      </c>
      <c r="L159" s="66">
        <v>2950</v>
      </c>
      <c r="M159" s="164">
        <v>31.948137207987898</v>
      </c>
      <c r="N159" s="78">
        <v>2617.2517447439996</v>
      </c>
      <c r="O159" s="113">
        <v>52602.24193029452</v>
      </c>
      <c r="P159" s="109">
        <v>65222.766893774606</v>
      </c>
      <c r="Q159" s="110">
        <v>35352.372328584599</v>
      </c>
      <c r="R159" s="258">
        <v>87954.614258879126</v>
      </c>
      <c r="S159" s="259">
        <v>100575.1392223592</v>
      </c>
      <c r="U159" s="7" t="s">
        <v>3452</v>
      </c>
    </row>
    <row r="160" spans="1:21" ht="16.5" thickBot="1">
      <c r="A160" s="43" t="s">
        <v>31</v>
      </c>
      <c r="B160" s="44">
        <f t="shared" si="6"/>
        <v>150</v>
      </c>
      <c r="C160" s="44" t="s">
        <v>3</v>
      </c>
      <c r="D160" s="44">
        <f t="shared" si="7"/>
        <v>260</v>
      </c>
      <c r="E160" s="44" t="s">
        <v>3</v>
      </c>
      <c r="F160" s="91">
        <f t="shared" si="8"/>
        <v>3000</v>
      </c>
      <c r="G160" s="44" t="s">
        <v>3</v>
      </c>
      <c r="H160" s="46">
        <v>4</v>
      </c>
      <c r="I160" s="45" t="s">
        <v>41</v>
      </c>
      <c r="J160" s="151">
        <v>150</v>
      </c>
      <c r="K160" s="126">
        <v>260</v>
      </c>
      <c r="L160" s="126">
        <v>3000</v>
      </c>
      <c r="M160" s="171">
        <v>32.473477869853156</v>
      </c>
      <c r="N160" s="127">
        <v>2667.5835090659994</v>
      </c>
      <c r="O160" s="128">
        <v>54643.017167923666</v>
      </c>
      <c r="P160" s="154">
        <v>66183.148337607839</v>
      </c>
      <c r="Q160" s="136">
        <v>36074.162033848326</v>
      </c>
      <c r="R160" s="260">
        <v>90717.179201772</v>
      </c>
      <c r="S160" s="261">
        <v>102257.31037145617</v>
      </c>
      <c r="U160" s="7" t="s">
        <v>3453</v>
      </c>
    </row>
    <row r="161" spans="1:21" s="65" customFormat="1" ht="22.5" customHeight="1" thickBot="1">
      <c r="A161" s="3010" t="s">
        <v>43</v>
      </c>
      <c r="B161" s="3011"/>
      <c r="C161" s="3011"/>
      <c r="D161" s="3011"/>
      <c r="E161" s="3011"/>
      <c r="F161" s="3011"/>
      <c r="G161" s="3011"/>
      <c r="H161" s="3011"/>
      <c r="I161" s="3011"/>
      <c r="J161" s="3011"/>
      <c r="K161" s="3011"/>
      <c r="L161" s="3011"/>
      <c r="M161" s="3011"/>
      <c r="N161" s="3011"/>
      <c r="O161" s="3011"/>
      <c r="P161" s="3011"/>
      <c r="Q161" s="3011"/>
      <c r="R161" s="3011"/>
      <c r="S161" s="3012"/>
      <c r="U161" s="7"/>
    </row>
    <row r="162" spans="1:21" s="65" customFormat="1" ht="16.5" customHeight="1" thickBot="1">
      <c r="A162" s="2974" t="s">
        <v>148</v>
      </c>
      <c r="B162" s="2975"/>
      <c r="C162" s="2975"/>
      <c r="D162" s="2975"/>
      <c r="E162" s="2975"/>
      <c r="F162" s="2975"/>
      <c r="G162" s="2975"/>
      <c r="H162" s="2975"/>
      <c r="I162" s="2975"/>
      <c r="J162" s="2975"/>
      <c r="K162" s="2975"/>
      <c r="L162" s="2975"/>
      <c r="M162" s="2975"/>
      <c r="N162" s="2975"/>
      <c r="O162" s="2975"/>
      <c r="P162" s="2975"/>
      <c r="Q162" s="2975"/>
      <c r="R162" s="2975"/>
      <c r="S162" s="2976"/>
      <c r="U162" s="7"/>
    </row>
    <row r="163" spans="1:21" s="65" customFormat="1" ht="16.5" thickBot="1">
      <c r="A163" s="38" t="s">
        <v>31</v>
      </c>
      <c r="B163" s="39">
        <f>J163</f>
        <v>150</v>
      </c>
      <c r="C163" s="39" t="s">
        <v>3</v>
      </c>
      <c r="D163" s="39">
        <f>K163</f>
        <v>300</v>
      </c>
      <c r="E163" s="39" t="s">
        <v>3</v>
      </c>
      <c r="F163" s="90">
        <f>L163</f>
        <v>600</v>
      </c>
      <c r="G163" s="39" t="s">
        <v>3</v>
      </c>
      <c r="H163" s="39">
        <v>6</v>
      </c>
      <c r="I163" s="40" t="s">
        <v>42</v>
      </c>
      <c r="J163" s="146">
        <v>150</v>
      </c>
      <c r="K163" s="122">
        <v>300</v>
      </c>
      <c r="L163" s="122">
        <v>600</v>
      </c>
      <c r="M163" s="163">
        <v>8.0980301531650021</v>
      </c>
      <c r="N163" s="123">
        <v>276.82799999999997</v>
      </c>
      <c r="O163" s="124">
        <v>18178.809602431655</v>
      </c>
      <c r="P163" s="148">
        <v>22065.815526759099</v>
      </c>
      <c r="Q163" s="139">
        <v>8941.6715199935952</v>
      </c>
      <c r="R163" s="256">
        <v>27120.481122425248</v>
      </c>
      <c r="S163" s="257">
        <v>31007.487046752693</v>
      </c>
      <c r="U163" s="7" t="s">
        <v>3454</v>
      </c>
    </row>
    <row r="164" spans="1:21" s="65" customFormat="1" ht="16.5" thickBot="1">
      <c r="A164" s="41" t="s">
        <v>31</v>
      </c>
      <c r="B164" s="42">
        <f t="shared" ref="B164:B211" si="9">J164</f>
        <v>150</v>
      </c>
      <c r="C164" s="42" t="s">
        <v>3</v>
      </c>
      <c r="D164" s="42">
        <f t="shared" ref="D164:D211" si="10">K164</f>
        <v>300</v>
      </c>
      <c r="E164" s="42" t="s">
        <v>3</v>
      </c>
      <c r="F164" s="90">
        <f t="shared" ref="F164:F211" si="11">L164</f>
        <v>650</v>
      </c>
      <c r="G164" s="42" t="s">
        <v>3</v>
      </c>
      <c r="H164" s="39">
        <v>6</v>
      </c>
      <c r="I164" s="40" t="s">
        <v>42</v>
      </c>
      <c r="J164" s="149">
        <v>150</v>
      </c>
      <c r="K164" s="66">
        <v>300</v>
      </c>
      <c r="L164" s="66">
        <v>650</v>
      </c>
      <c r="M164" s="164">
        <v>8.704806912805001</v>
      </c>
      <c r="N164" s="78">
        <v>332.19359999999995</v>
      </c>
      <c r="O164" s="113">
        <v>19170.759656279894</v>
      </c>
      <c r="P164" s="111">
        <v>23306.924108437324</v>
      </c>
      <c r="Q164" s="110">
        <v>9465.3131529653438</v>
      </c>
      <c r="R164" s="258">
        <v>28636.072809245237</v>
      </c>
      <c r="S164" s="259">
        <v>32772.237261402668</v>
      </c>
      <c r="U164" s="7" t="s">
        <v>3455</v>
      </c>
    </row>
    <row r="165" spans="1:21" s="65" customFormat="1" ht="16.5" thickBot="1">
      <c r="A165" s="41" t="s">
        <v>31</v>
      </c>
      <c r="B165" s="42">
        <f t="shared" si="9"/>
        <v>150</v>
      </c>
      <c r="C165" s="42" t="s">
        <v>3</v>
      </c>
      <c r="D165" s="42">
        <f t="shared" si="10"/>
        <v>300</v>
      </c>
      <c r="E165" s="42" t="s">
        <v>3</v>
      </c>
      <c r="F165" s="90">
        <f t="shared" si="11"/>
        <v>700</v>
      </c>
      <c r="G165" s="42" t="s">
        <v>3</v>
      </c>
      <c r="H165" s="39">
        <v>6</v>
      </c>
      <c r="I165" s="40" t="s">
        <v>42</v>
      </c>
      <c r="J165" s="149">
        <v>150</v>
      </c>
      <c r="K165" s="66">
        <v>300</v>
      </c>
      <c r="L165" s="66">
        <v>700</v>
      </c>
      <c r="M165" s="164">
        <v>9.3115836724449998</v>
      </c>
      <c r="N165" s="78">
        <v>387.55919999999992</v>
      </c>
      <c r="O165" s="113">
        <v>20163.335291719966</v>
      </c>
      <c r="P165" s="111">
        <v>24548.286258779364</v>
      </c>
      <c r="Q165" s="110">
        <v>10240.289076749623</v>
      </c>
      <c r="R165" s="258">
        <v>30403.624368469587</v>
      </c>
      <c r="S165" s="259">
        <v>34788.575335528985</v>
      </c>
      <c r="U165" s="7" t="s">
        <v>3456</v>
      </c>
    </row>
    <row r="166" spans="1:21" s="65" customFormat="1" ht="16.5" thickBot="1">
      <c r="A166" s="41" t="s">
        <v>31</v>
      </c>
      <c r="B166" s="42">
        <f t="shared" si="9"/>
        <v>150</v>
      </c>
      <c r="C166" s="42" t="s">
        <v>3</v>
      </c>
      <c r="D166" s="42">
        <f t="shared" si="10"/>
        <v>300</v>
      </c>
      <c r="E166" s="42" t="s">
        <v>3</v>
      </c>
      <c r="F166" s="90">
        <f t="shared" si="11"/>
        <v>750</v>
      </c>
      <c r="G166" s="42" t="s">
        <v>3</v>
      </c>
      <c r="H166" s="39">
        <v>6</v>
      </c>
      <c r="I166" s="40" t="s">
        <v>42</v>
      </c>
      <c r="J166" s="149">
        <v>150</v>
      </c>
      <c r="K166" s="66">
        <v>300</v>
      </c>
      <c r="L166" s="66">
        <v>750</v>
      </c>
      <c r="M166" s="164">
        <v>9.9183604320849987</v>
      </c>
      <c r="N166" s="78">
        <v>442.9248</v>
      </c>
      <c r="O166" s="113">
        <v>21156.436427939476</v>
      </c>
      <c r="P166" s="111">
        <v>25789.861884248756</v>
      </c>
      <c r="Q166" s="110">
        <v>10763.930709721371</v>
      </c>
      <c r="R166" s="258">
        <v>31920.367137660847</v>
      </c>
      <c r="S166" s="259">
        <v>36553.792593970124</v>
      </c>
      <c r="U166" s="7" t="s">
        <v>3457</v>
      </c>
    </row>
    <row r="167" spans="1:21" s="65" customFormat="1" ht="16.5" thickBot="1">
      <c r="A167" s="41" t="s">
        <v>31</v>
      </c>
      <c r="B167" s="42">
        <f t="shared" si="9"/>
        <v>150</v>
      </c>
      <c r="C167" s="42" t="s">
        <v>3</v>
      </c>
      <c r="D167" s="42">
        <f t="shared" si="10"/>
        <v>300</v>
      </c>
      <c r="E167" s="42" t="s">
        <v>3</v>
      </c>
      <c r="F167" s="90">
        <f t="shared" si="11"/>
        <v>800</v>
      </c>
      <c r="G167" s="42" t="s">
        <v>3</v>
      </c>
      <c r="H167" s="39">
        <v>6</v>
      </c>
      <c r="I167" s="40" t="s">
        <v>42</v>
      </c>
      <c r="J167" s="149">
        <v>150</v>
      </c>
      <c r="K167" s="66">
        <v>300</v>
      </c>
      <c r="L167" s="66">
        <v>800</v>
      </c>
      <c r="M167" s="164">
        <v>10.525137191724999</v>
      </c>
      <c r="N167" s="78">
        <v>498.29039999999998</v>
      </c>
      <c r="O167" s="113">
        <v>22149.982724836736</v>
      </c>
      <c r="P167" s="111">
        <v>27031.619613948642</v>
      </c>
      <c r="Q167" s="110">
        <v>11287.572342693116</v>
      </c>
      <c r="R167" s="258">
        <v>33437.555067529851</v>
      </c>
      <c r="S167" s="259">
        <v>38319.191956641756</v>
      </c>
      <c r="U167" s="7" t="s">
        <v>3458</v>
      </c>
    </row>
    <row r="168" spans="1:21" s="65" customFormat="1" ht="16.5" thickBot="1">
      <c r="A168" s="41" t="s">
        <v>31</v>
      </c>
      <c r="B168" s="42">
        <f t="shared" si="9"/>
        <v>150</v>
      </c>
      <c r="C168" s="42" t="s">
        <v>3</v>
      </c>
      <c r="D168" s="42">
        <f t="shared" si="10"/>
        <v>300</v>
      </c>
      <c r="E168" s="42" t="s">
        <v>3</v>
      </c>
      <c r="F168" s="90">
        <f t="shared" si="11"/>
        <v>850</v>
      </c>
      <c r="G168" s="42" t="s">
        <v>3</v>
      </c>
      <c r="H168" s="39">
        <v>6</v>
      </c>
      <c r="I168" s="40" t="s">
        <v>42</v>
      </c>
      <c r="J168" s="149">
        <v>150</v>
      </c>
      <c r="K168" s="66">
        <v>300</v>
      </c>
      <c r="L168" s="66">
        <v>850</v>
      </c>
      <c r="M168" s="164">
        <v>11.131913951364998</v>
      </c>
      <c r="N168" s="78">
        <v>553.65599999999995</v>
      </c>
      <c r="O168" s="113">
        <v>23143.909910330389</v>
      </c>
      <c r="P168" s="111">
        <v>28273.533279960193</v>
      </c>
      <c r="Q168" s="110">
        <v>12062.548266477399</v>
      </c>
      <c r="R168" s="258">
        <v>35206.458176807791</v>
      </c>
      <c r="S168" s="259">
        <v>40336.081546437592</v>
      </c>
      <c r="U168" s="7" t="s">
        <v>3459</v>
      </c>
    </row>
    <row r="169" spans="1:21" s="65" customFormat="1" ht="16.5" thickBot="1">
      <c r="A169" s="41" t="s">
        <v>31</v>
      </c>
      <c r="B169" s="42">
        <f t="shared" si="9"/>
        <v>150</v>
      </c>
      <c r="C169" s="42" t="s">
        <v>3</v>
      </c>
      <c r="D169" s="42">
        <f t="shared" si="10"/>
        <v>300</v>
      </c>
      <c r="E169" s="42" t="s">
        <v>3</v>
      </c>
      <c r="F169" s="90">
        <f t="shared" si="11"/>
        <v>900</v>
      </c>
      <c r="G169" s="42" t="s">
        <v>3</v>
      </c>
      <c r="H169" s="39">
        <v>6</v>
      </c>
      <c r="I169" s="40" t="s">
        <v>42</v>
      </c>
      <c r="J169" s="149">
        <v>150</v>
      </c>
      <c r="K169" s="66">
        <v>300</v>
      </c>
      <c r="L169" s="66">
        <v>900</v>
      </c>
      <c r="M169" s="164">
        <v>11.738690711004999</v>
      </c>
      <c r="N169" s="78">
        <v>609.02160000000003</v>
      </c>
      <c r="O169" s="113">
        <v>24138.165189496471</v>
      </c>
      <c r="P169" s="111">
        <v>29515.581917342581</v>
      </c>
      <c r="Q169" s="110">
        <v>12586.189899449146</v>
      </c>
      <c r="R169" s="258">
        <v>36724.355088945616</v>
      </c>
      <c r="S169" s="259">
        <v>42101.771816791726</v>
      </c>
      <c r="U169" s="7" t="s">
        <v>3460</v>
      </c>
    </row>
    <row r="170" spans="1:21" s="65" customFormat="1" ht="16.5" thickBot="1">
      <c r="A170" s="41" t="s">
        <v>31</v>
      </c>
      <c r="B170" s="42">
        <f t="shared" si="9"/>
        <v>150</v>
      </c>
      <c r="C170" s="42" t="s">
        <v>3</v>
      </c>
      <c r="D170" s="42">
        <f t="shared" si="10"/>
        <v>300</v>
      </c>
      <c r="E170" s="42" t="s">
        <v>3</v>
      </c>
      <c r="F170" s="90">
        <f t="shared" si="11"/>
        <v>950</v>
      </c>
      <c r="G170" s="42" t="s">
        <v>3</v>
      </c>
      <c r="H170" s="39">
        <v>6</v>
      </c>
      <c r="I170" s="40" t="s">
        <v>42</v>
      </c>
      <c r="J170" s="149">
        <v>150</v>
      </c>
      <c r="K170" s="66">
        <v>300</v>
      </c>
      <c r="L170" s="66">
        <v>950</v>
      </c>
      <c r="M170" s="164">
        <v>12.345467470644998</v>
      </c>
      <c r="N170" s="78">
        <v>664.38719999999989</v>
      </c>
      <c r="O170" s="113">
        <v>25132.705102165684</v>
      </c>
      <c r="P170" s="111">
        <v>30757.748080816586</v>
      </c>
      <c r="Q170" s="110">
        <v>13361.165670204662</v>
      </c>
      <c r="R170" s="258">
        <v>38493.870772370348</v>
      </c>
      <c r="S170" s="259">
        <v>44118.913751021246</v>
      </c>
      <c r="U170" s="7" t="s">
        <v>3461</v>
      </c>
    </row>
    <row r="171" spans="1:21" s="65" customFormat="1" ht="16.5" thickBot="1">
      <c r="A171" s="41" t="s">
        <v>31</v>
      </c>
      <c r="B171" s="42">
        <f t="shared" si="9"/>
        <v>150</v>
      </c>
      <c r="C171" s="42" t="s">
        <v>3</v>
      </c>
      <c r="D171" s="42">
        <f t="shared" si="10"/>
        <v>300</v>
      </c>
      <c r="E171" s="42" t="s">
        <v>3</v>
      </c>
      <c r="F171" s="90">
        <f t="shared" si="11"/>
        <v>1000</v>
      </c>
      <c r="G171" s="42" t="s">
        <v>3</v>
      </c>
      <c r="H171" s="39">
        <v>6</v>
      </c>
      <c r="I171" s="40" t="s">
        <v>42</v>
      </c>
      <c r="J171" s="149">
        <v>150</v>
      </c>
      <c r="K171" s="66">
        <v>300</v>
      </c>
      <c r="L171" s="66">
        <v>1000</v>
      </c>
      <c r="M171" s="164">
        <v>12.952244230284998</v>
      </c>
      <c r="N171" s="78">
        <v>719.75279999999998</v>
      </c>
      <c r="O171" s="113">
        <v>26127.493839606996</v>
      </c>
      <c r="P171" s="111">
        <v>32000.016926591994</v>
      </c>
      <c r="Q171" s="110">
        <v>13884.807456205173</v>
      </c>
      <c r="R171" s="258">
        <v>40012.301295812169</v>
      </c>
      <c r="S171" s="259">
        <v>45884.824382797167</v>
      </c>
      <c r="U171" s="7" t="s">
        <v>3462</v>
      </c>
    </row>
    <row r="172" spans="1:21" s="65" customFormat="1" ht="16.5" thickBot="1">
      <c r="A172" s="41" t="s">
        <v>31</v>
      </c>
      <c r="B172" s="42">
        <f t="shared" si="9"/>
        <v>150</v>
      </c>
      <c r="C172" s="42" t="s">
        <v>3</v>
      </c>
      <c r="D172" s="42">
        <f t="shared" si="10"/>
        <v>300</v>
      </c>
      <c r="E172" s="42" t="s">
        <v>3</v>
      </c>
      <c r="F172" s="90">
        <f t="shared" si="11"/>
        <v>1050</v>
      </c>
      <c r="G172" s="42" t="s">
        <v>3</v>
      </c>
      <c r="H172" s="39">
        <v>6</v>
      </c>
      <c r="I172" s="40" t="s">
        <v>42</v>
      </c>
      <c r="J172" s="149">
        <v>150</v>
      </c>
      <c r="K172" s="66">
        <v>300</v>
      </c>
      <c r="L172" s="66">
        <v>1050</v>
      </c>
      <c r="M172" s="164">
        <v>13.559020989924999</v>
      </c>
      <c r="N172" s="78">
        <v>775.11839999999984</v>
      </c>
      <c r="O172" s="113">
        <v>27132.461744446889</v>
      </c>
      <c r="P172" s="111">
        <v>33254.799240549197</v>
      </c>
      <c r="Q172" s="110">
        <v>14659.78322696069</v>
      </c>
      <c r="R172" s="258">
        <v>41792.244971407577</v>
      </c>
      <c r="S172" s="259">
        <v>47914.582467509885</v>
      </c>
      <c r="U172" s="7" t="s">
        <v>3463</v>
      </c>
    </row>
    <row r="173" spans="1:21" s="65" customFormat="1" ht="16.5" thickBot="1">
      <c r="A173" s="38" t="s">
        <v>31</v>
      </c>
      <c r="B173" s="39">
        <f t="shared" si="9"/>
        <v>150</v>
      </c>
      <c r="C173" s="39" t="s">
        <v>3</v>
      </c>
      <c r="D173" s="39">
        <f t="shared" si="10"/>
        <v>300</v>
      </c>
      <c r="E173" s="39" t="s">
        <v>3</v>
      </c>
      <c r="F173" s="90">
        <f t="shared" si="11"/>
        <v>1100</v>
      </c>
      <c r="G173" s="39" t="s">
        <v>3</v>
      </c>
      <c r="H173" s="39">
        <v>6</v>
      </c>
      <c r="I173" s="40" t="s">
        <v>42</v>
      </c>
      <c r="J173" s="149">
        <v>150</v>
      </c>
      <c r="K173" s="66">
        <v>300</v>
      </c>
      <c r="L173" s="66">
        <v>1100</v>
      </c>
      <c r="M173" s="164">
        <v>14.165797749564996</v>
      </c>
      <c r="N173" s="78">
        <v>830.48399999999992</v>
      </c>
      <c r="O173" s="113">
        <v>28127.646061246047</v>
      </c>
      <c r="P173" s="111">
        <v>34497.230296815636</v>
      </c>
      <c r="Q173" s="110">
        <v>15183.425012961201</v>
      </c>
      <c r="R173" s="258">
        <v>43311.071074207248</v>
      </c>
      <c r="S173" s="259">
        <v>49680.655309776834</v>
      </c>
      <c r="U173" s="7" t="s">
        <v>3464</v>
      </c>
    </row>
    <row r="174" spans="1:21" s="65" customFormat="1" ht="16.5" thickBot="1">
      <c r="A174" s="41" t="s">
        <v>31</v>
      </c>
      <c r="B174" s="42">
        <f t="shared" si="9"/>
        <v>150</v>
      </c>
      <c r="C174" s="42" t="s">
        <v>3</v>
      </c>
      <c r="D174" s="42">
        <f t="shared" si="10"/>
        <v>300</v>
      </c>
      <c r="E174" s="42" t="s">
        <v>3</v>
      </c>
      <c r="F174" s="90">
        <f t="shared" si="11"/>
        <v>1150</v>
      </c>
      <c r="G174" s="42" t="s">
        <v>3</v>
      </c>
      <c r="H174" s="39">
        <v>6</v>
      </c>
      <c r="I174" s="40" t="s">
        <v>42</v>
      </c>
      <c r="J174" s="149">
        <v>150</v>
      </c>
      <c r="K174" s="66">
        <v>300</v>
      </c>
      <c r="L174" s="66">
        <v>1150</v>
      </c>
      <c r="M174" s="164">
        <v>14.772574509204999</v>
      </c>
      <c r="N174" s="78">
        <v>885.84960000000001</v>
      </c>
      <c r="O174" s="113">
        <v>29123.002841463494</v>
      </c>
      <c r="P174" s="111">
        <v>35739.733429630447</v>
      </c>
      <c r="Q174" s="110">
        <v>15707.066645932946</v>
      </c>
      <c r="R174" s="258">
        <v>44830.069487396438</v>
      </c>
      <c r="S174" s="259">
        <v>51446.800075563391</v>
      </c>
      <c r="U174" s="7" t="s">
        <v>3465</v>
      </c>
    </row>
    <row r="175" spans="1:21" s="65" customFormat="1" ht="16.5" thickBot="1">
      <c r="A175" s="41" t="s">
        <v>31</v>
      </c>
      <c r="B175" s="42">
        <f t="shared" si="9"/>
        <v>150</v>
      </c>
      <c r="C175" s="42" t="s">
        <v>3</v>
      </c>
      <c r="D175" s="42">
        <f t="shared" si="10"/>
        <v>300</v>
      </c>
      <c r="E175" s="42" t="s">
        <v>3</v>
      </c>
      <c r="F175" s="90">
        <f t="shared" si="11"/>
        <v>1200</v>
      </c>
      <c r="G175" s="42" t="s">
        <v>3</v>
      </c>
      <c r="H175" s="39">
        <v>6</v>
      </c>
      <c r="I175" s="40" t="s">
        <v>42</v>
      </c>
      <c r="J175" s="149">
        <v>150</v>
      </c>
      <c r="K175" s="66">
        <v>300</v>
      </c>
      <c r="L175" s="66">
        <v>1200</v>
      </c>
      <c r="M175" s="164">
        <v>15.497101268844999</v>
      </c>
      <c r="N175" s="78">
        <v>941.21519999999987</v>
      </c>
      <c r="O175" s="113">
        <v>30252.519634008509</v>
      </c>
      <c r="P175" s="111">
        <v>37119.673838806732</v>
      </c>
      <c r="Q175" s="110">
        <v>16482.042416688462</v>
      </c>
      <c r="R175" s="258">
        <v>46734.562050696972</v>
      </c>
      <c r="S175" s="259">
        <v>53601.716255495194</v>
      </c>
      <c r="U175" s="7" t="s">
        <v>3466</v>
      </c>
    </row>
    <row r="176" spans="1:21" s="65" customFormat="1" ht="16.5" thickBot="1">
      <c r="A176" s="41" t="s">
        <v>31</v>
      </c>
      <c r="B176" s="42">
        <f t="shared" si="9"/>
        <v>150</v>
      </c>
      <c r="C176" s="42" t="s">
        <v>3</v>
      </c>
      <c r="D176" s="42">
        <f t="shared" si="10"/>
        <v>300</v>
      </c>
      <c r="E176" s="42" t="s">
        <v>3</v>
      </c>
      <c r="F176" s="90">
        <f t="shared" si="11"/>
        <v>1250</v>
      </c>
      <c r="G176" s="42" t="s">
        <v>3</v>
      </c>
      <c r="H176" s="39">
        <v>6</v>
      </c>
      <c r="I176" s="40" t="s">
        <v>42</v>
      </c>
      <c r="J176" s="149">
        <v>150</v>
      </c>
      <c r="K176" s="66">
        <v>300</v>
      </c>
      <c r="L176" s="66">
        <v>1250</v>
      </c>
      <c r="M176" s="164">
        <v>16.103878028484999</v>
      </c>
      <c r="N176" s="78">
        <v>996.58079999999995</v>
      </c>
      <c r="O176" s="113">
        <v>31248.165179505748</v>
      </c>
      <c r="P176" s="111">
        <v>38362.268176765559</v>
      </c>
      <c r="Q176" s="110">
        <v>17005.684202688975</v>
      </c>
      <c r="R176" s="258">
        <v>48253.84938219472</v>
      </c>
      <c r="S176" s="259">
        <v>55367.952379454538</v>
      </c>
      <c r="U176" s="7" t="s">
        <v>3467</v>
      </c>
    </row>
    <row r="177" spans="1:21" s="65" customFormat="1" ht="16.5" thickBot="1">
      <c r="A177" s="41" t="s">
        <v>31</v>
      </c>
      <c r="B177" s="42">
        <f t="shared" si="9"/>
        <v>150</v>
      </c>
      <c r="C177" s="42" t="s">
        <v>3</v>
      </c>
      <c r="D177" s="42">
        <f t="shared" si="10"/>
        <v>300</v>
      </c>
      <c r="E177" s="42" t="s">
        <v>3</v>
      </c>
      <c r="F177" s="90">
        <f t="shared" si="11"/>
        <v>1300</v>
      </c>
      <c r="G177" s="42" t="s">
        <v>3</v>
      </c>
      <c r="H177" s="39">
        <v>6</v>
      </c>
      <c r="I177" s="40" t="s">
        <v>42</v>
      </c>
      <c r="J177" s="149">
        <v>150</v>
      </c>
      <c r="K177" s="66">
        <v>300</v>
      </c>
      <c r="L177" s="66">
        <v>1300</v>
      </c>
      <c r="M177" s="164">
        <v>16.710654788124998</v>
      </c>
      <c r="N177" s="78">
        <v>1051.9463999999998</v>
      </c>
      <c r="O177" s="113">
        <v>32243.934066187685</v>
      </c>
      <c r="P177" s="111">
        <v>39604.916227820948</v>
      </c>
      <c r="Q177" s="110">
        <v>17780.65997344449</v>
      </c>
      <c r="R177" s="258">
        <v>50024.594039632175</v>
      </c>
      <c r="S177" s="259">
        <v>57385.576201265438</v>
      </c>
      <c r="U177" s="7" t="s">
        <v>3468</v>
      </c>
    </row>
    <row r="178" spans="1:21" s="65" customFormat="1" ht="16.5" thickBot="1">
      <c r="A178" s="41" t="s">
        <v>31</v>
      </c>
      <c r="B178" s="42">
        <f t="shared" si="9"/>
        <v>150</v>
      </c>
      <c r="C178" s="42" t="s">
        <v>3</v>
      </c>
      <c r="D178" s="42">
        <f t="shared" si="10"/>
        <v>300</v>
      </c>
      <c r="E178" s="42" t="s">
        <v>3</v>
      </c>
      <c r="F178" s="90">
        <f t="shared" si="11"/>
        <v>1350</v>
      </c>
      <c r="G178" s="42" t="s">
        <v>3</v>
      </c>
      <c r="H178" s="39">
        <v>6</v>
      </c>
      <c r="I178" s="40" t="s">
        <v>42</v>
      </c>
      <c r="J178" s="149">
        <v>150</v>
      </c>
      <c r="K178" s="66">
        <v>300</v>
      </c>
      <c r="L178" s="66">
        <v>1350</v>
      </c>
      <c r="M178" s="164">
        <v>17.317431547765</v>
      </c>
      <c r="N178" s="78">
        <v>1107.3119999999999</v>
      </c>
      <c r="O178" s="113">
        <v>33239.814663868157</v>
      </c>
      <c r="P178" s="111">
        <v>40847.612942023639</v>
      </c>
      <c r="Q178" s="110">
        <v>18304.301606416237</v>
      </c>
      <c r="R178" s="258">
        <v>51544.116270284394</v>
      </c>
      <c r="S178" s="259">
        <v>59151.914548439876</v>
      </c>
      <c r="U178" s="7" t="s">
        <v>3469</v>
      </c>
    </row>
    <row r="179" spans="1:21" s="65" customFormat="1" ht="16.5" thickBot="1">
      <c r="A179" s="41" t="s">
        <v>31</v>
      </c>
      <c r="B179" s="42">
        <f t="shared" si="9"/>
        <v>150</v>
      </c>
      <c r="C179" s="42" t="s">
        <v>3</v>
      </c>
      <c r="D179" s="42">
        <f t="shared" si="10"/>
        <v>300</v>
      </c>
      <c r="E179" s="42" t="s">
        <v>3</v>
      </c>
      <c r="F179" s="90">
        <f t="shared" si="11"/>
        <v>1400</v>
      </c>
      <c r="G179" s="42" t="s">
        <v>3</v>
      </c>
      <c r="H179" s="39">
        <v>6</v>
      </c>
      <c r="I179" s="40" t="s">
        <v>42</v>
      </c>
      <c r="J179" s="149">
        <v>150</v>
      </c>
      <c r="K179" s="66">
        <v>300</v>
      </c>
      <c r="L179" s="66">
        <v>1400</v>
      </c>
      <c r="M179" s="164">
        <v>17.924208307404999</v>
      </c>
      <c r="N179" s="78">
        <v>1162.6776</v>
      </c>
      <c r="O179" s="113">
        <v>34235.796107504852</v>
      </c>
      <c r="P179" s="111">
        <v>42090.353728510694</v>
      </c>
      <c r="Q179" s="110">
        <v>19079.277530200521</v>
      </c>
      <c r="R179" s="258">
        <v>53315.073637705369</v>
      </c>
      <c r="S179" s="259">
        <v>61169.631258711219</v>
      </c>
      <c r="U179" s="7" t="s">
        <v>3470</v>
      </c>
    </row>
    <row r="180" spans="1:21" s="65" customFormat="1" ht="16.5" thickBot="1">
      <c r="A180" s="41" t="s">
        <v>31</v>
      </c>
      <c r="B180" s="42">
        <f t="shared" si="9"/>
        <v>150</v>
      </c>
      <c r="C180" s="42" t="s">
        <v>3</v>
      </c>
      <c r="D180" s="42">
        <f t="shared" si="10"/>
        <v>300</v>
      </c>
      <c r="E180" s="42" t="s">
        <v>3</v>
      </c>
      <c r="F180" s="90">
        <f t="shared" si="11"/>
        <v>1450</v>
      </c>
      <c r="G180" s="42" t="s">
        <v>3</v>
      </c>
      <c r="H180" s="39">
        <v>6</v>
      </c>
      <c r="I180" s="40" t="s">
        <v>42</v>
      </c>
      <c r="J180" s="149">
        <v>150</v>
      </c>
      <c r="K180" s="66">
        <v>300</v>
      </c>
      <c r="L180" s="66">
        <v>1450</v>
      </c>
      <c r="M180" s="164">
        <v>18.530985067045002</v>
      </c>
      <c r="N180" s="78">
        <v>1218.0432000000001</v>
      </c>
      <c r="O180" s="113">
        <v>35231.869215371851</v>
      </c>
      <c r="P180" s="111">
        <v>43333.134761562964</v>
      </c>
      <c r="Q180" s="110">
        <v>19602.919163172111</v>
      </c>
      <c r="R180" s="258">
        <v>54834.788378543963</v>
      </c>
      <c r="S180" s="259">
        <v>62936.053924735075</v>
      </c>
      <c r="U180" s="7" t="s">
        <v>3471</v>
      </c>
    </row>
    <row r="181" spans="1:21" s="65" customFormat="1" ht="16.5" thickBot="1">
      <c r="A181" s="41" t="s">
        <v>31</v>
      </c>
      <c r="B181" s="42">
        <f t="shared" si="9"/>
        <v>150</v>
      </c>
      <c r="C181" s="42" t="s">
        <v>3</v>
      </c>
      <c r="D181" s="42">
        <f t="shared" si="10"/>
        <v>300</v>
      </c>
      <c r="E181" s="42" t="s">
        <v>3</v>
      </c>
      <c r="F181" s="90">
        <f t="shared" si="11"/>
        <v>1500</v>
      </c>
      <c r="G181" s="42" t="s">
        <v>3</v>
      </c>
      <c r="H181" s="39">
        <v>6</v>
      </c>
      <c r="I181" s="40" t="s">
        <v>42</v>
      </c>
      <c r="J181" s="149">
        <v>150</v>
      </c>
      <c r="K181" s="66">
        <v>300</v>
      </c>
      <c r="L181" s="66">
        <v>1500</v>
      </c>
      <c r="M181" s="164">
        <v>19.304914983985</v>
      </c>
      <c r="N181" s="78">
        <v>1273.4087999999997</v>
      </c>
      <c r="O181" s="113">
        <v>36967.216330061943</v>
      </c>
      <c r="P181" s="111">
        <v>45297.077469826909</v>
      </c>
      <c r="Q181" s="110">
        <v>20377.895086956549</v>
      </c>
      <c r="R181" s="258">
        <v>57345.111417018488</v>
      </c>
      <c r="S181" s="259">
        <v>65674.972556783454</v>
      </c>
      <c r="U181" s="7" t="s">
        <v>3472</v>
      </c>
    </row>
    <row r="182" spans="1:21" s="65" customFormat="1" ht="16.5" thickBot="1">
      <c r="A182" s="41" t="s">
        <v>31</v>
      </c>
      <c r="B182" s="42">
        <f t="shared" si="9"/>
        <v>150</v>
      </c>
      <c r="C182" s="42" t="s">
        <v>3</v>
      </c>
      <c r="D182" s="42">
        <f t="shared" si="10"/>
        <v>300</v>
      </c>
      <c r="E182" s="42" t="s">
        <v>3</v>
      </c>
      <c r="F182" s="90">
        <f t="shared" si="11"/>
        <v>1550</v>
      </c>
      <c r="G182" s="42" t="s">
        <v>3</v>
      </c>
      <c r="H182" s="39">
        <v>6</v>
      </c>
      <c r="I182" s="40" t="s">
        <v>42</v>
      </c>
      <c r="J182" s="149">
        <v>150</v>
      </c>
      <c r="K182" s="66">
        <v>300</v>
      </c>
      <c r="L182" s="66">
        <v>1550</v>
      </c>
      <c r="M182" s="164">
        <v>19.911691743624999</v>
      </c>
      <c r="N182" s="78">
        <v>1328.7743999999998</v>
      </c>
      <c r="O182" s="113">
        <v>37963.285153123528</v>
      </c>
      <c r="P182" s="111">
        <v>46540.026375434521</v>
      </c>
      <c r="Q182" s="110">
        <v>20901.536719928292</v>
      </c>
      <c r="R182" s="258">
        <v>58864.82187305182</v>
      </c>
      <c r="S182" s="259">
        <v>67441.563095362813</v>
      </c>
      <c r="U182" s="7" t="s">
        <v>3473</v>
      </c>
    </row>
    <row r="183" spans="1:21" s="65" customFormat="1" ht="16.5" thickBot="1">
      <c r="A183" s="38" t="s">
        <v>31</v>
      </c>
      <c r="B183" s="39">
        <f t="shared" si="9"/>
        <v>150</v>
      </c>
      <c r="C183" s="39" t="s">
        <v>3</v>
      </c>
      <c r="D183" s="39">
        <f t="shared" si="10"/>
        <v>300</v>
      </c>
      <c r="E183" s="39" t="s">
        <v>3</v>
      </c>
      <c r="F183" s="90">
        <f t="shared" si="11"/>
        <v>1600</v>
      </c>
      <c r="G183" s="39" t="s">
        <v>3</v>
      </c>
      <c r="H183" s="39">
        <v>6</v>
      </c>
      <c r="I183" s="40" t="s">
        <v>42</v>
      </c>
      <c r="J183" s="149">
        <v>150</v>
      </c>
      <c r="K183" s="66">
        <v>300</v>
      </c>
      <c r="L183" s="66">
        <v>1600</v>
      </c>
      <c r="M183" s="164">
        <v>20.518468503264998</v>
      </c>
      <c r="N183" s="78">
        <v>1384.1399999999999</v>
      </c>
      <c r="O183" s="113">
        <v>38959.431867826548</v>
      </c>
      <c r="P183" s="111">
        <v>47783.000224730866</v>
      </c>
      <c r="Q183" s="110">
        <v>21425.178352900039</v>
      </c>
      <c r="R183" s="258">
        <v>60384.610220726587</v>
      </c>
      <c r="S183" s="259">
        <v>69208.178577630897</v>
      </c>
      <c r="U183" s="7" t="s">
        <v>3474</v>
      </c>
    </row>
    <row r="184" spans="1:21" s="65" customFormat="1" ht="16.5" thickBot="1">
      <c r="A184" s="41" t="s">
        <v>31</v>
      </c>
      <c r="B184" s="42">
        <f t="shared" si="9"/>
        <v>150</v>
      </c>
      <c r="C184" s="42" t="s">
        <v>3</v>
      </c>
      <c r="D184" s="42">
        <f t="shared" si="10"/>
        <v>300</v>
      </c>
      <c r="E184" s="42" t="s">
        <v>3</v>
      </c>
      <c r="F184" s="90">
        <f t="shared" si="11"/>
        <v>1650</v>
      </c>
      <c r="G184" s="42" t="s">
        <v>3</v>
      </c>
      <c r="H184" s="39">
        <v>6</v>
      </c>
      <c r="I184" s="40" t="s">
        <v>42</v>
      </c>
      <c r="J184" s="149">
        <v>150</v>
      </c>
      <c r="K184" s="66">
        <v>300</v>
      </c>
      <c r="L184" s="66">
        <v>1650</v>
      </c>
      <c r="M184" s="164">
        <v>21.125245262905</v>
      </c>
      <c r="N184" s="78">
        <v>1439.5056</v>
      </c>
      <c r="O184" s="113">
        <v>39955.650353020421</v>
      </c>
      <c r="P184" s="111">
        <v>49025.997028341961</v>
      </c>
      <c r="Q184" s="110">
        <v>22200.154276684319</v>
      </c>
      <c r="R184" s="258">
        <v>62155.80462970474</v>
      </c>
      <c r="S184" s="259">
        <v>71226.151305026287</v>
      </c>
      <c r="U184" s="7" t="s">
        <v>3475</v>
      </c>
    </row>
    <row r="185" spans="1:21" s="65" customFormat="1" ht="16.5" thickBot="1">
      <c r="A185" s="41" t="s">
        <v>31</v>
      </c>
      <c r="B185" s="42">
        <f t="shared" si="9"/>
        <v>150</v>
      </c>
      <c r="C185" s="42" t="s">
        <v>3</v>
      </c>
      <c r="D185" s="42">
        <f t="shared" si="10"/>
        <v>300</v>
      </c>
      <c r="E185" s="42" t="s">
        <v>3</v>
      </c>
      <c r="F185" s="90">
        <f t="shared" si="11"/>
        <v>1700</v>
      </c>
      <c r="G185" s="42" t="s">
        <v>3</v>
      </c>
      <c r="H185" s="39">
        <v>6</v>
      </c>
      <c r="I185" s="40" t="s">
        <v>42</v>
      </c>
      <c r="J185" s="149">
        <v>150</v>
      </c>
      <c r="K185" s="66">
        <v>300</v>
      </c>
      <c r="L185" s="66">
        <v>1700</v>
      </c>
      <c r="M185" s="164">
        <v>19.719565657530001</v>
      </c>
      <c r="N185" s="78">
        <v>1494.8712</v>
      </c>
      <c r="O185" s="113">
        <v>40951.934946640824</v>
      </c>
      <c r="P185" s="111">
        <v>50269.014949922661</v>
      </c>
      <c r="Q185" s="110">
        <v>22723.795909656066</v>
      </c>
      <c r="R185" s="258">
        <v>63675.73085629689</v>
      </c>
      <c r="S185" s="259">
        <v>72992.81085957872</v>
      </c>
      <c r="U185" s="7" t="s">
        <v>3476</v>
      </c>
    </row>
    <row r="186" spans="1:21" s="65" customFormat="1" ht="16.5" thickBot="1">
      <c r="A186" s="41" t="s">
        <v>31</v>
      </c>
      <c r="B186" s="42">
        <f t="shared" si="9"/>
        <v>150</v>
      </c>
      <c r="C186" s="42" t="s">
        <v>3</v>
      </c>
      <c r="D186" s="42">
        <f t="shared" si="10"/>
        <v>300</v>
      </c>
      <c r="E186" s="42" t="s">
        <v>3</v>
      </c>
      <c r="F186" s="90">
        <f t="shared" si="11"/>
        <v>1750</v>
      </c>
      <c r="G186" s="42" t="s">
        <v>3</v>
      </c>
      <c r="H186" s="39">
        <v>6</v>
      </c>
      <c r="I186" s="40" t="s">
        <v>42</v>
      </c>
      <c r="J186" s="149">
        <v>150</v>
      </c>
      <c r="K186" s="66">
        <v>300</v>
      </c>
      <c r="L186" s="66">
        <v>1750</v>
      </c>
      <c r="M186" s="164">
        <v>22.338798782185002</v>
      </c>
      <c r="N186" s="78">
        <v>1550.2367999999997</v>
      </c>
      <c r="O186" s="113">
        <v>41948.280598738515</v>
      </c>
      <c r="P186" s="111">
        <v>51512.052612214058</v>
      </c>
      <c r="Q186" s="110">
        <v>23498.771833440347</v>
      </c>
      <c r="R186" s="258">
        <v>65447.052432178862</v>
      </c>
      <c r="S186" s="259">
        <v>75010.824445654405</v>
      </c>
      <c r="U186" s="7" t="s">
        <v>3477</v>
      </c>
    </row>
    <row r="187" spans="1:21" s="65" customFormat="1" ht="16.5" thickBot="1">
      <c r="A187" s="41" t="s">
        <v>31</v>
      </c>
      <c r="B187" s="42">
        <f t="shared" si="9"/>
        <v>150</v>
      </c>
      <c r="C187" s="42" t="s">
        <v>3</v>
      </c>
      <c r="D187" s="42">
        <f t="shared" si="10"/>
        <v>300</v>
      </c>
      <c r="E187" s="42" t="s">
        <v>3</v>
      </c>
      <c r="F187" s="90">
        <f t="shared" si="11"/>
        <v>1800</v>
      </c>
      <c r="G187" s="42" t="s">
        <v>3</v>
      </c>
      <c r="H187" s="39">
        <v>6</v>
      </c>
      <c r="I187" s="40" t="s">
        <v>42</v>
      </c>
      <c r="J187" s="149">
        <v>150</v>
      </c>
      <c r="K187" s="66">
        <v>300</v>
      </c>
      <c r="L187" s="66">
        <v>1800</v>
      </c>
      <c r="M187" s="164">
        <v>22.945575541825001</v>
      </c>
      <c r="N187" s="78">
        <v>1605.6023999999998</v>
      </c>
      <c r="O187" s="113">
        <v>42944.682871479308</v>
      </c>
      <c r="P187" s="111">
        <v>52755.108178870963</v>
      </c>
      <c r="Q187" s="110">
        <v>24022.413466412094</v>
      </c>
      <c r="R187" s="258">
        <v>66967.096337891402</v>
      </c>
      <c r="S187" s="259">
        <v>76777.521645283065</v>
      </c>
      <c r="U187" s="7" t="s">
        <v>3478</v>
      </c>
    </row>
    <row r="188" spans="1:21" s="65" customFormat="1" ht="16.5" thickBot="1">
      <c r="A188" s="41" t="s">
        <v>31</v>
      </c>
      <c r="B188" s="42">
        <f t="shared" si="9"/>
        <v>150</v>
      </c>
      <c r="C188" s="42" t="s">
        <v>3</v>
      </c>
      <c r="D188" s="42">
        <f t="shared" si="10"/>
        <v>300</v>
      </c>
      <c r="E188" s="42" t="s">
        <v>3</v>
      </c>
      <c r="F188" s="90">
        <f t="shared" si="11"/>
        <v>1850</v>
      </c>
      <c r="G188" s="42" t="s">
        <v>3</v>
      </c>
      <c r="H188" s="39">
        <v>6</v>
      </c>
      <c r="I188" s="40" t="s">
        <v>42</v>
      </c>
      <c r="J188" s="149">
        <v>150</v>
      </c>
      <c r="K188" s="66">
        <v>300</v>
      </c>
      <c r="L188" s="66">
        <v>1850</v>
      </c>
      <c r="M188" s="164">
        <v>23.552352301465007</v>
      </c>
      <c r="N188" s="78">
        <v>1660.9679999999998</v>
      </c>
      <c r="O188" s="113">
        <v>43941.137480057769</v>
      </c>
      <c r="P188" s="111">
        <v>53998.180731720808</v>
      </c>
      <c r="Q188" s="110">
        <v>24797.389237167612</v>
      </c>
      <c r="R188" s="258">
        <v>68738.526717225381</v>
      </c>
      <c r="S188" s="259">
        <v>78795.56996888842</v>
      </c>
      <c r="U188" s="7" t="s">
        <v>3479</v>
      </c>
    </row>
    <row r="189" spans="1:21" s="65" customFormat="1" ht="16.5" thickBot="1">
      <c r="A189" s="41" t="s">
        <v>31</v>
      </c>
      <c r="B189" s="42">
        <f t="shared" si="9"/>
        <v>150</v>
      </c>
      <c r="C189" s="42" t="s">
        <v>3</v>
      </c>
      <c r="D189" s="42">
        <f t="shared" si="10"/>
        <v>300</v>
      </c>
      <c r="E189" s="42" t="s">
        <v>3</v>
      </c>
      <c r="F189" s="90">
        <f t="shared" si="11"/>
        <v>1900</v>
      </c>
      <c r="G189" s="42" t="s">
        <v>3</v>
      </c>
      <c r="H189" s="39">
        <v>6</v>
      </c>
      <c r="I189" s="40" t="s">
        <v>42</v>
      </c>
      <c r="J189" s="149">
        <v>150</v>
      </c>
      <c r="K189" s="66">
        <v>300</v>
      </c>
      <c r="L189" s="66">
        <v>1900</v>
      </c>
      <c r="M189" s="164">
        <v>24.159129061104998</v>
      </c>
      <c r="N189" s="78">
        <v>1716.3335999999999</v>
      </c>
      <c r="O189" s="113">
        <v>44937.640904812295</v>
      </c>
      <c r="P189" s="111">
        <v>55241.26889350469</v>
      </c>
      <c r="Q189" s="110">
        <v>25321.031023168125</v>
      </c>
      <c r="R189" s="258">
        <v>70258.671927980424</v>
      </c>
      <c r="S189" s="259">
        <v>80562.299916672811</v>
      </c>
      <c r="U189" s="7" t="s">
        <v>3480</v>
      </c>
    </row>
    <row r="190" spans="1:21" s="65" customFormat="1" ht="16.5" thickBot="1">
      <c r="A190" s="41" t="s">
        <v>31</v>
      </c>
      <c r="B190" s="42">
        <f t="shared" si="9"/>
        <v>150</v>
      </c>
      <c r="C190" s="42" t="s">
        <v>3</v>
      </c>
      <c r="D190" s="42">
        <f t="shared" si="10"/>
        <v>300</v>
      </c>
      <c r="E190" s="42" t="s">
        <v>3</v>
      </c>
      <c r="F190" s="90">
        <f t="shared" si="11"/>
        <v>1950</v>
      </c>
      <c r="G190" s="42" t="s">
        <v>3</v>
      </c>
      <c r="H190" s="39">
        <v>6</v>
      </c>
      <c r="I190" s="40" t="s">
        <v>42</v>
      </c>
      <c r="J190" s="149">
        <v>150</v>
      </c>
      <c r="K190" s="66">
        <v>300</v>
      </c>
      <c r="L190" s="66">
        <v>1950</v>
      </c>
      <c r="M190" s="164">
        <v>24.883655820745005</v>
      </c>
      <c r="N190" s="78">
        <v>1771.6992</v>
      </c>
      <c r="O190" s="113">
        <v>46068.14901769779</v>
      </c>
      <c r="P190" s="111">
        <v>56621.487508975973</v>
      </c>
      <c r="Q190" s="110">
        <v>25844.672656139872</v>
      </c>
      <c r="R190" s="258">
        <v>71912.821673837665</v>
      </c>
      <c r="S190" s="259">
        <v>82466.160165115842</v>
      </c>
      <c r="U190" s="7" t="s">
        <v>3481</v>
      </c>
    </row>
    <row r="191" spans="1:21" s="65" customFormat="1" ht="16.5" thickBot="1">
      <c r="A191" s="41" t="s">
        <v>31</v>
      </c>
      <c r="B191" s="42">
        <f t="shared" si="9"/>
        <v>150</v>
      </c>
      <c r="C191" s="42" t="s">
        <v>3</v>
      </c>
      <c r="D191" s="42">
        <f t="shared" si="10"/>
        <v>300</v>
      </c>
      <c r="E191" s="42" t="s">
        <v>3</v>
      </c>
      <c r="F191" s="90">
        <f t="shared" si="11"/>
        <v>2000</v>
      </c>
      <c r="G191" s="42" t="s">
        <v>3</v>
      </c>
      <c r="H191" s="39">
        <v>6</v>
      </c>
      <c r="I191" s="40" t="s">
        <v>42</v>
      </c>
      <c r="J191" s="149">
        <v>150</v>
      </c>
      <c r="K191" s="66">
        <v>300</v>
      </c>
      <c r="L191" s="66">
        <v>2000</v>
      </c>
      <c r="M191" s="164">
        <v>25.581994980385005</v>
      </c>
      <c r="N191" s="78">
        <v>1827.0647999999997</v>
      </c>
      <c r="O191" s="113">
        <v>47328.196133290352</v>
      </c>
      <c r="P191" s="111">
        <v>58217.055548111886</v>
      </c>
      <c r="Q191" s="110">
        <v>26619.648426895383</v>
      </c>
      <c r="R191" s="258">
        <v>73947.844560185738</v>
      </c>
      <c r="S191" s="259">
        <v>84836.703975007273</v>
      </c>
      <c r="U191" s="7" t="s">
        <v>3482</v>
      </c>
    </row>
    <row r="192" spans="1:21" s="65" customFormat="1" ht="16.5" thickBot="1">
      <c r="A192" s="41" t="s">
        <v>31</v>
      </c>
      <c r="B192" s="42">
        <f t="shared" si="9"/>
        <v>150</v>
      </c>
      <c r="C192" s="42" t="s">
        <v>3</v>
      </c>
      <c r="D192" s="42">
        <f t="shared" si="10"/>
        <v>300</v>
      </c>
      <c r="E192" s="42" t="s">
        <v>3</v>
      </c>
      <c r="F192" s="90">
        <f t="shared" si="11"/>
        <v>2050</v>
      </c>
      <c r="G192" s="42" t="s">
        <v>3</v>
      </c>
      <c r="H192" s="39">
        <v>6</v>
      </c>
      <c r="I192" s="40" t="s">
        <v>42</v>
      </c>
      <c r="J192" s="149">
        <v>150</v>
      </c>
      <c r="K192" s="66">
        <v>300</v>
      </c>
      <c r="L192" s="66">
        <v>2050</v>
      </c>
      <c r="M192" s="164">
        <v>26.188771740025004</v>
      </c>
      <c r="N192" s="78">
        <v>1882.4303999999997</v>
      </c>
      <c r="O192" s="113">
        <v>48324.802393375052</v>
      </c>
      <c r="P192" s="111">
        <v>59460.156717340797</v>
      </c>
      <c r="Q192" s="110">
        <v>27143.290212895896</v>
      </c>
      <c r="R192" s="258">
        <v>75468.092606270948</v>
      </c>
      <c r="S192" s="259">
        <v>86603.446930236692</v>
      </c>
      <c r="U192" s="7" t="s">
        <v>3483</v>
      </c>
    </row>
    <row r="193" spans="1:21" s="65" customFormat="1" ht="16.5" thickBot="1">
      <c r="A193" s="38" t="s">
        <v>31</v>
      </c>
      <c r="B193" s="39">
        <f t="shared" si="9"/>
        <v>150</v>
      </c>
      <c r="C193" s="39" t="s">
        <v>3</v>
      </c>
      <c r="D193" s="39">
        <f t="shared" si="10"/>
        <v>300</v>
      </c>
      <c r="E193" s="39" t="s">
        <v>3</v>
      </c>
      <c r="F193" s="90">
        <f t="shared" si="11"/>
        <v>2100</v>
      </c>
      <c r="G193" s="39" t="s">
        <v>3</v>
      </c>
      <c r="H193" s="39">
        <v>6</v>
      </c>
      <c r="I193" s="40" t="s">
        <v>42</v>
      </c>
      <c r="J193" s="149">
        <v>150</v>
      </c>
      <c r="K193" s="66">
        <v>300</v>
      </c>
      <c r="L193" s="66">
        <v>2100</v>
      </c>
      <c r="M193" s="164">
        <v>26.795548499664999</v>
      </c>
      <c r="N193" s="78">
        <v>1937.7959999999998</v>
      </c>
      <c r="O193" s="113">
        <v>49321.446451564734</v>
      </c>
      <c r="P193" s="111">
        <v>60703.27089401475</v>
      </c>
      <c r="Q193" s="110">
        <v>27918.265983651414</v>
      </c>
      <c r="R193" s="258">
        <v>77239.712435216148</v>
      </c>
      <c r="S193" s="259">
        <v>88621.536877666163</v>
      </c>
      <c r="U193" s="7" t="s">
        <v>3484</v>
      </c>
    </row>
    <row r="194" spans="1:21" s="65" customFormat="1" ht="16.5" thickBot="1">
      <c r="A194" s="41" t="s">
        <v>31</v>
      </c>
      <c r="B194" s="42">
        <f t="shared" si="9"/>
        <v>150</v>
      </c>
      <c r="C194" s="42" t="s">
        <v>3</v>
      </c>
      <c r="D194" s="42">
        <f t="shared" si="10"/>
        <v>300</v>
      </c>
      <c r="E194" s="42" t="s">
        <v>3</v>
      </c>
      <c r="F194" s="90">
        <f t="shared" si="11"/>
        <v>2150</v>
      </c>
      <c r="G194" s="42" t="s">
        <v>3</v>
      </c>
      <c r="H194" s="39">
        <v>6</v>
      </c>
      <c r="I194" s="40" t="s">
        <v>42</v>
      </c>
      <c r="J194" s="149">
        <v>150</v>
      </c>
      <c r="K194" s="66">
        <v>300</v>
      </c>
      <c r="L194" s="66">
        <v>2150</v>
      </c>
      <c r="M194" s="164">
        <v>27.402325259305009</v>
      </c>
      <c r="N194" s="78">
        <v>1993.1615999999999</v>
      </c>
      <c r="O194" s="113">
        <v>50318.125859399166</v>
      </c>
      <c r="P194" s="111">
        <v>61946.397159961154</v>
      </c>
      <c r="Q194" s="110">
        <v>28441.907769651927</v>
      </c>
      <c r="R194" s="258">
        <v>78760.03362905109</v>
      </c>
      <c r="S194" s="259">
        <v>90388.304929613078</v>
      </c>
      <c r="U194" s="7" t="s">
        <v>3485</v>
      </c>
    </row>
    <row r="195" spans="1:21" s="65" customFormat="1" ht="16.5" thickBot="1">
      <c r="A195" s="41" t="s">
        <v>31</v>
      </c>
      <c r="B195" s="42">
        <f t="shared" si="9"/>
        <v>150</v>
      </c>
      <c r="C195" s="42" t="s">
        <v>3</v>
      </c>
      <c r="D195" s="42">
        <f t="shared" si="10"/>
        <v>300</v>
      </c>
      <c r="E195" s="42" t="s">
        <v>3</v>
      </c>
      <c r="F195" s="90">
        <f t="shared" si="11"/>
        <v>2200</v>
      </c>
      <c r="G195" s="42" t="s">
        <v>3</v>
      </c>
      <c r="H195" s="39">
        <v>6</v>
      </c>
      <c r="I195" s="40" t="s">
        <v>42</v>
      </c>
      <c r="J195" s="149">
        <v>150</v>
      </c>
      <c r="K195" s="66">
        <v>300</v>
      </c>
      <c r="L195" s="66">
        <v>2200</v>
      </c>
      <c r="M195" s="164">
        <v>28.009102018945001</v>
      </c>
      <c r="N195" s="78">
        <v>2048.5272</v>
      </c>
      <c r="O195" s="113">
        <v>51314.838321446856</v>
      </c>
      <c r="P195" s="111">
        <v>63189.534903064945</v>
      </c>
      <c r="Q195" s="110">
        <v>29216.883540407438</v>
      </c>
      <c r="R195" s="258">
        <v>80531.721861854297</v>
      </c>
      <c r="S195" s="259">
        <v>92406.418443472387</v>
      </c>
      <c r="U195" s="7" t="s">
        <v>3486</v>
      </c>
    </row>
    <row r="196" spans="1:21" s="65" customFormat="1" ht="16.5" thickBot="1">
      <c r="A196" s="41" t="s">
        <v>31</v>
      </c>
      <c r="B196" s="42">
        <f t="shared" si="9"/>
        <v>150</v>
      </c>
      <c r="C196" s="42" t="s">
        <v>3</v>
      </c>
      <c r="D196" s="42">
        <f t="shared" si="10"/>
        <v>300</v>
      </c>
      <c r="E196" s="42" t="s">
        <v>3</v>
      </c>
      <c r="F196" s="90">
        <f t="shared" si="11"/>
        <v>2250</v>
      </c>
      <c r="G196" s="42" t="s">
        <v>3</v>
      </c>
      <c r="H196" s="39">
        <v>6</v>
      </c>
      <c r="I196" s="40" t="s">
        <v>42</v>
      </c>
      <c r="J196" s="149">
        <v>150</v>
      </c>
      <c r="K196" s="66">
        <v>300</v>
      </c>
      <c r="L196" s="66">
        <v>2250</v>
      </c>
      <c r="M196" s="164">
        <v>28.615878778585003</v>
      </c>
      <c r="N196" s="78">
        <v>2103.8927999999996</v>
      </c>
      <c r="O196" s="113">
        <v>52311.582001362636</v>
      </c>
      <c r="P196" s="111">
        <v>64432.683511211049</v>
      </c>
      <c r="Q196" s="110">
        <v>29740.525173379188</v>
      </c>
      <c r="R196" s="258">
        <v>82052.107174741832</v>
      </c>
      <c r="S196" s="259">
        <v>94173.208684590238</v>
      </c>
      <c r="U196" s="7" t="s">
        <v>3487</v>
      </c>
    </row>
    <row r="197" spans="1:21" s="65" customFormat="1" ht="16.5" thickBot="1">
      <c r="A197" s="41" t="s">
        <v>31</v>
      </c>
      <c r="B197" s="42">
        <f t="shared" si="9"/>
        <v>150</v>
      </c>
      <c r="C197" s="42" t="s">
        <v>3</v>
      </c>
      <c r="D197" s="42">
        <f t="shared" si="10"/>
        <v>300</v>
      </c>
      <c r="E197" s="42" t="s">
        <v>3</v>
      </c>
      <c r="F197" s="90">
        <f t="shared" si="11"/>
        <v>2300</v>
      </c>
      <c r="G197" s="42" t="s">
        <v>3</v>
      </c>
      <c r="H197" s="39">
        <v>6</v>
      </c>
      <c r="I197" s="40" t="s">
        <v>42</v>
      </c>
      <c r="J197" s="149">
        <v>150</v>
      </c>
      <c r="K197" s="66">
        <v>300</v>
      </c>
      <c r="L197" s="66">
        <v>2300</v>
      </c>
      <c r="M197" s="164">
        <v>29.222655538225002</v>
      </c>
      <c r="N197" s="78">
        <v>2159.2583999999997</v>
      </c>
      <c r="O197" s="113">
        <v>53308.355062801318</v>
      </c>
      <c r="P197" s="111">
        <v>65675.842219255661</v>
      </c>
      <c r="Q197" s="110">
        <v>30264.166959379701</v>
      </c>
      <c r="R197" s="258">
        <v>83572.522022181016</v>
      </c>
      <c r="S197" s="259">
        <v>95940.009178635359</v>
      </c>
      <c r="U197" s="7" t="s">
        <v>3488</v>
      </c>
    </row>
    <row r="198" spans="1:21" s="65" customFormat="1" ht="16.5" thickBot="1">
      <c r="A198" s="41" t="s">
        <v>31</v>
      </c>
      <c r="B198" s="42">
        <f t="shared" si="9"/>
        <v>150</v>
      </c>
      <c r="C198" s="42" t="s">
        <v>3</v>
      </c>
      <c r="D198" s="42">
        <f t="shared" si="10"/>
        <v>300</v>
      </c>
      <c r="E198" s="42" t="s">
        <v>3</v>
      </c>
      <c r="F198" s="90">
        <f t="shared" si="11"/>
        <v>2350</v>
      </c>
      <c r="G198" s="42" t="s">
        <v>3</v>
      </c>
      <c r="H198" s="39">
        <v>6</v>
      </c>
      <c r="I198" s="40" t="s">
        <v>42</v>
      </c>
      <c r="J198" s="149">
        <v>150</v>
      </c>
      <c r="K198" s="66">
        <v>300</v>
      </c>
      <c r="L198" s="66">
        <v>2350</v>
      </c>
      <c r="M198" s="164">
        <v>29.829432297865001</v>
      </c>
      <c r="N198" s="78">
        <v>2214.6239999999998</v>
      </c>
      <c r="O198" s="113">
        <v>54305.155669417727</v>
      </c>
      <c r="P198" s="111">
        <v>66919.0104150837</v>
      </c>
      <c r="Q198" s="110">
        <v>31039.142730135216</v>
      </c>
      <c r="R198" s="258">
        <v>85344.298399552936</v>
      </c>
      <c r="S198" s="259">
        <v>97958.153145218908</v>
      </c>
      <c r="U198" s="7" t="s">
        <v>3489</v>
      </c>
    </row>
    <row r="199" spans="1:21" s="65" customFormat="1" ht="16.5" thickBot="1">
      <c r="A199" s="41" t="s">
        <v>31</v>
      </c>
      <c r="B199" s="42">
        <f t="shared" si="9"/>
        <v>150</v>
      </c>
      <c r="C199" s="42" t="s">
        <v>3</v>
      </c>
      <c r="D199" s="42">
        <f t="shared" si="10"/>
        <v>300</v>
      </c>
      <c r="E199" s="42" t="s">
        <v>3</v>
      </c>
      <c r="F199" s="90">
        <f t="shared" si="11"/>
        <v>2400</v>
      </c>
      <c r="G199" s="42" t="s">
        <v>3</v>
      </c>
      <c r="H199" s="39">
        <v>6</v>
      </c>
      <c r="I199" s="40" t="s">
        <v>42</v>
      </c>
      <c r="J199" s="149">
        <v>150</v>
      </c>
      <c r="K199" s="66">
        <v>300</v>
      </c>
      <c r="L199" s="66">
        <v>2400</v>
      </c>
      <c r="M199" s="164">
        <v>30.436209057505</v>
      </c>
      <c r="N199" s="78">
        <v>2269.9895999999994</v>
      </c>
      <c r="O199" s="113">
        <v>55301.982290924214</v>
      </c>
      <c r="P199" s="111">
        <v>68162.187639608892</v>
      </c>
      <c r="Q199" s="110">
        <v>31562.784363106966</v>
      </c>
      <c r="R199" s="258">
        <v>86864.766654031177</v>
      </c>
      <c r="S199" s="259">
        <v>99724.972002715862</v>
      </c>
      <c r="U199" s="7" t="s">
        <v>3490</v>
      </c>
    </row>
    <row r="200" spans="1:21" s="65" customFormat="1" ht="16.5" thickBot="1">
      <c r="A200" s="41" t="s">
        <v>31</v>
      </c>
      <c r="B200" s="42">
        <f t="shared" si="9"/>
        <v>150</v>
      </c>
      <c r="C200" s="42" t="s">
        <v>3</v>
      </c>
      <c r="D200" s="42">
        <f t="shared" si="10"/>
        <v>300</v>
      </c>
      <c r="E200" s="42" t="s">
        <v>3</v>
      </c>
      <c r="F200" s="90">
        <f t="shared" si="11"/>
        <v>2450</v>
      </c>
      <c r="G200" s="42" t="s">
        <v>3</v>
      </c>
      <c r="H200" s="39">
        <v>6</v>
      </c>
      <c r="I200" s="40" t="s">
        <v>42</v>
      </c>
      <c r="J200" s="149">
        <v>150</v>
      </c>
      <c r="K200" s="66">
        <v>300</v>
      </c>
      <c r="L200" s="66">
        <v>2450</v>
      </c>
      <c r="M200" s="164">
        <v>31.210138974445005</v>
      </c>
      <c r="N200" s="78">
        <v>2325.3552</v>
      </c>
      <c r="O200" s="113">
        <v>57036.200359385206</v>
      </c>
      <c r="P200" s="111">
        <v>70127.296427063076</v>
      </c>
      <c r="Q200" s="110">
        <v>32337.760286891244</v>
      </c>
      <c r="R200" s="258">
        <v>89373.96064627645</v>
      </c>
      <c r="S200" s="259">
        <v>102465.05671395431</v>
      </c>
      <c r="U200" s="7" t="s">
        <v>3491</v>
      </c>
    </row>
    <row r="201" spans="1:21" s="65" customFormat="1" ht="16.5" thickBot="1">
      <c r="A201" s="41" t="s">
        <v>31</v>
      </c>
      <c r="B201" s="42">
        <f t="shared" si="9"/>
        <v>150</v>
      </c>
      <c r="C201" s="42" t="s">
        <v>3</v>
      </c>
      <c r="D201" s="42">
        <f t="shared" si="10"/>
        <v>300</v>
      </c>
      <c r="E201" s="42" t="s">
        <v>3</v>
      </c>
      <c r="F201" s="90">
        <f t="shared" si="11"/>
        <v>2500</v>
      </c>
      <c r="G201" s="42" t="s">
        <v>3</v>
      </c>
      <c r="H201" s="39">
        <v>6</v>
      </c>
      <c r="I201" s="40" t="s">
        <v>42</v>
      </c>
      <c r="J201" s="149">
        <v>150</v>
      </c>
      <c r="K201" s="66">
        <v>300</v>
      </c>
      <c r="L201" s="66">
        <v>2500</v>
      </c>
      <c r="M201" s="164">
        <v>31.816915734084997</v>
      </c>
      <c r="N201" s="78">
        <v>2380.7207999999996</v>
      </c>
      <c r="O201" s="113">
        <v>58032.99637513866</v>
      </c>
      <c r="P201" s="111">
        <v>71370.535169151844</v>
      </c>
      <c r="Q201" s="110">
        <v>32861.40191986299</v>
      </c>
      <c r="R201" s="258">
        <v>90894.398295001651</v>
      </c>
      <c r="S201" s="259">
        <v>104231.93708901483</v>
      </c>
      <c r="U201" s="7" t="s">
        <v>3492</v>
      </c>
    </row>
    <row r="202" spans="1:21" s="65" customFormat="1" ht="16.5" thickBot="1">
      <c r="A202" s="41" t="s">
        <v>31</v>
      </c>
      <c r="B202" s="42">
        <f t="shared" si="9"/>
        <v>150</v>
      </c>
      <c r="C202" s="42" t="s">
        <v>3</v>
      </c>
      <c r="D202" s="42">
        <f t="shared" si="10"/>
        <v>300</v>
      </c>
      <c r="E202" s="42" t="s">
        <v>3</v>
      </c>
      <c r="F202" s="90">
        <f t="shared" si="11"/>
        <v>2550</v>
      </c>
      <c r="G202" s="42" t="s">
        <v>3</v>
      </c>
      <c r="H202" s="39">
        <v>6</v>
      </c>
      <c r="I202" s="40" t="s">
        <v>42</v>
      </c>
      <c r="J202" s="149">
        <v>150</v>
      </c>
      <c r="K202" s="66">
        <v>300</v>
      </c>
      <c r="L202" s="66">
        <v>2550</v>
      </c>
      <c r="M202" s="164">
        <v>32.423692493725</v>
      </c>
      <c r="N202" s="78">
        <v>2436.0864000000001</v>
      </c>
      <c r="O202" s="113">
        <v>59029.817028523299</v>
      </c>
      <c r="P202" s="111">
        <v>72613.779879362453</v>
      </c>
      <c r="Q202" s="110">
        <v>33636.377843647271</v>
      </c>
      <c r="R202" s="258">
        <v>92666.19487217057</v>
      </c>
      <c r="S202" s="259">
        <v>106250.15772300973</v>
      </c>
      <c r="U202" s="7" t="s">
        <v>3493</v>
      </c>
    </row>
    <row r="203" spans="1:21" s="65" customFormat="1" ht="16.5" thickBot="1">
      <c r="A203" s="38" t="s">
        <v>31</v>
      </c>
      <c r="B203" s="39">
        <f t="shared" si="9"/>
        <v>150</v>
      </c>
      <c r="C203" s="39" t="s">
        <v>3</v>
      </c>
      <c r="D203" s="39">
        <f t="shared" si="10"/>
        <v>300</v>
      </c>
      <c r="E203" s="39" t="s">
        <v>3</v>
      </c>
      <c r="F203" s="90">
        <f t="shared" si="11"/>
        <v>2600</v>
      </c>
      <c r="G203" s="39" t="s">
        <v>3</v>
      </c>
      <c r="H203" s="39">
        <v>6</v>
      </c>
      <c r="I203" s="40" t="s">
        <v>42</v>
      </c>
      <c r="J203" s="149">
        <v>150</v>
      </c>
      <c r="K203" s="66">
        <v>300</v>
      </c>
      <c r="L203" s="66">
        <v>2600</v>
      </c>
      <c r="M203" s="164">
        <v>33.030469253364998</v>
      </c>
      <c r="N203" s="78">
        <v>2491.4519999999998</v>
      </c>
      <c r="O203" s="113">
        <v>58922.738669788676</v>
      </c>
      <c r="P203" s="111">
        <v>72470.037511820308</v>
      </c>
      <c r="Q203" s="110">
        <v>34160.019476619018</v>
      </c>
      <c r="R203" s="258">
        <v>93082.758146407694</v>
      </c>
      <c r="S203" s="259">
        <v>106630.05698843932</v>
      </c>
      <c r="U203" s="7" t="s">
        <v>3494</v>
      </c>
    </row>
    <row r="204" spans="1:21" s="65" customFormat="1" ht="16.5" thickBot="1">
      <c r="A204" s="41" t="s">
        <v>31</v>
      </c>
      <c r="B204" s="42">
        <f t="shared" si="9"/>
        <v>150</v>
      </c>
      <c r="C204" s="42" t="s">
        <v>3</v>
      </c>
      <c r="D204" s="42">
        <f t="shared" si="10"/>
        <v>300</v>
      </c>
      <c r="E204" s="42" t="s">
        <v>3</v>
      </c>
      <c r="F204" s="90">
        <f t="shared" si="11"/>
        <v>2650</v>
      </c>
      <c r="G204" s="42" t="s">
        <v>3</v>
      </c>
      <c r="H204" s="39">
        <v>6</v>
      </c>
      <c r="I204" s="40" t="s">
        <v>42</v>
      </c>
      <c r="J204" s="149">
        <v>150</v>
      </c>
      <c r="K204" s="66">
        <v>300</v>
      </c>
      <c r="L204" s="66">
        <v>2650</v>
      </c>
      <c r="M204" s="164">
        <v>33.637246013005004</v>
      </c>
      <c r="N204" s="78">
        <v>2546.8175999999994</v>
      </c>
      <c r="O204" s="113">
        <v>60214.754412588452</v>
      </c>
      <c r="P204" s="111">
        <v>74083.849181248108</v>
      </c>
      <c r="Q204" s="110">
        <v>34934.995247374536</v>
      </c>
      <c r="R204" s="258">
        <v>95149.749659962981</v>
      </c>
      <c r="S204" s="259">
        <v>109018.84442862264</v>
      </c>
      <c r="U204" s="7" t="s">
        <v>3495</v>
      </c>
    </row>
    <row r="205" spans="1:21" s="65" customFormat="1" ht="16.5" thickBot="1">
      <c r="A205" s="41" t="s">
        <v>31</v>
      </c>
      <c r="B205" s="42">
        <f t="shared" si="9"/>
        <v>150</v>
      </c>
      <c r="C205" s="42" t="s">
        <v>3</v>
      </c>
      <c r="D205" s="42">
        <f t="shared" si="10"/>
        <v>300</v>
      </c>
      <c r="E205" s="42" t="s">
        <v>3</v>
      </c>
      <c r="F205" s="90">
        <f t="shared" si="11"/>
        <v>2700</v>
      </c>
      <c r="G205" s="42" t="s">
        <v>3</v>
      </c>
      <c r="H205" s="39">
        <v>6</v>
      </c>
      <c r="I205" s="40" t="s">
        <v>42</v>
      </c>
      <c r="J205" s="149">
        <v>150</v>
      </c>
      <c r="K205" s="66">
        <v>300</v>
      </c>
      <c r="L205" s="66">
        <v>2700</v>
      </c>
      <c r="M205" s="164">
        <v>34.361772772645004</v>
      </c>
      <c r="N205" s="78">
        <v>2602.1831999999999</v>
      </c>
      <c r="O205" s="113">
        <v>61347.946343956697</v>
      </c>
      <c r="P205" s="111">
        <v>75466.601187926048</v>
      </c>
      <c r="Q205" s="110">
        <v>35458.637033375046</v>
      </c>
      <c r="R205" s="258">
        <v>96806.583377331743</v>
      </c>
      <c r="S205" s="259">
        <v>110925.23822130109</v>
      </c>
      <c r="U205" s="7" t="s">
        <v>3496</v>
      </c>
    </row>
    <row r="206" spans="1:21" s="65" customFormat="1" ht="16.5" thickBot="1">
      <c r="A206" s="41" t="s">
        <v>31</v>
      </c>
      <c r="B206" s="42">
        <f t="shared" si="9"/>
        <v>150</v>
      </c>
      <c r="C206" s="42" t="s">
        <v>3</v>
      </c>
      <c r="D206" s="42">
        <f t="shared" si="10"/>
        <v>300</v>
      </c>
      <c r="E206" s="42" t="s">
        <v>3</v>
      </c>
      <c r="F206" s="90">
        <f t="shared" si="11"/>
        <v>2750</v>
      </c>
      <c r="G206" s="42" t="s">
        <v>3</v>
      </c>
      <c r="H206" s="39">
        <v>6</v>
      </c>
      <c r="I206" s="40" t="s">
        <v>42</v>
      </c>
      <c r="J206" s="149">
        <v>150</v>
      </c>
      <c r="K206" s="66">
        <v>300</v>
      </c>
      <c r="L206" s="66">
        <v>2750</v>
      </c>
      <c r="M206" s="164">
        <v>34.968549532284996</v>
      </c>
      <c r="N206" s="78">
        <v>2657.5487999999996</v>
      </c>
      <c r="O206" s="113">
        <v>62347.347827465172</v>
      </c>
      <c r="P206" s="111">
        <v>76712.744262948123</v>
      </c>
      <c r="Q206" s="110">
        <v>35982.278666346792</v>
      </c>
      <c r="R206" s="258">
        <v>98329.626493811957</v>
      </c>
      <c r="S206" s="259">
        <v>112695.02292929491</v>
      </c>
      <c r="U206" s="7" t="s">
        <v>3497</v>
      </c>
    </row>
    <row r="207" spans="1:21" s="65" customFormat="1" ht="16.5" thickBot="1">
      <c r="A207" s="41" t="s">
        <v>31</v>
      </c>
      <c r="B207" s="42">
        <f t="shared" si="9"/>
        <v>150</v>
      </c>
      <c r="C207" s="42" t="s">
        <v>3</v>
      </c>
      <c r="D207" s="42">
        <f t="shared" si="10"/>
        <v>300</v>
      </c>
      <c r="E207" s="42" t="s">
        <v>3</v>
      </c>
      <c r="F207" s="90">
        <f t="shared" si="11"/>
        <v>2800</v>
      </c>
      <c r="G207" s="42" t="s">
        <v>3</v>
      </c>
      <c r="H207" s="39">
        <v>6</v>
      </c>
      <c r="I207" s="40" t="s">
        <v>42</v>
      </c>
      <c r="J207" s="149">
        <v>150</v>
      </c>
      <c r="K207" s="66">
        <v>300</v>
      </c>
      <c r="L207" s="66">
        <v>2800</v>
      </c>
      <c r="M207" s="164">
        <v>35.575326291925002</v>
      </c>
      <c r="N207" s="78">
        <v>2712.9144000000001</v>
      </c>
      <c r="O207" s="113">
        <v>63346.75772755572</v>
      </c>
      <c r="P207" s="111">
        <v>77958.888562200314</v>
      </c>
      <c r="Q207" s="110">
        <v>36757.25443710231</v>
      </c>
      <c r="R207" s="258">
        <v>100104.01216465802</v>
      </c>
      <c r="S207" s="259">
        <v>114716.14299930262</v>
      </c>
      <c r="U207" s="7" t="s">
        <v>3498</v>
      </c>
    </row>
    <row r="208" spans="1:21" s="65" customFormat="1" ht="16.5" thickBot="1">
      <c r="A208" s="41" t="s">
        <v>31</v>
      </c>
      <c r="B208" s="42">
        <f t="shared" si="9"/>
        <v>150</v>
      </c>
      <c r="C208" s="42" t="s">
        <v>3</v>
      </c>
      <c r="D208" s="42">
        <f t="shared" si="10"/>
        <v>300</v>
      </c>
      <c r="E208" s="42" t="s">
        <v>3</v>
      </c>
      <c r="F208" s="90">
        <f t="shared" si="11"/>
        <v>2850</v>
      </c>
      <c r="G208" s="42" t="s">
        <v>3</v>
      </c>
      <c r="H208" s="39">
        <v>6</v>
      </c>
      <c r="I208" s="40" t="s">
        <v>42</v>
      </c>
      <c r="J208" s="149">
        <v>150</v>
      </c>
      <c r="K208" s="66">
        <v>300</v>
      </c>
      <c r="L208" s="66">
        <v>2850</v>
      </c>
      <c r="M208" s="164">
        <v>36.182103051565001</v>
      </c>
      <c r="N208" s="78">
        <v>2768.2799999999997</v>
      </c>
      <c r="O208" s="113">
        <v>64346.175891199593</v>
      </c>
      <c r="P208" s="111">
        <v>79205.034238711392</v>
      </c>
      <c r="Q208" s="110">
        <v>37280.89622310282</v>
      </c>
      <c r="R208" s="258">
        <v>101627.07211430241</v>
      </c>
      <c r="S208" s="259">
        <v>116485.93046181422</v>
      </c>
      <c r="U208" s="7" t="s">
        <v>3499</v>
      </c>
    </row>
    <row r="209" spans="1:21" s="65" customFormat="1" ht="16.5" thickBot="1">
      <c r="A209" s="41" t="s">
        <v>31</v>
      </c>
      <c r="B209" s="42">
        <f t="shared" si="9"/>
        <v>150</v>
      </c>
      <c r="C209" s="42" t="s">
        <v>3</v>
      </c>
      <c r="D209" s="42">
        <f t="shared" si="10"/>
        <v>300</v>
      </c>
      <c r="E209" s="42" t="s">
        <v>3</v>
      </c>
      <c r="F209" s="90">
        <f t="shared" si="11"/>
        <v>2900</v>
      </c>
      <c r="G209" s="42" t="s">
        <v>3</v>
      </c>
      <c r="H209" s="39">
        <v>6</v>
      </c>
      <c r="I209" s="40" t="s">
        <v>42</v>
      </c>
      <c r="J209" s="149">
        <v>150</v>
      </c>
      <c r="K209" s="66">
        <v>300</v>
      </c>
      <c r="L209" s="66">
        <v>2900</v>
      </c>
      <c r="M209" s="164">
        <v>36.788879811205</v>
      </c>
      <c r="N209" s="78">
        <v>2823.6455999999994</v>
      </c>
      <c r="O209" s="113">
        <v>65345.601553252949</v>
      </c>
      <c r="P209" s="111">
        <v>80451.181139452601</v>
      </c>
      <c r="Q209" s="110">
        <v>38055.871993858338</v>
      </c>
      <c r="R209" s="258">
        <v>103401.47354711129</v>
      </c>
      <c r="S209" s="259">
        <v>118507.05313331094</v>
      </c>
      <c r="U209" s="7" t="s">
        <v>3500</v>
      </c>
    </row>
    <row r="210" spans="1:21" s="65" customFormat="1" ht="16.5" thickBot="1">
      <c r="A210" s="41" t="s">
        <v>31</v>
      </c>
      <c r="B210" s="42">
        <f t="shared" si="9"/>
        <v>150</v>
      </c>
      <c r="C210" s="42" t="s">
        <v>3</v>
      </c>
      <c r="D210" s="42">
        <f t="shared" si="10"/>
        <v>300</v>
      </c>
      <c r="E210" s="42" t="s">
        <v>3</v>
      </c>
      <c r="F210" s="90">
        <f t="shared" si="11"/>
        <v>2950</v>
      </c>
      <c r="G210" s="42" t="s">
        <v>3</v>
      </c>
      <c r="H210" s="39">
        <v>6</v>
      </c>
      <c r="I210" s="40" t="s">
        <v>42</v>
      </c>
      <c r="J210" s="149">
        <v>150</v>
      </c>
      <c r="K210" s="66">
        <v>300</v>
      </c>
      <c r="L210" s="66">
        <v>2950</v>
      </c>
      <c r="M210" s="164">
        <v>37.395656570845006</v>
      </c>
      <c r="N210" s="78">
        <v>2879.0111999999999</v>
      </c>
      <c r="O210" s="113">
        <v>66345.03471371581</v>
      </c>
      <c r="P210" s="111">
        <v>81697.329264423926</v>
      </c>
      <c r="Q210" s="110">
        <v>38579.513779858848</v>
      </c>
      <c r="R210" s="258">
        <v>104924.54849357466</v>
      </c>
      <c r="S210" s="259">
        <v>120276.84304428278</v>
      </c>
      <c r="U210" s="7" t="s">
        <v>3501</v>
      </c>
    </row>
    <row r="211" spans="1:21" s="65" customFormat="1" ht="16.5" thickBot="1">
      <c r="A211" s="43" t="s">
        <v>31</v>
      </c>
      <c r="B211" s="44">
        <f t="shared" si="9"/>
        <v>150</v>
      </c>
      <c r="C211" s="44" t="s">
        <v>3</v>
      </c>
      <c r="D211" s="44">
        <f t="shared" si="10"/>
        <v>300</v>
      </c>
      <c r="E211" s="44" t="s">
        <v>3</v>
      </c>
      <c r="F211" s="91">
        <f t="shared" si="11"/>
        <v>3000</v>
      </c>
      <c r="G211" s="44" t="s">
        <v>3</v>
      </c>
      <c r="H211" s="39">
        <v>6</v>
      </c>
      <c r="I211" s="45" t="s">
        <v>42</v>
      </c>
      <c r="J211" s="151">
        <v>150</v>
      </c>
      <c r="K211" s="126">
        <v>300</v>
      </c>
      <c r="L211" s="126">
        <v>3000</v>
      </c>
      <c r="M211" s="171">
        <v>38.002433330484997</v>
      </c>
      <c r="N211" s="127">
        <v>2934.3767999999995</v>
      </c>
      <c r="O211" s="128">
        <v>68394.450108452656</v>
      </c>
      <c r="P211" s="135">
        <v>82943.478613625353</v>
      </c>
      <c r="Q211" s="136">
        <v>39354.489550614366</v>
      </c>
      <c r="R211" s="260">
        <v>107748.93965906702</v>
      </c>
      <c r="S211" s="261">
        <v>122297.96816423972</v>
      </c>
      <c r="U211" s="7" t="s">
        <v>3502</v>
      </c>
    </row>
    <row r="212" spans="1:21" ht="22.5" customHeight="1" thickBot="1">
      <c r="A212" s="3010" t="s">
        <v>43</v>
      </c>
      <c r="B212" s="3011"/>
      <c r="C212" s="3011"/>
      <c r="D212" s="3011"/>
      <c r="E212" s="3011"/>
      <c r="F212" s="3011"/>
      <c r="G212" s="3011"/>
      <c r="H212" s="3011"/>
      <c r="I212" s="3011"/>
      <c r="J212" s="3011"/>
      <c r="K212" s="3011"/>
      <c r="L212" s="3011"/>
      <c r="M212" s="3011"/>
      <c r="N212" s="3011"/>
      <c r="O212" s="3011"/>
      <c r="P212" s="3011"/>
      <c r="Q212" s="3011"/>
      <c r="R212" s="3011"/>
      <c r="S212" s="3012"/>
      <c r="U212" s="7"/>
    </row>
    <row r="213" spans="1:21" ht="16.5" customHeight="1" thickBot="1">
      <c r="A213" s="2974" t="s">
        <v>118</v>
      </c>
      <c r="B213" s="2975"/>
      <c r="C213" s="2975"/>
      <c r="D213" s="2975"/>
      <c r="E213" s="2975"/>
      <c r="F213" s="2975"/>
      <c r="G213" s="2975"/>
      <c r="H213" s="2975"/>
      <c r="I213" s="2975"/>
      <c r="J213" s="2975"/>
      <c r="K213" s="2975"/>
      <c r="L213" s="2975"/>
      <c r="M213" s="2975"/>
      <c r="N213" s="2975"/>
      <c r="O213" s="2975"/>
      <c r="P213" s="2975"/>
      <c r="Q213" s="2975"/>
      <c r="R213" s="2975"/>
      <c r="S213" s="2976"/>
      <c r="U213" s="7"/>
    </row>
    <row r="214" spans="1:21" ht="16.5" thickBot="1">
      <c r="A214" s="38" t="s">
        <v>31</v>
      </c>
      <c r="B214" s="39">
        <f>J214</f>
        <v>150</v>
      </c>
      <c r="C214" s="39" t="s">
        <v>3</v>
      </c>
      <c r="D214" s="39">
        <f>K214</f>
        <v>300</v>
      </c>
      <c r="E214" s="39" t="s">
        <v>3</v>
      </c>
      <c r="F214" s="90">
        <f>L214</f>
        <v>600</v>
      </c>
      <c r="G214" s="39" t="s">
        <v>3</v>
      </c>
      <c r="H214" s="39">
        <v>8</v>
      </c>
      <c r="I214" s="40" t="s">
        <v>42</v>
      </c>
      <c r="J214" s="146">
        <v>150</v>
      </c>
      <c r="K214" s="122">
        <v>300</v>
      </c>
      <c r="L214" s="122">
        <v>600</v>
      </c>
      <c r="M214" s="163">
        <v>8.6940463408200017</v>
      </c>
      <c r="N214" s="123">
        <v>300.89999999999998</v>
      </c>
      <c r="O214" s="124">
        <v>20658.663236510754</v>
      </c>
      <c r="P214" s="148">
        <v>24188.616477926706</v>
      </c>
      <c r="Q214" s="139">
        <v>8941.6715199935952</v>
      </c>
      <c r="R214" s="256">
        <v>29600.334756504351</v>
      </c>
      <c r="S214" s="257">
        <v>33130.287997920299</v>
      </c>
      <c r="U214" s="7" t="s">
        <v>3503</v>
      </c>
    </row>
    <row r="215" spans="1:21" ht="16.5" thickBot="1">
      <c r="A215" s="41" t="s">
        <v>31</v>
      </c>
      <c r="B215" s="42">
        <f t="shared" ref="B215:B262" si="12">J215</f>
        <v>150</v>
      </c>
      <c r="C215" s="42" t="s">
        <v>3</v>
      </c>
      <c r="D215" s="42">
        <f t="shared" ref="D215:D262" si="13">K215</f>
        <v>300</v>
      </c>
      <c r="E215" s="42" t="s">
        <v>3</v>
      </c>
      <c r="F215" s="90">
        <f t="shared" ref="F215:F262" si="14">L215</f>
        <v>650</v>
      </c>
      <c r="G215" s="42" t="s">
        <v>3</v>
      </c>
      <c r="H215" s="39">
        <v>8</v>
      </c>
      <c r="I215" s="40" t="s">
        <v>42</v>
      </c>
      <c r="J215" s="149">
        <v>150</v>
      </c>
      <c r="K215" s="66">
        <v>300</v>
      </c>
      <c r="L215" s="66">
        <v>650</v>
      </c>
      <c r="M215" s="164">
        <v>9.3674454903399997</v>
      </c>
      <c r="N215" s="78">
        <v>361.08</v>
      </c>
      <c r="O215" s="113">
        <v>21892.149149340574</v>
      </c>
      <c r="P215" s="111">
        <v>25644.900336534847</v>
      </c>
      <c r="Q215" s="110">
        <v>9465.3131529653438</v>
      </c>
      <c r="R215" s="258">
        <v>31357.462302305918</v>
      </c>
      <c r="S215" s="259">
        <v>35110.213489500195</v>
      </c>
      <c r="U215" s="7" t="s">
        <v>3504</v>
      </c>
    </row>
    <row r="216" spans="1:21" ht="16.5" thickBot="1">
      <c r="A216" s="41" t="s">
        <v>31</v>
      </c>
      <c r="B216" s="42">
        <f t="shared" si="12"/>
        <v>150</v>
      </c>
      <c r="C216" s="42" t="s">
        <v>3</v>
      </c>
      <c r="D216" s="42">
        <f t="shared" si="13"/>
        <v>300</v>
      </c>
      <c r="E216" s="42" t="s">
        <v>3</v>
      </c>
      <c r="F216" s="90">
        <f t="shared" si="14"/>
        <v>700</v>
      </c>
      <c r="G216" s="42" t="s">
        <v>3</v>
      </c>
      <c r="H216" s="39">
        <v>8</v>
      </c>
      <c r="I216" s="40" t="s">
        <v>42</v>
      </c>
      <c r="J216" s="149">
        <v>150</v>
      </c>
      <c r="K216" s="66">
        <v>300</v>
      </c>
      <c r="L216" s="66">
        <v>700</v>
      </c>
      <c r="M216" s="164">
        <v>10.057884639859999</v>
      </c>
      <c r="N216" s="78">
        <v>421.26</v>
      </c>
      <c r="O216" s="113">
        <v>23125.635062170397</v>
      </c>
      <c r="P216" s="111">
        <v>27101.184042114226</v>
      </c>
      <c r="Q216" s="110">
        <v>10240.289076749623</v>
      </c>
      <c r="R216" s="258">
        <v>33365.924138920018</v>
      </c>
      <c r="S216" s="259">
        <v>37341.473118863847</v>
      </c>
      <c r="U216" s="7" t="s">
        <v>3505</v>
      </c>
    </row>
    <row r="217" spans="1:21" ht="16.5" thickBot="1">
      <c r="A217" s="41" t="s">
        <v>31</v>
      </c>
      <c r="B217" s="42">
        <f t="shared" si="12"/>
        <v>150</v>
      </c>
      <c r="C217" s="42" t="s">
        <v>3</v>
      </c>
      <c r="D217" s="42">
        <f t="shared" si="13"/>
        <v>300</v>
      </c>
      <c r="E217" s="42" t="s">
        <v>3</v>
      </c>
      <c r="F217" s="90">
        <f t="shared" si="14"/>
        <v>750</v>
      </c>
      <c r="G217" s="42" t="s">
        <v>3</v>
      </c>
      <c r="H217" s="39">
        <v>8</v>
      </c>
      <c r="I217" s="40" t="s">
        <v>42</v>
      </c>
      <c r="J217" s="149">
        <v>150</v>
      </c>
      <c r="K217" s="66">
        <v>300</v>
      </c>
      <c r="L217" s="66">
        <v>750</v>
      </c>
      <c r="M217" s="164">
        <v>10.731283789379999</v>
      </c>
      <c r="N217" s="78">
        <v>481.43999999999994</v>
      </c>
      <c r="O217" s="113">
        <v>24359.121128028983</v>
      </c>
      <c r="P217" s="111">
        <v>28557.467747693601</v>
      </c>
      <c r="Q217" s="110">
        <v>10763.930709721371</v>
      </c>
      <c r="R217" s="258">
        <v>35123.051837750354</v>
      </c>
      <c r="S217" s="259">
        <v>39321.398457414973</v>
      </c>
      <c r="U217" s="7" t="s">
        <v>3506</v>
      </c>
    </row>
    <row r="218" spans="1:21" ht="16.5" thickBot="1">
      <c r="A218" s="41" t="s">
        <v>31</v>
      </c>
      <c r="B218" s="42">
        <f t="shared" si="12"/>
        <v>150</v>
      </c>
      <c r="C218" s="42" t="s">
        <v>3</v>
      </c>
      <c r="D218" s="42">
        <f t="shared" si="13"/>
        <v>300</v>
      </c>
      <c r="E218" s="42" t="s">
        <v>3</v>
      </c>
      <c r="F218" s="90">
        <f t="shared" si="14"/>
        <v>800</v>
      </c>
      <c r="G218" s="42" t="s">
        <v>3</v>
      </c>
      <c r="H218" s="39">
        <v>8</v>
      </c>
      <c r="I218" s="40" t="s">
        <v>42</v>
      </c>
      <c r="J218" s="149">
        <v>150</v>
      </c>
      <c r="K218" s="66">
        <v>300</v>
      </c>
      <c r="L218" s="66">
        <v>800</v>
      </c>
      <c r="M218" s="164">
        <v>11.404682938899999</v>
      </c>
      <c r="N218" s="78">
        <v>541.62</v>
      </c>
      <c r="O218" s="113">
        <v>25592.607040858806</v>
      </c>
      <c r="P218" s="111">
        <v>30013.751453272977</v>
      </c>
      <c r="Q218" s="110">
        <v>11287.572342693116</v>
      </c>
      <c r="R218" s="258">
        <v>36880.17938355192</v>
      </c>
      <c r="S218" s="259">
        <v>41301.323795966091</v>
      </c>
      <c r="U218" s="7" t="s">
        <v>3507</v>
      </c>
    </row>
    <row r="219" spans="1:21" ht="16.5" thickBot="1">
      <c r="A219" s="41" t="s">
        <v>31</v>
      </c>
      <c r="B219" s="42">
        <f t="shared" si="12"/>
        <v>150</v>
      </c>
      <c r="C219" s="42" t="s">
        <v>3</v>
      </c>
      <c r="D219" s="42">
        <f t="shared" si="13"/>
        <v>300</v>
      </c>
      <c r="E219" s="42" t="s">
        <v>3</v>
      </c>
      <c r="F219" s="90">
        <f t="shared" si="14"/>
        <v>850</v>
      </c>
      <c r="G219" s="42" t="s">
        <v>3</v>
      </c>
      <c r="H219" s="39">
        <v>8</v>
      </c>
      <c r="I219" s="40" t="s">
        <v>42</v>
      </c>
      <c r="J219" s="149">
        <v>150</v>
      </c>
      <c r="K219" s="66">
        <v>300</v>
      </c>
      <c r="L219" s="66">
        <v>850</v>
      </c>
      <c r="M219" s="164">
        <v>12.095122088419998</v>
      </c>
      <c r="N219" s="78">
        <v>601.79999999999995</v>
      </c>
      <c r="O219" s="113">
        <v>26826.092953688625</v>
      </c>
      <c r="P219" s="111">
        <v>31470.035311881114</v>
      </c>
      <c r="Q219" s="110">
        <v>12062.548266477399</v>
      </c>
      <c r="R219" s="258">
        <v>38888.641220166028</v>
      </c>
      <c r="S219" s="259">
        <v>43532.583578358513</v>
      </c>
      <c r="U219" s="7" t="s">
        <v>3508</v>
      </c>
    </row>
    <row r="220" spans="1:21" ht="16.5" thickBot="1">
      <c r="A220" s="41" t="s">
        <v>31</v>
      </c>
      <c r="B220" s="42">
        <f t="shared" si="12"/>
        <v>150</v>
      </c>
      <c r="C220" s="42" t="s">
        <v>3</v>
      </c>
      <c r="D220" s="42">
        <f t="shared" si="13"/>
        <v>300</v>
      </c>
      <c r="E220" s="42" t="s">
        <v>3</v>
      </c>
      <c r="F220" s="90">
        <f t="shared" si="14"/>
        <v>900</v>
      </c>
      <c r="G220" s="42" t="s">
        <v>3</v>
      </c>
      <c r="H220" s="39">
        <v>8</v>
      </c>
      <c r="I220" s="40" t="s">
        <v>42</v>
      </c>
      <c r="J220" s="149">
        <v>150</v>
      </c>
      <c r="K220" s="66">
        <v>300</v>
      </c>
      <c r="L220" s="66">
        <v>900</v>
      </c>
      <c r="M220" s="164">
        <v>12.76852123794</v>
      </c>
      <c r="N220" s="78">
        <v>661.9799999999999</v>
      </c>
      <c r="O220" s="113">
        <v>28059.578866518445</v>
      </c>
      <c r="P220" s="111">
        <v>32926.31901746049</v>
      </c>
      <c r="Q220" s="110">
        <v>12586.189899449146</v>
      </c>
      <c r="R220" s="258">
        <v>40645.768765967587</v>
      </c>
      <c r="S220" s="259">
        <v>45512.508916909632</v>
      </c>
      <c r="U220" s="7" t="s">
        <v>3509</v>
      </c>
    </row>
    <row r="221" spans="1:21" ht="16.5" thickBot="1">
      <c r="A221" s="41" t="s">
        <v>31</v>
      </c>
      <c r="B221" s="42">
        <f t="shared" si="12"/>
        <v>150</v>
      </c>
      <c r="C221" s="42" t="s">
        <v>3</v>
      </c>
      <c r="D221" s="42">
        <f t="shared" si="13"/>
        <v>300</v>
      </c>
      <c r="E221" s="42" t="s">
        <v>3</v>
      </c>
      <c r="F221" s="90">
        <f t="shared" si="14"/>
        <v>950</v>
      </c>
      <c r="G221" s="42" t="s">
        <v>3</v>
      </c>
      <c r="H221" s="39">
        <v>8</v>
      </c>
      <c r="I221" s="40" t="s">
        <v>42</v>
      </c>
      <c r="J221" s="149">
        <v>150</v>
      </c>
      <c r="K221" s="66">
        <v>300</v>
      </c>
      <c r="L221" s="66">
        <v>950</v>
      </c>
      <c r="M221" s="164">
        <v>13.458960387459999</v>
      </c>
      <c r="N221" s="78">
        <v>722.16</v>
      </c>
      <c r="O221" s="113">
        <v>29293.064932377027</v>
      </c>
      <c r="P221" s="111">
        <v>34382.602723039869</v>
      </c>
      <c r="Q221" s="110">
        <v>13361.165670204662</v>
      </c>
      <c r="R221" s="258">
        <v>42654.230602581687</v>
      </c>
      <c r="S221" s="259">
        <v>47743.768393244529</v>
      </c>
      <c r="U221" s="7" t="s">
        <v>3510</v>
      </c>
    </row>
    <row r="222" spans="1:21" ht="16.5" thickBot="1">
      <c r="A222" s="41" t="s">
        <v>31</v>
      </c>
      <c r="B222" s="42">
        <f t="shared" si="12"/>
        <v>150</v>
      </c>
      <c r="C222" s="42" t="s">
        <v>3</v>
      </c>
      <c r="D222" s="42">
        <f t="shared" si="13"/>
        <v>300</v>
      </c>
      <c r="E222" s="42" t="s">
        <v>3</v>
      </c>
      <c r="F222" s="90">
        <f t="shared" si="14"/>
        <v>1000</v>
      </c>
      <c r="G222" s="42" t="s">
        <v>3</v>
      </c>
      <c r="H222" s="39">
        <v>8</v>
      </c>
      <c r="I222" s="40" t="s">
        <v>42</v>
      </c>
      <c r="J222" s="149">
        <v>150</v>
      </c>
      <c r="K222" s="66">
        <v>300</v>
      </c>
      <c r="L222" s="66">
        <v>1000</v>
      </c>
      <c r="M222" s="164">
        <v>14.132359536980001</v>
      </c>
      <c r="N222" s="78">
        <v>782.34</v>
      </c>
      <c r="O222" s="113">
        <v>30526.550845206853</v>
      </c>
      <c r="P222" s="111">
        <v>35838.88642861924</v>
      </c>
      <c r="Q222" s="110">
        <v>13884.807456205173</v>
      </c>
      <c r="R222" s="258">
        <v>44411.358301412023</v>
      </c>
      <c r="S222" s="259">
        <v>49723.693884824417</v>
      </c>
      <c r="U222" s="7" t="s">
        <v>3511</v>
      </c>
    </row>
    <row r="223" spans="1:21" ht="16.5" thickBot="1">
      <c r="A223" s="41" t="s">
        <v>31</v>
      </c>
      <c r="B223" s="42">
        <f t="shared" si="12"/>
        <v>150</v>
      </c>
      <c r="C223" s="42" t="s">
        <v>3</v>
      </c>
      <c r="D223" s="42">
        <f t="shared" si="13"/>
        <v>300</v>
      </c>
      <c r="E223" s="42" t="s">
        <v>3</v>
      </c>
      <c r="F223" s="90">
        <f t="shared" si="14"/>
        <v>1050</v>
      </c>
      <c r="G223" s="42" t="s">
        <v>3</v>
      </c>
      <c r="H223" s="39">
        <v>8</v>
      </c>
      <c r="I223" s="40" t="s">
        <v>42</v>
      </c>
      <c r="J223" s="149">
        <v>150</v>
      </c>
      <c r="K223" s="66">
        <v>300</v>
      </c>
      <c r="L223" s="66">
        <v>1050</v>
      </c>
      <c r="M223" s="164">
        <v>14.822798686499999</v>
      </c>
      <c r="N223" s="78">
        <v>842.52</v>
      </c>
      <c r="O223" s="113">
        <v>31760.036758036673</v>
      </c>
      <c r="P223" s="111">
        <v>37295.170287227389</v>
      </c>
      <c r="Q223" s="110">
        <v>14659.78322696069</v>
      </c>
      <c r="R223" s="258">
        <v>46419.819984997361</v>
      </c>
      <c r="S223" s="259">
        <v>51954.953514188077</v>
      </c>
      <c r="U223" s="7" t="s">
        <v>3512</v>
      </c>
    </row>
    <row r="224" spans="1:21" ht="16.5" thickBot="1">
      <c r="A224" s="38" t="s">
        <v>31</v>
      </c>
      <c r="B224" s="39">
        <f t="shared" si="12"/>
        <v>150</v>
      </c>
      <c r="C224" s="39" t="s">
        <v>3</v>
      </c>
      <c r="D224" s="39">
        <f t="shared" si="13"/>
        <v>300</v>
      </c>
      <c r="E224" s="39" t="s">
        <v>3</v>
      </c>
      <c r="F224" s="90">
        <f t="shared" si="14"/>
        <v>1100</v>
      </c>
      <c r="G224" s="39" t="s">
        <v>3</v>
      </c>
      <c r="H224" s="39">
        <v>8</v>
      </c>
      <c r="I224" s="40" t="s">
        <v>42</v>
      </c>
      <c r="J224" s="149">
        <v>150</v>
      </c>
      <c r="K224" s="66">
        <v>300</v>
      </c>
      <c r="L224" s="66">
        <v>1100</v>
      </c>
      <c r="M224" s="164">
        <v>15.496197836019999</v>
      </c>
      <c r="N224" s="78">
        <v>902.69999999999993</v>
      </c>
      <c r="O224" s="113">
        <v>32993.522670866492</v>
      </c>
      <c r="P224" s="111">
        <v>38751.453992806761</v>
      </c>
      <c r="Q224" s="110">
        <v>15183.425012961201</v>
      </c>
      <c r="R224" s="258">
        <v>48176.94768382769</v>
      </c>
      <c r="S224" s="259">
        <v>53934.879005767958</v>
      </c>
      <c r="U224" s="7" t="s">
        <v>3513</v>
      </c>
    </row>
    <row r="225" spans="1:21" ht="16.5" thickBot="1">
      <c r="A225" s="41" t="s">
        <v>31</v>
      </c>
      <c r="B225" s="42">
        <f t="shared" si="12"/>
        <v>150</v>
      </c>
      <c r="C225" s="42" t="s">
        <v>3</v>
      </c>
      <c r="D225" s="42">
        <f t="shared" si="13"/>
        <v>300</v>
      </c>
      <c r="E225" s="42" t="s">
        <v>3</v>
      </c>
      <c r="F225" s="90">
        <f t="shared" si="14"/>
        <v>1150</v>
      </c>
      <c r="G225" s="42" t="s">
        <v>3</v>
      </c>
      <c r="H225" s="39">
        <v>8</v>
      </c>
      <c r="I225" s="40" t="s">
        <v>42</v>
      </c>
      <c r="J225" s="149">
        <v>150</v>
      </c>
      <c r="K225" s="66">
        <v>300</v>
      </c>
      <c r="L225" s="66">
        <v>1150</v>
      </c>
      <c r="M225" s="164">
        <v>16.16959698554</v>
      </c>
      <c r="N225" s="78">
        <v>962.87999999999988</v>
      </c>
      <c r="O225" s="113">
        <v>34227.008736725082</v>
      </c>
      <c r="P225" s="111">
        <v>40207.73769838614</v>
      </c>
      <c r="Q225" s="110">
        <v>15707.066645932946</v>
      </c>
      <c r="R225" s="258">
        <v>49934.075382658026</v>
      </c>
      <c r="S225" s="259">
        <v>55914.804344319084</v>
      </c>
      <c r="U225" s="7" t="s">
        <v>3514</v>
      </c>
    </row>
    <row r="226" spans="1:21" ht="16.5" thickBot="1">
      <c r="A226" s="41" t="s">
        <v>31</v>
      </c>
      <c r="B226" s="42">
        <f t="shared" si="12"/>
        <v>150</v>
      </c>
      <c r="C226" s="42" t="s">
        <v>3</v>
      </c>
      <c r="D226" s="42">
        <f t="shared" si="13"/>
        <v>300</v>
      </c>
      <c r="E226" s="42" t="s">
        <v>3</v>
      </c>
      <c r="F226" s="90">
        <f t="shared" si="14"/>
        <v>1200</v>
      </c>
      <c r="G226" s="42" t="s">
        <v>3</v>
      </c>
      <c r="H226" s="39">
        <v>8</v>
      </c>
      <c r="I226" s="40" t="s">
        <v>42</v>
      </c>
      <c r="J226" s="149">
        <v>150</v>
      </c>
      <c r="K226" s="66">
        <v>300</v>
      </c>
      <c r="L226" s="66">
        <v>1200</v>
      </c>
      <c r="M226" s="164">
        <v>17.017036135059996</v>
      </c>
      <c r="N226" s="78">
        <v>1023.06</v>
      </c>
      <c r="O226" s="113">
        <v>35628.691166792793</v>
      </c>
      <c r="P226" s="111">
        <v>41833.244897246164</v>
      </c>
      <c r="Q226" s="110">
        <v>16482.042416688462</v>
      </c>
      <c r="R226" s="258">
        <v>52110.733583481255</v>
      </c>
      <c r="S226" s="259">
        <v>58315.287313934627</v>
      </c>
      <c r="U226" s="7" t="s">
        <v>3515</v>
      </c>
    </row>
    <row r="227" spans="1:21" ht="16.5" thickBot="1">
      <c r="A227" s="41" t="s">
        <v>31</v>
      </c>
      <c r="B227" s="42">
        <f t="shared" si="12"/>
        <v>150</v>
      </c>
      <c r="C227" s="42" t="s">
        <v>3</v>
      </c>
      <c r="D227" s="42">
        <f t="shared" si="13"/>
        <v>300</v>
      </c>
      <c r="E227" s="42" t="s">
        <v>3</v>
      </c>
      <c r="F227" s="90">
        <f t="shared" si="14"/>
        <v>1250</v>
      </c>
      <c r="G227" s="42" t="s">
        <v>3</v>
      </c>
      <c r="H227" s="39">
        <v>8</v>
      </c>
      <c r="I227" s="40" t="s">
        <v>42</v>
      </c>
      <c r="J227" s="149">
        <v>150</v>
      </c>
      <c r="K227" s="66">
        <v>300</v>
      </c>
      <c r="L227" s="66">
        <v>1250</v>
      </c>
      <c r="M227" s="164">
        <v>17.690435284579998</v>
      </c>
      <c r="N227" s="78">
        <v>1083.24</v>
      </c>
      <c r="O227" s="113">
        <v>36862.177232651382</v>
      </c>
      <c r="P227" s="111">
        <v>43289.528602825536</v>
      </c>
      <c r="Q227" s="110">
        <v>17005.684202688975</v>
      </c>
      <c r="R227" s="258">
        <v>53867.861435340354</v>
      </c>
      <c r="S227" s="259">
        <v>60295.212805514515</v>
      </c>
      <c r="U227" s="7" t="s">
        <v>3516</v>
      </c>
    </row>
    <row r="228" spans="1:21" ht="16.5" thickBot="1">
      <c r="A228" s="41" t="s">
        <v>31</v>
      </c>
      <c r="B228" s="42">
        <f t="shared" si="12"/>
        <v>150</v>
      </c>
      <c r="C228" s="42" t="s">
        <v>3</v>
      </c>
      <c r="D228" s="42">
        <f t="shared" si="13"/>
        <v>300</v>
      </c>
      <c r="E228" s="42" t="s">
        <v>3</v>
      </c>
      <c r="F228" s="90">
        <f t="shared" si="14"/>
        <v>1300</v>
      </c>
      <c r="G228" s="42" t="s">
        <v>3</v>
      </c>
      <c r="H228" s="39">
        <v>8</v>
      </c>
      <c r="I228" s="40" t="s">
        <v>42</v>
      </c>
      <c r="J228" s="149">
        <v>150</v>
      </c>
      <c r="K228" s="66">
        <v>300</v>
      </c>
      <c r="L228" s="66">
        <v>1300</v>
      </c>
      <c r="M228" s="164">
        <v>18.380874434100001</v>
      </c>
      <c r="N228" s="78">
        <v>1143.42</v>
      </c>
      <c r="O228" s="113">
        <v>38095.663145481201</v>
      </c>
      <c r="P228" s="111">
        <v>44745.812308404915</v>
      </c>
      <c r="Q228" s="110">
        <v>17780.65997344449</v>
      </c>
      <c r="R228" s="258">
        <v>55876.323118925691</v>
      </c>
      <c r="S228" s="259">
        <v>62526.472281849405</v>
      </c>
      <c r="U228" s="7" t="s">
        <v>3517</v>
      </c>
    </row>
    <row r="229" spans="1:21" ht="16.5" thickBot="1">
      <c r="A229" s="41" t="s">
        <v>31</v>
      </c>
      <c r="B229" s="42">
        <f t="shared" si="12"/>
        <v>150</v>
      </c>
      <c r="C229" s="42" t="s">
        <v>3</v>
      </c>
      <c r="D229" s="42">
        <f t="shared" si="13"/>
        <v>300</v>
      </c>
      <c r="E229" s="42" t="s">
        <v>3</v>
      </c>
      <c r="F229" s="90">
        <f t="shared" si="14"/>
        <v>1350</v>
      </c>
      <c r="G229" s="42" t="s">
        <v>3</v>
      </c>
      <c r="H229" s="39">
        <v>8</v>
      </c>
      <c r="I229" s="40" t="s">
        <v>42</v>
      </c>
      <c r="J229" s="149">
        <v>150</v>
      </c>
      <c r="K229" s="66">
        <v>300</v>
      </c>
      <c r="L229" s="66">
        <v>1350</v>
      </c>
      <c r="M229" s="164">
        <v>19.054273583619999</v>
      </c>
      <c r="N229" s="78">
        <v>1203.5999999999999</v>
      </c>
      <c r="O229" s="113">
        <v>39329.149058311021</v>
      </c>
      <c r="P229" s="111">
        <v>46202.096167013056</v>
      </c>
      <c r="Q229" s="110">
        <v>18304.301606416237</v>
      </c>
      <c r="R229" s="258">
        <v>57633.450664727257</v>
      </c>
      <c r="S229" s="259">
        <v>64506.397773429293</v>
      </c>
      <c r="U229" s="7" t="s">
        <v>3518</v>
      </c>
    </row>
    <row r="230" spans="1:21" ht="16.5" thickBot="1">
      <c r="A230" s="41" t="s">
        <v>31</v>
      </c>
      <c r="B230" s="42">
        <f t="shared" si="12"/>
        <v>150</v>
      </c>
      <c r="C230" s="42" t="s">
        <v>3</v>
      </c>
      <c r="D230" s="42">
        <f t="shared" si="13"/>
        <v>300</v>
      </c>
      <c r="E230" s="42" t="s">
        <v>3</v>
      </c>
      <c r="F230" s="90">
        <f t="shared" si="14"/>
        <v>1400</v>
      </c>
      <c r="G230" s="42" t="s">
        <v>3</v>
      </c>
      <c r="H230" s="39">
        <v>8</v>
      </c>
      <c r="I230" s="40" t="s">
        <v>42</v>
      </c>
      <c r="J230" s="149">
        <v>150</v>
      </c>
      <c r="K230" s="66">
        <v>300</v>
      </c>
      <c r="L230" s="66">
        <v>1400</v>
      </c>
      <c r="M230" s="164">
        <v>19.744712733139998</v>
      </c>
      <c r="N230" s="78">
        <v>1263.78</v>
      </c>
      <c r="O230" s="113">
        <v>40562.634971140847</v>
      </c>
      <c r="P230" s="111">
        <v>47658.379872592435</v>
      </c>
      <c r="Q230" s="110">
        <v>19079.277530200521</v>
      </c>
      <c r="R230" s="258">
        <v>59641.912501341372</v>
      </c>
      <c r="S230" s="259">
        <v>66737.65740279296</v>
      </c>
      <c r="U230" s="7" t="s">
        <v>3519</v>
      </c>
    </row>
    <row r="231" spans="1:21" ht="16.5" thickBot="1">
      <c r="A231" s="41" t="s">
        <v>31</v>
      </c>
      <c r="B231" s="42">
        <f t="shared" si="12"/>
        <v>150</v>
      </c>
      <c r="C231" s="42" t="s">
        <v>3</v>
      </c>
      <c r="D231" s="42">
        <f t="shared" si="13"/>
        <v>300</v>
      </c>
      <c r="E231" s="42" t="s">
        <v>3</v>
      </c>
      <c r="F231" s="90">
        <f t="shared" si="14"/>
        <v>1450</v>
      </c>
      <c r="G231" s="42" t="s">
        <v>3</v>
      </c>
      <c r="H231" s="39">
        <v>8</v>
      </c>
      <c r="I231" s="40" t="s">
        <v>42</v>
      </c>
      <c r="J231" s="149">
        <v>150</v>
      </c>
      <c r="K231" s="66">
        <v>300</v>
      </c>
      <c r="L231" s="66">
        <v>1450</v>
      </c>
      <c r="M231" s="164">
        <v>20.41811188266</v>
      </c>
      <c r="N231" s="78">
        <v>1323.9599999999998</v>
      </c>
      <c r="O231" s="113">
        <v>41796.12103699943</v>
      </c>
      <c r="P231" s="111">
        <v>49114.663578171807</v>
      </c>
      <c r="Q231" s="110">
        <v>19602.919163172111</v>
      </c>
      <c r="R231" s="258">
        <v>61399.040200171541</v>
      </c>
      <c r="S231" s="259">
        <v>68717.582741343911</v>
      </c>
      <c r="U231" s="7" t="s">
        <v>3520</v>
      </c>
    </row>
    <row r="232" spans="1:21" ht="16.5" thickBot="1">
      <c r="A232" s="41" t="s">
        <v>31</v>
      </c>
      <c r="B232" s="42">
        <f t="shared" si="12"/>
        <v>150</v>
      </c>
      <c r="C232" s="42" t="s">
        <v>3</v>
      </c>
      <c r="D232" s="42">
        <f t="shared" si="13"/>
        <v>300</v>
      </c>
      <c r="E232" s="42" t="s">
        <v>3</v>
      </c>
      <c r="F232" s="90">
        <f t="shared" si="14"/>
        <v>1500</v>
      </c>
      <c r="G232" s="42" t="s">
        <v>3</v>
      </c>
      <c r="H232" s="39">
        <v>8</v>
      </c>
      <c r="I232" s="40" t="s">
        <v>42</v>
      </c>
      <c r="J232" s="149">
        <v>150</v>
      </c>
      <c r="K232" s="66">
        <v>300</v>
      </c>
      <c r="L232" s="66">
        <v>1500</v>
      </c>
      <c r="M232" s="164">
        <v>21.275704189479999</v>
      </c>
      <c r="N232" s="78">
        <v>1384.14</v>
      </c>
      <c r="O232" s="113">
        <v>43797.253713936632</v>
      </c>
      <c r="P232" s="111">
        <v>51292.582276933368</v>
      </c>
      <c r="Q232" s="110">
        <v>20377.895086956549</v>
      </c>
      <c r="R232" s="258">
        <v>64175.148800893177</v>
      </c>
      <c r="S232" s="259">
        <v>71670.477363889921</v>
      </c>
      <c r="U232" s="7" t="s">
        <v>3521</v>
      </c>
    </row>
    <row r="233" spans="1:21" ht="16.5" thickBot="1">
      <c r="A233" s="41" t="s">
        <v>31</v>
      </c>
      <c r="B233" s="42">
        <f t="shared" si="12"/>
        <v>150</v>
      </c>
      <c r="C233" s="42" t="s">
        <v>3</v>
      </c>
      <c r="D233" s="42">
        <f t="shared" si="13"/>
        <v>300</v>
      </c>
      <c r="E233" s="42" t="s">
        <v>3</v>
      </c>
      <c r="F233" s="90">
        <f t="shared" si="14"/>
        <v>1550</v>
      </c>
      <c r="G233" s="42" t="s">
        <v>3</v>
      </c>
      <c r="H233" s="39">
        <v>8</v>
      </c>
      <c r="I233" s="40" t="s">
        <v>42</v>
      </c>
      <c r="J233" s="149">
        <v>150</v>
      </c>
      <c r="K233" s="66">
        <v>300</v>
      </c>
      <c r="L233" s="66">
        <v>1550</v>
      </c>
      <c r="M233" s="164">
        <v>21.949103339000001</v>
      </c>
      <c r="N233" s="78">
        <v>1444.32</v>
      </c>
      <c r="O233" s="113">
        <v>45030.739626766452</v>
      </c>
      <c r="P233" s="111">
        <v>52748.865982512747</v>
      </c>
      <c r="Q233" s="110">
        <v>20901.536719928292</v>
      </c>
      <c r="R233" s="258">
        <v>65932.276346694736</v>
      </c>
      <c r="S233" s="259">
        <v>73650.402702441032</v>
      </c>
      <c r="U233" s="7" t="s">
        <v>3522</v>
      </c>
    </row>
    <row r="234" spans="1:21" ht="16.5" thickBot="1">
      <c r="A234" s="38" t="s">
        <v>31</v>
      </c>
      <c r="B234" s="39">
        <f t="shared" si="12"/>
        <v>150</v>
      </c>
      <c r="C234" s="39" t="s">
        <v>3</v>
      </c>
      <c r="D234" s="39">
        <f t="shared" si="13"/>
        <v>300</v>
      </c>
      <c r="E234" s="39" t="s">
        <v>3</v>
      </c>
      <c r="F234" s="90">
        <f t="shared" si="14"/>
        <v>1600</v>
      </c>
      <c r="G234" s="39" t="s">
        <v>3</v>
      </c>
      <c r="H234" s="39">
        <v>8</v>
      </c>
      <c r="I234" s="40" t="s">
        <v>42</v>
      </c>
      <c r="J234" s="149">
        <v>150</v>
      </c>
      <c r="K234" s="66">
        <v>300</v>
      </c>
      <c r="L234" s="66">
        <v>1600</v>
      </c>
      <c r="M234" s="164">
        <v>22.622502488519999</v>
      </c>
      <c r="N234" s="78">
        <v>1504.5</v>
      </c>
      <c r="O234" s="113">
        <v>46264.225692625041</v>
      </c>
      <c r="P234" s="111">
        <v>54205.149841120889</v>
      </c>
      <c r="Q234" s="110">
        <v>21425.178352900039</v>
      </c>
      <c r="R234" s="258">
        <v>67689.40404552508</v>
      </c>
      <c r="S234" s="259">
        <v>75630.328194020927</v>
      </c>
      <c r="U234" s="7" t="s">
        <v>3523</v>
      </c>
    </row>
    <row r="235" spans="1:21" ht="16.5" thickBot="1">
      <c r="A235" s="41" t="s">
        <v>31</v>
      </c>
      <c r="B235" s="42">
        <f t="shared" si="12"/>
        <v>150</v>
      </c>
      <c r="C235" s="42" t="s">
        <v>3</v>
      </c>
      <c r="D235" s="42">
        <f t="shared" si="13"/>
        <v>300</v>
      </c>
      <c r="E235" s="42" t="s">
        <v>3</v>
      </c>
      <c r="F235" s="90">
        <f t="shared" si="14"/>
        <v>1650</v>
      </c>
      <c r="G235" s="42" t="s">
        <v>3</v>
      </c>
      <c r="H235" s="39">
        <v>8</v>
      </c>
      <c r="I235" s="40" t="s">
        <v>42</v>
      </c>
      <c r="J235" s="149">
        <v>150</v>
      </c>
      <c r="K235" s="66">
        <v>300</v>
      </c>
      <c r="L235" s="66">
        <v>1650</v>
      </c>
      <c r="M235" s="164">
        <v>23.312941638040002</v>
      </c>
      <c r="N235" s="78">
        <v>1564.68</v>
      </c>
      <c r="O235" s="113">
        <v>47497.711605454861</v>
      </c>
      <c r="P235" s="111">
        <v>55661.433546700267</v>
      </c>
      <c r="Q235" s="110">
        <v>22200.154276684319</v>
      </c>
      <c r="R235" s="258">
        <v>69697.865882139187</v>
      </c>
      <c r="S235" s="259">
        <v>77861.587823384587</v>
      </c>
      <c r="U235" s="7" t="s">
        <v>3524</v>
      </c>
    </row>
    <row r="236" spans="1:21" ht="16.5" thickBot="1">
      <c r="A236" s="41" t="s">
        <v>31</v>
      </c>
      <c r="B236" s="42">
        <f t="shared" si="12"/>
        <v>150</v>
      </c>
      <c r="C236" s="42" t="s">
        <v>3</v>
      </c>
      <c r="D236" s="42">
        <f t="shared" si="13"/>
        <v>300</v>
      </c>
      <c r="E236" s="42" t="s">
        <v>3</v>
      </c>
      <c r="F236" s="90">
        <f t="shared" si="14"/>
        <v>1700</v>
      </c>
      <c r="G236" s="42" t="s">
        <v>3</v>
      </c>
      <c r="H236" s="39">
        <v>8</v>
      </c>
      <c r="I236" s="40" t="s">
        <v>42</v>
      </c>
      <c r="J236" s="149">
        <v>150</v>
      </c>
      <c r="K236" s="66">
        <v>300</v>
      </c>
      <c r="L236" s="66">
        <v>1700</v>
      </c>
      <c r="M236" s="164">
        <v>23.986340787560003</v>
      </c>
      <c r="N236" s="78">
        <v>1624.86</v>
      </c>
      <c r="O236" s="113">
        <v>48731.19751828468</v>
      </c>
      <c r="P236" s="111">
        <v>57117.717252279646</v>
      </c>
      <c r="Q236" s="110">
        <v>22723.795909656066</v>
      </c>
      <c r="R236" s="258">
        <v>71454.993427940746</v>
      </c>
      <c r="S236" s="259">
        <v>79841.513161935713</v>
      </c>
      <c r="U236" s="7" t="s">
        <v>3525</v>
      </c>
    </row>
    <row r="237" spans="1:21" ht="16.5" thickBot="1">
      <c r="A237" s="41" t="s">
        <v>31</v>
      </c>
      <c r="B237" s="42">
        <f t="shared" si="12"/>
        <v>150</v>
      </c>
      <c r="C237" s="42" t="s">
        <v>3</v>
      </c>
      <c r="D237" s="42">
        <f t="shared" si="13"/>
        <v>300</v>
      </c>
      <c r="E237" s="42" t="s">
        <v>3</v>
      </c>
      <c r="F237" s="90">
        <f t="shared" si="14"/>
        <v>1750</v>
      </c>
      <c r="G237" s="42" t="s">
        <v>3</v>
      </c>
      <c r="H237" s="39">
        <v>8</v>
      </c>
      <c r="I237" s="40" t="s">
        <v>42</v>
      </c>
      <c r="J237" s="149">
        <v>150</v>
      </c>
      <c r="K237" s="66">
        <v>300</v>
      </c>
      <c r="L237" s="66">
        <v>1750</v>
      </c>
      <c r="M237" s="164">
        <v>24.676779937079999</v>
      </c>
      <c r="N237" s="78">
        <v>1685.04</v>
      </c>
      <c r="O237" s="113">
        <v>49964.683431114499</v>
      </c>
      <c r="P237" s="111">
        <v>58574.000957859018</v>
      </c>
      <c r="Q237" s="110">
        <v>23498.771833440347</v>
      </c>
      <c r="R237" s="258">
        <v>73463.455264554854</v>
      </c>
      <c r="S237" s="259">
        <v>82072.772791299358</v>
      </c>
      <c r="U237" s="7" t="s">
        <v>3526</v>
      </c>
    </row>
    <row r="238" spans="1:21" ht="16.5" thickBot="1">
      <c r="A238" s="41" t="s">
        <v>31</v>
      </c>
      <c r="B238" s="42">
        <f t="shared" si="12"/>
        <v>150</v>
      </c>
      <c r="C238" s="42" t="s">
        <v>3</v>
      </c>
      <c r="D238" s="42">
        <f t="shared" si="13"/>
        <v>300</v>
      </c>
      <c r="E238" s="42" t="s">
        <v>3</v>
      </c>
      <c r="F238" s="90">
        <f t="shared" si="14"/>
        <v>1800</v>
      </c>
      <c r="G238" s="42" t="s">
        <v>3</v>
      </c>
      <c r="H238" s="39">
        <v>8</v>
      </c>
      <c r="I238" s="40" t="s">
        <v>42</v>
      </c>
      <c r="J238" s="149">
        <v>150</v>
      </c>
      <c r="K238" s="66">
        <v>300</v>
      </c>
      <c r="L238" s="66">
        <v>1800</v>
      </c>
      <c r="M238" s="164">
        <v>25.350179086600001</v>
      </c>
      <c r="N238" s="78">
        <v>1745.2199999999998</v>
      </c>
      <c r="O238" s="113">
        <v>51198.169496973082</v>
      </c>
      <c r="P238" s="111">
        <v>60030.28481646716</v>
      </c>
      <c r="Q238" s="110">
        <v>24022.413466412094</v>
      </c>
      <c r="R238" s="258">
        <v>75220.582963385183</v>
      </c>
      <c r="S238" s="259">
        <v>84052.698282879253</v>
      </c>
      <c r="U238" s="7" t="s">
        <v>3527</v>
      </c>
    </row>
    <row r="239" spans="1:21" ht="16.5" thickBot="1">
      <c r="A239" s="41" t="s">
        <v>31</v>
      </c>
      <c r="B239" s="42">
        <f t="shared" si="12"/>
        <v>150</v>
      </c>
      <c r="C239" s="42" t="s">
        <v>3</v>
      </c>
      <c r="D239" s="42">
        <f t="shared" si="13"/>
        <v>300</v>
      </c>
      <c r="E239" s="42" t="s">
        <v>3</v>
      </c>
      <c r="F239" s="90">
        <f t="shared" si="14"/>
        <v>1850</v>
      </c>
      <c r="G239" s="42" t="s">
        <v>3</v>
      </c>
      <c r="H239" s="39">
        <v>8</v>
      </c>
      <c r="I239" s="40" t="s">
        <v>42</v>
      </c>
      <c r="J239" s="149">
        <v>150</v>
      </c>
      <c r="K239" s="66">
        <v>300</v>
      </c>
      <c r="L239" s="66">
        <v>1850</v>
      </c>
      <c r="M239" s="164">
        <v>26.040618236120004</v>
      </c>
      <c r="N239" s="78">
        <v>1805.3999999999999</v>
      </c>
      <c r="O239" s="113">
        <v>52431.655409802916</v>
      </c>
      <c r="P239" s="111">
        <v>61486.568522046538</v>
      </c>
      <c r="Q239" s="110">
        <v>24797.389237167612</v>
      </c>
      <c r="R239" s="258">
        <v>77229.04464697052</v>
      </c>
      <c r="S239" s="259">
        <v>86283.957759214158</v>
      </c>
      <c r="U239" s="7" t="s">
        <v>3528</v>
      </c>
    </row>
    <row r="240" spans="1:21" ht="16.5" thickBot="1">
      <c r="A240" s="41" t="s">
        <v>31</v>
      </c>
      <c r="B240" s="42">
        <f t="shared" si="12"/>
        <v>150</v>
      </c>
      <c r="C240" s="42" t="s">
        <v>3</v>
      </c>
      <c r="D240" s="42">
        <f t="shared" si="13"/>
        <v>300</v>
      </c>
      <c r="E240" s="42" t="s">
        <v>3</v>
      </c>
      <c r="F240" s="90">
        <f t="shared" si="14"/>
        <v>1900</v>
      </c>
      <c r="G240" s="42" t="s">
        <v>3</v>
      </c>
      <c r="H240" s="39">
        <v>8</v>
      </c>
      <c r="I240" s="40" t="s">
        <v>42</v>
      </c>
      <c r="J240" s="149">
        <v>150</v>
      </c>
      <c r="K240" s="66">
        <v>300</v>
      </c>
      <c r="L240" s="66">
        <v>1900</v>
      </c>
      <c r="M240" s="164">
        <v>26.714017385639998</v>
      </c>
      <c r="N240" s="78">
        <v>1865.58</v>
      </c>
      <c r="O240" s="113">
        <v>53665.141322632735</v>
      </c>
      <c r="P240" s="111">
        <v>62942.852227625917</v>
      </c>
      <c r="Q240" s="110">
        <v>25321.031023168125</v>
      </c>
      <c r="R240" s="258">
        <v>78986.172345800864</v>
      </c>
      <c r="S240" s="259">
        <v>88263.883250794039</v>
      </c>
      <c r="U240" s="7" t="s">
        <v>3529</v>
      </c>
    </row>
    <row r="241" spans="1:21" ht="16.5" thickBot="1">
      <c r="A241" s="41" t="s">
        <v>31</v>
      </c>
      <c r="B241" s="42">
        <f t="shared" si="12"/>
        <v>150</v>
      </c>
      <c r="C241" s="42" t="s">
        <v>3</v>
      </c>
      <c r="D241" s="42">
        <f t="shared" si="13"/>
        <v>300</v>
      </c>
      <c r="E241" s="42" t="s">
        <v>3</v>
      </c>
      <c r="F241" s="90">
        <f t="shared" si="14"/>
        <v>1950</v>
      </c>
      <c r="G241" s="42" t="s">
        <v>3</v>
      </c>
      <c r="H241" s="39">
        <v>8</v>
      </c>
      <c r="I241" s="40" t="s">
        <v>42</v>
      </c>
      <c r="J241" s="149">
        <v>150</v>
      </c>
      <c r="K241" s="66">
        <v>300</v>
      </c>
      <c r="L241" s="66">
        <v>1950</v>
      </c>
      <c r="M241" s="164">
        <v>27.544416535160003</v>
      </c>
      <c r="N241" s="78">
        <v>1925.7599999999998</v>
      </c>
      <c r="O241" s="113">
        <v>55066.823905729208</v>
      </c>
      <c r="P241" s="111">
        <v>64568.359426485935</v>
      </c>
      <c r="Q241" s="110">
        <v>25844.672656139872</v>
      </c>
      <c r="R241" s="258">
        <v>80911.496561869077</v>
      </c>
      <c r="S241" s="259">
        <v>90413.03208262581</v>
      </c>
      <c r="U241" s="7" t="s">
        <v>3530</v>
      </c>
    </row>
    <row r="242" spans="1:21" ht="16.5" thickBot="1">
      <c r="A242" s="41" t="s">
        <v>31</v>
      </c>
      <c r="B242" s="42">
        <f t="shared" si="12"/>
        <v>150</v>
      </c>
      <c r="C242" s="42" t="s">
        <v>3</v>
      </c>
      <c r="D242" s="42">
        <f t="shared" si="13"/>
        <v>300</v>
      </c>
      <c r="E242" s="42" t="s">
        <v>3</v>
      </c>
      <c r="F242" s="90">
        <f t="shared" si="14"/>
        <v>2000</v>
      </c>
      <c r="G242" s="42" t="s">
        <v>3</v>
      </c>
      <c r="H242" s="39">
        <v>8</v>
      </c>
      <c r="I242" s="40" t="s">
        <v>42</v>
      </c>
      <c r="J242" s="149">
        <v>150</v>
      </c>
      <c r="K242" s="66">
        <v>300</v>
      </c>
      <c r="L242" s="66">
        <v>2000</v>
      </c>
      <c r="M242" s="164">
        <v>28.32641808468</v>
      </c>
      <c r="N242" s="78">
        <v>1985.94</v>
      </c>
      <c r="O242" s="113">
        <v>56551.601720403625</v>
      </c>
      <c r="P242" s="111">
        <v>66365.465125061353</v>
      </c>
      <c r="Q242" s="110">
        <v>26619.648426895383</v>
      </c>
      <c r="R242" s="258">
        <v>83171.250147299012</v>
      </c>
      <c r="S242" s="259">
        <v>92985.113551956732</v>
      </c>
      <c r="U242" s="7" t="s">
        <v>3531</v>
      </c>
    </row>
    <row r="243" spans="1:21" ht="16.5" thickBot="1">
      <c r="A243" s="41" t="s">
        <v>31</v>
      </c>
      <c r="B243" s="42">
        <f t="shared" si="12"/>
        <v>150</v>
      </c>
      <c r="C243" s="42" t="s">
        <v>3</v>
      </c>
      <c r="D243" s="42">
        <f t="shared" si="13"/>
        <v>300</v>
      </c>
      <c r="E243" s="42" t="s">
        <v>3</v>
      </c>
      <c r="F243" s="90">
        <f t="shared" si="14"/>
        <v>2050</v>
      </c>
      <c r="G243" s="42" t="s">
        <v>3</v>
      </c>
      <c r="H243" s="39">
        <v>8</v>
      </c>
      <c r="I243" s="40" t="s">
        <v>42</v>
      </c>
      <c r="J243" s="149">
        <v>150</v>
      </c>
      <c r="K243" s="66">
        <v>300</v>
      </c>
      <c r="L243" s="66">
        <v>2050</v>
      </c>
      <c r="M243" s="164">
        <v>28.999817234200002</v>
      </c>
      <c r="N243" s="78">
        <v>2046.12</v>
      </c>
      <c r="O243" s="113">
        <v>57785.087633233445</v>
      </c>
      <c r="P243" s="111">
        <v>67821.748983669488</v>
      </c>
      <c r="Q243" s="110">
        <v>27143.290212895896</v>
      </c>
      <c r="R243" s="258">
        <v>84928.37784612934</v>
      </c>
      <c r="S243" s="259">
        <v>94965.039196565383</v>
      </c>
      <c r="U243" s="7" t="s">
        <v>3532</v>
      </c>
    </row>
    <row r="244" spans="1:21" ht="16.5" thickBot="1">
      <c r="A244" s="38" t="s">
        <v>31</v>
      </c>
      <c r="B244" s="39">
        <f t="shared" si="12"/>
        <v>150</v>
      </c>
      <c r="C244" s="39" t="s">
        <v>3</v>
      </c>
      <c r="D244" s="39">
        <f t="shared" si="13"/>
        <v>300</v>
      </c>
      <c r="E244" s="39" t="s">
        <v>3</v>
      </c>
      <c r="F244" s="90">
        <f t="shared" si="14"/>
        <v>2100</v>
      </c>
      <c r="G244" s="39" t="s">
        <v>3</v>
      </c>
      <c r="H244" s="39">
        <v>8</v>
      </c>
      <c r="I244" s="40" t="s">
        <v>42</v>
      </c>
      <c r="J244" s="149">
        <v>150</v>
      </c>
      <c r="K244" s="66">
        <v>300</v>
      </c>
      <c r="L244" s="66">
        <v>2100</v>
      </c>
      <c r="M244" s="164">
        <v>29.690256383720001</v>
      </c>
      <c r="N244" s="78">
        <v>2106.2999999999997</v>
      </c>
      <c r="O244" s="113">
        <v>59018.573546063264</v>
      </c>
      <c r="P244" s="111">
        <v>69278.032689248867</v>
      </c>
      <c r="Q244" s="110">
        <v>27918.265983651414</v>
      </c>
      <c r="R244" s="258">
        <v>86936.839529714678</v>
      </c>
      <c r="S244" s="259">
        <v>97196.298672900273</v>
      </c>
      <c r="U244" s="7" t="s">
        <v>3533</v>
      </c>
    </row>
    <row r="245" spans="1:21" ht="16.5" thickBot="1">
      <c r="A245" s="41" t="s">
        <v>31</v>
      </c>
      <c r="B245" s="42">
        <f t="shared" si="12"/>
        <v>150</v>
      </c>
      <c r="C245" s="42" t="s">
        <v>3</v>
      </c>
      <c r="D245" s="42">
        <f t="shared" si="13"/>
        <v>300</v>
      </c>
      <c r="E245" s="42" t="s">
        <v>3</v>
      </c>
      <c r="F245" s="90">
        <f t="shared" si="14"/>
        <v>2150</v>
      </c>
      <c r="G245" s="42" t="s">
        <v>3</v>
      </c>
      <c r="H245" s="39">
        <v>8</v>
      </c>
      <c r="I245" s="40" t="s">
        <v>42</v>
      </c>
      <c r="J245" s="149">
        <v>150</v>
      </c>
      <c r="K245" s="66">
        <v>300</v>
      </c>
      <c r="L245" s="66">
        <v>2150</v>
      </c>
      <c r="M245" s="164">
        <v>30.363655533240006</v>
      </c>
      <c r="N245" s="78">
        <v>2166.48</v>
      </c>
      <c r="O245" s="113">
        <v>60252.059611921861</v>
      </c>
      <c r="P245" s="111">
        <v>70734.316394828245</v>
      </c>
      <c r="Q245" s="110">
        <v>28441.907769651927</v>
      </c>
      <c r="R245" s="258">
        <v>88693.967381573791</v>
      </c>
      <c r="S245" s="259">
        <v>99176.224164480169</v>
      </c>
      <c r="U245" s="7" t="s">
        <v>3534</v>
      </c>
    </row>
    <row r="246" spans="1:21" ht="16.5" thickBot="1">
      <c r="A246" s="41" t="s">
        <v>31</v>
      </c>
      <c r="B246" s="42">
        <f t="shared" si="12"/>
        <v>150</v>
      </c>
      <c r="C246" s="42" t="s">
        <v>3</v>
      </c>
      <c r="D246" s="42">
        <f t="shared" si="13"/>
        <v>300</v>
      </c>
      <c r="E246" s="42" t="s">
        <v>3</v>
      </c>
      <c r="F246" s="90">
        <f t="shared" si="14"/>
        <v>2200</v>
      </c>
      <c r="G246" s="42" t="s">
        <v>3</v>
      </c>
      <c r="H246" s="39">
        <v>8</v>
      </c>
      <c r="I246" s="40" t="s">
        <v>42</v>
      </c>
      <c r="J246" s="149">
        <v>150</v>
      </c>
      <c r="K246" s="66">
        <v>300</v>
      </c>
      <c r="L246" s="66">
        <v>2200</v>
      </c>
      <c r="M246" s="164">
        <v>31.054094682760002</v>
      </c>
      <c r="N246" s="78">
        <v>2226.66</v>
      </c>
      <c r="O246" s="113">
        <v>61485.54552475168</v>
      </c>
      <c r="P246" s="111">
        <v>72190.600100407624</v>
      </c>
      <c r="Q246" s="110">
        <v>29216.883540407438</v>
      </c>
      <c r="R246" s="258">
        <v>90702.429065159115</v>
      </c>
      <c r="S246" s="259">
        <v>101407.48364081506</v>
      </c>
      <c r="U246" s="7" t="s">
        <v>3535</v>
      </c>
    </row>
    <row r="247" spans="1:21" ht="16.5" thickBot="1">
      <c r="A247" s="41" t="s">
        <v>31</v>
      </c>
      <c r="B247" s="42">
        <f t="shared" si="12"/>
        <v>150</v>
      </c>
      <c r="C247" s="42" t="s">
        <v>3</v>
      </c>
      <c r="D247" s="42">
        <f t="shared" si="13"/>
        <v>300</v>
      </c>
      <c r="E247" s="42" t="s">
        <v>3</v>
      </c>
      <c r="F247" s="90">
        <f t="shared" si="14"/>
        <v>2250</v>
      </c>
      <c r="G247" s="42" t="s">
        <v>3</v>
      </c>
      <c r="H247" s="39">
        <v>8</v>
      </c>
      <c r="I247" s="40" t="s">
        <v>42</v>
      </c>
      <c r="J247" s="149">
        <v>150</v>
      </c>
      <c r="K247" s="66">
        <v>300</v>
      </c>
      <c r="L247" s="66">
        <v>2250</v>
      </c>
      <c r="M247" s="164">
        <v>31.72749383228</v>
      </c>
      <c r="N247" s="78">
        <v>2286.84</v>
      </c>
      <c r="O247" s="113">
        <v>62719.0314375815</v>
      </c>
      <c r="P247" s="111">
        <v>73646.883959015759</v>
      </c>
      <c r="Q247" s="110">
        <v>29740.525173379188</v>
      </c>
      <c r="R247" s="258">
        <v>92459.556610960688</v>
      </c>
      <c r="S247" s="259">
        <v>103387.40913239494</v>
      </c>
      <c r="U247" s="7" t="s">
        <v>3536</v>
      </c>
    </row>
    <row r="248" spans="1:21" ht="16.5" thickBot="1">
      <c r="A248" s="41" t="s">
        <v>31</v>
      </c>
      <c r="B248" s="42">
        <f t="shared" si="12"/>
        <v>150</v>
      </c>
      <c r="C248" s="42" t="s">
        <v>3</v>
      </c>
      <c r="D248" s="42">
        <f t="shared" si="13"/>
        <v>300</v>
      </c>
      <c r="E248" s="42" t="s">
        <v>3</v>
      </c>
      <c r="F248" s="90">
        <f t="shared" si="14"/>
        <v>2300</v>
      </c>
      <c r="G248" s="42" t="s">
        <v>3</v>
      </c>
      <c r="H248" s="39">
        <v>8</v>
      </c>
      <c r="I248" s="40" t="s">
        <v>42</v>
      </c>
      <c r="J248" s="149">
        <v>150</v>
      </c>
      <c r="K248" s="66">
        <v>300</v>
      </c>
      <c r="L248" s="66">
        <v>2300</v>
      </c>
      <c r="M248" s="164">
        <v>32.400892981799998</v>
      </c>
      <c r="N248" s="78">
        <v>2347.02</v>
      </c>
      <c r="O248" s="113">
        <v>63952.517350411319</v>
      </c>
      <c r="P248" s="111">
        <v>75103.167664595137</v>
      </c>
      <c r="Q248" s="110">
        <v>30264.166959379701</v>
      </c>
      <c r="R248" s="258">
        <v>94216.684309791017</v>
      </c>
      <c r="S248" s="259">
        <v>105367.33462397484</v>
      </c>
      <c r="U248" s="7" t="s">
        <v>3537</v>
      </c>
    </row>
    <row r="249" spans="1:21" ht="16.5" thickBot="1">
      <c r="A249" s="41" t="s">
        <v>31</v>
      </c>
      <c r="B249" s="42">
        <f t="shared" si="12"/>
        <v>150</v>
      </c>
      <c r="C249" s="42" t="s">
        <v>3</v>
      </c>
      <c r="D249" s="42">
        <f t="shared" si="13"/>
        <v>300</v>
      </c>
      <c r="E249" s="42" t="s">
        <v>3</v>
      </c>
      <c r="F249" s="90">
        <f t="shared" si="14"/>
        <v>2350</v>
      </c>
      <c r="G249" s="42" t="s">
        <v>3</v>
      </c>
      <c r="H249" s="39">
        <v>8</v>
      </c>
      <c r="I249" s="40" t="s">
        <v>42</v>
      </c>
      <c r="J249" s="149">
        <v>150</v>
      </c>
      <c r="K249" s="66">
        <v>300</v>
      </c>
      <c r="L249" s="66">
        <v>2350</v>
      </c>
      <c r="M249" s="164">
        <v>33.091332131320002</v>
      </c>
      <c r="N249" s="78">
        <v>2407.1999999999998</v>
      </c>
      <c r="O249" s="113">
        <v>65186.003416269901</v>
      </c>
      <c r="P249" s="111">
        <v>76559.451370174516</v>
      </c>
      <c r="Q249" s="110">
        <v>31039.142730135216</v>
      </c>
      <c r="R249" s="258">
        <v>96225.14614640511</v>
      </c>
      <c r="S249" s="259">
        <v>107598.59410030974</v>
      </c>
      <c r="U249" s="7" t="s">
        <v>3538</v>
      </c>
    </row>
    <row r="250" spans="1:21" ht="16.5" thickBot="1">
      <c r="A250" s="41" t="s">
        <v>31</v>
      </c>
      <c r="B250" s="42">
        <f t="shared" si="12"/>
        <v>150</v>
      </c>
      <c r="C250" s="42" t="s">
        <v>3</v>
      </c>
      <c r="D250" s="42">
        <f t="shared" si="13"/>
        <v>300</v>
      </c>
      <c r="E250" s="42" t="s">
        <v>3</v>
      </c>
      <c r="F250" s="90">
        <f t="shared" si="14"/>
        <v>2400</v>
      </c>
      <c r="G250" s="42" t="s">
        <v>3</v>
      </c>
      <c r="H250" s="39">
        <v>8</v>
      </c>
      <c r="I250" s="40" t="s">
        <v>42</v>
      </c>
      <c r="J250" s="149">
        <v>150</v>
      </c>
      <c r="K250" s="66">
        <v>300</v>
      </c>
      <c r="L250" s="66">
        <v>2400</v>
      </c>
      <c r="M250" s="164">
        <v>33.764731280839996</v>
      </c>
      <c r="N250" s="78">
        <v>2467.38</v>
      </c>
      <c r="O250" s="113">
        <v>66419.489329099713</v>
      </c>
      <c r="P250" s="111">
        <v>78015.735075753881</v>
      </c>
      <c r="Q250" s="110">
        <v>31562.784363106966</v>
      </c>
      <c r="R250" s="258">
        <v>97982.273692206683</v>
      </c>
      <c r="S250" s="259">
        <v>109578.51943886085</v>
      </c>
      <c r="U250" s="7" t="s">
        <v>3539</v>
      </c>
    </row>
    <row r="251" spans="1:21" ht="16.5" thickBot="1">
      <c r="A251" s="41" t="s">
        <v>31</v>
      </c>
      <c r="B251" s="42">
        <f t="shared" si="12"/>
        <v>150</v>
      </c>
      <c r="C251" s="42" t="s">
        <v>3</v>
      </c>
      <c r="D251" s="42">
        <f t="shared" si="13"/>
        <v>300</v>
      </c>
      <c r="E251" s="42" t="s">
        <v>3</v>
      </c>
      <c r="F251" s="90">
        <f t="shared" si="14"/>
        <v>2450</v>
      </c>
      <c r="G251" s="42" t="s">
        <v>3</v>
      </c>
      <c r="H251" s="39">
        <v>8</v>
      </c>
      <c r="I251" s="40" t="s">
        <v>42</v>
      </c>
      <c r="J251" s="149">
        <v>150</v>
      </c>
      <c r="K251" s="66">
        <v>300</v>
      </c>
      <c r="L251" s="66">
        <v>2450</v>
      </c>
      <c r="M251" s="164">
        <v>34.622323587660006</v>
      </c>
      <c r="N251" s="78">
        <v>2527.56</v>
      </c>
      <c r="O251" s="113">
        <v>68420.622006036923</v>
      </c>
      <c r="P251" s="111">
        <v>80193.653927544219</v>
      </c>
      <c r="Q251" s="110">
        <v>32337.760286891244</v>
      </c>
      <c r="R251" s="258">
        <v>100758.38229292817</v>
      </c>
      <c r="S251" s="259">
        <v>112531.41421443547</v>
      </c>
      <c r="U251" s="7" t="s">
        <v>3540</v>
      </c>
    </row>
    <row r="252" spans="1:21" ht="16.5" thickBot="1">
      <c r="A252" s="41" t="s">
        <v>31</v>
      </c>
      <c r="B252" s="42">
        <f t="shared" si="12"/>
        <v>150</v>
      </c>
      <c r="C252" s="42" t="s">
        <v>3</v>
      </c>
      <c r="D252" s="42">
        <f t="shared" si="13"/>
        <v>300</v>
      </c>
      <c r="E252" s="42" t="s">
        <v>3</v>
      </c>
      <c r="F252" s="90">
        <f t="shared" si="14"/>
        <v>2500</v>
      </c>
      <c r="G252" s="42" t="s">
        <v>3</v>
      </c>
      <c r="H252" s="39">
        <v>8</v>
      </c>
      <c r="I252" s="40" t="s">
        <v>42</v>
      </c>
      <c r="J252" s="149">
        <v>150</v>
      </c>
      <c r="K252" s="66">
        <v>300</v>
      </c>
      <c r="L252" s="66">
        <v>2500</v>
      </c>
      <c r="M252" s="164">
        <v>35.29572273718</v>
      </c>
      <c r="N252" s="78">
        <v>2587.7399999999998</v>
      </c>
      <c r="O252" s="113">
        <v>69654.108071895505</v>
      </c>
      <c r="P252" s="111">
        <v>81649.937633123598</v>
      </c>
      <c r="Q252" s="110">
        <v>32861.40191986299</v>
      </c>
      <c r="R252" s="258">
        <v>102515.5099917585</v>
      </c>
      <c r="S252" s="259">
        <v>114511.33955298658</v>
      </c>
      <c r="U252" s="7" t="s">
        <v>3541</v>
      </c>
    </row>
    <row r="253" spans="1:21" ht="16.5" thickBot="1">
      <c r="A253" s="41" t="s">
        <v>31</v>
      </c>
      <c r="B253" s="42">
        <f t="shared" si="12"/>
        <v>150</v>
      </c>
      <c r="C253" s="42" t="s">
        <v>3</v>
      </c>
      <c r="D253" s="42">
        <f t="shared" si="13"/>
        <v>300</v>
      </c>
      <c r="E253" s="42" t="s">
        <v>3</v>
      </c>
      <c r="F253" s="90">
        <f t="shared" si="14"/>
        <v>2550</v>
      </c>
      <c r="G253" s="42" t="s">
        <v>3</v>
      </c>
      <c r="H253" s="39">
        <v>8</v>
      </c>
      <c r="I253" s="40" t="s">
        <v>42</v>
      </c>
      <c r="J253" s="149">
        <v>150</v>
      </c>
      <c r="K253" s="66">
        <v>300</v>
      </c>
      <c r="L253" s="66">
        <v>2550</v>
      </c>
      <c r="M253" s="164">
        <v>35.986161886699996</v>
      </c>
      <c r="N253" s="78">
        <v>2647.9199999999996</v>
      </c>
      <c r="O253" s="113">
        <v>70887.593984725347</v>
      </c>
      <c r="P253" s="111">
        <v>83106.221338702977</v>
      </c>
      <c r="Q253" s="110">
        <v>33636.377843647271</v>
      </c>
      <c r="R253" s="258">
        <v>104523.97182837263</v>
      </c>
      <c r="S253" s="259">
        <v>116742.59918235024</v>
      </c>
      <c r="U253" s="7" t="s">
        <v>3542</v>
      </c>
    </row>
    <row r="254" spans="1:21" ht="16.5" thickBot="1">
      <c r="A254" s="38" t="s">
        <v>31</v>
      </c>
      <c r="B254" s="39">
        <f t="shared" si="12"/>
        <v>150</v>
      </c>
      <c r="C254" s="39" t="s">
        <v>3</v>
      </c>
      <c r="D254" s="39">
        <f t="shared" si="13"/>
        <v>300</v>
      </c>
      <c r="E254" s="39" t="s">
        <v>3</v>
      </c>
      <c r="F254" s="90">
        <f t="shared" si="14"/>
        <v>2600</v>
      </c>
      <c r="G254" s="39" t="s">
        <v>3</v>
      </c>
      <c r="H254" s="39">
        <v>8</v>
      </c>
      <c r="I254" s="40" t="s">
        <v>42</v>
      </c>
      <c r="J254" s="149">
        <v>150</v>
      </c>
      <c r="K254" s="66">
        <v>300</v>
      </c>
      <c r="L254" s="66">
        <v>2600</v>
      </c>
      <c r="M254" s="164">
        <v>36.659561036219998</v>
      </c>
      <c r="N254" s="78">
        <v>2708.1</v>
      </c>
      <c r="O254" s="113">
        <v>72121.079897555159</v>
      </c>
      <c r="P254" s="111">
        <v>84562.505044282341</v>
      </c>
      <c r="Q254" s="110">
        <v>34160.019476619018</v>
      </c>
      <c r="R254" s="258">
        <v>106281.09937417417</v>
      </c>
      <c r="S254" s="259">
        <v>118722.52452090135</v>
      </c>
      <c r="U254" s="7" t="s">
        <v>3543</v>
      </c>
    </row>
    <row r="255" spans="1:21" ht="16.5" thickBot="1">
      <c r="A255" s="41" t="s">
        <v>31</v>
      </c>
      <c r="B255" s="42">
        <f t="shared" si="12"/>
        <v>150</v>
      </c>
      <c r="C255" s="42" t="s">
        <v>3</v>
      </c>
      <c r="D255" s="42">
        <f t="shared" si="13"/>
        <v>300</v>
      </c>
      <c r="E255" s="42" t="s">
        <v>3</v>
      </c>
      <c r="F255" s="90">
        <f t="shared" si="14"/>
        <v>2650</v>
      </c>
      <c r="G255" s="42" t="s">
        <v>3</v>
      </c>
      <c r="H255" s="39">
        <v>8</v>
      </c>
      <c r="I255" s="40" t="s">
        <v>42</v>
      </c>
      <c r="J255" s="149">
        <v>150</v>
      </c>
      <c r="K255" s="66">
        <v>300</v>
      </c>
      <c r="L255" s="66">
        <v>2650</v>
      </c>
      <c r="M255" s="164">
        <v>37.350000185740001</v>
      </c>
      <c r="N255" s="78">
        <v>2768.28</v>
      </c>
      <c r="O255" s="113">
        <v>73354.565963413741</v>
      </c>
      <c r="P255" s="111">
        <v>86018.78890289049</v>
      </c>
      <c r="Q255" s="110">
        <v>34934.995247374536</v>
      </c>
      <c r="R255" s="258">
        <v>108289.56121078828</v>
      </c>
      <c r="S255" s="259">
        <v>120953.78415026503</v>
      </c>
      <c r="U255" s="7" t="s">
        <v>3544</v>
      </c>
    </row>
    <row r="256" spans="1:21" ht="16.5" thickBot="1">
      <c r="A256" s="41" t="s">
        <v>31</v>
      </c>
      <c r="B256" s="42">
        <f t="shared" si="12"/>
        <v>150</v>
      </c>
      <c r="C256" s="42" t="s">
        <v>3</v>
      </c>
      <c r="D256" s="42">
        <f t="shared" si="13"/>
        <v>300</v>
      </c>
      <c r="E256" s="42" t="s">
        <v>3</v>
      </c>
      <c r="F256" s="90">
        <f t="shared" si="14"/>
        <v>2700</v>
      </c>
      <c r="G256" s="42" t="s">
        <v>3</v>
      </c>
      <c r="H256" s="39">
        <v>8</v>
      </c>
      <c r="I256" s="40" t="s">
        <v>42</v>
      </c>
      <c r="J256" s="149">
        <v>150</v>
      </c>
      <c r="K256" s="66">
        <v>300</v>
      </c>
      <c r="L256" s="66">
        <v>2700</v>
      </c>
      <c r="M256" s="164">
        <v>38.180399335260006</v>
      </c>
      <c r="N256" s="78">
        <v>2828.46</v>
      </c>
      <c r="O256" s="113">
        <v>74756.248393481452</v>
      </c>
      <c r="P256" s="111">
        <v>87644.295948721745</v>
      </c>
      <c r="Q256" s="110">
        <v>35458.637033375046</v>
      </c>
      <c r="R256" s="258">
        <v>110214.88542685649</v>
      </c>
      <c r="S256" s="259">
        <v>123102.9329820968</v>
      </c>
      <c r="U256" s="7" t="s">
        <v>3545</v>
      </c>
    </row>
    <row r="257" spans="1:21" ht="16.5" thickBot="1">
      <c r="A257" s="41" t="s">
        <v>31</v>
      </c>
      <c r="B257" s="42">
        <f t="shared" si="12"/>
        <v>150</v>
      </c>
      <c r="C257" s="42" t="s">
        <v>3</v>
      </c>
      <c r="D257" s="42">
        <f t="shared" si="13"/>
        <v>300</v>
      </c>
      <c r="E257" s="42" t="s">
        <v>3</v>
      </c>
      <c r="F257" s="90">
        <f t="shared" si="14"/>
        <v>2750</v>
      </c>
      <c r="G257" s="42" t="s">
        <v>3</v>
      </c>
      <c r="H257" s="39">
        <v>8</v>
      </c>
      <c r="I257" s="40" t="s">
        <v>42</v>
      </c>
      <c r="J257" s="149">
        <v>150</v>
      </c>
      <c r="K257" s="66">
        <v>300</v>
      </c>
      <c r="L257" s="66">
        <v>2750</v>
      </c>
      <c r="M257" s="164">
        <v>38.85379848478</v>
      </c>
      <c r="N257" s="78">
        <v>2888.64</v>
      </c>
      <c r="O257" s="113">
        <v>75989.734306311278</v>
      </c>
      <c r="P257" s="111">
        <v>89100.579654301124</v>
      </c>
      <c r="Q257" s="110">
        <v>35982.278666346792</v>
      </c>
      <c r="R257" s="258">
        <v>111972.01297265806</v>
      </c>
      <c r="S257" s="259">
        <v>125082.85832064791</v>
      </c>
      <c r="U257" s="7" t="s">
        <v>3546</v>
      </c>
    </row>
    <row r="258" spans="1:21" ht="16.5" thickBot="1">
      <c r="A258" s="41" t="s">
        <v>31</v>
      </c>
      <c r="B258" s="42">
        <f t="shared" si="12"/>
        <v>150</v>
      </c>
      <c r="C258" s="42" t="s">
        <v>3</v>
      </c>
      <c r="D258" s="42">
        <f t="shared" si="13"/>
        <v>300</v>
      </c>
      <c r="E258" s="42" t="s">
        <v>3</v>
      </c>
      <c r="F258" s="90">
        <f t="shared" si="14"/>
        <v>2800</v>
      </c>
      <c r="G258" s="42" t="s">
        <v>3</v>
      </c>
      <c r="H258" s="39">
        <v>8</v>
      </c>
      <c r="I258" s="40" t="s">
        <v>42</v>
      </c>
      <c r="J258" s="149">
        <v>150</v>
      </c>
      <c r="K258" s="66">
        <v>300</v>
      </c>
      <c r="L258" s="66">
        <v>2800</v>
      </c>
      <c r="M258" s="164">
        <v>39.544237634300003</v>
      </c>
      <c r="N258" s="78">
        <v>2948.8199999999997</v>
      </c>
      <c r="O258" s="113">
        <v>77223.220372169861</v>
      </c>
      <c r="P258" s="111">
        <v>90556.863512909258</v>
      </c>
      <c r="Q258" s="110">
        <v>36757.25443710231</v>
      </c>
      <c r="R258" s="258">
        <v>113980.47480927217</v>
      </c>
      <c r="S258" s="259">
        <v>127314.11795001157</v>
      </c>
      <c r="U258" s="7" t="s">
        <v>3547</v>
      </c>
    </row>
    <row r="259" spans="1:21" ht="16.5" thickBot="1">
      <c r="A259" s="41" t="s">
        <v>31</v>
      </c>
      <c r="B259" s="42">
        <f t="shared" si="12"/>
        <v>150</v>
      </c>
      <c r="C259" s="42" t="s">
        <v>3</v>
      </c>
      <c r="D259" s="42">
        <f t="shared" si="13"/>
        <v>300</v>
      </c>
      <c r="E259" s="42" t="s">
        <v>3</v>
      </c>
      <c r="F259" s="90">
        <f t="shared" si="14"/>
        <v>2850</v>
      </c>
      <c r="G259" s="42" t="s">
        <v>3</v>
      </c>
      <c r="H259" s="39">
        <v>8</v>
      </c>
      <c r="I259" s="40" t="s">
        <v>42</v>
      </c>
      <c r="J259" s="149">
        <v>150</v>
      </c>
      <c r="K259" s="66">
        <v>300</v>
      </c>
      <c r="L259" s="66">
        <v>2850</v>
      </c>
      <c r="M259" s="164">
        <v>40.217636783819998</v>
      </c>
      <c r="N259" s="78">
        <v>3009</v>
      </c>
      <c r="O259" s="113">
        <v>78456.706284999687</v>
      </c>
      <c r="P259" s="111">
        <v>92013.147218488637</v>
      </c>
      <c r="Q259" s="110">
        <v>37280.89622310282</v>
      </c>
      <c r="R259" s="258">
        <v>115737.60250810251</v>
      </c>
      <c r="S259" s="259">
        <v>129294.04344159146</v>
      </c>
      <c r="U259" s="7" t="s">
        <v>3548</v>
      </c>
    </row>
    <row r="260" spans="1:21" ht="16.5" thickBot="1">
      <c r="A260" s="41" t="s">
        <v>31</v>
      </c>
      <c r="B260" s="42">
        <f t="shared" si="12"/>
        <v>150</v>
      </c>
      <c r="C260" s="42" t="s">
        <v>3</v>
      </c>
      <c r="D260" s="42">
        <f t="shared" si="13"/>
        <v>300</v>
      </c>
      <c r="E260" s="42" t="s">
        <v>3</v>
      </c>
      <c r="F260" s="90">
        <f t="shared" si="14"/>
        <v>2900</v>
      </c>
      <c r="G260" s="42" t="s">
        <v>3</v>
      </c>
      <c r="H260" s="39">
        <v>8</v>
      </c>
      <c r="I260" s="40" t="s">
        <v>42</v>
      </c>
      <c r="J260" s="149">
        <v>150</v>
      </c>
      <c r="K260" s="66">
        <v>300</v>
      </c>
      <c r="L260" s="66">
        <v>2900</v>
      </c>
      <c r="M260" s="164">
        <v>40.908075933340001</v>
      </c>
      <c r="N260" s="78">
        <v>3069.18</v>
      </c>
      <c r="O260" s="113">
        <v>79690.192197829499</v>
      </c>
      <c r="P260" s="111">
        <v>93469.430924068016</v>
      </c>
      <c r="Q260" s="110">
        <v>38055.871993858338</v>
      </c>
      <c r="R260" s="258">
        <v>117746.06419168784</v>
      </c>
      <c r="S260" s="259">
        <v>131525.30291792634</v>
      </c>
      <c r="U260" s="7" t="s">
        <v>3549</v>
      </c>
    </row>
    <row r="261" spans="1:21" ht="16.5" thickBot="1">
      <c r="A261" s="41" t="s">
        <v>31</v>
      </c>
      <c r="B261" s="42">
        <f t="shared" si="12"/>
        <v>150</v>
      </c>
      <c r="C261" s="42" t="s">
        <v>3</v>
      </c>
      <c r="D261" s="42">
        <f t="shared" si="13"/>
        <v>300</v>
      </c>
      <c r="E261" s="42" t="s">
        <v>3</v>
      </c>
      <c r="F261" s="90">
        <f t="shared" si="14"/>
        <v>2950</v>
      </c>
      <c r="G261" s="42" t="s">
        <v>3</v>
      </c>
      <c r="H261" s="39">
        <v>8</v>
      </c>
      <c r="I261" s="40" t="s">
        <v>42</v>
      </c>
      <c r="J261" s="149">
        <v>150</v>
      </c>
      <c r="K261" s="66">
        <v>300</v>
      </c>
      <c r="L261" s="66">
        <v>2950</v>
      </c>
      <c r="M261" s="164">
        <v>41.581475082860003</v>
      </c>
      <c r="N261" s="78">
        <v>3129.36</v>
      </c>
      <c r="O261" s="113">
        <v>80923.678110659326</v>
      </c>
      <c r="P261" s="111">
        <v>94925.71462964738</v>
      </c>
      <c r="Q261" s="110">
        <v>38579.513779858848</v>
      </c>
      <c r="R261" s="258">
        <v>119503.19189051818</v>
      </c>
      <c r="S261" s="259">
        <v>133505.22840950624</v>
      </c>
      <c r="U261" s="7" t="s">
        <v>3550</v>
      </c>
    </row>
    <row r="262" spans="1:21" ht="16.5" thickBot="1">
      <c r="A262" s="43" t="s">
        <v>31</v>
      </c>
      <c r="B262" s="44">
        <f t="shared" si="12"/>
        <v>150</v>
      </c>
      <c r="C262" s="44" t="s">
        <v>3</v>
      </c>
      <c r="D262" s="44">
        <f t="shared" si="13"/>
        <v>300</v>
      </c>
      <c r="E262" s="44" t="s">
        <v>3</v>
      </c>
      <c r="F262" s="91">
        <f t="shared" si="14"/>
        <v>3000</v>
      </c>
      <c r="G262" s="44" t="s">
        <v>3</v>
      </c>
      <c r="H262" s="46">
        <v>8</v>
      </c>
      <c r="I262" s="45" t="s">
        <v>42</v>
      </c>
      <c r="J262" s="151">
        <v>150</v>
      </c>
      <c r="K262" s="126">
        <v>300</v>
      </c>
      <c r="L262" s="126">
        <v>3000</v>
      </c>
      <c r="M262" s="171">
        <v>42.271914232379999</v>
      </c>
      <c r="N262" s="127">
        <v>3189.5399999999995</v>
      </c>
      <c r="O262" s="128">
        <v>83438.085639903657</v>
      </c>
      <c r="P262" s="135">
        <v>96381.998488255529</v>
      </c>
      <c r="Q262" s="136">
        <v>39354.489550614366</v>
      </c>
      <c r="R262" s="260">
        <v>122792.57519051802</v>
      </c>
      <c r="S262" s="261">
        <v>135736.48803886989</v>
      </c>
      <c r="U262" s="7" t="s">
        <v>3551</v>
      </c>
    </row>
    <row r="263" spans="1:21" s="65" customFormat="1" ht="22.5" customHeight="1" thickBot="1">
      <c r="A263" s="3010" t="s">
        <v>44</v>
      </c>
      <c r="B263" s="3011"/>
      <c r="C263" s="3011"/>
      <c r="D263" s="3011"/>
      <c r="E263" s="3011"/>
      <c r="F263" s="3011"/>
      <c r="G263" s="3011"/>
      <c r="H263" s="3011"/>
      <c r="I263" s="3011"/>
      <c r="J263" s="3011"/>
      <c r="K263" s="3011"/>
      <c r="L263" s="3011"/>
      <c r="M263" s="3011"/>
      <c r="N263" s="3011"/>
      <c r="O263" s="3011"/>
      <c r="P263" s="3011"/>
      <c r="Q263" s="3011"/>
      <c r="R263" s="3011"/>
      <c r="S263" s="3012"/>
      <c r="U263" s="7"/>
    </row>
    <row r="264" spans="1:21" s="65" customFormat="1" ht="16.5" thickBot="1">
      <c r="A264" s="2974" t="s">
        <v>148</v>
      </c>
      <c r="B264" s="2975"/>
      <c r="C264" s="2975"/>
      <c r="D264" s="2975"/>
      <c r="E264" s="2975"/>
      <c r="F264" s="2975"/>
      <c r="G264" s="2975"/>
      <c r="H264" s="2975"/>
      <c r="I264" s="2975"/>
      <c r="J264" s="2975"/>
      <c r="K264" s="2975"/>
      <c r="L264" s="2975"/>
      <c r="M264" s="2975"/>
      <c r="N264" s="2975"/>
      <c r="O264" s="2975"/>
      <c r="P264" s="2975"/>
      <c r="Q264" s="2975"/>
      <c r="R264" s="2975"/>
      <c r="S264" s="2976"/>
      <c r="U264" s="7"/>
    </row>
    <row r="265" spans="1:21" s="65" customFormat="1" ht="16.5" thickBot="1">
      <c r="A265" s="38" t="s">
        <v>31</v>
      </c>
      <c r="B265" s="39">
        <f>J265</f>
        <v>150</v>
      </c>
      <c r="C265" s="39" t="s">
        <v>3</v>
      </c>
      <c r="D265" s="39">
        <f>K265</f>
        <v>360</v>
      </c>
      <c r="E265" s="39" t="s">
        <v>3</v>
      </c>
      <c r="F265" s="90">
        <f>L265</f>
        <v>600</v>
      </c>
      <c r="G265" s="39" t="s">
        <v>3</v>
      </c>
      <c r="H265" s="39">
        <v>6</v>
      </c>
      <c r="I265" s="40" t="s">
        <v>42</v>
      </c>
      <c r="J265" s="146">
        <v>150</v>
      </c>
      <c r="K265" s="122">
        <v>360</v>
      </c>
      <c r="L265" s="122">
        <v>600</v>
      </c>
      <c r="M265" s="163">
        <v>8.9633611492702627</v>
      </c>
      <c r="N265" s="123">
        <v>288.51886074920998</v>
      </c>
      <c r="O265" s="124">
        <v>18795.872082908147</v>
      </c>
      <c r="P265" s="148">
        <v>23143.292745320639</v>
      </c>
      <c r="Q265" s="139">
        <v>10032.760953270536</v>
      </c>
      <c r="R265" s="256">
        <v>28828.633036178682</v>
      </c>
      <c r="S265" s="257">
        <v>33176.053698591175</v>
      </c>
      <c r="U265" s="7" t="s">
        <v>3552</v>
      </c>
    </row>
    <row r="266" spans="1:21" s="65" customFormat="1" ht="16.5" thickBot="1">
      <c r="A266" s="41" t="s">
        <v>31</v>
      </c>
      <c r="B266" s="42">
        <f t="shared" ref="B266:B313" si="15">J266</f>
        <v>150</v>
      </c>
      <c r="C266" s="42" t="s">
        <v>3</v>
      </c>
      <c r="D266" s="42">
        <f t="shared" ref="D266:D313" si="16">K266</f>
        <v>360</v>
      </c>
      <c r="E266" s="42" t="s">
        <v>3</v>
      </c>
      <c r="F266" s="90">
        <f t="shared" ref="F266:F313" si="17">L266</f>
        <v>650</v>
      </c>
      <c r="G266" s="42" t="s">
        <v>3</v>
      </c>
      <c r="H266" s="39">
        <v>6</v>
      </c>
      <c r="I266" s="40" t="s">
        <v>42</v>
      </c>
      <c r="J266" s="149">
        <v>150</v>
      </c>
      <c r="K266" s="66">
        <v>360</v>
      </c>
      <c r="L266" s="66">
        <v>650</v>
      </c>
      <c r="M266" s="164">
        <v>9.6179184707523682</v>
      </c>
      <c r="N266" s="78">
        <v>346.22263289905197</v>
      </c>
      <c r="O266" s="113">
        <v>19811.667844081992</v>
      </c>
      <c r="P266" s="111">
        <v>24429.16468925817</v>
      </c>
      <c r="Q266" s="110">
        <v>10636.181837508726</v>
      </c>
      <c r="R266" s="258">
        <v>30447.84968159072</v>
      </c>
      <c r="S266" s="259">
        <v>35065.346526766894</v>
      </c>
      <c r="U266" s="7" t="s">
        <v>3553</v>
      </c>
    </row>
    <row r="267" spans="1:21" s="65" customFormat="1" ht="16.5" thickBot="1">
      <c r="A267" s="41" t="s">
        <v>31</v>
      </c>
      <c r="B267" s="42">
        <f t="shared" si="15"/>
        <v>150</v>
      </c>
      <c r="C267" s="42" t="s">
        <v>3</v>
      </c>
      <c r="D267" s="42">
        <f t="shared" si="16"/>
        <v>360</v>
      </c>
      <c r="E267" s="42" t="s">
        <v>3</v>
      </c>
      <c r="F267" s="90">
        <f t="shared" si="17"/>
        <v>700</v>
      </c>
      <c r="G267" s="42" t="s">
        <v>3</v>
      </c>
      <c r="H267" s="39">
        <v>6</v>
      </c>
      <c r="I267" s="40" t="s">
        <v>42</v>
      </c>
      <c r="J267" s="149">
        <v>150</v>
      </c>
      <c r="K267" s="66">
        <v>360</v>
      </c>
      <c r="L267" s="66">
        <v>700</v>
      </c>
      <c r="M267" s="164">
        <v>10.272475792234474</v>
      </c>
      <c r="N267" s="78">
        <v>403.92640504889397</v>
      </c>
      <c r="O267" s="113">
        <v>20828.195388810662</v>
      </c>
      <c r="P267" s="111">
        <v>25715.408034008662</v>
      </c>
      <c r="Q267" s="110">
        <v>11490.936859530682</v>
      </c>
      <c r="R267" s="258">
        <v>32319.132248341346</v>
      </c>
      <c r="S267" s="259">
        <v>37206.344893539346</v>
      </c>
      <c r="U267" s="7" t="s">
        <v>3554</v>
      </c>
    </row>
    <row r="268" spans="1:21" s="65" customFormat="1" ht="16.5" thickBot="1">
      <c r="A268" s="41" t="s">
        <v>31</v>
      </c>
      <c r="B268" s="42">
        <f t="shared" si="15"/>
        <v>150</v>
      </c>
      <c r="C268" s="42" t="s">
        <v>3</v>
      </c>
      <c r="D268" s="42">
        <f t="shared" si="16"/>
        <v>360</v>
      </c>
      <c r="E268" s="42" t="s">
        <v>3</v>
      </c>
      <c r="F268" s="90">
        <f t="shared" si="17"/>
        <v>750</v>
      </c>
      <c r="G268" s="42" t="s">
        <v>3</v>
      </c>
      <c r="H268" s="39">
        <v>6</v>
      </c>
      <c r="I268" s="40" t="s">
        <v>42</v>
      </c>
      <c r="J268" s="149">
        <v>150</v>
      </c>
      <c r="K268" s="66">
        <v>360</v>
      </c>
      <c r="L268" s="66">
        <v>750</v>
      </c>
      <c r="M268" s="164">
        <v>10.927033113716579</v>
      </c>
      <c r="N268" s="78">
        <v>461.63017719873596</v>
      </c>
      <c r="O268" s="113">
        <v>21845.337650088837</v>
      </c>
      <c r="P268" s="111">
        <v>27001.964628641363</v>
      </c>
      <c r="Q268" s="110">
        <v>12094.357743768871</v>
      </c>
      <c r="R268" s="258">
        <v>33939.695393857706</v>
      </c>
      <c r="S268" s="259">
        <v>39096.322372410235</v>
      </c>
      <c r="U268" s="7" t="s">
        <v>3555</v>
      </c>
    </row>
    <row r="269" spans="1:21" s="65" customFormat="1" ht="16.5" thickBot="1">
      <c r="A269" s="41" t="s">
        <v>31</v>
      </c>
      <c r="B269" s="42">
        <f t="shared" si="15"/>
        <v>150</v>
      </c>
      <c r="C269" s="42" t="s">
        <v>3</v>
      </c>
      <c r="D269" s="42">
        <f t="shared" si="16"/>
        <v>360</v>
      </c>
      <c r="E269" s="42" t="s">
        <v>3</v>
      </c>
      <c r="F269" s="90">
        <f t="shared" si="17"/>
        <v>800</v>
      </c>
      <c r="G269" s="42" t="s">
        <v>3</v>
      </c>
      <c r="H269" s="39">
        <v>6</v>
      </c>
      <c r="I269" s="40" t="s">
        <v>42</v>
      </c>
      <c r="J269" s="149">
        <v>150</v>
      </c>
      <c r="K269" s="66">
        <v>360</v>
      </c>
      <c r="L269" s="66">
        <v>800</v>
      </c>
      <c r="M269" s="164">
        <v>11.581590435198684</v>
      </c>
      <c r="N269" s="78">
        <v>519.33394934857802</v>
      </c>
      <c r="O269" s="113">
        <v>22863.000668254736</v>
      </c>
      <c r="P269" s="111">
        <v>28288.78779938291</v>
      </c>
      <c r="Q269" s="110">
        <v>12697.77862800706</v>
      </c>
      <c r="R269" s="258">
        <v>35560.779296261797</v>
      </c>
      <c r="S269" s="259">
        <v>40986.566427389967</v>
      </c>
      <c r="U269" s="7" t="s">
        <v>3556</v>
      </c>
    </row>
    <row r="270" spans="1:21" s="65" customFormat="1" ht="16.5" thickBot="1">
      <c r="A270" s="41" t="s">
        <v>31</v>
      </c>
      <c r="B270" s="42">
        <f t="shared" si="15"/>
        <v>150</v>
      </c>
      <c r="C270" s="42" t="s">
        <v>3</v>
      </c>
      <c r="D270" s="42">
        <f t="shared" si="16"/>
        <v>360</v>
      </c>
      <c r="E270" s="42" t="s">
        <v>3</v>
      </c>
      <c r="F270" s="90">
        <f t="shared" si="17"/>
        <v>850</v>
      </c>
      <c r="G270" s="42" t="s">
        <v>3</v>
      </c>
      <c r="H270" s="39">
        <v>6</v>
      </c>
      <c r="I270" s="40" t="s">
        <v>42</v>
      </c>
      <c r="J270" s="149">
        <v>150</v>
      </c>
      <c r="K270" s="66">
        <v>360</v>
      </c>
      <c r="L270" s="66">
        <v>850</v>
      </c>
      <c r="M270" s="164">
        <v>12.23614775668079</v>
      </c>
      <c r="N270" s="78">
        <v>577.03772149841996</v>
      </c>
      <c r="O270" s="113">
        <v>23881.10915315591</v>
      </c>
      <c r="P270" s="111">
        <v>29575.839901157087</v>
      </c>
      <c r="Q270" s="110">
        <v>13552.533650029018</v>
      </c>
      <c r="R270" s="258">
        <v>37433.642803184928</v>
      </c>
      <c r="S270" s="259">
        <v>43128.373551186101</v>
      </c>
      <c r="U270" s="7" t="s">
        <v>3557</v>
      </c>
    </row>
    <row r="271" spans="1:21" s="65" customFormat="1" ht="16.5" thickBot="1">
      <c r="A271" s="41" t="s">
        <v>31</v>
      </c>
      <c r="B271" s="42">
        <f t="shared" si="15"/>
        <v>150</v>
      </c>
      <c r="C271" s="42" t="s">
        <v>3</v>
      </c>
      <c r="D271" s="42">
        <f t="shared" si="16"/>
        <v>360</v>
      </c>
      <c r="E271" s="42" t="s">
        <v>3</v>
      </c>
      <c r="F271" s="90">
        <f t="shared" si="17"/>
        <v>900</v>
      </c>
      <c r="G271" s="42" t="s">
        <v>3</v>
      </c>
      <c r="H271" s="39">
        <v>6</v>
      </c>
      <c r="I271" s="40" t="s">
        <v>42</v>
      </c>
      <c r="J271" s="149">
        <v>150</v>
      </c>
      <c r="K271" s="66">
        <v>360</v>
      </c>
      <c r="L271" s="66">
        <v>900</v>
      </c>
      <c r="M271" s="164">
        <v>12.890705078162895</v>
      </c>
      <c r="N271" s="78">
        <v>634.74149364826201</v>
      </c>
      <c r="O271" s="113">
        <v>24899.60143420002</v>
      </c>
      <c r="P271" s="111">
        <v>30863.089563067038</v>
      </c>
      <c r="Q271" s="110">
        <v>14155.954534267206</v>
      </c>
      <c r="R271" s="258">
        <v>39055.555968467226</v>
      </c>
      <c r="S271" s="259">
        <v>45019.044097334248</v>
      </c>
      <c r="U271" s="7" t="s">
        <v>3558</v>
      </c>
    </row>
    <row r="272" spans="1:21" s="65" customFormat="1" ht="16.5" thickBot="1">
      <c r="A272" s="41" t="s">
        <v>31</v>
      </c>
      <c r="B272" s="42">
        <f t="shared" si="15"/>
        <v>150</v>
      </c>
      <c r="C272" s="42" t="s">
        <v>3</v>
      </c>
      <c r="D272" s="42">
        <f t="shared" si="16"/>
        <v>360</v>
      </c>
      <c r="E272" s="42" t="s">
        <v>3</v>
      </c>
      <c r="F272" s="90">
        <f t="shared" si="17"/>
        <v>950</v>
      </c>
      <c r="G272" s="42" t="s">
        <v>3</v>
      </c>
      <c r="H272" s="39">
        <v>6</v>
      </c>
      <c r="I272" s="40" t="s">
        <v>42</v>
      </c>
      <c r="J272" s="149">
        <v>150</v>
      </c>
      <c r="K272" s="66">
        <v>360</v>
      </c>
      <c r="L272" s="66">
        <v>950</v>
      </c>
      <c r="M272" s="164">
        <v>13.545262399645001</v>
      </c>
      <c r="N272" s="78">
        <v>692.44526579810395</v>
      </c>
      <c r="O272" s="113">
        <v>25918.426705837042</v>
      </c>
      <c r="P272" s="111">
        <v>32150.511535366524</v>
      </c>
      <c r="Q272" s="110">
        <v>15010.709556289165</v>
      </c>
      <c r="R272" s="258">
        <v>40929.136262126209</v>
      </c>
      <c r="S272" s="259">
        <v>47161.221091655687</v>
      </c>
      <c r="U272" s="7" t="s">
        <v>3559</v>
      </c>
    </row>
    <row r="273" spans="1:21" s="65" customFormat="1" ht="16.5" thickBot="1">
      <c r="A273" s="41" t="s">
        <v>31</v>
      </c>
      <c r="B273" s="42">
        <f t="shared" si="15"/>
        <v>150</v>
      </c>
      <c r="C273" s="42" t="s">
        <v>3</v>
      </c>
      <c r="D273" s="42">
        <f t="shared" si="16"/>
        <v>360</v>
      </c>
      <c r="E273" s="42" t="s">
        <v>3</v>
      </c>
      <c r="F273" s="90">
        <f t="shared" si="17"/>
        <v>1000</v>
      </c>
      <c r="G273" s="42" t="s">
        <v>3</v>
      </c>
      <c r="H273" s="39">
        <v>6</v>
      </c>
      <c r="I273" s="40" t="s">
        <v>42</v>
      </c>
      <c r="J273" s="149">
        <v>150</v>
      </c>
      <c r="K273" s="66">
        <v>360</v>
      </c>
      <c r="L273" s="66">
        <v>1000</v>
      </c>
      <c r="M273" s="164">
        <v>14.199819721127106</v>
      </c>
      <c r="N273" s="78">
        <v>750.149037947946</v>
      </c>
      <c r="O273" s="113">
        <v>26937.543038185337</v>
      </c>
      <c r="P273" s="111">
        <v>33438.084240999655</v>
      </c>
      <c r="Q273" s="110">
        <v>15614.130440527351</v>
      </c>
      <c r="R273" s="258">
        <v>42551.673478712692</v>
      </c>
      <c r="S273" s="259">
        <v>49052.21468152701</v>
      </c>
      <c r="U273" s="7" t="s">
        <v>3560</v>
      </c>
    </row>
    <row r="274" spans="1:21" s="65" customFormat="1" ht="16.5" thickBot="1">
      <c r="A274" s="41" t="s">
        <v>31</v>
      </c>
      <c r="B274" s="42">
        <f t="shared" si="15"/>
        <v>150</v>
      </c>
      <c r="C274" s="42" t="s">
        <v>3</v>
      </c>
      <c r="D274" s="42">
        <f t="shared" si="16"/>
        <v>360</v>
      </c>
      <c r="E274" s="42" t="s">
        <v>3</v>
      </c>
      <c r="F274" s="90">
        <f t="shared" si="17"/>
        <v>1050</v>
      </c>
      <c r="G274" s="42" t="s">
        <v>3</v>
      </c>
      <c r="H274" s="39">
        <v>6</v>
      </c>
      <c r="I274" s="40" t="s">
        <v>42</v>
      </c>
      <c r="J274" s="149">
        <v>150</v>
      </c>
      <c r="K274" s="66">
        <v>360</v>
      </c>
      <c r="L274" s="66">
        <v>1050</v>
      </c>
      <c r="M274" s="164">
        <v>14.854377042609212</v>
      </c>
      <c r="N274" s="78">
        <v>807.85281009778794</v>
      </c>
      <c r="O274" s="113">
        <v>27967.182087509915</v>
      </c>
      <c r="P274" s="111">
        <v>34738.766767912282</v>
      </c>
      <c r="Q274" s="110">
        <v>16468.885462549311</v>
      </c>
      <c r="R274" s="258">
        <v>44436.067550059226</v>
      </c>
      <c r="S274" s="259">
        <v>51207.652230461594</v>
      </c>
      <c r="U274" s="7" t="s">
        <v>3561</v>
      </c>
    </row>
    <row r="275" spans="1:21" s="65" customFormat="1" ht="16.5" thickBot="1">
      <c r="A275" s="38" t="s">
        <v>31</v>
      </c>
      <c r="B275" s="39">
        <f t="shared" si="15"/>
        <v>150</v>
      </c>
      <c r="C275" s="39" t="s">
        <v>3</v>
      </c>
      <c r="D275" s="39">
        <f t="shared" si="16"/>
        <v>360</v>
      </c>
      <c r="E275" s="39" t="s">
        <v>3</v>
      </c>
      <c r="F275" s="90">
        <f t="shared" si="17"/>
        <v>1100</v>
      </c>
      <c r="G275" s="39" t="s">
        <v>3</v>
      </c>
      <c r="H275" s="39">
        <v>6</v>
      </c>
      <c r="I275" s="40" t="s">
        <v>42</v>
      </c>
      <c r="J275" s="149">
        <v>150</v>
      </c>
      <c r="K275" s="66">
        <v>360</v>
      </c>
      <c r="L275" s="66">
        <v>1100</v>
      </c>
      <c r="M275" s="164">
        <v>15.508934364091317</v>
      </c>
      <c r="N275" s="78">
        <v>865.55658224762988</v>
      </c>
      <c r="O275" s="113">
        <v>28986.761025815176</v>
      </c>
      <c r="P275" s="111">
        <v>36026.57712721765</v>
      </c>
      <c r="Q275" s="110">
        <v>17072.3063467875</v>
      </c>
      <c r="R275" s="258">
        <v>46059.067372602673</v>
      </c>
      <c r="S275" s="259">
        <v>53098.883474005153</v>
      </c>
      <c r="U275" s="7" t="s">
        <v>3562</v>
      </c>
    </row>
    <row r="276" spans="1:21" s="65" customFormat="1" ht="16.5" thickBot="1">
      <c r="A276" s="41" t="s">
        <v>31</v>
      </c>
      <c r="B276" s="42">
        <f t="shared" si="15"/>
        <v>150</v>
      </c>
      <c r="C276" s="42" t="s">
        <v>3</v>
      </c>
      <c r="D276" s="42">
        <f t="shared" si="16"/>
        <v>360</v>
      </c>
      <c r="E276" s="42" t="s">
        <v>3</v>
      </c>
      <c r="F276" s="90">
        <f t="shared" si="17"/>
        <v>1150</v>
      </c>
      <c r="G276" s="42" t="s">
        <v>3</v>
      </c>
      <c r="H276" s="39">
        <v>6</v>
      </c>
      <c r="I276" s="40" t="s">
        <v>42</v>
      </c>
      <c r="J276" s="149">
        <v>150</v>
      </c>
      <c r="K276" s="66">
        <v>360</v>
      </c>
      <c r="L276" s="66">
        <v>1150</v>
      </c>
      <c r="M276" s="164">
        <v>16.163491685573423</v>
      </c>
      <c r="N276" s="78">
        <v>923.26035439747193</v>
      </c>
      <c r="O276" s="113">
        <v>30006.54196209041</v>
      </c>
      <c r="P276" s="111">
        <v>37314.493076370956</v>
      </c>
      <c r="Q276" s="110">
        <v>17675.727231025689</v>
      </c>
      <c r="R276" s="258">
        <v>47682.269193116095</v>
      </c>
      <c r="S276" s="259">
        <v>54990.220307396645</v>
      </c>
      <c r="U276" s="7" t="s">
        <v>3563</v>
      </c>
    </row>
    <row r="277" spans="1:21" s="65" customFormat="1" ht="16.5" thickBot="1">
      <c r="A277" s="41" t="s">
        <v>31</v>
      </c>
      <c r="B277" s="42">
        <f t="shared" si="15"/>
        <v>150</v>
      </c>
      <c r="C277" s="42" t="s">
        <v>3</v>
      </c>
      <c r="D277" s="42">
        <f t="shared" si="16"/>
        <v>360</v>
      </c>
      <c r="E277" s="42" t="s">
        <v>3</v>
      </c>
      <c r="F277" s="90">
        <f t="shared" si="17"/>
        <v>1200</v>
      </c>
      <c r="G277" s="42" t="s">
        <v>3</v>
      </c>
      <c r="H277" s="39">
        <v>6</v>
      </c>
      <c r="I277" s="40" t="s">
        <v>42</v>
      </c>
      <c r="J277" s="149">
        <v>150</v>
      </c>
      <c r="K277" s="66">
        <v>360</v>
      </c>
      <c r="L277" s="66">
        <v>1200</v>
      </c>
      <c r="M277" s="164">
        <v>16.935799007055525</v>
      </c>
      <c r="N277" s="78">
        <v>980.96412654731387</v>
      </c>
      <c r="O277" s="113">
        <v>31160.243114618243</v>
      </c>
      <c r="P277" s="111">
        <v>38739.316210243342</v>
      </c>
      <c r="Q277" s="110">
        <v>18530.482406076411</v>
      </c>
      <c r="R277" s="258">
        <v>49690.725520694657</v>
      </c>
      <c r="S277" s="259">
        <v>57269.798616319749</v>
      </c>
      <c r="U277" s="7" t="s">
        <v>3564</v>
      </c>
    </row>
    <row r="278" spans="1:21" s="7" customFormat="1" ht="16.5" thickBot="1">
      <c r="A278" s="41" t="s">
        <v>31</v>
      </c>
      <c r="B278" s="42">
        <f t="shared" si="15"/>
        <v>150</v>
      </c>
      <c r="C278" s="42" t="s">
        <v>3</v>
      </c>
      <c r="D278" s="42">
        <f t="shared" si="16"/>
        <v>360</v>
      </c>
      <c r="E278" s="42" t="s">
        <v>3</v>
      </c>
      <c r="F278" s="90">
        <f t="shared" si="17"/>
        <v>1250</v>
      </c>
      <c r="G278" s="42" t="s">
        <v>3</v>
      </c>
      <c r="H278" s="39">
        <v>6</v>
      </c>
      <c r="I278" s="40" t="s">
        <v>42</v>
      </c>
      <c r="J278" s="149">
        <v>150</v>
      </c>
      <c r="K278" s="66">
        <v>360</v>
      </c>
      <c r="L278" s="66">
        <v>1250</v>
      </c>
      <c r="M278" s="164">
        <v>17.590356328537631</v>
      </c>
      <c r="N278" s="78">
        <v>1038.667898697156</v>
      </c>
      <c r="O278" s="113">
        <v>32180.37066104648</v>
      </c>
      <c r="P278" s="111">
        <v>40027.390238111024</v>
      </c>
      <c r="Q278" s="110">
        <v>19133.9032903146</v>
      </c>
      <c r="R278" s="258">
        <v>51314.27395136108</v>
      </c>
      <c r="S278" s="259">
        <v>59161.293528425624</v>
      </c>
      <c r="U278" s="7" t="s">
        <v>3565</v>
      </c>
    </row>
    <row r="279" spans="1:21" s="7" customFormat="1" ht="16.5" thickBot="1">
      <c r="A279" s="41" t="s">
        <v>31</v>
      </c>
      <c r="B279" s="42">
        <f t="shared" si="15"/>
        <v>150</v>
      </c>
      <c r="C279" s="42" t="s">
        <v>3</v>
      </c>
      <c r="D279" s="42">
        <f t="shared" si="16"/>
        <v>360</v>
      </c>
      <c r="E279" s="42" t="s">
        <v>3</v>
      </c>
      <c r="F279" s="90">
        <f t="shared" si="17"/>
        <v>1300</v>
      </c>
      <c r="G279" s="42" t="s">
        <v>3</v>
      </c>
      <c r="H279" s="39">
        <v>6</v>
      </c>
      <c r="I279" s="40" t="s">
        <v>42</v>
      </c>
      <c r="J279" s="149">
        <v>150</v>
      </c>
      <c r="K279" s="66">
        <v>360</v>
      </c>
      <c r="L279" s="66">
        <v>1300</v>
      </c>
      <c r="M279" s="164">
        <v>18.244913650019736</v>
      </c>
      <c r="N279" s="78">
        <v>1096.3716708469979</v>
      </c>
      <c r="O279" s="113">
        <v>33200.642207542696</v>
      </c>
      <c r="P279" s="111">
        <v>41315.54154550509</v>
      </c>
      <c r="Q279" s="110">
        <v>19988.658312336556</v>
      </c>
      <c r="R279" s="258">
        <v>53189.300519879253</v>
      </c>
      <c r="S279" s="259">
        <v>61304.199857841646</v>
      </c>
      <c r="U279" s="7" t="s">
        <v>3566</v>
      </c>
    </row>
    <row r="280" spans="1:21" s="7" customFormat="1" ht="16.5" thickBot="1">
      <c r="A280" s="41" t="s">
        <v>31</v>
      </c>
      <c r="B280" s="42">
        <f t="shared" si="15"/>
        <v>150</v>
      </c>
      <c r="C280" s="42" t="s">
        <v>3</v>
      </c>
      <c r="D280" s="42">
        <f t="shared" si="16"/>
        <v>360</v>
      </c>
      <c r="E280" s="42" t="s">
        <v>3</v>
      </c>
      <c r="F280" s="90">
        <f t="shared" si="17"/>
        <v>1350</v>
      </c>
      <c r="G280" s="42" t="s">
        <v>3</v>
      </c>
      <c r="H280" s="39">
        <v>6</v>
      </c>
      <c r="I280" s="40" t="s">
        <v>42</v>
      </c>
      <c r="J280" s="149">
        <v>150</v>
      </c>
      <c r="K280" s="66">
        <v>360</v>
      </c>
      <c r="L280" s="66">
        <v>1350</v>
      </c>
      <c r="M280" s="164">
        <v>18.899470971501842</v>
      </c>
      <c r="N280" s="78">
        <v>1154.0754429968399</v>
      </c>
      <c r="O280" s="113">
        <v>34221.043369402971</v>
      </c>
      <c r="P280" s="111">
        <v>42603.762634016057</v>
      </c>
      <c r="Q280" s="110">
        <v>20592.079196574745</v>
      </c>
      <c r="R280" s="258">
        <v>54813.122565977712</v>
      </c>
      <c r="S280" s="259">
        <v>63195.841830590798</v>
      </c>
      <c r="U280" s="7" t="s">
        <v>3567</v>
      </c>
    </row>
    <row r="281" spans="1:21" s="7" customFormat="1" ht="16.5" thickBot="1">
      <c r="A281" s="41" t="s">
        <v>31</v>
      </c>
      <c r="B281" s="42">
        <f t="shared" si="15"/>
        <v>150</v>
      </c>
      <c r="C281" s="42" t="s">
        <v>3</v>
      </c>
      <c r="D281" s="42">
        <f t="shared" si="16"/>
        <v>360</v>
      </c>
      <c r="E281" s="42" t="s">
        <v>3</v>
      </c>
      <c r="F281" s="90">
        <f t="shared" si="17"/>
        <v>1400</v>
      </c>
      <c r="G281" s="42" t="s">
        <v>3</v>
      </c>
      <c r="H281" s="39">
        <v>6</v>
      </c>
      <c r="I281" s="40" t="s">
        <v>42</v>
      </c>
      <c r="J281" s="149">
        <v>150</v>
      </c>
      <c r="K281" s="66">
        <v>360</v>
      </c>
      <c r="L281" s="66">
        <v>1400</v>
      </c>
      <c r="M281" s="164">
        <v>19.554028292983947</v>
      </c>
      <c r="N281" s="78">
        <v>1211.779215146682</v>
      </c>
      <c r="O281" s="113">
        <v>35241.562210383636</v>
      </c>
      <c r="P281" s="111">
        <v>43892.047076435789</v>
      </c>
      <c r="Q281" s="110">
        <v>21446.834218596705</v>
      </c>
      <c r="R281" s="258">
        <v>56688.396428980341</v>
      </c>
      <c r="S281" s="259">
        <v>65338.881295032494</v>
      </c>
      <c r="U281" s="7" t="s">
        <v>3568</v>
      </c>
    </row>
    <row r="282" spans="1:21" s="7" customFormat="1" ht="16.5" thickBot="1">
      <c r="A282" s="41" t="s">
        <v>31</v>
      </c>
      <c r="B282" s="42">
        <f t="shared" si="15"/>
        <v>150</v>
      </c>
      <c r="C282" s="42" t="s">
        <v>3</v>
      </c>
      <c r="D282" s="42">
        <f t="shared" si="16"/>
        <v>360</v>
      </c>
      <c r="E282" s="42" t="s">
        <v>3</v>
      </c>
      <c r="F282" s="90">
        <f t="shared" si="17"/>
        <v>1450</v>
      </c>
      <c r="G282" s="42" t="s">
        <v>3</v>
      </c>
      <c r="H282" s="39">
        <v>6</v>
      </c>
      <c r="I282" s="40" t="s">
        <v>42</v>
      </c>
      <c r="J282" s="149">
        <v>150</v>
      </c>
      <c r="K282" s="66">
        <v>360</v>
      </c>
      <c r="L282" s="66">
        <v>1450</v>
      </c>
      <c r="M282" s="164">
        <v>20.208585614466053</v>
      </c>
      <c r="N282" s="78">
        <v>1269.482987296524</v>
      </c>
      <c r="O282" s="113">
        <v>36262.188018471119</v>
      </c>
      <c r="P282" s="111">
        <v>45180.389210699963</v>
      </c>
      <c r="Q282" s="110">
        <v>22050.255102834893</v>
      </c>
      <c r="R282" s="258">
        <v>58312.443121306016</v>
      </c>
      <c r="S282" s="259">
        <v>67230.644313534853</v>
      </c>
      <c r="U282" s="7" t="s">
        <v>3569</v>
      </c>
    </row>
    <row r="283" spans="1:21" s="7" customFormat="1" ht="16.5" thickBot="1">
      <c r="A283" s="41" t="s">
        <v>31</v>
      </c>
      <c r="B283" s="42">
        <f t="shared" si="15"/>
        <v>150</v>
      </c>
      <c r="C283" s="42" t="s">
        <v>3</v>
      </c>
      <c r="D283" s="42">
        <f t="shared" si="16"/>
        <v>360</v>
      </c>
      <c r="E283" s="42" t="s">
        <v>3</v>
      </c>
      <c r="F283" s="90">
        <f t="shared" si="17"/>
        <v>1500</v>
      </c>
      <c r="G283" s="42" t="s">
        <v>3</v>
      </c>
      <c r="H283" s="39">
        <v>6</v>
      </c>
      <c r="I283" s="40" t="s">
        <v>42</v>
      </c>
      <c r="J283" s="149">
        <v>150</v>
      </c>
      <c r="K283" s="66">
        <v>360</v>
      </c>
      <c r="L283" s="66">
        <v>1500</v>
      </c>
      <c r="M283" s="164">
        <v>21.066372314248159</v>
      </c>
      <c r="N283" s="78">
        <v>1327.1867594463658</v>
      </c>
      <c r="O283" s="113">
        <v>38069.109288099186</v>
      </c>
      <c r="P283" s="111">
        <v>47267.187390354142</v>
      </c>
      <c r="Q283" s="110">
        <v>22905.01012485685</v>
      </c>
      <c r="R283" s="258">
        <v>60974.119412956032</v>
      </c>
      <c r="S283" s="259">
        <v>70172.197515210995</v>
      </c>
      <c r="U283" s="7" t="s">
        <v>3570</v>
      </c>
    </row>
    <row r="284" spans="1:21" s="7" customFormat="1" ht="16.5" thickBot="1">
      <c r="A284" s="41" t="s">
        <v>31</v>
      </c>
      <c r="B284" s="42">
        <f t="shared" si="15"/>
        <v>150</v>
      </c>
      <c r="C284" s="42" t="s">
        <v>3</v>
      </c>
      <c r="D284" s="42">
        <f t="shared" si="16"/>
        <v>360</v>
      </c>
      <c r="E284" s="42" t="s">
        <v>3</v>
      </c>
      <c r="F284" s="90">
        <f t="shared" si="17"/>
        <v>1550</v>
      </c>
      <c r="G284" s="42" t="s">
        <v>3</v>
      </c>
      <c r="H284" s="39">
        <v>6</v>
      </c>
      <c r="I284" s="40" t="s">
        <v>42</v>
      </c>
      <c r="J284" s="149">
        <v>150</v>
      </c>
      <c r="K284" s="66">
        <v>360</v>
      </c>
      <c r="L284" s="66">
        <v>1550</v>
      </c>
      <c r="M284" s="164">
        <v>21.720929635730265</v>
      </c>
      <c r="N284" s="78">
        <v>1384.8905315962079</v>
      </c>
      <c r="O284" s="113">
        <v>39089.711070670543</v>
      </c>
      <c r="P284" s="111">
        <v>48555.675667089017</v>
      </c>
      <c r="Q284" s="110">
        <v>23508.431009095038</v>
      </c>
      <c r="R284" s="258">
        <v>62598.142079765581</v>
      </c>
      <c r="S284" s="259">
        <v>72064.106676184048</v>
      </c>
      <c r="U284" s="7" t="s">
        <v>3571</v>
      </c>
    </row>
    <row r="285" spans="1:21" s="7" customFormat="1" ht="16.5" thickBot="1">
      <c r="A285" s="38" t="s">
        <v>31</v>
      </c>
      <c r="B285" s="39">
        <f t="shared" si="15"/>
        <v>150</v>
      </c>
      <c r="C285" s="39" t="s">
        <v>3</v>
      </c>
      <c r="D285" s="39">
        <f t="shared" si="16"/>
        <v>360</v>
      </c>
      <c r="E285" s="39" t="s">
        <v>3</v>
      </c>
      <c r="F285" s="90">
        <f t="shared" si="17"/>
        <v>1600</v>
      </c>
      <c r="G285" s="39" t="s">
        <v>3</v>
      </c>
      <c r="H285" s="39">
        <v>6</v>
      </c>
      <c r="I285" s="40" t="s">
        <v>42</v>
      </c>
      <c r="J285" s="149">
        <v>150</v>
      </c>
      <c r="K285" s="66">
        <v>360</v>
      </c>
      <c r="L285" s="66">
        <v>1600</v>
      </c>
      <c r="M285" s="164">
        <v>22.375486957212367</v>
      </c>
      <c r="N285" s="78">
        <v>1442.5943037460499</v>
      </c>
      <c r="O285" s="113">
        <v>40110.404670500975</v>
      </c>
      <c r="P285" s="111">
        <v>49844.204955532943</v>
      </c>
      <c r="Q285" s="110">
        <v>24111.851893333227</v>
      </c>
      <c r="R285" s="258">
        <v>64222.256563834206</v>
      </c>
      <c r="S285" s="259">
        <v>73956.056848866167</v>
      </c>
      <c r="U285" s="7" t="s">
        <v>3572</v>
      </c>
    </row>
    <row r="286" spans="1:21" s="7" customFormat="1" ht="16.5" thickBot="1">
      <c r="A286" s="41" t="s">
        <v>31</v>
      </c>
      <c r="B286" s="42">
        <f t="shared" si="15"/>
        <v>150</v>
      </c>
      <c r="C286" s="42" t="s">
        <v>3</v>
      </c>
      <c r="D286" s="42">
        <f t="shared" si="16"/>
        <v>360</v>
      </c>
      <c r="E286" s="42" t="s">
        <v>3</v>
      </c>
      <c r="F286" s="90">
        <f t="shared" si="17"/>
        <v>1650</v>
      </c>
      <c r="G286" s="42" t="s">
        <v>3</v>
      </c>
      <c r="H286" s="39">
        <v>6</v>
      </c>
      <c r="I286" s="40" t="s">
        <v>42</v>
      </c>
      <c r="J286" s="149">
        <v>150</v>
      </c>
      <c r="K286" s="66">
        <v>360</v>
      </c>
      <c r="L286" s="66">
        <v>1650</v>
      </c>
      <c r="M286" s="164">
        <v>23.030044278694476</v>
      </c>
      <c r="N286" s="78">
        <v>1500.298075895892</v>
      </c>
      <c r="O286" s="113">
        <v>41131.182742209756</v>
      </c>
      <c r="P286" s="111">
        <v>51132.771889053096</v>
      </c>
      <c r="Q286" s="110">
        <v>24966.606915355183</v>
      </c>
      <c r="R286" s="258">
        <v>66097.789657564936</v>
      </c>
      <c r="S286" s="259">
        <v>76099.378804408276</v>
      </c>
      <c r="U286" s="7" t="s">
        <v>3573</v>
      </c>
    </row>
    <row r="287" spans="1:21" s="7" customFormat="1" ht="16.5" thickBot="1">
      <c r="A287" s="41" t="s">
        <v>31</v>
      </c>
      <c r="B287" s="42">
        <f t="shared" si="15"/>
        <v>150</v>
      </c>
      <c r="C287" s="42" t="s">
        <v>3</v>
      </c>
      <c r="D287" s="42">
        <f t="shared" si="16"/>
        <v>360</v>
      </c>
      <c r="E287" s="42" t="s">
        <v>3</v>
      </c>
      <c r="F287" s="90">
        <f t="shared" si="17"/>
        <v>1700</v>
      </c>
      <c r="G287" s="42" t="s">
        <v>3</v>
      </c>
      <c r="H287" s="39">
        <v>6</v>
      </c>
      <c r="I287" s="40" t="s">
        <v>42</v>
      </c>
      <c r="J287" s="149">
        <v>150</v>
      </c>
      <c r="K287" s="66">
        <v>360</v>
      </c>
      <c r="L287" s="66">
        <v>1700</v>
      </c>
      <c r="M287" s="164">
        <v>23.684601600176578</v>
      </c>
      <c r="N287" s="78">
        <v>1558.0018480457341</v>
      </c>
      <c r="O287" s="113">
        <v>42152.038858588749</v>
      </c>
      <c r="P287" s="111">
        <v>52421.373560102918</v>
      </c>
      <c r="Q287" s="110">
        <v>25570.027799593372</v>
      </c>
      <c r="R287" s="258">
        <v>67722.066658182128</v>
      </c>
      <c r="S287" s="259">
        <v>77991.40135969629</v>
      </c>
      <c r="U287" s="7" t="s">
        <v>3574</v>
      </c>
    </row>
    <row r="288" spans="1:21" s="7" customFormat="1" ht="16.5" thickBot="1">
      <c r="A288" s="41" t="s">
        <v>31</v>
      </c>
      <c r="B288" s="42">
        <f t="shared" si="15"/>
        <v>150</v>
      </c>
      <c r="C288" s="42" t="s">
        <v>3</v>
      </c>
      <c r="D288" s="42">
        <f t="shared" si="16"/>
        <v>360</v>
      </c>
      <c r="E288" s="42" t="s">
        <v>3</v>
      </c>
      <c r="F288" s="90">
        <f t="shared" si="17"/>
        <v>1750</v>
      </c>
      <c r="G288" s="42" t="s">
        <v>3</v>
      </c>
      <c r="H288" s="39">
        <v>6</v>
      </c>
      <c r="I288" s="40" t="s">
        <v>42</v>
      </c>
      <c r="J288" s="149">
        <v>150</v>
      </c>
      <c r="K288" s="66">
        <v>360</v>
      </c>
      <c r="L288" s="66">
        <v>1750</v>
      </c>
      <c r="M288" s="164">
        <v>24.339158921658683</v>
      </c>
      <c r="N288" s="78">
        <v>1615.7056201955759</v>
      </c>
      <c r="O288" s="113">
        <v>43172.966898487357</v>
      </c>
      <c r="P288" s="111">
        <v>53710.007520222192</v>
      </c>
      <c r="Q288" s="110">
        <v>26424.782821615332</v>
      </c>
      <c r="R288" s="258">
        <v>69597.749720102685</v>
      </c>
      <c r="S288" s="259">
        <v>80134.790341837521</v>
      </c>
      <c r="U288" s="7" t="s">
        <v>3575</v>
      </c>
    </row>
    <row r="289" spans="1:21" s="7" customFormat="1" ht="16.5" thickBot="1">
      <c r="A289" s="41" t="s">
        <v>31</v>
      </c>
      <c r="B289" s="42">
        <f t="shared" si="15"/>
        <v>150</v>
      </c>
      <c r="C289" s="42" t="s">
        <v>3</v>
      </c>
      <c r="D289" s="42">
        <f t="shared" si="16"/>
        <v>360</v>
      </c>
      <c r="E289" s="42" t="s">
        <v>3</v>
      </c>
      <c r="F289" s="90">
        <f t="shared" si="17"/>
        <v>1800</v>
      </c>
      <c r="G289" s="42" t="s">
        <v>3</v>
      </c>
      <c r="H289" s="39">
        <v>6</v>
      </c>
      <c r="I289" s="40" t="s">
        <v>42</v>
      </c>
      <c r="J289" s="149">
        <v>150</v>
      </c>
      <c r="K289" s="66">
        <v>360</v>
      </c>
      <c r="L289" s="66">
        <v>1800</v>
      </c>
      <c r="M289" s="164">
        <v>24.993716243140788</v>
      </c>
      <c r="N289" s="78">
        <v>1673.4093923454179</v>
      </c>
      <c r="O289" s="113">
        <v>44193.961505898784</v>
      </c>
      <c r="P289" s="111">
        <v>54998.671167921908</v>
      </c>
      <c r="Q289" s="110">
        <v>27028.203705853517</v>
      </c>
      <c r="R289" s="258">
        <v>71222.165211752304</v>
      </c>
      <c r="S289" s="259">
        <v>82026.874873775421</v>
      </c>
      <c r="U289" s="7" t="s">
        <v>3576</v>
      </c>
    </row>
    <row r="290" spans="1:21" s="7" customFormat="1" ht="16.5" thickBot="1">
      <c r="A290" s="41" t="s">
        <v>31</v>
      </c>
      <c r="B290" s="42">
        <f t="shared" si="15"/>
        <v>150</v>
      </c>
      <c r="C290" s="42" t="s">
        <v>3</v>
      </c>
      <c r="D290" s="42">
        <f t="shared" si="16"/>
        <v>360</v>
      </c>
      <c r="E290" s="42" t="s">
        <v>3</v>
      </c>
      <c r="F290" s="90">
        <f t="shared" si="17"/>
        <v>1850</v>
      </c>
      <c r="G290" s="42" t="s">
        <v>3</v>
      </c>
      <c r="H290" s="39">
        <v>6</v>
      </c>
      <c r="I290" s="40" t="s">
        <v>42</v>
      </c>
      <c r="J290" s="149">
        <v>150</v>
      </c>
      <c r="K290" s="66">
        <v>360</v>
      </c>
      <c r="L290" s="66">
        <v>1850</v>
      </c>
      <c r="M290" s="164">
        <v>25.648273564622897</v>
      </c>
      <c r="N290" s="78">
        <v>1731.1131644952598</v>
      </c>
      <c r="O290" s="113">
        <v>45215.017936931334</v>
      </c>
      <c r="P290" s="111">
        <v>56287.362513828099</v>
      </c>
      <c r="Q290" s="110">
        <v>27882.958880904247</v>
      </c>
      <c r="R290" s="258">
        <v>73097.976817835588</v>
      </c>
      <c r="S290" s="259">
        <v>84170.321394732338</v>
      </c>
      <c r="U290" s="7" t="s">
        <v>3577</v>
      </c>
    </row>
    <row r="291" spans="1:21" s="7" customFormat="1" ht="16.5" thickBot="1">
      <c r="A291" s="41" t="s">
        <v>31</v>
      </c>
      <c r="B291" s="42">
        <f t="shared" si="15"/>
        <v>150</v>
      </c>
      <c r="C291" s="42" t="s">
        <v>3</v>
      </c>
      <c r="D291" s="42">
        <f t="shared" si="16"/>
        <v>360</v>
      </c>
      <c r="E291" s="42" t="s">
        <v>3</v>
      </c>
      <c r="F291" s="90">
        <f t="shared" si="17"/>
        <v>1900</v>
      </c>
      <c r="G291" s="42" t="s">
        <v>3</v>
      </c>
      <c r="H291" s="39">
        <v>6</v>
      </c>
      <c r="I291" s="40" t="s">
        <v>42</v>
      </c>
      <c r="J291" s="149">
        <v>150</v>
      </c>
      <c r="K291" s="66">
        <v>360</v>
      </c>
      <c r="L291" s="66">
        <v>1900</v>
      </c>
      <c r="M291" s="164">
        <v>26.302830886104999</v>
      </c>
      <c r="N291" s="78">
        <v>1788.8169366451018</v>
      </c>
      <c r="O291" s="113">
        <v>46236.1317537508</v>
      </c>
      <c r="P291" s="111">
        <v>57576.079415538072</v>
      </c>
      <c r="Q291" s="110">
        <v>28486.379765142432</v>
      </c>
      <c r="R291" s="258">
        <v>74722.51151889324</v>
      </c>
      <c r="S291" s="259">
        <v>86062.459180680511</v>
      </c>
      <c r="U291" s="7" t="s">
        <v>3578</v>
      </c>
    </row>
    <row r="292" spans="1:21" s="7" customFormat="1" ht="16.5" thickBot="1">
      <c r="A292" s="41" t="s">
        <v>31</v>
      </c>
      <c r="B292" s="42">
        <f t="shared" si="15"/>
        <v>150</v>
      </c>
      <c r="C292" s="42" t="s">
        <v>3</v>
      </c>
      <c r="D292" s="42">
        <f t="shared" si="16"/>
        <v>360</v>
      </c>
      <c r="E292" s="42" t="s">
        <v>3</v>
      </c>
      <c r="F292" s="90">
        <f t="shared" si="17"/>
        <v>1950</v>
      </c>
      <c r="G292" s="42" t="s">
        <v>3</v>
      </c>
      <c r="H292" s="39">
        <v>6</v>
      </c>
      <c r="I292" s="40" t="s">
        <v>42</v>
      </c>
      <c r="J292" s="149">
        <v>150</v>
      </c>
      <c r="K292" s="66">
        <v>360</v>
      </c>
      <c r="L292" s="66">
        <v>1950</v>
      </c>
      <c r="M292" s="164">
        <v>27.075138207587106</v>
      </c>
      <c r="N292" s="78">
        <v>1846.5207087949439</v>
      </c>
      <c r="O292" s="113">
        <v>47391.063869665304</v>
      </c>
      <c r="P292" s="111">
        <v>59001.460798345637</v>
      </c>
      <c r="Q292" s="110">
        <v>29089.800649380621</v>
      </c>
      <c r="R292" s="258">
        <v>76480.864519045921</v>
      </c>
      <c r="S292" s="259">
        <v>88091.261447726254</v>
      </c>
      <c r="U292" s="7" t="s">
        <v>3579</v>
      </c>
    </row>
    <row r="293" spans="1:21" s="7" customFormat="1" ht="16.5" thickBot="1">
      <c r="A293" s="41" t="s">
        <v>31</v>
      </c>
      <c r="B293" s="42">
        <f t="shared" si="15"/>
        <v>150</v>
      </c>
      <c r="C293" s="42" t="s">
        <v>3</v>
      </c>
      <c r="D293" s="42">
        <f t="shared" si="16"/>
        <v>360</v>
      </c>
      <c r="E293" s="42" t="s">
        <v>3</v>
      </c>
      <c r="F293" s="90">
        <f t="shared" si="17"/>
        <v>2000</v>
      </c>
      <c r="G293" s="42" t="s">
        <v>3</v>
      </c>
      <c r="H293" s="39">
        <v>6</v>
      </c>
      <c r="I293" s="40" t="s">
        <v>42</v>
      </c>
      <c r="J293" s="149">
        <v>150</v>
      </c>
      <c r="K293" s="66">
        <v>360</v>
      </c>
      <c r="L293" s="66">
        <v>2000</v>
      </c>
      <c r="M293" s="164">
        <v>27.821257929069212</v>
      </c>
      <c r="N293" s="78">
        <v>1904.2244809447857</v>
      </c>
      <c r="O293" s="113">
        <v>48677.262376987608</v>
      </c>
      <c r="P293" s="111">
        <v>60644.922556160236</v>
      </c>
      <c r="Q293" s="110">
        <v>29944.555671402581</v>
      </c>
      <c r="R293" s="258">
        <v>78621.818048390182</v>
      </c>
      <c r="S293" s="259">
        <v>90589.478227562824</v>
      </c>
      <c r="U293" s="7" t="s">
        <v>3580</v>
      </c>
    </row>
    <row r="294" spans="1:21" s="7" customFormat="1" ht="16.5" thickBot="1">
      <c r="A294" s="41" t="s">
        <v>31</v>
      </c>
      <c r="B294" s="42">
        <f t="shared" si="15"/>
        <v>150</v>
      </c>
      <c r="C294" s="42" t="s">
        <v>3</v>
      </c>
      <c r="D294" s="42">
        <f t="shared" si="16"/>
        <v>360</v>
      </c>
      <c r="E294" s="42" t="s">
        <v>3</v>
      </c>
      <c r="F294" s="90">
        <f t="shared" si="17"/>
        <v>2050</v>
      </c>
      <c r="G294" s="42" t="s">
        <v>3</v>
      </c>
      <c r="H294" s="39">
        <v>6</v>
      </c>
      <c r="I294" s="40" t="s">
        <v>42</v>
      </c>
      <c r="J294" s="149">
        <v>150</v>
      </c>
      <c r="K294" s="66">
        <v>360</v>
      </c>
      <c r="L294" s="66">
        <v>2050</v>
      </c>
      <c r="M294" s="164">
        <v>28.475815250551314</v>
      </c>
      <c r="N294" s="78">
        <v>1961.9282530946277</v>
      </c>
      <c r="O294" s="113">
        <v>49698.504584941016</v>
      </c>
      <c r="P294" s="111">
        <v>61933.683836212098</v>
      </c>
      <c r="Q294" s="110">
        <v>30547.976555640766</v>
      </c>
      <c r="R294" s="258">
        <v>80246.481140581775</v>
      </c>
      <c r="S294" s="259">
        <v>92481.660391852871</v>
      </c>
      <c r="U294" s="7" t="s">
        <v>3581</v>
      </c>
    </row>
    <row r="295" spans="1:21" s="7" customFormat="1" ht="16.5" thickBot="1">
      <c r="A295" s="38" t="s">
        <v>31</v>
      </c>
      <c r="B295" s="39">
        <f t="shared" si="15"/>
        <v>150</v>
      </c>
      <c r="C295" s="39" t="s">
        <v>3</v>
      </c>
      <c r="D295" s="39">
        <f t="shared" si="16"/>
        <v>360</v>
      </c>
      <c r="E295" s="39" t="s">
        <v>3</v>
      </c>
      <c r="F295" s="90">
        <f t="shared" si="17"/>
        <v>2100</v>
      </c>
      <c r="G295" s="39" t="s">
        <v>3</v>
      </c>
      <c r="H295" s="39">
        <v>6</v>
      </c>
      <c r="I295" s="40" t="s">
        <v>42</v>
      </c>
      <c r="J295" s="149">
        <v>150</v>
      </c>
      <c r="K295" s="66">
        <v>360</v>
      </c>
      <c r="L295" s="66">
        <v>2100</v>
      </c>
      <c r="M295" s="164">
        <v>29.130372572033423</v>
      </c>
      <c r="N295" s="78">
        <v>2019.6320252444698</v>
      </c>
      <c r="O295" s="113">
        <v>50719.791018207543</v>
      </c>
      <c r="P295" s="111">
        <v>63222.465469089715</v>
      </c>
      <c r="Q295" s="110">
        <v>31402.731577662726</v>
      </c>
      <c r="R295" s="258">
        <v>82122.522595870265</v>
      </c>
      <c r="S295" s="259">
        <v>94625.197046752437</v>
      </c>
      <c r="U295" s="7" t="s">
        <v>3582</v>
      </c>
    </row>
    <row r="296" spans="1:21" s="7" customFormat="1" ht="16.5" thickBot="1">
      <c r="A296" s="41" t="s">
        <v>31</v>
      </c>
      <c r="B296" s="42">
        <f t="shared" si="15"/>
        <v>150</v>
      </c>
      <c r="C296" s="42" t="s">
        <v>3</v>
      </c>
      <c r="D296" s="42">
        <f t="shared" si="16"/>
        <v>360</v>
      </c>
      <c r="E296" s="42" t="s">
        <v>3</v>
      </c>
      <c r="F296" s="90">
        <f t="shared" si="17"/>
        <v>2150</v>
      </c>
      <c r="G296" s="42" t="s">
        <v>3</v>
      </c>
      <c r="H296" s="39">
        <v>6</v>
      </c>
      <c r="I296" s="40" t="s">
        <v>42</v>
      </c>
      <c r="J296" s="149">
        <v>150</v>
      </c>
      <c r="K296" s="66">
        <v>360</v>
      </c>
      <c r="L296" s="66">
        <v>2150</v>
      </c>
      <c r="M296" s="164">
        <v>29.784929893515525</v>
      </c>
      <c r="N296" s="78">
        <v>2077.3357973943121</v>
      </c>
      <c r="O296" s="113">
        <v>51741.11861621189</v>
      </c>
      <c r="P296" s="111">
        <v>64511.266230562986</v>
      </c>
      <c r="Q296" s="110">
        <v>32006.152461900914</v>
      </c>
      <c r="R296" s="258">
        <v>83747.271078112797</v>
      </c>
      <c r="S296" s="259">
        <v>96517.418692463893</v>
      </c>
      <c r="U296" s="7" t="s">
        <v>3583</v>
      </c>
    </row>
    <row r="297" spans="1:21" s="7" customFormat="1" ht="16.5" thickBot="1">
      <c r="A297" s="41" t="s">
        <v>31</v>
      </c>
      <c r="B297" s="42">
        <f t="shared" si="15"/>
        <v>150</v>
      </c>
      <c r="C297" s="42" t="s">
        <v>3</v>
      </c>
      <c r="D297" s="42">
        <f t="shared" si="16"/>
        <v>360</v>
      </c>
      <c r="E297" s="42" t="s">
        <v>3</v>
      </c>
      <c r="F297" s="90">
        <f t="shared" si="17"/>
        <v>2200</v>
      </c>
      <c r="G297" s="42" t="s">
        <v>3</v>
      </c>
      <c r="H297" s="39">
        <v>6</v>
      </c>
      <c r="I297" s="40" t="s">
        <v>42</v>
      </c>
      <c r="J297" s="149">
        <v>150</v>
      </c>
      <c r="K297" s="66">
        <v>360</v>
      </c>
      <c r="L297" s="66">
        <v>2200</v>
      </c>
      <c r="M297" s="164">
        <v>30.439487214997627</v>
      </c>
      <c r="N297" s="78">
        <v>2135.0395695441539</v>
      </c>
      <c r="O297" s="113">
        <v>52762.485236551343</v>
      </c>
      <c r="P297" s="111">
        <v>65800.084896401764</v>
      </c>
      <c r="Q297" s="110">
        <v>32860.907483922878</v>
      </c>
      <c r="R297" s="258">
        <v>85623.392720474221</v>
      </c>
      <c r="S297" s="259">
        <v>98660.992380324635</v>
      </c>
      <c r="U297" s="7" t="s">
        <v>3584</v>
      </c>
    </row>
    <row r="298" spans="1:21" s="7" customFormat="1" ht="16.5" thickBot="1">
      <c r="A298" s="41" t="s">
        <v>31</v>
      </c>
      <c r="B298" s="42">
        <f t="shared" si="15"/>
        <v>150</v>
      </c>
      <c r="C298" s="42" t="s">
        <v>3</v>
      </c>
      <c r="D298" s="42">
        <f t="shared" si="16"/>
        <v>360</v>
      </c>
      <c r="E298" s="42" t="s">
        <v>3</v>
      </c>
      <c r="F298" s="90">
        <f t="shared" si="17"/>
        <v>2250</v>
      </c>
      <c r="G298" s="42" t="s">
        <v>3</v>
      </c>
      <c r="H298" s="39">
        <v>6</v>
      </c>
      <c r="I298" s="40" t="s">
        <v>42</v>
      </c>
      <c r="J298" s="149">
        <v>150</v>
      </c>
      <c r="K298" s="66">
        <v>360</v>
      </c>
      <c r="L298" s="66">
        <v>2250</v>
      </c>
      <c r="M298" s="164">
        <v>31.094044536479736</v>
      </c>
      <c r="N298" s="78">
        <v>2192.7433416939957</v>
      </c>
      <c r="O298" s="113">
        <v>53783.888124708137</v>
      </c>
      <c r="P298" s="111">
        <v>67088.920548433467</v>
      </c>
      <c r="Q298" s="110">
        <v>33464.328368161063</v>
      </c>
      <c r="R298" s="258">
        <v>87248.216492869193</v>
      </c>
      <c r="S298" s="259">
        <v>100553.24891659453</v>
      </c>
      <c r="U298" s="7" t="s">
        <v>3585</v>
      </c>
    </row>
    <row r="299" spans="1:21" s="7" customFormat="1" ht="16.5" thickBot="1">
      <c r="A299" s="41" t="s">
        <v>31</v>
      </c>
      <c r="B299" s="42">
        <f t="shared" si="15"/>
        <v>150</v>
      </c>
      <c r="C299" s="42" t="s">
        <v>3</v>
      </c>
      <c r="D299" s="42">
        <f t="shared" si="16"/>
        <v>360</v>
      </c>
      <c r="E299" s="42" t="s">
        <v>3</v>
      </c>
      <c r="F299" s="90">
        <f t="shared" si="17"/>
        <v>2300</v>
      </c>
      <c r="G299" s="42" t="s">
        <v>3</v>
      </c>
      <c r="H299" s="39">
        <v>6</v>
      </c>
      <c r="I299" s="40" t="s">
        <v>42</v>
      </c>
      <c r="J299" s="149">
        <v>150</v>
      </c>
      <c r="K299" s="66">
        <v>360</v>
      </c>
      <c r="L299" s="66">
        <v>2300</v>
      </c>
      <c r="M299" s="164">
        <v>31.748601857961845</v>
      </c>
      <c r="N299" s="78">
        <v>2250.447113843838</v>
      </c>
      <c r="O299" s="113">
        <v>54805.325444337068</v>
      </c>
      <c r="P299" s="111">
        <v>68377.771962427985</v>
      </c>
      <c r="Q299" s="110">
        <v>34067.749252399248</v>
      </c>
      <c r="R299" s="258">
        <v>88873.074696736323</v>
      </c>
      <c r="S299" s="259">
        <v>102445.52121482723</v>
      </c>
      <c r="U299" s="7" t="s">
        <v>3586</v>
      </c>
    </row>
    <row r="300" spans="1:21" s="7" customFormat="1" ht="16.5" thickBot="1">
      <c r="A300" s="41" t="s">
        <v>31</v>
      </c>
      <c r="B300" s="42">
        <f t="shared" si="15"/>
        <v>150</v>
      </c>
      <c r="C300" s="42" t="s">
        <v>3</v>
      </c>
      <c r="D300" s="42">
        <f t="shared" si="16"/>
        <v>360</v>
      </c>
      <c r="E300" s="42" t="s">
        <v>3</v>
      </c>
      <c r="F300" s="90">
        <f t="shared" si="17"/>
        <v>2350</v>
      </c>
      <c r="G300" s="42" t="s">
        <v>3</v>
      </c>
      <c r="H300" s="39">
        <v>6</v>
      </c>
      <c r="I300" s="40" t="s">
        <v>42</v>
      </c>
      <c r="J300" s="149">
        <v>150</v>
      </c>
      <c r="K300" s="66">
        <v>360</v>
      </c>
      <c r="L300" s="66">
        <v>2350</v>
      </c>
      <c r="M300" s="164">
        <v>32.403159179443946</v>
      </c>
      <c r="N300" s="78">
        <v>2308.1508859936798</v>
      </c>
      <c r="O300" s="113">
        <v>55826.795053035305</v>
      </c>
      <c r="P300" s="111">
        <v>69666.638526270239</v>
      </c>
      <c r="Q300" s="110">
        <v>34922.504274421211</v>
      </c>
      <c r="R300" s="258">
        <v>90749.299327456509</v>
      </c>
      <c r="S300" s="259">
        <v>104589.14280069145</v>
      </c>
      <c r="U300" s="7" t="s">
        <v>3587</v>
      </c>
    </row>
    <row r="301" spans="1:21" s="7" customFormat="1" ht="16.5" thickBot="1">
      <c r="A301" s="41" t="s">
        <v>31</v>
      </c>
      <c r="B301" s="42">
        <f t="shared" si="15"/>
        <v>150</v>
      </c>
      <c r="C301" s="42" t="s">
        <v>3</v>
      </c>
      <c r="D301" s="42">
        <f t="shared" si="16"/>
        <v>360</v>
      </c>
      <c r="E301" s="42" t="s">
        <v>3</v>
      </c>
      <c r="F301" s="90">
        <f t="shared" si="17"/>
        <v>2400</v>
      </c>
      <c r="G301" s="42" t="s">
        <v>3</v>
      </c>
      <c r="H301" s="39">
        <v>6</v>
      </c>
      <c r="I301" s="40" t="s">
        <v>42</v>
      </c>
      <c r="J301" s="149">
        <v>150</v>
      </c>
      <c r="K301" s="66">
        <v>360</v>
      </c>
      <c r="L301" s="66">
        <v>2400</v>
      </c>
      <c r="M301" s="164">
        <v>33.057716500926048</v>
      </c>
      <c r="N301" s="78">
        <v>2365.8546581435216</v>
      </c>
      <c r="O301" s="113">
        <v>56848.294961429332</v>
      </c>
      <c r="P301" s="111">
        <v>70955.519168758896</v>
      </c>
      <c r="Q301" s="110">
        <v>35525.925158659396</v>
      </c>
      <c r="R301" s="258">
        <v>92374.220120088721</v>
      </c>
      <c r="S301" s="259">
        <v>106481.44432741828</v>
      </c>
      <c r="U301" s="7" t="s">
        <v>3588</v>
      </c>
    </row>
    <row r="302" spans="1:21" s="7" customFormat="1" ht="16.5" thickBot="1">
      <c r="A302" s="41" t="s">
        <v>31</v>
      </c>
      <c r="B302" s="42">
        <f t="shared" si="15"/>
        <v>150</v>
      </c>
      <c r="C302" s="42" t="s">
        <v>3</v>
      </c>
      <c r="D302" s="42">
        <f t="shared" si="16"/>
        <v>360</v>
      </c>
      <c r="E302" s="42" t="s">
        <v>3</v>
      </c>
      <c r="F302" s="90">
        <f t="shared" si="17"/>
        <v>2450</v>
      </c>
      <c r="G302" s="42" t="s">
        <v>3</v>
      </c>
      <c r="H302" s="39">
        <v>6</v>
      </c>
      <c r="I302" s="40" t="s">
        <v>42</v>
      </c>
      <c r="J302" s="149">
        <v>150</v>
      </c>
      <c r="K302" s="66">
        <v>360</v>
      </c>
      <c r="L302" s="66">
        <v>2450</v>
      </c>
      <c r="M302" s="164">
        <v>33.915503200708159</v>
      </c>
      <c r="N302" s="78">
        <v>2423.5584302933639</v>
      </c>
      <c r="O302" s="113">
        <v>58653.711958296211</v>
      </c>
      <c r="P302" s="111">
        <v>73043.050356198029</v>
      </c>
      <c r="Q302" s="110">
        <v>36380.680180681353</v>
      </c>
      <c r="R302" s="258">
        <v>95034.392138977564</v>
      </c>
      <c r="S302" s="259">
        <v>109423.73053687939</v>
      </c>
      <c r="U302" s="7" t="s">
        <v>3589</v>
      </c>
    </row>
    <row r="303" spans="1:21" s="7" customFormat="1" ht="16.5" thickBot="1">
      <c r="A303" s="41" t="s">
        <v>31</v>
      </c>
      <c r="B303" s="42">
        <f t="shared" si="15"/>
        <v>150</v>
      </c>
      <c r="C303" s="42" t="s">
        <v>3</v>
      </c>
      <c r="D303" s="42">
        <f t="shared" si="16"/>
        <v>360</v>
      </c>
      <c r="E303" s="42" t="s">
        <v>3</v>
      </c>
      <c r="F303" s="90">
        <f t="shared" si="17"/>
        <v>2500</v>
      </c>
      <c r="G303" s="42" t="s">
        <v>3</v>
      </c>
      <c r="H303" s="39">
        <v>6</v>
      </c>
      <c r="I303" s="40" t="s">
        <v>42</v>
      </c>
      <c r="J303" s="149">
        <v>150</v>
      </c>
      <c r="K303" s="66">
        <v>360</v>
      </c>
      <c r="L303" s="66">
        <v>2500</v>
      </c>
      <c r="M303" s="164">
        <v>34.570060522190261</v>
      </c>
      <c r="N303" s="78">
        <v>2481.2622024432058</v>
      </c>
      <c r="O303" s="113">
        <v>59675.167794405737</v>
      </c>
      <c r="P303" s="111">
        <v>74331.977060344972</v>
      </c>
      <c r="Q303" s="110">
        <v>36984.101064919538</v>
      </c>
      <c r="R303" s="258">
        <v>96659.268859325268</v>
      </c>
      <c r="S303" s="259">
        <v>111316.07812526451</v>
      </c>
      <c r="U303" s="7" t="s">
        <v>3590</v>
      </c>
    </row>
    <row r="304" spans="1:21" s="7" customFormat="1" ht="16.5" thickBot="1">
      <c r="A304" s="41" t="s">
        <v>31</v>
      </c>
      <c r="B304" s="42">
        <f t="shared" si="15"/>
        <v>150</v>
      </c>
      <c r="C304" s="42" t="s">
        <v>3</v>
      </c>
      <c r="D304" s="42">
        <f t="shared" si="16"/>
        <v>360</v>
      </c>
      <c r="E304" s="42" t="s">
        <v>3</v>
      </c>
      <c r="F304" s="90">
        <f t="shared" si="17"/>
        <v>2550</v>
      </c>
      <c r="G304" s="42" t="s">
        <v>3</v>
      </c>
      <c r="H304" s="39">
        <v>6</v>
      </c>
      <c r="I304" s="40" t="s">
        <v>42</v>
      </c>
      <c r="J304" s="149">
        <v>150</v>
      </c>
      <c r="K304" s="66">
        <v>360</v>
      </c>
      <c r="L304" s="66">
        <v>2550</v>
      </c>
      <c r="M304" s="164">
        <v>35.224617843672362</v>
      </c>
      <c r="N304" s="78">
        <v>2538.965974593048</v>
      </c>
      <c r="O304" s="113">
        <v>60696.652859009395</v>
      </c>
      <c r="P304" s="111">
        <v>75620.914935591791</v>
      </c>
      <c r="Q304" s="110">
        <v>37838.856239970264</v>
      </c>
      <c r="R304" s="258">
        <v>98535.509098979659</v>
      </c>
      <c r="S304" s="259">
        <v>113459.77117556205</v>
      </c>
      <c r="U304" s="7" t="s">
        <v>3591</v>
      </c>
    </row>
    <row r="305" spans="1:21" s="7" customFormat="1" ht="16.5" thickBot="1">
      <c r="A305" s="38" t="s">
        <v>31</v>
      </c>
      <c r="B305" s="39">
        <f t="shared" si="15"/>
        <v>150</v>
      </c>
      <c r="C305" s="39" t="s">
        <v>3</v>
      </c>
      <c r="D305" s="39">
        <f t="shared" si="16"/>
        <v>360</v>
      </c>
      <c r="E305" s="39" t="s">
        <v>3</v>
      </c>
      <c r="F305" s="90">
        <f t="shared" si="17"/>
        <v>2600</v>
      </c>
      <c r="G305" s="39" t="s">
        <v>3</v>
      </c>
      <c r="H305" s="39">
        <v>6</v>
      </c>
      <c r="I305" s="40" t="s">
        <v>42</v>
      </c>
      <c r="J305" s="149">
        <v>150</v>
      </c>
      <c r="K305" s="66">
        <v>360</v>
      </c>
      <c r="L305" s="66">
        <v>2600</v>
      </c>
      <c r="M305" s="164">
        <v>35.879175165154471</v>
      </c>
      <c r="N305" s="78">
        <v>2596.6697467428899</v>
      </c>
      <c r="O305" s="113">
        <v>60583.135508924614</v>
      </c>
      <c r="P305" s="111">
        <v>75465.540086468667</v>
      </c>
      <c r="Q305" s="110">
        <v>38442.277124208456</v>
      </c>
      <c r="R305" s="258">
        <v>99025.412633133063</v>
      </c>
      <c r="S305" s="259">
        <v>113907.81721067712</v>
      </c>
      <c r="U305" s="7" t="s">
        <v>3592</v>
      </c>
    </row>
    <row r="306" spans="1:21" s="7" customFormat="1" ht="16.5" thickBot="1">
      <c r="A306" s="41" t="s">
        <v>31</v>
      </c>
      <c r="B306" s="42">
        <f t="shared" si="15"/>
        <v>150</v>
      </c>
      <c r="C306" s="42" t="s">
        <v>3</v>
      </c>
      <c r="D306" s="42">
        <f t="shared" si="16"/>
        <v>360</v>
      </c>
      <c r="E306" s="42" t="s">
        <v>3</v>
      </c>
      <c r="F306" s="90">
        <f t="shared" si="17"/>
        <v>2650</v>
      </c>
      <c r="G306" s="42" t="s">
        <v>3</v>
      </c>
      <c r="H306" s="39">
        <v>6</v>
      </c>
      <c r="I306" s="40" t="s">
        <v>42</v>
      </c>
      <c r="J306" s="149">
        <v>150</v>
      </c>
      <c r="K306" s="66">
        <v>360</v>
      </c>
      <c r="L306" s="66">
        <v>2650</v>
      </c>
      <c r="M306" s="164">
        <v>36.53373248663658</v>
      </c>
      <c r="N306" s="78">
        <v>2654.3735188927317</v>
      </c>
      <c r="O306" s="113">
        <v>61908.186183366975</v>
      </c>
      <c r="P306" s="111">
        <v>77140.448184315115</v>
      </c>
      <c r="Q306" s="110">
        <v>39297.032146230413</v>
      </c>
      <c r="R306" s="258">
        <v>101205.21832959738</v>
      </c>
      <c r="S306" s="259">
        <v>116437.48033054553</v>
      </c>
      <c r="U306" s="7" t="s">
        <v>3593</v>
      </c>
    </row>
    <row r="307" spans="1:21" s="7" customFormat="1" ht="16.5" thickBot="1">
      <c r="A307" s="41" t="s">
        <v>31</v>
      </c>
      <c r="B307" s="42">
        <f t="shared" si="15"/>
        <v>150</v>
      </c>
      <c r="C307" s="42" t="s">
        <v>3</v>
      </c>
      <c r="D307" s="42">
        <f t="shared" si="16"/>
        <v>360</v>
      </c>
      <c r="E307" s="42" t="s">
        <v>3</v>
      </c>
      <c r="F307" s="90">
        <f t="shared" si="17"/>
        <v>2700</v>
      </c>
      <c r="G307" s="42" t="s">
        <v>3</v>
      </c>
      <c r="H307" s="39">
        <v>6</v>
      </c>
      <c r="I307" s="40" t="s">
        <v>42</v>
      </c>
      <c r="J307" s="149">
        <v>150</v>
      </c>
      <c r="K307" s="66">
        <v>360</v>
      </c>
      <c r="L307" s="66">
        <v>2700</v>
      </c>
      <c r="M307" s="164">
        <v>37.306039808118683</v>
      </c>
      <c r="N307" s="78">
        <v>2712.077291042574</v>
      </c>
      <c r="O307" s="113">
        <v>63066.050177392506</v>
      </c>
      <c r="P307" s="111">
        <v>78568.7254834739</v>
      </c>
      <c r="Q307" s="110">
        <v>39900.453030468605</v>
      </c>
      <c r="R307" s="258">
        <v>102966.50320786111</v>
      </c>
      <c r="S307" s="259">
        <v>118469.1785139425</v>
      </c>
      <c r="U307" s="7" t="s">
        <v>3594</v>
      </c>
    </row>
    <row r="308" spans="1:21" s="7" customFormat="1" ht="16.5" thickBot="1">
      <c r="A308" s="41" t="s">
        <v>31</v>
      </c>
      <c r="B308" s="42">
        <f t="shared" si="15"/>
        <v>150</v>
      </c>
      <c r="C308" s="42" t="s">
        <v>3</v>
      </c>
      <c r="D308" s="42">
        <f t="shared" si="16"/>
        <v>360</v>
      </c>
      <c r="E308" s="42" t="s">
        <v>3</v>
      </c>
      <c r="F308" s="90">
        <f t="shared" si="17"/>
        <v>2750</v>
      </c>
      <c r="G308" s="42" t="s">
        <v>3</v>
      </c>
      <c r="H308" s="39">
        <v>6</v>
      </c>
      <c r="I308" s="40" t="s">
        <v>42</v>
      </c>
      <c r="J308" s="149">
        <v>150</v>
      </c>
      <c r="K308" s="66">
        <v>360</v>
      </c>
      <c r="L308" s="66">
        <v>2750</v>
      </c>
      <c r="M308" s="164">
        <v>37.960597129600785</v>
      </c>
      <c r="N308" s="78">
        <v>2769.7810631924158</v>
      </c>
      <c r="O308" s="113">
        <v>64090.244769311466</v>
      </c>
      <c r="P308" s="111">
        <v>79860.770913854096</v>
      </c>
      <c r="Q308" s="110">
        <v>40503.87391470679</v>
      </c>
      <c r="R308" s="258">
        <v>104594.11868401826</v>
      </c>
      <c r="S308" s="259">
        <v>120364.64482856088</v>
      </c>
      <c r="U308" s="7" t="s">
        <v>3595</v>
      </c>
    </row>
    <row r="309" spans="1:21" s="7" customFormat="1" ht="16.5" thickBot="1">
      <c r="A309" s="41" t="s">
        <v>31</v>
      </c>
      <c r="B309" s="42">
        <f t="shared" si="15"/>
        <v>150</v>
      </c>
      <c r="C309" s="42" t="s">
        <v>3</v>
      </c>
      <c r="D309" s="42">
        <f t="shared" si="16"/>
        <v>360</v>
      </c>
      <c r="E309" s="42" t="s">
        <v>3</v>
      </c>
      <c r="F309" s="90">
        <f t="shared" si="17"/>
        <v>2800</v>
      </c>
      <c r="G309" s="42" t="s">
        <v>3</v>
      </c>
      <c r="H309" s="39">
        <v>6</v>
      </c>
      <c r="I309" s="40" t="s">
        <v>42</v>
      </c>
      <c r="J309" s="149">
        <v>150</v>
      </c>
      <c r="K309" s="66">
        <v>360</v>
      </c>
      <c r="L309" s="66">
        <v>2800</v>
      </c>
      <c r="M309" s="164">
        <v>38.615154451082894</v>
      </c>
      <c r="N309" s="78">
        <v>2827.4848353422581</v>
      </c>
      <c r="O309" s="113">
        <v>65114.449461128934</v>
      </c>
      <c r="P309" s="111">
        <v>81152.818945723309</v>
      </c>
      <c r="Q309" s="110">
        <v>41358.628936728746</v>
      </c>
      <c r="R309" s="258">
        <v>106473.07839785768</v>
      </c>
      <c r="S309" s="259">
        <v>122511.44788245205</v>
      </c>
      <c r="U309" s="7" t="s">
        <v>3596</v>
      </c>
    </row>
    <row r="310" spans="1:21" s="65" customFormat="1" ht="16.5" thickBot="1">
      <c r="A310" s="41" t="s">
        <v>31</v>
      </c>
      <c r="B310" s="42">
        <f t="shared" si="15"/>
        <v>150</v>
      </c>
      <c r="C310" s="42" t="s">
        <v>3</v>
      </c>
      <c r="D310" s="42">
        <f t="shared" si="16"/>
        <v>360</v>
      </c>
      <c r="E310" s="42" t="s">
        <v>3</v>
      </c>
      <c r="F310" s="90">
        <f t="shared" si="17"/>
        <v>2850</v>
      </c>
      <c r="G310" s="42" t="s">
        <v>3</v>
      </c>
      <c r="H310" s="39">
        <v>6</v>
      </c>
      <c r="I310" s="40" t="s">
        <v>42</v>
      </c>
      <c r="J310" s="149">
        <v>150</v>
      </c>
      <c r="K310" s="66">
        <v>360</v>
      </c>
      <c r="L310" s="66">
        <v>2850</v>
      </c>
      <c r="M310" s="164">
        <v>39.269711772564996</v>
      </c>
      <c r="N310" s="78">
        <v>2885.1886074920999</v>
      </c>
      <c r="O310" s="113">
        <v>66138.663793758591</v>
      </c>
      <c r="P310" s="111">
        <v>82444.86942605277</v>
      </c>
      <c r="Q310" s="110">
        <v>41962.049820966939</v>
      </c>
      <c r="R310" s="258">
        <v>108100.71361472554</v>
      </c>
      <c r="S310" s="259">
        <v>124406.91924701972</v>
      </c>
      <c r="U310" s="7" t="s">
        <v>3597</v>
      </c>
    </row>
    <row r="311" spans="1:21" s="65" customFormat="1" ht="16.5" thickBot="1">
      <c r="A311" s="41" t="s">
        <v>31</v>
      </c>
      <c r="B311" s="42">
        <f t="shared" si="15"/>
        <v>150</v>
      </c>
      <c r="C311" s="42" t="s">
        <v>3</v>
      </c>
      <c r="D311" s="42">
        <f t="shared" si="16"/>
        <v>360</v>
      </c>
      <c r="E311" s="42" t="s">
        <v>3</v>
      </c>
      <c r="F311" s="90">
        <f t="shared" si="17"/>
        <v>2900</v>
      </c>
      <c r="G311" s="42" t="s">
        <v>3</v>
      </c>
      <c r="H311" s="39">
        <v>6</v>
      </c>
      <c r="I311" s="40" t="s">
        <v>42</v>
      </c>
      <c r="J311" s="149">
        <v>150</v>
      </c>
      <c r="K311" s="66">
        <v>360</v>
      </c>
      <c r="L311" s="66">
        <v>2900</v>
      </c>
      <c r="M311" s="164">
        <v>39.924269094047098</v>
      </c>
      <c r="N311" s="78">
        <v>2942.8923796419417</v>
      </c>
      <c r="O311" s="113">
        <v>67162.887002056625</v>
      </c>
      <c r="P311" s="111">
        <v>83736.922048784778</v>
      </c>
      <c r="Q311" s="110">
        <v>42816.804842988895</v>
      </c>
      <c r="R311" s="258">
        <v>109979.69184504551</v>
      </c>
      <c r="S311" s="259">
        <v>126553.72689177367</v>
      </c>
      <c r="U311" s="7" t="s">
        <v>3598</v>
      </c>
    </row>
    <row r="312" spans="1:21" s="65" customFormat="1" ht="16.5" thickBot="1">
      <c r="A312" s="41" t="s">
        <v>31</v>
      </c>
      <c r="B312" s="42">
        <f t="shared" si="15"/>
        <v>150</v>
      </c>
      <c r="C312" s="42" t="s">
        <v>3</v>
      </c>
      <c r="D312" s="42">
        <f t="shared" si="16"/>
        <v>360</v>
      </c>
      <c r="E312" s="42" t="s">
        <v>3</v>
      </c>
      <c r="F312" s="90">
        <f t="shared" si="17"/>
        <v>2950</v>
      </c>
      <c r="G312" s="42" t="s">
        <v>3</v>
      </c>
      <c r="H312" s="39">
        <v>6</v>
      </c>
      <c r="I312" s="40" t="s">
        <v>42</v>
      </c>
      <c r="J312" s="149">
        <v>150</v>
      </c>
      <c r="K312" s="66">
        <v>360</v>
      </c>
      <c r="L312" s="66">
        <v>2950</v>
      </c>
      <c r="M312" s="164">
        <v>40.578826415529207</v>
      </c>
      <c r="N312" s="78">
        <v>3000.596151791784</v>
      </c>
      <c r="O312" s="113">
        <v>68187.119086023056</v>
      </c>
      <c r="P312" s="111">
        <v>85028.976813919799</v>
      </c>
      <c r="Q312" s="110">
        <v>43420.22572722708</v>
      </c>
      <c r="R312" s="258">
        <v>111607.34481325014</v>
      </c>
      <c r="S312" s="259">
        <v>128449.20254114688</v>
      </c>
      <c r="U312" s="7" t="s">
        <v>3599</v>
      </c>
    </row>
    <row r="313" spans="1:21" s="65" customFormat="1" ht="16.5" thickBot="1">
      <c r="A313" s="43" t="s">
        <v>31</v>
      </c>
      <c r="B313" s="44">
        <f t="shared" si="15"/>
        <v>150</v>
      </c>
      <c r="C313" s="44" t="s">
        <v>3</v>
      </c>
      <c r="D313" s="44">
        <f t="shared" si="16"/>
        <v>360</v>
      </c>
      <c r="E313" s="44" t="s">
        <v>3</v>
      </c>
      <c r="F313" s="91">
        <f t="shared" si="17"/>
        <v>3000</v>
      </c>
      <c r="G313" s="44" t="s">
        <v>3</v>
      </c>
      <c r="H313" s="39">
        <v>6</v>
      </c>
      <c r="I313" s="45" t="s">
        <v>42</v>
      </c>
      <c r="J313" s="151">
        <v>150</v>
      </c>
      <c r="K313" s="126">
        <v>360</v>
      </c>
      <c r="L313" s="126">
        <v>3000</v>
      </c>
      <c r="M313" s="171">
        <v>41.233383737011309</v>
      </c>
      <c r="N313" s="127">
        <v>3058.2999239416258</v>
      </c>
      <c r="O313" s="128">
        <v>70261.334628493438</v>
      </c>
      <c r="P313" s="135">
        <v>86321.033721457396</v>
      </c>
      <c r="Q313" s="136">
        <v>44274.980749249036</v>
      </c>
      <c r="R313" s="260">
        <v>114536.31537774247</v>
      </c>
      <c r="S313" s="261">
        <v>130596.01447070643</v>
      </c>
      <c r="U313" s="7" t="s">
        <v>3600</v>
      </c>
    </row>
    <row r="314" spans="1:21" ht="22.5" customHeight="1" thickBot="1">
      <c r="A314" s="3010" t="s">
        <v>44</v>
      </c>
      <c r="B314" s="3011"/>
      <c r="C314" s="3011"/>
      <c r="D314" s="3011"/>
      <c r="E314" s="3011"/>
      <c r="F314" s="3011"/>
      <c r="G314" s="3011"/>
      <c r="H314" s="3011"/>
      <c r="I314" s="3011"/>
      <c r="J314" s="3011"/>
      <c r="K314" s="3011"/>
      <c r="L314" s="3011"/>
      <c r="M314" s="3011"/>
      <c r="N314" s="3011"/>
      <c r="O314" s="3011"/>
      <c r="P314" s="3011"/>
      <c r="Q314" s="3011"/>
      <c r="R314" s="3011"/>
      <c r="S314" s="3012"/>
      <c r="U314" s="7"/>
    </row>
    <row r="315" spans="1:21" ht="16.5" thickBot="1">
      <c r="A315" s="2974" t="s">
        <v>118</v>
      </c>
      <c r="B315" s="2975"/>
      <c r="C315" s="2975"/>
      <c r="D315" s="2975"/>
      <c r="E315" s="2975"/>
      <c r="F315" s="2975"/>
      <c r="G315" s="2975"/>
      <c r="H315" s="2975"/>
      <c r="I315" s="2975"/>
      <c r="J315" s="2975"/>
      <c r="K315" s="2975"/>
      <c r="L315" s="2975"/>
      <c r="M315" s="2975"/>
      <c r="N315" s="2975"/>
      <c r="O315" s="2975"/>
      <c r="P315" s="2975"/>
      <c r="Q315" s="2975"/>
      <c r="R315" s="2975"/>
      <c r="S315" s="2976"/>
      <c r="U315" s="7"/>
    </row>
    <row r="316" spans="1:21" ht="16.5" thickBot="1">
      <c r="A316" s="38" t="s">
        <v>31</v>
      </c>
      <c r="B316" s="39">
        <f>J316</f>
        <v>150</v>
      </c>
      <c r="C316" s="39" t="s">
        <v>3</v>
      </c>
      <c r="D316" s="39">
        <f>K316</f>
        <v>360</v>
      </c>
      <c r="E316" s="39" t="s">
        <v>3</v>
      </c>
      <c r="F316" s="90">
        <f>L316</f>
        <v>600</v>
      </c>
      <c r="G316" s="39" t="s">
        <v>3</v>
      </c>
      <c r="H316" s="39">
        <v>8</v>
      </c>
      <c r="I316" s="40" t="s">
        <v>42</v>
      </c>
      <c r="J316" s="146">
        <v>150</v>
      </c>
      <c r="K316" s="122">
        <v>360</v>
      </c>
      <c r="L316" s="122">
        <v>600</v>
      </c>
      <c r="M316" s="163">
        <v>9.5566659685042126</v>
      </c>
      <c r="N316" s="123">
        <v>317.05369313099999</v>
      </c>
      <c r="O316" s="124">
        <v>21359.901943762023</v>
      </c>
      <c r="P316" s="148">
        <v>25369.750638092206</v>
      </c>
      <c r="Q316" s="139">
        <v>10032.760953270536</v>
      </c>
      <c r="R316" s="256">
        <v>31392.662897032558</v>
      </c>
      <c r="S316" s="257">
        <v>35402.511591362738</v>
      </c>
      <c r="U316" s="7" t="s">
        <v>3601</v>
      </c>
    </row>
    <row r="317" spans="1:21" ht="16.5" thickBot="1">
      <c r="A317" s="41" t="s">
        <v>31</v>
      </c>
      <c r="B317" s="42">
        <f t="shared" ref="B317:B364" si="18">J317</f>
        <v>150</v>
      </c>
      <c r="C317" s="42" t="s">
        <v>3</v>
      </c>
      <c r="D317" s="42">
        <f t="shared" ref="D317:D364" si="19">K317</f>
        <v>360</v>
      </c>
      <c r="E317" s="42" t="s">
        <v>3</v>
      </c>
      <c r="F317" s="90">
        <f t="shared" ref="F317:F364" si="20">L317</f>
        <v>650</v>
      </c>
      <c r="G317" s="42" t="s">
        <v>3</v>
      </c>
      <c r="H317" s="39">
        <v>8</v>
      </c>
      <c r="I317" s="40" t="s">
        <v>42</v>
      </c>
      <c r="J317" s="149">
        <v>150</v>
      </c>
      <c r="K317" s="66">
        <v>360</v>
      </c>
      <c r="L317" s="66">
        <v>650</v>
      </c>
      <c r="M317" s="164">
        <v>10.277845679866315</v>
      </c>
      <c r="N317" s="78">
        <v>380.46443175719997</v>
      </c>
      <c r="O317" s="113">
        <v>22624.037528872435</v>
      </c>
      <c r="P317" s="111">
        <v>26879.715610247313</v>
      </c>
      <c r="Q317" s="110">
        <v>10636.181837508726</v>
      </c>
      <c r="R317" s="258">
        <v>33260.219366381163</v>
      </c>
      <c r="S317" s="259">
        <v>37515.89744775604</v>
      </c>
      <c r="U317" s="7" t="s">
        <v>3602</v>
      </c>
    </row>
    <row r="318" spans="1:21" ht="16.5" thickBot="1">
      <c r="A318" s="41" t="s">
        <v>31</v>
      </c>
      <c r="B318" s="42">
        <f t="shared" si="18"/>
        <v>150</v>
      </c>
      <c r="C318" s="42" t="s">
        <v>3</v>
      </c>
      <c r="D318" s="42">
        <f t="shared" si="19"/>
        <v>360</v>
      </c>
      <c r="E318" s="42" t="s">
        <v>3</v>
      </c>
      <c r="F318" s="90">
        <f t="shared" si="20"/>
        <v>700</v>
      </c>
      <c r="G318" s="42" t="s">
        <v>3</v>
      </c>
      <c r="H318" s="39">
        <v>8</v>
      </c>
      <c r="I318" s="40" t="s">
        <v>42</v>
      </c>
      <c r="J318" s="149">
        <v>150</v>
      </c>
      <c r="K318" s="66">
        <v>360</v>
      </c>
      <c r="L318" s="66">
        <v>700</v>
      </c>
      <c r="M318" s="164">
        <v>11.01606539122842</v>
      </c>
      <c r="N318" s="78">
        <v>443.8751703833999</v>
      </c>
      <c r="O318" s="113">
        <v>23888.173267011611</v>
      </c>
      <c r="P318" s="111">
        <v>28389.680735431179</v>
      </c>
      <c r="Q318" s="110">
        <v>11490.936859530682</v>
      </c>
      <c r="R318" s="258">
        <v>35379.110126542291</v>
      </c>
      <c r="S318" s="259">
        <v>39880.617594961863</v>
      </c>
      <c r="U318" s="7" t="s">
        <v>3603</v>
      </c>
    </row>
    <row r="319" spans="1:21" ht="16.5" thickBot="1">
      <c r="A319" s="41" t="s">
        <v>31</v>
      </c>
      <c r="B319" s="42">
        <f t="shared" si="18"/>
        <v>150</v>
      </c>
      <c r="C319" s="42" t="s">
        <v>3</v>
      </c>
      <c r="D319" s="42">
        <f t="shared" si="19"/>
        <v>360</v>
      </c>
      <c r="E319" s="42" t="s">
        <v>3</v>
      </c>
      <c r="F319" s="90">
        <f t="shared" si="20"/>
        <v>750</v>
      </c>
      <c r="G319" s="42" t="s">
        <v>3</v>
      </c>
      <c r="H319" s="39">
        <v>8</v>
      </c>
      <c r="I319" s="40" t="s">
        <v>42</v>
      </c>
      <c r="J319" s="149">
        <v>150</v>
      </c>
      <c r="K319" s="66">
        <v>360</v>
      </c>
      <c r="L319" s="66">
        <v>750</v>
      </c>
      <c r="M319" s="164">
        <v>11.737245102590524</v>
      </c>
      <c r="N319" s="78">
        <v>507.28590900959989</v>
      </c>
      <c r="O319" s="113">
        <v>25152.308852122023</v>
      </c>
      <c r="P319" s="111">
        <v>29899.645707586282</v>
      </c>
      <c r="Q319" s="110">
        <v>12094.357743768871</v>
      </c>
      <c r="R319" s="258">
        <v>37246.666595890892</v>
      </c>
      <c r="S319" s="259">
        <v>41994.003451355151</v>
      </c>
      <c r="U319" s="7" t="s">
        <v>3604</v>
      </c>
    </row>
    <row r="320" spans="1:21" ht="16.5" thickBot="1">
      <c r="A320" s="41" t="s">
        <v>31</v>
      </c>
      <c r="B320" s="42">
        <f t="shared" si="18"/>
        <v>150</v>
      </c>
      <c r="C320" s="42" t="s">
        <v>3</v>
      </c>
      <c r="D320" s="42">
        <f t="shared" si="19"/>
        <v>360</v>
      </c>
      <c r="E320" s="42" t="s">
        <v>3</v>
      </c>
      <c r="F320" s="90">
        <f t="shared" si="20"/>
        <v>800</v>
      </c>
      <c r="G320" s="42" t="s">
        <v>3</v>
      </c>
      <c r="H320" s="39">
        <v>8</v>
      </c>
      <c r="I320" s="40" t="s">
        <v>42</v>
      </c>
      <c r="J320" s="149">
        <v>150</v>
      </c>
      <c r="K320" s="66">
        <v>360</v>
      </c>
      <c r="L320" s="66">
        <v>800</v>
      </c>
      <c r="M320" s="164">
        <v>12.458424813952632</v>
      </c>
      <c r="N320" s="78">
        <v>570.69664763579988</v>
      </c>
      <c r="O320" s="113">
        <v>26416.444437232436</v>
      </c>
      <c r="P320" s="111">
        <v>31409.610679741389</v>
      </c>
      <c r="Q320" s="110">
        <v>12697.77862800706</v>
      </c>
      <c r="R320" s="258">
        <v>39114.223065239494</v>
      </c>
      <c r="S320" s="259">
        <v>44107.389307748446</v>
      </c>
      <c r="U320" s="7" t="s">
        <v>3605</v>
      </c>
    </row>
    <row r="321" spans="1:21" ht="16.5" thickBot="1">
      <c r="A321" s="41" t="s">
        <v>31</v>
      </c>
      <c r="B321" s="42">
        <f t="shared" si="18"/>
        <v>150</v>
      </c>
      <c r="C321" s="42" t="s">
        <v>3</v>
      </c>
      <c r="D321" s="42">
        <f t="shared" si="19"/>
        <v>360</v>
      </c>
      <c r="E321" s="42" t="s">
        <v>3</v>
      </c>
      <c r="F321" s="90">
        <f t="shared" si="20"/>
        <v>850</v>
      </c>
      <c r="G321" s="42" t="s">
        <v>3</v>
      </c>
      <c r="H321" s="39">
        <v>8</v>
      </c>
      <c r="I321" s="40" t="s">
        <v>42</v>
      </c>
      <c r="J321" s="149">
        <v>150</v>
      </c>
      <c r="K321" s="66">
        <v>360</v>
      </c>
      <c r="L321" s="66">
        <v>850</v>
      </c>
      <c r="M321" s="164">
        <v>13.196644525314738</v>
      </c>
      <c r="N321" s="78">
        <v>634.10738626199998</v>
      </c>
      <c r="O321" s="113">
        <v>27680.580175371615</v>
      </c>
      <c r="P321" s="111">
        <v>32919.575804925254</v>
      </c>
      <c r="Q321" s="110">
        <v>13552.533650029018</v>
      </c>
      <c r="R321" s="258">
        <v>41233.113825400636</v>
      </c>
      <c r="S321" s="259">
        <v>46472.109454954276</v>
      </c>
      <c r="U321" s="7" t="s">
        <v>3606</v>
      </c>
    </row>
    <row r="322" spans="1:21" ht="16.5" thickBot="1">
      <c r="A322" s="41" t="s">
        <v>31</v>
      </c>
      <c r="B322" s="42">
        <f t="shared" si="18"/>
        <v>150</v>
      </c>
      <c r="C322" s="42" t="s">
        <v>3</v>
      </c>
      <c r="D322" s="42">
        <f t="shared" si="19"/>
        <v>360</v>
      </c>
      <c r="E322" s="42" t="s">
        <v>3</v>
      </c>
      <c r="F322" s="90">
        <f t="shared" si="20"/>
        <v>900</v>
      </c>
      <c r="G322" s="42" t="s">
        <v>3</v>
      </c>
      <c r="H322" s="39">
        <v>8</v>
      </c>
      <c r="I322" s="40" t="s">
        <v>42</v>
      </c>
      <c r="J322" s="149">
        <v>150</v>
      </c>
      <c r="K322" s="66">
        <v>360</v>
      </c>
      <c r="L322" s="66">
        <v>900</v>
      </c>
      <c r="M322" s="164">
        <v>13.917824236676843</v>
      </c>
      <c r="N322" s="78">
        <v>697.51812488819985</v>
      </c>
      <c r="O322" s="113">
        <v>28944.715760481871</v>
      </c>
      <c r="P322" s="111">
        <v>34429.540777080365</v>
      </c>
      <c r="Q322" s="110">
        <v>14155.954534267206</v>
      </c>
      <c r="R322" s="258">
        <v>43100.670294749078</v>
      </c>
      <c r="S322" s="259">
        <v>48585.495311347571</v>
      </c>
      <c r="U322" s="7" t="s">
        <v>3607</v>
      </c>
    </row>
    <row r="323" spans="1:21" ht="16.5" thickBot="1">
      <c r="A323" s="41" t="s">
        <v>31</v>
      </c>
      <c r="B323" s="42">
        <f t="shared" si="18"/>
        <v>150</v>
      </c>
      <c r="C323" s="42" t="s">
        <v>3</v>
      </c>
      <c r="D323" s="42">
        <f t="shared" si="19"/>
        <v>360</v>
      </c>
      <c r="E323" s="42" t="s">
        <v>3</v>
      </c>
      <c r="F323" s="90">
        <f t="shared" si="20"/>
        <v>950</v>
      </c>
      <c r="G323" s="42" t="s">
        <v>3</v>
      </c>
      <c r="H323" s="39">
        <v>8</v>
      </c>
      <c r="I323" s="40" t="s">
        <v>42</v>
      </c>
      <c r="J323" s="149">
        <v>150</v>
      </c>
      <c r="K323" s="66">
        <v>360</v>
      </c>
      <c r="L323" s="66">
        <v>950</v>
      </c>
      <c r="M323" s="164">
        <v>14.656043948038949</v>
      </c>
      <c r="N323" s="78">
        <v>760.92886351439995</v>
      </c>
      <c r="O323" s="113">
        <v>30208.851498621199</v>
      </c>
      <c r="P323" s="111">
        <v>35939.505902264231</v>
      </c>
      <c r="Q323" s="110">
        <v>15010.709556289165</v>
      </c>
      <c r="R323" s="258">
        <v>45219.561054910366</v>
      </c>
      <c r="S323" s="259">
        <v>50950.215458553394</v>
      </c>
      <c r="U323" s="7" t="s">
        <v>3608</v>
      </c>
    </row>
    <row r="324" spans="1:21" ht="16.5" thickBot="1">
      <c r="A324" s="41" t="s">
        <v>31</v>
      </c>
      <c r="B324" s="42">
        <f t="shared" si="18"/>
        <v>150</v>
      </c>
      <c r="C324" s="42" t="s">
        <v>3</v>
      </c>
      <c r="D324" s="42">
        <f t="shared" si="19"/>
        <v>360</v>
      </c>
      <c r="E324" s="42" t="s">
        <v>3</v>
      </c>
      <c r="F324" s="90">
        <f t="shared" si="20"/>
        <v>1000</v>
      </c>
      <c r="G324" s="42" t="s">
        <v>3</v>
      </c>
      <c r="H324" s="39">
        <v>8</v>
      </c>
      <c r="I324" s="40" t="s">
        <v>42</v>
      </c>
      <c r="J324" s="149">
        <v>150</v>
      </c>
      <c r="K324" s="66">
        <v>360</v>
      </c>
      <c r="L324" s="66">
        <v>1000</v>
      </c>
      <c r="M324" s="164">
        <v>15.377223659401054</v>
      </c>
      <c r="N324" s="78">
        <v>824.33960214059994</v>
      </c>
      <c r="O324" s="113">
        <v>31472.987083731616</v>
      </c>
      <c r="P324" s="111">
        <v>37449.470874419341</v>
      </c>
      <c r="Q324" s="110">
        <v>15614.130440527351</v>
      </c>
      <c r="R324" s="258">
        <v>47087.117524258967</v>
      </c>
      <c r="S324" s="259">
        <v>53063.601314946689</v>
      </c>
      <c r="U324" s="7" t="s">
        <v>3609</v>
      </c>
    </row>
    <row r="325" spans="1:21" ht="16.5" thickBot="1">
      <c r="A325" s="41" t="s">
        <v>31</v>
      </c>
      <c r="B325" s="42">
        <f t="shared" si="18"/>
        <v>150</v>
      </c>
      <c r="C325" s="42" t="s">
        <v>3</v>
      </c>
      <c r="D325" s="42">
        <f t="shared" si="19"/>
        <v>360</v>
      </c>
      <c r="E325" s="42" t="s">
        <v>3</v>
      </c>
      <c r="F325" s="90">
        <f t="shared" si="20"/>
        <v>1050</v>
      </c>
      <c r="G325" s="42" t="s">
        <v>3</v>
      </c>
      <c r="H325" s="39">
        <v>8</v>
      </c>
      <c r="I325" s="40" t="s">
        <v>42</v>
      </c>
      <c r="J325" s="149">
        <v>150</v>
      </c>
      <c r="K325" s="66">
        <v>360</v>
      </c>
      <c r="L325" s="66">
        <v>1050</v>
      </c>
      <c r="M325" s="164">
        <v>16.11544337076316</v>
      </c>
      <c r="N325" s="78">
        <v>887.75034076679981</v>
      </c>
      <c r="O325" s="113">
        <v>32737.122668842025</v>
      </c>
      <c r="P325" s="111">
        <v>38959.435999603207</v>
      </c>
      <c r="Q325" s="110">
        <v>16468.885462549311</v>
      </c>
      <c r="R325" s="258">
        <v>49206.00813139134</v>
      </c>
      <c r="S325" s="259">
        <v>55428.321462152519</v>
      </c>
      <c r="U325" s="7" t="s">
        <v>3610</v>
      </c>
    </row>
    <row r="326" spans="1:21" ht="16.5" thickBot="1">
      <c r="A326" s="38" t="s">
        <v>31</v>
      </c>
      <c r="B326" s="39">
        <f t="shared" si="18"/>
        <v>150</v>
      </c>
      <c r="C326" s="39" t="s">
        <v>3</v>
      </c>
      <c r="D326" s="39">
        <f t="shared" si="19"/>
        <v>360</v>
      </c>
      <c r="E326" s="39" t="s">
        <v>3</v>
      </c>
      <c r="F326" s="90">
        <f t="shared" si="20"/>
        <v>1100</v>
      </c>
      <c r="G326" s="39" t="s">
        <v>3</v>
      </c>
      <c r="H326" s="39">
        <v>8</v>
      </c>
      <c r="I326" s="40" t="s">
        <v>42</v>
      </c>
      <c r="J326" s="149">
        <v>150</v>
      </c>
      <c r="K326" s="66">
        <v>360</v>
      </c>
      <c r="L326" s="66">
        <v>1100</v>
      </c>
      <c r="M326" s="164">
        <v>16.836623082125264</v>
      </c>
      <c r="N326" s="78">
        <v>951.16107939299991</v>
      </c>
      <c r="O326" s="113">
        <v>34001.2584069812</v>
      </c>
      <c r="P326" s="111">
        <v>40469.400971758318</v>
      </c>
      <c r="Q326" s="110">
        <v>17072.3063467875</v>
      </c>
      <c r="R326" s="258">
        <v>51073.564753768704</v>
      </c>
      <c r="S326" s="259">
        <v>57541.707318545814</v>
      </c>
      <c r="U326" s="7" t="s">
        <v>3611</v>
      </c>
    </row>
    <row r="327" spans="1:21" ht="16.5" thickBot="1">
      <c r="A327" s="41" t="s">
        <v>31</v>
      </c>
      <c r="B327" s="42">
        <f t="shared" si="18"/>
        <v>150</v>
      </c>
      <c r="C327" s="42" t="s">
        <v>3</v>
      </c>
      <c r="D327" s="42">
        <f t="shared" si="19"/>
        <v>360</v>
      </c>
      <c r="E327" s="42" t="s">
        <v>3</v>
      </c>
      <c r="F327" s="90">
        <f t="shared" si="20"/>
        <v>1150</v>
      </c>
      <c r="G327" s="42" t="s">
        <v>3</v>
      </c>
      <c r="H327" s="39">
        <v>8</v>
      </c>
      <c r="I327" s="40" t="s">
        <v>42</v>
      </c>
      <c r="J327" s="149">
        <v>150</v>
      </c>
      <c r="K327" s="66">
        <v>360</v>
      </c>
      <c r="L327" s="66">
        <v>1150</v>
      </c>
      <c r="M327" s="164">
        <v>17.557802793487369</v>
      </c>
      <c r="N327" s="78">
        <v>1014.5718180191998</v>
      </c>
      <c r="O327" s="113">
        <v>35265.393992091616</v>
      </c>
      <c r="P327" s="111">
        <v>41979.365943913421</v>
      </c>
      <c r="Q327" s="110">
        <v>17675.727231025689</v>
      </c>
      <c r="R327" s="258">
        <v>52941.121223117305</v>
      </c>
      <c r="S327" s="259">
        <v>59655.093174939109</v>
      </c>
      <c r="U327" s="7" t="s">
        <v>3612</v>
      </c>
    </row>
    <row r="328" spans="1:21" ht="16.5" thickBot="1">
      <c r="A328" s="41" t="s">
        <v>31</v>
      </c>
      <c r="B328" s="42">
        <f t="shared" si="18"/>
        <v>150</v>
      </c>
      <c r="C328" s="42" t="s">
        <v>3</v>
      </c>
      <c r="D328" s="42">
        <f t="shared" si="19"/>
        <v>360</v>
      </c>
      <c r="E328" s="42" t="s">
        <v>3</v>
      </c>
      <c r="F328" s="90">
        <f t="shared" si="20"/>
        <v>1200</v>
      </c>
      <c r="G328" s="42" t="s">
        <v>3</v>
      </c>
      <c r="H328" s="39">
        <v>8</v>
      </c>
      <c r="I328" s="40" t="s">
        <v>42</v>
      </c>
      <c r="J328" s="149">
        <v>150</v>
      </c>
      <c r="K328" s="66">
        <v>360</v>
      </c>
      <c r="L328" s="66">
        <v>1200</v>
      </c>
      <c r="M328" s="164">
        <v>18.453022504849475</v>
      </c>
      <c r="N328" s="78">
        <v>1077.9825566453999</v>
      </c>
      <c r="O328" s="113">
        <v>36697.726247468687</v>
      </c>
      <c r="P328" s="111">
        <v>43658.554409349177</v>
      </c>
      <c r="Q328" s="110">
        <v>18530.482406076411</v>
      </c>
      <c r="R328" s="258">
        <v>55228.208653545094</v>
      </c>
      <c r="S328" s="259">
        <v>62189.036815425585</v>
      </c>
      <c r="U328" s="7" t="s">
        <v>3613</v>
      </c>
    </row>
    <row r="329" spans="1:21" s="7" customFormat="1" ht="16.5" thickBot="1">
      <c r="A329" s="41" t="s">
        <v>31</v>
      </c>
      <c r="B329" s="42">
        <f t="shared" si="18"/>
        <v>150</v>
      </c>
      <c r="C329" s="42" t="s">
        <v>3</v>
      </c>
      <c r="D329" s="42">
        <f t="shared" si="19"/>
        <v>360</v>
      </c>
      <c r="E329" s="42" t="s">
        <v>3</v>
      </c>
      <c r="F329" s="90">
        <f t="shared" si="20"/>
        <v>1250</v>
      </c>
      <c r="G329" s="42" t="s">
        <v>3</v>
      </c>
      <c r="H329" s="39">
        <v>8</v>
      </c>
      <c r="I329" s="40" t="s">
        <v>42</v>
      </c>
      <c r="J329" s="149">
        <v>150</v>
      </c>
      <c r="K329" s="66">
        <v>360</v>
      </c>
      <c r="L329" s="66">
        <v>1250</v>
      </c>
      <c r="M329" s="164">
        <v>19.174202216211579</v>
      </c>
      <c r="N329" s="78">
        <v>1141.3932952715998</v>
      </c>
      <c r="O329" s="113">
        <v>37961.861832579096</v>
      </c>
      <c r="P329" s="111">
        <v>45168.519534533043</v>
      </c>
      <c r="Q329" s="110">
        <v>19133.9032903146</v>
      </c>
      <c r="R329" s="258">
        <v>57095.765122893696</v>
      </c>
      <c r="S329" s="259">
        <v>64302.422824847643</v>
      </c>
      <c r="U329" s="7" t="s">
        <v>3614</v>
      </c>
    </row>
    <row r="330" spans="1:21" s="7" customFormat="1" ht="16.5" thickBot="1">
      <c r="A330" s="41" t="s">
        <v>31</v>
      </c>
      <c r="B330" s="42">
        <f t="shared" si="18"/>
        <v>150</v>
      </c>
      <c r="C330" s="42" t="s">
        <v>3</v>
      </c>
      <c r="D330" s="42">
        <f t="shared" si="19"/>
        <v>360</v>
      </c>
      <c r="E330" s="42" t="s">
        <v>3</v>
      </c>
      <c r="F330" s="90">
        <f t="shared" si="20"/>
        <v>1300</v>
      </c>
      <c r="G330" s="42" t="s">
        <v>3</v>
      </c>
      <c r="H330" s="39">
        <v>8</v>
      </c>
      <c r="I330" s="40" t="s">
        <v>42</v>
      </c>
      <c r="J330" s="149">
        <v>150</v>
      </c>
      <c r="K330" s="66">
        <v>360</v>
      </c>
      <c r="L330" s="66">
        <v>1300</v>
      </c>
      <c r="M330" s="164">
        <v>19.912421927573686</v>
      </c>
      <c r="N330" s="78">
        <v>1204.8040338977999</v>
      </c>
      <c r="O330" s="113">
        <v>39225.997417689505</v>
      </c>
      <c r="P330" s="111">
        <v>46678.484506688146</v>
      </c>
      <c r="Q330" s="110">
        <v>19988.658312336556</v>
      </c>
      <c r="R330" s="258">
        <v>59214.655730026061</v>
      </c>
      <c r="S330" s="259">
        <v>66667.14281902471</v>
      </c>
      <c r="U330" s="7" t="s">
        <v>3615</v>
      </c>
    </row>
    <row r="331" spans="1:21" s="7" customFormat="1" ht="16.5" thickBot="1">
      <c r="A331" s="41" t="s">
        <v>31</v>
      </c>
      <c r="B331" s="42">
        <f t="shared" si="18"/>
        <v>150</v>
      </c>
      <c r="C331" s="42" t="s">
        <v>3</v>
      </c>
      <c r="D331" s="42">
        <f t="shared" si="19"/>
        <v>360</v>
      </c>
      <c r="E331" s="42" t="s">
        <v>3</v>
      </c>
      <c r="F331" s="90">
        <f t="shared" si="20"/>
        <v>1350</v>
      </c>
      <c r="G331" s="42" t="s">
        <v>3</v>
      </c>
      <c r="H331" s="39">
        <v>8</v>
      </c>
      <c r="I331" s="40" t="s">
        <v>42</v>
      </c>
      <c r="J331" s="149">
        <v>150</v>
      </c>
      <c r="K331" s="66">
        <v>360</v>
      </c>
      <c r="L331" s="66">
        <v>1350</v>
      </c>
      <c r="M331" s="164">
        <v>20.63360163893579</v>
      </c>
      <c r="N331" s="78">
        <v>1268.214772524</v>
      </c>
      <c r="O331" s="113">
        <v>40490.133155828684</v>
      </c>
      <c r="P331" s="111">
        <v>48188.449631872019</v>
      </c>
      <c r="Q331" s="110">
        <v>20592.079196574745</v>
      </c>
      <c r="R331" s="258">
        <v>61082.212352403425</v>
      </c>
      <c r="S331" s="259">
        <v>68780.528828446768</v>
      </c>
      <c r="U331" s="7" t="s">
        <v>3616</v>
      </c>
    </row>
    <row r="332" spans="1:21" s="7" customFormat="1" ht="16.5" thickBot="1">
      <c r="A332" s="41" t="s">
        <v>31</v>
      </c>
      <c r="B332" s="42">
        <f t="shared" si="18"/>
        <v>150</v>
      </c>
      <c r="C332" s="42" t="s">
        <v>3</v>
      </c>
      <c r="D332" s="42">
        <f t="shared" si="19"/>
        <v>360</v>
      </c>
      <c r="E332" s="42" t="s">
        <v>3</v>
      </c>
      <c r="F332" s="90">
        <f t="shared" si="20"/>
        <v>1400</v>
      </c>
      <c r="G332" s="42" t="s">
        <v>3</v>
      </c>
      <c r="H332" s="39">
        <v>8</v>
      </c>
      <c r="I332" s="40" t="s">
        <v>42</v>
      </c>
      <c r="J332" s="149">
        <v>150</v>
      </c>
      <c r="K332" s="66">
        <v>360</v>
      </c>
      <c r="L332" s="66">
        <v>1400</v>
      </c>
      <c r="M332" s="164">
        <v>21.371821350297896</v>
      </c>
      <c r="N332" s="78">
        <v>1331.6255111502001</v>
      </c>
      <c r="O332" s="113">
        <v>41754.2687409391</v>
      </c>
      <c r="P332" s="111">
        <v>49698.414604027123</v>
      </c>
      <c r="Q332" s="110">
        <v>21446.834218596705</v>
      </c>
      <c r="R332" s="258">
        <v>63201.102959535805</v>
      </c>
      <c r="S332" s="259">
        <v>71145.248822623835</v>
      </c>
      <c r="U332" s="7" t="s">
        <v>3617</v>
      </c>
    </row>
    <row r="333" spans="1:21" s="7" customFormat="1" ht="16.5" thickBot="1">
      <c r="A333" s="41" t="s">
        <v>31</v>
      </c>
      <c r="B333" s="42">
        <f t="shared" si="18"/>
        <v>150</v>
      </c>
      <c r="C333" s="42" t="s">
        <v>3</v>
      </c>
      <c r="D333" s="42">
        <f t="shared" si="19"/>
        <v>360</v>
      </c>
      <c r="E333" s="42" t="s">
        <v>3</v>
      </c>
      <c r="F333" s="90">
        <f t="shared" si="20"/>
        <v>1450</v>
      </c>
      <c r="G333" s="42" t="s">
        <v>3</v>
      </c>
      <c r="H333" s="39">
        <v>8</v>
      </c>
      <c r="I333" s="40" t="s">
        <v>42</v>
      </c>
      <c r="J333" s="149">
        <v>150</v>
      </c>
      <c r="K333" s="66">
        <v>360</v>
      </c>
      <c r="L333" s="66">
        <v>1450</v>
      </c>
      <c r="M333" s="164">
        <v>22.093001061660004</v>
      </c>
      <c r="N333" s="78">
        <v>1395.0362497763997</v>
      </c>
      <c r="O333" s="113">
        <v>43018.404326049509</v>
      </c>
      <c r="P333" s="111">
        <v>51208.379729210996</v>
      </c>
      <c r="Q333" s="110">
        <v>22050.255102834893</v>
      </c>
      <c r="R333" s="258">
        <v>65068.659428884406</v>
      </c>
      <c r="S333" s="259">
        <v>73258.634832045893</v>
      </c>
      <c r="U333" s="7" t="s">
        <v>3618</v>
      </c>
    </row>
    <row r="334" spans="1:21" s="7" customFormat="1" ht="16.5" thickBot="1">
      <c r="A334" s="41" t="s">
        <v>31</v>
      </c>
      <c r="B334" s="42">
        <f t="shared" si="18"/>
        <v>150</v>
      </c>
      <c r="C334" s="42" t="s">
        <v>3</v>
      </c>
      <c r="D334" s="42">
        <f t="shared" si="19"/>
        <v>360</v>
      </c>
      <c r="E334" s="42" t="s">
        <v>3</v>
      </c>
      <c r="F334" s="90">
        <f t="shared" si="20"/>
        <v>1500</v>
      </c>
      <c r="G334" s="42" t="s">
        <v>3</v>
      </c>
      <c r="H334" s="39">
        <v>8</v>
      </c>
      <c r="I334" s="40" t="s">
        <v>42</v>
      </c>
      <c r="J334" s="149">
        <v>150</v>
      </c>
      <c r="K334" s="66">
        <v>360</v>
      </c>
      <c r="L334" s="66">
        <v>1500</v>
      </c>
      <c r="M334" s="164">
        <v>23.034450151322105</v>
      </c>
      <c r="N334" s="78">
        <v>1458.4469884025998</v>
      </c>
      <c r="O334" s="113">
        <v>45102.731550233213</v>
      </c>
      <c r="P334" s="111">
        <v>53523.455202607409</v>
      </c>
      <c r="Q334" s="110">
        <v>22905.01012485685</v>
      </c>
      <c r="R334" s="258">
        <v>68007.741675090059</v>
      </c>
      <c r="S334" s="259">
        <v>76428.465327464262</v>
      </c>
      <c r="U334" s="7" t="s">
        <v>3619</v>
      </c>
    </row>
    <row r="335" spans="1:21" s="7" customFormat="1" ht="16.5" thickBot="1">
      <c r="A335" s="41" t="s">
        <v>31</v>
      </c>
      <c r="B335" s="42">
        <f t="shared" si="18"/>
        <v>150</v>
      </c>
      <c r="C335" s="42" t="s">
        <v>3</v>
      </c>
      <c r="D335" s="42">
        <f t="shared" si="19"/>
        <v>360</v>
      </c>
      <c r="E335" s="42" t="s">
        <v>3</v>
      </c>
      <c r="F335" s="90">
        <f t="shared" si="20"/>
        <v>1550</v>
      </c>
      <c r="G335" s="42" t="s">
        <v>3</v>
      </c>
      <c r="H335" s="39">
        <v>8</v>
      </c>
      <c r="I335" s="40" t="s">
        <v>42</v>
      </c>
      <c r="J335" s="149">
        <v>150</v>
      </c>
      <c r="K335" s="66">
        <v>360</v>
      </c>
      <c r="L335" s="66">
        <v>1550</v>
      </c>
      <c r="M335" s="164">
        <v>23.755629862684209</v>
      </c>
      <c r="N335" s="78">
        <v>1521.8577270287999</v>
      </c>
      <c r="O335" s="113">
        <v>46366.867288372392</v>
      </c>
      <c r="P335" s="111">
        <v>55033.420327791435</v>
      </c>
      <c r="Q335" s="110">
        <v>23508.431009095038</v>
      </c>
      <c r="R335" s="258">
        <v>69875.298297467438</v>
      </c>
      <c r="S335" s="259">
        <v>78541.851336886466</v>
      </c>
      <c r="U335" s="7" t="s">
        <v>3620</v>
      </c>
    </row>
    <row r="336" spans="1:21" s="7" customFormat="1" ht="16.5" thickBot="1">
      <c r="A336" s="38" t="s">
        <v>31</v>
      </c>
      <c r="B336" s="39">
        <f t="shared" si="18"/>
        <v>150</v>
      </c>
      <c r="C336" s="39" t="s">
        <v>3</v>
      </c>
      <c r="D336" s="39">
        <f t="shared" si="19"/>
        <v>360</v>
      </c>
      <c r="E336" s="39" t="s">
        <v>3</v>
      </c>
      <c r="F336" s="90">
        <f t="shared" si="20"/>
        <v>1600</v>
      </c>
      <c r="G336" s="39" t="s">
        <v>3</v>
      </c>
      <c r="H336" s="39">
        <v>8</v>
      </c>
      <c r="I336" s="40" t="s">
        <v>42</v>
      </c>
      <c r="J336" s="149">
        <v>150</v>
      </c>
      <c r="K336" s="66">
        <v>360</v>
      </c>
      <c r="L336" s="66">
        <v>1600</v>
      </c>
      <c r="M336" s="164">
        <v>24.476809574046314</v>
      </c>
      <c r="N336" s="78">
        <v>1585.2684656549998</v>
      </c>
      <c r="O336" s="113">
        <v>47631.002873482801</v>
      </c>
      <c r="P336" s="111">
        <v>56543.385299946531</v>
      </c>
      <c r="Q336" s="110">
        <v>24111.851893333227</v>
      </c>
      <c r="R336" s="258">
        <v>71742.854766816032</v>
      </c>
      <c r="S336" s="259">
        <v>80655.237193279754</v>
      </c>
      <c r="U336" s="7" t="s">
        <v>3621</v>
      </c>
    </row>
    <row r="337" spans="1:21" s="7" customFormat="1" ht="16.5" thickBot="1">
      <c r="A337" s="41" t="s">
        <v>31</v>
      </c>
      <c r="B337" s="42">
        <f t="shared" si="18"/>
        <v>150</v>
      </c>
      <c r="C337" s="42" t="s">
        <v>3</v>
      </c>
      <c r="D337" s="42">
        <f t="shared" si="19"/>
        <v>360</v>
      </c>
      <c r="E337" s="42" t="s">
        <v>3</v>
      </c>
      <c r="F337" s="90">
        <f t="shared" si="20"/>
        <v>1650</v>
      </c>
      <c r="G337" s="42" t="s">
        <v>3</v>
      </c>
      <c r="H337" s="39">
        <v>8</v>
      </c>
      <c r="I337" s="40" t="s">
        <v>42</v>
      </c>
      <c r="J337" s="149">
        <v>150</v>
      </c>
      <c r="K337" s="66">
        <v>360</v>
      </c>
      <c r="L337" s="66">
        <v>1650</v>
      </c>
      <c r="M337" s="164">
        <v>25.21502928540842</v>
      </c>
      <c r="N337" s="78">
        <v>1648.6792042811999</v>
      </c>
      <c r="O337" s="113">
        <v>48895.13845859321</v>
      </c>
      <c r="P337" s="111">
        <v>58053.350425130397</v>
      </c>
      <c r="Q337" s="110">
        <v>24966.606915355183</v>
      </c>
      <c r="R337" s="258">
        <v>73861.74537394839</v>
      </c>
      <c r="S337" s="259">
        <v>83019.957340485576</v>
      </c>
      <c r="U337" s="7" t="s">
        <v>3622</v>
      </c>
    </row>
    <row r="338" spans="1:21" s="7" customFormat="1" ht="16.5" thickBot="1">
      <c r="A338" s="41" t="s">
        <v>31</v>
      </c>
      <c r="B338" s="42">
        <f t="shared" si="18"/>
        <v>150</v>
      </c>
      <c r="C338" s="42" t="s">
        <v>3</v>
      </c>
      <c r="D338" s="42">
        <f t="shared" si="19"/>
        <v>360</v>
      </c>
      <c r="E338" s="42" t="s">
        <v>3</v>
      </c>
      <c r="F338" s="90">
        <f t="shared" si="20"/>
        <v>1700</v>
      </c>
      <c r="G338" s="42" t="s">
        <v>3</v>
      </c>
      <c r="H338" s="39">
        <v>8</v>
      </c>
      <c r="I338" s="40" t="s">
        <v>42</v>
      </c>
      <c r="J338" s="149">
        <v>150</v>
      </c>
      <c r="K338" s="66">
        <v>360</v>
      </c>
      <c r="L338" s="66">
        <v>1700</v>
      </c>
      <c r="M338" s="164">
        <v>25.936208996770524</v>
      </c>
      <c r="N338" s="78">
        <v>1712.0899429073997</v>
      </c>
      <c r="O338" s="113">
        <v>50159.274196732389</v>
      </c>
      <c r="P338" s="111">
        <v>59563.315397285507</v>
      </c>
      <c r="Q338" s="110">
        <v>25570.027799593372</v>
      </c>
      <c r="R338" s="258">
        <v>75729.301996325754</v>
      </c>
      <c r="S338" s="259">
        <v>85133.343196878879</v>
      </c>
      <c r="U338" s="7" t="s">
        <v>3623</v>
      </c>
    </row>
    <row r="339" spans="1:21" s="7" customFormat="1" ht="16.5" thickBot="1">
      <c r="A339" s="41" t="s">
        <v>31</v>
      </c>
      <c r="B339" s="42">
        <f t="shared" si="18"/>
        <v>150</v>
      </c>
      <c r="C339" s="42" t="s">
        <v>3</v>
      </c>
      <c r="D339" s="42">
        <f t="shared" si="19"/>
        <v>360</v>
      </c>
      <c r="E339" s="42" t="s">
        <v>3</v>
      </c>
      <c r="F339" s="90">
        <f t="shared" si="20"/>
        <v>1750</v>
      </c>
      <c r="G339" s="42" t="s">
        <v>3</v>
      </c>
      <c r="H339" s="39">
        <v>8</v>
      </c>
      <c r="I339" s="40" t="s">
        <v>42</v>
      </c>
      <c r="J339" s="149">
        <v>150</v>
      </c>
      <c r="K339" s="66">
        <v>360</v>
      </c>
      <c r="L339" s="66">
        <v>1750</v>
      </c>
      <c r="M339" s="164">
        <v>26.674428708132627</v>
      </c>
      <c r="N339" s="78">
        <v>1775.5006815335996</v>
      </c>
      <c r="O339" s="113">
        <v>51423.409781842805</v>
      </c>
      <c r="P339" s="111">
        <v>61073.280369440618</v>
      </c>
      <c r="Q339" s="110">
        <v>26424.782821615332</v>
      </c>
      <c r="R339" s="258">
        <v>77848.192603458141</v>
      </c>
      <c r="S339" s="259">
        <v>87498.063191055946</v>
      </c>
      <c r="U339" s="7" t="s">
        <v>3624</v>
      </c>
    </row>
    <row r="340" spans="1:21" s="7" customFormat="1" ht="16.5" thickBot="1">
      <c r="A340" s="41" t="s">
        <v>31</v>
      </c>
      <c r="B340" s="42">
        <f t="shared" si="18"/>
        <v>150</v>
      </c>
      <c r="C340" s="42" t="s">
        <v>3</v>
      </c>
      <c r="D340" s="42">
        <f t="shared" si="19"/>
        <v>360</v>
      </c>
      <c r="E340" s="42" t="s">
        <v>3</v>
      </c>
      <c r="F340" s="90">
        <f t="shared" si="20"/>
        <v>1800</v>
      </c>
      <c r="G340" s="42" t="s">
        <v>3</v>
      </c>
      <c r="H340" s="39">
        <v>8</v>
      </c>
      <c r="I340" s="40" t="s">
        <v>42</v>
      </c>
      <c r="J340" s="149">
        <v>150</v>
      </c>
      <c r="K340" s="66">
        <v>360</v>
      </c>
      <c r="L340" s="66">
        <v>1800</v>
      </c>
      <c r="M340" s="164">
        <v>27.395608419494735</v>
      </c>
      <c r="N340" s="78">
        <v>1838.9114201597997</v>
      </c>
      <c r="O340" s="113">
        <v>52687.545366953222</v>
      </c>
      <c r="P340" s="111">
        <v>62583.245494624483</v>
      </c>
      <c r="Q340" s="110">
        <v>27028.203705853517</v>
      </c>
      <c r="R340" s="258">
        <v>79715.749072806735</v>
      </c>
      <c r="S340" s="259">
        <v>89611.449200478004</v>
      </c>
      <c r="U340" s="7" t="s">
        <v>3625</v>
      </c>
    </row>
    <row r="341" spans="1:21" s="7" customFormat="1" ht="16.5" thickBot="1">
      <c r="A341" s="41" t="s">
        <v>31</v>
      </c>
      <c r="B341" s="42">
        <f t="shared" si="18"/>
        <v>150</v>
      </c>
      <c r="C341" s="42" t="s">
        <v>3</v>
      </c>
      <c r="D341" s="42">
        <f t="shared" si="19"/>
        <v>360</v>
      </c>
      <c r="E341" s="42" t="s">
        <v>3</v>
      </c>
      <c r="F341" s="90">
        <f t="shared" si="20"/>
        <v>1850</v>
      </c>
      <c r="G341" s="42" t="s">
        <v>3</v>
      </c>
      <c r="H341" s="39">
        <v>8</v>
      </c>
      <c r="I341" s="40" t="s">
        <v>42</v>
      </c>
      <c r="J341" s="149">
        <v>150</v>
      </c>
      <c r="K341" s="66">
        <v>360</v>
      </c>
      <c r="L341" s="66">
        <v>1850</v>
      </c>
      <c r="M341" s="164">
        <v>28.133828130856848</v>
      </c>
      <c r="N341" s="78">
        <v>1902.3221587859998</v>
      </c>
      <c r="O341" s="113">
        <v>53951.681105092393</v>
      </c>
      <c r="P341" s="111">
        <v>64093.210466779587</v>
      </c>
      <c r="Q341" s="110">
        <v>27882.958880904247</v>
      </c>
      <c r="R341" s="258">
        <v>81834.639985996648</v>
      </c>
      <c r="S341" s="259">
        <v>91976.169347683841</v>
      </c>
      <c r="U341" s="7" t="s">
        <v>3626</v>
      </c>
    </row>
    <row r="342" spans="1:21" s="7" customFormat="1" ht="16.5" thickBot="1">
      <c r="A342" s="41" t="s">
        <v>31</v>
      </c>
      <c r="B342" s="42">
        <f t="shared" si="18"/>
        <v>150</v>
      </c>
      <c r="C342" s="42" t="s">
        <v>3</v>
      </c>
      <c r="D342" s="42">
        <f t="shared" si="19"/>
        <v>360</v>
      </c>
      <c r="E342" s="42" t="s">
        <v>3</v>
      </c>
      <c r="F342" s="90">
        <f t="shared" si="20"/>
        <v>1900</v>
      </c>
      <c r="G342" s="42" t="s">
        <v>3</v>
      </c>
      <c r="H342" s="39">
        <v>8</v>
      </c>
      <c r="I342" s="40" t="s">
        <v>42</v>
      </c>
      <c r="J342" s="149">
        <v>150</v>
      </c>
      <c r="K342" s="66">
        <v>360</v>
      </c>
      <c r="L342" s="66">
        <v>1900</v>
      </c>
      <c r="M342" s="164">
        <v>28.855007842218946</v>
      </c>
      <c r="N342" s="78">
        <v>1965.7328974121997</v>
      </c>
      <c r="O342" s="113">
        <v>55215.816690202802</v>
      </c>
      <c r="P342" s="111">
        <v>65603.17559196346</v>
      </c>
      <c r="Q342" s="110">
        <v>28486.379765142432</v>
      </c>
      <c r="R342" s="258">
        <v>83702.196455345227</v>
      </c>
      <c r="S342" s="259">
        <v>94089.555357105884</v>
      </c>
      <c r="U342" s="7" t="s">
        <v>3627</v>
      </c>
    </row>
    <row r="343" spans="1:21" s="7" customFormat="1" ht="16.5" thickBot="1">
      <c r="A343" s="41" t="s">
        <v>31</v>
      </c>
      <c r="B343" s="42">
        <f t="shared" si="18"/>
        <v>150</v>
      </c>
      <c r="C343" s="42" t="s">
        <v>3</v>
      </c>
      <c r="D343" s="42">
        <f t="shared" si="19"/>
        <v>360</v>
      </c>
      <c r="E343" s="42" t="s">
        <v>3</v>
      </c>
      <c r="F343" s="90">
        <f t="shared" si="20"/>
        <v>1950</v>
      </c>
      <c r="G343" s="42" t="s">
        <v>3</v>
      </c>
      <c r="H343" s="39">
        <v>8</v>
      </c>
      <c r="I343" s="40" t="s">
        <v>42</v>
      </c>
      <c r="J343" s="149">
        <v>150</v>
      </c>
      <c r="K343" s="66">
        <v>360</v>
      </c>
      <c r="L343" s="66">
        <v>1950</v>
      </c>
      <c r="M343" s="164">
        <v>29.73318755358105</v>
      </c>
      <c r="N343" s="78">
        <v>2029.1436360383996</v>
      </c>
      <c r="O343" s="113">
        <v>56648.14894557988</v>
      </c>
      <c r="P343" s="111">
        <v>67282.364057399202</v>
      </c>
      <c r="Q343" s="110">
        <v>29089.800649380621</v>
      </c>
      <c r="R343" s="258">
        <v>85737.949594960504</v>
      </c>
      <c r="S343" s="259">
        <v>96372.164706779819</v>
      </c>
      <c r="U343" s="7" t="s">
        <v>3628</v>
      </c>
    </row>
    <row r="344" spans="1:21" s="7" customFormat="1" ht="16.5" thickBot="1">
      <c r="A344" s="41" t="s">
        <v>31</v>
      </c>
      <c r="B344" s="42">
        <f t="shared" si="18"/>
        <v>150</v>
      </c>
      <c r="C344" s="42" t="s">
        <v>3</v>
      </c>
      <c r="D344" s="42">
        <f t="shared" si="19"/>
        <v>360</v>
      </c>
      <c r="E344" s="42" t="s">
        <v>3</v>
      </c>
      <c r="F344" s="90">
        <f t="shared" si="20"/>
        <v>2000</v>
      </c>
      <c r="G344" s="42" t="s">
        <v>3</v>
      </c>
      <c r="H344" s="39">
        <v>8</v>
      </c>
      <c r="I344" s="40" t="s">
        <v>42</v>
      </c>
      <c r="J344" s="149">
        <v>150</v>
      </c>
      <c r="K344" s="66">
        <v>360</v>
      </c>
      <c r="L344" s="66">
        <v>2000</v>
      </c>
      <c r="M344" s="164">
        <v>30.562969664943161</v>
      </c>
      <c r="N344" s="78">
        <v>2092.5543746645999</v>
      </c>
      <c r="O344" s="113">
        <v>58163.576432534879</v>
      </c>
      <c r="P344" s="111">
        <v>69133.151022550359</v>
      </c>
      <c r="Q344" s="110">
        <v>29944.555671402581</v>
      </c>
      <c r="R344" s="258">
        <v>88108.13210393746</v>
      </c>
      <c r="S344" s="259">
        <v>99077.706693952932</v>
      </c>
      <c r="U344" s="7" t="s">
        <v>3629</v>
      </c>
    </row>
    <row r="345" spans="1:21" s="7" customFormat="1" ht="16.5" thickBot="1">
      <c r="A345" s="41" t="s">
        <v>31</v>
      </c>
      <c r="B345" s="42">
        <f t="shared" si="18"/>
        <v>150</v>
      </c>
      <c r="C345" s="42" t="s">
        <v>3</v>
      </c>
      <c r="D345" s="42">
        <f t="shared" si="19"/>
        <v>360</v>
      </c>
      <c r="E345" s="42" t="s">
        <v>3</v>
      </c>
      <c r="F345" s="90">
        <f t="shared" si="20"/>
        <v>2050</v>
      </c>
      <c r="G345" s="42" t="s">
        <v>3</v>
      </c>
      <c r="H345" s="39">
        <v>8</v>
      </c>
      <c r="I345" s="40" t="s">
        <v>42</v>
      </c>
      <c r="J345" s="149">
        <v>150</v>
      </c>
      <c r="K345" s="66">
        <v>360</v>
      </c>
      <c r="L345" s="66">
        <v>2050</v>
      </c>
      <c r="M345" s="164">
        <v>31.284149376305258</v>
      </c>
      <c r="N345" s="78">
        <v>2155.9651132907998</v>
      </c>
      <c r="O345" s="113">
        <v>59427.712017645295</v>
      </c>
      <c r="P345" s="111">
        <v>70643.116147734225</v>
      </c>
      <c r="Q345" s="110">
        <v>30547.976555640766</v>
      </c>
      <c r="R345" s="258">
        <v>89975.688573286054</v>
      </c>
      <c r="S345" s="259">
        <v>101191.09270337499</v>
      </c>
      <c r="U345" s="7" t="s">
        <v>3630</v>
      </c>
    </row>
    <row r="346" spans="1:21" s="7" customFormat="1" ht="16.5" thickBot="1">
      <c r="A346" s="38" t="s">
        <v>31</v>
      </c>
      <c r="B346" s="39">
        <f t="shared" si="18"/>
        <v>150</v>
      </c>
      <c r="C346" s="39" t="s">
        <v>3</v>
      </c>
      <c r="D346" s="39">
        <f t="shared" si="19"/>
        <v>360</v>
      </c>
      <c r="E346" s="39" t="s">
        <v>3</v>
      </c>
      <c r="F346" s="90">
        <f t="shared" si="20"/>
        <v>2100</v>
      </c>
      <c r="G346" s="39" t="s">
        <v>3</v>
      </c>
      <c r="H346" s="39">
        <v>8</v>
      </c>
      <c r="I346" s="40" t="s">
        <v>42</v>
      </c>
      <c r="J346" s="149">
        <v>150</v>
      </c>
      <c r="K346" s="66">
        <v>360</v>
      </c>
      <c r="L346" s="66">
        <v>2100</v>
      </c>
      <c r="M346" s="164">
        <v>32.022369087667371</v>
      </c>
      <c r="N346" s="78">
        <v>2219.3758519169996</v>
      </c>
      <c r="O346" s="113">
        <v>60691.847755784474</v>
      </c>
      <c r="P346" s="111">
        <v>72153.081119889335</v>
      </c>
      <c r="Q346" s="110">
        <v>31402.731577662726</v>
      </c>
      <c r="R346" s="258">
        <v>92094.579333447196</v>
      </c>
      <c r="S346" s="259">
        <v>103555.81269755206</v>
      </c>
      <c r="U346" s="7" t="s">
        <v>3631</v>
      </c>
    </row>
    <row r="347" spans="1:21" s="7" customFormat="1" ht="16.5" thickBot="1">
      <c r="A347" s="41" t="s">
        <v>31</v>
      </c>
      <c r="B347" s="42">
        <f t="shared" si="18"/>
        <v>150</v>
      </c>
      <c r="C347" s="42" t="s">
        <v>3</v>
      </c>
      <c r="D347" s="42">
        <f t="shared" si="19"/>
        <v>360</v>
      </c>
      <c r="E347" s="42" t="s">
        <v>3</v>
      </c>
      <c r="F347" s="90">
        <f t="shared" si="20"/>
        <v>2150</v>
      </c>
      <c r="G347" s="42" t="s">
        <v>3</v>
      </c>
      <c r="H347" s="39">
        <v>8</v>
      </c>
      <c r="I347" s="40" t="s">
        <v>42</v>
      </c>
      <c r="J347" s="149">
        <v>150</v>
      </c>
      <c r="K347" s="66">
        <v>360</v>
      </c>
      <c r="L347" s="66">
        <v>2150</v>
      </c>
      <c r="M347" s="164">
        <v>32.743548799029476</v>
      </c>
      <c r="N347" s="78">
        <v>2282.7865905431995</v>
      </c>
      <c r="O347" s="113">
        <v>61955.983340894883</v>
      </c>
      <c r="P347" s="111">
        <v>73663.046245073201</v>
      </c>
      <c r="Q347" s="110">
        <v>32006.152461900914</v>
      </c>
      <c r="R347" s="258">
        <v>93962.13580279579</v>
      </c>
      <c r="S347" s="259">
        <v>105669.19870697412</v>
      </c>
      <c r="U347" s="7" t="s">
        <v>3632</v>
      </c>
    </row>
    <row r="348" spans="1:21" s="7" customFormat="1" ht="16.5" thickBot="1">
      <c r="A348" s="41" t="s">
        <v>31</v>
      </c>
      <c r="B348" s="42">
        <f t="shared" si="18"/>
        <v>150</v>
      </c>
      <c r="C348" s="42" t="s">
        <v>3</v>
      </c>
      <c r="D348" s="42">
        <f t="shared" si="19"/>
        <v>360</v>
      </c>
      <c r="E348" s="42" t="s">
        <v>3</v>
      </c>
      <c r="F348" s="90">
        <f t="shared" si="20"/>
        <v>2200</v>
      </c>
      <c r="G348" s="42" t="s">
        <v>3</v>
      </c>
      <c r="H348" s="39">
        <v>8</v>
      </c>
      <c r="I348" s="40" t="s">
        <v>42</v>
      </c>
      <c r="J348" s="149">
        <v>150</v>
      </c>
      <c r="K348" s="66">
        <v>360</v>
      </c>
      <c r="L348" s="66">
        <v>2200</v>
      </c>
      <c r="M348" s="164">
        <v>33.481768510391575</v>
      </c>
      <c r="N348" s="78">
        <v>2346.1973291693994</v>
      </c>
      <c r="O348" s="113">
        <v>63220.118926005292</v>
      </c>
      <c r="P348" s="111">
        <v>75173.011217228312</v>
      </c>
      <c r="Q348" s="110">
        <v>32860.907483922878</v>
      </c>
      <c r="R348" s="258">
        <v>96081.026409928163</v>
      </c>
      <c r="S348" s="259">
        <v>108033.91870115118</v>
      </c>
      <c r="U348" s="7" t="s">
        <v>3633</v>
      </c>
    </row>
    <row r="349" spans="1:21" s="7" customFormat="1" ht="16.5" thickBot="1">
      <c r="A349" s="41" t="s">
        <v>31</v>
      </c>
      <c r="B349" s="42">
        <f t="shared" si="18"/>
        <v>150</v>
      </c>
      <c r="C349" s="42" t="s">
        <v>3</v>
      </c>
      <c r="D349" s="42">
        <f t="shared" si="19"/>
        <v>360</v>
      </c>
      <c r="E349" s="42" t="s">
        <v>3</v>
      </c>
      <c r="F349" s="90">
        <f t="shared" si="20"/>
        <v>2250</v>
      </c>
      <c r="G349" s="42" t="s">
        <v>3</v>
      </c>
      <c r="H349" s="39">
        <v>8</v>
      </c>
      <c r="I349" s="40" t="s">
        <v>42</v>
      </c>
      <c r="J349" s="149">
        <v>150</v>
      </c>
      <c r="K349" s="66">
        <v>360</v>
      </c>
      <c r="L349" s="66">
        <v>2250</v>
      </c>
      <c r="M349" s="164">
        <v>34.202948221753687</v>
      </c>
      <c r="N349" s="78">
        <v>2409.6080677955997</v>
      </c>
      <c r="O349" s="113">
        <v>64484.254664144464</v>
      </c>
      <c r="P349" s="111">
        <v>76682.976342412177</v>
      </c>
      <c r="Q349" s="110">
        <v>33464.328368161063</v>
      </c>
      <c r="R349" s="258">
        <v>97948.583032305527</v>
      </c>
      <c r="S349" s="259">
        <v>110147.30471057324</v>
      </c>
      <c r="U349" s="7" t="s">
        <v>3634</v>
      </c>
    </row>
    <row r="350" spans="1:21" s="7" customFormat="1" ht="16.5" thickBot="1">
      <c r="A350" s="41" t="s">
        <v>31</v>
      </c>
      <c r="B350" s="42">
        <f t="shared" si="18"/>
        <v>150</v>
      </c>
      <c r="C350" s="42" t="s">
        <v>3</v>
      </c>
      <c r="D350" s="42">
        <f t="shared" si="19"/>
        <v>360</v>
      </c>
      <c r="E350" s="42" t="s">
        <v>3</v>
      </c>
      <c r="F350" s="90">
        <f t="shared" si="20"/>
        <v>2300</v>
      </c>
      <c r="G350" s="42" t="s">
        <v>3</v>
      </c>
      <c r="H350" s="39">
        <v>8</v>
      </c>
      <c r="I350" s="40" t="s">
        <v>42</v>
      </c>
      <c r="J350" s="149">
        <v>150</v>
      </c>
      <c r="K350" s="66">
        <v>360</v>
      </c>
      <c r="L350" s="66">
        <v>2300</v>
      </c>
      <c r="M350" s="164">
        <v>34.924127933115791</v>
      </c>
      <c r="N350" s="78">
        <v>2473.0188064217996</v>
      </c>
      <c r="O350" s="113">
        <v>65748.39024925488</v>
      </c>
      <c r="P350" s="111">
        <v>78192.941314567288</v>
      </c>
      <c r="Q350" s="110">
        <v>34067.749252399248</v>
      </c>
      <c r="R350" s="258">
        <v>99816.139501654136</v>
      </c>
      <c r="S350" s="259">
        <v>112260.69056696654</v>
      </c>
      <c r="U350" s="7" t="s">
        <v>3635</v>
      </c>
    </row>
    <row r="351" spans="1:21" s="7" customFormat="1" ht="16.5" thickBot="1">
      <c r="A351" s="41" t="s">
        <v>31</v>
      </c>
      <c r="B351" s="42">
        <f t="shared" si="18"/>
        <v>150</v>
      </c>
      <c r="C351" s="42" t="s">
        <v>3</v>
      </c>
      <c r="D351" s="42">
        <f t="shared" si="19"/>
        <v>360</v>
      </c>
      <c r="E351" s="42" t="s">
        <v>3</v>
      </c>
      <c r="F351" s="90">
        <f t="shared" si="20"/>
        <v>2350</v>
      </c>
      <c r="G351" s="42" t="s">
        <v>3</v>
      </c>
      <c r="H351" s="39">
        <v>8</v>
      </c>
      <c r="I351" s="40" t="s">
        <v>42</v>
      </c>
      <c r="J351" s="149">
        <v>150</v>
      </c>
      <c r="K351" s="66">
        <v>360</v>
      </c>
      <c r="L351" s="66">
        <v>2350</v>
      </c>
      <c r="M351" s="164">
        <v>35.66234764447789</v>
      </c>
      <c r="N351" s="78">
        <v>2536.4295450479999</v>
      </c>
      <c r="O351" s="113">
        <v>67012.525834365297</v>
      </c>
      <c r="P351" s="111">
        <v>79702.906286722384</v>
      </c>
      <c r="Q351" s="110">
        <v>34922.504274421211</v>
      </c>
      <c r="R351" s="258">
        <v>101935.03010878651</v>
      </c>
      <c r="S351" s="259">
        <v>114625.4105611436</v>
      </c>
      <c r="U351" s="7" t="s">
        <v>3636</v>
      </c>
    </row>
    <row r="352" spans="1:21" s="7" customFormat="1" ht="16.5" thickBot="1">
      <c r="A352" s="41" t="s">
        <v>31</v>
      </c>
      <c r="B352" s="42">
        <f t="shared" si="18"/>
        <v>150</v>
      </c>
      <c r="C352" s="42" t="s">
        <v>3</v>
      </c>
      <c r="D352" s="42">
        <f t="shared" si="19"/>
        <v>360</v>
      </c>
      <c r="E352" s="42" t="s">
        <v>3</v>
      </c>
      <c r="F352" s="90">
        <f t="shared" si="20"/>
        <v>2400</v>
      </c>
      <c r="G352" s="42" t="s">
        <v>3</v>
      </c>
      <c r="H352" s="39">
        <v>8</v>
      </c>
      <c r="I352" s="40" t="s">
        <v>42</v>
      </c>
      <c r="J352" s="149">
        <v>150</v>
      </c>
      <c r="K352" s="66">
        <v>360</v>
      </c>
      <c r="L352" s="66">
        <v>2400</v>
      </c>
      <c r="M352" s="164">
        <v>36.383527355839995</v>
      </c>
      <c r="N352" s="78">
        <v>2599.8402836741998</v>
      </c>
      <c r="O352" s="113">
        <v>68276.661572504468</v>
      </c>
      <c r="P352" s="111">
        <v>81212.87141190625</v>
      </c>
      <c r="Q352" s="110">
        <v>35525.925158659396</v>
      </c>
      <c r="R352" s="258">
        <v>103802.58673116387</v>
      </c>
      <c r="S352" s="259">
        <v>116738.79657056564</v>
      </c>
      <c r="U352" s="7" t="s">
        <v>3637</v>
      </c>
    </row>
    <row r="353" spans="1:21" s="7" customFormat="1" ht="16.5" thickBot="1">
      <c r="A353" s="41" t="s">
        <v>31</v>
      </c>
      <c r="B353" s="42">
        <f t="shared" si="18"/>
        <v>150</v>
      </c>
      <c r="C353" s="42" t="s">
        <v>3</v>
      </c>
      <c r="D353" s="42">
        <f t="shared" si="19"/>
        <v>360</v>
      </c>
      <c r="E353" s="42" t="s">
        <v>3</v>
      </c>
      <c r="F353" s="90">
        <f t="shared" si="20"/>
        <v>2450</v>
      </c>
      <c r="G353" s="42" t="s">
        <v>3</v>
      </c>
      <c r="H353" s="39">
        <v>8</v>
      </c>
      <c r="I353" s="40" t="s">
        <v>42</v>
      </c>
      <c r="J353" s="149">
        <v>150</v>
      </c>
      <c r="K353" s="66">
        <v>360</v>
      </c>
      <c r="L353" s="66">
        <v>2450</v>
      </c>
      <c r="M353" s="164">
        <v>37.324976445502102</v>
      </c>
      <c r="N353" s="78">
        <v>2663.2510223004001</v>
      </c>
      <c r="O353" s="113">
        <v>70360.98879668818</v>
      </c>
      <c r="P353" s="111">
        <v>83527.947038331578</v>
      </c>
      <c r="Q353" s="110">
        <v>36380.680180681353</v>
      </c>
      <c r="R353" s="258">
        <v>106741.66897736953</v>
      </c>
      <c r="S353" s="259">
        <v>119908.62721901294</v>
      </c>
      <c r="U353" s="7" t="s">
        <v>3638</v>
      </c>
    </row>
    <row r="354" spans="1:21" s="7" customFormat="1" ht="16.5" thickBot="1">
      <c r="A354" s="41" t="s">
        <v>31</v>
      </c>
      <c r="B354" s="42">
        <f t="shared" si="18"/>
        <v>150</v>
      </c>
      <c r="C354" s="42" t="s">
        <v>3</v>
      </c>
      <c r="D354" s="42">
        <f t="shared" si="19"/>
        <v>360</v>
      </c>
      <c r="E354" s="42" t="s">
        <v>3</v>
      </c>
      <c r="F354" s="90">
        <f t="shared" si="20"/>
        <v>2500</v>
      </c>
      <c r="G354" s="42" t="s">
        <v>3</v>
      </c>
      <c r="H354" s="39">
        <v>8</v>
      </c>
      <c r="I354" s="40" t="s">
        <v>42</v>
      </c>
      <c r="J354" s="149">
        <v>150</v>
      </c>
      <c r="K354" s="66">
        <v>360</v>
      </c>
      <c r="L354" s="66">
        <v>2500</v>
      </c>
      <c r="M354" s="164">
        <v>38.046156156864207</v>
      </c>
      <c r="N354" s="78">
        <v>2726.6617609265995</v>
      </c>
      <c r="O354" s="113">
        <v>71625.124381798596</v>
      </c>
      <c r="P354" s="111">
        <v>85037.912010486689</v>
      </c>
      <c r="Q354" s="110">
        <v>36984.101064919538</v>
      </c>
      <c r="R354" s="258">
        <v>108609.22544671813</v>
      </c>
      <c r="S354" s="259">
        <v>122022.01307540623</v>
      </c>
      <c r="U354" s="7" t="s">
        <v>3639</v>
      </c>
    </row>
    <row r="355" spans="1:21" s="7" customFormat="1" ht="16.5" thickBot="1">
      <c r="A355" s="41" t="s">
        <v>31</v>
      </c>
      <c r="B355" s="42">
        <f t="shared" si="18"/>
        <v>150</v>
      </c>
      <c r="C355" s="42" t="s">
        <v>3</v>
      </c>
      <c r="D355" s="42">
        <f t="shared" si="19"/>
        <v>360</v>
      </c>
      <c r="E355" s="42" t="s">
        <v>3</v>
      </c>
      <c r="F355" s="90">
        <f t="shared" si="20"/>
        <v>2550</v>
      </c>
      <c r="G355" s="42" t="s">
        <v>3</v>
      </c>
      <c r="H355" s="39">
        <v>8</v>
      </c>
      <c r="I355" s="40" t="s">
        <v>42</v>
      </c>
      <c r="J355" s="149">
        <v>150</v>
      </c>
      <c r="K355" s="66">
        <v>360</v>
      </c>
      <c r="L355" s="66">
        <v>2550</v>
      </c>
      <c r="M355" s="164">
        <v>38.784375868226313</v>
      </c>
      <c r="N355" s="78">
        <v>2790.0724995527994</v>
      </c>
      <c r="O355" s="113">
        <v>72889.260119937768</v>
      </c>
      <c r="P355" s="111">
        <v>86547.877135670555</v>
      </c>
      <c r="Q355" s="110">
        <v>37838.856239970264</v>
      </c>
      <c r="R355" s="258">
        <v>110728.11635990803</v>
      </c>
      <c r="S355" s="259">
        <v>124386.73337564082</v>
      </c>
      <c r="U355" s="7" t="s">
        <v>3640</v>
      </c>
    </row>
    <row r="356" spans="1:21" s="7" customFormat="1" ht="16.5" thickBot="1">
      <c r="A356" s="38" t="s">
        <v>31</v>
      </c>
      <c r="B356" s="39">
        <f t="shared" si="18"/>
        <v>150</v>
      </c>
      <c r="C356" s="39" t="s">
        <v>3</v>
      </c>
      <c r="D356" s="39">
        <f t="shared" si="19"/>
        <v>360</v>
      </c>
      <c r="E356" s="39" t="s">
        <v>3</v>
      </c>
      <c r="F356" s="90">
        <f t="shared" si="20"/>
        <v>2600</v>
      </c>
      <c r="G356" s="39" t="s">
        <v>3</v>
      </c>
      <c r="H356" s="39">
        <v>8</v>
      </c>
      <c r="I356" s="40" t="s">
        <v>42</v>
      </c>
      <c r="J356" s="149">
        <v>150</v>
      </c>
      <c r="K356" s="66">
        <v>360</v>
      </c>
      <c r="L356" s="66">
        <v>2600</v>
      </c>
      <c r="M356" s="164">
        <v>39.505555579588425</v>
      </c>
      <c r="N356" s="78">
        <v>2853.4832381789997</v>
      </c>
      <c r="O356" s="113">
        <v>74153.395705048169</v>
      </c>
      <c r="P356" s="111">
        <v>88057.842107825665</v>
      </c>
      <c r="Q356" s="110">
        <v>38442.277124208456</v>
      </c>
      <c r="R356" s="258">
        <v>112595.67282925663</v>
      </c>
      <c r="S356" s="259">
        <v>126500.11923203412</v>
      </c>
      <c r="U356" s="7" t="s">
        <v>3641</v>
      </c>
    </row>
    <row r="357" spans="1:21" s="7" customFormat="1" ht="16.5" thickBot="1">
      <c r="A357" s="41" t="s">
        <v>31</v>
      </c>
      <c r="B357" s="42">
        <f t="shared" si="18"/>
        <v>150</v>
      </c>
      <c r="C357" s="42" t="s">
        <v>3</v>
      </c>
      <c r="D357" s="42">
        <f t="shared" si="19"/>
        <v>360</v>
      </c>
      <c r="E357" s="42" t="s">
        <v>3</v>
      </c>
      <c r="F357" s="90">
        <f t="shared" si="20"/>
        <v>2650</v>
      </c>
      <c r="G357" s="42" t="s">
        <v>3</v>
      </c>
      <c r="H357" s="39">
        <v>8</v>
      </c>
      <c r="I357" s="40" t="s">
        <v>42</v>
      </c>
      <c r="J357" s="149">
        <v>150</v>
      </c>
      <c r="K357" s="66">
        <v>360</v>
      </c>
      <c r="L357" s="66">
        <v>2650</v>
      </c>
      <c r="M357" s="164">
        <v>40.243775290950524</v>
      </c>
      <c r="N357" s="78">
        <v>2916.8939768051996</v>
      </c>
      <c r="O357" s="113">
        <v>75417.531290158586</v>
      </c>
      <c r="P357" s="111">
        <v>89567.807079980776</v>
      </c>
      <c r="Q357" s="110">
        <v>39297.032146230413</v>
      </c>
      <c r="R357" s="258">
        <v>114714.563436389</v>
      </c>
      <c r="S357" s="259">
        <v>128864.83922621119</v>
      </c>
      <c r="U357" s="7" t="s">
        <v>3642</v>
      </c>
    </row>
    <row r="358" spans="1:21" s="7" customFormat="1" ht="16.5" thickBot="1">
      <c r="A358" s="41" t="s">
        <v>31</v>
      </c>
      <c r="B358" s="42">
        <f t="shared" si="18"/>
        <v>150</v>
      </c>
      <c r="C358" s="42" t="s">
        <v>3</v>
      </c>
      <c r="D358" s="42">
        <f t="shared" si="19"/>
        <v>360</v>
      </c>
      <c r="E358" s="42" t="s">
        <v>3</v>
      </c>
      <c r="F358" s="90">
        <f t="shared" si="20"/>
        <v>2700</v>
      </c>
      <c r="G358" s="42" t="s">
        <v>3</v>
      </c>
      <c r="H358" s="39">
        <v>8</v>
      </c>
      <c r="I358" s="40" t="s">
        <v>42</v>
      </c>
      <c r="J358" s="149">
        <v>150</v>
      </c>
      <c r="K358" s="66">
        <v>360</v>
      </c>
      <c r="L358" s="66">
        <v>2700</v>
      </c>
      <c r="M358" s="164">
        <v>41.121955002312639</v>
      </c>
      <c r="N358" s="78">
        <v>2980.3047154313995</v>
      </c>
      <c r="O358" s="113">
        <v>76849.863545535671</v>
      </c>
      <c r="P358" s="111">
        <v>91246.995545416532</v>
      </c>
      <c r="Q358" s="110">
        <v>39900.453030468605</v>
      </c>
      <c r="R358" s="258">
        <v>116750.31657600428</v>
      </c>
      <c r="S358" s="259">
        <v>131147.44857588515</v>
      </c>
      <c r="U358" s="7" t="s">
        <v>3643</v>
      </c>
    </row>
    <row r="359" spans="1:21" s="7" customFormat="1" ht="16.5" thickBot="1">
      <c r="A359" s="41" t="s">
        <v>31</v>
      </c>
      <c r="B359" s="42">
        <f t="shared" si="18"/>
        <v>150</v>
      </c>
      <c r="C359" s="42" t="s">
        <v>3</v>
      </c>
      <c r="D359" s="42">
        <f t="shared" si="19"/>
        <v>360</v>
      </c>
      <c r="E359" s="42" t="s">
        <v>3</v>
      </c>
      <c r="F359" s="90">
        <f t="shared" si="20"/>
        <v>2750</v>
      </c>
      <c r="G359" s="42" t="s">
        <v>3</v>
      </c>
      <c r="H359" s="39">
        <v>8</v>
      </c>
      <c r="I359" s="40" t="s">
        <v>42</v>
      </c>
      <c r="J359" s="149">
        <v>150</v>
      </c>
      <c r="K359" s="66">
        <v>360</v>
      </c>
      <c r="L359" s="66">
        <v>2750</v>
      </c>
      <c r="M359" s="164">
        <v>41.843134713674736</v>
      </c>
      <c r="N359" s="78">
        <v>3043.7154540575998</v>
      </c>
      <c r="O359" s="113">
        <v>78113.999130646072</v>
      </c>
      <c r="P359" s="111">
        <v>92756.960670600398</v>
      </c>
      <c r="Q359" s="110">
        <v>40503.87391470679</v>
      </c>
      <c r="R359" s="258">
        <v>118617.87304535287</v>
      </c>
      <c r="S359" s="259">
        <v>133260.8345853072</v>
      </c>
      <c r="U359" s="7" t="s">
        <v>3644</v>
      </c>
    </row>
    <row r="360" spans="1:21" s="7" customFormat="1" ht="16.5" thickBot="1">
      <c r="A360" s="41" t="s">
        <v>31</v>
      </c>
      <c r="B360" s="42">
        <f t="shared" si="18"/>
        <v>150</v>
      </c>
      <c r="C360" s="42" t="s">
        <v>3</v>
      </c>
      <c r="D360" s="42">
        <f t="shared" si="19"/>
        <v>360</v>
      </c>
      <c r="E360" s="42" t="s">
        <v>3</v>
      </c>
      <c r="F360" s="90">
        <f t="shared" si="20"/>
        <v>2800</v>
      </c>
      <c r="G360" s="42" t="s">
        <v>3</v>
      </c>
      <c r="H360" s="39">
        <v>8</v>
      </c>
      <c r="I360" s="40" t="s">
        <v>42</v>
      </c>
      <c r="J360" s="149">
        <v>150</v>
      </c>
      <c r="K360" s="66">
        <v>360</v>
      </c>
      <c r="L360" s="66">
        <v>2800</v>
      </c>
      <c r="M360" s="164">
        <v>42.581354425036842</v>
      </c>
      <c r="N360" s="78">
        <v>3107.1261926837992</v>
      </c>
      <c r="O360" s="113">
        <v>79378.134868785244</v>
      </c>
      <c r="P360" s="111">
        <v>94266.925642755494</v>
      </c>
      <c r="Q360" s="110">
        <v>41358.628936728746</v>
      </c>
      <c r="R360" s="258">
        <v>120736.763805514</v>
      </c>
      <c r="S360" s="259">
        <v>135625.55457948425</v>
      </c>
      <c r="U360" s="7" t="s">
        <v>3645</v>
      </c>
    </row>
    <row r="361" spans="1:21" ht="16.5" thickBot="1">
      <c r="A361" s="41" t="s">
        <v>31</v>
      </c>
      <c r="B361" s="42">
        <f t="shared" si="18"/>
        <v>150</v>
      </c>
      <c r="C361" s="42" t="s">
        <v>3</v>
      </c>
      <c r="D361" s="42">
        <f t="shared" si="19"/>
        <v>360</v>
      </c>
      <c r="E361" s="42" t="s">
        <v>3</v>
      </c>
      <c r="F361" s="90">
        <f t="shared" si="20"/>
        <v>2850</v>
      </c>
      <c r="G361" s="42" t="s">
        <v>3</v>
      </c>
      <c r="H361" s="39">
        <v>8</v>
      </c>
      <c r="I361" s="40" t="s">
        <v>42</v>
      </c>
      <c r="J361" s="149">
        <v>150</v>
      </c>
      <c r="K361" s="66">
        <v>360</v>
      </c>
      <c r="L361" s="66">
        <v>2850</v>
      </c>
      <c r="M361" s="164">
        <v>43.302534136398947</v>
      </c>
      <c r="N361" s="78">
        <v>3170.5369313099995</v>
      </c>
      <c r="O361" s="113">
        <v>80642.27045389566</v>
      </c>
      <c r="P361" s="111">
        <v>95776.890767939374</v>
      </c>
      <c r="Q361" s="110">
        <v>41962.049820966939</v>
      </c>
      <c r="R361" s="258">
        <v>122604.32027486261</v>
      </c>
      <c r="S361" s="259">
        <v>137738.94058890632</v>
      </c>
      <c r="U361" s="7" t="s">
        <v>3646</v>
      </c>
    </row>
    <row r="362" spans="1:21" ht="16.5" thickBot="1">
      <c r="A362" s="41" t="s">
        <v>31</v>
      </c>
      <c r="B362" s="42">
        <f t="shared" si="18"/>
        <v>150</v>
      </c>
      <c r="C362" s="42" t="s">
        <v>3</v>
      </c>
      <c r="D362" s="42">
        <f t="shared" si="19"/>
        <v>360</v>
      </c>
      <c r="E362" s="42" t="s">
        <v>3</v>
      </c>
      <c r="F362" s="90">
        <f t="shared" si="20"/>
        <v>2900</v>
      </c>
      <c r="G362" s="42" t="s">
        <v>3</v>
      </c>
      <c r="H362" s="39">
        <v>8</v>
      </c>
      <c r="I362" s="40" t="s">
        <v>42</v>
      </c>
      <c r="J362" s="149">
        <v>150</v>
      </c>
      <c r="K362" s="66">
        <v>360</v>
      </c>
      <c r="L362" s="66">
        <v>2900</v>
      </c>
      <c r="M362" s="164">
        <v>44.040753847761046</v>
      </c>
      <c r="N362" s="78">
        <v>3233.9476699361999</v>
      </c>
      <c r="O362" s="113">
        <v>81906.406039006077</v>
      </c>
      <c r="P362" s="111">
        <v>97286.85574009447</v>
      </c>
      <c r="Q362" s="110">
        <v>42816.804842988895</v>
      </c>
      <c r="R362" s="258">
        <v>124723.21088199498</v>
      </c>
      <c r="S362" s="259">
        <v>140103.66058308337</v>
      </c>
      <c r="U362" s="7" t="s">
        <v>3647</v>
      </c>
    </row>
    <row r="363" spans="1:21" ht="16.5" thickBot="1">
      <c r="A363" s="41" t="s">
        <v>31</v>
      </c>
      <c r="B363" s="42">
        <f t="shared" si="18"/>
        <v>150</v>
      </c>
      <c r="C363" s="42" t="s">
        <v>3</v>
      </c>
      <c r="D363" s="42">
        <f t="shared" si="19"/>
        <v>360</v>
      </c>
      <c r="E363" s="42" t="s">
        <v>3</v>
      </c>
      <c r="F363" s="90">
        <f t="shared" si="20"/>
        <v>2950</v>
      </c>
      <c r="G363" s="42" t="s">
        <v>3</v>
      </c>
      <c r="H363" s="39">
        <v>8</v>
      </c>
      <c r="I363" s="40" t="s">
        <v>42</v>
      </c>
      <c r="J363" s="149">
        <v>150</v>
      </c>
      <c r="K363" s="66">
        <v>360</v>
      </c>
      <c r="L363" s="66">
        <v>2950</v>
      </c>
      <c r="M363" s="164">
        <v>44.76193355912315</v>
      </c>
      <c r="N363" s="78">
        <v>3297.3584085623997</v>
      </c>
      <c r="O363" s="113">
        <v>83170.541777145248</v>
      </c>
      <c r="P363" s="111">
        <v>98796.820712249581</v>
      </c>
      <c r="Q363" s="110">
        <v>43420.22572722708</v>
      </c>
      <c r="R363" s="258">
        <v>126590.76750437233</v>
      </c>
      <c r="S363" s="259">
        <v>142217.04643947666</v>
      </c>
      <c r="U363" s="7" t="s">
        <v>3648</v>
      </c>
    </row>
    <row r="364" spans="1:21" ht="16.5" thickBot="1">
      <c r="A364" s="43" t="s">
        <v>31</v>
      </c>
      <c r="B364" s="44">
        <f t="shared" si="18"/>
        <v>150</v>
      </c>
      <c r="C364" s="44" t="s">
        <v>3</v>
      </c>
      <c r="D364" s="44">
        <f t="shared" si="19"/>
        <v>360</v>
      </c>
      <c r="E364" s="44" t="s">
        <v>3</v>
      </c>
      <c r="F364" s="91">
        <f t="shared" si="20"/>
        <v>3000</v>
      </c>
      <c r="G364" s="44" t="s">
        <v>3</v>
      </c>
      <c r="H364" s="46">
        <v>8</v>
      </c>
      <c r="I364" s="45" t="s">
        <v>42</v>
      </c>
      <c r="J364" s="151">
        <v>150</v>
      </c>
      <c r="K364" s="126">
        <v>360</v>
      </c>
      <c r="L364" s="126">
        <v>3000</v>
      </c>
      <c r="M364" s="171">
        <v>45.500153270485256</v>
      </c>
      <c r="N364" s="127">
        <v>3360.7691471885996</v>
      </c>
      <c r="O364" s="128">
        <v>85715.598978670168</v>
      </c>
      <c r="P364" s="135">
        <v>100306.78583743345</v>
      </c>
      <c r="Q364" s="136">
        <v>44274.980749249036</v>
      </c>
      <c r="R364" s="260">
        <v>129990.5797279192</v>
      </c>
      <c r="S364" s="261">
        <v>144581.76658668247</v>
      </c>
      <c r="U364" s="7" t="s">
        <v>3649</v>
      </c>
    </row>
    <row r="365" spans="1:21" s="65" customFormat="1" ht="22.5" customHeight="1" thickBot="1">
      <c r="A365" s="3010" t="s">
        <v>60</v>
      </c>
      <c r="B365" s="3011"/>
      <c r="C365" s="3011"/>
      <c r="D365" s="3011"/>
      <c r="E365" s="3011"/>
      <c r="F365" s="3011"/>
      <c r="G365" s="3011"/>
      <c r="H365" s="3011"/>
      <c r="I365" s="3011"/>
      <c r="J365" s="3011"/>
      <c r="K365" s="3011"/>
      <c r="L365" s="3011"/>
      <c r="M365" s="3011"/>
      <c r="N365" s="3011"/>
      <c r="O365" s="3011"/>
      <c r="P365" s="3011"/>
      <c r="Q365" s="3011"/>
      <c r="R365" s="3011"/>
      <c r="S365" s="3012"/>
      <c r="U365" s="7"/>
    </row>
    <row r="366" spans="1:21" s="65" customFormat="1" ht="16.5" thickBot="1">
      <c r="A366" s="2974" t="s">
        <v>118</v>
      </c>
      <c r="B366" s="2975"/>
      <c r="C366" s="2975"/>
      <c r="D366" s="2975"/>
      <c r="E366" s="2975"/>
      <c r="F366" s="2975"/>
      <c r="G366" s="2975"/>
      <c r="H366" s="2975"/>
      <c r="I366" s="2975"/>
      <c r="J366" s="2975"/>
      <c r="K366" s="2975"/>
      <c r="L366" s="2975"/>
      <c r="M366" s="2975"/>
      <c r="N366" s="2975"/>
      <c r="O366" s="2975"/>
      <c r="P366" s="2975"/>
      <c r="Q366" s="2975"/>
      <c r="R366" s="2975"/>
      <c r="S366" s="2976"/>
      <c r="U366" s="7"/>
    </row>
    <row r="367" spans="1:21" s="65" customFormat="1" ht="16.5" thickBot="1">
      <c r="A367" s="38" t="s">
        <v>31</v>
      </c>
      <c r="B367" s="39">
        <f>J367</f>
        <v>150</v>
      </c>
      <c r="C367" s="39" t="s">
        <v>3</v>
      </c>
      <c r="D367" s="39">
        <f>K367</f>
        <v>400</v>
      </c>
      <c r="E367" s="39" t="s">
        <v>3</v>
      </c>
      <c r="F367" s="90">
        <f>L367</f>
        <v>600</v>
      </c>
      <c r="G367" s="39" t="s">
        <v>3</v>
      </c>
      <c r="H367" s="39">
        <v>6</v>
      </c>
      <c r="I367" s="40" t="s">
        <v>42</v>
      </c>
      <c r="J367" s="146">
        <v>150</v>
      </c>
      <c r="K367" s="122">
        <v>400</v>
      </c>
      <c r="L367" s="122">
        <v>600</v>
      </c>
      <c r="M367" s="163">
        <v>9.5402484800071061</v>
      </c>
      <c r="N367" s="123">
        <v>307.26</v>
      </c>
      <c r="O367" s="124">
        <v>19409.015955796083</v>
      </c>
      <c r="P367" s="148">
        <v>23919.581808938459</v>
      </c>
      <c r="Q367" s="139">
        <v>10760.15380676932</v>
      </c>
      <c r="R367" s="256">
        <v>30169.169762565405</v>
      </c>
      <c r="S367" s="257">
        <v>34679.735615707781</v>
      </c>
      <c r="U367" s="7" t="s">
        <v>3650</v>
      </c>
    </row>
    <row r="368" spans="1:21" s="65" customFormat="1" ht="16.5" thickBot="1">
      <c r="A368" s="41" t="s">
        <v>31</v>
      </c>
      <c r="B368" s="42">
        <f t="shared" ref="B368:B415" si="21">J368</f>
        <v>150</v>
      </c>
      <c r="C368" s="42" t="s">
        <v>3</v>
      </c>
      <c r="D368" s="42">
        <f t="shared" ref="D368:D415" si="22">K368</f>
        <v>400</v>
      </c>
      <c r="E368" s="42" t="s">
        <v>3</v>
      </c>
      <c r="F368" s="90">
        <f t="shared" ref="F368:F415" si="23">L368</f>
        <v>650</v>
      </c>
      <c r="G368" s="42" t="s">
        <v>3</v>
      </c>
      <c r="H368" s="39">
        <v>6</v>
      </c>
      <c r="I368" s="40" t="s">
        <v>42</v>
      </c>
      <c r="J368" s="149">
        <v>150</v>
      </c>
      <c r="K368" s="66">
        <v>400</v>
      </c>
      <c r="L368" s="66">
        <v>650</v>
      </c>
      <c r="M368" s="164">
        <v>10.226659509383948</v>
      </c>
      <c r="N368" s="78">
        <v>368.71199999999999</v>
      </c>
      <c r="O368" s="113">
        <v>20441.126725734961</v>
      </c>
      <c r="P368" s="111">
        <v>25231.292812896114</v>
      </c>
      <c r="Q368" s="110">
        <v>11416.760909528057</v>
      </c>
      <c r="R368" s="258">
        <v>31857.887635263018</v>
      </c>
      <c r="S368" s="259">
        <v>36648.053722424171</v>
      </c>
      <c r="U368" s="7" t="s">
        <v>3651</v>
      </c>
    </row>
    <row r="369" spans="1:21" s="65" customFormat="1" ht="16.5" thickBot="1">
      <c r="A369" s="41" t="s">
        <v>31</v>
      </c>
      <c r="B369" s="42">
        <f t="shared" si="21"/>
        <v>150</v>
      </c>
      <c r="C369" s="42" t="s">
        <v>3</v>
      </c>
      <c r="D369" s="42">
        <f t="shared" si="22"/>
        <v>400</v>
      </c>
      <c r="E369" s="42" t="s">
        <v>3</v>
      </c>
      <c r="F369" s="90">
        <f t="shared" si="23"/>
        <v>700</v>
      </c>
      <c r="G369" s="42" t="s">
        <v>3</v>
      </c>
      <c r="H369" s="39">
        <v>6</v>
      </c>
      <c r="I369" s="40" t="s">
        <v>42</v>
      </c>
      <c r="J369" s="149">
        <v>150</v>
      </c>
      <c r="K369" s="66">
        <v>400</v>
      </c>
      <c r="L369" s="66">
        <v>700</v>
      </c>
      <c r="M369" s="164">
        <v>10.913070538760788</v>
      </c>
      <c r="N369" s="78">
        <v>430.16399999999999</v>
      </c>
      <c r="O369" s="113">
        <v>21474.110065692585</v>
      </c>
      <c r="P369" s="111">
        <v>26543.502996685605</v>
      </c>
      <c r="Q369" s="110">
        <v>12324.7019970418</v>
      </c>
      <c r="R369" s="258">
        <v>33798.812062734389</v>
      </c>
      <c r="S369" s="259">
        <v>38868.204993727406</v>
      </c>
      <c r="U369" s="7" t="s">
        <v>3652</v>
      </c>
    </row>
    <row r="370" spans="1:21" s="65" customFormat="1" ht="16.5" thickBot="1">
      <c r="A370" s="41" t="s">
        <v>31</v>
      </c>
      <c r="B370" s="42">
        <f t="shared" si="21"/>
        <v>150</v>
      </c>
      <c r="C370" s="42" t="s">
        <v>3</v>
      </c>
      <c r="D370" s="42">
        <f t="shared" si="22"/>
        <v>400</v>
      </c>
      <c r="E370" s="42" t="s">
        <v>3</v>
      </c>
      <c r="F370" s="90">
        <f t="shared" si="23"/>
        <v>750</v>
      </c>
      <c r="G370" s="42" t="s">
        <v>3</v>
      </c>
      <c r="H370" s="39">
        <v>6</v>
      </c>
      <c r="I370" s="40" t="s">
        <v>42</v>
      </c>
      <c r="J370" s="149">
        <v>150</v>
      </c>
      <c r="K370" s="66">
        <v>400</v>
      </c>
      <c r="L370" s="66">
        <v>750</v>
      </c>
      <c r="M370" s="164">
        <v>11.59948156813763</v>
      </c>
      <c r="N370" s="78">
        <v>491.61599999999999</v>
      </c>
      <c r="O370" s="113">
        <v>22507.826260406389</v>
      </c>
      <c r="P370" s="111">
        <v>27856.134315636722</v>
      </c>
      <c r="Q370" s="110">
        <v>12981.309099800537</v>
      </c>
      <c r="R370" s="258">
        <v>35489.135360206928</v>
      </c>
      <c r="S370" s="259">
        <v>40837.443415437257</v>
      </c>
      <c r="U370" s="7" t="s">
        <v>3653</v>
      </c>
    </row>
    <row r="371" spans="1:21" s="65" customFormat="1" ht="16.5" thickBot="1">
      <c r="A371" s="41" t="s">
        <v>31</v>
      </c>
      <c r="B371" s="42">
        <f t="shared" si="21"/>
        <v>150</v>
      </c>
      <c r="C371" s="42" t="s">
        <v>3</v>
      </c>
      <c r="D371" s="42">
        <f t="shared" si="22"/>
        <v>400</v>
      </c>
      <c r="E371" s="42" t="s">
        <v>3</v>
      </c>
      <c r="F371" s="90">
        <f t="shared" si="23"/>
        <v>800</v>
      </c>
      <c r="G371" s="42" t="s">
        <v>3</v>
      </c>
      <c r="H371" s="39">
        <v>6</v>
      </c>
      <c r="I371" s="40" t="s">
        <v>42</v>
      </c>
      <c r="J371" s="149">
        <v>150</v>
      </c>
      <c r="K371" s="66">
        <v>400</v>
      </c>
      <c r="L371" s="66">
        <v>800</v>
      </c>
      <c r="M371" s="164">
        <v>12.285892597514476</v>
      </c>
      <c r="N371" s="78">
        <v>553.06799999999998</v>
      </c>
      <c r="O371" s="113">
        <v>23542.163292820307</v>
      </c>
      <c r="P371" s="111">
        <v>29169.123874926991</v>
      </c>
      <c r="Q371" s="110">
        <v>13637.916049530511</v>
      </c>
      <c r="R371" s="258">
        <v>37180.079342350815</v>
      </c>
      <c r="S371" s="259">
        <v>42807.039924457502</v>
      </c>
      <c r="U371" s="7" t="s">
        <v>3654</v>
      </c>
    </row>
    <row r="372" spans="1:21" s="65" customFormat="1" ht="16.5" thickBot="1">
      <c r="A372" s="41" t="s">
        <v>31</v>
      </c>
      <c r="B372" s="42">
        <f t="shared" si="21"/>
        <v>150</v>
      </c>
      <c r="C372" s="42" t="s">
        <v>3</v>
      </c>
      <c r="D372" s="42">
        <f t="shared" si="22"/>
        <v>400</v>
      </c>
      <c r="E372" s="42" t="s">
        <v>3</v>
      </c>
      <c r="F372" s="90">
        <f t="shared" si="23"/>
        <v>850</v>
      </c>
      <c r="G372" s="42" t="s">
        <v>3</v>
      </c>
      <c r="H372" s="39">
        <v>6</v>
      </c>
      <c r="I372" s="40" t="s">
        <v>42</v>
      </c>
      <c r="J372" s="149">
        <v>150</v>
      </c>
      <c r="K372" s="66">
        <v>400</v>
      </c>
      <c r="L372" s="66">
        <v>850</v>
      </c>
      <c r="M372" s="164">
        <v>12.972303626891316</v>
      </c>
      <c r="N372" s="78">
        <v>614.52</v>
      </c>
      <c r="O372" s="113">
        <v>24577.031488077973</v>
      </c>
      <c r="P372" s="111">
        <v>30482.421022035163</v>
      </c>
      <c r="Q372" s="110">
        <v>14545.85729007302</v>
      </c>
      <c r="R372" s="258">
        <v>39122.888778150991</v>
      </c>
      <c r="S372" s="259">
        <v>45028.278312108181</v>
      </c>
      <c r="U372" s="7" t="s">
        <v>3655</v>
      </c>
    </row>
    <row r="373" spans="1:21" s="65" customFormat="1" ht="16.5" thickBot="1">
      <c r="A373" s="41" t="s">
        <v>31</v>
      </c>
      <c r="B373" s="42">
        <f t="shared" si="21"/>
        <v>150</v>
      </c>
      <c r="C373" s="42" t="s">
        <v>3</v>
      </c>
      <c r="D373" s="42">
        <f t="shared" si="22"/>
        <v>400</v>
      </c>
      <c r="E373" s="42" t="s">
        <v>3</v>
      </c>
      <c r="F373" s="90">
        <f t="shared" si="23"/>
        <v>900</v>
      </c>
      <c r="G373" s="42" t="s">
        <v>3</v>
      </c>
      <c r="H373" s="39">
        <v>6</v>
      </c>
      <c r="I373" s="40" t="s">
        <v>42</v>
      </c>
      <c r="J373" s="149">
        <v>150</v>
      </c>
      <c r="K373" s="66">
        <v>400</v>
      </c>
      <c r="L373" s="66">
        <v>900</v>
      </c>
      <c r="M373" s="164">
        <v>13.65871465626816</v>
      </c>
      <c r="N373" s="78">
        <v>675.97199999999998</v>
      </c>
      <c r="O373" s="113">
        <v>25612.357239343364</v>
      </c>
      <c r="P373" s="111">
        <v>31795.983980108362</v>
      </c>
      <c r="Q373" s="110">
        <v>15202.464239802994</v>
      </c>
      <c r="R373" s="258">
        <v>40814.821479146354</v>
      </c>
      <c r="S373" s="259">
        <v>46998.448219911355</v>
      </c>
      <c r="U373" s="7" t="s">
        <v>3656</v>
      </c>
    </row>
    <row r="374" spans="1:21" s="65" customFormat="1" ht="16.5" thickBot="1">
      <c r="A374" s="41" t="s">
        <v>31</v>
      </c>
      <c r="B374" s="42">
        <f t="shared" si="21"/>
        <v>150</v>
      </c>
      <c r="C374" s="42" t="s">
        <v>3</v>
      </c>
      <c r="D374" s="42">
        <f t="shared" si="22"/>
        <v>400</v>
      </c>
      <c r="E374" s="42" t="s">
        <v>3</v>
      </c>
      <c r="F374" s="90">
        <f t="shared" si="23"/>
        <v>950</v>
      </c>
      <c r="G374" s="42" t="s">
        <v>3</v>
      </c>
      <c r="H374" s="39">
        <v>6</v>
      </c>
      <c r="I374" s="40" t="s">
        <v>42</v>
      </c>
      <c r="J374" s="149">
        <v>150</v>
      </c>
      <c r="K374" s="66">
        <v>400</v>
      </c>
      <c r="L374" s="66">
        <v>950</v>
      </c>
      <c r="M374" s="164">
        <v>14.345125685645002</v>
      </c>
      <c r="N374" s="78">
        <v>737.42399999999998</v>
      </c>
      <c r="O374" s="113">
        <v>26517.879401166778</v>
      </c>
      <c r="P374" s="111">
        <v>32968.99445524843</v>
      </c>
      <c r="Q374" s="110">
        <v>16110.4054803455</v>
      </c>
      <c r="R374" s="258">
        <v>42628.284881512278</v>
      </c>
      <c r="S374" s="259">
        <v>49079.39993559393</v>
      </c>
      <c r="U374" s="7" t="s">
        <v>3657</v>
      </c>
    </row>
    <row r="375" spans="1:21" s="65" customFormat="1" ht="16.5" thickBot="1">
      <c r="A375" s="41" t="s">
        <v>31</v>
      </c>
      <c r="B375" s="42">
        <f t="shared" si="21"/>
        <v>150</v>
      </c>
      <c r="C375" s="42" t="s">
        <v>3</v>
      </c>
      <c r="D375" s="42">
        <f t="shared" si="22"/>
        <v>400</v>
      </c>
      <c r="E375" s="42" t="s">
        <v>3</v>
      </c>
      <c r="F375" s="90">
        <f t="shared" si="23"/>
        <v>1000</v>
      </c>
      <c r="G375" s="42" t="s">
        <v>3</v>
      </c>
      <c r="H375" s="39">
        <v>6</v>
      </c>
      <c r="I375" s="40" t="s">
        <v>42</v>
      </c>
      <c r="J375" s="149">
        <v>150</v>
      </c>
      <c r="K375" s="66">
        <v>400</v>
      </c>
      <c r="L375" s="66">
        <v>1000</v>
      </c>
      <c r="M375" s="164">
        <v>15.031536715021844</v>
      </c>
      <c r="N375" s="78">
        <v>798.87599999999998</v>
      </c>
      <c r="O375" s="113">
        <v>27749.123901673811</v>
      </c>
      <c r="P375" s="111">
        <v>34494.034597113532</v>
      </c>
      <c r="Q375" s="110">
        <v>16767.012583104239</v>
      </c>
      <c r="R375" s="258">
        <v>44516.13648477805</v>
      </c>
      <c r="S375" s="259">
        <v>51261.047180217771</v>
      </c>
      <c r="U375" s="7" t="s">
        <v>3658</v>
      </c>
    </row>
    <row r="376" spans="1:21" s="65" customFormat="1" ht="16.5" thickBot="1">
      <c r="A376" s="41" t="s">
        <v>31</v>
      </c>
      <c r="B376" s="42">
        <f t="shared" si="21"/>
        <v>150</v>
      </c>
      <c r="C376" s="42" t="s">
        <v>3</v>
      </c>
      <c r="D376" s="42">
        <f t="shared" si="22"/>
        <v>400</v>
      </c>
      <c r="E376" s="42" t="s">
        <v>3</v>
      </c>
      <c r="F376" s="90">
        <f t="shared" si="23"/>
        <v>1050</v>
      </c>
      <c r="G376" s="42" t="s">
        <v>3</v>
      </c>
      <c r="H376" s="39">
        <v>6</v>
      </c>
      <c r="I376" s="40" t="s">
        <v>42</v>
      </c>
      <c r="J376" s="149">
        <v>150</v>
      </c>
      <c r="K376" s="66">
        <v>400</v>
      </c>
      <c r="L376" s="66">
        <v>1050</v>
      </c>
      <c r="M376" s="164">
        <v>15.717947744398685</v>
      </c>
      <c r="N376" s="78">
        <v>860.32799999999997</v>
      </c>
      <c r="O376" s="113">
        <v>28795.953743386242</v>
      </c>
      <c r="P376" s="111">
        <v>35821.469306687781</v>
      </c>
      <c r="Q376" s="110">
        <v>17674.953670617982</v>
      </c>
      <c r="R376" s="258">
        <v>46470.907414004221</v>
      </c>
      <c r="S376" s="259">
        <v>53496.42297730576</v>
      </c>
      <c r="U376" s="7" t="s">
        <v>3659</v>
      </c>
    </row>
    <row r="377" spans="1:21" s="7" customFormat="1" ht="16.5" thickBot="1">
      <c r="A377" s="38" t="s">
        <v>31</v>
      </c>
      <c r="B377" s="39">
        <f t="shared" si="21"/>
        <v>150</v>
      </c>
      <c r="C377" s="39" t="s">
        <v>3</v>
      </c>
      <c r="D377" s="39">
        <f t="shared" si="22"/>
        <v>400</v>
      </c>
      <c r="E377" s="39" t="s">
        <v>3</v>
      </c>
      <c r="F377" s="90">
        <f t="shared" si="23"/>
        <v>1100</v>
      </c>
      <c r="G377" s="39" t="s">
        <v>3</v>
      </c>
      <c r="H377" s="39">
        <v>6</v>
      </c>
      <c r="I377" s="40" t="s">
        <v>42</v>
      </c>
      <c r="J377" s="149">
        <v>150</v>
      </c>
      <c r="K377" s="66">
        <v>400</v>
      </c>
      <c r="L377" s="66">
        <v>1100</v>
      </c>
      <c r="M377" s="164">
        <v>16.404358773775527</v>
      </c>
      <c r="N377" s="78">
        <v>921.78</v>
      </c>
      <c r="O377" s="113">
        <v>29832.466385753938</v>
      </c>
      <c r="P377" s="111">
        <v>37135.671924999202</v>
      </c>
      <c r="Q377" s="110">
        <v>18331.560773376717</v>
      </c>
      <c r="R377" s="258">
        <v>48164.027159130652</v>
      </c>
      <c r="S377" s="259">
        <v>55467.232698375919</v>
      </c>
      <c r="U377" s="7" t="s">
        <v>3660</v>
      </c>
    </row>
    <row r="378" spans="1:21" s="7" customFormat="1" ht="16.5" thickBot="1">
      <c r="A378" s="41" t="s">
        <v>31</v>
      </c>
      <c r="B378" s="42">
        <f t="shared" si="21"/>
        <v>150</v>
      </c>
      <c r="C378" s="42" t="s">
        <v>3</v>
      </c>
      <c r="D378" s="42">
        <f t="shared" si="22"/>
        <v>400</v>
      </c>
      <c r="E378" s="42" t="s">
        <v>3</v>
      </c>
      <c r="F378" s="90">
        <f t="shared" si="23"/>
        <v>1150</v>
      </c>
      <c r="G378" s="42" t="s">
        <v>3</v>
      </c>
      <c r="H378" s="39">
        <v>6</v>
      </c>
      <c r="I378" s="40" t="s">
        <v>42</v>
      </c>
      <c r="J378" s="149">
        <v>150</v>
      </c>
      <c r="K378" s="66">
        <v>400</v>
      </c>
      <c r="L378" s="66">
        <v>1150</v>
      </c>
      <c r="M378" s="164">
        <v>17.090769803152369</v>
      </c>
      <c r="N378" s="78">
        <v>983.23199999999997</v>
      </c>
      <c r="O378" s="113">
        <v>30869.227852893731</v>
      </c>
      <c r="P378" s="111">
        <v>38450.024664529206</v>
      </c>
      <c r="Q378" s="110">
        <v>18988.167723106693</v>
      </c>
      <c r="R378" s="258">
        <v>49857.395576000425</v>
      </c>
      <c r="S378" s="259">
        <v>57438.1923876359</v>
      </c>
      <c r="U378" s="7" t="s">
        <v>3661</v>
      </c>
    </row>
    <row r="379" spans="1:21" s="7" customFormat="1" ht="16.5" thickBot="1">
      <c r="A379" s="41" t="s">
        <v>31</v>
      </c>
      <c r="B379" s="42">
        <f t="shared" si="21"/>
        <v>150</v>
      </c>
      <c r="C379" s="42" t="s">
        <v>3</v>
      </c>
      <c r="D379" s="42">
        <f t="shared" si="22"/>
        <v>400</v>
      </c>
      <c r="E379" s="42" t="s">
        <v>3</v>
      </c>
      <c r="F379" s="90">
        <f t="shared" si="23"/>
        <v>1200</v>
      </c>
      <c r="G379" s="42" t="s">
        <v>3</v>
      </c>
      <c r="H379" s="39">
        <v>6</v>
      </c>
      <c r="I379" s="40" t="s">
        <v>42</v>
      </c>
      <c r="J379" s="149">
        <v>150</v>
      </c>
      <c r="K379" s="66">
        <v>400</v>
      </c>
      <c r="L379" s="66">
        <v>1200</v>
      </c>
      <c r="M379" s="164">
        <v>17.894930832529212</v>
      </c>
      <c r="N379" s="78">
        <v>1044.684</v>
      </c>
      <c r="O379" s="113">
        <v>32039.816800854467</v>
      </c>
      <c r="P379" s="111">
        <v>39900.518373751307</v>
      </c>
      <c r="Q379" s="110">
        <v>19896.1089636492</v>
      </c>
      <c r="R379" s="258">
        <v>51935.925764503671</v>
      </c>
      <c r="S379" s="259">
        <v>59796.62733740051</v>
      </c>
      <c r="U379" s="7" t="s">
        <v>3662</v>
      </c>
    </row>
    <row r="380" spans="1:21" s="7" customFormat="1" ht="16.5" thickBot="1">
      <c r="A380" s="41" t="s">
        <v>31</v>
      </c>
      <c r="B380" s="42">
        <f t="shared" si="21"/>
        <v>150</v>
      </c>
      <c r="C380" s="42" t="s">
        <v>3</v>
      </c>
      <c r="D380" s="42">
        <f t="shared" si="22"/>
        <v>400</v>
      </c>
      <c r="E380" s="42" t="s">
        <v>3</v>
      </c>
      <c r="F380" s="90">
        <f t="shared" si="23"/>
        <v>1250</v>
      </c>
      <c r="G380" s="42" t="s">
        <v>3</v>
      </c>
      <c r="H380" s="39">
        <v>6</v>
      </c>
      <c r="I380" s="40" t="s">
        <v>42</v>
      </c>
      <c r="J380" s="149">
        <v>150</v>
      </c>
      <c r="K380" s="66">
        <v>400</v>
      </c>
      <c r="L380" s="66">
        <v>1250</v>
      </c>
      <c r="M380" s="164">
        <v>18.581341861906054</v>
      </c>
      <c r="N380" s="78">
        <v>1106.136</v>
      </c>
      <c r="O380" s="113">
        <v>33077.011339399563</v>
      </c>
      <c r="P380" s="111">
        <v>41215.114735075396</v>
      </c>
      <c r="Q380" s="110">
        <v>20552.715913379172</v>
      </c>
      <c r="R380" s="258">
        <v>53629.727252778735</v>
      </c>
      <c r="S380" s="259">
        <v>61767.830648454568</v>
      </c>
      <c r="U380" s="7" t="s">
        <v>3663</v>
      </c>
    </row>
    <row r="381" spans="1:21" s="7" customFormat="1" ht="16.5" thickBot="1">
      <c r="A381" s="41" t="s">
        <v>31</v>
      </c>
      <c r="B381" s="42">
        <f t="shared" si="21"/>
        <v>150</v>
      </c>
      <c r="C381" s="42" t="s">
        <v>3</v>
      </c>
      <c r="D381" s="42">
        <f t="shared" si="22"/>
        <v>400</v>
      </c>
      <c r="E381" s="42" t="s">
        <v>3</v>
      </c>
      <c r="F381" s="90">
        <f t="shared" si="23"/>
        <v>1300</v>
      </c>
      <c r="G381" s="42" t="s">
        <v>3</v>
      </c>
      <c r="H381" s="39">
        <v>6</v>
      </c>
      <c r="I381" s="40" t="s">
        <v>42</v>
      </c>
      <c r="J381" s="149">
        <v>150</v>
      </c>
      <c r="K381" s="66">
        <v>400</v>
      </c>
      <c r="L381" s="66">
        <v>1300</v>
      </c>
      <c r="M381" s="164">
        <v>19.267752891282896</v>
      </c>
      <c r="N381" s="78">
        <v>1167.588</v>
      </c>
      <c r="O381" s="113">
        <v>34114.382626168379</v>
      </c>
      <c r="P381" s="111">
        <v>42529.820052880248</v>
      </c>
      <c r="Q381" s="110">
        <v>21460.657153921682</v>
      </c>
      <c r="R381" s="258">
        <v>55575.039780090061</v>
      </c>
      <c r="S381" s="259">
        <v>63990.47720680193</v>
      </c>
      <c r="U381" s="7" t="s">
        <v>3664</v>
      </c>
    </row>
    <row r="382" spans="1:21" s="7" customFormat="1" ht="16.5" thickBot="1">
      <c r="A382" s="41" t="s">
        <v>31</v>
      </c>
      <c r="B382" s="42">
        <f t="shared" si="21"/>
        <v>150</v>
      </c>
      <c r="C382" s="42" t="s">
        <v>3</v>
      </c>
      <c r="D382" s="42">
        <f t="shared" si="22"/>
        <v>400</v>
      </c>
      <c r="E382" s="42" t="s">
        <v>3</v>
      </c>
      <c r="F382" s="90">
        <f t="shared" si="23"/>
        <v>1350</v>
      </c>
      <c r="G382" s="42" t="s">
        <v>3</v>
      </c>
      <c r="H382" s="39">
        <v>6</v>
      </c>
      <c r="I382" s="40" t="s">
        <v>42</v>
      </c>
      <c r="J382" s="149">
        <v>150</v>
      </c>
      <c r="K382" s="66">
        <v>400</v>
      </c>
      <c r="L382" s="66">
        <v>1350</v>
      </c>
      <c r="M382" s="164">
        <v>19.954163920659738</v>
      </c>
      <c r="N382" s="78">
        <v>1229.04</v>
      </c>
      <c r="O382" s="113">
        <v>35151.913827996752</v>
      </c>
      <c r="P382" s="111">
        <v>43844.623615152312</v>
      </c>
      <c r="Q382" s="110">
        <v>22117.264103651651</v>
      </c>
      <c r="R382" s="258">
        <v>57269.177931648403</v>
      </c>
      <c r="S382" s="259">
        <v>65961.887718803962</v>
      </c>
      <c r="U382" s="7" t="s">
        <v>3665</v>
      </c>
    </row>
    <row r="383" spans="1:21" s="7" customFormat="1" ht="16.5" thickBot="1">
      <c r="A383" s="41" t="s">
        <v>31</v>
      </c>
      <c r="B383" s="42">
        <f t="shared" si="21"/>
        <v>150</v>
      </c>
      <c r="C383" s="42" t="s">
        <v>3</v>
      </c>
      <c r="D383" s="42">
        <f t="shared" si="22"/>
        <v>400</v>
      </c>
      <c r="E383" s="42" t="s">
        <v>3</v>
      </c>
      <c r="F383" s="90">
        <f t="shared" si="23"/>
        <v>1400</v>
      </c>
      <c r="G383" s="42" t="s">
        <v>3</v>
      </c>
      <c r="H383" s="39">
        <v>6</v>
      </c>
      <c r="I383" s="40" t="s">
        <v>42</v>
      </c>
      <c r="J383" s="149">
        <v>150</v>
      </c>
      <c r="K383" s="66">
        <v>400</v>
      </c>
      <c r="L383" s="66">
        <v>1400</v>
      </c>
      <c r="M383" s="164">
        <v>20.64057495003658</v>
      </c>
      <c r="N383" s="78">
        <v>1290.492</v>
      </c>
      <c r="O383" s="113">
        <v>36189.589488979407</v>
      </c>
      <c r="P383" s="111">
        <v>45159.516240165678</v>
      </c>
      <c r="Q383" s="110">
        <v>23025.205344194161</v>
      </c>
      <c r="R383" s="258">
        <v>59214.794833173568</v>
      </c>
      <c r="S383" s="259">
        <v>68184.721584359839</v>
      </c>
      <c r="U383" s="7" t="s">
        <v>3666</v>
      </c>
    </row>
    <row r="384" spans="1:21" s="7" customFormat="1" ht="16.5" thickBot="1">
      <c r="A384" s="41" t="s">
        <v>31</v>
      </c>
      <c r="B384" s="42">
        <f t="shared" si="21"/>
        <v>150</v>
      </c>
      <c r="C384" s="42" t="s">
        <v>3</v>
      </c>
      <c r="D384" s="42">
        <f t="shared" si="22"/>
        <v>400</v>
      </c>
      <c r="E384" s="42" t="s">
        <v>3</v>
      </c>
      <c r="F384" s="90">
        <f t="shared" si="23"/>
        <v>1450</v>
      </c>
      <c r="G384" s="42" t="s">
        <v>3</v>
      </c>
      <c r="H384" s="39">
        <v>6</v>
      </c>
      <c r="I384" s="40" t="s">
        <v>42</v>
      </c>
      <c r="J384" s="149">
        <v>150</v>
      </c>
      <c r="K384" s="66">
        <v>400</v>
      </c>
      <c r="L384" s="66">
        <v>1450</v>
      </c>
      <c r="M384" s="164">
        <v>21.326985979413422</v>
      </c>
      <c r="N384" s="78">
        <v>1351.944</v>
      </c>
      <c r="O384" s="113">
        <v>37227.396448642532</v>
      </c>
      <c r="P384" s="111">
        <v>46474.490123453332</v>
      </c>
      <c r="Q384" s="110">
        <v>23681.812293924133</v>
      </c>
      <c r="R384" s="258">
        <v>60909.208742566669</v>
      </c>
      <c r="S384" s="259">
        <v>70156.302417377461</v>
      </c>
      <c r="U384" s="7" t="s">
        <v>3667</v>
      </c>
    </row>
    <row r="385" spans="1:21" s="7" customFormat="1" ht="16.5" thickBot="1">
      <c r="A385" s="41" t="s">
        <v>31</v>
      </c>
      <c r="B385" s="42">
        <f t="shared" si="21"/>
        <v>150</v>
      </c>
      <c r="C385" s="42" t="s">
        <v>3</v>
      </c>
      <c r="D385" s="42">
        <f t="shared" si="22"/>
        <v>400</v>
      </c>
      <c r="E385" s="42" t="s">
        <v>3</v>
      </c>
      <c r="F385" s="90">
        <f t="shared" si="23"/>
        <v>1500</v>
      </c>
      <c r="G385" s="42" t="s">
        <v>3</v>
      </c>
      <c r="H385" s="39">
        <v>6</v>
      </c>
      <c r="I385" s="40" t="s">
        <v>42</v>
      </c>
      <c r="J385" s="149">
        <v>150</v>
      </c>
      <c r="K385" s="66">
        <v>400</v>
      </c>
      <c r="L385" s="66">
        <v>1500</v>
      </c>
      <c r="M385" s="164">
        <v>22.240677201090264</v>
      </c>
      <c r="N385" s="78">
        <v>1413.396</v>
      </c>
      <c r="O385" s="113">
        <v>39139.205623261209</v>
      </c>
      <c r="P385" s="111">
        <v>48672.749864761608</v>
      </c>
      <c r="Q385" s="110">
        <v>24589.753534466639</v>
      </c>
      <c r="R385" s="258">
        <v>63728.959157727848</v>
      </c>
      <c r="S385" s="259">
        <v>73262.503399228241</v>
      </c>
      <c r="U385" s="7" t="s">
        <v>3668</v>
      </c>
    </row>
    <row r="386" spans="1:21" s="7" customFormat="1" ht="16.5" thickBot="1">
      <c r="A386" s="41" t="s">
        <v>31</v>
      </c>
      <c r="B386" s="42">
        <f t="shared" si="21"/>
        <v>150</v>
      </c>
      <c r="C386" s="42" t="s">
        <v>3</v>
      </c>
      <c r="D386" s="42">
        <f t="shared" si="22"/>
        <v>400</v>
      </c>
      <c r="E386" s="42" t="s">
        <v>3</v>
      </c>
      <c r="F386" s="90">
        <f t="shared" si="23"/>
        <v>1550</v>
      </c>
      <c r="G386" s="42" t="s">
        <v>3</v>
      </c>
      <c r="H386" s="39">
        <v>6</v>
      </c>
      <c r="I386" s="40" t="s">
        <v>42</v>
      </c>
      <c r="J386" s="149">
        <v>150</v>
      </c>
      <c r="K386" s="66">
        <v>400</v>
      </c>
      <c r="L386" s="66">
        <v>1550</v>
      </c>
      <c r="M386" s="164">
        <v>22.927088230467106</v>
      </c>
      <c r="N386" s="78">
        <v>1474.848</v>
      </c>
      <c r="O386" s="113">
        <v>40176.937139743131</v>
      </c>
      <c r="P386" s="111">
        <v>49987.836530249151</v>
      </c>
      <c r="Q386" s="110">
        <v>25246.360484196612</v>
      </c>
      <c r="R386" s="258">
        <v>65423.297623939739</v>
      </c>
      <c r="S386" s="259">
        <v>75234.197014445759</v>
      </c>
      <c r="U386" s="7" t="s">
        <v>3669</v>
      </c>
    </row>
    <row r="387" spans="1:21" s="7" customFormat="1" ht="16.5" thickBot="1">
      <c r="A387" s="38" t="s">
        <v>31</v>
      </c>
      <c r="B387" s="39">
        <f t="shared" si="21"/>
        <v>150</v>
      </c>
      <c r="C387" s="39" t="s">
        <v>3</v>
      </c>
      <c r="D387" s="39">
        <f t="shared" si="22"/>
        <v>400</v>
      </c>
      <c r="E387" s="39" t="s">
        <v>3</v>
      </c>
      <c r="F387" s="90">
        <f t="shared" si="23"/>
        <v>1600</v>
      </c>
      <c r="G387" s="39" t="s">
        <v>3</v>
      </c>
      <c r="H387" s="39">
        <v>6</v>
      </c>
      <c r="I387" s="40" t="s">
        <v>42</v>
      </c>
      <c r="J387" s="149">
        <v>150</v>
      </c>
      <c r="K387" s="66">
        <v>400</v>
      </c>
      <c r="L387" s="66">
        <v>1600</v>
      </c>
      <c r="M387" s="164">
        <v>23.613499259843948</v>
      </c>
      <c r="N387" s="78">
        <v>1536.3</v>
      </c>
      <c r="O387" s="113">
        <v>41214.784192942723</v>
      </c>
      <c r="P387" s="111">
        <v>51302.98578450163</v>
      </c>
      <c r="Q387" s="110">
        <v>25902.96758695535</v>
      </c>
      <c r="R387" s="258">
        <v>67117.75177989807</v>
      </c>
      <c r="S387" s="259">
        <v>77205.953371456984</v>
      </c>
      <c r="U387" s="7" t="s">
        <v>3670</v>
      </c>
    </row>
    <row r="388" spans="1:21" s="7" customFormat="1" ht="16.5" thickBot="1">
      <c r="A388" s="41" t="s">
        <v>31</v>
      </c>
      <c r="B388" s="42">
        <f t="shared" si="21"/>
        <v>150</v>
      </c>
      <c r="C388" s="42" t="s">
        <v>3</v>
      </c>
      <c r="D388" s="42">
        <f t="shared" si="22"/>
        <v>400</v>
      </c>
      <c r="E388" s="42" t="s">
        <v>3</v>
      </c>
      <c r="F388" s="90">
        <f t="shared" si="23"/>
        <v>1650</v>
      </c>
      <c r="G388" s="42" t="s">
        <v>3</v>
      </c>
      <c r="H388" s="39">
        <v>6</v>
      </c>
      <c r="I388" s="40" t="s">
        <v>42</v>
      </c>
      <c r="J388" s="149">
        <v>150</v>
      </c>
      <c r="K388" s="66">
        <v>400</v>
      </c>
      <c r="L388" s="66">
        <v>1650</v>
      </c>
      <c r="M388" s="164">
        <v>24.29991028922079</v>
      </c>
      <c r="N388" s="78">
        <v>1597.752</v>
      </c>
      <c r="O388" s="113">
        <v>42252.737601134075</v>
      </c>
      <c r="P388" s="111">
        <v>52618.192730598574</v>
      </c>
      <c r="Q388" s="110">
        <v>26810.908827497857</v>
      </c>
      <c r="R388" s="258">
        <v>69063.646428631939</v>
      </c>
      <c r="S388" s="259">
        <v>79429.10155809643</v>
      </c>
      <c r="U388" s="7" t="s">
        <v>3671</v>
      </c>
    </row>
    <row r="389" spans="1:21" s="7" customFormat="1" ht="16.5" thickBot="1">
      <c r="A389" s="41" t="s">
        <v>31</v>
      </c>
      <c r="B389" s="42">
        <f t="shared" si="21"/>
        <v>150</v>
      </c>
      <c r="C389" s="42" t="s">
        <v>3</v>
      </c>
      <c r="D389" s="42">
        <f t="shared" si="22"/>
        <v>400</v>
      </c>
      <c r="E389" s="42" t="s">
        <v>3</v>
      </c>
      <c r="F389" s="90">
        <f t="shared" si="23"/>
        <v>1700</v>
      </c>
      <c r="G389" s="42" t="s">
        <v>3</v>
      </c>
      <c r="H389" s="39">
        <v>6</v>
      </c>
      <c r="I389" s="40" t="s">
        <v>42</v>
      </c>
      <c r="J389" s="149">
        <v>150</v>
      </c>
      <c r="K389" s="66">
        <v>400</v>
      </c>
      <c r="L389" s="66">
        <v>1700</v>
      </c>
      <c r="M389" s="164">
        <v>24.986321318597636</v>
      </c>
      <c r="N389" s="78">
        <v>1659.204</v>
      </c>
      <c r="O389" s="113">
        <v>43290.788794706343</v>
      </c>
      <c r="P389" s="111">
        <v>53933.452930705767</v>
      </c>
      <c r="Q389" s="110">
        <v>27467.515777227836</v>
      </c>
      <c r="R389" s="258">
        <v>70758.304571934175</v>
      </c>
      <c r="S389" s="259">
        <v>81400.9687079336</v>
      </c>
      <c r="U389" s="7" t="s">
        <v>3672</v>
      </c>
    </row>
    <row r="390" spans="1:21" s="7" customFormat="1" ht="16.5" thickBot="1">
      <c r="A390" s="41" t="s">
        <v>31</v>
      </c>
      <c r="B390" s="42">
        <f t="shared" si="21"/>
        <v>150</v>
      </c>
      <c r="C390" s="42" t="s">
        <v>3</v>
      </c>
      <c r="D390" s="42">
        <f t="shared" si="22"/>
        <v>400</v>
      </c>
      <c r="E390" s="42" t="s">
        <v>3</v>
      </c>
      <c r="F390" s="90">
        <f t="shared" si="23"/>
        <v>1750</v>
      </c>
      <c r="G390" s="42" t="s">
        <v>3</v>
      </c>
      <c r="H390" s="39">
        <v>6</v>
      </c>
      <c r="I390" s="40" t="s">
        <v>42</v>
      </c>
      <c r="J390" s="149">
        <v>150</v>
      </c>
      <c r="K390" s="66">
        <v>400</v>
      </c>
      <c r="L390" s="66">
        <v>1750</v>
      </c>
      <c r="M390" s="164">
        <v>25.672732347974474</v>
      </c>
      <c r="N390" s="78">
        <v>1720.6559999999999</v>
      </c>
      <c r="O390" s="113">
        <v>44328.930581307563</v>
      </c>
      <c r="P390" s="111">
        <v>55248.76240607533</v>
      </c>
      <c r="Q390" s="110">
        <v>28375.457017770343</v>
      </c>
      <c r="R390" s="258">
        <v>72704.387599077905</v>
      </c>
      <c r="S390" s="259">
        <v>83624.219423845672</v>
      </c>
      <c r="U390" s="7" t="s">
        <v>3673</v>
      </c>
    </row>
    <row r="391" spans="1:21" s="7" customFormat="1" ht="16.5" thickBot="1">
      <c r="A391" s="41" t="s">
        <v>31</v>
      </c>
      <c r="B391" s="42">
        <f t="shared" si="21"/>
        <v>150</v>
      </c>
      <c r="C391" s="42" t="s">
        <v>3</v>
      </c>
      <c r="D391" s="42">
        <f t="shared" si="22"/>
        <v>400</v>
      </c>
      <c r="E391" s="42" t="s">
        <v>3</v>
      </c>
      <c r="F391" s="90">
        <f t="shared" si="23"/>
        <v>1800</v>
      </c>
      <c r="G391" s="42" t="s">
        <v>3</v>
      </c>
      <c r="H391" s="39">
        <v>6</v>
      </c>
      <c r="I391" s="40" t="s">
        <v>42</v>
      </c>
      <c r="J391" s="149">
        <v>150</v>
      </c>
      <c r="K391" s="66">
        <v>400</v>
      </c>
      <c r="L391" s="66">
        <v>1800</v>
      </c>
      <c r="M391" s="164">
        <v>26.359143377351316</v>
      </c>
      <c r="N391" s="78">
        <v>1782.1079999999999</v>
      </c>
      <c r="O391" s="113">
        <v>45367.15607464331</v>
      </c>
      <c r="P391" s="111">
        <v>56564.117484016911</v>
      </c>
      <c r="Q391" s="110">
        <v>29032.063967500315</v>
      </c>
      <c r="R391" s="258">
        <v>74399.220042143628</v>
      </c>
      <c r="S391" s="259">
        <v>85596.18145151723</v>
      </c>
      <c r="U391" s="7" t="s">
        <v>3674</v>
      </c>
    </row>
    <row r="392" spans="1:21" s="7" customFormat="1" ht="16.5" thickBot="1">
      <c r="A392" s="41" t="s">
        <v>31</v>
      </c>
      <c r="B392" s="42">
        <f t="shared" si="21"/>
        <v>150</v>
      </c>
      <c r="C392" s="42" t="s">
        <v>3</v>
      </c>
      <c r="D392" s="42">
        <f t="shared" si="22"/>
        <v>400</v>
      </c>
      <c r="E392" s="42" t="s">
        <v>3</v>
      </c>
      <c r="F392" s="90">
        <f t="shared" si="23"/>
        <v>1850</v>
      </c>
      <c r="G392" s="42" t="s">
        <v>3</v>
      </c>
      <c r="H392" s="39">
        <v>6</v>
      </c>
      <c r="I392" s="40" t="s">
        <v>42</v>
      </c>
      <c r="J392" s="149">
        <v>150</v>
      </c>
      <c r="K392" s="66">
        <v>400</v>
      </c>
      <c r="L392" s="66">
        <v>1850</v>
      </c>
      <c r="M392" s="164">
        <v>27.045554406728161</v>
      </c>
      <c r="N392" s="78">
        <v>1843.56</v>
      </c>
      <c r="O392" s="113">
        <v>46405.459306591736</v>
      </c>
      <c r="P392" s="111">
        <v>57879.514950926416</v>
      </c>
      <c r="Q392" s="110">
        <v>29940.005208042821</v>
      </c>
      <c r="R392" s="258">
        <v>76345.464514634557</v>
      </c>
      <c r="S392" s="259">
        <v>87819.520158969244</v>
      </c>
      <c r="U392" s="7" t="s">
        <v>3675</v>
      </c>
    </row>
    <row r="393" spans="1:21" s="7" customFormat="1" ht="16.5" thickBot="1">
      <c r="A393" s="41" t="s">
        <v>31</v>
      </c>
      <c r="B393" s="42">
        <f t="shared" si="21"/>
        <v>150</v>
      </c>
      <c r="C393" s="42" t="s">
        <v>3</v>
      </c>
      <c r="D393" s="42">
        <f t="shared" si="22"/>
        <v>400</v>
      </c>
      <c r="E393" s="42" t="s">
        <v>3</v>
      </c>
      <c r="F393" s="90">
        <f t="shared" si="23"/>
        <v>1900</v>
      </c>
      <c r="G393" s="42" t="s">
        <v>3</v>
      </c>
      <c r="H393" s="39">
        <v>6</v>
      </c>
      <c r="I393" s="40" t="s">
        <v>42</v>
      </c>
      <c r="J393" s="149">
        <v>150</v>
      </c>
      <c r="K393" s="66">
        <v>400</v>
      </c>
      <c r="L393" s="66">
        <v>1900</v>
      </c>
      <c r="M393" s="164">
        <v>27.731965436105003</v>
      </c>
      <c r="N393" s="78">
        <v>1905.0119999999999</v>
      </c>
      <c r="O393" s="113">
        <v>47443.834615088541</v>
      </c>
      <c r="P393" s="111">
        <v>59194.951746228573</v>
      </c>
      <c r="Q393" s="110">
        <v>30596.612157772794</v>
      </c>
      <c r="R393" s="258">
        <v>78040.446772861338</v>
      </c>
      <c r="S393" s="259">
        <v>89791.563904001363</v>
      </c>
      <c r="U393" s="7" t="s">
        <v>3676</v>
      </c>
    </row>
    <row r="394" spans="1:21" s="7" customFormat="1" ht="16.5" thickBot="1">
      <c r="A394" s="41" t="s">
        <v>31</v>
      </c>
      <c r="B394" s="42">
        <f t="shared" si="21"/>
        <v>150</v>
      </c>
      <c r="C394" s="42" t="s">
        <v>3</v>
      </c>
      <c r="D394" s="42">
        <f t="shared" si="22"/>
        <v>400</v>
      </c>
      <c r="E394" s="42" t="s">
        <v>3</v>
      </c>
      <c r="F394" s="90">
        <f t="shared" si="23"/>
        <v>1950</v>
      </c>
      <c r="G394" s="42" t="s">
        <v>3</v>
      </c>
      <c r="H394" s="39">
        <v>6</v>
      </c>
      <c r="I394" s="40" t="s">
        <v>42</v>
      </c>
      <c r="J394" s="149">
        <v>150</v>
      </c>
      <c r="K394" s="66">
        <v>400</v>
      </c>
      <c r="L394" s="66">
        <v>1950</v>
      </c>
      <c r="M394" s="164">
        <v>28.536126465481846</v>
      </c>
      <c r="N394" s="78">
        <v>1966.4639999999999</v>
      </c>
      <c r="O394" s="113">
        <v>48615.960124879886</v>
      </c>
      <c r="P394" s="111">
        <v>60646.3370010363</v>
      </c>
      <c r="Q394" s="110">
        <v>31253.219260531532</v>
      </c>
      <c r="R394" s="258">
        <v>79869.179385411422</v>
      </c>
      <c r="S394" s="259">
        <v>91899.556261567835</v>
      </c>
      <c r="U394" s="7" t="s">
        <v>3677</v>
      </c>
    </row>
    <row r="395" spans="1:21" s="7" customFormat="1" ht="16.5" thickBot="1">
      <c r="A395" s="41" t="s">
        <v>31</v>
      </c>
      <c r="B395" s="42">
        <f t="shared" si="21"/>
        <v>150</v>
      </c>
      <c r="C395" s="42" t="s">
        <v>3</v>
      </c>
      <c r="D395" s="42">
        <f t="shared" si="22"/>
        <v>400</v>
      </c>
      <c r="E395" s="42" t="s">
        <v>3</v>
      </c>
      <c r="F395" s="90">
        <f t="shared" si="23"/>
        <v>2000</v>
      </c>
      <c r="G395" s="42" t="s">
        <v>3</v>
      </c>
      <c r="H395" s="39">
        <v>6</v>
      </c>
      <c r="I395" s="40" t="s">
        <v>42</v>
      </c>
      <c r="J395" s="149">
        <v>150</v>
      </c>
      <c r="K395" s="66">
        <v>400</v>
      </c>
      <c r="L395" s="66">
        <v>2000</v>
      </c>
      <c r="M395" s="164">
        <v>29.314099894858689</v>
      </c>
      <c r="N395" s="78">
        <v>2027.9159999999999</v>
      </c>
      <c r="O395" s="113">
        <v>49919.937973220716</v>
      </c>
      <c r="P395" s="111">
        <v>62439.061026979885</v>
      </c>
      <c r="Q395" s="110">
        <v>32161.160348045276</v>
      </c>
      <c r="R395" s="258">
        <v>82081.098321265992</v>
      </c>
      <c r="S395" s="259">
        <v>94600.221375025169</v>
      </c>
      <c r="U395" s="7" t="s">
        <v>3678</v>
      </c>
    </row>
    <row r="396" spans="1:21" s="7" customFormat="1" ht="16.5" thickBot="1">
      <c r="A396" s="41" t="s">
        <v>31</v>
      </c>
      <c r="B396" s="42">
        <f t="shared" si="21"/>
        <v>150</v>
      </c>
      <c r="C396" s="42" t="s">
        <v>3</v>
      </c>
      <c r="D396" s="42">
        <f t="shared" si="22"/>
        <v>400</v>
      </c>
      <c r="E396" s="42" t="s">
        <v>3</v>
      </c>
      <c r="F396" s="90">
        <f t="shared" si="23"/>
        <v>2050</v>
      </c>
      <c r="G396" s="42" t="s">
        <v>3</v>
      </c>
      <c r="H396" s="39">
        <v>6</v>
      </c>
      <c r="I396" s="40" t="s">
        <v>42</v>
      </c>
      <c r="J396" s="149">
        <v>150</v>
      </c>
      <c r="K396" s="66">
        <v>400</v>
      </c>
      <c r="L396" s="66">
        <v>2050</v>
      </c>
      <c r="M396" s="164">
        <v>30.000510924235527</v>
      </c>
      <c r="N396" s="78">
        <v>2089.3679999999999</v>
      </c>
      <c r="O396" s="113">
        <v>50958.48253153175</v>
      </c>
      <c r="P396" s="111">
        <v>63754.508075209305</v>
      </c>
      <c r="Q396" s="110">
        <v>32817.767450804015</v>
      </c>
      <c r="R396" s="258">
        <v>83776.249982335765</v>
      </c>
      <c r="S396" s="259">
        <v>96572.275526013313</v>
      </c>
      <c r="U396" s="7" t="s">
        <v>3679</v>
      </c>
    </row>
    <row r="397" spans="1:21" s="7" customFormat="1" ht="16.5" thickBot="1">
      <c r="A397" s="38" t="s">
        <v>31</v>
      </c>
      <c r="B397" s="39">
        <f t="shared" si="21"/>
        <v>150</v>
      </c>
      <c r="C397" s="39" t="s">
        <v>3</v>
      </c>
      <c r="D397" s="39">
        <f t="shared" si="22"/>
        <v>400</v>
      </c>
      <c r="E397" s="39" t="s">
        <v>3</v>
      </c>
      <c r="F397" s="90">
        <f t="shared" si="23"/>
        <v>2100</v>
      </c>
      <c r="G397" s="39" t="s">
        <v>3</v>
      </c>
      <c r="H397" s="39">
        <v>6</v>
      </c>
      <c r="I397" s="40" t="s">
        <v>42</v>
      </c>
      <c r="J397" s="149">
        <v>150</v>
      </c>
      <c r="K397" s="66">
        <v>400</v>
      </c>
      <c r="L397" s="66">
        <v>2100</v>
      </c>
      <c r="M397" s="164">
        <v>30.686921953612369</v>
      </c>
      <c r="N397" s="78">
        <v>2150.8199999999997</v>
      </c>
      <c r="O397" s="113">
        <v>51997.082333226979</v>
      </c>
      <c r="P397" s="111">
        <v>65069.988789767041</v>
      </c>
      <c r="Q397" s="110">
        <v>33725.708538317755</v>
      </c>
      <c r="R397" s="258">
        <v>85722.790871544741</v>
      </c>
      <c r="S397" s="259">
        <v>98795.697328084789</v>
      </c>
      <c r="U397" s="7" t="s">
        <v>3680</v>
      </c>
    </row>
    <row r="398" spans="1:21" s="7" customFormat="1" ht="16.5" thickBot="1">
      <c r="A398" s="41" t="s">
        <v>31</v>
      </c>
      <c r="B398" s="42">
        <f t="shared" si="21"/>
        <v>150</v>
      </c>
      <c r="C398" s="42" t="s">
        <v>3</v>
      </c>
      <c r="D398" s="42">
        <f t="shared" si="22"/>
        <v>400</v>
      </c>
      <c r="E398" s="42" t="s">
        <v>3</v>
      </c>
      <c r="F398" s="90">
        <f t="shared" si="23"/>
        <v>2150</v>
      </c>
      <c r="G398" s="42" t="s">
        <v>3</v>
      </c>
      <c r="H398" s="39">
        <v>6</v>
      </c>
      <c r="I398" s="40" t="s">
        <v>42</v>
      </c>
      <c r="J398" s="149">
        <v>150</v>
      </c>
      <c r="K398" s="66">
        <v>400</v>
      </c>
      <c r="L398" s="66">
        <v>2150</v>
      </c>
      <c r="M398" s="164">
        <v>31.373332982989211</v>
      </c>
      <c r="N398" s="78">
        <v>2212.2719999999999</v>
      </c>
      <c r="O398" s="113">
        <v>53035.733705616069</v>
      </c>
      <c r="P398" s="111">
        <v>66385.501181279164</v>
      </c>
      <c r="Q398" s="110">
        <v>34382.315641076493</v>
      </c>
      <c r="R398" s="258">
        <v>87418.049346692569</v>
      </c>
      <c r="S398" s="259">
        <v>100767.81682235566</v>
      </c>
      <c r="U398" s="7" t="s">
        <v>3681</v>
      </c>
    </row>
    <row r="399" spans="1:21" s="7" customFormat="1" ht="16.5" thickBot="1">
      <c r="A399" s="41" t="s">
        <v>31</v>
      </c>
      <c r="B399" s="42">
        <f t="shared" si="21"/>
        <v>150</v>
      </c>
      <c r="C399" s="42" t="s">
        <v>3</v>
      </c>
      <c r="D399" s="42">
        <f t="shared" si="22"/>
        <v>400</v>
      </c>
      <c r="E399" s="42" t="s">
        <v>3</v>
      </c>
      <c r="F399" s="90">
        <f t="shared" si="23"/>
        <v>2200</v>
      </c>
      <c r="G399" s="42" t="s">
        <v>3</v>
      </c>
      <c r="H399" s="39">
        <v>6</v>
      </c>
      <c r="I399" s="40" t="s">
        <v>42</v>
      </c>
      <c r="J399" s="149">
        <v>150</v>
      </c>
      <c r="K399" s="66">
        <v>400</v>
      </c>
      <c r="L399" s="66">
        <v>2200</v>
      </c>
      <c r="M399" s="164">
        <v>32.059744012366053</v>
      </c>
      <c r="N399" s="78">
        <v>2273.7240000000002</v>
      </c>
      <c r="O399" s="113">
        <v>54074.433741152468</v>
      </c>
      <c r="P399" s="111">
        <v>67701.04310734295</v>
      </c>
      <c r="Q399" s="110">
        <v>35290.256728590233</v>
      </c>
      <c r="R399" s="258">
        <v>89364.690469742694</v>
      </c>
      <c r="S399" s="259">
        <v>102991.29983593318</v>
      </c>
      <c r="U399" s="7" t="s">
        <v>3682</v>
      </c>
    </row>
    <row r="400" spans="1:21" s="7" customFormat="1" ht="16.5" thickBot="1">
      <c r="A400" s="41" t="s">
        <v>31</v>
      </c>
      <c r="B400" s="42">
        <f t="shared" si="21"/>
        <v>150</v>
      </c>
      <c r="C400" s="42" t="s">
        <v>3</v>
      </c>
      <c r="D400" s="42">
        <f t="shared" si="22"/>
        <v>400</v>
      </c>
      <c r="E400" s="42" t="s">
        <v>3</v>
      </c>
      <c r="F400" s="90">
        <f t="shared" si="23"/>
        <v>2250</v>
      </c>
      <c r="G400" s="42" t="s">
        <v>3</v>
      </c>
      <c r="H400" s="39">
        <v>6</v>
      </c>
      <c r="I400" s="40" t="s">
        <v>42</v>
      </c>
      <c r="J400" s="149">
        <v>150</v>
      </c>
      <c r="K400" s="66">
        <v>400</v>
      </c>
      <c r="L400" s="66">
        <v>2250</v>
      </c>
      <c r="M400" s="164">
        <v>32.746155041742895</v>
      </c>
      <c r="N400" s="78">
        <v>2335.1759999999999</v>
      </c>
      <c r="O400" s="113">
        <v>55113.179073203341</v>
      </c>
      <c r="P400" s="111">
        <v>69016.612884642003</v>
      </c>
      <c r="Q400" s="110">
        <v>35946.863831348819</v>
      </c>
      <c r="R400" s="258">
        <v>91060.04290455216</v>
      </c>
      <c r="S400" s="259">
        <v>104963.47671599082</v>
      </c>
      <c r="U400" s="7" t="s">
        <v>3683</v>
      </c>
    </row>
    <row r="401" spans="1:21" s="7" customFormat="1" ht="16.5" thickBot="1">
      <c r="A401" s="41" t="s">
        <v>31</v>
      </c>
      <c r="B401" s="42">
        <f t="shared" si="21"/>
        <v>150</v>
      </c>
      <c r="C401" s="42" t="s">
        <v>3</v>
      </c>
      <c r="D401" s="42">
        <f t="shared" si="22"/>
        <v>400</v>
      </c>
      <c r="E401" s="42" t="s">
        <v>3</v>
      </c>
      <c r="F401" s="90">
        <f t="shared" si="23"/>
        <v>2300</v>
      </c>
      <c r="G401" s="42" t="s">
        <v>3</v>
      </c>
      <c r="H401" s="39">
        <v>6</v>
      </c>
      <c r="I401" s="40" t="s">
        <v>42</v>
      </c>
      <c r="J401" s="149">
        <v>150</v>
      </c>
      <c r="K401" s="66">
        <v>400</v>
      </c>
      <c r="L401" s="66">
        <v>2300</v>
      </c>
      <c r="M401" s="164">
        <v>33.432566071119737</v>
      </c>
      <c r="N401" s="78">
        <v>2396.6279999999997</v>
      </c>
      <c r="O401" s="113">
        <v>56151.967406337215</v>
      </c>
      <c r="P401" s="111">
        <v>70332.208982888653</v>
      </c>
      <c r="Q401" s="110">
        <v>36603.470781078948</v>
      </c>
      <c r="R401" s="258">
        <v>92755.438187416163</v>
      </c>
      <c r="S401" s="259">
        <v>106935.67976396761</v>
      </c>
      <c r="U401" s="7" t="s">
        <v>3684</v>
      </c>
    </row>
    <row r="402" spans="1:21" s="7" customFormat="1" ht="16.5" thickBot="1">
      <c r="A402" s="41" t="s">
        <v>31</v>
      </c>
      <c r="B402" s="42">
        <f t="shared" si="21"/>
        <v>150</v>
      </c>
      <c r="C402" s="42" t="s">
        <v>3</v>
      </c>
      <c r="D402" s="42">
        <f t="shared" si="22"/>
        <v>400</v>
      </c>
      <c r="E402" s="42" t="s">
        <v>3</v>
      </c>
      <c r="F402" s="90">
        <f t="shared" si="23"/>
        <v>2350</v>
      </c>
      <c r="G402" s="42" t="s">
        <v>3</v>
      </c>
      <c r="H402" s="39">
        <v>6</v>
      </c>
      <c r="I402" s="40" t="s">
        <v>42</v>
      </c>
      <c r="J402" s="149">
        <v>150</v>
      </c>
      <c r="K402" s="66">
        <v>400</v>
      </c>
      <c r="L402" s="66">
        <v>2350</v>
      </c>
      <c r="M402" s="164">
        <v>34.118977100496579</v>
      </c>
      <c r="N402" s="78">
        <v>2458.08</v>
      </c>
      <c r="O402" s="113">
        <v>57190.796139065082</v>
      </c>
      <c r="P402" s="111">
        <v>71647.829871795242</v>
      </c>
      <c r="Q402" s="110">
        <v>37511.412021621458</v>
      </c>
      <c r="R402" s="258">
        <v>94702.208160686539</v>
      </c>
      <c r="S402" s="259">
        <v>109159.24189341671</v>
      </c>
      <c r="U402" s="7" t="s">
        <v>3685</v>
      </c>
    </row>
    <row r="403" spans="1:21" s="7" customFormat="1" ht="16.5" thickBot="1">
      <c r="A403" s="41" t="s">
        <v>31</v>
      </c>
      <c r="B403" s="42">
        <f t="shared" si="21"/>
        <v>150</v>
      </c>
      <c r="C403" s="42" t="s">
        <v>3</v>
      </c>
      <c r="D403" s="42">
        <f t="shared" si="22"/>
        <v>400</v>
      </c>
      <c r="E403" s="42" t="s">
        <v>3</v>
      </c>
      <c r="F403" s="90">
        <f t="shared" si="23"/>
        <v>2400</v>
      </c>
      <c r="G403" s="42" t="s">
        <v>3</v>
      </c>
      <c r="H403" s="39">
        <v>6</v>
      </c>
      <c r="I403" s="40" t="s">
        <v>42</v>
      </c>
      <c r="J403" s="149">
        <v>150</v>
      </c>
      <c r="K403" s="66">
        <v>400</v>
      </c>
      <c r="L403" s="66">
        <v>2400</v>
      </c>
      <c r="M403" s="164">
        <v>34.805388129873421</v>
      </c>
      <c r="N403" s="78">
        <v>2519.5319999999997</v>
      </c>
      <c r="O403" s="113">
        <v>58229.662822926708</v>
      </c>
      <c r="P403" s="111">
        <v>72963.474021074144</v>
      </c>
      <c r="Q403" s="110">
        <v>38168.019124380196</v>
      </c>
      <c r="R403" s="258">
        <v>96397.681947306904</v>
      </c>
      <c r="S403" s="259">
        <v>111131.49314545434</v>
      </c>
      <c r="U403" s="7" t="s">
        <v>3686</v>
      </c>
    </row>
    <row r="404" spans="1:21" s="7" customFormat="1" ht="16.5" thickBot="1">
      <c r="A404" s="41" t="s">
        <v>31</v>
      </c>
      <c r="B404" s="42">
        <f t="shared" si="21"/>
        <v>150</v>
      </c>
      <c r="C404" s="42" t="s">
        <v>3</v>
      </c>
      <c r="D404" s="42">
        <f t="shared" si="22"/>
        <v>400</v>
      </c>
      <c r="E404" s="42" t="s">
        <v>3</v>
      </c>
      <c r="F404" s="90">
        <f t="shared" si="23"/>
        <v>2450</v>
      </c>
      <c r="G404" s="42" t="s">
        <v>3</v>
      </c>
      <c r="H404" s="39">
        <v>6</v>
      </c>
      <c r="I404" s="40" t="s">
        <v>42</v>
      </c>
      <c r="J404" s="149">
        <v>150</v>
      </c>
      <c r="K404" s="66">
        <v>400</v>
      </c>
      <c r="L404" s="66">
        <v>2450</v>
      </c>
      <c r="M404" s="164">
        <v>35.719079351550263</v>
      </c>
      <c r="N404" s="78">
        <v>2580.9839999999999</v>
      </c>
      <c r="O404" s="113">
        <v>60139.180850873934</v>
      </c>
      <c r="P404" s="111">
        <v>75161.960551012337</v>
      </c>
      <c r="Q404" s="110">
        <v>39075.960211893937</v>
      </c>
      <c r="R404" s="258">
        <v>99215.141062767871</v>
      </c>
      <c r="S404" s="259">
        <v>114237.92076290627</v>
      </c>
      <c r="U404" s="7" t="s">
        <v>3687</v>
      </c>
    </row>
    <row r="405" spans="1:21" s="7" customFormat="1" ht="16.5" thickBot="1">
      <c r="A405" s="41" t="s">
        <v>31</v>
      </c>
      <c r="B405" s="42">
        <f t="shared" si="21"/>
        <v>150</v>
      </c>
      <c r="C405" s="42" t="s">
        <v>3</v>
      </c>
      <c r="D405" s="42">
        <f t="shared" si="22"/>
        <v>400</v>
      </c>
      <c r="E405" s="42" t="s">
        <v>3</v>
      </c>
      <c r="F405" s="90">
        <f t="shared" si="23"/>
        <v>2500</v>
      </c>
      <c r="G405" s="42" t="s">
        <v>3</v>
      </c>
      <c r="H405" s="39">
        <v>6</v>
      </c>
      <c r="I405" s="40" t="s">
        <v>42</v>
      </c>
      <c r="J405" s="149">
        <v>150</v>
      </c>
      <c r="K405" s="66">
        <v>400</v>
      </c>
      <c r="L405" s="66">
        <v>2500</v>
      </c>
      <c r="M405" s="164">
        <v>36.405490380927105</v>
      </c>
      <c r="N405" s="78">
        <v>2642.4359999999997</v>
      </c>
      <c r="O405" s="113">
        <v>61177.972856698172</v>
      </c>
      <c r="P405" s="111">
        <v>76477.629797008703</v>
      </c>
      <c r="Q405" s="110">
        <v>39732.567314652675</v>
      </c>
      <c r="R405" s="258">
        <v>100910.54017135085</v>
      </c>
      <c r="S405" s="259">
        <v>116210.19711166137</v>
      </c>
      <c r="U405" s="7" t="s">
        <v>3688</v>
      </c>
    </row>
    <row r="406" spans="1:21" s="7" customFormat="1" ht="16.5" thickBot="1">
      <c r="A406" s="41" t="s">
        <v>31</v>
      </c>
      <c r="B406" s="42">
        <f t="shared" si="21"/>
        <v>150</v>
      </c>
      <c r="C406" s="42" t="s">
        <v>3</v>
      </c>
      <c r="D406" s="42">
        <f t="shared" si="22"/>
        <v>400</v>
      </c>
      <c r="E406" s="42" t="s">
        <v>3</v>
      </c>
      <c r="F406" s="90">
        <f t="shared" si="23"/>
        <v>2550</v>
      </c>
      <c r="G406" s="42" t="s">
        <v>3</v>
      </c>
      <c r="H406" s="39">
        <v>6</v>
      </c>
      <c r="I406" s="40" t="s">
        <v>42</v>
      </c>
      <c r="J406" s="149">
        <v>150</v>
      </c>
      <c r="K406" s="66">
        <v>400</v>
      </c>
      <c r="L406" s="66">
        <v>2550</v>
      </c>
      <c r="M406" s="164">
        <v>37.091901410303947</v>
      </c>
      <c r="N406" s="78">
        <v>2703.8879999999999</v>
      </c>
      <c r="O406" s="113">
        <v>62216.801895483572</v>
      </c>
      <c r="P406" s="111">
        <v>77793.319242802085</v>
      </c>
      <c r="Q406" s="110">
        <v>40640.508402166415</v>
      </c>
      <c r="R406" s="258">
        <v>102857.31029764999</v>
      </c>
      <c r="S406" s="259">
        <v>118433.82764496849</v>
      </c>
      <c r="U406" s="7" t="s">
        <v>3689</v>
      </c>
    </row>
    <row r="407" spans="1:21" s="7" customFormat="1" ht="16.5" thickBot="1">
      <c r="A407" s="38" t="s">
        <v>31</v>
      </c>
      <c r="B407" s="39">
        <f t="shared" si="21"/>
        <v>150</v>
      </c>
      <c r="C407" s="39" t="s">
        <v>3</v>
      </c>
      <c r="D407" s="39">
        <f t="shared" si="22"/>
        <v>400</v>
      </c>
      <c r="E407" s="39" t="s">
        <v>3</v>
      </c>
      <c r="F407" s="90">
        <f t="shared" si="23"/>
        <v>2600</v>
      </c>
      <c r="G407" s="39" t="s">
        <v>3</v>
      </c>
      <c r="H407" s="39">
        <v>6</v>
      </c>
      <c r="I407" s="40" t="s">
        <v>42</v>
      </c>
      <c r="J407" s="149">
        <v>150</v>
      </c>
      <c r="K407" s="66">
        <v>400</v>
      </c>
      <c r="L407" s="66">
        <v>2600</v>
      </c>
      <c r="M407" s="164">
        <v>37.778312439680789</v>
      </c>
      <c r="N407" s="78">
        <v>2765.34</v>
      </c>
      <c r="O407" s="113">
        <v>62092.360587000338</v>
      </c>
      <c r="P407" s="111">
        <v>77623.405589790724</v>
      </c>
      <c r="Q407" s="110">
        <v>41297.115504925154</v>
      </c>
      <c r="R407" s="258">
        <v>103389.47609192549</v>
      </c>
      <c r="S407" s="259">
        <v>118920.52109471588</v>
      </c>
      <c r="U407" s="7" t="s">
        <v>3690</v>
      </c>
    </row>
    <row r="408" spans="1:21" s="7" customFormat="1" ht="16.5" thickBot="1">
      <c r="A408" s="41" t="s">
        <v>31</v>
      </c>
      <c r="B408" s="42">
        <f t="shared" si="21"/>
        <v>150</v>
      </c>
      <c r="C408" s="42" t="s">
        <v>3</v>
      </c>
      <c r="D408" s="42">
        <f t="shared" si="22"/>
        <v>400</v>
      </c>
      <c r="E408" s="42" t="s">
        <v>3</v>
      </c>
      <c r="F408" s="90">
        <f t="shared" si="23"/>
        <v>2650</v>
      </c>
      <c r="G408" s="42" t="s">
        <v>3</v>
      </c>
      <c r="H408" s="39">
        <v>6</v>
      </c>
      <c r="I408" s="40" t="s">
        <v>42</v>
      </c>
      <c r="J408" s="149">
        <v>150</v>
      </c>
      <c r="K408" s="66">
        <v>400</v>
      </c>
      <c r="L408" s="66">
        <v>2650</v>
      </c>
      <c r="M408" s="164">
        <v>38.464723469057638</v>
      </c>
      <c r="N408" s="78">
        <v>2826.7919999999999</v>
      </c>
      <c r="O408" s="113">
        <v>63442.438197806296</v>
      </c>
      <c r="P408" s="111">
        <v>79336.254415432137</v>
      </c>
      <c r="Q408" s="110">
        <v>42205.056592438901</v>
      </c>
      <c r="R408" s="258">
        <v>105647.4947902452</v>
      </c>
      <c r="S408" s="259">
        <v>121541.31100787103</v>
      </c>
      <c r="U408" s="7" t="s">
        <v>3691</v>
      </c>
    </row>
    <row r="409" spans="1:21" s="65" customFormat="1" ht="16.5" thickBot="1">
      <c r="A409" s="41" t="s">
        <v>31</v>
      </c>
      <c r="B409" s="42">
        <f t="shared" si="21"/>
        <v>150</v>
      </c>
      <c r="C409" s="42" t="s">
        <v>3</v>
      </c>
      <c r="D409" s="42">
        <f t="shared" si="22"/>
        <v>400</v>
      </c>
      <c r="E409" s="42" t="s">
        <v>3</v>
      </c>
      <c r="F409" s="90">
        <f t="shared" si="23"/>
        <v>2700</v>
      </c>
      <c r="G409" s="42" t="s">
        <v>3</v>
      </c>
      <c r="H409" s="39">
        <v>6</v>
      </c>
      <c r="I409" s="40" t="s">
        <v>42</v>
      </c>
      <c r="J409" s="149">
        <v>150</v>
      </c>
      <c r="K409" s="66">
        <v>400</v>
      </c>
      <c r="L409" s="66">
        <v>2700</v>
      </c>
      <c r="M409" s="164">
        <v>39.268884498434474</v>
      </c>
      <c r="N409" s="78">
        <v>2888.2440000000001</v>
      </c>
      <c r="O409" s="113">
        <v>64617.816640057921</v>
      </c>
      <c r="P409" s="111">
        <v>80790.865516608697</v>
      </c>
      <c r="Q409" s="110">
        <v>42861.66369519764</v>
      </c>
      <c r="R409" s="258">
        <v>107479.48033525556</v>
      </c>
      <c r="S409" s="259">
        <v>123652.52921180634</v>
      </c>
      <c r="U409" s="7" t="s">
        <v>3692</v>
      </c>
    </row>
    <row r="410" spans="1:21" s="65" customFormat="1" ht="16.5" thickBot="1">
      <c r="A410" s="41" t="s">
        <v>31</v>
      </c>
      <c r="B410" s="42">
        <f t="shared" si="21"/>
        <v>150</v>
      </c>
      <c r="C410" s="42" t="s">
        <v>3</v>
      </c>
      <c r="D410" s="42">
        <f t="shared" si="22"/>
        <v>400</v>
      </c>
      <c r="E410" s="42" t="s">
        <v>3</v>
      </c>
      <c r="F410" s="90">
        <f t="shared" si="23"/>
        <v>2750</v>
      </c>
      <c r="G410" s="42" t="s">
        <v>3</v>
      </c>
      <c r="H410" s="39">
        <v>6</v>
      </c>
      <c r="I410" s="40" t="s">
        <v>42</v>
      </c>
      <c r="J410" s="149">
        <v>150</v>
      </c>
      <c r="K410" s="66">
        <v>400</v>
      </c>
      <c r="L410" s="66">
        <v>2750</v>
      </c>
      <c r="M410" s="164">
        <v>39.955295527811316</v>
      </c>
      <c r="N410" s="78">
        <v>2949.6959999999999</v>
      </c>
      <c r="O410" s="113">
        <v>65659.547716345143</v>
      </c>
      <c r="P410" s="111">
        <v>82109.909965048661</v>
      </c>
      <c r="Q410" s="110">
        <v>43518.270644927608</v>
      </c>
      <c r="R410" s="258">
        <v>109177.81836127274</v>
      </c>
      <c r="S410" s="259">
        <v>125628.18060997626</v>
      </c>
      <c r="U410" s="7" t="s">
        <v>3693</v>
      </c>
    </row>
    <row r="411" spans="1:21" s="65" customFormat="1" ht="16.5" thickBot="1">
      <c r="A411" s="41" t="s">
        <v>31</v>
      </c>
      <c r="B411" s="42">
        <f t="shared" si="21"/>
        <v>150</v>
      </c>
      <c r="C411" s="42" t="s">
        <v>3</v>
      </c>
      <c r="D411" s="42">
        <f t="shared" si="22"/>
        <v>400</v>
      </c>
      <c r="E411" s="42" t="s">
        <v>3</v>
      </c>
      <c r="F411" s="90">
        <f t="shared" si="23"/>
        <v>2800</v>
      </c>
      <c r="G411" s="42" t="s">
        <v>3</v>
      </c>
      <c r="H411" s="39">
        <v>6</v>
      </c>
      <c r="I411" s="40" t="s">
        <v>42</v>
      </c>
      <c r="J411" s="149">
        <v>150</v>
      </c>
      <c r="K411" s="66">
        <v>400</v>
      </c>
      <c r="L411" s="66">
        <v>2800</v>
      </c>
      <c r="M411" s="164">
        <v>40.641706557188165</v>
      </c>
      <c r="N411" s="78">
        <v>3011.1480000000001</v>
      </c>
      <c r="O411" s="113">
        <v>66701.290881904817</v>
      </c>
      <c r="P411" s="111">
        <v>83428.958698294067</v>
      </c>
      <c r="Q411" s="110">
        <v>44426.211885470118</v>
      </c>
      <c r="R411" s="258">
        <v>111127.50276737494</v>
      </c>
      <c r="S411" s="259">
        <v>127855.17058376418</v>
      </c>
      <c r="U411" s="7" t="s">
        <v>3694</v>
      </c>
    </row>
    <row r="412" spans="1:21" s="65" customFormat="1" ht="16.5" thickBot="1">
      <c r="A412" s="41" t="s">
        <v>31</v>
      </c>
      <c r="B412" s="42">
        <f t="shared" si="21"/>
        <v>150</v>
      </c>
      <c r="C412" s="42" t="s">
        <v>3</v>
      </c>
      <c r="D412" s="42">
        <f t="shared" si="22"/>
        <v>400</v>
      </c>
      <c r="E412" s="42" t="s">
        <v>3</v>
      </c>
      <c r="F412" s="90">
        <f t="shared" si="23"/>
        <v>2850</v>
      </c>
      <c r="G412" s="42" t="s">
        <v>3</v>
      </c>
      <c r="H412" s="39">
        <v>6</v>
      </c>
      <c r="I412" s="40" t="s">
        <v>42</v>
      </c>
      <c r="J412" s="149">
        <v>150</v>
      </c>
      <c r="K412" s="66">
        <v>400</v>
      </c>
      <c r="L412" s="66">
        <v>2850</v>
      </c>
      <c r="M412" s="164">
        <v>41.328117586565</v>
      </c>
      <c r="N412" s="78">
        <v>3072.6</v>
      </c>
      <c r="O412" s="113">
        <v>67743.045371593107</v>
      </c>
      <c r="P412" s="111">
        <v>84748.011869373659</v>
      </c>
      <c r="Q412" s="110">
        <v>45082.818835200087</v>
      </c>
      <c r="R412" s="258">
        <v>112825.86420679319</v>
      </c>
      <c r="S412" s="259">
        <v>129830.83070457375</v>
      </c>
      <c r="U412" s="7" t="s">
        <v>3695</v>
      </c>
    </row>
    <row r="413" spans="1:21" s="65" customFormat="1" ht="16.5" thickBot="1">
      <c r="A413" s="41" t="s">
        <v>31</v>
      </c>
      <c r="B413" s="42">
        <f t="shared" si="21"/>
        <v>150</v>
      </c>
      <c r="C413" s="42" t="s">
        <v>3</v>
      </c>
      <c r="D413" s="42">
        <f t="shared" si="22"/>
        <v>400</v>
      </c>
      <c r="E413" s="42" t="s">
        <v>3</v>
      </c>
      <c r="F413" s="90">
        <f t="shared" si="23"/>
        <v>2900</v>
      </c>
      <c r="G413" s="42" t="s">
        <v>3</v>
      </c>
      <c r="H413" s="39">
        <v>6</v>
      </c>
      <c r="I413" s="40" t="s">
        <v>42</v>
      </c>
      <c r="J413" s="149">
        <v>150</v>
      </c>
      <c r="K413" s="66">
        <v>400</v>
      </c>
      <c r="L413" s="66">
        <v>2900</v>
      </c>
      <c r="M413" s="164">
        <v>42.014528615941842</v>
      </c>
      <c r="N413" s="78">
        <v>3134.0519999999997</v>
      </c>
      <c r="O413" s="113">
        <v>68784.810879352503</v>
      </c>
      <c r="P413" s="111">
        <v>86067.068866172369</v>
      </c>
      <c r="Q413" s="110">
        <v>45990.760075742597</v>
      </c>
      <c r="R413" s="258">
        <v>114775.5709550951</v>
      </c>
      <c r="S413" s="259">
        <v>132057.82894191495</v>
      </c>
      <c r="U413" s="7" t="s">
        <v>3696</v>
      </c>
    </row>
    <row r="414" spans="1:21" s="65" customFormat="1" ht="16.5" thickBot="1">
      <c r="A414" s="41" t="s">
        <v>31</v>
      </c>
      <c r="B414" s="42">
        <f t="shared" si="21"/>
        <v>150</v>
      </c>
      <c r="C414" s="42" t="s">
        <v>3</v>
      </c>
      <c r="D414" s="42">
        <f t="shared" si="22"/>
        <v>400</v>
      </c>
      <c r="E414" s="42" t="s">
        <v>3</v>
      </c>
      <c r="F414" s="200">
        <f t="shared" si="23"/>
        <v>2950</v>
      </c>
      <c r="G414" s="42" t="s">
        <v>3</v>
      </c>
      <c r="H414" s="39">
        <v>6</v>
      </c>
      <c r="I414" s="201" t="s">
        <v>42</v>
      </c>
      <c r="J414" s="149">
        <v>150</v>
      </c>
      <c r="K414" s="66">
        <v>400</v>
      </c>
      <c r="L414" s="66">
        <v>2950</v>
      </c>
      <c r="M414" s="164">
        <v>42.700939645318691</v>
      </c>
      <c r="N414" s="78">
        <v>3195.5039999999999</v>
      </c>
      <c r="O414" s="113">
        <v>69826.586793067909</v>
      </c>
      <c r="P414" s="111">
        <v>87386.129841718968</v>
      </c>
      <c r="Q414" s="110">
        <v>46647.367025472573</v>
      </c>
      <c r="R414" s="258">
        <v>116473.95381854048</v>
      </c>
      <c r="S414" s="259">
        <v>134033.49686719154</v>
      </c>
      <c r="U414" s="7" t="s">
        <v>3697</v>
      </c>
    </row>
    <row r="415" spans="1:21" s="65" customFormat="1" ht="16.5" thickBot="1">
      <c r="A415" s="38" t="s">
        <v>31</v>
      </c>
      <c r="B415" s="39">
        <f t="shared" si="21"/>
        <v>150</v>
      </c>
      <c r="C415" s="39" t="s">
        <v>3</v>
      </c>
      <c r="D415" s="39">
        <f t="shared" si="22"/>
        <v>400</v>
      </c>
      <c r="E415" s="39" t="s">
        <v>3</v>
      </c>
      <c r="F415" s="90">
        <f t="shared" si="23"/>
        <v>3000</v>
      </c>
      <c r="G415" s="39" t="s">
        <v>3</v>
      </c>
      <c r="H415" s="39">
        <v>6</v>
      </c>
      <c r="I415" s="40" t="s">
        <v>42</v>
      </c>
      <c r="J415" s="151">
        <v>150</v>
      </c>
      <c r="K415" s="126">
        <v>400</v>
      </c>
      <c r="L415" s="126">
        <v>3000</v>
      </c>
      <c r="M415" s="171">
        <v>43.387350674695526</v>
      </c>
      <c r="N415" s="127">
        <v>3256.9559999999997</v>
      </c>
      <c r="O415" s="128">
        <v>71943.485730822169</v>
      </c>
      <c r="P415" s="135">
        <v>88705.194489955931</v>
      </c>
      <c r="Q415" s="136">
        <v>47555.308266015076</v>
      </c>
      <c r="R415" s="260">
        <v>119498.79399683725</v>
      </c>
      <c r="S415" s="261">
        <v>136260.50275597101</v>
      </c>
      <c r="U415" s="7" t="s">
        <v>3698</v>
      </c>
    </row>
    <row r="416" spans="1:21" s="65" customFormat="1" ht="22.5" customHeight="1" thickBot="1">
      <c r="A416" s="3049" t="s">
        <v>60</v>
      </c>
      <c r="B416" s="3047"/>
      <c r="C416" s="3047"/>
      <c r="D416" s="3047"/>
      <c r="E416" s="3047"/>
      <c r="F416" s="3047"/>
      <c r="G416" s="3047"/>
      <c r="H416" s="3047"/>
      <c r="I416" s="3047"/>
      <c r="J416" s="3047"/>
      <c r="K416" s="3047"/>
      <c r="L416" s="3047"/>
      <c r="M416" s="3047"/>
      <c r="N416" s="3047"/>
      <c r="O416" s="3047"/>
      <c r="P416" s="3047"/>
      <c r="Q416" s="3047"/>
      <c r="R416" s="3047"/>
      <c r="S416" s="3048"/>
      <c r="U416" s="7"/>
    </row>
    <row r="417" spans="1:21" s="65" customFormat="1" ht="16.5" thickBot="1">
      <c r="A417" s="2974" t="s">
        <v>118</v>
      </c>
      <c r="B417" s="2975"/>
      <c r="C417" s="2975"/>
      <c r="D417" s="2975"/>
      <c r="E417" s="2975"/>
      <c r="F417" s="2975"/>
      <c r="G417" s="2975"/>
      <c r="H417" s="2975"/>
      <c r="I417" s="2975"/>
      <c r="J417" s="2975"/>
      <c r="K417" s="2975"/>
      <c r="L417" s="2975"/>
      <c r="M417" s="2975"/>
      <c r="N417" s="2975"/>
      <c r="O417" s="2975"/>
      <c r="P417" s="2975"/>
      <c r="Q417" s="2975"/>
      <c r="R417" s="2975"/>
      <c r="S417" s="2976"/>
      <c r="U417" s="7"/>
    </row>
    <row r="418" spans="1:21" s="65" customFormat="1" ht="16.5" thickBot="1">
      <c r="A418" s="38" t="s">
        <v>31</v>
      </c>
      <c r="B418" s="39">
        <f>J418</f>
        <v>150</v>
      </c>
      <c r="C418" s="39" t="s">
        <v>3</v>
      </c>
      <c r="D418" s="39">
        <f>K418</f>
        <v>400</v>
      </c>
      <c r="E418" s="39" t="s">
        <v>3</v>
      </c>
      <c r="F418" s="90">
        <f>L418</f>
        <v>600</v>
      </c>
      <c r="G418" s="39" t="s">
        <v>3</v>
      </c>
      <c r="H418" s="39">
        <v>8</v>
      </c>
      <c r="I418" s="40" t="s">
        <v>42</v>
      </c>
      <c r="J418" s="146">
        <v>150</v>
      </c>
      <c r="K418" s="122">
        <v>400</v>
      </c>
      <c r="L418" s="122">
        <v>600</v>
      </c>
      <c r="M418" s="163">
        <v>10.131745720293686</v>
      </c>
      <c r="N418" s="123">
        <v>341.4</v>
      </c>
      <c r="O418" s="124">
        <v>22056.687666976923</v>
      </c>
      <c r="P418" s="148">
        <v>26220.721105723856</v>
      </c>
      <c r="Q418" s="139">
        <v>10760.15380676932</v>
      </c>
      <c r="R418" s="256">
        <v>32816.841473746244</v>
      </c>
      <c r="S418" s="257">
        <v>36980.874912493178</v>
      </c>
      <c r="U418" s="7" t="s">
        <v>3699</v>
      </c>
    </row>
    <row r="419" spans="1:21" s="65" customFormat="1" ht="16.5" thickBot="1">
      <c r="A419" s="41" t="s">
        <v>31</v>
      </c>
      <c r="B419" s="42">
        <f t="shared" ref="B419:B466" si="24">J419</f>
        <v>150</v>
      </c>
      <c r="C419" s="42" t="s">
        <v>3</v>
      </c>
      <c r="D419" s="42">
        <f t="shared" ref="D419:D466" si="25">K419</f>
        <v>400</v>
      </c>
      <c r="E419" s="42" t="s">
        <v>3</v>
      </c>
      <c r="F419" s="90">
        <f t="shared" ref="F419:F466" si="26">L419</f>
        <v>650</v>
      </c>
      <c r="G419" s="42" t="s">
        <v>3</v>
      </c>
      <c r="H419" s="39">
        <v>8</v>
      </c>
      <c r="I419" s="40" t="s">
        <v>42</v>
      </c>
      <c r="J419" s="149">
        <v>150</v>
      </c>
      <c r="K419" s="66">
        <v>400</v>
      </c>
      <c r="L419" s="66">
        <v>650</v>
      </c>
      <c r="M419" s="164">
        <v>10.884779139550528</v>
      </c>
      <c r="N419" s="78">
        <v>409.67999999999995</v>
      </c>
      <c r="O419" s="113">
        <v>23342.85143676955</v>
      </c>
      <c r="P419" s="111">
        <v>27762.307176760565</v>
      </c>
      <c r="Q419" s="110">
        <v>11416.760909528057</v>
      </c>
      <c r="R419" s="258">
        <v>34759.61234629761</v>
      </c>
      <c r="S419" s="259">
        <v>39179.068086288622</v>
      </c>
      <c r="U419" s="7" t="s">
        <v>3700</v>
      </c>
    </row>
    <row r="420" spans="1:21" s="65" customFormat="1" ht="16.5" thickBot="1">
      <c r="A420" s="41" t="s">
        <v>31</v>
      </c>
      <c r="B420" s="42">
        <f t="shared" si="24"/>
        <v>150</v>
      </c>
      <c r="C420" s="42" t="s">
        <v>3</v>
      </c>
      <c r="D420" s="42">
        <f t="shared" si="25"/>
        <v>400</v>
      </c>
      <c r="E420" s="42" t="s">
        <v>3</v>
      </c>
      <c r="F420" s="90">
        <f t="shared" si="26"/>
        <v>700</v>
      </c>
      <c r="G420" s="42" t="s">
        <v>3</v>
      </c>
      <c r="H420" s="39">
        <v>8</v>
      </c>
      <c r="I420" s="40" t="s">
        <v>42</v>
      </c>
      <c r="J420" s="149">
        <v>150</v>
      </c>
      <c r="K420" s="66">
        <v>400</v>
      </c>
      <c r="L420" s="66">
        <v>700</v>
      </c>
      <c r="M420" s="164">
        <v>11.654852558807367</v>
      </c>
      <c r="N420" s="78">
        <v>477.96</v>
      </c>
      <c r="O420" s="113">
        <v>24628.982611435204</v>
      </c>
      <c r="P420" s="111">
        <v>29303.89340082604</v>
      </c>
      <c r="Q420" s="110">
        <v>12324.7019970418</v>
      </c>
      <c r="R420" s="258">
        <v>36953.684608477008</v>
      </c>
      <c r="S420" s="259">
        <v>41628.595397867844</v>
      </c>
      <c r="U420" s="7" t="s">
        <v>3701</v>
      </c>
    </row>
    <row r="421" spans="1:21" s="65" customFormat="1" ht="16.5" thickBot="1">
      <c r="A421" s="41" t="s">
        <v>31</v>
      </c>
      <c r="B421" s="42">
        <f t="shared" si="24"/>
        <v>150</v>
      </c>
      <c r="C421" s="42" t="s">
        <v>3</v>
      </c>
      <c r="D421" s="42">
        <f t="shared" si="25"/>
        <v>400</v>
      </c>
      <c r="E421" s="42" t="s">
        <v>3</v>
      </c>
      <c r="F421" s="90">
        <f t="shared" si="26"/>
        <v>750</v>
      </c>
      <c r="G421" s="42" t="s">
        <v>3</v>
      </c>
      <c r="H421" s="39">
        <v>8</v>
      </c>
      <c r="I421" s="40" t="s">
        <v>42</v>
      </c>
      <c r="J421" s="149">
        <v>150</v>
      </c>
      <c r="K421" s="66">
        <v>400</v>
      </c>
      <c r="L421" s="66">
        <v>750</v>
      </c>
      <c r="M421" s="164">
        <v>12.407885978064211</v>
      </c>
      <c r="N421" s="78">
        <v>546.24</v>
      </c>
      <c r="O421" s="113">
        <v>25915.085628808069</v>
      </c>
      <c r="P421" s="111">
        <v>30845.479471862749</v>
      </c>
      <c r="Q421" s="110">
        <v>12981.309099800537</v>
      </c>
      <c r="R421" s="258">
        <v>38896.394728608604</v>
      </c>
      <c r="S421" s="259">
        <v>43826.788571663288</v>
      </c>
      <c r="U421" s="7" t="s">
        <v>3702</v>
      </c>
    </row>
    <row r="422" spans="1:21" s="65" customFormat="1" ht="16.5" thickBot="1">
      <c r="A422" s="41" t="s">
        <v>31</v>
      </c>
      <c r="B422" s="42">
        <f t="shared" si="24"/>
        <v>150</v>
      </c>
      <c r="C422" s="42" t="s">
        <v>3</v>
      </c>
      <c r="D422" s="42">
        <f t="shared" si="25"/>
        <v>400</v>
      </c>
      <c r="E422" s="42" t="s">
        <v>3</v>
      </c>
      <c r="F422" s="90">
        <f t="shared" si="26"/>
        <v>800</v>
      </c>
      <c r="G422" s="42" t="s">
        <v>3</v>
      </c>
      <c r="H422" s="39">
        <v>8</v>
      </c>
      <c r="I422" s="40" t="s">
        <v>42</v>
      </c>
      <c r="J422" s="149">
        <v>150</v>
      </c>
      <c r="K422" s="66">
        <v>400</v>
      </c>
      <c r="L422" s="66">
        <v>800</v>
      </c>
      <c r="M422" s="164">
        <v>13.160919397321054</v>
      </c>
      <c r="N422" s="78">
        <v>614.52</v>
      </c>
      <c r="O422" s="113">
        <v>27201.164926722347</v>
      </c>
      <c r="P422" s="111">
        <v>32387.065542899461</v>
      </c>
      <c r="Q422" s="110">
        <v>13637.916049530511</v>
      </c>
      <c r="R422" s="258">
        <v>40839.080976252859</v>
      </c>
      <c r="S422" s="259">
        <v>46024.981592429976</v>
      </c>
      <c r="U422" s="7" t="s">
        <v>3703</v>
      </c>
    </row>
    <row r="423" spans="1:21" s="65" customFormat="1" ht="16.5" thickBot="1">
      <c r="A423" s="41" t="s">
        <v>31</v>
      </c>
      <c r="B423" s="42">
        <f t="shared" si="24"/>
        <v>150</v>
      </c>
      <c r="C423" s="42" t="s">
        <v>3</v>
      </c>
      <c r="D423" s="42">
        <f t="shared" si="25"/>
        <v>400</v>
      </c>
      <c r="E423" s="42" t="s">
        <v>3</v>
      </c>
      <c r="F423" s="90">
        <f t="shared" si="26"/>
        <v>850</v>
      </c>
      <c r="G423" s="42" t="s">
        <v>3</v>
      </c>
      <c r="H423" s="39">
        <v>8</v>
      </c>
      <c r="I423" s="40" t="s">
        <v>42</v>
      </c>
      <c r="J423" s="149">
        <v>150</v>
      </c>
      <c r="K423" s="66">
        <v>400</v>
      </c>
      <c r="L423" s="66">
        <v>850</v>
      </c>
      <c r="M423" s="164">
        <v>13.930992816577895</v>
      </c>
      <c r="N423" s="78">
        <v>682.8</v>
      </c>
      <c r="O423" s="113">
        <v>28487.223412724565</v>
      </c>
      <c r="P423" s="111">
        <v>33928.651766964933</v>
      </c>
      <c r="Q423" s="110">
        <v>14545.85729007302</v>
      </c>
      <c r="R423" s="258">
        <v>43033.080702797582</v>
      </c>
      <c r="S423" s="259">
        <v>48474.509057037954</v>
      </c>
      <c r="U423" s="7" t="s">
        <v>3704</v>
      </c>
    </row>
    <row r="424" spans="1:21" s="65" customFormat="1" ht="16.5" thickBot="1">
      <c r="A424" s="41" t="s">
        <v>31</v>
      </c>
      <c r="B424" s="42">
        <f t="shared" si="24"/>
        <v>150</v>
      </c>
      <c r="C424" s="42" t="s">
        <v>3</v>
      </c>
      <c r="D424" s="42">
        <f t="shared" si="25"/>
        <v>400</v>
      </c>
      <c r="E424" s="42" t="s">
        <v>3</v>
      </c>
      <c r="F424" s="90">
        <f t="shared" si="26"/>
        <v>900</v>
      </c>
      <c r="G424" s="42" t="s">
        <v>3</v>
      </c>
      <c r="H424" s="39">
        <v>8</v>
      </c>
      <c r="I424" s="40" t="s">
        <v>42</v>
      </c>
      <c r="J424" s="149">
        <v>150</v>
      </c>
      <c r="K424" s="66">
        <v>400</v>
      </c>
      <c r="L424" s="66">
        <v>900</v>
      </c>
      <c r="M424" s="164">
        <v>14.68402623583474</v>
      </c>
      <c r="N424" s="78">
        <v>751.07999999999993</v>
      </c>
      <c r="O424" s="113">
        <v>29773.2638413325</v>
      </c>
      <c r="P424" s="111">
        <v>35470.237838001638</v>
      </c>
      <c r="Q424" s="110">
        <v>15202.464239802994</v>
      </c>
      <c r="R424" s="258">
        <v>44975.728081135494</v>
      </c>
      <c r="S424" s="259">
        <v>50672.702077804628</v>
      </c>
      <c r="U424" s="7" t="s">
        <v>3705</v>
      </c>
    </row>
    <row r="425" spans="1:21" s="65" customFormat="1" ht="16.5" thickBot="1">
      <c r="A425" s="41" t="s">
        <v>31</v>
      </c>
      <c r="B425" s="42">
        <f t="shared" si="24"/>
        <v>150</v>
      </c>
      <c r="C425" s="42" t="s">
        <v>3</v>
      </c>
      <c r="D425" s="42">
        <f t="shared" si="25"/>
        <v>400</v>
      </c>
      <c r="E425" s="42" t="s">
        <v>3</v>
      </c>
      <c r="F425" s="90">
        <f t="shared" si="26"/>
        <v>950</v>
      </c>
      <c r="G425" s="42" t="s">
        <v>3</v>
      </c>
      <c r="H425" s="39">
        <v>8</v>
      </c>
      <c r="I425" s="40" t="s">
        <v>42</v>
      </c>
      <c r="J425" s="149">
        <v>150</v>
      </c>
      <c r="K425" s="66">
        <v>400</v>
      </c>
      <c r="L425" s="66">
        <v>950</v>
      </c>
      <c r="M425" s="164">
        <v>15.454099655091579</v>
      </c>
      <c r="N425" s="78">
        <v>819.3599999999999</v>
      </c>
      <c r="O425" s="113">
        <v>30907.534931552411</v>
      </c>
      <c r="P425" s="111">
        <v>36854.448361839975</v>
      </c>
      <c r="Q425" s="110">
        <v>16110.4054803455</v>
      </c>
      <c r="R425" s="258">
        <v>47017.940411897915</v>
      </c>
      <c r="S425" s="259">
        <v>52964.853842185476</v>
      </c>
      <c r="U425" s="7" t="s">
        <v>3706</v>
      </c>
    </row>
    <row r="426" spans="1:21" s="65" customFormat="1" ht="16.5" thickBot="1">
      <c r="A426" s="41" t="s">
        <v>31</v>
      </c>
      <c r="B426" s="42">
        <f t="shared" si="24"/>
        <v>150</v>
      </c>
      <c r="C426" s="42" t="s">
        <v>3</v>
      </c>
      <c r="D426" s="42">
        <f t="shared" si="25"/>
        <v>400</v>
      </c>
      <c r="E426" s="42" t="s">
        <v>3</v>
      </c>
      <c r="F426" s="90">
        <f t="shared" si="26"/>
        <v>1000</v>
      </c>
      <c r="G426" s="42" t="s">
        <v>3</v>
      </c>
      <c r="H426" s="39">
        <v>8</v>
      </c>
      <c r="I426" s="40" t="s">
        <v>42</v>
      </c>
      <c r="J426" s="149">
        <v>150</v>
      </c>
      <c r="K426" s="66">
        <v>400</v>
      </c>
      <c r="L426" s="66">
        <v>1000</v>
      </c>
      <c r="M426" s="164">
        <v>16.207133074348423</v>
      </c>
      <c r="N426" s="78">
        <v>887.64</v>
      </c>
      <c r="O426" s="113">
        <v>32421.212993664511</v>
      </c>
      <c r="P426" s="111">
        <v>38632.097830188635</v>
      </c>
      <c r="Q426" s="110">
        <v>16767.012583104239</v>
      </c>
      <c r="R426" s="258">
        <v>49188.225576768746</v>
      </c>
      <c r="S426" s="259">
        <v>55399.110413292874</v>
      </c>
      <c r="U426" s="7" t="s">
        <v>3707</v>
      </c>
    </row>
    <row r="427" spans="1:21" s="65" customFormat="1" ht="16.5" thickBot="1">
      <c r="A427" s="41" t="s">
        <v>31</v>
      </c>
      <c r="B427" s="42">
        <f t="shared" si="24"/>
        <v>150</v>
      </c>
      <c r="C427" s="42" t="s">
        <v>3</v>
      </c>
      <c r="D427" s="42">
        <f t="shared" si="25"/>
        <v>400</v>
      </c>
      <c r="E427" s="42" t="s">
        <v>3</v>
      </c>
      <c r="F427" s="90">
        <f t="shared" si="26"/>
        <v>1050</v>
      </c>
      <c r="G427" s="42" t="s">
        <v>3</v>
      </c>
      <c r="H427" s="39">
        <v>8</v>
      </c>
      <c r="I427" s="40" t="s">
        <v>42</v>
      </c>
      <c r="J427" s="149">
        <v>150</v>
      </c>
      <c r="K427" s="66">
        <v>400</v>
      </c>
      <c r="L427" s="66">
        <v>1050</v>
      </c>
      <c r="M427" s="164">
        <v>16.977206493605262</v>
      </c>
      <c r="N427" s="78">
        <v>955.92</v>
      </c>
      <c r="O427" s="113">
        <v>33707.245464776657</v>
      </c>
      <c r="P427" s="111">
        <v>40173.68390122534</v>
      </c>
      <c r="Q427" s="110">
        <v>17674.953670617982</v>
      </c>
      <c r="R427" s="258">
        <v>51382.199135394636</v>
      </c>
      <c r="S427" s="259">
        <v>57848.637571843326</v>
      </c>
      <c r="U427" s="7" t="s">
        <v>3708</v>
      </c>
    </row>
    <row r="428" spans="1:21" s="7" customFormat="1" ht="16.5" thickBot="1">
      <c r="A428" s="38" t="s">
        <v>31</v>
      </c>
      <c r="B428" s="39">
        <f t="shared" si="24"/>
        <v>150</v>
      </c>
      <c r="C428" s="39" t="s">
        <v>3</v>
      </c>
      <c r="D428" s="39">
        <f t="shared" si="25"/>
        <v>400</v>
      </c>
      <c r="E428" s="39" t="s">
        <v>3</v>
      </c>
      <c r="F428" s="90">
        <f t="shared" si="26"/>
        <v>1100</v>
      </c>
      <c r="G428" s="39" t="s">
        <v>3</v>
      </c>
      <c r="H428" s="39">
        <v>8</v>
      </c>
      <c r="I428" s="40" t="s">
        <v>42</v>
      </c>
      <c r="J428" s="149">
        <v>150</v>
      </c>
      <c r="K428" s="66">
        <v>400</v>
      </c>
      <c r="L428" s="66">
        <v>1100</v>
      </c>
      <c r="M428" s="164">
        <v>17.730239912862107</v>
      </c>
      <c r="N428" s="78">
        <v>1024.2</v>
      </c>
      <c r="O428" s="113">
        <v>34993.264469357477</v>
      </c>
      <c r="P428" s="111">
        <v>41715.270125290815</v>
      </c>
      <c r="Q428" s="110">
        <v>18331.560773376717</v>
      </c>
      <c r="R428" s="258">
        <v>53324.825242734194</v>
      </c>
      <c r="S428" s="259">
        <v>60046.830898667533</v>
      </c>
      <c r="U428" s="7" t="s">
        <v>3709</v>
      </c>
    </row>
    <row r="429" spans="1:21" s="7" customFormat="1" ht="16.5" thickBot="1">
      <c r="A429" s="41" t="s">
        <v>31</v>
      </c>
      <c r="B429" s="42">
        <f t="shared" si="24"/>
        <v>150</v>
      </c>
      <c r="C429" s="42" t="s">
        <v>3</v>
      </c>
      <c r="D429" s="42">
        <f t="shared" si="25"/>
        <v>400</v>
      </c>
      <c r="E429" s="42" t="s">
        <v>3</v>
      </c>
      <c r="F429" s="90">
        <f t="shared" si="26"/>
        <v>1150</v>
      </c>
      <c r="G429" s="42" t="s">
        <v>3</v>
      </c>
      <c r="H429" s="39">
        <v>8</v>
      </c>
      <c r="I429" s="40" t="s">
        <v>42</v>
      </c>
      <c r="J429" s="149">
        <v>150</v>
      </c>
      <c r="K429" s="66">
        <v>400</v>
      </c>
      <c r="L429" s="66">
        <v>1150</v>
      </c>
      <c r="M429" s="164">
        <v>18.483273332118952</v>
      </c>
      <c r="N429" s="78">
        <v>1092.48</v>
      </c>
      <c r="O429" s="113">
        <v>36279.271537694614</v>
      </c>
      <c r="P429" s="111">
        <v>43256.856196327521</v>
      </c>
      <c r="Q429" s="110">
        <v>18988.167723106693</v>
      </c>
      <c r="R429" s="258">
        <v>55267.439260801308</v>
      </c>
      <c r="S429" s="259">
        <v>62245.023919434214</v>
      </c>
      <c r="U429" s="7" t="s">
        <v>3710</v>
      </c>
    </row>
    <row r="430" spans="1:21" s="7" customFormat="1" ht="16.5" thickBot="1">
      <c r="A430" s="41" t="s">
        <v>31</v>
      </c>
      <c r="B430" s="42">
        <f t="shared" si="24"/>
        <v>150</v>
      </c>
      <c r="C430" s="42" t="s">
        <v>3</v>
      </c>
      <c r="D430" s="42">
        <f t="shared" si="25"/>
        <v>400</v>
      </c>
      <c r="E430" s="42" t="s">
        <v>3</v>
      </c>
      <c r="F430" s="90">
        <f t="shared" si="26"/>
        <v>1200</v>
      </c>
      <c r="G430" s="42" t="s">
        <v>3</v>
      </c>
      <c r="H430" s="39">
        <v>8</v>
      </c>
      <c r="I430" s="40" t="s">
        <v>42</v>
      </c>
      <c r="J430" s="149">
        <v>150</v>
      </c>
      <c r="K430" s="66">
        <v>400</v>
      </c>
      <c r="L430" s="66">
        <v>1200</v>
      </c>
      <c r="M430" s="164">
        <v>19.410346751375791</v>
      </c>
      <c r="N430" s="78">
        <v>1160.76</v>
      </c>
      <c r="O430" s="113">
        <v>37733.608717381605</v>
      </c>
      <c r="P430" s="111">
        <v>44967.209581896044</v>
      </c>
      <c r="Q430" s="110">
        <v>19896.1089636492</v>
      </c>
      <c r="R430" s="258">
        <v>57629.717681030801</v>
      </c>
      <c r="S430" s="259">
        <v>64863.318545545248</v>
      </c>
      <c r="U430" s="7" t="s">
        <v>3711</v>
      </c>
    </row>
    <row r="431" spans="1:21" s="7" customFormat="1" ht="16.5" thickBot="1">
      <c r="A431" s="41" t="s">
        <v>31</v>
      </c>
      <c r="B431" s="42">
        <f t="shared" si="24"/>
        <v>150</v>
      </c>
      <c r="C431" s="42" t="s">
        <v>3</v>
      </c>
      <c r="D431" s="42">
        <f t="shared" si="25"/>
        <v>400</v>
      </c>
      <c r="E431" s="42" t="s">
        <v>3</v>
      </c>
      <c r="F431" s="90">
        <f t="shared" si="26"/>
        <v>1250</v>
      </c>
      <c r="G431" s="42" t="s">
        <v>3</v>
      </c>
      <c r="H431" s="39">
        <v>8</v>
      </c>
      <c r="I431" s="40" t="s">
        <v>42</v>
      </c>
      <c r="J431" s="149">
        <v>150</v>
      </c>
      <c r="K431" s="66">
        <v>400</v>
      </c>
      <c r="L431" s="66">
        <v>1250</v>
      </c>
      <c r="M431" s="164">
        <v>20.163380170632632</v>
      </c>
      <c r="N431" s="78">
        <v>1229.04</v>
      </c>
      <c r="O431" s="113">
        <v>39019.591913231379</v>
      </c>
      <c r="P431" s="111">
        <v>46508.795652932757</v>
      </c>
      <c r="Q431" s="110">
        <v>20552.715913379172</v>
      </c>
      <c r="R431" s="258">
        <v>59572.307826610551</v>
      </c>
      <c r="S431" s="259">
        <v>67061.511566311936</v>
      </c>
      <c r="U431" s="7" t="s">
        <v>3712</v>
      </c>
    </row>
    <row r="432" spans="1:21" s="7" customFormat="1" ht="16.5" thickBot="1">
      <c r="A432" s="41" t="s">
        <v>31</v>
      </c>
      <c r="B432" s="42">
        <f t="shared" si="24"/>
        <v>150</v>
      </c>
      <c r="C432" s="42" t="s">
        <v>3</v>
      </c>
      <c r="D432" s="42">
        <f t="shared" si="25"/>
        <v>400</v>
      </c>
      <c r="E432" s="42" t="s">
        <v>3</v>
      </c>
      <c r="F432" s="90">
        <f t="shared" si="26"/>
        <v>1300</v>
      </c>
      <c r="G432" s="42" t="s">
        <v>3</v>
      </c>
      <c r="H432" s="39">
        <v>8</v>
      </c>
      <c r="I432" s="40" t="s">
        <v>42</v>
      </c>
      <c r="J432" s="149">
        <v>150</v>
      </c>
      <c r="K432" s="66">
        <v>400</v>
      </c>
      <c r="L432" s="66">
        <v>1300</v>
      </c>
      <c r="M432" s="164">
        <v>20.933453589889478</v>
      </c>
      <c r="N432" s="78">
        <v>1297.32</v>
      </c>
      <c r="O432" s="113">
        <v>40305.56653947031</v>
      </c>
      <c r="P432" s="111">
        <v>48050.381876998232</v>
      </c>
      <c r="Q432" s="110">
        <v>21460.657153921682</v>
      </c>
      <c r="R432" s="258">
        <v>61766.223693391992</v>
      </c>
      <c r="S432" s="259">
        <v>69511.039030919914</v>
      </c>
      <c r="U432" s="7" t="s">
        <v>3713</v>
      </c>
    </row>
    <row r="433" spans="1:21" s="7" customFormat="1" ht="16.5" thickBot="1">
      <c r="A433" s="41" t="s">
        <v>31</v>
      </c>
      <c r="B433" s="42">
        <f t="shared" si="24"/>
        <v>150</v>
      </c>
      <c r="C433" s="42" t="s">
        <v>3</v>
      </c>
      <c r="D433" s="42">
        <f t="shared" si="25"/>
        <v>400</v>
      </c>
      <c r="E433" s="42" t="s">
        <v>3</v>
      </c>
      <c r="F433" s="90">
        <f t="shared" si="26"/>
        <v>1350</v>
      </c>
      <c r="G433" s="42" t="s">
        <v>3</v>
      </c>
      <c r="H433" s="39">
        <v>8</v>
      </c>
      <c r="I433" s="40" t="s">
        <v>42</v>
      </c>
      <c r="J433" s="149">
        <v>150</v>
      </c>
      <c r="K433" s="66">
        <v>400</v>
      </c>
      <c r="L433" s="66">
        <v>1350</v>
      </c>
      <c r="M433" s="164">
        <v>21.686487009146319</v>
      </c>
      <c r="N433" s="78">
        <v>1365.6</v>
      </c>
      <c r="O433" s="113">
        <v>41591.533361242218</v>
      </c>
      <c r="P433" s="111">
        <v>49591.967948034937</v>
      </c>
      <c r="Q433" s="110">
        <v>22117.264103651651</v>
      </c>
      <c r="R433" s="258">
        <v>63708.797464893869</v>
      </c>
      <c r="S433" s="259">
        <v>71709.232051686588</v>
      </c>
      <c r="U433" s="7" t="s">
        <v>3714</v>
      </c>
    </row>
    <row r="434" spans="1:21" s="7" customFormat="1" ht="16.5" thickBot="1">
      <c r="A434" s="41" t="s">
        <v>31</v>
      </c>
      <c r="B434" s="42">
        <f t="shared" si="24"/>
        <v>150</v>
      </c>
      <c r="C434" s="42" t="s">
        <v>3</v>
      </c>
      <c r="D434" s="42">
        <f t="shared" si="25"/>
        <v>400</v>
      </c>
      <c r="E434" s="42" t="s">
        <v>3</v>
      </c>
      <c r="F434" s="90">
        <f t="shared" si="26"/>
        <v>1400</v>
      </c>
      <c r="G434" s="42" t="s">
        <v>3</v>
      </c>
      <c r="H434" s="39">
        <v>8</v>
      </c>
      <c r="I434" s="40" t="s">
        <v>42</v>
      </c>
      <c r="J434" s="149">
        <v>150</v>
      </c>
      <c r="K434" s="66">
        <v>400</v>
      </c>
      <c r="L434" s="66">
        <v>1400</v>
      </c>
      <c r="M434" s="164">
        <v>22.456560428403158</v>
      </c>
      <c r="N434" s="78">
        <v>1433.88</v>
      </c>
      <c r="O434" s="113">
        <v>42877.493143690932</v>
      </c>
      <c r="P434" s="111">
        <v>51133.554019071642</v>
      </c>
      <c r="Q434" s="110">
        <v>23025.205344194161</v>
      </c>
      <c r="R434" s="258">
        <v>65902.698487885093</v>
      </c>
      <c r="S434" s="259">
        <v>74158.759363265795</v>
      </c>
      <c r="U434" s="7" t="s">
        <v>3715</v>
      </c>
    </row>
    <row r="435" spans="1:21" s="7" customFormat="1" ht="16.5" thickBot="1">
      <c r="A435" s="41" t="s">
        <v>31</v>
      </c>
      <c r="B435" s="42">
        <f t="shared" si="24"/>
        <v>150</v>
      </c>
      <c r="C435" s="42" t="s">
        <v>3</v>
      </c>
      <c r="D435" s="42">
        <f t="shared" si="25"/>
        <v>400</v>
      </c>
      <c r="E435" s="42" t="s">
        <v>3</v>
      </c>
      <c r="F435" s="90">
        <f t="shared" si="26"/>
        <v>1450</v>
      </c>
      <c r="G435" s="42" t="s">
        <v>3</v>
      </c>
      <c r="H435" s="39">
        <v>8</v>
      </c>
      <c r="I435" s="40" t="s">
        <v>42</v>
      </c>
      <c r="J435" s="149">
        <v>150</v>
      </c>
      <c r="K435" s="66">
        <v>400</v>
      </c>
      <c r="L435" s="66">
        <v>1450</v>
      </c>
      <c r="M435" s="164">
        <v>23.209593847660003</v>
      </c>
      <c r="N435" s="78">
        <v>1502.1599999999999</v>
      </c>
      <c r="O435" s="113">
        <v>44163.446498931509</v>
      </c>
      <c r="P435" s="111">
        <v>52675.140243137117</v>
      </c>
      <c r="Q435" s="110">
        <v>23681.812293924133</v>
      </c>
      <c r="R435" s="258">
        <v>67845.258792855646</v>
      </c>
      <c r="S435" s="259">
        <v>76356.952537061254</v>
      </c>
      <c r="U435" s="7" t="s">
        <v>3716</v>
      </c>
    </row>
    <row r="436" spans="1:21" s="7" customFormat="1" ht="16.5" thickBot="1">
      <c r="A436" s="41" t="s">
        <v>31</v>
      </c>
      <c r="B436" s="42">
        <f t="shared" si="24"/>
        <v>150</v>
      </c>
      <c r="C436" s="42" t="s">
        <v>3</v>
      </c>
      <c r="D436" s="42">
        <f t="shared" si="25"/>
        <v>400</v>
      </c>
      <c r="E436" s="42" t="s">
        <v>3</v>
      </c>
      <c r="F436" s="90">
        <f t="shared" si="26"/>
        <v>1500</v>
      </c>
      <c r="G436" s="42" t="s">
        <v>3</v>
      </c>
      <c r="H436" s="39">
        <v>8</v>
      </c>
      <c r="I436" s="40" t="s">
        <v>42</v>
      </c>
      <c r="J436" s="149">
        <v>150</v>
      </c>
      <c r="K436" s="66">
        <v>400</v>
      </c>
      <c r="L436" s="66">
        <v>1500</v>
      </c>
      <c r="M436" s="164">
        <v>24.206947459216845</v>
      </c>
      <c r="N436" s="78">
        <v>1570.44</v>
      </c>
      <c r="O436" s="113">
        <v>46370.538142390214</v>
      </c>
      <c r="P436" s="111">
        <v>55115.057501295247</v>
      </c>
      <c r="Q436" s="110">
        <v>24589.753534466639</v>
      </c>
      <c r="R436" s="258">
        <v>70960.291676856854</v>
      </c>
      <c r="S436" s="259">
        <v>79704.811035761886</v>
      </c>
      <c r="U436" s="7" t="s">
        <v>3717</v>
      </c>
    </row>
    <row r="437" spans="1:21" s="7" customFormat="1" ht="16.5" thickBot="1">
      <c r="A437" s="41" t="s">
        <v>31</v>
      </c>
      <c r="B437" s="42">
        <f t="shared" si="24"/>
        <v>150</v>
      </c>
      <c r="C437" s="42" t="s">
        <v>3</v>
      </c>
      <c r="D437" s="42">
        <f t="shared" si="25"/>
        <v>400</v>
      </c>
      <c r="E437" s="42" t="s">
        <v>3</v>
      </c>
      <c r="F437" s="90">
        <f t="shared" si="26"/>
        <v>1550</v>
      </c>
      <c r="G437" s="42" t="s">
        <v>3</v>
      </c>
      <c r="H437" s="39">
        <v>8</v>
      </c>
      <c r="I437" s="40" t="s">
        <v>42</v>
      </c>
      <c r="J437" s="149">
        <v>150</v>
      </c>
      <c r="K437" s="66">
        <v>400</v>
      </c>
      <c r="L437" s="66">
        <v>1550</v>
      </c>
      <c r="M437" s="164">
        <v>24.959980878473687</v>
      </c>
      <c r="N437" s="78">
        <v>1638.7199999999998</v>
      </c>
      <c r="O437" s="113">
        <v>47656.497465752625</v>
      </c>
      <c r="P437" s="111">
        <v>56656.643725360729</v>
      </c>
      <c r="Q437" s="110">
        <v>25246.360484196612</v>
      </c>
      <c r="R437" s="258">
        <v>72902.857949949233</v>
      </c>
      <c r="S437" s="259">
        <v>81903.004209557344</v>
      </c>
      <c r="U437" s="7" t="s">
        <v>3718</v>
      </c>
    </row>
    <row r="438" spans="1:21" s="7" customFormat="1" ht="16.5" thickBot="1">
      <c r="A438" s="38" t="s">
        <v>31</v>
      </c>
      <c r="B438" s="39">
        <f t="shared" si="24"/>
        <v>150</v>
      </c>
      <c r="C438" s="39" t="s">
        <v>3</v>
      </c>
      <c r="D438" s="39">
        <f t="shared" si="25"/>
        <v>400</v>
      </c>
      <c r="E438" s="39" t="s">
        <v>3</v>
      </c>
      <c r="F438" s="90">
        <f t="shared" si="26"/>
        <v>1600</v>
      </c>
      <c r="G438" s="39" t="s">
        <v>3</v>
      </c>
      <c r="H438" s="39">
        <v>8</v>
      </c>
      <c r="I438" s="40" t="s">
        <v>42</v>
      </c>
      <c r="J438" s="149">
        <v>150</v>
      </c>
      <c r="K438" s="66">
        <v>400</v>
      </c>
      <c r="L438" s="66">
        <v>1600</v>
      </c>
      <c r="M438" s="164">
        <v>25.713014297730528</v>
      </c>
      <c r="N438" s="78">
        <v>1707</v>
      </c>
      <c r="O438" s="113">
        <v>48942.450820993203</v>
      </c>
      <c r="P438" s="111">
        <v>58198.229796397442</v>
      </c>
      <c r="Q438" s="110">
        <v>25902.96758695535</v>
      </c>
      <c r="R438" s="258">
        <v>74845.418407948557</v>
      </c>
      <c r="S438" s="259">
        <v>84101.197383352788</v>
      </c>
      <c r="U438" s="7" t="s">
        <v>3719</v>
      </c>
    </row>
    <row r="439" spans="1:21" s="7" customFormat="1" ht="16.5" thickBot="1">
      <c r="A439" s="41" t="s">
        <v>31</v>
      </c>
      <c r="B439" s="42">
        <f t="shared" si="24"/>
        <v>150</v>
      </c>
      <c r="C439" s="42" t="s">
        <v>3</v>
      </c>
      <c r="D439" s="42">
        <f t="shared" si="25"/>
        <v>400</v>
      </c>
      <c r="E439" s="42" t="s">
        <v>3</v>
      </c>
      <c r="F439" s="90">
        <f t="shared" si="26"/>
        <v>1650</v>
      </c>
      <c r="G439" s="42" t="s">
        <v>3</v>
      </c>
      <c r="H439" s="39">
        <v>8</v>
      </c>
      <c r="I439" s="40" t="s">
        <v>42</v>
      </c>
      <c r="J439" s="149">
        <v>150</v>
      </c>
      <c r="K439" s="66">
        <v>400</v>
      </c>
      <c r="L439" s="66">
        <v>1650</v>
      </c>
      <c r="M439" s="164">
        <v>26.48308771698737</v>
      </c>
      <c r="N439" s="78">
        <v>1775.28</v>
      </c>
      <c r="O439" s="113">
        <v>50228.398820227005</v>
      </c>
      <c r="P439" s="111">
        <v>59739.815867434147</v>
      </c>
      <c r="Q439" s="110">
        <v>26810.908827497857</v>
      </c>
      <c r="R439" s="258">
        <v>77039.307647724869</v>
      </c>
      <c r="S439" s="259">
        <v>86550.724694931996</v>
      </c>
      <c r="U439" s="7" t="s">
        <v>3720</v>
      </c>
    </row>
    <row r="440" spans="1:21" s="7" customFormat="1" ht="16.5" thickBot="1">
      <c r="A440" s="41" t="s">
        <v>31</v>
      </c>
      <c r="B440" s="42">
        <f t="shared" si="24"/>
        <v>150</v>
      </c>
      <c r="C440" s="42" t="s">
        <v>3</v>
      </c>
      <c r="D440" s="42">
        <f t="shared" si="25"/>
        <v>400</v>
      </c>
      <c r="E440" s="42" t="s">
        <v>3</v>
      </c>
      <c r="F440" s="90">
        <f t="shared" si="26"/>
        <v>1700</v>
      </c>
      <c r="G440" s="42" t="s">
        <v>3</v>
      </c>
      <c r="H440" s="39">
        <v>8</v>
      </c>
      <c r="I440" s="40" t="s">
        <v>42</v>
      </c>
      <c r="J440" s="149">
        <v>150</v>
      </c>
      <c r="K440" s="66">
        <v>400</v>
      </c>
      <c r="L440" s="66">
        <v>1700</v>
      </c>
      <c r="M440" s="164">
        <v>27.236121136244211</v>
      </c>
      <c r="N440" s="78">
        <v>1843.56</v>
      </c>
      <c r="O440" s="113">
        <v>51514.342075569082</v>
      </c>
      <c r="P440" s="111">
        <v>61281.401938470859</v>
      </c>
      <c r="Q440" s="110">
        <v>27467.515777227836</v>
      </c>
      <c r="R440" s="258">
        <v>78981.857852796922</v>
      </c>
      <c r="S440" s="259">
        <v>88748.917715698699</v>
      </c>
      <c r="U440" s="7" t="s">
        <v>3721</v>
      </c>
    </row>
    <row r="441" spans="1:21" s="7" customFormat="1" ht="16.5" thickBot="1">
      <c r="A441" s="41" t="s">
        <v>31</v>
      </c>
      <c r="B441" s="42">
        <f t="shared" si="24"/>
        <v>150</v>
      </c>
      <c r="C441" s="42" t="s">
        <v>3</v>
      </c>
      <c r="D441" s="42">
        <f t="shared" si="25"/>
        <v>400</v>
      </c>
      <c r="E441" s="42" t="s">
        <v>3</v>
      </c>
      <c r="F441" s="90">
        <f t="shared" si="26"/>
        <v>1750</v>
      </c>
      <c r="G441" s="42" t="s">
        <v>3</v>
      </c>
      <c r="H441" s="39">
        <v>8</v>
      </c>
      <c r="I441" s="40" t="s">
        <v>42</v>
      </c>
      <c r="J441" s="149">
        <v>150</v>
      </c>
      <c r="K441" s="66">
        <v>400</v>
      </c>
      <c r="L441" s="66">
        <v>1750</v>
      </c>
      <c r="M441" s="164">
        <v>28.006194555501054</v>
      </c>
      <c r="N441" s="78">
        <v>1911.84</v>
      </c>
      <c r="O441" s="113">
        <v>52800.280587019442</v>
      </c>
      <c r="P441" s="111">
        <v>62822.988162536327</v>
      </c>
      <c r="Q441" s="110">
        <v>28375.457017770343</v>
      </c>
      <c r="R441" s="258">
        <v>81175.737604789785</v>
      </c>
      <c r="S441" s="259">
        <v>91198.445180306677</v>
      </c>
      <c r="U441" s="7" t="s">
        <v>3722</v>
      </c>
    </row>
    <row r="442" spans="1:21" s="7" customFormat="1" ht="16.5" thickBot="1">
      <c r="A442" s="41" t="s">
        <v>31</v>
      </c>
      <c r="B442" s="42">
        <f t="shared" si="24"/>
        <v>150</v>
      </c>
      <c r="C442" s="42" t="s">
        <v>3</v>
      </c>
      <c r="D442" s="42">
        <f t="shared" si="25"/>
        <v>400</v>
      </c>
      <c r="E442" s="42" t="s">
        <v>3</v>
      </c>
      <c r="F442" s="90">
        <f t="shared" si="26"/>
        <v>1800</v>
      </c>
      <c r="G442" s="42" t="s">
        <v>3</v>
      </c>
      <c r="H442" s="39">
        <v>8</v>
      </c>
      <c r="I442" s="40" t="s">
        <v>42</v>
      </c>
      <c r="J442" s="149">
        <v>150</v>
      </c>
      <c r="K442" s="66">
        <v>400</v>
      </c>
      <c r="L442" s="66">
        <v>1800</v>
      </c>
      <c r="M442" s="164">
        <v>28.759227974757891</v>
      </c>
      <c r="N442" s="78">
        <v>1980.12</v>
      </c>
      <c r="O442" s="113">
        <v>54086.214813664381</v>
      </c>
      <c r="P442" s="111">
        <v>64364.574233573039</v>
      </c>
      <c r="Q442" s="110">
        <v>29032.063967500315</v>
      </c>
      <c r="R442" s="258">
        <v>83118.278781164699</v>
      </c>
      <c r="S442" s="259">
        <v>93396.638201073351</v>
      </c>
      <c r="U442" s="7" t="s">
        <v>3723</v>
      </c>
    </row>
    <row r="443" spans="1:21" s="7" customFormat="1" ht="16.5" thickBot="1">
      <c r="A443" s="41" t="s">
        <v>31</v>
      </c>
      <c r="B443" s="42">
        <f t="shared" si="24"/>
        <v>150</v>
      </c>
      <c r="C443" s="42" t="s">
        <v>3</v>
      </c>
      <c r="D443" s="42">
        <f t="shared" si="25"/>
        <v>400</v>
      </c>
      <c r="E443" s="42" t="s">
        <v>3</v>
      </c>
      <c r="F443" s="90">
        <f t="shared" si="26"/>
        <v>1850</v>
      </c>
      <c r="G443" s="42" t="s">
        <v>3</v>
      </c>
      <c r="H443" s="39">
        <v>8</v>
      </c>
      <c r="I443" s="40" t="s">
        <v>42</v>
      </c>
      <c r="J443" s="149">
        <v>150</v>
      </c>
      <c r="K443" s="66">
        <v>400</v>
      </c>
      <c r="L443" s="66">
        <v>1850</v>
      </c>
      <c r="M443" s="164">
        <v>29.529301394014741</v>
      </c>
      <c r="N443" s="78">
        <v>2048.4</v>
      </c>
      <c r="O443" s="113">
        <v>55372.145214590193</v>
      </c>
      <c r="P443" s="111">
        <v>65906.160304609599</v>
      </c>
      <c r="Q443" s="110">
        <v>29940.005208042821</v>
      </c>
      <c r="R443" s="258">
        <v>85312.150422633014</v>
      </c>
      <c r="S443" s="259">
        <v>95846.165512652427</v>
      </c>
      <c r="U443" s="7" t="s">
        <v>3724</v>
      </c>
    </row>
    <row r="444" spans="1:21" s="7" customFormat="1" ht="16.5" thickBot="1">
      <c r="A444" s="41" t="s">
        <v>31</v>
      </c>
      <c r="B444" s="42">
        <f t="shared" si="24"/>
        <v>150</v>
      </c>
      <c r="C444" s="42" t="s">
        <v>3</v>
      </c>
      <c r="D444" s="42">
        <f t="shared" si="25"/>
        <v>400</v>
      </c>
      <c r="E444" s="42" t="s">
        <v>3</v>
      </c>
      <c r="F444" s="90">
        <f t="shared" si="26"/>
        <v>1900</v>
      </c>
      <c r="G444" s="42" t="s">
        <v>3</v>
      </c>
      <c r="H444" s="39">
        <v>8</v>
      </c>
      <c r="I444" s="40" t="s">
        <v>42</v>
      </c>
      <c r="J444" s="149">
        <v>150</v>
      </c>
      <c r="K444" s="66">
        <v>400</v>
      </c>
      <c r="L444" s="66">
        <v>1900</v>
      </c>
      <c r="M444" s="164">
        <v>30.282334813271579</v>
      </c>
      <c r="N444" s="78">
        <v>2116.6799999999998</v>
      </c>
      <c r="O444" s="113">
        <v>56658.071942825642</v>
      </c>
      <c r="P444" s="111">
        <v>67447.746528675227</v>
      </c>
      <c r="Q444" s="110">
        <v>30596.612157772794</v>
      </c>
      <c r="R444" s="258">
        <v>87254.684100598432</v>
      </c>
      <c r="S444" s="259">
        <v>98044.358686448017</v>
      </c>
      <c r="U444" s="7" t="s">
        <v>3725</v>
      </c>
    </row>
    <row r="445" spans="1:21" s="7" customFormat="1" ht="16.5" thickBot="1">
      <c r="A445" s="41" t="s">
        <v>31</v>
      </c>
      <c r="B445" s="42">
        <f t="shared" si="24"/>
        <v>150</v>
      </c>
      <c r="C445" s="42" t="s">
        <v>3</v>
      </c>
      <c r="D445" s="42">
        <f t="shared" si="25"/>
        <v>400</v>
      </c>
      <c r="E445" s="42" t="s">
        <v>3</v>
      </c>
      <c r="F445" s="90">
        <f t="shared" si="26"/>
        <v>1950</v>
      </c>
      <c r="G445" s="42" t="s">
        <v>3</v>
      </c>
      <c r="H445" s="39">
        <v>8</v>
      </c>
      <c r="I445" s="40" t="s">
        <v>42</v>
      </c>
      <c r="J445" s="149">
        <v>150</v>
      </c>
      <c r="K445" s="66">
        <v>400</v>
      </c>
      <c r="L445" s="66">
        <v>1950</v>
      </c>
      <c r="M445" s="164">
        <v>31.192368232528427</v>
      </c>
      <c r="N445" s="78">
        <v>2184.96</v>
      </c>
      <c r="O445" s="113">
        <v>58112.309041700231</v>
      </c>
      <c r="P445" s="111">
        <v>69158.09991424375</v>
      </c>
      <c r="Q445" s="110">
        <v>31253.219260531532</v>
      </c>
      <c r="R445" s="258">
        <v>89365.52830223176</v>
      </c>
      <c r="S445" s="259">
        <v>100411.31917477529</v>
      </c>
      <c r="U445" s="7" t="s">
        <v>3726</v>
      </c>
    </row>
    <row r="446" spans="1:21" s="7" customFormat="1" ht="16.5" thickBot="1">
      <c r="A446" s="41" t="s">
        <v>31</v>
      </c>
      <c r="B446" s="42">
        <f t="shared" si="24"/>
        <v>150</v>
      </c>
      <c r="C446" s="42" t="s">
        <v>3</v>
      </c>
      <c r="D446" s="42">
        <f t="shared" si="25"/>
        <v>400</v>
      </c>
      <c r="E446" s="42" t="s">
        <v>3</v>
      </c>
      <c r="F446" s="90">
        <f t="shared" si="26"/>
        <v>2000</v>
      </c>
      <c r="G446" s="42" t="s">
        <v>3</v>
      </c>
      <c r="H446" s="39">
        <v>8</v>
      </c>
      <c r="I446" s="40" t="s">
        <v>42</v>
      </c>
      <c r="J446" s="149">
        <v>150</v>
      </c>
      <c r="K446" s="66">
        <v>400</v>
      </c>
      <c r="L446" s="66">
        <v>2000</v>
      </c>
      <c r="M446" s="164">
        <v>32.05400405178527</v>
      </c>
      <c r="N446" s="78">
        <v>2253.2399999999998</v>
      </c>
      <c r="O446" s="113">
        <v>59648.426935872732</v>
      </c>
      <c r="P446" s="111">
        <v>71178.407860594933</v>
      </c>
      <c r="Q446" s="110">
        <v>32161.160348045276</v>
      </c>
      <c r="R446" s="258">
        <v>91809.587283918008</v>
      </c>
      <c r="S446" s="259">
        <v>103339.56820864021</v>
      </c>
      <c r="U446" s="7" t="s">
        <v>3727</v>
      </c>
    </row>
    <row r="447" spans="1:21" s="7" customFormat="1" ht="16.5" thickBot="1">
      <c r="A447" s="41" t="s">
        <v>31</v>
      </c>
      <c r="B447" s="42">
        <f t="shared" si="24"/>
        <v>150</v>
      </c>
      <c r="C447" s="42" t="s">
        <v>3</v>
      </c>
      <c r="D447" s="42">
        <f t="shared" si="25"/>
        <v>400</v>
      </c>
      <c r="E447" s="42" t="s">
        <v>3</v>
      </c>
      <c r="F447" s="90">
        <f t="shared" si="26"/>
        <v>2050</v>
      </c>
      <c r="G447" s="42" t="s">
        <v>3</v>
      </c>
      <c r="H447" s="39">
        <v>8</v>
      </c>
      <c r="I447" s="40" t="s">
        <v>42</v>
      </c>
      <c r="J447" s="149">
        <v>150</v>
      </c>
      <c r="K447" s="66">
        <v>400</v>
      </c>
      <c r="L447" s="66">
        <v>2050</v>
      </c>
      <c r="M447" s="164">
        <v>32.807037471042108</v>
      </c>
      <c r="N447" s="78">
        <v>2321.52</v>
      </c>
      <c r="O447" s="113">
        <v>60934.349073245226</v>
      </c>
      <c r="P447" s="111">
        <v>72719.993931631645</v>
      </c>
      <c r="Q447" s="110">
        <v>32817.767450804015</v>
      </c>
      <c r="R447" s="258">
        <v>93752.116524049241</v>
      </c>
      <c r="S447" s="259">
        <v>105537.76138243565</v>
      </c>
      <c r="U447" s="7" t="s">
        <v>3728</v>
      </c>
    </row>
    <row r="448" spans="1:21" s="7" customFormat="1" ht="16.5" thickBot="1">
      <c r="A448" s="38" t="s">
        <v>31</v>
      </c>
      <c r="B448" s="39">
        <f t="shared" si="24"/>
        <v>150</v>
      </c>
      <c r="C448" s="39" t="s">
        <v>3</v>
      </c>
      <c r="D448" s="39">
        <f t="shared" si="25"/>
        <v>400</v>
      </c>
      <c r="E448" s="39" t="s">
        <v>3</v>
      </c>
      <c r="F448" s="90">
        <f t="shared" si="26"/>
        <v>2100</v>
      </c>
      <c r="G448" s="39" t="s">
        <v>3</v>
      </c>
      <c r="H448" s="39">
        <v>8</v>
      </c>
      <c r="I448" s="40" t="s">
        <v>42</v>
      </c>
      <c r="J448" s="149">
        <v>150</v>
      </c>
      <c r="K448" s="66">
        <v>400</v>
      </c>
      <c r="L448" s="66">
        <v>2100</v>
      </c>
      <c r="M448" s="164">
        <v>33.577110890298947</v>
      </c>
      <c r="N448" s="78">
        <v>2389.7999999999997</v>
      </c>
      <c r="O448" s="113">
        <v>62220.268303071185</v>
      </c>
      <c r="P448" s="111">
        <v>74261.580155697127</v>
      </c>
      <c r="Q448" s="110">
        <v>33725.708538317755</v>
      </c>
      <c r="R448" s="258">
        <v>95945.97684138894</v>
      </c>
      <c r="S448" s="259">
        <v>107987.28869401489</v>
      </c>
      <c r="U448" s="7" t="s">
        <v>3729</v>
      </c>
    </row>
    <row r="449" spans="1:21" s="7" customFormat="1" ht="16.5" thickBot="1">
      <c r="A449" s="41" t="s">
        <v>31</v>
      </c>
      <c r="B449" s="42">
        <f t="shared" si="24"/>
        <v>150</v>
      </c>
      <c r="C449" s="42" t="s">
        <v>3</v>
      </c>
      <c r="D449" s="42">
        <f t="shared" si="25"/>
        <v>400</v>
      </c>
      <c r="E449" s="42" t="s">
        <v>3</v>
      </c>
      <c r="F449" s="90">
        <f t="shared" si="26"/>
        <v>2150</v>
      </c>
      <c r="G449" s="42" t="s">
        <v>3</v>
      </c>
      <c r="H449" s="39">
        <v>8</v>
      </c>
      <c r="I449" s="40" t="s">
        <v>42</v>
      </c>
      <c r="J449" s="149">
        <v>150</v>
      </c>
      <c r="K449" s="66">
        <v>400</v>
      </c>
      <c r="L449" s="66">
        <v>2150</v>
      </c>
      <c r="M449" s="164">
        <v>34.330144309555791</v>
      </c>
      <c r="N449" s="78">
        <v>2458.08</v>
      </c>
      <c r="O449" s="113">
        <v>63506.184625350601</v>
      </c>
      <c r="P449" s="111">
        <v>75803.16622673384</v>
      </c>
      <c r="Q449" s="110">
        <v>34382.315641076493</v>
      </c>
      <c r="R449" s="258">
        <v>97888.500266427087</v>
      </c>
      <c r="S449" s="259">
        <v>110185.48186781033</v>
      </c>
      <c r="U449" s="7" t="s">
        <v>3730</v>
      </c>
    </row>
    <row r="450" spans="1:21" s="7" customFormat="1" ht="16.5" thickBot="1">
      <c r="A450" s="41" t="s">
        <v>31</v>
      </c>
      <c r="B450" s="42">
        <f t="shared" si="24"/>
        <v>150</v>
      </c>
      <c r="C450" s="42" t="s">
        <v>3</v>
      </c>
      <c r="D450" s="42">
        <f t="shared" si="25"/>
        <v>400</v>
      </c>
      <c r="E450" s="42" t="s">
        <v>3</v>
      </c>
      <c r="F450" s="90">
        <f t="shared" si="26"/>
        <v>2200</v>
      </c>
      <c r="G450" s="42" t="s">
        <v>3</v>
      </c>
      <c r="H450" s="39">
        <v>8</v>
      </c>
      <c r="I450" s="40" t="s">
        <v>42</v>
      </c>
      <c r="J450" s="149">
        <v>150</v>
      </c>
      <c r="K450" s="66">
        <v>400</v>
      </c>
      <c r="L450" s="66">
        <v>2200</v>
      </c>
      <c r="M450" s="164">
        <v>35.10021772881263</v>
      </c>
      <c r="N450" s="78">
        <v>2526.36</v>
      </c>
      <c r="O450" s="113">
        <v>64792.098346141014</v>
      </c>
      <c r="P450" s="111">
        <v>77344.752297770538</v>
      </c>
      <c r="Q450" s="110">
        <v>35290.256728590233</v>
      </c>
      <c r="R450" s="258">
        <v>100082.35507473125</v>
      </c>
      <c r="S450" s="259">
        <v>112635.00902636077</v>
      </c>
      <c r="U450" s="7" t="s">
        <v>3731</v>
      </c>
    </row>
    <row r="451" spans="1:21" s="7" customFormat="1" ht="16.5" thickBot="1">
      <c r="A451" s="41" t="s">
        <v>31</v>
      </c>
      <c r="B451" s="42">
        <f t="shared" si="24"/>
        <v>150</v>
      </c>
      <c r="C451" s="42" t="s">
        <v>3</v>
      </c>
      <c r="D451" s="42">
        <f t="shared" si="25"/>
        <v>400</v>
      </c>
      <c r="E451" s="42" t="s">
        <v>3</v>
      </c>
      <c r="F451" s="90">
        <f t="shared" si="26"/>
        <v>2250</v>
      </c>
      <c r="G451" s="42" t="s">
        <v>3</v>
      </c>
      <c r="H451" s="39">
        <v>8</v>
      </c>
      <c r="I451" s="40" t="s">
        <v>42</v>
      </c>
      <c r="J451" s="149">
        <v>150</v>
      </c>
      <c r="K451" s="66">
        <v>400</v>
      </c>
      <c r="L451" s="66">
        <v>2250</v>
      </c>
      <c r="M451" s="164">
        <v>35.853251148069468</v>
      </c>
      <c r="N451" s="78">
        <v>2594.64</v>
      </c>
      <c r="O451" s="113">
        <v>66078.009618471173</v>
      </c>
      <c r="P451" s="111">
        <v>78886.33852183602</v>
      </c>
      <c r="Q451" s="110">
        <v>35946.863831348819</v>
      </c>
      <c r="R451" s="258">
        <v>102024.87344981999</v>
      </c>
      <c r="S451" s="259">
        <v>114833.20235318484</v>
      </c>
      <c r="U451" s="7" t="s">
        <v>3732</v>
      </c>
    </row>
    <row r="452" spans="1:21" s="7" customFormat="1" ht="16.5" thickBot="1">
      <c r="A452" s="41" t="s">
        <v>31</v>
      </c>
      <c r="B452" s="42">
        <f t="shared" si="24"/>
        <v>150</v>
      </c>
      <c r="C452" s="42" t="s">
        <v>3</v>
      </c>
      <c r="D452" s="42">
        <f t="shared" si="25"/>
        <v>400</v>
      </c>
      <c r="E452" s="42" t="s">
        <v>3</v>
      </c>
      <c r="F452" s="90">
        <f t="shared" si="26"/>
        <v>2300</v>
      </c>
      <c r="G452" s="42" t="s">
        <v>3</v>
      </c>
      <c r="H452" s="39">
        <v>8</v>
      </c>
      <c r="I452" s="40" t="s">
        <v>42</v>
      </c>
      <c r="J452" s="149">
        <v>150</v>
      </c>
      <c r="K452" s="66">
        <v>400</v>
      </c>
      <c r="L452" s="66">
        <v>2300</v>
      </c>
      <c r="M452" s="164">
        <v>36.60628456732632</v>
      </c>
      <c r="N452" s="78">
        <v>2662.9199999999996</v>
      </c>
      <c r="O452" s="113">
        <v>67363.918442341106</v>
      </c>
      <c r="P452" s="111">
        <v>80427.924592872718</v>
      </c>
      <c r="Q452" s="110">
        <v>36603.470781078948</v>
      </c>
      <c r="R452" s="258">
        <v>103967.38922342006</v>
      </c>
      <c r="S452" s="259">
        <v>117031.39537395167</v>
      </c>
      <c r="U452" s="7" t="s">
        <v>3733</v>
      </c>
    </row>
    <row r="453" spans="1:21" s="7" customFormat="1" ht="16.5" thickBot="1">
      <c r="A453" s="41" t="s">
        <v>31</v>
      </c>
      <c r="B453" s="42">
        <f t="shared" si="24"/>
        <v>150</v>
      </c>
      <c r="C453" s="42" t="s">
        <v>3</v>
      </c>
      <c r="D453" s="42">
        <f t="shared" si="25"/>
        <v>400</v>
      </c>
      <c r="E453" s="42" t="s">
        <v>3</v>
      </c>
      <c r="F453" s="90">
        <f t="shared" si="26"/>
        <v>2350</v>
      </c>
      <c r="G453" s="42" t="s">
        <v>3</v>
      </c>
      <c r="H453" s="39">
        <v>8</v>
      </c>
      <c r="I453" s="40" t="s">
        <v>42</v>
      </c>
      <c r="J453" s="149">
        <v>150</v>
      </c>
      <c r="K453" s="66">
        <v>400</v>
      </c>
      <c r="L453" s="66">
        <v>2350</v>
      </c>
      <c r="M453" s="164">
        <v>37.376357986583159</v>
      </c>
      <c r="N453" s="78">
        <v>2731.2</v>
      </c>
      <c r="O453" s="113">
        <v>68649.824970779548</v>
      </c>
      <c r="P453" s="111">
        <v>81969.51066390943</v>
      </c>
      <c r="Q453" s="110">
        <v>37511.412021621458</v>
      </c>
      <c r="R453" s="258">
        <v>106161.23699240101</v>
      </c>
      <c r="S453" s="259">
        <v>119480.92268553088</v>
      </c>
      <c r="U453" s="7" t="s">
        <v>3734</v>
      </c>
    </row>
    <row r="454" spans="1:21" s="7" customFormat="1" ht="16.5" thickBot="1">
      <c r="A454" s="41" t="s">
        <v>31</v>
      </c>
      <c r="B454" s="42">
        <f t="shared" si="24"/>
        <v>150</v>
      </c>
      <c r="C454" s="42" t="s">
        <v>3</v>
      </c>
      <c r="D454" s="42">
        <f t="shared" si="25"/>
        <v>400</v>
      </c>
      <c r="E454" s="42" t="s">
        <v>3</v>
      </c>
      <c r="F454" s="90">
        <f t="shared" si="26"/>
        <v>2400</v>
      </c>
      <c r="G454" s="42" t="s">
        <v>3</v>
      </c>
      <c r="H454" s="39">
        <v>8</v>
      </c>
      <c r="I454" s="40" t="s">
        <v>42</v>
      </c>
      <c r="J454" s="149">
        <v>150</v>
      </c>
      <c r="K454" s="66">
        <v>400</v>
      </c>
      <c r="L454" s="66">
        <v>2400</v>
      </c>
      <c r="M454" s="164">
        <v>38.129391405839996</v>
      </c>
      <c r="N454" s="78">
        <v>2799.48</v>
      </c>
      <c r="O454" s="113">
        <v>69935.729509844066</v>
      </c>
      <c r="P454" s="111">
        <v>83511.096887974913</v>
      </c>
      <c r="Q454" s="110">
        <v>38168.019124380196</v>
      </c>
      <c r="R454" s="258">
        <v>108103.74863422426</v>
      </c>
      <c r="S454" s="259">
        <v>121679.11601235511</v>
      </c>
      <c r="U454" s="7" t="s">
        <v>3735</v>
      </c>
    </row>
    <row r="455" spans="1:21" s="7" customFormat="1" ht="16.5" thickBot="1">
      <c r="A455" s="41" t="s">
        <v>31</v>
      </c>
      <c r="B455" s="42">
        <f t="shared" si="24"/>
        <v>150</v>
      </c>
      <c r="C455" s="42" t="s">
        <v>3</v>
      </c>
      <c r="D455" s="42">
        <f t="shared" si="25"/>
        <v>400</v>
      </c>
      <c r="E455" s="42" t="s">
        <v>3</v>
      </c>
      <c r="F455" s="90">
        <f t="shared" si="26"/>
        <v>2450</v>
      </c>
      <c r="G455" s="42" t="s">
        <v>3</v>
      </c>
      <c r="H455" s="39">
        <v>8</v>
      </c>
      <c r="I455" s="40" t="s">
        <v>42</v>
      </c>
      <c r="J455" s="149">
        <v>150</v>
      </c>
      <c r="K455" s="66">
        <v>400</v>
      </c>
      <c r="L455" s="66">
        <v>2450</v>
      </c>
      <c r="M455" s="164">
        <v>39.126745017396843</v>
      </c>
      <c r="N455" s="78">
        <v>2867.76</v>
      </c>
      <c r="O455" s="113">
        <v>72142.957195874958</v>
      </c>
      <c r="P455" s="111">
        <v>85951.014146133035</v>
      </c>
      <c r="Q455" s="110">
        <v>39075.960211893937</v>
      </c>
      <c r="R455" s="258">
        <v>111218.91740776889</v>
      </c>
      <c r="S455" s="259">
        <v>125026.97435802697</v>
      </c>
      <c r="U455" s="7" t="s">
        <v>3736</v>
      </c>
    </row>
    <row r="456" spans="1:21" s="7" customFormat="1" ht="16.5" thickBot="1">
      <c r="A456" s="41" t="s">
        <v>31</v>
      </c>
      <c r="B456" s="42">
        <f t="shared" si="24"/>
        <v>150</v>
      </c>
      <c r="C456" s="42" t="s">
        <v>3</v>
      </c>
      <c r="D456" s="42">
        <f t="shared" si="25"/>
        <v>400</v>
      </c>
      <c r="E456" s="42" t="s">
        <v>3</v>
      </c>
      <c r="F456" s="90">
        <f t="shared" si="26"/>
        <v>2500</v>
      </c>
      <c r="G456" s="42" t="s">
        <v>3</v>
      </c>
      <c r="H456" s="39">
        <v>8</v>
      </c>
      <c r="I456" s="40" t="s">
        <v>42</v>
      </c>
      <c r="J456" s="149">
        <v>150</v>
      </c>
      <c r="K456" s="66">
        <v>400</v>
      </c>
      <c r="L456" s="66">
        <v>2500</v>
      </c>
      <c r="M456" s="164">
        <v>39.87977843665368</v>
      </c>
      <c r="N456" s="78">
        <v>2936.0399999999995</v>
      </c>
      <c r="O456" s="113">
        <v>73428.866172773647</v>
      </c>
      <c r="P456" s="111">
        <v>87492.600217169747</v>
      </c>
      <c r="Q456" s="110">
        <v>39732.567314652675</v>
      </c>
      <c r="R456" s="258">
        <v>113161.43348742631</v>
      </c>
      <c r="S456" s="259">
        <v>127225.16753182243</v>
      </c>
      <c r="U456" s="7" t="s">
        <v>3737</v>
      </c>
    </row>
    <row r="457" spans="1:21" s="7" customFormat="1" ht="16.5" thickBot="1">
      <c r="A457" s="41" t="s">
        <v>31</v>
      </c>
      <c r="B457" s="42">
        <f t="shared" si="24"/>
        <v>150</v>
      </c>
      <c r="C457" s="42" t="s">
        <v>3</v>
      </c>
      <c r="D457" s="42">
        <f t="shared" si="25"/>
        <v>400</v>
      </c>
      <c r="E457" s="42" t="s">
        <v>3</v>
      </c>
      <c r="F457" s="90">
        <f t="shared" si="26"/>
        <v>2550</v>
      </c>
      <c r="G457" s="42" t="s">
        <v>3</v>
      </c>
      <c r="H457" s="39">
        <v>8</v>
      </c>
      <c r="I457" s="40" t="s">
        <v>42</v>
      </c>
      <c r="J457" s="149">
        <v>150</v>
      </c>
      <c r="K457" s="66">
        <v>400</v>
      </c>
      <c r="L457" s="66">
        <v>2550</v>
      </c>
      <c r="M457" s="164">
        <v>40.649851855910526</v>
      </c>
      <c r="N457" s="78">
        <v>3004.3199999999997</v>
      </c>
      <c r="O457" s="113">
        <v>74714.773160298399</v>
      </c>
      <c r="P457" s="111">
        <v>89034.186441235215</v>
      </c>
      <c r="Q457" s="110">
        <v>40640.508402166415</v>
      </c>
      <c r="R457" s="258">
        <v>115355.28156246481</v>
      </c>
      <c r="S457" s="259">
        <v>129674.69484340164</v>
      </c>
      <c r="U457" s="7" t="s">
        <v>3738</v>
      </c>
    </row>
    <row r="458" spans="1:21" s="7" customFormat="1" ht="16.5" thickBot="1">
      <c r="A458" s="38" t="s">
        <v>31</v>
      </c>
      <c r="B458" s="39">
        <f t="shared" si="24"/>
        <v>150</v>
      </c>
      <c r="C458" s="39" t="s">
        <v>3</v>
      </c>
      <c r="D458" s="39">
        <f t="shared" si="25"/>
        <v>400</v>
      </c>
      <c r="E458" s="39" t="s">
        <v>3</v>
      </c>
      <c r="F458" s="90">
        <f t="shared" si="26"/>
        <v>2600</v>
      </c>
      <c r="G458" s="39" t="s">
        <v>3</v>
      </c>
      <c r="H458" s="39">
        <v>8</v>
      </c>
      <c r="I458" s="40" t="s">
        <v>42</v>
      </c>
      <c r="J458" s="149">
        <v>150</v>
      </c>
      <c r="K458" s="66">
        <v>400</v>
      </c>
      <c r="L458" s="66">
        <v>2600</v>
      </c>
      <c r="M458" s="164">
        <v>41.402885275167378</v>
      </c>
      <c r="N458" s="78">
        <v>3072.6</v>
      </c>
      <c r="O458" s="113">
        <v>76000.678158449184</v>
      </c>
      <c r="P458" s="111">
        <v>90575.772512271942</v>
      </c>
      <c r="Q458" s="110">
        <v>41297.115504925154</v>
      </c>
      <c r="R458" s="258">
        <v>117297.79366337434</v>
      </c>
      <c r="S458" s="259">
        <v>131872.88801719708</v>
      </c>
      <c r="U458" s="7" t="s">
        <v>3739</v>
      </c>
    </row>
    <row r="459" spans="1:21" s="7" customFormat="1" ht="16.5" thickBot="1">
      <c r="A459" s="41" t="s">
        <v>31</v>
      </c>
      <c r="B459" s="42">
        <f t="shared" si="24"/>
        <v>150</v>
      </c>
      <c r="C459" s="42" t="s">
        <v>3</v>
      </c>
      <c r="D459" s="42">
        <f t="shared" si="25"/>
        <v>400</v>
      </c>
      <c r="E459" s="42" t="s">
        <v>3</v>
      </c>
      <c r="F459" s="90">
        <f t="shared" si="26"/>
        <v>2650</v>
      </c>
      <c r="G459" s="42" t="s">
        <v>3</v>
      </c>
      <c r="H459" s="39">
        <v>8</v>
      </c>
      <c r="I459" s="40" t="s">
        <v>42</v>
      </c>
      <c r="J459" s="149">
        <v>150</v>
      </c>
      <c r="K459" s="66">
        <v>400</v>
      </c>
      <c r="L459" s="66">
        <v>2650</v>
      </c>
      <c r="M459" s="164">
        <v>42.172958694424217</v>
      </c>
      <c r="N459" s="78">
        <v>3140.88</v>
      </c>
      <c r="O459" s="113">
        <v>77286.581320254816</v>
      </c>
      <c r="P459" s="111">
        <v>92117.35858330864</v>
      </c>
      <c r="Q459" s="110">
        <v>42205.056592438901</v>
      </c>
      <c r="R459" s="258">
        <v>119491.63791269372</v>
      </c>
      <c r="S459" s="259">
        <v>134322.41517574753</v>
      </c>
      <c r="U459" s="7" t="s">
        <v>3740</v>
      </c>
    </row>
    <row r="460" spans="1:21" s="65" customFormat="1" ht="16.5" thickBot="1">
      <c r="A460" s="41" t="s">
        <v>31</v>
      </c>
      <c r="B460" s="42">
        <f t="shared" si="24"/>
        <v>150</v>
      </c>
      <c r="C460" s="42" t="s">
        <v>3</v>
      </c>
      <c r="D460" s="42">
        <f t="shared" si="25"/>
        <v>400</v>
      </c>
      <c r="E460" s="42" t="s">
        <v>3</v>
      </c>
      <c r="F460" s="90">
        <f t="shared" si="26"/>
        <v>2700</v>
      </c>
      <c r="G460" s="42" t="s">
        <v>3</v>
      </c>
      <c r="H460" s="39">
        <v>8</v>
      </c>
      <c r="I460" s="40" t="s">
        <v>42</v>
      </c>
      <c r="J460" s="149">
        <v>150</v>
      </c>
      <c r="K460" s="66">
        <v>400</v>
      </c>
      <c r="L460" s="66">
        <v>2700</v>
      </c>
      <c r="M460" s="164">
        <v>43.082992113681058</v>
      </c>
      <c r="N460" s="78">
        <v>3209.1600000000003</v>
      </c>
      <c r="O460" s="113">
        <v>78740.786436117487</v>
      </c>
      <c r="P460" s="111">
        <v>93827.712121905919</v>
      </c>
      <c r="Q460" s="110">
        <v>42861.66369519764</v>
      </c>
      <c r="R460" s="258">
        <v>121602.45013131513</v>
      </c>
      <c r="S460" s="259">
        <v>136689.37581710354</v>
      </c>
      <c r="U460" s="7" t="s">
        <v>3741</v>
      </c>
    </row>
    <row r="461" spans="1:21" s="65" customFormat="1" ht="16.5" thickBot="1">
      <c r="A461" s="41" t="s">
        <v>31</v>
      </c>
      <c r="B461" s="42">
        <f t="shared" si="24"/>
        <v>150</v>
      </c>
      <c r="C461" s="42" t="s">
        <v>3</v>
      </c>
      <c r="D461" s="42">
        <f t="shared" si="25"/>
        <v>400</v>
      </c>
      <c r="E461" s="42" t="s">
        <v>3</v>
      </c>
      <c r="F461" s="90">
        <f t="shared" si="26"/>
        <v>2750</v>
      </c>
      <c r="G461" s="42" t="s">
        <v>3</v>
      </c>
      <c r="H461" s="39">
        <v>8</v>
      </c>
      <c r="I461" s="40" t="s">
        <v>42</v>
      </c>
      <c r="J461" s="149">
        <v>150</v>
      </c>
      <c r="K461" s="66">
        <v>400</v>
      </c>
      <c r="L461" s="66">
        <v>2750</v>
      </c>
      <c r="M461" s="164">
        <v>43.836025532937903</v>
      </c>
      <c r="N461" s="78">
        <v>3277.4399999999996</v>
      </c>
      <c r="O461" s="113">
        <v>80026.68531311769</v>
      </c>
      <c r="P461" s="111">
        <v>95369.298192942646</v>
      </c>
      <c r="Q461" s="110">
        <v>43518.270644927608</v>
      </c>
      <c r="R461" s="258">
        <v>123544.95595804529</v>
      </c>
      <c r="S461" s="259">
        <v>138887.56883787026</v>
      </c>
      <c r="U461" s="7" t="s">
        <v>3742</v>
      </c>
    </row>
    <row r="462" spans="1:21" s="65" customFormat="1" ht="16.5" thickBot="1">
      <c r="A462" s="41" t="s">
        <v>31</v>
      </c>
      <c r="B462" s="42">
        <f t="shared" si="24"/>
        <v>150</v>
      </c>
      <c r="C462" s="42" t="s">
        <v>3</v>
      </c>
      <c r="D462" s="42">
        <f t="shared" si="25"/>
        <v>400</v>
      </c>
      <c r="E462" s="42" t="s">
        <v>3</v>
      </c>
      <c r="F462" s="90">
        <f t="shared" si="26"/>
        <v>2800</v>
      </c>
      <c r="G462" s="42" t="s">
        <v>3</v>
      </c>
      <c r="H462" s="39">
        <v>8</v>
      </c>
      <c r="I462" s="40" t="s">
        <v>42</v>
      </c>
      <c r="J462" s="149">
        <v>150</v>
      </c>
      <c r="K462" s="66">
        <v>400</v>
      </c>
      <c r="L462" s="66">
        <v>2800</v>
      </c>
      <c r="M462" s="164">
        <v>44.606098952194742</v>
      </c>
      <c r="N462" s="78">
        <v>3345.72</v>
      </c>
      <c r="O462" s="113">
        <v>81312.582659830237</v>
      </c>
      <c r="P462" s="111">
        <v>96910.884263979344</v>
      </c>
      <c r="Q462" s="110">
        <v>44426.211885470118</v>
      </c>
      <c r="R462" s="258">
        <v>125738.79454530036</v>
      </c>
      <c r="S462" s="259">
        <v>141337.09614944947</v>
      </c>
      <c r="U462" s="7" t="s">
        <v>3743</v>
      </c>
    </row>
    <row r="463" spans="1:21" s="65" customFormat="1" ht="16.5" thickBot="1">
      <c r="A463" s="41" t="s">
        <v>31</v>
      </c>
      <c r="B463" s="42">
        <f t="shared" si="24"/>
        <v>150</v>
      </c>
      <c r="C463" s="42" t="s">
        <v>3</v>
      </c>
      <c r="D463" s="42">
        <f t="shared" si="25"/>
        <v>400</v>
      </c>
      <c r="E463" s="42" t="s">
        <v>3</v>
      </c>
      <c r="F463" s="90">
        <f t="shared" si="26"/>
        <v>2850</v>
      </c>
      <c r="G463" s="42" t="s">
        <v>3</v>
      </c>
      <c r="H463" s="39">
        <v>8</v>
      </c>
      <c r="I463" s="40" t="s">
        <v>42</v>
      </c>
      <c r="J463" s="149">
        <v>150</v>
      </c>
      <c r="K463" s="66">
        <v>400</v>
      </c>
      <c r="L463" s="66">
        <v>2850</v>
      </c>
      <c r="M463" s="164">
        <v>45.35913237145158</v>
      </c>
      <c r="N463" s="78">
        <v>3414</v>
      </c>
      <c r="O463" s="113">
        <v>82598.478476255113</v>
      </c>
      <c r="P463" s="111">
        <v>98452.470488044826</v>
      </c>
      <c r="Q463" s="110">
        <v>45082.818835200087</v>
      </c>
      <c r="R463" s="258">
        <v>127681.2973114552</v>
      </c>
      <c r="S463" s="259">
        <v>143535.28932324491</v>
      </c>
      <c r="U463" s="7" t="s">
        <v>3744</v>
      </c>
    </row>
    <row r="464" spans="1:21" s="65" customFormat="1" ht="16.5" thickBot="1">
      <c r="A464" s="41" t="s">
        <v>31</v>
      </c>
      <c r="B464" s="42">
        <f t="shared" si="24"/>
        <v>150</v>
      </c>
      <c r="C464" s="42" t="s">
        <v>3</v>
      </c>
      <c r="D464" s="42">
        <f t="shared" si="25"/>
        <v>400</v>
      </c>
      <c r="E464" s="42" t="s">
        <v>3</v>
      </c>
      <c r="F464" s="90">
        <f t="shared" si="26"/>
        <v>2900</v>
      </c>
      <c r="G464" s="42" t="s">
        <v>3</v>
      </c>
      <c r="H464" s="39">
        <v>8</v>
      </c>
      <c r="I464" s="40" t="s">
        <v>42</v>
      </c>
      <c r="J464" s="149">
        <v>150</v>
      </c>
      <c r="K464" s="66">
        <v>400</v>
      </c>
      <c r="L464" s="66">
        <v>2900</v>
      </c>
      <c r="M464" s="164">
        <v>46.129205790708419</v>
      </c>
      <c r="N464" s="78">
        <v>3482.28</v>
      </c>
      <c r="O464" s="113">
        <v>83884.372762392362</v>
      </c>
      <c r="P464" s="111">
        <v>99994.056559081539</v>
      </c>
      <c r="Q464" s="110">
        <v>45990.760075742597</v>
      </c>
      <c r="R464" s="258">
        <v>129875.13283813496</v>
      </c>
      <c r="S464" s="259">
        <v>145984.81663482415</v>
      </c>
      <c r="U464" s="7" t="s">
        <v>3745</v>
      </c>
    </row>
    <row r="465" spans="1:21" s="65" customFormat="1" ht="16.5" thickBot="1">
      <c r="A465" s="41" t="s">
        <v>31</v>
      </c>
      <c r="B465" s="42">
        <f t="shared" si="24"/>
        <v>150</v>
      </c>
      <c r="C465" s="42" t="s">
        <v>3</v>
      </c>
      <c r="D465" s="42">
        <f t="shared" si="25"/>
        <v>400</v>
      </c>
      <c r="E465" s="42" t="s">
        <v>3</v>
      </c>
      <c r="F465" s="200">
        <f t="shared" si="26"/>
        <v>2950</v>
      </c>
      <c r="G465" s="42" t="s">
        <v>3</v>
      </c>
      <c r="H465" s="42">
        <v>8</v>
      </c>
      <c r="I465" s="201" t="s">
        <v>42</v>
      </c>
      <c r="J465" s="149">
        <v>150</v>
      </c>
      <c r="K465" s="66">
        <v>400</v>
      </c>
      <c r="L465" s="66">
        <v>2950</v>
      </c>
      <c r="M465" s="164">
        <v>46.882239209965263</v>
      </c>
      <c r="N465" s="78">
        <v>3550.56</v>
      </c>
      <c r="O465" s="113">
        <v>85170.26582429948</v>
      </c>
      <c r="P465" s="111">
        <v>101535.64263011825</v>
      </c>
      <c r="Q465" s="110">
        <v>46647.367025472573</v>
      </c>
      <c r="R465" s="258">
        <v>131817.63284977205</v>
      </c>
      <c r="S465" s="259">
        <v>148183.00965559081</v>
      </c>
      <c r="U465" s="7" t="s">
        <v>3746</v>
      </c>
    </row>
    <row r="466" spans="1:21" s="65" customFormat="1" ht="16.5" thickBot="1">
      <c r="A466" s="38" t="s">
        <v>31</v>
      </c>
      <c r="B466" s="39">
        <f t="shared" si="24"/>
        <v>150</v>
      </c>
      <c r="C466" s="39" t="s">
        <v>3</v>
      </c>
      <c r="D466" s="39">
        <f t="shared" si="25"/>
        <v>400</v>
      </c>
      <c r="E466" s="39" t="s">
        <v>3</v>
      </c>
      <c r="F466" s="90">
        <f t="shared" si="26"/>
        <v>3000</v>
      </c>
      <c r="G466" s="39" t="s">
        <v>3</v>
      </c>
      <c r="H466" s="39">
        <v>8</v>
      </c>
      <c r="I466" s="40" t="s">
        <v>42</v>
      </c>
      <c r="J466" s="151">
        <v>150</v>
      </c>
      <c r="K466" s="126">
        <v>400</v>
      </c>
      <c r="L466" s="126">
        <v>3000</v>
      </c>
      <c r="M466" s="171">
        <v>47.652312629222109</v>
      </c>
      <c r="N466" s="127">
        <v>3618.8399999999997</v>
      </c>
      <c r="O466" s="128">
        <v>87767.746089893262</v>
      </c>
      <c r="P466" s="135">
        <v>103077.22870115495</v>
      </c>
      <c r="Q466" s="136">
        <v>47555.308266015076</v>
      </c>
      <c r="R466" s="260">
        <v>135323.05435590833</v>
      </c>
      <c r="S466" s="261">
        <v>150632.53696717002</v>
      </c>
      <c r="U466" s="7" t="s">
        <v>3747</v>
      </c>
    </row>
    <row r="467" spans="1:21">
      <c r="M467" s="84"/>
      <c r="P467" s="84"/>
      <c r="R467" s="84"/>
      <c r="S467" s="84"/>
    </row>
    <row r="468" spans="1:21">
      <c r="M468" s="84"/>
      <c r="P468" s="84"/>
      <c r="R468" s="84"/>
      <c r="S468" s="84"/>
    </row>
    <row r="469" spans="1:21">
      <c r="M469" s="84"/>
      <c r="P469" s="84"/>
      <c r="R469" s="84"/>
      <c r="S469" s="84"/>
    </row>
    <row r="470" spans="1:21">
      <c r="M470" s="84"/>
      <c r="P470" s="84"/>
      <c r="R470" s="84"/>
      <c r="S470" s="84"/>
    </row>
    <row r="471" spans="1:21">
      <c r="M471" s="84"/>
      <c r="P471" s="84"/>
      <c r="R471" s="84"/>
      <c r="S471" s="84"/>
    </row>
    <row r="472" spans="1:21">
      <c r="M472" s="84"/>
      <c r="P472" s="84"/>
      <c r="R472" s="84"/>
      <c r="S472" s="84"/>
    </row>
    <row r="473" spans="1:21">
      <c r="M473" s="84"/>
      <c r="P473" s="84"/>
      <c r="R473" s="84"/>
      <c r="S473" s="84"/>
    </row>
    <row r="474" spans="1:21">
      <c r="M474" s="84"/>
      <c r="P474" s="84"/>
      <c r="R474" s="84"/>
      <c r="S474" s="84"/>
    </row>
    <row r="475" spans="1:21">
      <c r="M475" s="84"/>
      <c r="P475" s="84"/>
      <c r="R475" s="84"/>
      <c r="S475" s="84"/>
    </row>
    <row r="476" spans="1:21">
      <c r="M476" s="84"/>
      <c r="P476" s="84"/>
      <c r="R476" s="84"/>
      <c r="S476" s="84"/>
    </row>
    <row r="477" spans="1:21">
      <c r="M477" s="84"/>
      <c r="P477" s="84"/>
      <c r="R477" s="84"/>
      <c r="S477" s="84"/>
    </row>
    <row r="478" spans="1:21">
      <c r="M478" s="84"/>
      <c r="P478" s="84"/>
      <c r="R478" s="84"/>
      <c r="S478" s="84"/>
    </row>
    <row r="479" spans="1:21">
      <c r="M479" s="84"/>
      <c r="P479" s="84"/>
      <c r="R479" s="84"/>
      <c r="S479" s="84"/>
    </row>
    <row r="480" spans="1:21">
      <c r="M480" s="84"/>
      <c r="P480" s="84"/>
      <c r="R480" s="84"/>
      <c r="S480" s="84"/>
    </row>
    <row r="481" spans="13:19">
      <c r="M481" s="84"/>
      <c r="P481" s="84"/>
      <c r="R481" s="84"/>
      <c r="S481" s="84"/>
    </row>
    <row r="482" spans="13:19">
      <c r="M482" s="84"/>
      <c r="P482" s="84"/>
      <c r="R482" s="84"/>
      <c r="S482" s="84"/>
    </row>
    <row r="483" spans="13:19">
      <c r="M483" s="84"/>
      <c r="P483" s="84"/>
      <c r="R483" s="84"/>
      <c r="S483" s="84"/>
    </row>
    <row r="484" spans="13:19">
      <c r="M484" s="84"/>
      <c r="P484" s="84"/>
      <c r="R484" s="84"/>
      <c r="S484" s="84"/>
    </row>
    <row r="485" spans="13:19">
      <c r="M485" s="84"/>
      <c r="P485" s="84"/>
      <c r="R485" s="84"/>
      <c r="S485" s="84"/>
    </row>
    <row r="486" spans="13:19">
      <c r="M486" s="84"/>
      <c r="P486" s="84"/>
      <c r="R486" s="84"/>
      <c r="S486" s="84"/>
    </row>
    <row r="487" spans="13:19">
      <c r="M487" s="84"/>
      <c r="P487" s="84"/>
      <c r="R487" s="84"/>
      <c r="S487" s="84"/>
    </row>
    <row r="488" spans="13:19">
      <c r="M488" s="84"/>
      <c r="P488" s="84"/>
      <c r="R488" s="84"/>
      <c r="S488" s="84"/>
    </row>
    <row r="489" spans="13:19">
      <c r="M489" s="84"/>
      <c r="P489" s="84"/>
      <c r="R489" s="84"/>
      <c r="S489" s="84"/>
    </row>
    <row r="490" spans="13:19">
      <c r="M490" s="84"/>
      <c r="P490" s="84"/>
      <c r="R490" s="84"/>
      <c r="S490" s="84"/>
    </row>
    <row r="491" spans="13:19">
      <c r="M491" s="84"/>
      <c r="P491" s="84"/>
      <c r="R491" s="84"/>
      <c r="S491" s="84"/>
    </row>
    <row r="492" spans="13:19">
      <c r="M492" s="84"/>
      <c r="P492" s="84"/>
      <c r="R492" s="84"/>
      <c r="S492" s="84"/>
    </row>
    <row r="493" spans="13:19">
      <c r="M493" s="84"/>
      <c r="P493" s="84"/>
      <c r="R493" s="84"/>
      <c r="S493" s="84"/>
    </row>
    <row r="494" spans="13:19">
      <c r="M494" s="84"/>
      <c r="P494" s="84"/>
      <c r="R494" s="84"/>
      <c r="S494" s="84"/>
    </row>
    <row r="495" spans="13:19">
      <c r="M495" s="84"/>
      <c r="P495" s="84"/>
      <c r="R495" s="84"/>
      <c r="S495" s="84"/>
    </row>
    <row r="496" spans="13:19">
      <c r="M496" s="84"/>
      <c r="P496" s="84"/>
      <c r="R496" s="84"/>
      <c r="S496" s="84"/>
    </row>
    <row r="497" spans="13:19">
      <c r="M497" s="84"/>
      <c r="P497" s="84"/>
      <c r="R497" s="84"/>
      <c r="S497" s="84"/>
    </row>
    <row r="498" spans="13:19">
      <c r="M498" s="84"/>
      <c r="P498" s="84"/>
      <c r="R498" s="84"/>
      <c r="S498" s="84"/>
    </row>
    <row r="499" spans="13:19">
      <c r="M499" s="84"/>
      <c r="P499" s="84"/>
      <c r="R499" s="84"/>
      <c r="S499" s="84"/>
    </row>
    <row r="500" spans="13:19">
      <c r="M500" s="84"/>
      <c r="P500" s="84"/>
      <c r="R500" s="84"/>
      <c r="S500" s="84"/>
    </row>
    <row r="501" spans="13:19">
      <c r="M501" s="84"/>
      <c r="P501" s="84"/>
      <c r="R501" s="84"/>
      <c r="S501" s="84"/>
    </row>
    <row r="502" spans="13:19">
      <c r="M502" s="84"/>
      <c r="P502" s="84"/>
      <c r="R502" s="84"/>
      <c r="S502" s="84"/>
    </row>
    <row r="503" spans="13:19">
      <c r="M503" s="84"/>
      <c r="P503" s="84"/>
      <c r="R503" s="84"/>
      <c r="S503" s="84"/>
    </row>
    <row r="504" spans="13:19">
      <c r="M504" s="84"/>
      <c r="P504" s="84"/>
      <c r="R504" s="84"/>
      <c r="S504" s="84"/>
    </row>
    <row r="505" spans="13:19">
      <c r="M505" s="84"/>
      <c r="P505" s="84"/>
      <c r="R505" s="84"/>
      <c r="S505" s="84"/>
    </row>
    <row r="506" spans="13:19">
      <c r="M506" s="84"/>
      <c r="P506" s="84"/>
      <c r="R506" s="84"/>
      <c r="S506" s="84"/>
    </row>
    <row r="507" spans="13:19">
      <c r="M507" s="84"/>
      <c r="P507" s="84"/>
      <c r="R507" s="84"/>
      <c r="S507" s="84"/>
    </row>
    <row r="508" spans="13:19">
      <c r="M508" s="84"/>
      <c r="P508" s="84"/>
      <c r="R508" s="84"/>
      <c r="S508" s="84"/>
    </row>
    <row r="509" spans="13:19">
      <c r="M509" s="84"/>
      <c r="P509" s="84"/>
      <c r="R509" s="84"/>
      <c r="S509" s="84"/>
    </row>
    <row r="510" spans="13:19">
      <c r="M510" s="84"/>
      <c r="P510" s="84"/>
      <c r="R510" s="84"/>
      <c r="S510" s="84"/>
    </row>
    <row r="511" spans="13:19">
      <c r="M511" s="84"/>
      <c r="P511" s="84"/>
      <c r="R511" s="84"/>
      <c r="S511" s="84"/>
    </row>
    <row r="512" spans="13:19">
      <c r="M512" s="84"/>
      <c r="P512" s="84"/>
      <c r="R512" s="84"/>
      <c r="S512" s="84"/>
    </row>
    <row r="513" spans="13:19">
      <c r="M513" s="84"/>
      <c r="P513" s="84"/>
      <c r="R513" s="84"/>
      <c r="S513" s="84"/>
    </row>
    <row r="514" spans="13:19">
      <c r="M514" s="84"/>
      <c r="P514" s="84"/>
      <c r="R514" s="84"/>
      <c r="S514" s="84"/>
    </row>
    <row r="515" spans="13:19">
      <c r="M515" s="84"/>
      <c r="P515" s="84"/>
      <c r="R515" s="84"/>
      <c r="S515" s="84"/>
    </row>
    <row r="516" spans="13:19">
      <c r="M516" s="84"/>
      <c r="P516" s="84"/>
      <c r="R516" s="84"/>
      <c r="S516" s="84"/>
    </row>
    <row r="517" spans="13:19">
      <c r="M517" s="84"/>
      <c r="P517" s="84"/>
      <c r="R517" s="84"/>
      <c r="S517" s="84"/>
    </row>
    <row r="518" spans="13:19">
      <c r="M518" s="84"/>
      <c r="P518" s="84"/>
      <c r="R518" s="84"/>
      <c r="S518" s="84"/>
    </row>
    <row r="519" spans="13:19">
      <c r="M519" s="84"/>
      <c r="P519" s="84"/>
      <c r="R519" s="84"/>
      <c r="S519" s="84"/>
    </row>
    <row r="520" spans="13:19">
      <c r="M520" s="84"/>
      <c r="P520" s="84"/>
      <c r="R520" s="84"/>
      <c r="S520" s="84"/>
    </row>
    <row r="521" spans="13:19">
      <c r="M521" s="84"/>
      <c r="P521" s="84"/>
      <c r="R521" s="84"/>
      <c r="S521" s="84"/>
    </row>
    <row r="522" spans="13:19">
      <c r="M522" s="84"/>
      <c r="P522" s="84"/>
      <c r="R522" s="84"/>
      <c r="S522" s="84"/>
    </row>
    <row r="523" spans="13:19">
      <c r="M523" s="84"/>
      <c r="P523" s="84"/>
      <c r="R523" s="84"/>
      <c r="S523" s="84"/>
    </row>
    <row r="524" spans="13:19">
      <c r="M524" s="84"/>
      <c r="P524" s="84"/>
      <c r="R524" s="84"/>
      <c r="S524" s="84"/>
    </row>
    <row r="525" spans="13:19">
      <c r="M525" s="84"/>
      <c r="P525" s="84"/>
      <c r="R525" s="84"/>
      <c r="S525" s="84"/>
    </row>
    <row r="526" spans="13:19">
      <c r="M526" s="84"/>
      <c r="P526" s="84"/>
      <c r="R526" s="84"/>
      <c r="S526" s="84"/>
    </row>
    <row r="527" spans="13:19">
      <c r="M527" s="84"/>
      <c r="P527" s="84"/>
      <c r="R527" s="84"/>
      <c r="S527" s="84"/>
    </row>
    <row r="528" spans="13:19">
      <c r="M528" s="84"/>
      <c r="P528" s="84"/>
      <c r="R528" s="84"/>
      <c r="S528" s="84"/>
    </row>
    <row r="529" spans="13:19">
      <c r="M529" s="84"/>
      <c r="P529" s="84"/>
      <c r="R529" s="84"/>
      <c r="S529" s="84"/>
    </row>
    <row r="530" spans="13:19">
      <c r="M530" s="84"/>
      <c r="P530" s="84"/>
      <c r="R530" s="84"/>
      <c r="S530" s="84"/>
    </row>
    <row r="531" spans="13:19">
      <c r="M531" s="84"/>
      <c r="P531" s="84"/>
      <c r="R531" s="84"/>
      <c r="S531" s="84"/>
    </row>
    <row r="532" spans="13:19">
      <c r="M532" s="84"/>
      <c r="P532" s="84"/>
      <c r="R532" s="84"/>
      <c r="S532" s="84"/>
    </row>
    <row r="533" spans="13:19">
      <c r="M533" s="84"/>
      <c r="P533" s="84"/>
      <c r="R533" s="84"/>
      <c r="S533" s="84"/>
    </row>
    <row r="534" spans="13:19">
      <c r="M534" s="84"/>
      <c r="P534" s="84"/>
      <c r="R534" s="84"/>
      <c r="S534" s="84"/>
    </row>
    <row r="535" spans="13:19">
      <c r="M535" s="84"/>
      <c r="P535" s="84"/>
      <c r="R535" s="84"/>
      <c r="S535" s="84"/>
    </row>
    <row r="536" spans="13:19">
      <c r="M536" s="84"/>
      <c r="P536" s="84"/>
      <c r="R536" s="84"/>
      <c r="S536" s="84"/>
    </row>
    <row r="537" spans="13:19">
      <c r="M537" s="84"/>
      <c r="P537" s="84"/>
      <c r="R537" s="84"/>
      <c r="S537" s="84"/>
    </row>
    <row r="538" spans="13:19">
      <c r="M538" s="84"/>
      <c r="P538" s="84"/>
      <c r="R538" s="84"/>
      <c r="S538" s="84"/>
    </row>
    <row r="539" spans="13:19">
      <c r="M539" s="84"/>
      <c r="P539" s="84"/>
      <c r="R539" s="84"/>
      <c r="S539" s="84"/>
    </row>
    <row r="540" spans="13:19">
      <c r="M540" s="84"/>
      <c r="P540" s="84"/>
      <c r="R540" s="84"/>
      <c r="S540" s="84"/>
    </row>
    <row r="541" spans="13:19">
      <c r="M541" s="84"/>
      <c r="P541" s="84"/>
      <c r="R541" s="84"/>
      <c r="S541" s="84"/>
    </row>
    <row r="542" spans="13:19">
      <c r="M542" s="84"/>
      <c r="P542" s="84"/>
      <c r="R542" s="84"/>
      <c r="S542" s="84"/>
    </row>
    <row r="543" spans="13:19">
      <c r="M543" s="84"/>
      <c r="P543" s="84"/>
      <c r="R543" s="84"/>
      <c r="S543" s="84"/>
    </row>
    <row r="544" spans="13:19">
      <c r="M544" s="84"/>
      <c r="P544" s="84"/>
      <c r="R544" s="84"/>
      <c r="S544" s="84"/>
    </row>
    <row r="545" spans="13:19">
      <c r="M545" s="84"/>
      <c r="P545" s="84"/>
      <c r="R545" s="84"/>
      <c r="S545" s="84"/>
    </row>
    <row r="546" spans="13:19">
      <c r="M546" s="84"/>
      <c r="P546" s="84"/>
      <c r="R546" s="84"/>
      <c r="S546" s="84"/>
    </row>
    <row r="547" spans="13:19">
      <c r="M547" s="84"/>
      <c r="P547" s="84"/>
      <c r="R547" s="84"/>
      <c r="S547" s="84"/>
    </row>
    <row r="548" spans="13:19">
      <c r="M548" s="84"/>
      <c r="P548" s="84"/>
      <c r="R548" s="84"/>
      <c r="S548" s="84"/>
    </row>
    <row r="549" spans="13:19">
      <c r="M549" s="84"/>
      <c r="P549" s="84"/>
      <c r="R549" s="84"/>
      <c r="S549" s="84"/>
    </row>
    <row r="550" spans="13:19">
      <c r="M550" s="84"/>
      <c r="P550" s="84"/>
      <c r="R550" s="84"/>
      <c r="S550" s="84"/>
    </row>
    <row r="551" spans="13:19">
      <c r="M551" s="84"/>
      <c r="P551" s="84"/>
      <c r="R551" s="84"/>
      <c r="S551" s="84"/>
    </row>
    <row r="552" spans="13:19">
      <c r="M552" s="84"/>
      <c r="P552" s="84"/>
      <c r="R552" s="84"/>
      <c r="S552" s="84"/>
    </row>
    <row r="553" spans="13:19">
      <c r="M553" s="84"/>
      <c r="P553" s="84"/>
      <c r="R553" s="84"/>
      <c r="S553" s="84"/>
    </row>
    <row r="554" spans="13:19">
      <c r="M554" s="84"/>
      <c r="P554" s="84"/>
      <c r="R554" s="84"/>
      <c r="S554" s="84"/>
    </row>
    <row r="555" spans="13:19">
      <c r="M555" s="84"/>
      <c r="P555" s="84"/>
      <c r="R555" s="84"/>
      <c r="S555" s="84"/>
    </row>
    <row r="556" spans="13:19">
      <c r="M556" s="84"/>
      <c r="P556" s="84"/>
      <c r="R556" s="84"/>
      <c r="S556" s="84"/>
    </row>
    <row r="557" spans="13:19">
      <c r="M557" s="84"/>
      <c r="P557" s="84"/>
      <c r="R557" s="84"/>
      <c r="S557" s="84"/>
    </row>
    <row r="558" spans="13:19">
      <c r="M558" s="84"/>
      <c r="P558" s="84"/>
      <c r="R558" s="84"/>
      <c r="S558" s="84"/>
    </row>
    <row r="559" spans="13:19">
      <c r="M559" s="84"/>
      <c r="P559" s="84"/>
      <c r="R559" s="84"/>
      <c r="S559" s="84"/>
    </row>
    <row r="560" spans="13:19">
      <c r="M560" s="84"/>
      <c r="P560" s="84"/>
      <c r="R560" s="84"/>
      <c r="S560" s="84"/>
    </row>
    <row r="561" spans="13:19">
      <c r="M561" s="84"/>
      <c r="P561" s="84"/>
      <c r="R561" s="84"/>
      <c r="S561" s="84"/>
    </row>
    <row r="562" spans="13:19">
      <c r="M562" s="84"/>
      <c r="P562" s="84"/>
      <c r="R562" s="84"/>
      <c r="S562" s="84"/>
    </row>
    <row r="563" spans="13:19">
      <c r="M563" s="84"/>
      <c r="P563" s="84"/>
      <c r="R563" s="84"/>
      <c r="S563" s="84"/>
    </row>
    <row r="564" spans="13:19">
      <c r="M564" s="84"/>
      <c r="P564" s="84"/>
      <c r="R564" s="84"/>
      <c r="S564" s="84"/>
    </row>
    <row r="565" spans="13:19">
      <c r="M565" s="84"/>
      <c r="P565" s="84"/>
      <c r="R565" s="84"/>
      <c r="S565" s="84"/>
    </row>
    <row r="566" spans="13:19">
      <c r="M566" s="84"/>
      <c r="P566" s="84"/>
      <c r="R566" s="84"/>
      <c r="S566" s="84"/>
    </row>
    <row r="567" spans="13:19">
      <c r="M567" s="84"/>
      <c r="P567" s="84"/>
      <c r="R567" s="84"/>
      <c r="S567" s="84"/>
    </row>
    <row r="568" spans="13:19">
      <c r="M568" s="84"/>
      <c r="P568" s="84"/>
      <c r="R568" s="84"/>
      <c r="S568" s="84"/>
    </row>
  </sheetData>
  <mergeCells count="28">
    <mergeCell ref="Q4:Q5"/>
    <mergeCell ref="R4:R5"/>
    <mergeCell ref="S4:S5"/>
    <mergeCell ref="O6:S6"/>
    <mergeCell ref="A4:I6"/>
    <mergeCell ref="J4:M5"/>
    <mergeCell ref="N4:N6"/>
    <mergeCell ref="O4:O5"/>
    <mergeCell ref="P4:P5"/>
    <mergeCell ref="A417:S417"/>
    <mergeCell ref="A110:S110"/>
    <mergeCell ref="A111:S111"/>
    <mergeCell ref="A212:S212"/>
    <mergeCell ref="A213:S213"/>
    <mergeCell ref="A314:S314"/>
    <mergeCell ref="A315:S315"/>
    <mergeCell ref="A416:S416"/>
    <mergeCell ref="A264:S264"/>
    <mergeCell ref="A365:S365"/>
    <mergeCell ref="A366:S366"/>
    <mergeCell ref="A7:S7"/>
    <mergeCell ref="A8:S8"/>
    <mergeCell ref="A161:S161"/>
    <mergeCell ref="A162:S162"/>
    <mergeCell ref="A263:S263"/>
    <mergeCell ref="A9:S9"/>
    <mergeCell ref="A59:S59"/>
    <mergeCell ref="A60:S60"/>
  </mergeCells>
  <hyperlinks>
    <hyperlink ref="A1:I1" location="Главная!A1" display="Вернуться на главную страницу" xr:uid="{00000000-0004-0000-1700-000000000000}"/>
    <hyperlink ref="A2" location="'Калькулятор теплоотдач ВК'!R1C1" display="Вернуться Калькулятор теплоотдач ВК" xr:uid="{00000000-0004-0000-17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6">
    <tabColor rgb="FFFFC000"/>
  </sheetPr>
  <dimension ref="A1:U517"/>
  <sheetViews>
    <sheetView zoomScale="70" zoomScaleNormal="70" workbookViewId="0">
      <pane ySplit="6" topLeftCell="A7" activePane="bottomLeft" state="frozen"/>
      <selection pane="bottomLeft" activeCell="Y18" sqref="Y18"/>
    </sheetView>
  </sheetViews>
  <sheetFormatPr defaultRowHeight="15.75"/>
  <cols>
    <col min="1" max="1" width="3.710937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4.5703125" style="7" customWidth="1"/>
    <col min="10" max="10" width="11.28515625" style="7" customWidth="1"/>
    <col min="11" max="12" width="11.28515625" style="87" customWidth="1"/>
    <col min="13" max="13" width="15.5703125" style="1" customWidth="1"/>
    <col min="14" max="14" width="19.140625" style="7" customWidth="1"/>
    <col min="15" max="15" width="27.7109375" style="112" customWidth="1"/>
    <col min="16" max="16" width="27.7109375" style="106" customWidth="1"/>
    <col min="17" max="17" width="26.28515625" style="107" customWidth="1"/>
    <col min="18" max="18" width="27.7109375" style="112" customWidth="1"/>
    <col min="19" max="19" width="27.7109375" style="107" customWidth="1"/>
    <col min="21" max="21" width="22.42578125" customWidth="1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0"/>
      <c r="O1" s="107"/>
      <c r="P1" s="107"/>
      <c r="R1" s="107"/>
      <c r="U1" s="65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s="65" customFormat="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142</v>
      </c>
      <c r="P4" s="3008" t="s">
        <v>138</v>
      </c>
      <c r="Q4" s="3045" t="s">
        <v>143</v>
      </c>
      <c r="R4" s="3020" t="s">
        <v>420</v>
      </c>
      <c r="S4" s="2981" t="s">
        <v>421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s="65" customFormat="1" ht="22.5" customHeight="1" thickBot="1">
      <c r="A7" s="2968" t="s">
        <v>46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s="65" customFormat="1" ht="16.5" customHeight="1" thickBot="1">
      <c r="A8" s="3050" t="s">
        <v>117</v>
      </c>
      <c r="B8" s="3051"/>
      <c r="C8" s="3051"/>
      <c r="D8" s="3051"/>
      <c r="E8" s="3051"/>
      <c r="F8" s="3051"/>
      <c r="G8" s="3051"/>
      <c r="H8" s="3051"/>
      <c r="I8" s="3051"/>
      <c r="J8" s="3051"/>
      <c r="K8" s="3051"/>
      <c r="L8" s="3051"/>
      <c r="M8" s="3051"/>
      <c r="N8" s="3051"/>
      <c r="O8" s="3051"/>
      <c r="P8" s="3051"/>
      <c r="Q8" s="3051"/>
      <c r="R8" s="3051"/>
      <c r="S8" s="3052"/>
    </row>
    <row r="9" spans="1:21" s="65" customFormat="1" ht="16.5" thickBot="1">
      <c r="A9" s="38" t="s">
        <v>31</v>
      </c>
      <c r="B9" s="39">
        <f>J9</f>
        <v>200</v>
      </c>
      <c r="C9" s="39" t="s">
        <v>3</v>
      </c>
      <c r="D9" s="39">
        <f>K9</f>
        <v>200</v>
      </c>
      <c r="E9" s="39" t="s">
        <v>3</v>
      </c>
      <c r="F9" s="90">
        <f>L9</f>
        <v>600</v>
      </c>
      <c r="G9" s="39" t="s">
        <v>3</v>
      </c>
      <c r="H9" s="39">
        <v>4</v>
      </c>
      <c r="I9" s="40" t="s">
        <v>41</v>
      </c>
      <c r="J9" s="146">
        <v>200</v>
      </c>
      <c r="K9" s="122">
        <v>200</v>
      </c>
      <c r="L9" s="122">
        <v>600</v>
      </c>
      <c r="M9" s="163">
        <v>8.0159955955325</v>
      </c>
      <c r="N9" s="123">
        <v>223.21499999999997</v>
      </c>
      <c r="O9" s="124">
        <v>14358.872207110606</v>
      </c>
      <c r="P9" s="160">
        <v>17351.388533980396</v>
      </c>
      <c r="Q9" s="139">
        <v>7123.1890801891068</v>
      </c>
      <c r="R9" s="262">
        <v>21482.061287299712</v>
      </c>
      <c r="S9" s="257">
        <v>24474.577614169502</v>
      </c>
      <c r="U9" s="7" t="s">
        <v>3748</v>
      </c>
    </row>
    <row r="10" spans="1:21" s="65" customFormat="1" ht="16.5" thickBot="1">
      <c r="A10" s="41" t="s">
        <v>31</v>
      </c>
      <c r="B10" s="42">
        <f t="shared" ref="B10:B57" si="0">J10</f>
        <v>200</v>
      </c>
      <c r="C10" s="42" t="s">
        <v>3</v>
      </c>
      <c r="D10" s="42">
        <f t="shared" ref="D10:D57" si="1">K10</f>
        <v>200</v>
      </c>
      <c r="E10" s="42" t="s">
        <v>3</v>
      </c>
      <c r="F10" s="90">
        <f t="shared" ref="F10:F57" si="2">L10</f>
        <v>650</v>
      </c>
      <c r="G10" s="42" t="s">
        <v>3</v>
      </c>
      <c r="H10" s="39">
        <v>4</v>
      </c>
      <c r="I10" s="40" t="s">
        <v>41</v>
      </c>
      <c r="J10" s="149">
        <v>200</v>
      </c>
      <c r="K10" s="66">
        <v>200</v>
      </c>
      <c r="L10" s="66">
        <v>650</v>
      </c>
      <c r="M10" s="164">
        <v>8.5751219619044985</v>
      </c>
      <c r="N10" s="78">
        <v>267.85799999999995</v>
      </c>
      <c r="O10" s="113">
        <v>15111.431712235551</v>
      </c>
      <c r="P10" s="161">
        <v>18296.656379460452</v>
      </c>
      <c r="Q10" s="110">
        <v>7513.8655494313916</v>
      </c>
      <c r="R10" s="263">
        <v>22625.297261666943</v>
      </c>
      <c r="S10" s="259">
        <v>25810.521928891845</v>
      </c>
      <c r="U10" s="7" t="s">
        <v>3749</v>
      </c>
    </row>
    <row r="11" spans="1:21" s="65" customFormat="1" ht="16.5" thickBot="1">
      <c r="A11" s="41" t="s">
        <v>31</v>
      </c>
      <c r="B11" s="42">
        <f t="shared" si="0"/>
        <v>200</v>
      </c>
      <c r="C11" s="42" t="s">
        <v>3</v>
      </c>
      <c r="D11" s="42">
        <f t="shared" si="1"/>
        <v>200</v>
      </c>
      <c r="E11" s="42" t="s">
        <v>3</v>
      </c>
      <c r="F11" s="90">
        <f t="shared" si="2"/>
        <v>700</v>
      </c>
      <c r="G11" s="42" t="s">
        <v>3</v>
      </c>
      <c r="H11" s="39">
        <v>4</v>
      </c>
      <c r="I11" s="40" t="s">
        <v>41</v>
      </c>
      <c r="J11" s="149">
        <v>200</v>
      </c>
      <c r="K11" s="66">
        <v>200</v>
      </c>
      <c r="L11" s="66">
        <v>700</v>
      </c>
      <c r="M11" s="164">
        <v>9.1504363282765002</v>
      </c>
      <c r="N11" s="78">
        <v>312.50099999999992</v>
      </c>
      <c r="O11" s="113">
        <v>15864.107672250759</v>
      </c>
      <c r="P11" s="161">
        <v>19242.153285263921</v>
      </c>
      <c r="Q11" s="110">
        <v>8155.8760034286815</v>
      </c>
      <c r="R11" s="263">
        <v>24019.983675679439</v>
      </c>
      <c r="S11" s="259">
        <v>27398.029288692604</v>
      </c>
      <c r="U11" s="7" t="s">
        <v>3750</v>
      </c>
    </row>
    <row r="12" spans="1:21" s="65" customFormat="1" ht="16.5" thickBot="1">
      <c r="A12" s="41" t="s">
        <v>31</v>
      </c>
      <c r="B12" s="42">
        <f t="shared" si="0"/>
        <v>200</v>
      </c>
      <c r="C12" s="42" t="s">
        <v>3</v>
      </c>
      <c r="D12" s="42">
        <f t="shared" si="1"/>
        <v>200</v>
      </c>
      <c r="E12" s="42" t="s">
        <v>3</v>
      </c>
      <c r="F12" s="90">
        <f t="shared" si="2"/>
        <v>750</v>
      </c>
      <c r="G12" s="42" t="s">
        <v>3</v>
      </c>
      <c r="H12" s="39">
        <v>4</v>
      </c>
      <c r="I12" s="40" t="s">
        <v>41</v>
      </c>
      <c r="J12" s="149">
        <v>200</v>
      </c>
      <c r="K12" s="66">
        <v>200</v>
      </c>
      <c r="L12" s="66">
        <v>750</v>
      </c>
      <c r="M12" s="164">
        <v>9.7095626946485005</v>
      </c>
      <c r="N12" s="78">
        <v>357.14400000000001</v>
      </c>
      <c r="O12" s="113">
        <v>16616.885549423539</v>
      </c>
      <c r="P12" s="161">
        <v>20187.85057561499</v>
      </c>
      <c r="Q12" s="110">
        <v>8546.5523196422018</v>
      </c>
      <c r="R12" s="263">
        <v>25163.43786906574</v>
      </c>
      <c r="S12" s="259">
        <v>28734.40289525719</v>
      </c>
      <c r="U12" s="7" t="s">
        <v>3751</v>
      </c>
    </row>
    <row r="13" spans="1:21" s="65" customFormat="1" ht="16.5" thickBot="1">
      <c r="A13" s="41" t="s">
        <v>31</v>
      </c>
      <c r="B13" s="42">
        <f t="shared" si="0"/>
        <v>200</v>
      </c>
      <c r="C13" s="42" t="s">
        <v>3</v>
      </c>
      <c r="D13" s="42">
        <f t="shared" si="1"/>
        <v>200</v>
      </c>
      <c r="E13" s="42" t="s">
        <v>3</v>
      </c>
      <c r="F13" s="90">
        <f t="shared" si="2"/>
        <v>800</v>
      </c>
      <c r="G13" s="42" t="s">
        <v>3</v>
      </c>
      <c r="H13" s="39">
        <v>4</v>
      </c>
      <c r="I13" s="40" t="s">
        <v>41</v>
      </c>
      <c r="J13" s="149">
        <v>200</v>
      </c>
      <c r="K13" s="66">
        <v>200</v>
      </c>
      <c r="L13" s="66">
        <v>800</v>
      </c>
      <c r="M13" s="164">
        <v>10.268689061020501</v>
      </c>
      <c r="N13" s="78">
        <v>401.78699999999998</v>
      </c>
      <c r="O13" s="113">
        <v>17370.473101792595</v>
      </c>
      <c r="P13" s="161">
        <v>21134.60014969527</v>
      </c>
      <c r="Q13" s="110">
        <v>8937.2286358557212</v>
      </c>
      <c r="R13" s="263">
        <v>26307.701737648316</v>
      </c>
      <c r="S13" s="259">
        <v>30071.828785550992</v>
      </c>
      <c r="U13" s="7" t="s">
        <v>3752</v>
      </c>
    </row>
    <row r="14" spans="1:21" s="65" customFormat="1" ht="16.5" thickBot="1">
      <c r="A14" s="41" t="s">
        <v>31</v>
      </c>
      <c r="B14" s="42">
        <f t="shared" si="0"/>
        <v>200</v>
      </c>
      <c r="C14" s="42" t="s">
        <v>3</v>
      </c>
      <c r="D14" s="42">
        <f t="shared" si="1"/>
        <v>200</v>
      </c>
      <c r="E14" s="42" t="s">
        <v>3</v>
      </c>
      <c r="F14" s="90">
        <f t="shared" si="2"/>
        <v>850</v>
      </c>
      <c r="G14" s="42" t="s">
        <v>3</v>
      </c>
      <c r="H14" s="39">
        <v>4</v>
      </c>
      <c r="I14" s="40" t="s">
        <v>41</v>
      </c>
      <c r="J14" s="149">
        <v>200</v>
      </c>
      <c r="K14" s="66">
        <v>200</v>
      </c>
      <c r="L14" s="66">
        <v>850</v>
      </c>
      <c r="M14" s="164">
        <v>10.844003427392501</v>
      </c>
      <c r="N14" s="78">
        <v>446.42999999999995</v>
      </c>
      <c r="O14" s="113">
        <v>18123.409975852337</v>
      </c>
      <c r="P14" s="161">
        <v>22080.618813456415</v>
      </c>
      <c r="Q14" s="110">
        <v>9579.239089853012</v>
      </c>
      <c r="R14" s="263">
        <v>27702.649065705351</v>
      </c>
      <c r="S14" s="259">
        <v>31659.857903309428</v>
      </c>
      <c r="U14" s="7" t="s">
        <v>3753</v>
      </c>
    </row>
    <row r="15" spans="1:21" s="65" customFormat="1" ht="16.5" thickBot="1">
      <c r="A15" s="41" t="s">
        <v>31</v>
      </c>
      <c r="B15" s="42">
        <f t="shared" si="0"/>
        <v>200</v>
      </c>
      <c r="C15" s="42" t="s">
        <v>3</v>
      </c>
      <c r="D15" s="42">
        <f t="shared" si="1"/>
        <v>200</v>
      </c>
      <c r="E15" s="42" t="s">
        <v>3</v>
      </c>
      <c r="F15" s="90">
        <f t="shared" si="2"/>
        <v>900</v>
      </c>
      <c r="G15" s="42" t="s">
        <v>3</v>
      </c>
      <c r="H15" s="39">
        <v>4</v>
      </c>
      <c r="I15" s="40" t="s">
        <v>41</v>
      </c>
      <c r="J15" s="149">
        <v>200</v>
      </c>
      <c r="K15" s="66">
        <v>200</v>
      </c>
      <c r="L15" s="66">
        <v>900</v>
      </c>
      <c r="M15" s="164">
        <v>11.403129793764501</v>
      </c>
      <c r="N15" s="78">
        <v>491.07299999999998</v>
      </c>
      <c r="O15" s="113">
        <v>18876.418008287867</v>
      </c>
      <c r="P15" s="161">
        <v>23026.776777034418</v>
      </c>
      <c r="Q15" s="110">
        <v>9969.915559095296</v>
      </c>
      <c r="R15" s="263">
        <v>28846.333567383161</v>
      </c>
      <c r="S15" s="259">
        <v>32996.692336129716</v>
      </c>
      <c r="U15" s="7" t="s">
        <v>3754</v>
      </c>
    </row>
    <row r="16" spans="1:21" s="65" customFormat="1" ht="16.5" thickBot="1">
      <c r="A16" s="41" t="s">
        <v>31</v>
      </c>
      <c r="B16" s="42">
        <f t="shared" si="0"/>
        <v>200</v>
      </c>
      <c r="C16" s="42" t="s">
        <v>3</v>
      </c>
      <c r="D16" s="42">
        <f t="shared" si="1"/>
        <v>200</v>
      </c>
      <c r="E16" s="42" t="s">
        <v>3</v>
      </c>
      <c r="F16" s="90">
        <f t="shared" si="2"/>
        <v>950</v>
      </c>
      <c r="G16" s="42" t="s">
        <v>3</v>
      </c>
      <c r="H16" s="39">
        <v>4</v>
      </c>
      <c r="I16" s="40" t="s">
        <v>41</v>
      </c>
      <c r="J16" s="149">
        <v>200</v>
      </c>
      <c r="K16" s="66">
        <v>200</v>
      </c>
      <c r="L16" s="66">
        <v>950</v>
      </c>
      <c r="M16" s="164">
        <v>11.978444160136499</v>
      </c>
      <c r="N16" s="78">
        <v>535.71599999999989</v>
      </c>
      <c r="O16" s="113">
        <v>19629.489700689686</v>
      </c>
      <c r="P16" s="161">
        <v>23973.059105367342</v>
      </c>
      <c r="Q16" s="110">
        <v>10611.926013092587</v>
      </c>
      <c r="R16" s="263">
        <v>30241.415713782273</v>
      </c>
      <c r="S16" s="259">
        <v>34584.985118459925</v>
      </c>
      <c r="U16" s="7" t="s">
        <v>3755</v>
      </c>
    </row>
    <row r="17" spans="1:21" s="65" customFormat="1" ht="16.5" thickBot="1">
      <c r="A17" s="41" t="s">
        <v>31</v>
      </c>
      <c r="B17" s="42">
        <f t="shared" si="0"/>
        <v>200</v>
      </c>
      <c r="C17" s="42" t="s">
        <v>3</v>
      </c>
      <c r="D17" s="42">
        <f t="shared" si="1"/>
        <v>200</v>
      </c>
      <c r="E17" s="42" t="s">
        <v>3</v>
      </c>
      <c r="F17" s="90">
        <f t="shared" si="2"/>
        <v>1000</v>
      </c>
      <c r="G17" s="42" t="s">
        <v>3</v>
      </c>
      <c r="H17" s="39">
        <v>4</v>
      </c>
      <c r="I17" s="40" t="s">
        <v>41</v>
      </c>
      <c r="J17" s="149">
        <v>200</v>
      </c>
      <c r="K17" s="66">
        <v>200</v>
      </c>
      <c r="L17" s="66">
        <v>1000</v>
      </c>
      <c r="M17" s="164">
        <v>12.5375705265085</v>
      </c>
      <c r="N17" s="78">
        <v>580.35899999999992</v>
      </c>
      <c r="O17" s="113">
        <v>20373.590234764815</v>
      </c>
      <c r="P17" s="161">
        <v>24908.415474902151</v>
      </c>
      <c r="Q17" s="110">
        <v>11002.602329306106</v>
      </c>
      <c r="R17" s="263">
        <v>31376.192564070923</v>
      </c>
      <c r="S17" s="259">
        <v>35911.017804208255</v>
      </c>
      <c r="U17" s="7" t="s">
        <v>3756</v>
      </c>
    </row>
    <row r="18" spans="1:21" s="65" customFormat="1" ht="16.5" thickBot="1">
      <c r="A18" s="41" t="s">
        <v>31</v>
      </c>
      <c r="B18" s="42">
        <f t="shared" si="0"/>
        <v>200</v>
      </c>
      <c r="C18" s="42" t="s">
        <v>3</v>
      </c>
      <c r="D18" s="42">
        <f t="shared" si="1"/>
        <v>200</v>
      </c>
      <c r="E18" s="42" t="s">
        <v>3</v>
      </c>
      <c r="F18" s="90">
        <f t="shared" si="2"/>
        <v>1050</v>
      </c>
      <c r="G18" s="42" t="s">
        <v>3</v>
      </c>
      <c r="H18" s="39">
        <v>4</v>
      </c>
      <c r="I18" s="40" t="s">
        <v>41</v>
      </c>
      <c r="J18" s="149">
        <v>200</v>
      </c>
      <c r="K18" s="66">
        <v>200</v>
      </c>
      <c r="L18" s="66">
        <v>1050</v>
      </c>
      <c r="M18" s="164">
        <v>13.112884892880498</v>
      </c>
      <c r="N18" s="78">
        <v>625.00199999999984</v>
      </c>
      <c r="O18" s="113">
        <v>21126.71640540702</v>
      </c>
      <c r="P18" s="161">
        <v>25854.832983717122</v>
      </c>
      <c r="Q18" s="110">
        <v>11644.612783303395</v>
      </c>
      <c r="R18" s="263">
        <v>32771.329188710413</v>
      </c>
      <c r="S18" s="259">
        <v>37499.445767020516</v>
      </c>
      <c r="U18" s="7" t="s">
        <v>3757</v>
      </c>
    </row>
    <row r="19" spans="1:21" s="65" customFormat="1" ht="16.5" thickBot="1">
      <c r="A19" s="38" t="s">
        <v>31</v>
      </c>
      <c r="B19" s="39">
        <f t="shared" si="0"/>
        <v>200</v>
      </c>
      <c r="C19" s="39" t="s">
        <v>3</v>
      </c>
      <c r="D19" s="39">
        <f t="shared" si="1"/>
        <v>200</v>
      </c>
      <c r="E19" s="39" t="s">
        <v>3</v>
      </c>
      <c r="F19" s="90">
        <f t="shared" si="2"/>
        <v>1100</v>
      </c>
      <c r="G19" s="39" t="s">
        <v>3</v>
      </c>
      <c r="H19" s="39">
        <v>4</v>
      </c>
      <c r="I19" s="40" t="s">
        <v>41</v>
      </c>
      <c r="J19" s="149">
        <v>200</v>
      </c>
      <c r="K19" s="66">
        <v>200</v>
      </c>
      <c r="L19" s="66">
        <v>1100</v>
      </c>
      <c r="M19" s="164">
        <v>13.6720112592525</v>
      </c>
      <c r="N19" s="78">
        <v>669.64499999999998</v>
      </c>
      <c r="O19" s="113">
        <v>21879.892157369122</v>
      </c>
      <c r="P19" s="161">
        <v>26801.345825256714</v>
      </c>
      <c r="Q19" s="110">
        <v>12035.289252545683</v>
      </c>
      <c r="R19" s="263">
        <v>33915.181409914803</v>
      </c>
      <c r="S19" s="259">
        <v>38836.635077802399</v>
      </c>
      <c r="U19" s="7" t="s">
        <v>3758</v>
      </c>
    </row>
    <row r="20" spans="1:21" s="65" customFormat="1" ht="16.5" thickBot="1">
      <c r="A20" s="41" t="s">
        <v>31</v>
      </c>
      <c r="B20" s="42">
        <f t="shared" si="0"/>
        <v>200</v>
      </c>
      <c r="C20" s="42" t="s">
        <v>3</v>
      </c>
      <c r="D20" s="42">
        <f t="shared" si="1"/>
        <v>200</v>
      </c>
      <c r="E20" s="42" t="s">
        <v>3</v>
      </c>
      <c r="F20" s="90">
        <f t="shared" si="2"/>
        <v>1150</v>
      </c>
      <c r="G20" s="42" t="s">
        <v>3</v>
      </c>
      <c r="H20" s="39">
        <v>4</v>
      </c>
      <c r="I20" s="40" t="s">
        <v>41</v>
      </c>
      <c r="J20" s="149">
        <v>200</v>
      </c>
      <c r="K20" s="66">
        <v>200</v>
      </c>
      <c r="L20" s="66">
        <v>1150</v>
      </c>
      <c r="M20" s="164">
        <v>14.2311376256245</v>
      </c>
      <c r="N20" s="78">
        <v>714.28800000000001</v>
      </c>
      <c r="O20" s="113">
        <v>22633.112899788175</v>
      </c>
      <c r="P20" s="161">
        <v>27747.945078038963</v>
      </c>
      <c r="Q20" s="110">
        <v>12425.965568759202</v>
      </c>
      <c r="R20" s="263">
        <v>35059.078468547377</v>
      </c>
      <c r="S20" s="259">
        <v>40173.910646798162</v>
      </c>
      <c r="U20" s="7" t="s">
        <v>3759</v>
      </c>
    </row>
    <row r="21" spans="1:21" s="65" customFormat="1" ht="16.5" thickBot="1">
      <c r="A21" s="41" t="s">
        <v>31</v>
      </c>
      <c r="B21" s="42">
        <f t="shared" si="0"/>
        <v>200</v>
      </c>
      <c r="C21" s="42" t="s">
        <v>3</v>
      </c>
      <c r="D21" s="42">
        <f t="shared" si="1"/>
        <v>200</v>
      </c>
      <c r="E21" s="42" t="s">
        <v>3</v>
      </c>
      <c r="F21" s="90">
        <f t="shared" si="2"/>
        <v>1200</v>
      </c>
      <c r="G21" s="42" t="s">
        <v>3</v>
      </c>
      <c r="H21" s="39">
        <v>4</v>
      </c>
      <c r="I21" s="40" t="s">
        <v>41</v>
      </c>
      <c r="J21" s="149">
        <v>200</v>
      </c>
      <c r="K21" s="66">
        <v>200</v>
      </c>
      <c r="L21" s="66">
        <v>1200</v>
      </c>
      <c r="M21" s="164">
        <v>14.881026991996499</v>
      </c>
      <c r="N21" s="78">
        <v>758.93099999999993</v>
      </c>
      <c r="O21" s="113">
        <v>23466.167830800347</v>
      </c>
      <c r="P21" s="161">
        <v>28774.90327824069</v>
      </c>
      <c r="Q21" s="110">
        <v>13067.976022756491</v>
      </c>
      <c r="R21" s="263">
        <v>36534.143853556838</v>
      </c>
      <c r="S21" s="259">
        <v>41842.879300997185</v>
      </c>
      <c r="U21" s="7" t="s">
        <v>3760</v>
      </c>
    </row>
    <row r="22" spans="1:21" s="65" customFormat="1" ht="16.5" thickBot="1">
      <c r="A22" s="41" t="s">
        <v>31</v>
      </c>
      <c r="B22" s="42">
        <f t="shared" si="0"/>
        <v>200</v>
      </c>
      <c r="C22" s="42" t="s">
        <v>3</v>
      </c>
      <c r="D22" s="42">
        <f t="shared" si="1"/>
        <v>200</v>
      </c>
      <c r="E22" s="42" t="s">
        <v>3</v>
      </c>
      <c r="F22" s="90">
        <f t="shared" si="2"/>
        <v>1250</v>
      </c>
      <c r="G22" s="42" t="s">
        <v>3</v>
      </c>
      <c r="H22" s="39">
        <v>4</v>
      </c>
      <c r="I22" s="40" t="s">
        <v>41</v>
      </c>
      <c r="J22" s="149">
        <v>200</v>
      </c>
      <c r="K22" s="66">
        <v>200</v>
      </c>
      <c r="L22" s="66">
        <v>1250</v>
      </c>
      <c r="M22" s="164">
        <v>15.440153358368498</v>
      </c>
      <c r="N22" s="78">
        <v>803.57399999999996</v>
      </c>
      <c r="O22" s="113">
        <v>24219.511455317795</v>
      </c>
      <c r="P22" s="161">
        <v>29721.69761210373</v>
      </c>
      <c r="Q22" s="110">
        <v>13458.652338970012</v>
      </c>
      <c r="R22" s="263">
        <v>37678.163794287808</v>
      </c>
      <c r="S22" s="259">
        <v>43180.349951073746</v>
      </c>
      <c r="U22" s="7" t="s">
        <v>3761</v>
      </c>
    </row>
    <row r="23" spans="1:21" s="65" customFormat="1" ht="16.5" thickBot="1">
      <c r="A23" s="41" t="s">
        <v>31</v>
      </c>
      <c r="B23" s="42">
        <f t="shared" si="0"/>
        <v>200</v>
      </c>
      <c r="C23" s="42" t="s">
        <v>3</v>
      </c>
      <c r="D23" s="42">
        <f t="shared" si="1"/>
        <v>200</v>
      </c>
      <c r="E23" s="42" t="s">
        <v>3</v>
      </c>
      <c r="F23" s="90">
        <f t="shared" si="2"/>
        <v>1300</v>
      </c>
      <c r="G23" s="42" t="s">
        <v>3</v>
      </c>
      <c r="H23" s="39">
        <v>4</v>
      </c>
      <c r="I23" s="40" t="s">
        <v>41</v>
      </c>
      <c r="J23" s="149">
        <v>200</v>
      </c>
      <c r="K23" s="66">
        <v>200</v>
      </c>
      <c r="L23" s="66">
        <v>1300</v>
      </c>
      <c r="M23" s="164">
        <v>16.0154677247405</v>
      </c>
      <c r="N23" s="78">
        <v>848.21699999999987</v>
      </c>
      <c r="O23" s="113">
        <v>24975.63469432497</v>
      </c>
      <c r="P23" s="161">
        <v>30671.929867430637</v>
      </c>
      <c r="Q23" s="110">
        <v>14100.662792967301</v>
      </c>
      <c r="R23" s="263">
        <v>39076.297487292271</v>
      </c>
      <c r="S23" s="259">
        <v>44772.592660397939</v>
      </c>
      <c r="U23" s="7" t="s">
        <v>3762</v>
      </c>
    </row>
    <row r="24" spans="1:21" s="65" customFormat="1" ht="16.5" thickBot="1">
      <c r="A24" s="41" t="s">
        <v>31</v>
      </c>
      <c r="B24" s="42">
        <f t="shared" si="0"/>
        <v>200</v>
      </c>
      <c r="C24" s="42" t="s">
        <v>3</v>
      </c>
      <c r="D24" s="42">
        <f t="shared" si="1"/>
        <v>200</v>
      </c>
      <c r="E24" s="42" t="s">
        <v>3</v>
      </c>
      <c r="F24" s="90">
        <f t="shared" si="2"/>
        <v>1350</v>
      </c>
      <c r="G24" s="42" t="s">
        <v>3</v>
      </c>
      <c r="H24" s="39">
        <v>4</v>
      </c>
      <c r="I24" s="40" t="s">
        <v>41</v>
      </c>
      <c r="J24" s="149">
        <v>200</v>
      </c>
      <c r="K24" s="66">
        <v>200</v>
      </c>
      <c r="L24" s="66">
        <v>1350</v>
      </c>
      <c r="M24" s="164">
        <v>16.574594091112498</v>
      </c>
      <c r="N24" s="78">
        <v>892.8599999999999</v>
      </c>
      <c r="O24" s="113">
        <v>25729.016116947401</v>
      </c>
      <c r="P24" s="161">
        <v>31618.819274400721</v>
      </c>
      <c r="Q24" s="110">
        <v>14491.339262209587</v>
      </c>
      <c r="R24" s="263">
        <v>40220.355379156987</v>
      </c>
      <c r="S24" s="259">
        <v>46110.15853661031</v>
      </c>
      <c r="U24" s="7" t="s">
        <v>3763</v>
      </c>
    </row>
    <row r="25" spans="1:21" s="65" customFormat="1" ht="16.5" thickBot="1">
      <c r="A25" s="41" t="s">
        <v>31</v>
      </c>
      <c r="B25" s="42">
        <f t="shared" si="0"/>
        <v>200</v>
      </c>
      <c r="C25" s="42" t="s">
        <v>3</v>
      </c>
      <c r="D25" s="42">
        <f t="shared" si="1"/>
        <v>200</v>
      </c>
      <c r="E25" s="42" t="s">
        <v>3</v>
      </c>
      <c r="F25" s="90">
        <f t="shared" si="2"/>
        <v>1400</v>
      </c>
      <c r="G25" s="42" t="s">
        <v>3</v>
      </c>
      <c r="H25" s="39">
        <v>4</v>
      </c>
      <c r="I25" s="40" t="s">
        <v>41</v>
      </c>
      <c r="J25" s="149">
        <v>200</v>
      </c>
      <c r="K25" s="66">
        <v>200</v>
      </c>
      <c r="L25" s="66">
        <v>1400</v>
      </c>
      <c r="M25" s="164">
        <v>17.149908457484496</v>
      </c>
      <c r="N25" s="78">
        <v>937.50299999999993</v>
      </c>
      <c r="O25" s="113">
        <v>26482.425237776326</v>
      </c>
      <c r="P25" s="161">
        <v>32565.763002704211</v>
      </c>
      <c r="Q25" s="110">
        <v>15133.349716206876</v>
      </c>
      <c r="R25" s="263">
        <v>41615.7749539832</v>
      </c>
      <c r="S25" s="259">
        <v>47699.112718911085</v>
      </c>
      <c r="U25" s="7" t="s">
        <v>3764</v>
      </c>
    </row>
    <row r="26" spans="1:21" s="65" customFormat="1" ht="16.5" thickBot="1">
      <c r="A26" s="41" t="s">
        <v>31</v>
      </c>
      <c r="B26" s="42">
        <f t="shared" si="0"/>
        <v>200</v>
      </c>
      <c r="C26" s="42" t="s">
        <v>3</v>
      </c>
      <c r="D26" s="42">
        <f t="shared" si="1"/>
        <v>200</v>
      </c>
      <c r="E26" s="42" t="s">
        <v>3</v>
      </c>
      <c r="F26" s="90">
        <f t="shared" si="2"/>
        <v>1450</v>
      </c>
      <c r="G26" s="42" t="s">
        <v>3</v>
      </c>
      <c r="H26" s="39">
        <v>4</v>
      </c>
      <c r="I26" s="40" t="s">
        <v>41</v>
      </c>
      <c r="J26" s="149">
        <v>200</v>
      </c>
      <c r="K26" s="66">
        <v>200</v>
      </c>
      <c r="L26" s="66">
        <v>1450</v>
      </c>
      <c r="M26" s="164">
        <v>17.709034823856502</v>
      </c>
      <c r="N26" s="78">
        <v>982.14599999999996</v>
      </c>
      <c r="O26" s="113">
        <v>27235.859914409019</v>
      </c>
      <c r="P26" s="161">
        <v>33512.756778487201</v>
      </c>
      <c r="Q26" s="110">
        <v>15524.026032420395</v>
      </c>
      <c r="R26" s="263">
        <v>42759.88594682941</v>
      </c>
      <c r="S26" s="259">
        <v>49036.782810907593</v>
      </c>
      <c r="U26" s="7" t="s">
        <v>3765</v>
      </c>
    </row>
    <row r="27" spans="1:21" s="65" customFormat="1" ht="16.5" thickBot="1">
      <c r="A27" s="41" t="s">
        <v>31</v>
      </c>
      <c r="B27" s="42">
        <f t="shared" si="0"/>
        <v>200</v>
      </c>
      <c r="C27" s="42" t="s">
        <v>3</v>
      </c>
      <c r="D27" s="42">
        <f t="shared" si="1"/>
        <v>200</v>
      </c>
      <c r="E27" s="42" t="s">
        <v>3</v>
      </c>
      <c r="F27" s="90">
        <f t="shared" si="2"/>
        <v>1500</v>
      </c>
      <c r="G27" s="42" t="s">
        <v>3</v>
      </c>
      <c r="H27" s="39">
        <v>4</v>
      </c>
      <c r="I27" s="40" t="s">
        <v>41</v>
      </c>
      <c r="J27" s="149">
        <v>200</v>
      </c>
      <c r="K27" s="66">
        <v>200</v>
      </c>
      <c r="L27" s="66">
        <v>1500</v>
      </c>
      <c r="M27" s="164">
        <v>18.441964499590501</v>
      </c>
      <c r="N27" s="78">
        <v>1026.7889999999998</v>
      </c>
      <c r="O27" s="113">
        <v>28559.230486039072</v>
      </c>
      <c r="P27" s="161">
        <v>34976.852406901118</v>
      </c>
      <c r="Q27" s="110">
        <v>16166.036486417688</v>
      </c>
      <c r="R27" s="263">
        <v>44725.26697245676</v>
      </c>
      <c r="S27" s="259">
        <v>51142.888893318806</v>
      </c>
      <c r="U27" s="7" t="s">
        <v>3766</v>
      </c>
    </row>
    <row r="28" spans="1:21" s="65" customFormat="1" ht="16.5" thickBot="1">
      <c r="A28" s="41" t="s">
        <v>31</v>
      </c>
      <c r="B28" s="42">
        <f t="shared" si="0"/>
        <v>200</v>
      </c>
      <c r="C28" s="42" t="s">
        <v>3</v>
      </c>
      <c r="D28" s="42">
        <f t="shared" si="1"/>
        <v>200</v>
      </c>
      <c r="E28" s="42" t="s">
        <v>3</v>
      </c>
      <c r="F28" s="90">
        <f t="shared" si="2"/>
        <v>1550</v>
      </c>
      <c r="G28" s="42" t="s">
        <v>3</v>
      </c>
      <c r="H28" s="39">
        <v>4</v>
      </c>
      <c r="I28" s="40" t="s">
        <v>41</v>
      </c>
      <c r="J28" s="149">
        <v>200</v>
      </c>
      <c r="K28" s="66">
        <v>200</v>
      </c>
      <c r="L28" s="66">
        <v>1550</v>
      </c>
      <c r="M28" s="164">
        <v>19.001090865962496</v>
      </c>
      <c r="N28" s="78">
        <v>1071.4319999999998</v>
      </c>
      <c r="O28" s="113">
        <v>29312.594463382284</v>
      </c>
      <c r="P28" s="161">
        <v>35923.667455047085</v>
      </c>
      <c r="Q28" s="110">
        <v>16556.712955659972</v>
      </c>
      <c r="R28" s="263">
        <v>45869.307419042256</v>
      </c>
      <c r="S28" s="259">
        <v>52480.380410707061</v>
      </c>
      <c r="U28" s="7" t="s">
        <v>3767</v>
      </c>
    </row>
    <row r="29" spans="1:21" s="65" customFormat="1" ht="16.5" thickBot="1">
      <c r="A29" s="38" t="s">
        <v>31</v>
      </c>
      <c r="B29" s="39">
        <f t="shared" si="0"/>
        <v>200</v>
      </c>
      <c r="C29" s="39" t="s">
        <v>3</v>
      </c>
      <c r="D29" s="39">
        <f t="shared" si="1"/>
        <v>200</v>
      </c>
      <c r="E29" s="39" t="s">
        <v>3</v>
      </c>
      <c r="F29" s="90">
        <f t="shared" si="2"/>
        <v>1600</v>
      </c>
      <c r="G29" s="39" t="s">
        <v>3</v>
      </c>
      <c r="H29" s="39">
        <v>4</v>
      </c>
      <c r="I29" s="40" t="s">
        <v>41</v>
      </c>
      <c r="J29" s="149">
        <v>200</v>
      </c>
      <c r="K29" s="66">
        <v>200</v>
      </c>
      <c r="L29" s="66">
        <v>1600</v>
      </c>
      <c r="M29" s="164">
        <v>19.560217232334502</v>
      </c>
      <c r="N29" s="78">
        <v>1116.0749999999998</v>
      </c>
      <c r="O29" s="113">
        <v>30065.983537442971</v>
      </c>
      <c r="P29" s="161">
        <v>36870.533824547027</v>
      </c>
      <c r="Q29" s="110">
        <v>16947.389271873493</v>
      </c>
      <c r="R29" s="263">
        <v>47013.372809316468</v>
      </c>
      <c r="S29" s="259">
        <v>53817.92309642052</v>
      </c>
      <c r="U29" s="7" t="s">
        <v>3768</v>
      </c>
    </row>
    <row r="30" spans="1:21" s="65" customFormat="1" ht="16.5" thickBot="1">
      <c r="A30" s="41" t="s">
        <v>31</v>
      </c>
      <c r="B30" s="42">
        <f t="shared" si="0"/>
        <v>200</v>
      </c>
      <c r="C30" s="42" t="s">
        <v>3</v>
      </c>
      <c r="D30" s="42">
        <f t="shared" si="1"/>
        <v>200</v>
      </c>
      <c r="E30" s="42" t="s">
        <v>3</v>
      </c>
      <c r="F30" s="90">
        <f t="shared" si="2"/>
        <v>1650</v>
      </c>
      <c r="G30" s="42" t="s">
        <v>3</v>
      </c>
      <c r="H30" s="39">
        <v>4</v>
      </c>
      <c r="I30" s="40" t="s">
        <v>41</v>
      </c>
      <c r="J30" s="149">
        <v>200</v>
      </c>
      <c r="K30" s="66">
        <v>200</v>
      </c>
      <c r="L30" s="66">
        <v>1650</v>
      </c>
      <c r="M30" s="164">
        <v>20.1355315987065</v>
      </c>
      <c r="N30" s="78">
        <v>1160.7179999999998</v>
      </c>
      <c r="O30" s="113">
        <v>30819.396177933486</v>
      </c>
      <c r="P30" s="161">
        <v>37817.447951309288</v>
      </c>
      <c r="Q30" s="110">
        <v>17589.399725870782</v>
      </c>
      <c r="R30" s="263">
        <v>48408.795903804268</v>
      </c>
      <c r="S30" s="259">
        <v>55406.847677180071</v>
      </c>
      <c r="U30" s="7" t="s">
        <v>3769</v>
      </c>
    </row>
    <row r="31" spans="1:21" s="65" customFormat="1" ht="16.5" thickBot="1">
      <c r="A31" s="41" t="s">
        <v>31</v>
      </c>
      <c r="B31" s="42">
        <f t="shared" si="0"/>
        <v>200</v>
      </c>
      <c r="C31" s="42" t="s">
        <v>3</v>
      </c>
      <c r="D31" s="42">
        <f t="shared" si="1"/>
        <v>200</v>
      </c>
      <c r="E31" s="42" t="s">
        <v>3</v>
      </c>
      <c r="F31" s="90">
        <f t="shared" si="2"/>
        <v>1700</v>
      </c>
      <c r="G31" s="42" t="s">
        <v>3</v>
      </c>
      <c r="H31" s="39">
        <v>4</v>
      </c>
      <c r="I31" s="40" t="s">
        <v>41</v>
      </c>
      <c r="J31" s="149">
        <v>200</v>
      </c>
      <c r="K31" s="66">
        <v>200</v>
      </c>
      <c r="L31" s="66">
        <v>1700</v>
      </c>
      <c r="M31" s="164">
        <v>20.694657965078498</v>
      </c>
      <c r="N31" s="78">
        <v>1205.3609999999999</v>
      </c>
      <c r="O31" s="113">
        <v>31572.830701537419</v>
      </c>
      <c r="P31" s="161">
        <v>38764.40659379393</v>
      </c>
      <c r="Q31" s="110">
        <v>17980.076042084303</v>
      </c>
      <c r="R31" s="263">
        <v>49552.906743621723</v>
      </c>
      <c r="S31" s="259">
        <v>56744.48263587823</v>
      </c>
      <c r="U31" s="7" t="s">
        <v>3770</v>
      </c>
    </row>
    <row r="32" spans="1:21" s="65" customFormat="1" ht="16.5" thickBot="1">
      <c r="A32" s="41" t="s">
        <v>31</v>
      </c>
      <c r="B32" s="42">
        <f t="shared" si="0"/>
        <v>200</v>
      </c>
      <c r="C32" s="42" t="s">
        <v>3</v>
      </c>
      <c r="D32" s="42">
        <f t="shared" si="1"/>
        <v>200</v>
      </c>
      <c r="E32" s="42" t="s">
        <v>3</v>
      </c>
      <c r="F32" s="90">
        <f t="shared" si="2"/>
        <v>1750</v>
      </c>
      <c r="G32" s="42" t="s">
        <v>3</v>
      </c>
      <c r="H32" s="39">
        <v>4</v>
      </c>
      <c r="I32" s="40" t="s">
        <v>41</v>
      </c>
      <c r="J32" s="149">
        <v>200</v>
      </c>
      <c r="K32" s="66">
        <v>200</v>
      </c>
      <c r="L32" s="66">
        <v>1750</v>
      </c>
      <c r="M32" s="164">
        <v>21.269972331450496</v>
      </c>
      <c r="N32" s="78">
        <v>1250.0039999999997</v>
      </c>
      <c r="O32" s="113">
        <v>32326.285730995878</v>
      </c>
      <c r="P32" s="161">
        <v>39711.406797331518</v>
      </c>
      <c r="Q32" s="110">
        <v>18622.086496081592</v>
      </c>
      <c r="R32" s="263">
        <v>50948.372227077474</v>
      </c>
      <c r="S32" s="259">
        <v>58333.493293413107</v>
      </c>
      <c r="U32" s="7" t="s">
        <v>3771</v>
      </c>
    </row>
    <row r="33" spans="1:21" s="65" customFormat="1" ht="16.5" thickBot="1">
      <c r="A33" s="41" t="s">
        <v>31</v>
      </c>
      <c r="B33" s="42">
        <f t="shared" si="0"/>
        <v>200</v>
      </c>
      <c r="C33" s="42" t="s">
        <v>3</v>
      </c>
      <c r="D33" s="42">
        <f t="shared" si="1"/>
        <v>200</v>
      </c>
      <c r="E33" s="42" t="s">
        <v>3</v>
      </c>
      <c r="F33" s="90">
        <f t="shared" si="2"/>
        <v>1800</v>
      </c>
      <c r="G33" s="42" t="s">
        <v>3</v>
      </c>
      <c r="H33" s="39">
        <v>4</v>
      </c>
      <c r="I33" s="40" t="s">
        <v>41</v>
      </c>
      <c r="J33" s="149">
        <v>200</v>
      </c>
      <c r="K33" s="66">
        <v>200</v>
      </c>
      <c r="L33" s="66">
        <v>1800</v>
      </c>
      <c r="M33" s="164">
        <v>21.829098697822499</v>
      </c>
      <c r="N33" s="78">
        <v>1294.6469999999997</v>
      </c>
      <c r="O33" s="113">
        <v>33079.759889049972</v>
      </c>
      <c r="P33" s="161">
        <v>40658.445863075372</v>
      </c>
      <c r="Q33" s="110">
        <v>19012.762965323876</v>
      </c>
      <c r="R33" s="263">
        <v>52092.522854373849</v>
      </c>
      <c r="S33" s="259">
        <v>59671.208828399249</v>
      </c>
      <c r="U33" s="7" t="s">
        <v>3772</v>
      </c>
    </row>
    <row r="34" spans="1:21" s="65" customFormat="1" ht="16.5" thickBot="1">
      <c r="A34" s="41" t="s">
        <v>31</v>
      </c>
      <c r="B34" s="42">
        <f t="shared" si="0"/>
        <v>200</v>
      </c>
      <c r="C34" s="42" t="s">
        <v>3</v>
      </c>
      <c r="D34" s="42">
        <f t="shared" si="1"/>
        <v>200</v>
      </c>
      <c r="E34" s="42" t="s">
        <v>3</v>
      </c>
      <c r="F34" s="90">
        <f t="shared" si="2"/>
        <v>1850</v>
      </c>
      <c r="G34" s="42" t="s">
        <v>3</v>
      </c>
      <c r="H34" s="39">
        <v>4</v>
      </c>
      <c r="I34" s="40" t="s">
        <v>41</v>
      </c>
      <c r="J34" s="149">
        <v>200</v>
      </c>
      <c r="K34" s="66">
        <v>200</v>
      </c>
      <c r="L34" s="66">
        <v>1850</v>
      </c>
      <c r="M34" s="164">
        <v>22.4044130641945</v>
      </c>
      <c r="N34" s="78">
        <v>1339.29</v>
      </c>
      <c r="O34" s="113">
        <v>33833.251951469596</v>
      </c>
      <c r="P34" s="161">
        <v>41605.521320900814</v>
      </c>
      <c r="Q34" s="110">
        <v>19654.773419321165</v>
      </c>
      <c r="R34" s="263">
        <v>53488.025370790761</v>
      </c>
      <c r="S34" s="259">
        <v>61260.29474022198</v>
      </c>
      <c r="U34" s="7" t="s">
        <v>3773</v>
      </c>
    </row>
    <row r="35" spans="1:21" s="65" customFormat="1" ht="16.5" thickBot="1">
      <c r="A35" s="41" t="s">
        <v>31</v>
      </c>
      <c r="B35" s="42">
        <f t="shared" si="0"/>
        <v>200</v>
      </c>
      <c r="C35" s="42" t="s">
        <v>3</v>
      </c>
      <c r="D35" s="42">
        <f t="shared" si="1"/>
        <v>200</v>
      </c>
      <c r="E35" s="42" t="s">
        <v>3</v>
      </c>
      <c r="F35" s="90">
        <f t="shared" si="2"/>
        <v>1900</v>
      </c>
      <c r="G35" s="42" t="s">
        <v>3</v>
      </c>
      <c r="H35" s="39">
        <v>4</v>
      </c>
      <c r="I35" s="40" t="s">
        <v>41</v>
      </c>
      <c r="J35" s="149">
        <v>200</v>
      </c>
      <c r="K35" s="66">
        <v>200</v>
      </c>
      <c r="L35" s="66">
        <v>1900</v>
      </c>
      <c r="M35" s="164">
        <v>22.963539430566499</v>
      </c>
      <c r="N35" s="78">
        <v>1383.933</v>
      </c>
      <c r="O35" s="113">
        <v>34586.760847053374</v>
      </c>
      <c r="P35" s="161">
        <v>42552.630905678969</v>
      </c>
      <c r="Q35" s="110">
        <v>20045.449735534687</v>
      </c>
      <c r="R35" s="263">
        <v>54632.210582588057</v>
      </c>
      <c r="S35" s="259">
        <v>62598.080641213659</v>
      </c>
      <c r="U35" s="7" t="s">
        <v>3774</v>
      </c>
    </row>
    <row r="36" spans="1:21" s="65" customFormat="1" ht="16.5" thickBot="1">
      <c r="A36" s="41" t="s">
        <v>31</v>
      </c>
      <c r="B36" s="42">
        <f t="shared" si="0"/>
        <v>200</v>
      </c>
      <c r="C36" s="42" t="s">
        <v>3</v>
      </c>
      <c r="D36" s="42">
        <f t="shared" si="1"/>
        <v>200</v>
      </c>
      <c r="E36" s="42" t="s">
        <v>3</v>
      </c>
      <c r="F36" s="90">
        <f t="shared" si="2"/>
        <v>1950</v>
      </c>
      <c r="G36" s="42" t="s">
        <v>3</v>
      </c>
      <c r="H36" s="39">
        <v>4</v>
      </c>
      <c r="I36" s="40" t="s">
        <v>41</v>
      </c>
      <c r="J36" s="149">
        <v>200</v>
      </c>
      <c r="K36" s="66">
        <v>200</v>
      </c>
      <c r="L36" s="66">
        <v>1950</v>
      </c>
      <c r="M36" s="164">
        <v>23.5972407969385</v>
      </c>
      <c r="N36" s="78">
        <v>1428.576</v>
      </c>
      <c r="O36" s="113">
        <v>35420.406469098925</v>
      </c>
      <c r="P36" s="161">
        <v>43580.38279948345</v>
      </c>
      <c r="Q36" s="110">
        <v>20436.126051748208</v>
      </c>
      <c r="R36" s="263">
        <v>55856.532520847133</v>
      </c>
      <c r="S36" s="259">
        <v>64016.508851231658</v>
      </c>
      <c r="U36" s="7" t="s">
        <v>3775</v>
      </c>
    </row>
    <row r="37" spans="1:21" s="65" customFormat="1" ht="16.5" thickBot="1">
      <c r="A37" s="41" t="s">
        <v>31</v>
      </c>
      <c r="B37" s="42">
        <f t="shared" si="0"/>
        <v>200</v>
      </c>
      <c r="C37" s="42" t="s">
        <v>3</v>
      </c>
      <c r="D37" s="42">
        <f t="shared" si="1"/>
        <v>200</v>
      </c>
      <c r="E37" s="42" t="s">
        <v>3</v>
      </c>
      <c r="F37" s="90">
        <f t="shared" si="2"/>
        <v>2000</v>
      </c>
      <c r="G37" s="42" t="s">
        <v>3</v>
      </c>
      <c r="H37" s="39">
        <v>4</v>
      </c>
      <c r="I37" s="40" t="s">
        <v>41</v>
      </c>
      <c r="J37" s="149">
        <v>200</v>
      </c>
      <c r="K37" s="66">
        <v>200</v>
      </c>
      <c r="L37" s="66">
        <v>2000</v>
      </c>
      <c r="M37" s="164">
        <v>24.259539443310498</v>
      </c>
      <c r="N37" s="78">
        <v>1473.2189999999998</v>
      </c>
      <c r="O37" s="113">
        <v>36405.810870547713</v>
      </c>
      <c r="P37" s="161">
        <v>44842.970896428924</v>
      </c>
      <c r="Q37" s="110">
        <v>21078.136658774263</v>
      </c>
      <c r="R37" s="263">
        <v>57483.947529321973</v>
      </c>
      <c r="S37" s="259">
        <v>65921.107555203183</v>
      </c>
      <c r="U37" s="7" t="s">
        <v>3776</v>
      </c>
    </row>
    <row r="38" spans="1:21" s="65" customFormat="1" ht="16.5" thickBot="1">
      <c r="A38" s="41" t="s">
        <v>31</v>
      </c>
      <c r="B38" s="42">
        <f t="shared" si="0"/>
        <v>200</v>
      </c>
      <c r="C38" s="42" t="s">
        <v>3</v>
      </c>
      <c r="D38" s="42">
        <f t="shared" si="1"/>
        <v>200</v>
      </c>
      <c r="E38" s="42" t="s">
        <v>3</v>
      </c>
      <c r="F38" s="90">
        <f t="shared" si="2"/>
        <v>2050</v>
      </c>
      <c r="G38" s="42" t="s">
        <v>3</v>
      </c>
      <c r="H38" s="39">
        <v>4</v>
      </c>
      <c r="I38" s="40" t="s">
        <v>41</v>
      </c>
      <c r="J38" s="149">
        <v>200</v>
      </c>
      <c r="K38" s="66">
        <v>200</v>
      </c>
      <c r="L38" s="66">
        <v>2050</v>
      </c>
      <c r="M38" s="164">
        <v>24.8186658096825</v>
      </c>
      <c r="N38" s="78">
        <v>1517.8619999999999</v>
      </c>
      <c r="O38" s="113">
        <v>37164.516469966373</v>
      </c>
      <c r="P38" s="161">
        <v>45796.519311195909</v>
      </c>
      <c r="Q38" s="110">
        <v>21468.812974987781</v>
      </c>
      <c r="R38" s="263">
        <v>58633.329444954157</v>
      </c>
      <c r="S38" s="259">
        <v>67265.332286183693</v>
      </c>
      <c r="U38" s="7" t="s">
        <v>3777</v>
      </c>
    </row>
    <row r="39" spans="1:21" s="65" customFormat="1" ht="16.5" thickBot="1">
      <c r="A39" s="38" t="s">
        <v>31</v>
      </c>
      <c r="B39" s="39">
        <f t="shared" si="0"/>
        <v>200</v>
      </c>
      <c r="C39" s="39" t="s">
        <v>3</v>
      </c>
      <c r="D39" s="39">
        <f t="shared" si="1"/>
        <v>200</v>
      </c>
      <c r="E39" s="39" t="s">
        <v>3</v>
      </c>
      <c r="F39" s="90">
        <f t="shared" si="2"/>
        <v>2100</v>
      </c>
      <c r="G39" s="39" t="s">
        <v>3</v>
      </c>
      <c r="H39" s="39">
        <v>4</v>
      </c>
      <c r="I39" s="40" t="s">
        <v>41</v>
      </c>
      <c r="J39" s="149">
        <v>200</v>
      </c>
      <c r="K39" s="66">
        <v>200</v>
      </c>
      <c r="L39" s="66">
        <v>2100</v>
      </c>
      <c r="M39" s="164">
        <v>25.393980176054495</v>
      </c>
      <c r="N39" s="78">
        <v>1562.5049999999999</v>
      </c>
      <c r="O39" s="113">
        <v>37917.919775702219</v>
      </c>
      <c r="P39" s="161">
        <v>46743.546684367</v>
      </c>
      <c r="Q39" s="110">
        <v>22110.823428985073</v>
      </c>
      <c r="R39" s="263">
        <v>60028.743204687293</v>
      </c>
      <c r="S39" s="259">
        <v>68854.370113352081</v>
      </c>
      <c r="U39" s="7" t="s">
        <v>3778</v>
      </c>
    </row>
    <row r="40" spans="1:21" s="65" customFormat="1" ht="16.5" thickBot="1">
      <c r="A40" s="41" t="s">
        <v>31</v>
      </c>
      <c r="B40" s="42">
        <f t="shared" si="0"/>
        <v>200</v>
      </c>
      <c r="C40" s="42" t="s">
        <v>3</v>
      </c>
      <c r="D40" s="42">
        <f t="shared" si="1"/>
        <v>200</v>
      </c>
      <c r="E40" s="42" t="s">
        <v>3</v>
      </c>
      <c r="F40" s="90">
        <f t="shared" si="2"/>
        <v>2150</v>
      </c>
      <c r="G40" s="42" t="s">
        <v>3</v>
      </c>
      <c r="H40" s="39">
        <v>4</v>
      </c>
      <c r="I40" s="40" t="s">
        <v>41</v>
      </c>
      <c r="J40" s="149">
        <v>200</v>
      </c>
      <c r="K40" s="66">
        <v>200</v>
      </c>
      <c r="L40" s="66">
        <v>2150</v>
      </c>
      <c r="M40" s="164">
        <v>25.9531065424265</v>
      </c>
      <c r="N40" s="78">
        <v>1607.1479999999999</v>
      </c>
      <c r="O40" s="113">
        <v>38671.341138832351</v>
      </c>
      <c r="P40" s="161">
        <v>47690.606015006895</v>
      </c>
      <c r="Q40" s="110">
        <v>22501.499745198591</v>
      </c>
      <c r="R40" s="263">
        <v>61172.840884030942</v>
      </c>
      <c r="S40" s="259">
        <v>70192.105760205479</v>
      </c>
      <c r="U40" s="7" t="s">
        <v>3779</v>
      </c>
    </row>
    <row r="41" spans="1:21" s="65" customFormat="1" ht="16.5" thickBot="1">
      <c r="A41" s="41" t="s">
        <v>31</v>
      </c>
      <c r="B41" s="42">
        <f t="shared" si="0"/>
        <v>200</v>
      </c>
      <c r="C41" s="42" t="s">
        <v>3</v>
      </c>
      <c r="D41" s="42">
        <f t="shared" si="1"/>
        <v>200</v>
      </c>
      <c r="E41" s="42" t="s">
        <v>3</v>
      </c>
      <c r="F41" s="90">
        <f t="shared" si="2"/>
        <v>2200</v>
      </c>
      <c r="G41" s="42" t="s">
        <v>3</v>
      </c>
      <c r="H41" s="39">
        <v>4</v>
      </c>
      <c r="I41" s="40" t="s">
        <v>41</v>
      </c>
      <c r="J41" s="149">
        <v>200</v>
      </c>
      <c r="K41" s="66">
        <v>200</v>
      </c>
      <c r="L41" s="66">
        <v>2200</v>
      </c>
      <c r="M41" s="164">
        <v>26.528420908798498</v>
      </c>
      <c r="N41" s="78">
        <v>1651.7909999999999</v>
      </c>
      <c r="O41" s="113">
        <v>39424.77964118417</v>
      </c>
      <c r="P41" s="161">
        <v>48637.695575062455</v>
      </c>
      <c r="Q41" s="110">
        <v>23143.510199195884</v>
      </c>
      <c r="R41" s="263">
        <v>62568.28984038005</v>
      </c>
      <c r="S41" s="259">
        <v>71781.205774258342</v>
      </c>
      <c r="U41" s="7" t="s">
        <v>3780</v>
      </c>
    </row>
    <row r="42" spans="1:21" s="65" customFormat="1" ht="16.5" thickBot="1">
      <c r="A42" s="41" t="s">
        <v>31</v>
      </c>
      <c r="B42" s="42">
        <f t="shared" si="0"/>
        <v>200</v>
      </c>
      <c r="C42" s="42" t="s">
        <v>3</v>
      </c>
      <c r="D42" s="42">
        <f t="shared" si="1"/>
        <v>200</v>
      </c>
      <c r="E42" s="42" t="s">
        <v>3</v>
      </c>
      <c r="F42" s="90">
        <f t="shared" si="2"/>
        <v>2250</v>
      </c>
      <c r="G42" s="42" t="s">
        <v>3</v>
      </c>
      <c r="H42" s="39">
        <v>4</v>
      </c>
      <c r="I42" s="40" t="s">
        <v>41</v>
      </c>
      <c r="J42" s="149">
        <v>200</v>
      </c>
      <c r="K42" s="66">
        <v>200</v>
      </c>
      <c r="L42" s="66">
        <v>2250</v>
      </c>
      <c r="M42" s="164">
        <v>27.087547275170497</v>
      </c>
      <c r="N42" s="78">
        <v>1696.4339999999997</v>
      </c>
      <c r="O42" s="113">
        <v>40178.234364585092</v>
      </c>
      <c r="P42" s="161">
        <v>49584.813758864198</v>
      </c>
      <c r="Q42" s="110">
        <v>23534.186668438168</v>
      </c>
      <c r="R42" s="263">
        <v>63712.42103302326</v>
      </c>
      <c r="S42" s="259">
        <v>73119.000427302366</v>
      </c>
      <c r="U42" s="7" t="s">
        <v>3781</v>
      </c>
    </row>
    <row r="43" spans="1:21" s="65" customFormat="1" ht="16.5" thickBot="1">
      <c r="A43" s="41" t="s">
        <v>31</v>
      </c>
      <c r="B43" s="42">
        <f t="shared" si="0"/>
        <v>200</v>
      </c>
      <c r="C43" s="42" t="s">
        <v>3</v>
      </c>
      <c r="D43" s="42">
        <f t="shared" si="1"/>
        <v>200</v>
      </c>
      <c r="E43" s="42" t="s">
        <v>3</v>
      </c>
      <c r="F43" s="90">
        <f t="shared" si="2"/>
        <v>2300</v>
      </c>
      <c r="G43" s="42" t="s">
        <v>3</v>
      </c>
      <c r="H43" s="39">
        <v>4</v>
      </c>
      <c r="I43" s="40" t="s">
        <v>41</v>
      </c>
      <c r="J43" s="149">
        <v>200</v>
      </c>
      <c r="K43" s="66">
        <v>200</v>
      </c>
      <c r="L43" s="66">
        <v>2300</v>
      </c>
      <c r="M43" s="164">
        <v>27.646673641542499</v>
      </c>
      <c r="N43" s="78">
        <v>1741.0769999999998</v>
      </c>
      <c r="O43" s="113">
        <v>40931.704543891305</v>
      </c>
      <c r="P43" s="161">
        <v>50531.959072479833</v>
      </c>
      <c r="Q43" s="110">
        <v>23924.862984651689</v>
      </c>
      <c r="R43" s="263">
        <v>64856.56752854299</v>
      </c>
      <c r="S43" s="259">
        <v>74456.822057131518</v>
      </c>
      <c r="U43" s="7" t="s">
        <v>3782</v>
      </c>
    </row>
    <row r="44" spans="1:21" s="65" customFormat="1" ht="16.5" thickBot="1">
      <c r="A44" s="41" t="s">
        <v>31</v>
      </c>
      <c r="B44" s="42">
        <f t="shared" si="0"/>
        <v>200</v>
      </c>
      <c r="C44" s="42" t="s">
        <v>3</v>
      </c>
      <c r="D44" s="42">
        <f t="shared" si="1"/>
        <v>200</v>
      </c>
      <c r="E44" s="42" t="s">
        <v>3</v>
      </c>
      <c r="F44" s="90">
        <f t="shared" si="2"/>
        <v>2350</v>
      </c>
      <c r="G44" s="42" t="s">
        <v>3</v>
      </c>
      <c r="H44" s="39">
        <v>4</v>
      </c>
      <c r="I44" s="40" t="s">
        <v>41</v>
      </c>
      <c r="J44" s="149">
        <v>200</v>
      </c>
      <c r="K44" s="66">
        <v>200</v>
      </c>
      <c r="L44" s="66">
        <v>2350</v>
      </c>
      <c r="M44" s="164">
        <v>28.221988007914501</v>
      </c>
      <c r="N44" s="78">
        <v>1785.7199999999998</v>
      </c>
      <c r="O44" s="113">
        <v>41687.668020867692</v>
      </c>
      <c r="P44" s="161">
        <v>51482.19126812429</v>
      </c>
      <c r="Q44" s="110">
        <v>24566.873438648978</v>
      </c>
      <c r="R44" s="263">
        <v>66254.541459516666</v>
      </c>
      <c r="S44" s="259">
        <v>76049.064706773264</v>
      </c>
      <c r="U44" s="7" t="s">
        <v>3783</v>
      </c>
    </row>
    <row r="45" spans="1:21" s="65" customFormat="1" ht="16.5" thickBot="1">
      <c r="A45" s="41" t="s">
        <v>31</v>
      </c>
      <c r="B45" s="42">
        <f t="shared" si="0"/>
        <v>200</v>
      </c>
      <c r="C45" s="42" t="s">
        <v>3</v>
      </c>
      <c r="D45" s="42">
        <f t="shared" si="1"/>
        <v>200</v>
      </c>
      <c r="E45" s="42" t="s">
        <v>3</v>
      </c>
      <c r="F45" s="90">
        <f t="shared" si="2"/>
        <v>2400</v>
      </c>
      <c r="G45" s="42" t="s">
        <v>3</v>
      </c>
      <c r="H45" s="39">
        <v>4</v>
      </c>
      <c r="I45" s="40" t="s">
        <v>41</v>
      </c>
      <c r="J45" s="149">
        <v>200</v>
      </c>
      <c r="K45" s="66">
        <v>200</v>
      </c>
      <c r="L45" s="66">
        <v>2400</v>
      </c>
      <c r="M45" s="164">
        <v>28.781114374286496</v>
      </c>
      <c r="N45" s="78">
        <v>1830.3629999999996</v>
      </c>
      <c r="O45" s="113">
        <v>42382.312106514662</v>
      </c>
      <c r="P45" s="161">
        <v>52356.682236430061</v>
      </c>
      <c r="Q45" s="110">
        <v>24957.549754862499</v>
      </c>
      <c r="R45" s="263">
        <v>67339.861861377169</v>
      </c>
      <c r="S45" s="259">
        <v>77314.23199129256</v>
      </c>
      <c r="U45" s="7" t="s">
        <v>3784</v>
      </c>
    </row>
    <row r="46" spans="1:21" s="65" customFormat="1" ht="16.5" thickBot="1">
      <c r="A46" s="41" t="s">
        <v>31</v>
      </c>
      <c r="B46" s="42">
        <f t="shared" si="0"/>
        <v>200</v>
      </c>
      <c r="C46" s="42" t="s">
        <v>3</v>
      </c>
      <c r="D46" s="42">
        <f t="shared" si="1"/>
        <v>200</v>
      </c>
      <c r="E46" s="42" t="s">
        <v>3</v>
      </c>
      <c r="F46" s="90">
        <f t="shared" si="2"/>
        <v>2450</v>
      </c>
      <c r="G46" s="42" t="s">
        <v>3</v>
      </c>
      <c r="H46" s="39">
        <v>4</v>
      </c>
      <c r="I46" s="40" t="s">
        <v>41</v>
      </c>
      <c r="J46" s="149">
        <v>200</v>
      </c>
      <c r="K46" s="66">
        <v>200</v>
      </c>
      <c r="L46" s="66">
        <v>2450</v>
      </c>
      <c r="M46" s="164">
        <v>29.514044050020495</v>
      </c>
      <c r="N46" s="78">
        <v>1875.0059999999999</v>
      </c>
      <c r="O46" s="113">
        <v>43771.163992799236</v>
      </c>
      <c r="P46" s="161">
        <v>53900.668248245987</v>
      </c>
      <c r="Q46" s="110">
        <v>25599.560361888554</v>
      </c>
      <c r="R46" s="263">
        <v>69370.724354687787</v>
      </c>
      <c r="S46" s="259">
        <v>79500.228610134538</v>
      </c>
      <c r="U46" s="7" t="s">
        <v>3785</v>
      </c>
    </row>
    <row r="47" spans="1:21" s="65" customFormat="1" ht="16.5" thickBot="1">
      <c r="A47" s="41" t="s">
        <v>31</v>
      </c>
      <c r="B47" s="42">
        <f t="shared" si="0"/>
        <v>200</v>
      </c>
      <c r="C47" s="42" t="s">
        <v>3</v>
      </c>
      <c r="D47" s="42">
        <f t="shared" si="1"/>
        <v>200</v>
      </c>
      <c r="E47" s="42" t="s">
        <v>3</v>
      </c>
      <c r="F47" s="90">
        <f t="shared" si="2"/>
        <v>2500</v>
      </c>
      <c r="G47" s="42" t="s">
        <v>3</v>
      </c>
      <c r="H47" s="39">
        <v>4</v>
      </c>
      <c r="I47" s="40" t="s">
        <v>41</v>
      </c>
      <c r="J47" s="149">
        <v>200</v>
      </c>
      <c r="K47" s="66">
        <v>200</v>
      </c>
      <c r="L47" s="66">
        <v>2500</v>
      </c>
      <c r="M47" s="164">
        <v>30.0731704163925</v>
      </c>
      <c r="N47" s="78">
        <v>1919.6489999999997</v>
      </c>
      <c r="O47" s="113">
        <v>44505.12912570261</v>
      </c>
      <c r="P47" s="161">
        <v>54823.752595753431</v>
      </c>
      <c r="Q47" s="110">
        <v>25990.236678102072</v>
      </c>
      <c r="R47" s="263">
        <v>70495.365803804685</v>
      </c>
      <c r="S47" s="259">
        <v>80813.989273855506</v>
      </c>
      <c r="U47" s="7" t="s">
        <v>3786</v>
      </c>
    </row>
    <row r="48" spans="1:21" s="65" customFormat="1" ht="16.5" thickBot="1">
      <c r="A48" s="41" t="s">
        <v>31</v>
      </c>
      <c r="B48" s="42">
        <f t="shared" si="0"/>
        <v>200</v>
      </c>
      <c r="C48" s="42" t="s">
        <v>3</v>
      </c>
      <c r="D48" s="42">
        <f t="shared" si="1"/>
        <v>200</v>
      </c>
      <c r="E48" s="42" t="s">
        <v>3</v>
      </c>
      <c r="F48" s="90">
        <f t="shared" si="2"/>
        <v>2550</v>
      </c>
      <c r="G48" s="42" t="s">
        <v>3</v>
      </c>
      <c r="H48" s="39">
        <v>4</v>
      </c>
      <c r="I48" s="40" t="s">
        <v>41</v>
      </c>
      <c r="J48" s="149">
        <v>200</v>
      </c>
      <c r="K48" s="66">
        <v>200</v>
      </c>
      <c r="L48" s="66">
        <v>2550</v>
      </c>
      <c r="M48" s="164">
        <v>30.648484782764498</v>
      </c>
      <c r="N48" s="78">
        <v>1964.2919999999999</v>
      </c>
      <c r="O48" s="113">
        <v>45259.064971541091</v>
      </c>
      <c r="P48" s="161">
        <v>55771.438225284845</v>
      </c>
      <c r="Q48" s="110">
        <v>26632.247132099365</v>
      </c>
      <c r="R48" s="263">
        <v>71891.312103640463</v>
      </c>
      <c r="S48" s="259">
        <v>82403.685357384209</v>
      </c>
      <c r="U48" s="7" t="s">
        <v>3787</v>
      </c>
    </row>
    <row r="49" spans="1:21" s="65" customFormat="1" ht="16.5" thickBot="1">
      <c r="A49" s="38" t="s">
        <v>31</v>
      </c>
      <c r="B49" s="39">
        <f t="shared" si="0"/>
        <v>200</v>
      </c>
      <c r="C49" s="39" t="s">
        <v>3</v>
      </c>
      <c r="D49" s="39">
        <f t="shared" si="1"/>
        <v>200</v>
      </c>
      <c r="E49" s="39" t="s">
        <v>3</v>
      </c>
      <c r="F49" s="90">
        <f t="shared" si="2"/>
        <v>2600</v>
      </c>
      <c r="G49" s="39" t="s">
        <v>3</v>
      </c>
      <c r="H49" s="39">
        <v>4</v>
      </c>
      <c r="I49" s="40" t="s">
        <v>41</v>
      </c>
      <c r="J49" s="149">
        <v>200</v>
      </c>
      <c r="K49" s="66">
        <v>200</v>
      </c>
      <c r="L49" s="66">
        <v>2600</v>
      </c>
      <c r="M49" s="164">
        <v>31.207611149136504</v>
      </c>
      <c r="N49" s="78">
        <v>2008.9349999999997</v>
      </c>
      <c r="O49" s="113">
        <v>46012.425582251461</v>
      </c>
      <c r="P49" s="161">
        <v>56718.423193609575</v>
      </c>
      <c r="Q49" s="110">
        <v>27022.923448312882</v>
      </c>
      <c r="R49" s="263">
        <v>73035.349030564335</v>
      </c>
      <c r="S49" s="259">
        <v>83741.346641922457</v>
      </c>
      <c r="U49" s="7" t="s">
        <v>3788</v>
      </c>
    </row>
    <row r="50" spans="1:21" s="65" customFormat="1" ht="16.5" thickBot="1">
      <c r="A50" s="41" t="s">
        <v>31</v>
      </c>
      <c r="B50" s="42">
        <f t="shared" si="0"/>
        <v>200</v>
      </c>
      <c r="C50" s="42" t="s">
        <v>3</v>
      </c>
      <c r="D50" s="42">
        <f t="shared" si="1"/>
        <v>200</v>
      </c>
      <c r="E50" s="42" t="s">
        <v>3</v>
      </c>
      <c r="F50" s="90">
        <f t="shared" si="2"/>
        <v>2650</v>
      </c>
      <c r="G50" s="42" t="s">
        <v>3</v>
      </c>
      <c r="H50" s="39">
        <v>4</v>
      </c>
      <c r="I50" s="40" t="s">
        <v>41</v>
      </c>
      <c r="J50" s="149">
        <v>200</v>
      </c>
      <c r="K50" s="66">
        <v>200</v>
      </c>
      <c r="L50" s="66">
        <v>2650</v>
      </c>
      <c r="M50" s="164">
        <v>31.782925515508502</v>
      </c>
      <c r="N50" s="78">
        <v>2053.5779999999995</v>
      </c>
      <c r="O50" s="113">
        <v>46765.802414010941</v>
      </c>
      <c r="P50" s="161">
        <v>57665.43570745222</v>
      </c>
      <c r="Q50" s="110">
        <v>27664.933902310175</v>
      </c>
      <c r="R50" s="263">
        <v>74430.736316321112</v>
      </c>
      <c r="S50" s="259">
        <v>85330.369609762391</v>
      </c>
      <c r="U50" s="7" t="s">
        <v>3789</v>
      </c>
    </row>
    <row r="51" spans="1:21" s="65" customFormat="1" ht="16.5" thickBot="1">
      <c r="A51" s="41" t="s">
        <v>31</v>
      </c>
      <c r="B51" s="42">
        <f t="shared" si="0"/>
        <v>200</v>
      </c>
      <c r="C51" s="42" t="s">
        <v>3</v>
      </c>
      <c r="D51" s="42">
        <f t="shared" si="1"/>
        <v>200</v>
      </c>
      <c r="E51" s="42" t="s">
        <v>3</v>
      </c>
      <c r="F51" s="90">
        <f t="shared" si="2"/>
        <v>2700</v>
      </c>
      <c r="G51" s="42" t="s">
        <v>3</v>
      </c>
      <c r="H51" s="39">
        <v>4</v>
      </c>
      <c r="I51" s="40" t="s">
        <v>41</v>
      </c>
      <c r="J51" s="149">
        <v>200</v>
      </c>
      <c r="K51" s="66">
        <v>200</v>
      </c>
      <c r="L51" s="66">
        <v>2700</v>
      </c>
      <c r="M51" s="164">
        <v>32.416626881880504</v>
      </c>
      <c r="N51" s="78">
        <v>2098.221</v>
      </c>
      <c r="O51" s="113">
        <v>47599.453851149578</v>
      </c>
      <c r="P51" s="161">
        <v>58693.223615398703</v>
      </c>
      <c r="Q51" s="110">
        <v>28055.610371552459</v>
      </c>
      <c r="R51" s="263">
        <v>75655.064222702029</v>
      </c>
      <c r="S51" s="259">
        <v>86748.833986951155</v>
      </c>
      <c r="U51" s="7" t="s">
        <v>3790</v>
      </c>
    </row>
    <row r="52" spans="1:21" s="65" customFormat="1" ht="16.5" thickBot="1">
      <c r="A52" s="41" t="s">
        <v>31</v>
      </c>
      <c r="B52" s="42">
        <f t="shared" si="0"/>
        <v>200</v>
      </c>
      <c r="C52" s="42" t="s">
        <v>3</v>
      </c>
      <c r="D52" s="42">
        <f t="shared" si="1"/>
        <v>200</v>
      </c>
      <c r="E52" s="42" t="s">
        <v>3</v>
      </c>
      <c r="F52" s="90">
        <f t="shared" si="2"/>
        <v>2750</v>
      </c>
      <c r="G52" s="42" t="s">
        <v>3</v>
      </c>
      <c r="H52" s="39">
        <v>4</v>
      </c>
      <c r="I52" s="40" t="s">
        <v>41</v>
      </c>
      <c r="J52" s="149">
        <v>200</v>
      </c>
      <c r="K52" s="66">
        <v>200</v>
      </c>
      <c r="L52" s="66">
        <v>2750</v>
      </c>
      <c r="M52" s="164">
        <v>32.975753248252502</v>
      </c>
      <c r="N52" s="78">
        <v>2142.8639999999996</v>
      </c>
      <c r="O52" s="113">
        <v>48352.876285481056</v>
      </c>
      <c r="P52" s="161">
        <v>59640.303119615652</v>
      </c>
      <c r="Q52" s="110">
        <v>28446.286687765976</v>
      </c>
      <c r="R52" s="263">
        <v>76799.162973247032</v>
      </c>
      <c r="S52" s="259">
        <v>88086.589807381621</v>
      </c>
      <c r="U52" s="7" t="s">
        <v>3791</v>
      </c>
    </row>
    <row r="53" spans="1:21" s="65" customFormat="1" ht="16.5" thickBot="1">
      <c r="A53" s="41" t="s">
        <v>31</v>
      </c>
      <c r="B53" s="42">
        <f t="shared" si="0"/>
        <v>200</v>
      </c>
      <c r="C53" s="42" t="s">
        <v>3</v>
      </c>
      <c r="D53" s="42">
        <f t="shared" si="1"/>
        <v>200</v>
      </c>
      <c r="E53" s="42" t="s">
        <v>3</v>
      </c>
      <c r="F53" s="90">
        <f t="shared" si="2"/>
        <v>2800</v>
      </c>
      <c r="G53" s="42" t="s">
        <v>3</v>
      </c>
      <c r="H53" s="39">
        <v>4</v>
      </c>
      <c r="I53" s="40" t="s">
        <v>41</v>
      </c>
      <c r="J53" s="149">
        <v>200</v>
      </c>
      <c r="K53" s="66">
        <v>200</v>
      </c>
      <c r="L53" s="66">
        <v>2800</v>
      </c>
      <c r="M53" s="164">
        <v>33.5510676146245</v>
      </c>
      <c r="N53" s="78">
        <v>2187.5070000000001</v>
      </c>
      <c r="O53" s="113">
        <v>49106.312492401405</v>
      </c>
      <c r="P53" s="161">
        <v>60587.406247743405</v>
      </c>
      <c r="Q53" s="110">
        <v>29088.297141763269</v>
      </c>
      <c r="R53" s="263">
        <v>78194.609634164677</v>
      </c>
      <c r="S53" s="259">
        <v>89675.703389506671</v>
      </c>
      <c r="U53" s="7" t="s">
        <v>3792</v>
      </c>
    </row>
    <row r="54" spans="1:21" s="65" customFormat="1" ht="16.5" thickBot="1">
      <c r="A54" s="41" t="s">
        <v>31</v>
      </c>
      <c r="B54" s="42">
        <f t="shared" si="0"/>
        <v>200</v>
      </c>
      <c r="C54" s="42" t="s">
        <v>3</v>
      </c>
      <c r="D54" s="42">
        <f t="shared" si="1"/>
        <v>200</v>
      </c>
      <c r="E54" s="42" t="s">
        <v>3</v>
      </c>
      <c r="F54" s="90">
        <f t="shared" si="2"/>
        <v>2850</v>
      </c>
      <c r="G54" s="42" t="s">
        <v>3</v>
      </c>
      <c r="H54" s="39">
        <v>4</v>
      </c>
      <c r="I54" s="40" t="s">
        <v>41</v>
      </c>
      <c r="J54" s="149">
        <v>200</v>
      </c>
      <c r="K54" s="66">
        <v>200</v>
      </c>
      <c r="L54" s="66">
        <v>2850</v>
      </c>
      <c r="M54" s="164">
        <v>34.110193980996506</v>
      </c>
      <c r="N54" s="78">
        <v>2232.1499999999996</v>
      </c>
      <c r="O54" s="113">
        <v>49859.761706766789</v>
      </c>
      <c r="P54" s="161">
        <v>61534.531991433025</v>
      </c>
      <c r="Q54" s="110">
        <v>29478.973457976786</v>
      </c>
      <c r="R54" s="263">
        <v>79338.735164743572</v>
      </c>
      <c r="S54" s="259">
        <v>91013.505449409815</v>
      </c>
      <c r="U54" s="7" t="s">
        <v>3793</v>
      </c>
    </row>
    <row r="55" spans="1:21" s="65" customFormat="1" ht="16.5" thickBot="1">
      <c r="A55" s="41" t="s">
        <v>31</v>
      </c>
      <c r="B55" s="42">
        <f t="shared" si="0"/>
        <v>200</v>
      </c>
      <c r="C55" s="42" t="s">
        <v>3</v>
      </c>
      <c r="D55" s="42">
        <f t="shared" si="1"/>
        <v>200</v>
      </c>
      <c r="E55" s="42" t="s">
        <v>3</v>
      </c>
      <c r="F55" s="90">
        <f t="shared" si="2"/>
        <v>2900</v>
      </c>
      <c r="G55" s="42" t="s">
        <v>3</v>
      </c>
      <c r="H55" s="39">
        <v>4</v>
      </c>
      <c r="I55" s="40" t="s">
        <v>41</v>
      </c>
      <c r="J55" s="149">
        <v>200</v>
      </c>
      <c r="K55" s="66">
        <v>200</v>
      </c>
      <c r="L55" s="66">
        <v>2900</v>
      </c>
      <c r="M55" s="164">
        <v>34.68550834736849</v>
      </c>
      <c r="N55" s="78">
        <v>2276.7929999999997</v>
      </c>
      <c r="O55" s="113">
        <v>50613.223469490913</v>
      </c>
      <c r="P55" s="161">
        <v>62481.679398917375</v>
      </c>
      <c r="Q55" s="110">
        <v>30120.983911974079</v>
      </c>
      <c r="R55" s="263">
        <v>80734.207381464992</v>
      </c>
      <c r="S55" s="259">
        <v>92602.663310891454</v>
      </c>
      <c r="U55" s="7" t="s">
        <v>3794</v>
      </c>
    </row>
    <row r="56" spans="1:21" s="65" customFormat="1" ht="16.5" thickBot="1">
      <c r="A56" s="41" t="s">
        <v>31</v>
      </c>
      <c r="B56" s="42">
        <f t="shared" si="0"/>
        <v>200</v>
      </c>
      <c r="C56" s="42" t="s">
        <v>3</v>
      </c>
      <c r="D56" s="42">
        <f t="shared" si="1"/>
        <v>200</v>
      </c>
      <c r="E56" s="42" t="s">
        <v>3</v>
      </c>
      <c r="F56" s="90">
        <f t="shared" si="2"/>
        <v>2950</v>
      </c>
      <c r="G56" s="42" t="s">
        <v>3</v>
      </c>
      <c r="H56" s="39">
        <v>4</v>
      </c>
      <c r="I56" s="40" t="s">
        <v>41</v>
      </c>
      <c r="J56" s="149">
        <v>200</v>
      </c>
      <c r="K56" s="66">
        <v>200</v>
      </c>
      <c r="L56" s="66">
        <v>2950</v>
      </c>
      <c r="M56" s="164">
        <v>35.244634713740503</v>
      </c>
      <c r="N56" s="78">
        <v>2321.4359999999997</v>
      </c>
      <c r="O56" s="113">
        <v>51366.697321487482</v>
      </c>
      <c r="P56" s="161">
        <v>63428.847571096609</v>
      </c>
      <c r="Q56" s="110">
        <v>30511.660381216363</v>
      </c>
      <c r="R56" s="263">
        <v>81878.357702703841</v>
      </c>
      <c r="S56" s="259">
        <v>93940.507952312968</v>
      </c>
      <c r="U56" s="7" t="s">
        <v>3795</v>
      </c>
    </row>
    <row r="57" spans="1:21" s="65" customFormat="1" ht="16.5" thickBot="1">
      <c r="A57" s="43" t="s">
        <v>31</v>
      </c>
      <c r="B57" s="44">
        <f t="shared" si="0"/>
        <v>200</v>
      </c>
      <c r="C57" s="44" t="s">
        <v>3</v>
      </c>
      <c r="D57" s="44">
        <f t="shared" si="1"/>
        <v>200</v>
      </c>
      <c r="E57" s="44" t="s">
        <v>3</v>
      </c>
      <c r="F57" s="91">
        <f t="shared" si="2"/>
        <v>3000</v>
      </c>
      <c r="G57" s="44" t="s">
        <v>3</v>
      </c>
      <c r="H57" s="46">
        <v>4</v>
      </c>
      <c r="I57" s="45" t="s">
        <v>41</v>
      </c>
      <c r="J57" s="265">
        <v>200</v>
      </c>
      <c r="K57" s="66">
        <v>200</v>
      </c>
      <c r="L57" s="266">
        <v>3000</v>
      </c>
      <c r="M57" s="249">
        <v>35.819949080112494</v>
      </c>
      <c r="N57" s="250">
        <v>2366.0789999999997</v>
      </c>
      <c r="O57" s="251">
        <v>53325.276677591311</v>
      </c>
      <c r="P57" s="283">
        <v>64353.51071217734</v>
      </c>
      <c r="Q57" s="136">
        <v>31153.670835213656</v>
      </c>
      <c r="R57" s="268">
        <v>84478.947512804967</v>
      </c>
      <c r="S57" s="269">
        <v>95507.181547390996</v>
      </c>
      <c r="U57" s="7" t="s">
        <v>3796</v>
      </c>
    </row>
    <row r="58" spans="1:21" s="65" customFormat="1" ht="22.5" customHeight="1" thickBot="1">
      <c r="A58" s="2968" t="s">
        <v>45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69"/>
      <c r="R58" s="2969"/>
      <c r="S58" s="2970"/>
      <c r="U58" s="7"/>
    </row>
    <row r="59" spans="1:21" s="65" customFormat="1" ht="16.5" customHeight="1" thickBot="1">
      <c r="A59" s="3050" t="s">
        <v>117</v>
      </c>
      <c r="B59" s="3051"/>
      <c r="C59" s="3051"/>
      <c r="D59" s="3051"/>
      <c r="E59" s="3051"/>
      <c r="F59" s="3051"/>
      <c r="G59" s="3051"/>
      <c r="H59" s="3051"/>
      <c r="I59" s="3051"/>
      <c r="J59" s="3051"/>
      <c r="K59" s="3051"/>
      <c r="L59" s="3051"/>
      <c r="M59" s="3051"/>
      <c r="N59" s="3051"/>
      <c r="O59" s="3051"/>
      <c r="P59" s="3051"/>
      <c r="Q59" s="3051"/>
      <c r="R59" s="3051"/>
      <c r="S59" s="3052"/>
      <c r="U59" s="7"/>
    </row>
    <row r="60" spans="1:21" s="65" customFormat="1" ht="16.5" thickBot="1">
      <c r="A60" s="38" t="s">
        <v>31</v>
      </c>
      <c r="B60" s="39">
        <f>J60</f>
        <v>200</v>
      </c>
      <c r="C60" s="39" t="s">
        <v>3</v>
      </c>
      <c r="D60" s="39">
        <f>K60</f>
        <v>260</v>
      </c>
      <c r="E60" s="39" t="s">
        <v>3</v>
      </c>
      <c r="F60" s="90">
        <f>L60</f>
        <v>600</v>
      </c>
      <c r="G60" s="39" t="s">
        <v>3</v>
      </c>
      <c r="H60" s="39">
        <v>4</v>
      </c>
      <c r="I60" s="40" t="s">
        <v>41</v>
      </c>
      <c r="J60" s="146">
        <v>200</v>
      </c>
      <c r="K60" s="122">
        <v>260</v>
      </c>
      <c r="L60" s="122">
        <v>600</v>
      </c>
      <c r="M60" s="163">
        <v>8.4378901005605265</v>
      </c>
      <c r="N60" s="123">
        <v>259.76228499467805</v>
      </c>
      <c r="O60" s="124">
        <v>15291.35161014091</v>
      </c>
      <c r="P60" s="160">
        <v>18478.204844917618</v>
      </c>
      <c r="Q60" s="253">
        <v>8214.2785134660462</v>
      </c>
      <c r="R60" s="262">
        <v>23505.630123606956</v>
      </c>
      <c r="S60" s="257">
        <v>26692.483358383666</v>
      </c>
      <c r="U60" s="7" t="s">
        <v>3797</v>
      </c>
    </row>
    <row r="61" spans="1:21" s="65" customFormat="1" ht="16.5" thickBot="1">
      <c r="A61" s="41" t="s">
        <v>31</v>
      </c>
      <c r="B61" s="42">
        <f t="shared" ref="B61:B108" si="3">J61</f>
        <v>200</v>
      </c>
      <c r="C61" s="42" t="s">
        <v>3</v>
      </c>
      <c r="D61" s="42">
        <f t="shared" ref="D61:D108" si="4">K61</f>
        <v>260</v>
      </c>
      <c r="E61" s="42" t="s">
        <v>3</v>
      </c>
      <c r="F61" s="90">
        <f t="shared" ref="F61:F108" si="5">L61</f>
        <v>650</v>
      </c>
      <c r="G61" s="42" t="s">
        <v>3</v>
      </c>
      <c r="H61" s="39">
        <v>4</v>
      </c>
      <c r="I61" s="40" t="s">
        <v>41</v>
      </c>
      <c r="J61" s="149">
        <v>200</v>
      </c>
      <c r="K61" s="66">
        <v>260</v>
      </c>
      <c r="L61" s="66">
        <v>650</v>
      </c>
      <c r="M61" s="164">
        <v>9.0264441704257887</v>
      </c>
      <c r="N61" s="78">
        <v>311.71474199361359</v>
      </c>
      <c r="O61" s="113">
        <v>16071.08290280145</v>
      </c>
      <c r="P61" s="161">
        <v>19458.585242101206</v>
      </c>
      <c r="Q61" s="254">
        <v>8684.7340809460093</v>
      </c>
      <c r="R61" s="263">
        <v>24755.81698374746</v>
      </c>
      <c r="S61" s="259">
        <v>28143.319323047217</v>
      </c>
      <c r="U61" s="7" t="s">
        <v>3798</v>
      </c>
    </row>
    <row r="62" spans="1:21" s="65" customFormat="1" ht="16.5" thickBot="1">
      <c r="A62" s="41" t="s">
        <v>31</v>
      </c>
      <c r="B62" s="42">
        <f t="shared" si="3"/>
        <v>200</v>
      </c>
      <c r="C62" s="42" t="s">
        <v>3</v>
      </c>
      <c r="D62" s="42">
        <f t="shared" si="4"/>
        <v>260</v>
      </c>
      <c r="E62" s="42" t="s">
        <v>3</v>
      </c>
      <c r="F62" s="90">
        <f t="shared" si="5"/>
        <v>700</v>
      </c>
      <c r="G62" s="42" t="s">
        <v>3</v>
      </c>
      <c r="H62" s="39">
        <v>4</v>
      </c>
      <c r="I62" s="40" t="s">
        <v>41</v>
      </c>
      <c r="J62" s="149">
        <v>200</v>
      </c>
      <c r="K62" s="66">
        <v>260</v>
      </c>
      <c r="L62" s="66">
        <v>700</v>
      </c>
      <c r="M62" s="164">
        <v>9.6320382402910525</v>
      </c>
      <c r="N62" s="78">
        <v>363.66719899254923</v>
      </c>
      <c r="O62" s="113">
        <v>16850.814348490756</v>
      </c>
      <c r="P62" s="161">
        <v>20438.965639284641</v>
      </c>
      <c r="Q62" s="254">
        <v>9406.5237862097401</v>
      </c>
      <c r="R62" s="263">
        <v>26257.338134700498</v>
      </c>
      <c r="S62" s="259">
        <v>29845.489425494379</v>
      </c>
      <c r="U62" s="7" t="s">
        <v>3799</v>
      </c>
    </row>
    <row r="63" spans="1:21" s="65" customFormat="1" ht="16.5" thickBot="1">
      <c r="A63" s="41" t="s">
        <v>31</v>
      </c>
      <c r="B63" s="42">
        <f t="shared" si="3"/>
        <v>200</v>
      </c>
      <c r="C63" s="42" t="s">
        <v>3</v>
      </c>
      <c r="D63" s="42">
        <f t="shared" si="4"/>
        <v>260</v>
      </c>
      <c r="E63" s="42" t="s">
        <v>3</v>
      </c>
      <c r="F63" s="90">
        <f t="shared" si="5"/>
        <v>750</v>
      </c>
      <c r="G63" s="42" t="s">
        <v>3</v>
      </c>
      <c r="H63" s="39">
        <v>4</v>
      </c>
      <c r="I63" s="40" t="s">
        <v>41</v>
      </c>
      <c r="J63" s="149">
        <v>200</v>
      </c>
      <c r="K63" s="66">
        <v>260</v>
      </c>
      <c r="L63" s="66">
        <v>750</v>
      </c>
      <c r="M63" s="164">
        <v>10.220592310156317</v>
      </c>
      <c r="N63" s="78">
        <v>415.61965599148488</v>
      </c>
      <c r="O63" s="113">
        <v>17630.545641151297</v>
      </c>
      <c r="P63" s="161">
        <v>21419.346036468072</v>
      </c>
      <c r="Q63" s="254">
        <v>9876.9793536897032</v>
      </c>
      <c r="R63" s="263">
        <v>27507.524994840998</v>
      </c>
      <c r="S63" s="259">
        <v>31296.325390157777</v>
      </c>
      <c r="U63" s="7" t="s">
        <v>3800</v>
      </c>
    </row>
    <row r="64" spans="1:21" s="65" customFormat="1" ht="16.5" thickBot="1">
      <c r="A64" s="41" t="s">
        <v>31</v>
      </c>
      <c r="B64" s="42">
        <f t="shared" si="3"/>
        <v>200</v>
      </c>
      <c r="C64" s="42" t="s">
        <v>3</v>
      </c>
      <c r="D64" s="42">
        <f t="shared" si="4"/>
        <v>260</v>
      </c>
      <c r="E64" s="42" t="s">
        <v>3</v>
      </c>
      <c r="F64" s="90">
        <f t="shared" si="5"/>
        <v>800</v>
      </c>
      <c r="G64" s="42" t="s">
        <v>3</v>
      </c>
      <c r="H64" s="39">
        <v>4</v>
      </c>
      <c r="I64" s="40" t="s">
        <v>41</v>
      </c>
      <c r="J64" s="149">
        <v>200</v>
      </c>
      <c r="K64" s="66">
        <v>260</v>
      </c>
      <c r="L64" s="66">
        <v>800</v>
      </c>
      <c r="M64" s="164">
        <v>10.809146380021581</v>
      </c>
      <c r="N64" s="78">
        <v>467.57211299042052</v>
      </c>
      <c r="O64" s="113">
        <v>18410.277086840604</v>
      </c>
      <c r="P64" s="161">
        <v>22399.726433651511</v>
      </c>
      <c r="Q64" s="254">
        <v>10347.434921169664</v>
      </c>
      <c r="R64" s="263">
        <v>28757.712008010269</v>
      </c>
      <c r="S64" s="259">
        <v>32747.161354821175</v>
      </c>
      <c r="U64" s="7" t="s">
        <v>3801</v>
      </c>
    </row>
    <row r="65" spans="1:21" s="65" customFormat="1" ht="16.5" thickBot="1">
      <c r="A65" s="41" t="s">
        <v>31</v>
      </c>
      <c r="B65" s="42">
        <f t="shared" si="3"/>
        <v>200</v>
      </c>
      <c r="C65" s="42" t="s">
        <v>3</v>
      </c>
      <c r="D65" s="42">
        <f t="shared" si="4"/>
        <v>260</v>
      </c>
      <c r="E65" s="42" t="s">
        <v>3</v>
      </c>
      <c r="F65" s="90">
        <f t="shared" si="5"/>
        <v>850</v>
      </c>
      <c r="G65" s="42" t="s">
        <v>3</v>
      </c>
      <c r="H65" s="39">
        <v>4</v>
      </c>
      <c r="I65" s="40" t="s">
        <v>41</v>
      </c>
      <c r="J65" s="149">
        <v>200</v>
      </c>
      <c r="K65" s="66">
        <v>260</v>
      </c>
      <c r="L65" s="66">
        <v>850</v>
      </c>
      <c r="M65" s="164">
        <v>11.414740449886843</v>
      </c>
      <c r="N65" s="78">
        <v>519.52456998935611</v>
      </c>
      <c r="O65" s="113">
        <v>19190.008379501141</v>
      </c>
      <c r="P65" s="161">
        <v>23380.106830835099</v>
      </c>
      <c r="Q65" s="254">
        <v>11069.224626433395</v>
      </c>
      <c r="R65" s="263">
        <v>30259.233005934537</v>
      </c>
      <c r="S65" s="259">
        <v>34449.33145726849</v>
      </c>
      <c r="U65" s="7" t="s">
        <v>3802</v>
      </c>
    </row>
    <row r="66" spans="1:21" s="65" customFormat="1" ht="16.5" thickBot="1">
      <c r="A66" s="41" t="s">
        <v>31</v>
      </c>
      <c r="B66" s="42">
        <f t="shared" si="3"/>
        <v>200</v>
      </c>
      <c r="C66" s="42" t="s">
        <v>3</v>
      </c>
      <c r="D66" s="42">
        <f t="shared" si="4"/>
        <v>260</v>
      </c>
      <c r="E66" s="42" t="s">
        <v>3</v>
      </c>
      <c r="F66" s="90">
        <f t="shared" si="5"/>
        <v>900</v>
      </c>
      <c r="G66" s="42" t="s">
        <v>3</v>
      </c>
      <c r="H66" s="39">
        <v>4</v>
      </c>
      <c r="I66" s="40" t="s">
        <v>41</v>
      </c>
      <c r="J66" s="149">
        <v>200</v>
      </c>
      <c r="K66" s="66">
        <v>260</v>
      </c>
      <c r="L66" s="66">
        <v>900</v>
      </c>
      <c r="M66" s="164">
        <v>12.003294519752107</v>
      </c>
      <c r="N66" s="78">
        <v>571.47702698829175</v>
      </c>
      <c r="O66" s="113">
        <v>19969.739825190449</v>
      </c>
      <c r="P66" s="161">
        <v>24360.48722801853</v>
      </c>
      <c r="Q66" s="254">
        <v>11539.680193913358</v>
      </c>
      <c r="R66" s="263">
        <v>31509.420019103807</v>
      </c>
      <c r="S66" s="259">
        <v>35900.167421931888</v>
      </c>
      <c r="U66" s="7" t="s">
        <v>3803</v>
      </c>
    </row>
    <row r="67" spans="1:21" s="65" customFormat="1" ht="16.5" thickBot="1">
      <c r="A67" s="41" t="s">
        <v>31</v>
      </c>
      <c r="B67" s="42">
        <f t="shared" si="3"/>
        <v>200</v>
      </c>
      <c r="C67" s="42" t="s">
        <v>3</v>
      </c>
      <c r="D67" s="42">
        <f t="shared" si="4"/>
        <v>260</v>
      </c>
      <c r="E67" s="42" t="s">
        <v>3</v>
      </c>
      <c r="F67" s="90">
        <f t="shared" si="5"/>
        <v>950</v>
      </c>
      <c r="G67" s="42" t="s">
        <v>3</v>
      </c>
      <c r="H67" s="39">
        <v>4</v>
      </c>
      <c r="I67" s="40" t="s">
        <v>41</v>
      </c>
      <c r="J67" s="149">
        <v>200</v>
      </c>
      <c r="K67" s="66">
        <v>260</v>
      </c>
      <c r="L67" s="66">
        <v>950</v>
      </c>
      <c r="M67" s="164">
        <v>12.608888589617369</v>
      </c>
      <c r="N67" s="78">
        <v>623.42948398722717</v>
      </c>
      <c r="O67" s="113">
        <v>20749.47111785099</v>
      </c>
      <c r="P67" s="161">
        <v>25340.867625201969</v>
      </c>
      <c r="Q67" s="254">
        <v>12261.469899177091</v>
      </c>
      <c r="R67" s="263">
        <v>33010.941017028083</v>
      </c>
      <c r="S67" s="259">
        <v>37602.337524379058</v>
      </c>
      <c r="U67" s="7" t="s">
        <v>3804</v>
      </c>
    </row>
    <row r="68" spans="1:21" s="65" customFormat="1" ht="16.5" thickBot="1">
      <c r="A68" s="41" t="s">
        <v>31</v>
      </c>
      <c r="B68" s="42">
        <f t="shared" si="3"/>
        <v>200</v>
      </c>
      <c r="C68" s="42" t="s">
        <v>3</v>
      </c>
      <c r="D68" s="42">
        <f t="shared" si="4"/>
        <v>260</v>
      </c>
      <c r="E68" s="42" t="s">
        <v>3</v>
      </c>
      <c r="F68" s="90">
        <f t="shared" si="5"/>
        <v>1000</v>
      </c>
      <c r="G68" s="42" t="s">
        <v>3</v>
      </c>
      <c r="H68" s="39">
        <v>4</v>
      </c>
      <c r="I68" s="40" t="s">
        <v>41</v>
      </c>
      <c r="J68" s="149">
        <v>200</v>
      </c>
      <c r="K68" s="66">
        <v>260</v>
      </c>
      <c r="L68" s="66">
        <v>1000</v>
      </c>
      <c r="M68" s="164">
        <v>13.197442659482633</v>
      </c>
      <c r="N68" s="78">
        <v>675.38194098616293</v>
      </c>
      <c r="O68" s="113">
        <v>21529.202563540297</v>
      </c>
      <c r="P68" s="161">
        <v>26321.248022385404</v>
      </c>
      <c r="Q68" s="254">
        <v>12731.925466657052</v>
      </c>
      <c r="R68" s="263">
        <v>34261.128030197346</v>
      </c>
      <c r="S68" s="259">
        <v>39053.173489042456</v>
      </c>
      <c r="U68" s="7" t="s">
        <v>3805</v>
      </c>
    </row>
    <row r="69" spans="1:21" s="65" customFormat="1" ht="16.5" thickBot="1">
      <c r="A69" s="41" t="s">
        <v>31</v>
      </c>
      <c r="B69" s="42">
        <f t="shared" si="3"/>
        <v>200</v>
      </c>
      <c r="C69" s="42" t="s">
        <v>3</v>
      </c>
      <c r="D69" s="42">
        <f t="shared" si="4"/>
        <v>260</v>
      </c>
      <c r="E69" s="42" t="s">
        <v>3</v>
      </c>
      <c r="F69" s="90">
        <f t="shared" si="5"/>
        <v>1050</v>
      </c>
      <c r="G69" s="42" t="s">
        <v>3</v>
      </c>
      <c r="H69" s="39">
        <v>4</v>
      </c>
      <c r="I69" s="40" t="s">
        <v>41</v>
      </c>
      <c r="J69" s="149">
        <v>200</v>
      </c>
      <c r="K69" s="66">
        <v>260</v>
      </c>
      <c r="L69" s="66">
        <v>1050</v>
      </c>
      <c r="M69" s="164">
        <v>13.803036729347893</v>
      </c>
      <c r="N69" s="78">
        <v>727.33439798509846</v>
      </c>
      <c r="O69" s="113">
        <v>22308.933856200834</v>
      </c>
      <c r="P69" s="161">
        <v>27301.628419568991</v>
      </c>
      <c r="Q69" s="254">
        <v>13453.71501889202</v>
      </c>
      <c r="R69" s="263">
        <v>35762.648875092855</v>
      </c>
      <c r="S69" s="259">
        <v>40755.343438461015</v>
      </c>
      <c r="U69" s="7" t="s">
        <v>3806</v>
      </c>
    </row>
    <row r="70" spans="1:21" s="65" customFormat="1" ht="16.5" thickBot="1">
      <c r="A70" s="38" t="s">
        <v>31</v>
      </c>
      <c r="B70" s="39">
        <f t="shared" si="3"/>
        <v>200</v>
      </c>
      <c r="C70" s="39" t="s">
        <v>3</v>
      </c>
      <c r="D70" s="39">
        <f t="shared" si="4"/>
        <v>260</v>
      </c>
      <c r="E70" s="39" t="s">
        <v>3</v>
      </c>
      <c r="F70" s="90">
        <f t="shared" si="5"/>
        <v>1100</v>
      </c>
      <c r="G70" s="39" t="s">
        <v>3</v>
      </c>
      <c r="H70" s="39">
        <v>4</v>
      </c>
      <c r="I70" s="40" t="s">
        <v>41</v>
      </c>
      <c r="J70" s="149">
        <v>200</v>
      </c>
      <c r="K70" s="66">
        <v>260</v>
      </c>
      <c r="L70" s="66">
        <v>1100</v>
      </c>
      <c r="M70" s="164">
        <v>14.391590799213159</v>
      </c>
      <c r="N70" s="78">
        <v>779.28685498403422</v>
      </c>
      <c r="O70" s="113">
        <v>23088.665301890142</v>
      </c>
      <c r="P70" s="161">
        <v>28282.008816752423</v>
      </c>
      <c r="Q70" s="254">
        <v>13924.170586371982</v>
      </c>
      <c r="R70" s="263">
        <v>37012.835888262125</v>
      </c>
      <c r="S70" s="259">
        <v>42206.179403124406</v>
      </c>
      <c r="U70" s="7" t="s">
        <v>3807</v>
      </c>
    </row>
    <row r="71" spans="1:21" s="65" customFormat="1" ht="16.5" thickBot="1">
      <c r="A71" s="41" t="s">
        <v>31</v>
      </c>
      <c r="B71" s="42">
        <f t="shared" si="3"/>
        <v>200</v>
      </c>
      <c r="C71" s="42" t="s">
        <v>3</v>
      </c>
      <c r="D71" s="42">
        <f t="shared" si="4"/>
        <v>260</v>
      </c>
      <c r="E71" s="42" t="s">
        <v>3</v>
      </c>
      <c r="F71" s="90">
        <f t="shared" si="5"/>
        <v>1150</v>
      </c>
      <c r="G71" s="42" t="s">
        <v>3</v>
      </c>
      <c r="H71" s="39">
        <v>4</v>
      </c>
      <c r="I71" s="40" t="s">
        <v>41</v>
      </c>
      <c r="J71" s="149">
        <v>200</v>
      </c>
      <c r="K71" s="66">
        <v>260</v>
      </c>
      <c r="L71" s="66">
        <v>1150</v>
      </c>
      <c r="M71" s="164">
        <v>14.980144869078423</v>
      </c>
      <c r="N71" s="78">
        <v>831.23931198296975</v>
      </c>
      <c r="O71" s="113">
        <v>23868.396747579449</v>
      </c>
      <c r="P71" s="161">
        <v>29262.389213935858</v>
      </c>
      <c r="Q71" s="254">
        <v>14394.626153851941</v>
      </c>
      <c r="R71" s="263">
        <v>38263.022901431388</v>
      </c>
      <c r="S71" s="259">
        <v>43657.015367787797</v>
      </c>
      <c r="U71" s="7" t="s">
        <v>3808</v>
      </c>
    </row>
    <row r="72" spans="1:21" s="65" customFormat="1" ht="16.5" thickBot="1">
      <c r="A72" s="41" t="s">
        <v>31</v>
      </c>
      <c r="B72" s="42">
        <f t="shared" si="3"/>
        <v>200</v>
      </c>
      <c r="C72" s="42" t="s">
        <v>3</v>
      </c>
      <c r="D72" s="42">
        <f t="shared" si="4"/>
        <v>260</v>
      </c>
      <c r="E72" s="42" t="s">
        <v>3</v>
      </c>
      <c r="F72" s="90">
        <f t="shared" si="5"/>
        <v>1200</v>
      </c>
      <c r="G72" s="42" t="s">
        <v>3</v>
      </c>
      <c r="H72" s="39">
        <v>4</v>
      </c>
      <c r="I72" s="40" t="s">
        <v>41</v>
      </c>
      <c r="J72" s="149">
        <v>200</v>
      </c>
      <c r="K72" s="66">
        <v>260</v>
      </c>
      <c r="L72" s="66">
        <v>1200</v>
      </c>
      <c r="M72" s="164">
        <v>15.664238938943685</v>
      </c>
      <c r="N72" s="78">
        <v>883.19176898190528</v>
      </c>
      <c r="O72" s="113">
        <v>24732.22637537332</v>
      </c>
      <c r="P72" s="161">
        <v>30327.381316554176</v>
      </c>
      <c r="Q72" s="254">
        <v>15116.415859115676</v>
      </c>
      <c r="R72" s="263">
        <v>39848.642234488994</v>
      </c>
      <c r="S72" s="259">
        <v>45443.797175669853</v>
      </c>
      <c r="U72" s="7" t="s">
        <v>3809</v>
      </c>
    </row>
    <row r="73" spans="1:21" s="65" customFormat="1" ht="16.5" thickBot="1">
      <c r="A73" s="41" t="s">
        <v>31</v>
      </c>
      <c r="B73" s="42">
        <f t="shared" si="3"/>
        <v>200</v>
      </c>
      <c r="C73" s="42" t="s">
        <v>3</v>
      </c>
      <c r="D73" s="42">
        <f t="shared" si="4"/>
        <v>260</v>
      </c>
      <c r="E73" s="42" t="s">
        <v>3</v>
      </c>
      <c r="F73" s="90">
        <f t="shared" si="5"/>
        <v>1250</v>
      </c>
      <c r="G73" s="42" t="s">
        <v>3</v>
      </c>
      <c r="H73" s="39">
        <v>4</v>
      </c>
      <c r="I73" s="40" t="s">
        <v>41</v>
      </c>
      <c r="J73" s="149">
        <v>200</v>
      </c>
      <c r="K73" s="66">
        <v>260</v>
      </c>
      <c r="L73" s="66">
        <v>1250</v>
      </c>
      <c r="M73" s="164">
        <v>16.252793008808947</v>
      </c>
      <c r="N73" s="78">
        <v>935.14422598084104</v>
      </c>
      <c r="O73" s="113">
        <v>25511.957668033858</v>
      </c>
      <c r="P73" s="161">
        <v>31307.761713737607</v>
      </c>
      <c r="Q73" s="254">
        <v>15586.871426595639</v>
      </c>
      <c r="R73" s="263">
        <v>41098.829094629495</v>
      </c>
      <c r="S73" s="259">
        <v>46894.633140333244</v>
      </c>
      <c r="U73" s="7" t="s">
        <v>3810</v>
      </c>
    </row>
    <row r="74" spans="1:21" s="65" customFormat="1" ht="16.5" thickBot="1">
      <c r="A74" s="41" t="s">
        <v>31</v>
      </c>
      <c r="B74" s="42">
        <f t="shared" si="3"/>
        <v>200</v>
      </c>
      <c r="C74" s="42" t="s">
        <v>3</v>
      </c>
      <c r="D74" s="42">
        <f t="shared" si="4"/>
        <v>260</v>
      </c>
      <c r="E74" s="42" t="s">
        <v>3</v>
      </c>
      <c r="F74" s="90">
        <f t="shared" si="5"/>
        <v>1300</v>
      </c>
      <c r="G74" s="42" t="s">
        <v>3</v>
      </c>
      <c r="H74" s="39">
        <v>4</v>
      </c>
      <c r="I74" s="40" t="s">
        <v>41</v>
      </c>
      <c r="J74" s="149">
        <v>200</v>
      </c>
      <c r="K74" s="66">
        <v>260</v>
      </c>
      <c r="L74" s="66">
        <v>1300</v>
      </c>
      <c r="M74" s="164">
        <v>16.858387078674212</v>
      </c>
      <c r="N74" s="78">
        <v>987.09668297977646</v>
      </c>
      <c r="O74" s="113">
        <v>26291.689113723165</v>
      </c>
      <c r="P74" s="161">
        <v>32288.142110921199</v>
      </c>
      <c r="Q74" s="254">
        <v>16308.66113185937</v>
      </c>
      <c r="R74" s="263">
        <v>42600.350245582536</v>
      </c>
      <c r="S74" s="259">
        <v>48596.803242780567</v>
      </c>
      <c r="U74" s="7" t="s">
        <v>3811</v>
      </c>
    </row>
    <row r="75" spans="1:21" s="65" customFormat="1" ht="16.5" thickBot="1">
      <c r="A75" s="41" t="s">
        <v>31</v>
      </c>
      <c r="B75" s="42">
        <f t="shared" si="3"/>
        <v>200</v>
      </c>
      <c r="C75" s="42" t="s">
        <v>3</v>
      </c>
      <c r="D75" s="42">
        <f t="shared" si="4"/>
        <v>260</v>
      </c>
      <c r="E75" s="42" t="s">
        <v>3</v>
      </c>
      <c r="F75" s="90">
        <f t="shared" si="5"/>
        <v>1350</v>
      </c>
      <c r="G75" s="42" t="s">
        <v>3</v>
      </c>
      <c r="H75" s="39">
        <v>4</v>
      </c>
      <c r="I75" s="40" t="s">
        <v>41</v>
      </c>
      <c r="J75" s="149">
        <v>200</v>
      </c>
      <c r="K75" s="66">
        <v>260</v>
      </c>
      <c r="L75" s="66">
        <v>1350</v>
      </c>
      <c r="M75" s="164">
        <v>17.446941148539473</v>
      </c>
      <c r="N75" s="78">
        <v>1039.0491399787122</v>
      </c>
      <c r="O75" s="113">
        <v>27071.420406383706</v>
      </c>
      <c r="P75" s="161">
        <v>33268.52250810463</v>
      </c>
      <c r="Q75" s="254">
        <v>16779.116699339331</v>
      </c>
      <c r="R75" s="263">
        <v>43850.537105723037</v>
      </c>
      <c r="S75" s="259">
        <v>50047.639207443965</v>
      </c>
      <c r="U75" s="7" t="s">
        <v>3812</v>
      </c>
    </row>
    <row r="76" spans="1:21" s="65" customFormat="1" ht="16.5" thickBot="1">
      <c r="A76" s="41" t="s">
        <v>31</v>
      </c>
      <c r="B76" s="42">
        <f t="shared" si="3"/>
        <v>200</v>
      </c>
      <c r="C76" s="42" t="s">
        <v>3</v>
      </c>
      <c r="D76" s="42">
        <f t="shared" si="4"/>
        <v>260</v>
      </c>
      <c r="E76" s="42" t="s">
        <v>3</v>
      </c>
      <c r="F76" s="90">
        <f t="shared" si="5"/>
        <v>1400</v>
      </c>
      <c r="G76" s="42" t="s">
        <v>3</v>
      </c>
      <c r="H76" s="39">
        <v>4</v>
      </c>
      <c r="I76" s="40" t="s">
        <v>41</v>
      </c>
      <c r="J76" s="149">
        <v>200</v>
      </c>
      <c r="K76" s="66">
        <v>260</v>
      </c>
      <c r="L76" s="66">
        <v>1400</v>
      </c>
      <c r="M76" s="164">
        <v>18.052535218404735</v>
      </c>
      <c r="N76" s="78">
        <v>1091.001596977648</v>
      </c>
      <c r="O76" s="113">
        <v>27851.151852073017</v>
      </c>
      <c r="P76" s="161">
        <v>34248.902905288065</v>
      </c>
      <c r="Q76" s="254">
        <v>17500.906404603062</v>
      </c>
      <c r="R76" s="263">
        <v>45352.058256676079</v>
      </c>
      <c r="S76" s="259">
        <v>51749.809309891127</v>
      </c>
      <c r="U76" s="7" t="s">
        <v>3813</v>
      </c>
    </row>
    <row r="77" spans="1:21" s="65" customFormat="1" ht="16.5" thickBot="1">
      <c r="A77" s="41" t="s">
        <v>31</v>
      </c>
      <c r="B77" s="42">
        <f t="shared" si="3"/>
        <v>200</v>
      </c>
      <c r="C77" s="42" t="s">
        <v>3</v>
      </c>
      <c r="D77" s="42">
        <f t="shared" si="4"/>
        <v>260</v>
      </c>
      <c r="E77" s="42" t="s">
        <v>3</v>
      </c>
      <c r="F77" s="90">
        <f t="shared" si="5"/>
        <v>1450</v>
      </c>
      <c r="G77" s="42" t="s">
        <v>3</v>
      </c>
      <c r="H77" s="39">
        <v>4</v>
      </c>
      <c r="I77" s="40" t="s">
        <v>41</v>
      </c>
      <c r="J77" s="149">
        <v>200</v>
      </c>
      <c r="K77" s="66">
        <v>260</v>
      </c>
      <c r="L77" s="66">
        <v>1450</v>
      </c>
      <c r="M77" s="164">
        <v>18.641089288270003</v>
      </c>
      <c r="N77" s="78">
        <v>1142.9540539765835</v>
      </c>
      <c r="O77" s="113">
        <v>28630.883297762321</v>
      </c>
      <c r="P77" s="161">
        <v>35229.2833024715</v>
      </c>
      <c r="Q77" s="254">
        <v>17971.361972083025</v>
      </c>
      <c r="R77" s="263">
        <v>46602.245269845342</v>
      </c>
      <c r="S77" s="259">
        <v>53200.645274554525</v>
      </c>
      <c r="U77" s="7" t="s">
        <v>3814</v>
      </c>
    </row>
    <row r="78" spans="1:21" s="65" customFormat="1" ht="16.5" thickBot="1">
      <c r="A78" s="41" t="s">
        <v>31</v>
      </c>
      <c r="B78" s="42">
        <f t="shared" si="3"/>
        <v>200</v>
      </c>
      <c r="C78" s="42" t="s">
        <v>3</v>
      </c>
      <c r="D78" s="42">
        <f t="shared" si="4"/>
        <v>260</v>
      </c>
      <c r="E78" s="42" t="s">
        <v>3</v>
      </c>
      <c r="F78" s="90">
        <f t="shared" si="5"/>
        <v>1500</v>
      </c>
      <c r="G78" s="42" t="s">
        <v>3</v>
      </c>
      <c r="H78" s="39">
        <v>4</v>
      </c>
      <c r="I78" s="40" t="s">
        <v>41</v>
      </c>
      <c r="J78" s="149">
        <v>200</v>
      </c>
      <c r="K78" s="66">
        <v>260</v>
      </c>
      <c r="L78" s="66">
        <v>1500</v>
      </c>
      <c r="M78" s="164">
        <v>19.412594210095264</v>
      </c>
      <c r="N78" s="78">
        <v>1194.9065109755188</v>
      </c>
      <c r="O78" s="113">
        <v>30076.972380037831</v>
      </c>
      <c r="P78" s="161">
        <v>36835.650114738542</v>
      </c>
      <c r="Q78" s="254">
        <v>18693.151677346756</v>
      </c>
      <c r="R78" s="263">
        <v>48770.124057384586</v>
      </c>
      <c r="S78" s="259">
        <v>55528.801792085302</v>
      </c>
      <c r="U78" s="7" t="s">
        <v>3815</v>
      </c>
    </row>
    <row r="79" spans="1:21" s="65" customFormat="1" ht="16.5" thickBot="1">
      <c r="A79" s="41" t="s">
        <v>31</v>
      </c>
      <c r="B79" s="42">
        <f t="shared" si="3"/>
        <v>200</v>
      </c>
      <c r="C79" s="42" t="s">
        <v>3</v>
      </c>
      <c r="D79" s="42">
        <f t="shared" si="4"/>
        <v>260</v>
      </c>
      <c r="E79" s="42" t="s">
        <v>3</v>
      </c>
      <c r="F79" s="90">
        <f t="shared" si="5"/>
        <v>1550</v>
      </c>
      <c r="G79" s="42" t="s">
        <v>3</v>
      </c>
      <c r="H79" s="39">
        <v>4</v>
      </c>
      <c r="I79" s="40" t="s">
        <v>41</v>
      </c>
      <c r="J79" s="149">
        <v>200</v>
      </c>
      <c r="K79" s="66">
        <v>260</v>
      </c>
      <c r="L79" s="66">
        <v>1550</v>
      </c>
      <c r="M79" s="164">
        <v>20.001148279960525</v>
      </c>
      <c r="N79" s="78">
        <v>1246.8589679744543</v>
      </c>
      <c r="O79" s="113">
        <v>30856.703825727142</v>
      </c>
      <c r="P79" s="161">
        <v>37816.030511921977</v>
      </c>
      <c r="Q79" s="254">
        <v>19163.607244826719</v>
      </c>
      <c r="R79" s="263">
        <v>50020.311070553857</v>
      </c>
      <c r="S79" s="259">
        <v>56979.637756748692</v>
      </c>
      <c r="U79" s="7" t="s">
        <v>3816</v>
      </c>
    </row>
    <row r="80" spans="1:21" s="65" customFormat="1" ht="16.5" thickBot="1">
      <c r="A80" s="38" t="s">
        <v>31</v>
      </c>
      <c r="B80" s="39">
        <f t="shared" si="3"/>
        <v>200</v>
      </c>
      <c r="C80" s="39" t="s">
        <v>3</v>
      </c>
      <c r="D80" s="39">
        <f t="shared" si="4"/>
        <v>260</v>
      </c>
      <c r="E80" s="39" t="s">
        <v>3</v>
      </c>
      <c r="F80" s="90">
        <f t="shared" si="5"/>
        <v>1600</v>
      </c>
      <c r="G80" s="39" t="s">
        <v>3</v>
      </c>
      <c r="H80" s="39">
        <v>4</v>
      </c>
      <c r="I80" s="40" t="s">
        <v>41</v>
      </c>
      <c r="J80" s="149">
        <v>200</v>
      </c>
      <c r="K80" s="66">
        <v>260</v>
      </c>
      <c r="L80" s="66">
        <v>1600</v>
      </c>
      <c r="M80" s="164">
        <v>20.589702349825792</v>
      </c>
      <c r="N80" s="78">
        <v>1298.8114249733901</v>
      </c>
      <c r="O80" s="113">
        <v>31636.435118387675</v>
      </c>
      <c r="P80" s="161">
        <v>38796.410909105412</v>
      </c>
      <c r="Q80" s="254">
        <v>19634.062812306682</v>
      </c>
      <c r="R80" s="263">
        <v>51270.497930694357</v>
      </c>
      <c r="S80" s="259">
        <v>58430.473721412098</v>
      </c>
      <c r="U80" s="7" t="s">
        <v>3817</v>
      </c>
    </row>
    <row r="81" spans="1:21" s="65" customFormat="1" ht="16.5" thickBot="1">
      <c r="A81" s="41" t="s">
        <v>31</v>
      </c>
      <c r="B81" s="42">
        <f t="shared" si="3"/>
        <v>200</v>
      </c>
      <c r="C81" s="42" t="s">
        <v>3</v>
      </c>
      <c r="D81" s="42">
        <f t="shared" si="4"/>
        <v>260</v>
      </c>
      <c r="E81" s="42" t="s">
        <v>3</v>
      </c>
      <c r="F81" s="90">
        <f t="shared" si="5"/>
        <v>1650</v>
      </c>
      <c r="G81" s="42" t="s">
        <v>3</v>
      </c>
      <c r="H81" s="39">
        <v>4</v>
      </c>
      <c r="I81" s="40" t="s">
        <v>41</v>
      </c>
      <c r="J81" s="149">
        <v>200</v>
      </c>
      <c r="K81" s="66">
        <v>260</v>
      </c>
      <c r="L81" s="66">
        <v>1650</v>
      </c>
      <c r="M81" s="164">
        <v>21.195296419691054</v>
      </c>
      <c r="N81" s="78">
        <v>1350.7638819723259</v>
      </c>
      <c r="O81" s="113">
        <v>32416.166564076986</v>
      </c>
      <c r="P81" s="161">
        <v>39776.791306289007</v>
      </c>
      <c r="Q81" s="254">
        <v>20355.852364541646</v>
      </c>
      <c r="R81" s="263">
        <v>52772.018928618636</v>
      </c>
      <c r="S81" s="259">
        <v>60132.643670830657</v>
      </c>
      <c r="U81" s="7" t="s">
        <v>3818</v>
      </c>
    </row>
    <row r="82" spans="1:21" s="65" customFormat="1" ht="16.5" thickBot="1">
      <c r="A82" s="41" t="s">
        <v>31</v>
      </c>
      <c r="B82" s="42">
        <f t="shared" si="3"/>
        <v>200</v>
      </c>
      <c r="C82" s="42" t="s">
        <v>3</v>
      </c>
      <c r="D82" s="42">
        <f t="shared" si="4"/>
        <v>260</v>
      </c>
      <c r="E82" s="42" t="s">
        <v>3</v>
      </c>
      <c r="F82" s="90">
        <f t="shared" si="5"/>
        <v>1700</v>
      </c>
      <c r="G82" s="42" t="s">
        <v>3</v>
      </c>
      <c r="H82" s="39">
        <v>4</v>
      </c>
      <c r="I82" s="40" t="s">
        <v>41</v>
      </c>
      <c r="J82" s="149">
        <v>200</v>
      </c>
      <c r="K82" s="66">
        <v>260</v>
      </c>
      <c r="L82" s="66">
        <v>1700</v>
      </c>
      <c r="M82" s="164">
        <v>21.783850489556315</v>
      </c>
      <c r="N82" s="78">
        <v>1402.7163389712616</v>
      </c>
      <c r="O82" s="113">
        <v>33195.897856737523</v>
      </c>
      <c r="P82" s="161">
        <v>40757.171703472435</v>
      </c>
      <c r="Q82" s="254">
        <v>20826.307932021609</v>
      </c>
      <c r="R82" s="263">
        <v>54022.205788759136</v>
      </c>
      <c r="S82" s="259">
        <v>61583.479635494048</v>
      </c>
      <c r="U82" s="7" t="s">
        <v>3819</v>
      </c>
    </row>
    <row r="83" spans="1:21" s="65" customFormat="1" ht="16.5" thickBot="1">
      <c r="A83" s="41" t="s">
        <v>31</v>
      </c>
      <c r="B83" s="42">
        <f t="shared" si="3"/>
        <v>200</v>
      </c>
      <c r="C83" s="42" t="s">
        <v>3</v>
      </c>
      <c r="D83" s="42">
        <f t="shared" si="4"/>
        <v>260</v>
      </c>
      <c r="E83" s="42" t="s">
        <v>3</v>
      </c>
      <c r="F83" s="90">
        <f t="shared" si="5"/>
        <v>1750</v>
      </c>
      <c r="G83" s="42" t="s">
        <v>3</v>
      </c>
      <c r="H83" s="39">
        <v>4</v>
      </c>
      <c r="I83" s="40" t="s">
        <v>41</v>
      </c>
      <c r="J83" s="149">
        <v>200</v>
      </c>
      <c r="K83" s="66">
        <v>260</v>
      </c>
      <c r="L83" s="66">
        <v>1750</v>
      </c>
      <c r="M83" s="164">
        <v>22.389444559421577</v>
      </c>
      <c r="N83" s="78">
        <v>1454.6687959701969</v>
      </c>
      <c r="O83" s="113">
        <v>33975.629302426831</v>
      </c>
      <c r="P83" s="161">
        <v>41737.55210065587</v>
      </c>
      <c r="Q83" s="254">
        <v>21548.09763728534</v>
      </c>
      <c r="R83" s="263">
        <v>55523.726939712171</v>
      </c>
      <c r="S83" s="259">
        <v>63285.64973794121</v>
      </c>
      <c r="U83" s="7" t="s">
        <v>3820</v>
      </c>
    </row>
    <row r="84" spans="1:21" s="65" customFormat="1" ht="16.5" thickBot="1">
      <c r="A84" s="41" t="s">
        <v>31</v>
      </c>
      <c r="B84" s="42">
        <f t="shared" si="3"/>
        <v>200</v>
      </c>
      <c r="C84" s="42" t="s">
        <v>3</v>
      </c>
      <c r="D84" s="42">
        <f t="shared" si="4"/>
        <v>260</v>
      </c>
      <c r="E84" s="42" t="s">
        <v>3</v>
      </c>
      <c r="F84" s="90">
        <f t="shared" si="5"/>
        <v>1800</v>
      </c>
      <c r="G84" s="42" t="s">
        <v>3</v>
      </c>
      <c r="H84" s="39">
        <v>4</v>
      </c>
      <c r="I84" s="40" t="s">
        <v>41</v>
      </c>
      <c r="J84" s="149">
        <v>200</v>
      </c>
      <c r="K84" s="66">
        <v>260</v>
      </c>
      <c r="L84" s="66">
        <v>1800</v>
      </c>
      <c r="M84" s="164">
        <v>22.977998629286841</v>
      </c>
      <c r="N84" s="78">
        <v>1506.6212529691325</v>
      </c>
      <c r="O84" s="113">
        <v>34755.360595087368</v>
      </c>
      <c r="P84" s="161">
        <v>42717.932497839458</v>
      </c>
      <c r="Q84" s="254">
        <v>22018.553204765303</v>
      </c>
      <c r="R84" s="263">
        <v>56773.913799852671</v>
      </c>
      <c r="S84" s="259">
        <v>64736.485702604761</v>
      </c>
      <c r="U84" s="7" t="s">
        <v>3821</v>
      </c>
    </row>
    <row r="85" spans="1:21" s="65" customFormat="1" ht="16.5" thickBot="1">
      <c r="A85" s="41" t="s">
        <v>31</v>
      </c>
      <c r="B85" s="42">
        <f t="shared" si="3"/>
        <v>200</v>
      </c>
      <c r="C85" s="42" t="s">
        <v>3</v>
      </c>
      <c r="D85" s="42">
        <f t="shared" si="4"/>
        <v>260</v>
      </c>
      <c r="E85" s="42" t="s">
        <v>3</v>
      </c>
      <c r="F85" s="90">
        <f t="shared" si="5"/>
        <v>1850</v>
      </c>
      <c r="G85" s="42" t="s">
        <v>3</v>
      </c>
      <c r="H85" s="39">
        <v>4</v>
      </c>
      <c r="I85" s="40" t="s">
        <v>41</v>
      </c>
      <c r="J85" s="149">
        <v>200</v>
      </c>
      <c r="K85" s="66">
        <v>260</v>
      </c>
      <c r="L85" s="66">
        <v>1850</v>
      </c>
      <c r="M85" s="164">
        <v>23.583592699152106</v>
      </c>
      <c r="N85" s="78">
        <v>1558.5737099680684</v>
      </c>
      <c r="O85" s="113">
        <v>35535.092040776683</v>
      </c>
      <c r="P85" s="161">
        <v>43698.312895022893</v>
      </c>
      <c r="Q85" s="254">
        <v>22740.342910029034</v>
      </c>
      <c r="R85" s="263">
        <v>58275.43495080572</v>
      </c>
      <c r="S85" s="259">
        <v>66438.655805051923</v>
      </c>
      <c r="U85" s="7" t="s">
        <v>3822</v>
      </c>
    </row>
    <row r="86" spans="1:21" s="65" customFormat="1" ht="16.5" thickBot="1">
      <c r="A86" s="41" t="s">
        <v>31</v>
      </c>
      <c r="B86" s="42">
        <f t="shared" si="3"/>
        <v>200</v>
      </c>
      <c r="C86" s="42" t="s">
        <v>3</v>
      </c>
      <c r="D86" s="42">
        <f t="shared" si="4"/>
        <v>260</v>
      </c>
      <c r="E86" s="42" t="s">
        <v>3</v>
      </c>
      <c r="F86" s="90">
        <f t="shared" si="5"/>
        <v>1900</v>
      </c>
      <c r="G86" s="42" t="s">
        <v>3</v>
      </c>
      <c r="H86" s="39">
        <v>4</v>
      </c>
      <c r="I86" s="40" t="s">
        <v>41</v>
      </c>
      <c r="J86" s="149">
        <v>200</v>
      </c>
      <c r="K86" s="66">
        <v>260</v>
      </c>
      <c r="L86" s="66">
        <v>1900</v>
      </c>
      <c r="M86" s="164">
        <v>24.172146769017367</v>
      </c>
      <c r="N86" s="78">
        <v>1610.526166967004</v>
      </c>
      <c r="O86" s="113">
        <v>36314.82333343722</v>
      </c>
      <c r="P86" s="161">
        <v>44678.693292206328</v>
      </c>
      <c r="Q86" s="254">
        <v>23210.798477508997</v>
      </c>
      <c r="R86" s="263">
        <v>59525.621810946221</v>
      </c>
      <c r="S86" s="259">
        <v>67889.491769715329</v>
      </c>
      <c r="U86" s="7" t="s">
        <v>3823</v>
      </c>
    </row>
    <row r="87" spans="1:21" s="65" customFormat="1" ht="16.5" thickBot="1">
      <c r="A87" s="41" t="s">
        <v>31</v>
      </c>
      <c r="B87" s="42">
        <f t="shared" si="3"/>
        <v>200</v>
      </c>
      <c r="C87" s="42" t="s">
        <v>3</v>
      </c>
      <c r="D87" s="42">
        <f t="shared" si="4"/>
        <v>260</v>
      </c>
      <c r="E87" s="42" t="s">
        <v>3</v>
      </c>
      <c r="F87" s="90">
        <f t="shared" si="5"/>
        <v>1950</v>
      </c>
      <c r="G87" s="42" t="s">
        <v>3</v>
      </c>
      <c r="H87" s="39">
        <v>4</v>
      </c>
      <c r="I87" s="40" t="s">
        <v>41</v>
      </c>
      <c r="J87" s="149">
        <v>200</v>
      </c>
      <c r="K87" s="66">
        <v>260</v>
      </c>
      <c r="L87" s="66">
        <v>1950</v>
      </c>
      <c r="M87" s="164">
        <v>24.839200838882633</v>
      </c>
      <c r="N87" s="78">
        <v>1662.4786239659395</v>
      </c>
      <c r="O87" s="113">
        <v>37178.653114259854</v>
      </c>
      <c r="P87" s="161">
        <v>45743.685394824643</v>
      </c>
      <c r="Q87" s="254">
        <v>23681.25404498896</v>
      </c>
      <c r="R87" s="263">
        <v>60859.907159248818</v>
      </c>
      <c r="S87" s="259">
        <v>69424.939439813606</v>
      </c>
      <c r="U87" s="7" t="s">
        <v>3824</v>
      </c>
    </row>
    <row r="88" spans="1:21" s="65" customFormat="1" ht="16.5" thickBot="1">
      <c r="A88" s="41" t="s">
        <v>31</v>
      </c>
      <c r="B88" s="42">
        <f t="shared" si="3"/>
        <v>200</v>
      </c>
      <c r="C88" s="42" t="s">
        <v>3</v>
      </c>
      <c r="D88" s="42">
        <f t="shared" si="4"/>
        <v>260</v>
      </c>
      <c r="E88" s="42" t="s">
        <v>3</v>
      </c>
      <c r="F88" s="90">
        <f t="shared" si="5"/>
        <v>2000</v>
      </c>
      <c r="G88" s="42" t="s">
        <v>3</v>
      </c>
      <c r="H88" s="39">
        <v>4</v>
      </c>
      <c r="I88" s="40" t="s">
        <v>41</v>
      </c>
      <c r="J88" s="149">
        <v>200</v>
      </c>
      <c r="K88" s="66">
        <v>260</v>
      </c>
      <c r="L88" s="66">
        <v>2000</v>
      </c>
      <c r="M88" s="164">
        <v>25.536357308747895</v>
      </c>
      <c r="N88" s="78">
        <v>1714.4310809648748</v>
      </c>
      <c r="O88" s="113">
        <v>38209.676308764989</v>
      </c>
      <c r="P88" s="161">
        <v>47064.887818104078</v>
      </c>
      <c r="Q88" s="254">
        <v>24403.043750252691</v>
      </c>
      <c r="R88" s="263">
        <v>62612.72005901768</v>
      </c>
      <c r="S88" s="259">
        <v>71467.931568356769</v>
      </c>
      <c r="U88" s="7" t="s">
        <v>3825</v>
      </c>
    </row>
    <row r="89" spans="1:21" s="65" customFormat="1" ht="16.5" thickBot="1">
      <c r="A89" s="41" t="s">
        <v>31</v>
      </c>
      <c r="B89" s="42">
        <f t="shared" si="3"/>
        <v>200</v>
      </c>
      <c r="C89" s="42" t="s">
        <v>3</v>
      </c>
      <c r="D89" s="42">
        <f t="shared" si="4"/>
        <v>260</v>
      </c>
      <c r="E89" s="42" t="s">
        <v>3</v>
      </c>
      <c r="F89" s="90">
        <f t="shared" si="5"/>
        <v>2050</v>
      </c>
      <c r="G89" s="42" t="s">
        <v>3</v>
      </c>
      <c r="H89" s="39">
        <v>4</v>
      </c>
      <c r="I89" s="40" t="s">
        <v>41</v>
      </c>
      <c r="J89" s="149">
        <v>200</v>
      </c>
      <c r="K89" s="66">
        <v>260</v>
      </c>
      <c r="L89" s="66">
        <v>2050</v>
      </c>
      <c r="M89" s="164">
        <v>26.124911378613159</v>
      </c>
      <c r="N89" s="78">
        <v>1766.3835379638106</v>
      </c>
      <c r="O89" s="113">
        <v>38989.407754454296</v>
      </c>
      <c r="P89" s="161">
        <v>48045.26821528752</v>
      </c>
      <c r="Q89" s="254">
        <v>24873.499317732651</v>
      </c>
      <c r="R89" s="263">
        <v>63862.90707218695</v>
      </c>
      <c r="S89" s="259">
        <v>72918.767533020175</v>
      </c>
      <c r="U89" s="7" t="s">
        <v>3826</v>
      </c>
    </row>
    <row r="90" spans="1:21" s="65" customFormat="1" ht="16.5" thickBot="1">
      <c r="A90" s="38" t="s">
        <v>31</v>
      </c>
      <c r="B90" s="39">
        <f t="shared" si="3"/>
        <v>200</v>
      </c>
      <c r="C90" s="39" t="s">
        <v>3</v>
      </c>
      <c r="D90" s="39">
        <f t="shared" si="4"/>
        <v>260</v>
      </c>
      <c r="E90" s="39" t="s">
        <v>3</v>
      </c>
      <c r="F90" s="90">
        <f t="shared" si="5"/>
        <v>2100</v>
      </c>
      <c r="G90" s="39" t="s">
        <v>3</v>
      </c>
      <c r="H90" s="39">
        <v>4</v>
      </c>
      <c r="I90" s="40" t="s">
        <v>41</v>
      </c>
      <c r="J90" s="149">
        <v>200</v>
      </c>
      <c r="K90" s="66">
        <v>260</v>
      </c>
      <c r="L90" s="66">
        <v>2100</v>
      </c>
      <c r="M90" s="164">
        <v>26.730505448478418</v>
      </c>
      <c r="N90" s="78">
        <v>1818.3359949627463</v>
      </c>
      <c r="O90" s="113">
        <v>39769.139047114841</v>
      </c>
      <c r="P90" s="161">
        <v>49025.648612470955</v>
      </c>
      <c r="Q90" s="254">
        <v>25595.289022996385</v>
      </c>
      <c r="R90" s="263">
        <v>65364.428070111229</v>
      </c>
      <c r="S90" s="259">
        <v>74620.937635467344</v>
      </c>
      <c r="U90" s="7" t="s">
        <v>3827</v>
      </c>
    </row>
    <row r="91" spans="1:21" s="65" customFormat="1" ht="16.5" thickBot="1">
      <c r="A91" s="41" t="s">
        <v>31</v>
      </c>
      <c r="B91" s="42">
        <f t="shared" si="3"/>
        <v>200</v>
      </c>
      <c r="C91" s="42" t="s">
        <v>3</v>
      </c>
      <c r="D91" s="42">
        <f t="shared" si="4"/>
        <v>260</v>
      </c>
      <c r="E91" s="42" t="s">
        <v>3</v>
      </c>
      <c r="F91" s="90">
        <f t="shared" si="5"/>
        <v>2150</v>
      </c>
      <c r="G91" s="42" t="s">
        <v>3</v>
      </c>
      <c r="H91" s="39">
        <v>4</v>
      </c>
      <c r="I91" s="40" t="s">
        <v>41</v>
      </c>
      <c r="J91" s="149">
        <v>200</v>
      </c>
      <c r="K91" s="66">
        <v>260</v>
      </c>
      <c r="L91" s="66">
        <v>2150</v>
      </c>
      <c r="M91" s="164">
        <v>27.319059518343686</v>
      </c>
      <c r="N91" s="78">
        <v>1870.2884519616821</v>
      </c>
      <c r="O91" s="113">
        <v>40548.870492804141</v>
      </c>
      <c r="P91" s="161">
        <v>50006.029009654543</v>
      </c>
      <c r="Q91" s="254">
        <v>26065.744590476344</v>
      </c>
      <c r="R91" s="263">
        <v>66614.615083280485</v>
      </c>
      <c r="S91" s="259">
        <v>76071.773600130895</v>
      </c>
      <c r="U91" s="7" t="s">
        <v>3828</v>
      </c>
    </row>
    <row r="92" spans="1:21" s="65" customFormat="1" ht="16.5" thickBot="1">
      <c r="A92" s="41" t="s">
        <v>31</v>
      </c>
      <c r="B92" s="42">
        <f t="shared" si="3"/>
        <v>200</v>
      </c>
      <c r="C92" s="42" t="s">
        <v>3</v>
      </c>
      <c r="D92" s="42">
        <f t="shared" si="4"/>
        <v>260</v>
      </c>
      <c r="E92" s="42" t="s">
        <v>3</v>
      </c>
      <c r="F92" s="90">
        <f t="shared" si="5"/>
        <v>2200</v>
      </c>
      <c r="G92" s="42" t="s">
        <v>3</v>
      </c>
      <c r="H92" s="39">
        <v>4</v>
      </c>
      <c r="I92" s="40" t="s">
        <v>41</v>
      </c>
      <c r="J92" s="149">
        <v>200</v>
      </c>
      <c r="K92" s="66">
        <v>260</v>
      </c>
      <c r="L92" s="66">
        <v>2200</v>
      </c>
      <c r="M92" s="164">
        <v>27.924653588208947</v>
      </c>
      <c r="N92" s="78">
        <v>1922.2409089606176</v>
      </c>
      <c r="O92" s="113">
        <v>41328.601785464685</v>
      </c>
      <c r="P92" s="161">
        <v>50986.409406837971</v>
      </c>
      <c r="Q92" s="254">
        <v>26787.534295740079</v>
      </c>
      <c r="R92" s="263">
        <v>68116.136081204764</v>
      </c>
      <c r="S92" s="259">
        <v>77773.94370257805</v>
      </c>
      <c r="U92" s="7" t="s">
        <v>3829</v>
      </c>
    </row>
    <row r="93" spans="1:21" s="65" customFormat="1" ht="16.5" thickBot="1">
      <c r="A93" s="41" t="s">
        <v>31</v>
      </c>
      <c r="B93" s="42">
        <f t="shared" si="3"/>
        <v>200</v>
      </c>
      <c r="C93" s="42" t="s">
        <v>3</v>
      </c>
      <c r="D93" s="42">
        <f t="shared" si="4"/>
        <v>260</v>
      </c>
      <c r="E93" s="42" t="s">
        <v>3</v>
      </c>
      <c r="F93" s="90">
        <f t="shared" si="5"/>
        <v>2250</v>
      </c>
      <c r="G93" s="42" t="s">
        <v>3</v>
      </c>
      <c r="H93" s="39">
        <v>4</v>
      </c>
      <c r="I93" s="40" t="s">
        <v>41</v>
      </c>
      <c r="J93" s="149">
        <v>200</v>
      </c>
      <c r="K93" s="66">
        <v>260</v>
      </c>
      <c r="L93" s="66">
        <v>2250</v>
      </c>
      <c r="M93" s="164">
        <v>28.513207658074208</v>
      </c>
      <c r="N93" s="78">
        <v>1974.1933659595529</v>
      </c>
      <c r="O93" s="113">
        <v>42108.333231153985</v>
      </c>
      <c r="P93" s="161">
        <v>51966.789804021406</v>
      </c>
      <c r="Q93" s="254">
        <v>27257.989710191272</v>
      </c>
      <c r="R93" s="263">
        <v>69366.32294134525</v>
      </c>
      <c r="S93" s="259">
        <v>79224.779514212685</v>
      </c>
      <c r="U93" s="7" t="s">
        <v>3830</v>
      </c>
    </row>
    <row r="94" spans="1:21" s="65" customFormat="1" ht="16.5" thickBot="1">
      <c r="A94" s="41" t="s">
        <v>31</v>
      </c>
      <c r="B94" s="42">
        <f t="shared" si="3"/>
        <v>200</v>
      </c>
      <c r="C94" s="42" t="s">
        <v>3</v>
      </c>
      <c r="D94" s="42">
        <f t="shared" si="4"/>
        <v>260</v>
      </c>
      <c r="E94" s="42" t="s">
        <v>3</v>
      </c>
      <c r="F94" s="90">
        <f t="shared" si="5"/>
        <v>2300</v>
      </c>
      <c r="G94" s="42" t="s">
        <v>3</v>
      </c>
      <c r="H94" s="39">
        <v>4</v>
      </c>
      <c r="I94" s="40" t="s">
        <v>41</v>
      </c>
      <c r="J94" s="149">
        <v>200</v>
      </c>
      <c r="K94" s="66">
        <v>260</v>
      </c>
      <c r="L94" s="66">
        <v>2300</v>
      </c>
      <c r="M94" s="164">
        <v>29.101761727939476</v>
      </c>
      <c r="N94" s="78">
        <v>2026.1458229584885</v>
      </c>
      <c r="O94" s="113">
        <v>42888.06452381453</v>
      </c>
      <c r="P94" s="161">
        <v>52947.170201204848</v>
      </c>
      <c r="Q94" s="254">
        <v>27728.445277671239</v>
      </c>
      <c r="R94" s="263">
        <v>70616.509801485765</v>
      </c>
      <c r="S94" s="259">
        <v>80675.61547887609</v>
      </c>
      <c r="U94" s="7" t="s">
        <v>3831</v>
      </c>
    </row>
    <row r="95" spans="1:21" s="65" customFormat="1" ht="16.5" thickBot="1">
      <c r="A95" s="41" t="s">
        <v>31</v>
      </c>
      <c r="B95" s="42">
        <f t="shared" si="3"/>
        <v>200</v>
      </c>
      <c r="C95" s="42" t="s">
        <v>3</v>
      </c>
      <c r="D95" s="42">
        <f t="shared" si="4"/>
        <v>260</v>
      </c>
      <c r="E95" s="42" t="s">
        <v>3</v>
      </c>
      <c r="F95" s="90">
        <f t="shared" si="5"/>
        <v>2350</v>
      </c>
      <c r="G95" s="42" t="s">
        <v>3</v>
      </c>
      <c r="H95" s="39">
        <v>4</v>
      </c>
      <c r="I95" s="40" t="s">
        <v>41</v>
      </c>
      <c r="J95" s="149">
        <v>200</v>
      </c>
      <c r="K95" s="66">
        <v>260</v>
      </c>
      <c r="L95" s="66">
        <v>2350</v>
      </c>
      <c r="M95" s="164">
        <v>29.707355797804738</v>
      </c>
      <c r="N95" s="78">
        <v>2078.0982799574244</v>
      </c>
      <c r="O95" s="113">
        <v>43667.795969503837</v>
      </c>
      <c r="P95" s="161">
        <v>53927.550598388436</v>
      </c>
      <c r="Q95" s="254">
        <v>28450.234982934966</v>
      </c>
      <c r="R95" s="263">
        <v>72118.030952438799</v>
      </c>
      <c r="S95" s="259">
        <v>82377.785581323405</v>
      </c>
      <c r="U95" s="7" t="s">
        <v>3832</v>
      </c>
    </row>
    <row r="96" spans="1:21" s="65" customFormat="1" ht="16.5" thickBot="1">
      <c r="A96" s="41" t="s">
        <v>31</v>
      </c>
      <c r="B96" s="42">
        <f t="shared" si="3"/>
        <v>200</v>
      </c>
      <c r="C96" s="42" t="s">
        <v>3</v>
      </c>
      <c r="D96" s="42">
        <f t="shared" si="4"/>
        <v>260</v>
      </c>
      <c r="E96" s="42" t="s">
        <v>3</v>
      </c>
      <c r="F96" s="90">
        <f t="shared" si="5"/>
        <v>2400</v>
      </c>
      <c r="G96" s="42" t="s">
        <v>3</v>
      </c>
      <c r="H96" s="39">
        <v>4</v>
      </c>
      <c r="I96" s="40" t="s">
        <v>41</v>
      </c>
      <c r="J96" s="149">
        <v>200</v>
      </c>
      <c r="K96" s="66">
        <v>260</v>
      </c>
      <c r="L96" s="66">
        <v>2400</v>
      </c>
      <c r="M96" s="164">
        <v>30.295909867669998</v>
      </c>
      <c r="N96" s="78">
        <v>2130.0507369563593</v>
      </c>
      <c r="O96" s="113">
        <v>44447.527262164374</v>
      </c>
      <c r="P96" s="161">
        <v>54907.930995571864</v>
      </c>
      <c r="Q96" s="254">
        <v>28920.690550414929</v>
      </c>
      <c r="R96" s="263">
        <v>73368.2178125793</v>
      </c>
      <c r="S96" s="259">
        <v>83828.621545986796</v>
      </c>
      <c r="U96" s="7" t="s">
        <v>3833</v>
      </c>
    </row>
    <row r="97" spans="1:21" s="65" customFormat="1" ht="16.5" thickBot="1">
      <c r="A97" s="41" t="s">
        <v>31</v>
      </c>
      <c r="B97" s="42">
        <f t="shared" si="3"/>
        <v>200</v>
      </c>
      <c r="C97" s="42" t="s">
        <v>3</v>
      </c>
      <c r="D97" s="42">
        <f t="shared" si="4"/>
        <v>260</v>
      </c>
      <c r="E97" s="42" t="s">
        <v>3</v>
      </c>
      <c r="F97" s="90">
        <f t="shared" si="5"/>
        <v>2450</v>
      </c>
      <c r="G97" s="42" t="s">
        <v>3</v>
      </c>
      <c r="H97" s="39">
        <v>4</v>
      </c>
      <c r="I97" s="40" t="s">
        <v>41</v>
      </c>
      <c r="J97" s="149">
        <v>200</v>
      </c>
      <c r="K97" s="66">
        <v>260</v>
      </c>
      <c r="L97" s="66">
        <v>2450</v>
      </c>
      <c r="M97" s="164">
        <v>31.06741478949526</v>
      </c>
      <c r="N97" s="78">
        <v>2182.003193955296</v>
      </c>
      <c r="O97" s="113">
        <v>45893.616497468654</v>
      </c>
      <c r="P97" s="161">
        <v>56514.297807838753</v>
      </c>
      <c r="Q97" s="254">
        <v>29642.480255678664</v>
      </c>
      <c r="R97" s="263">
        <v>75536.096753147314</v>
      </c>
      <c r="S97" s="259">
        <v>86156.778063517413</v>
      </c>
      <c r="U97" s="7" t="s">
        <v>3834</v>
      </c>
    </row>
    <row r="98" spans="1:21" s="65" customFormat="1" ht="16.5" thickBot="1">
      <c r="A98" s="41" t="s">
        <v>31</v>
      </c>
      <c r="B98" s="42">
        <f t="shared" si="3"/>
        <v>200</v>
      </c>
      <c r="C98" s="42" t="s">
        <v>3</v>
      </c>
      <c r="D98" s="42">
        <f t="shared" si="4"/>
        <v>260</v>
      </c>
      <c r="E98" s="42" t="s">
        <v>3</v>
      </c>
      <c r="F98" s="90">
        <f t="shared" si="5"/>
        <v>2500</v>
      </c>
      <c r="G98" s="42" t="s">
        <v>3</v>
      </c>
      <c r="H98" s="39">
        <v>4</v>
      </c>
      <c r="I98" s="40" t="s">
        <v>41</v>
      </c>
      <c r="J98" s="149">
        <v>200</v>
      </c>
      <c r="K98" s="66">
        <v>260</v>
      </c>
      <c r="L98" s="66">
        <v>2500</v>
      </c>
      <c r="M98" s="164">
        <v>31.655968859360527</v>
      </c>
      <c r="N98" s="78">
        <v>2233.9556509542308</v>
      </c>
      <c r="O98" s="113">
        <v>46673.347943157962</v>
      </c>
      <c r="P98" s="161">
        <v>57494.678205022348</v>
      </c>
      <c r="Q98" s="254">
        <v>30112.935823158623</v>
      </c>
      <c r="R98" s="263">
        <v>76786.283766316585</v>
      </c>
      <c r="S98" s="259">
        <v>87607.614028180978</v>
      </c>
      <c r="U98" s="7" t="s">
        <v>3835</v>
      </c>
    </row>
    <row r="99" spans="1:21" s="65" customFormat="1" ht="16.5" thickBot="1">
      <c r="A99" s="41" t="s">
        <v>31</v>
      </c>
      <c r="B99" s="42">
        <f t="shared" si="3"/>
        <v>200</v>
      </c>
      <c r="C99" s="42" t="s">
        <v>3</v>
      </c>
      <c r="D99" s="42">
        <f t="shared" si="4"/>
        <v>260</v>
      </c>
      <c r="E99" s="42" t="s">
        <v>3</v>
      </c>
      <c r="F99" s="90">
        <f t="shared" si="5"/>
        <v>2550</v>
      </c>
      <c r="G99" s="42" t="s">
        <v>3</v>
      </c>
      <c r="H99" s="39">
        <v>4</v>
      </c>
      <c r="I99" s="40" t="s">
        <v>41</v>
      </c>
      <c r="J99" s="149">
        <v>200</v>
      </c>
      <c r="K99" s="66">
        <v>260</v>
      </c>
      <c r="L99" s="66">
        <v>2550</v>
      </c>
      <c r="M99" s="164">
        <v>32.261562929225789</v>
      </c>
      <c r="N99" s="78">
        <v>2285.908107953167</v>
      </c>
      <c r="O99" s="113">
        <v>47453.079235818499</v>
      </c>
      <c r="P99" s="161">
        <v>58475.058602205783</v>
      </c>
      <c r="Q99" s="254">
        <v>30834.725528422357</v>
      </c>
      <c r="R99" s="263">
        <v>78287.804764240864</v>
      </c>
      <c r="S99" s="259">
        <v>89309.784130628133</v>
      </c>
      <c r="U99" s="7" t="s">
        <v>3836</v>
      </c>
    </row>
    <row r="100" spans="1:21" s="65" customFormat="1" ht="16.5" thickBot="1">
      <c r="A100" s="38" t="s">
        <v>31</v>
      </c>
      <c r="B100" s="39">
        <f t="shared" si="3"/>
        <v>200</v>
      </c>
      <c r="C100" s="39" t="s">
        <v>3</v>
      </c>
      <c r="D100" s="39">
        <f t="shared" si="4"/>
        <v>260</v>
      </c>
      <c r="E100" s="39" t="s">
        <v>3</v>
      </c>
      <c r="F100" s="90">
        <f t="shared" si="5"/>
        <v>2600</v>
      </c>
      <c r="G100" s="39" t="s">
        <v>3</v>
      </c>
      <c r="H100" s="39">
        <v>4</v>
      </c>
      <c r="I100" s="40" t="s">
        <v>41</v>
      </c>
      <c r="J100" s="149">
        <v>200</v>
      </c>
      <c r="K100" s="66">
        <v>260</v>
      </c>
      <c r="L100" s="66">
        <v>2600</v>
      </c>
      <c r="M100" s="164">
        <v>32.850116999091057</v>
      </c>
      <c r="N100" s="78">
        <v>2337.8605649521023</v>
      </c>
      <c r="O100" s="113">
        <v>48232.810681507814</v>
      </c>
      <c r="P100" s="161">
        <v>59455.438999389364</v>
      </c>
      <c r="Q100" s="254">
        <v>31305.181095902317</v>
      </c>
      <c r="R100" s="263">
        <v>79537.991777410134</v>
      </c>
      <c r="S100" s="259">
        <v>90760.620095291684</v>
      </c>
      <c r="U100" s="7" t="s">
        <v>3837</v>
      </c>
    </row>
    <row r="101" spans="1:21" s="65" customFormat="1" ht="16.5" thickBot="1">
      <c r="A101" s="41" t="s">
        <v>31</v>
      </c>
      <c r="B101" s="42">
        <f t="shared" si="3"/>
        <v>200</v>
      </c>
      <c r="C101" s="42" t="s">
        <v>3</v>
      </c>
      <c r="D101" s="42">
        <f t="shared" si="4"/>
        <v>260</v>
      </c>
      <c r="E101" s="42" t="s">
        <v>3</v>
      </c>
      <c r="F101" s="90">
        <f t="shared" si="5"/>
        <v>2650</v>
      </c>
      <c r="G101" s="42" t="s">
        <v>3</v>
      </c>
      <c r="H101" s="39">
        <v>4</v>
      </c>
      <c r="I101" s="40" t="s">
        <v>41</v>
      </c>
      <c r="J101" s="149">
        <v>200</v>
      </c>
      <c r="K101" s="66">
        <v>260</v>
      </c>
      <c r="L101" s="66">
        <v>2650</v>
      </c>
      <c r="M101" s="164">
        <v>33.455711068956319</v>
      </c>
      <c r="N101" s="78">
        <v>2389.8130219510376</v>
      </c>
      <c r="O101" s="113">
        <v>49012.541974168351</v>
      </c>
      <c r="P101" s="161">
        <v>60435.819396572799</v>
      </c>
      <c r="Q101" s="254">
        <v>32026.970801166051</v>
      </c>
      <c r="R101" s="263">
        <v>81039.512775334399</v>
      </c>
      <c r="S101" s="259">
        <v>92462.790197738854</v>
      </c>
      <c r="U101" s="7" t="s">
        <v>3838</v>
      </c>
    </row>
    <row r="102" spans="1:21" s="65" customFormat="1" ht="16.5" thickBot="1">
      <c r="A102" s="41" t="s">
        <v>31</v>
      </c>
      <c r="B102" s="42">
        <f t="shared" si="3"/>
        <v>200</v>
      </c>
      <c r="C102" s="42" t="s">
        <v>3</v>
      </c>
      <c r="D102" s="42">
        <f t="shared" si="4"/>
        <v>260</v>
      </c>
      <c r="E102" s="42" t="s">
        <v>3</v>
      </c>
      <c r="F102" s="90">
        <f t="shared" si="5"/>
        <v>2700</v>
      </c>
      <c r="G102" s="42" t="s">
        <v>3</v>
      </c>
      <c r="H102" s="39">
        <v>4</v>
      </c>
      <c r="I102" s="40" t="s">
        <v>41</v>
      </c>
      <c r="J102" s="149">
        <v>200</v>
      </c>
      <c r="K102" s="66">
        <v>260</v>
      </c>
      <c r="L102" s="66">
        <v>2700</v>
      </c>
      <c r="M102" s="164">
        <v>34.122765138821585</v>
      </c>
      <c r="N102" s="78">
        <v>2441.7654789499738</v>
      </c>
      <c r="O102" s="113">
        <v>49876.371601962222</v>
      </c>
      <c r="P102" s="161">
        <v>61500.811499190961</v>
      </c>
      <c r="Q102" s="254">
        <v>32497.426368646011</v>
      </c>
      <c r="R102" s="263">
        <v>82373.797970608226</v>
      </c>
      <c r="S102" s="259">
        <v>93998.237867836971</v>
      </c>
      <c r="U102" s="7" t="s">
        <v>3839</v>
      </c>
    </row>
    <row r="103" spans="1:21" s="65" customFormat="1" ht="16.5" thickBot="1">
      <c r="A103" s="41" t="s">
        <v>31</v>
      </c>
      <c r="B103" s="42">
        <f t="shared" si="3"/>
        <v>200</v>
      </c>
      <c r="C103" s="42" t="s">
        <v>3</v>
      </c>
      <c r="D103" s="42">
        <f t="shared" si="4"/>
        <v>260</v>
      </c>
      <c r="E103" s="42" t="s">
        <v>3</v>
      </c>
      <c r="F103" s="90">
        <f t="shared" si="5"/>
        <v>2750</v>
      </c>
      <c r="G103" s="42" t="s">
        <v>3</v>
      </c>
      <c r="H103" s="39">
        <v>4</v>
      </c>
      <c r="I103" s="40" t="s">
        <v>41</v>
      </c>
      <c r="J103" s="149">
        <v>200</v>
      </c>
      <c r="K103" s="66">
        <v>260</v>
      </c>
      <c r="L103" s="66">
        <v>2750</v>
      </c>
      <c r="M103" s="164">
        <v>34.711319208686845</v>
      </c>
      <c r="N103" s="78">
        <v>2493.7179359489087</v>
      </c>
      <c r="O103" s="113">
        <v>50656.10304765153</v>
      </c>
      <c r="P103" s="161">
        <v>62481.191896374556</v>
      </c>
      <c r="Q103" s="254">
        <v>32967.881936125974</v>
      </c>
      <c r="R103" s="263">
        <v>83623.984983777511</v>
      </c>
      <c r="S103" s="259">
        <v>95449.073832500522</v>
      </c>
      <c r="U103" s="7" t="s">
        <v>3840</v>
      </c>
    </row>
    <row r="104" spans="1:21" s="65" customFormat="1" ht="16.5" thickBot="1">
      <c r="A104" s="41" t="s">
        <v>31</v>
      </c>
      <c r="B104" s="42">
        <f t="shared" si="3"/>
        <v>200</v>
      </c>
      <c r="C104" s="42" t="s">
        <v>3</v>
      </c>
      <c r="D104" s="42">
        <f t="shared" si="4"/>
        <v>260</v>
      </c>
      <c r="E104" s="42" t="s">
        <v>3</v>
      </c>
      <c r="F104" s="90">
        <f t="shared" si="5"/>
        <v>2800</v>
      </c>
      <c r="G104" s="42" t="s">
        <v>3</v>
      </c>
      <c r="H104" s="39">
        <v>4</v>
      </c>
      <c r="I104" s="40" t="s">
        <v>41</v>
      </c>
      <c r="J104" s="149">
        <v>200</v>
      </c>
      <c r="K104" s="66">
        <v>260</v>
      </c>
      <c r="L104" s="66">
        <v>2800</v>
      </c>
      <c r="M104" s="164">
        <v>35.316913278552107</v>
      </c>
      <c r="N104" s="78">
        <v>2545.6703929478449</v>
      </c>
      <c r="O104" s="113">
        <v>51435.834493340837</v>
      </c>
      <c r="P104" s="161">
        <v>63461.572293557991</v>
      </c>
      <c r="Q104" s="254">
        <v>33689.671488360938</v>
      </c>
      <c r="R104" s="263">
        <v>85125.505981701775</v>
      </c>
      <c r="S104" s="259">
        <v>97151.243781918922</v>
      </c>
      <c r="U104" s="7" t="s">
        <v>3841</v>
      </c>
    </row>
    <row r="105" spans="1:21" s="65" customFormat="1" ht="16.5" thickBot="1">
      <c r="A105" s="41" t="s">
        <v>31</v>
      </c>
      <c r="B105" s="42">
        <f t="shared" si="3"/>
        <v>200</v>
      </c>
      <c r="C105" s="42" t="s">
        <v>3</v>
      </c>
      <c r="D105" s="42">
        <f t="shared" si="4"/>
        <v>260</v>
      </c>
      <c r="E105" s="42" t="s">
        <v>3</v>
      </c>
      <c r="F105" s="90">
        <f t="shared" si="5"/>
        <v>2850</v>
      </c>
      <c r="G105" s="42" t="s">
        <v>3</v>
      </c>
      <c r="H105" s="39">
        <v>4</v>
      </c>
      <c r="I105" s="40" t="s">
        <v>41</v>
      </c>
      <c r="J105" s="149">
        <v>200</v>
      </c>
      <c r="K105" s="66">
        <v>260</v>
      </c>
      <c r="L105" s="66">
        <v>2850</v>
      </c>
      <c r="M105" s="164">
        <v>35.905467348417375</v>
      </c>
      <c r="N105" s="78">
        <v>2597.6228499467802</v>
      </c>
      <c r="O105" s="113">
        <v>52215.565786001374</v>
      </c>
      <c r="P105" s="161">
        <v>64441.952690741426</v>
      </c>
      <c r="Q105" s="254">
        <v>34160.127055840901</v>
      </c>
      <c r="R105" s="263">
        <v>86375.692841842276</v>
      </c>
      <c r="S105" s="259">
        <v>98602.079746582327</v>
      </c>
      <c r="U105" s="7" t="s">
        <v>3842</v>
      </c>
    </row>
    <row r="106" spans="1:21" s="65" customFormat="1" ht="16.5" thickBot="1">
      <c r="A106" s="41" t="s">
        <v>31</v>
      </c>
      <c r="B106" s="42">
        <f t="shared" si="3"/>
        <v>200</v>
      </c>
      <c r="C106" s="42" t="s">
        <v>3</v>
      </c>
      <c r="D106" s="42">
        <f t="shared" si="4"/>
        <v>260</v>
      </c>
      <c r="E106" s="42" t="s">
        <v>3</v>
      </c>
      <c r="F106" s="90">
        <f t="shared" si="5"/>
        <v>2900</v>
      </c>
      <c r="G106" s="42" t="s">
        <v>3</v>
      </c>
      <c r="H106" s="39">
        <v>4</v>
      </c>
      <c r="I106" s="40" t="s">
        <v>41</v>
      </c>
      <c r="J106" s="149">
        <v>200</v>
      </c>
      <c r="K106" s="66">
        <v>260</v>
      </c>
      <c r="L106" s="66">
        <v>2900</v>
      </c>
      <c r="M106" s="164">
        <v>36.511061418282623</v>
      </c>
      <c r="N106" s="78">
        <v>2649.5753069457155</v>
      </c>
      <c r="O106" s="113">
        <v>52995.297231690682</v>
      </c>
      <c r="P106" s="161">
        <v>65422.333087924853</v>
      </c>
      <c r="Q106" s="254">
        <v>34881.916761104636</v>
      </c>
      <c r="R106" s="263">
        <v>87877.213992795325</v>
      </c>
      <c r="S106" s="259">
        <v>100304.2498490295</v>
      </c>
      <c r="U106" s="7" t="s">
        <v>3843</v>
      </c>
    </row>
    <row r="107" spans="1:21" s="65" customFormat="1" ht="16.5" thickBot="1">
      <c r="A107" s="41" t="s">
        <v>31</v>
      </c>
      <c r="B107" s="42">
        <f t="shared" si="3"/>
        <v>200</v>
      </c>
      <c r="C107" s="42" t="s">
        <v>3</v>
      </c>
      <c r="D107" s="42">
        <f t="shared" si="4"/>
        <v>260</v>
      </c>
      <c r="E107" s="42" t="s">
        <v>3</v>
      </c>
      <c r="F107" s="90">
        <f t="shared" si="5"/>
        <v>2950</v>
      </c>
      <c r="G107" s="42" t="s">
        <v>3</v>
      </c>
      <c r="H107" s="39">
        <v>4</v>
      </c>
      <c r="I107" s="40" t="s">
        <v>41</v>
      </c>
      <c r="J107" s="149">
        <v>200</v>
      </c>
      <c r="K107" s="66">
        <v>260</v>
      </c>
      <c r="L107" s="66">
        <v>2950</v>
      </c>
      <c r="M107" s="164">
        <v>37.099615488147897</v>
      </c>
      <c r="N107" s="78">
        <v>2701.5277639446517</v>
      </c>
      <c r="O107" s="113">
        <v>53775.028524351226</v>
      </c>
      <c r="P107" s="161">
        <v>66402.713485108441</v>
      </c>
      <c r="Q107" s="254">
        <v>35352.372328584599</v>
      </c>
      <c r="R107" s="263">
        <v>89127.400852935825</v>
      </c>
      <c r="S107" s="259">
        <v>101755.08581369303</v>
      </c>
      <c r="U107" s="7" t="s">
        <v>3844</v>
      </c>
    </row>
    <row r="108" spans="1:21" s="65" customFormat="1" ht="16.5" thickBot="1">
      <c r="A108" s="43" t="s">
        <v>31</v>
      </c>
      <c r="B108" s="44">
        <f t="shared" si="3"/>
        <v>200</v>
      </c>
      <c r="C108" s="44" t="s">
        <v>3</v>
      </c>
      <c r="D108" s="44">
        <f t="shared" si="4"/>
        <v>260</v>
      </c>
      <c r="E108" s="44" t="s">
        <v>3</v>
      </c>
      <c r="F108" s="91">
        <f t="shared" si="5"/>
        <v>3000</v>
      </c>
      <c r="G108" s="44" t="s">
        <v>3</v>
      </c>
      <c r="H108" s="46">
        <v>4</v>
      </c>
      <c r="I108" s="45" t="s">
        <v>41</v>
      </c>
      <c r="J108" s="265">
        <v>200</v>
      </c>
      <c r="K108" s="266">
        <v>260</v>
      </c>
      <c r="L108" s="266">
        <v>3000</v>
      </c>
      <c r="M108" s="249">
        <v>37.705209558013152</v>
      </c>
      <c r="N108" s="250">
        <v>2753.480220943587</v>
      </c>
      <c r="O108" s="251">
        <v>55835.68143342626</v>
      </c>
      <c r="P108" s="283">
        <v>67383.093882291883</v>
      </c>
      <c r="Q108" s="267">
        <v>36074.162033848326</v>
      </c>
      <c r="R108" s="268">
        <v>91909.843467274593</v>
      </c>
      <c r="S108" s="269">
        <v>103457.25591614022</v>
      </c>
      <c r="U108" s="7" t="s">
        <v>3845</v>
      </c>
    </row>
    <row r="109" spans="1:21" s="65" customFormat="1" ht="22.5" customHeight="1" thickBot="1">
      <c r="A109" s="2968" t="s">
        <v>43</v>
      </c>
      <c r="B109" s="2969"/>
      <c r="C109" s="2969"/>
      <c r="D109" s="2969"/>
      <c r="E109" s="2969"/>
      <c r="F109" s="2969"/>
      <c r="G109" s="2969"/>
      <c r="H109" s="2969"/>
      <c r="I109" s="2969"/>
      <c r="J109" s="2969"/>
      <c r="K109" s="2969"/>
      <c r="L109" s="2969"/>
      <c r="M109" s="2969"/>
      <c r="N109" s="2969"/>
      <c r="O109" s="2969"/>
      <c r="P109" s="2969"/>
      <c r="Q109" s="2969"/>
      <c r="R109" s="2969"/>
      <c r="S109" s="2970"/>
      <c r="U109" s="7"/>
    </row>
    <row r="110" spans="1:21" s="65" customFormat="1" ht="16.5" customHeight="1" thickBot="1">
      <c r="A110" s="3050" t="s">
        <v>117</v>
      </c>
      <c r="B110" s="3051"/>
      <c r="C110" s="3051"/>
      <c r="D110" s="3051"/>
      <c r="E110" s="3051"/>
      <c r="F110" s="3051"/>
      <c r="G110" s="3051"/>
      <c r="H110" s="3051"/>
      <c r="I110" s="3051"/>
      <c r="J110" s="3051"/>
      <c r="K110" s="3051"/>
      <c r="L110" s="3051"/>
      <c r="M110" s="3051"/>
      <c r="N110" s="3051"/>
      <c r="O110" s="3051"/>
      <c r="P110" s="3051"/>
      <c r="Q110" s="3051"/>
      <c r="R110" s="3051"/>
      <c r="S110" s="3052"/>
      <c r="U110" s="7"/>
    </row>
    <row r="111" spans="1:21" s="65" customFormat="1" ht="16.5" thickBot="1">
      <c r="A111" s="38" t="s">
        <v>31</v>
      </c>
      <c r="B111" s="39">
        <f>J111</f>
        <v>200</v>
      </c>
      <c r="C111" s="39" t="s">
        <v>3</v>
      </c>
      <c r="D111" s="39">
        <f>K111</f>
        <v>300</v>
      </c>
      <c r="E111" s="39" t="s">
        <v>3</v>
      </c>
      <c r="F111" s="90">
        <f>L111</f>
        <v>600</v>
      </c>
      <c r="G111" s="39" t="s">
        <v>3</v>
      </c>
      <c r="H111" s="39">
        <v>4</v>
      </c>
      <c r="I111" s="40" t="s">
        <v>41</v>
      </c>
      <c r="J111" s="270">
        <v>200</v>
      </c>
      <c r="K111" s="271">
        <v>300</v>
      </c>
      <c r="L111" s="271">
        <v>600</v>
      </c>
      <c r="M111" s="245">
        <v>8.6488373530745388</v>
      </c>
      <c r="N111" s="246">
        <v>278.18687637933908</v>
      </c>
      <c r="O111" s="247">
        <v>16055.919129436448</v>
      </c>
      <c r="P111" s="170">
        <v>19586.897135612664</v>
      </c>
      <c r="Q111" s="272">
        <v>8941.6715199935952</v>
      </c>
      <c r="R111" s="273">
        <v>24997.590649430043</v>
      </c>
      <c r="S111" s="274">
        <v>28528.568655606257</v>
      </c>
      <c r="U111" s="7" t="s">
        <v>3846</v>
      </c>
    </row>
    <row r="112" spans="1:21" s="65" customFormat="1" ht="16.5" thickBot="1">
      <c r="A112" s="41" t="s">
        <v>31</v>
      </c>
      <c r="B112" s="42">
        <f t="shared" ref="B112:B159" si="6">J112</f>
        <v>200</v>
      </c>
      <c r="C112" s="42" t="s">
        <v>3</v>
      </c>
      <c r="D112" s="42">
        <f t="shared" ref="D112:D159" si="7">K112</f>
        <v>300</v>
      </c>
      <c r="E112" s="42" t="s">
        <v>3</v>
      </c>
      <c r="F112" s="90">
        <f t="shared" ref="F112:F159" si="8">L112</f>
        <v>650</v>
      </c>
      <c r="G112" s="42" t="s">
        <v>3</v>
      </c>
      <c r="H112" s="39">
        <v>4</v>
      </c>
      <c r="I112" s="40" t="s">
        <v>41</v>
      </c>
      <c r="J112" s="149">
        <v>200</v>
      </c>
      <c r="K112" s="66">
        <v>300</v>
      </c>
      <c r="L112" s="66">
        <v>650</v>
      </c>
      <c r="M112" s="164">
        <v>9.2521052746864321</v>
      </c>
      <c r="N112" s="78">
        <v>333.82425165520687</v>
      </c>
      <c r="O112" s="113">
        <v>16874.63710150159</v>
      </c>
      <c r="P112" s="161">
        <v>20626.10035662727</v>
      </c>
      <c r="Q112" s="254">
        <v>9465.3131529653438</v>
      </c>
      <c r="R112" s="263">
        <v>26339.950254466934</v>
      </c>
      <c r="S112" s="259">
        <v>30091.413509592614</v>
      </c>
      <c r="U112" s="7" t="s">
        <v>3847</v>
      </c>
    </row>
    <row r="113" spans="1:21" s="65" customFormat="1" ht="16.5" thickBot="1">
      <c r="A113" s="41" t="s">
        <v>31</v>
      </c>
      <c r="B113" s="42">
        <f t="shared" si="6"/>
        <v>200</v>
      </c>
      <c r="C113" s="42" t="s">
        <v>3</v>
      </c>
      <c r="D113" s="42">
        <f t="shared" si="7"/>
        <v>300</v>
      </c>
      <c r="E113" s="42" t="s">
        <v>3</v>
      </c>
      <c r="F113" s="90">
        <f t="shared" si="8"/>
        <v>700</v>
      </c>
      <c r="G113" s="42" t="s">
        <v>3</v>
      </c>
      <c r="H113" s="39">
        <v>4</v>
      </c>
      <c r="I113" s="40" t="s">
        <v>41</v>
      </c>
      <c r="J113" s="149">
        <v>200</v>
      </c>
      <c r="K113" s="66">
        <v>300</v>
      </c>
      <c r="L113" s="66">
        <v>700</v>
      </c>
      <c r="M113" s="164">
        <v>9.8728391962983277</v>
      </c>
      <c r="N113" s="78">
        <v>389.4616269310747</v>
      </c>
      <c r="O113" s="113">
        <v>17693.35507356673</v>
      </c>
      <c r="P113" s="161">
        <v>21665.303577641727</v>
      </c>
      <c r="Q113" s="254">
        <v>10240.289076749623</v>
      </c>
      <c r="R113" s="263">
        <v>27933.644150316351</v>
      </c>
      <c r="S113" s="259">
        <v>31905.592654391352</v>
      </c>
      <c r="U113" s="7" t="s">
        <v>3848</v>
      </c>
    </row>
    <row r="114" spans="1:21" s="65" customFormat="1" ht="16.5" thickBot="1">
      <c r="A114" s="41" t="s">
        <v>31</v>
      </c>
      <c r="B114" s="42">
        <f t="shared" si="6"/>
        <v>200</v>
      </c>
      <c r="C114" s="42" t="s">
        <v>3</v>
      </c>
      <c r="D114" s="42">
        <f t="shared" si="7"/>
        <v>300</v>
      </c>
      <c r="E114" s="42" t="s">
        <v>3</v>
      </c>
      <c r="F114" s="90">
        <f t="shared" si="8"/>
        <v>750</v>
      </c>
      <c r="G114" s="42" t="s">
        <v>3</v>
      </c>
      <c r="H114" s="39">
        <v>4</v>
      </c>
      <c r="I114" s="40" t="s">
        <v>41</v>
      </c>
      <c r="J114" s="149">
        <v>200</v>
      </c>
      <c r="K114" s="66">
        <v>300</v>
      </c>
      <c r="L114" s="66">
        <v>750</v>
      </c>
      <c r="M114" s="164">
        <v>10.476107117910223</v>
      </c>
      <c r="N114" s="78">
        <v>445.09900220694254</v>
      </c>
      <c r="O114" s="113">
        <v>18512.072892603108</v>
      </c>
      <c r="P114" s="161">
        <v>22704.506798656177</v>
      </c>
      <c r="Q114" s="254">
        <v>10763.930709721371</v>
      </c>
      <c r="R114" s="263">
        <v>29276.003602324479</v>
      </c>
      <c r="S114" s="259">
        <v>33468.437508377552</v>
      </c>
      <c r="U114" s="7" t="s">
        <v>3849</v>
      </c>
    </row>
    <row r="115" spans="1:21" s="65" customFormat="1" ht="16.5" thickBot="1">
      <c r="A115" s="41" t="s">
        <v>31</v>
      </c>
      <c r="B115" s="42">
        <f t="shared" si="6"/>
        <v>200</v>
      </c>
      <c r="C115" s="42" t="s">
        <v>3</v>
      </c>
      <c r="D115" s="42">
        <f t="shared" si="7"/>
        <v>300</v>
      </c>
      <c r="E115" s="42" t="s">
        <v>3</v>
      </c>
      <c r="F115" s="90">
        <f t="shared" si="8"/>
        <v>800</v>
      </c>
      <c r="G115" s="42" t="s">
        <v>3</v>
      </c>
      <c r="H115" s="39">
        <v>4</v>
      </c>
      <c r="I115" s="40" t="s">
        <v>41</v>
      </c>
      <c r="J115" s="149">
        <v>200</v>
      </c>
      <c r="K115" s="66">
        <v>300</v>
      </c>
      <c r="L115" s="66">
        <v>800</v>
      </c>
      <c r="M115" s="164">
        <v>11.07937503952212</v>
      </c>
      <c r="N115" s="78">
        <v>500.73637748281038</v>
      </c>
      <c r="O115" s="113">
        <v>19330.790864668248</v>
      </c>
      <c r="P115" s="161">
        <v>23743.710019670631</v>
      </c>
      <c r="Q115" s="254">
        <v>11287.572342693116</v>
      </c>
      <c r="R115" s="263">
        <v>30618.363207361363</v>
      </c>
      <c r="S115" s="259">
        <v>35031.282362363745</v>
      </c>
      <c r="U115" s="7" t="s">
        <v>3850</v>
      </c>
    </row>
    <row r="116" spans="1:21" s="65" customFormat="1" ht="16.5" thickBot="1">
      <c r="A116" s="41" t="s">
        <v>31</v>
      </c>
      <c r="B116" s="42">
        <f t="shared" si="6"/>
        <v>200</v>
      </c>
      <c r="C116" s="42" t="s">
        <v>3</v>
      </c>
      <c r="D116" s="42">
        <f t="shared" si="7"/>
        <v>300</v>
      </c>
      <c r="E116" s="42" t="s">
        <v>3</v>
      </c>
      <c r="F116" s="90">
        <f t="shared" si="8"/>
        <v>850</v>
      </c>
      <c r="G116" s="42" t="s">
        <v>3</v>
      </c>
      <c r="H116" s="39">
        <v>4</v>
      </c>
      <c r="I116" s="40" t="s">
        <v>41</v>
      </c>
      <c r="J116" s="149">
        <v>200</v>
      </c>
      <c r="K116" s="66">
        <v>300</v>
      </c>
      <c r="L116" s="66">
        <v>850</v>
      </c>
      <c r="M116" s="164">
        <v>11.700108961134013</v>
      </c>
      <c r="N116" s="78">
        <v>556.37375275867817</v>
      </c>
      <c r="O116" s="113">
        <v>20149.508836733392</v>
      </c>
      <c r="P116" s="161">
        <v>24782.913240685084</v>
      </c>
      <c r="Q116" s="254">
        <v>12062.548266477399</v>
      </c>
      <c r="R116" s="263">
        <v>32212.057103210791</v>
      </c>
      <c r="S116" s="259">
        <v>36845.461507162487</v>
      </c>
      <c r="U116" s="7" t="s">
        <v>3851</v>
      </c>
    </row>
    <row r="117" spans="1:21" s="65" customFormat="1" ht="16.5" thickBot="1">
      <c r="A117" s="41" t="s">
        <v>31</v>
      </c>
      <c r="B117" s="42">
        <f t="shared" si="6"/>
        <v>200</v>
      </c>
      <c r="C117" s="42" t="s">
        <v>3</v>
      </c>
      <c r="D117" s="42">
        <f t="shared" si="7"/>
        <v>300</v>
      </c>
      <c r="E117" s="42" t="s">
        <v>3</v>
      </c>
      <c r="F117" s="90">
        <f t="shared" si="8"/>
        <v>900</v>
      </c>
      <c r="G117" s="42" t="s">
        <v>3</v>
      </c>
      <c r="H117" s="39">
        <v>4</v>
      </c>
      <c r="I117" s="40" t="s">
        <v>41</v>
      </c>
      <c r="J117" s="149">
        <v>200</v>
      </c>
      <c r="K117" s="66">
        <v>300</v>
      </c>
      <c r="L117" s="66">
        <v>900</v>
      </c>
      <c r="M117" s="164">
        <v>12.303376882745908</v>
      </c>
      <c r="N117" s="78">
        <v>612.011128034546</v>
      </c>
      <c r="O117" s="113">
        <v>20968.226808798536</v>
      </c>
      <c r="P117" s="161">
        <v>25822.11646169969</v>
      </c>
      <c r="Q117" s="254">
        <v>12586.189899449146</v>
      </c>
      <c r="R117" s="263">
        <v>33554.416708247678</v>
      </c>
      <c r="S117" s="259">
        <v>38408.306361148832</v>
      </c>
      <c r="U117" s="7" t="s">
        <v>3852</v>
      </c>
    </row>
    <row r="118" spans="1:21" s="65" customFormat="1" ht="16.5" thickBot="1">
      <c r="A118" s="41" t="s">
        <v>31</v>
      </c>
      <c r="B118" s="42">
        <f t="shared" si="6"/>
        <v>200</v>
      </c>
      <c r="C118" s="42" t="s">
        <v>3</v>
      </c>
      <c r="D118" s="42">
        <f t="shared" si="7"/>
        <v>300</v>
      </c>
      <c r="E118" s="42" t="s">
        <v>3</v>
      </c>
      <c r="F118" s="90">
        <f t="shared" si="8"/>
        <v>950</v>
      </c>
      <c r="G118" s="42" t="s">
        <v>3</v>
      </c>
      <c r="H118" s="39">
        <v>4</v>
      </c>
      <c r="I118" s="40" t="s">
        <v>41</v>
      </c>
      <c r="J118" s="149">
        <v>200</v>
      </c>
      <c r="K118" s="66">
        <v>300</v>
      </c>
      <c r="L118" s="66">
        <v>950</v>
      </c>
      <c r="M118" s="164">
        <v>12.924110804357802</v>
      </c>
      <c r="N118" s="78">
        <v>667.64850331041373</v>
      </c>
      <c r="O118" s="113">
        <v>21786.944780863672</v>
      </c>
      <c r="P118" s="161">
        <v>26861.31968271414</v>
      </c>
      <c r="Q118" s="254">
        <v>13361.165670204662</v>
      </c>
      <c r="R118" s="263">
        <v>35148.110451068336</v>
      </c>
      <c r="S118" s="259">
        <v>40222.485352918804</v>
      </c>
      <c r="U118" s="7" t="s">
        <v>3853</v>
      </c>
    </row>
    <row r="119" spans="1:21" s="65" customFormat="1" ht="16.5" thickBot="1">
      <c r="A119" s="41" t="s">
        <v>31</v>
      </c>
      <c r="B119" s="42">
        <f t="shared" si="6"/>
        <v>200</v>
      </c>
      <c r="C119" s="42" t="s">
        <v>3</v>
      </c>
      <c r="D119" s="42">
        <f t="shared" si="7"/>
        <v>300</v>
      </c>
      <c r="E119" s="42" t="s">
        <v>3</v>
      </c>
      <c r="F119" s="90">
        <f t="shared" si="8"/>
        <v>1000</v>
      </c>
      <c r="G119" s="42" t="s">
        <v>3</v>
      </c>
      <c r="H119" s="39">
        <v>4</v>
      </c>
      <c r="I119" s="40" t="s">
        <v>41</v>
      </c>
      <c r="J119" s="149">
        <v>200</v>
      </c>
      <c r="K119" s="66">
        <v>300</v>
      </c>
      <c r="L119" s="66">
        <v>1000</v>
      </c>
      <c r="M119" s="164">
        <v>13.527378725969697</v>
      </c>
      <c r="N119" s="78">
        <v>723.28587858628168</v>
      </c>
      <c r="O119" s="113">
        <v>22605.662752928816</v>
      </c>
      <c r="P119" s="161">
        <v>27900.522903728594</v>
      </c>
      <c r="Q119" s="254">
        <v>13884.807456205173</v>
      </c>
      <c r="R119" s="263">
        <v>36490.470209133986</v>
      </c>
      <c r="S119" s="259">
        <v>41785.330359933767</v>
      </c>
      <c r="U119" s="7" t="s">
        <v>3854</v>
      </c>
    </row>
    <row r="120" spans="1:21" s="65" customFormat="1" ht="16.5" thickBot="1">
      <c r="A120" s="41" t="s">
        <v>31</v>
      </c>
      <c r="B120" s="42">
        <f t="shared" si="6"/>
        <v>200</v>
      </c>
      <c r="C120" s="42" t="s">
        <v>3</v>
      </c>
      <c r="D120" s="42">
        <f t="shared" si="7"/>
        <v>300</v>
      </c>
      <c r="E120" s="42" t="s">
        <v>3</v>
      </c>
      <c r="F120" s="90">
        <f t="shared" si="8"/>
        <v>1050</v>
      </c>
      <c r="G120" s="42" t="s">
        <v>3</v>
      </c>
      <c r="H120" s="39">
        <v>4</v>
      </c>
      <c r="I120" s="40" t="s">
        <v>41</v>
      </c>
      <c r="J120" s="149">
        <v>200</v>
      </c>
      <c r="K120" s="66">
        <v>300</v>
      </c>
      <c r="L120" s="66">
        <v>1050</v>
      </c>
      <c r="M120" s="164">
        <v>14.148112647581589</v>
      </c>
      <c r="N120" s="78">
        <v>778.92325386214941</v>
      </c>
      <c r="O120" s="113">
        <v>23424.380571965194</v>
      </c>
      <c r="P120" s="161">
        <v>28939.726124743047</v>
      </c>
      <c r="Q120" s="254">
        <v>14659.78322696069</v>
      </c>
      <c r="R120" s="263">
        <v>38084.163798925882</v>
      </c>
      <c r="S120" s="259">
        <v>43599.509351703739</v>
      </c>
      <c r="U120" s="7" t="s">
        <v>3855</v>
      </c>
    </row>
    <row r="121" spans="1:21" s="65" customFormat="1" ht="16.5" thickBot="1">
      <c r="A121" s="38" t="s">
        <v>31</v>
      </c>
      <c r="B121" s="39">
        <f t="shared" si="6"/>
        <v>200</v>
      </c>
      <c r="C121" s="39" t="s">
        <v>3</v>
      </c>
      <c r="D121" s="39">
        <f t="shared" si="7"/>
        <v>300</v>
      </c>
      <c r="E121" s="39" t="s">
        <v>3</v>
      </c>
      <c r="F121" s="90">
        <f t="shared" si="8"/>
        <v>1100</v>
      </c>
      <c r="G121" s="39" t="s">
        <v>3</v>
      </c>
      <c r="H121" s="39">
        <v>4</v>
      </c>
      <c r="I121" s="40" t="s">
        <v>41</v>
      </c>
      <c r="J121" s="149">
        <v>200</v>
      </c>
      <c r="K121" s="66">
        <v>300</v>
      </c>
      <c r="L121" s="66">
        <v>1100</v>
      </c>
      <c r="M121" s="164">
        <v>14.751380569193486</v>
      </c>
      <c r="N121" s="78">
        <v>834.56062913801725</v>
      </c>
      <c r="O121" s="113">
        <v>24243.098544030334</v>
      </c>
      <c r="P121" s="161">
        <v>29978.929345757653</v>
      </c>
      <c r="Q121" s="254">
        <v>15183.425012961201</v>
      </c>
      <c r="R121" s="263">
        <v>39426.523556991538</v>
      </c>
      <c r="S121" s="259">
        <v>45162.354358718854</v>
      </c>
      <c r="U121" s="7" t="s">
        <v>3856</v>
      </c>
    </row>
    <row r="122" spans="1:21" s="65" customFormat="1" ht="16.5" thickBot="1">
      <c r="A122" s="41" t="s">
        <v>31</v>
      </c>
      <c r="B122" s="42">
        <f t="shared" si="6"/>
        <v>200</v>
      </c>
      <c r="C122" s="42" t="s">
        <v>3</v>
      </c>
      <c r="D122" s="42">
        <f t="shared" si="7"/>
        <v>300</v>
      </c>
      <c r="E122" s="42" t="s">
        <v>3</v>
      </c>
      <c r="F122" s="90">
        <f t="shared" si="8"/>
        <v>1150</v>
      </c>
      <c r="G122" s="42" t="s">
        <v>3</v>
      </c>
      <c r="H122" s="39">
        <v>4</v>
      </c>
      <c r="I122" s="40" t="s">
        <v>41</v>
      </c>
      <c r="J122" s="149">
        <v>200</v>
      </c>
      <c r="K122" s="66">
        <v>300</v>
      </c>
      <c r="L122" s="66">
        <v>1150</v>
      </c>
      <c r="M122" s="164">
        <v>15.354648490805381</v>
      </c>
      <c r="N122" s="78">
        <v>890.19800441388509</v>
      </c>
      <c r="O122" s="113">
        <v>25061.816516095478</v>
      </c>
      <c r="P122" s="161">
        <v>31018.132566772107</v>
      </c>
      <c r="Q122" s="254">
        <v>15707.066645932946</v>
      </c>
      <c r="R122" s="263">
        <v>40768.883162028425</v>
      </c>
      <c r="S122" s="259">
        <v>46725.199212705054</v>
      </c>
      <c r="U122" s="7" t="s">
        <v>3857</v>
      </c>
    </row>
    <row r="123" spans="1:21" s="65" customFormat="1" ht="16.5" thickBot="1">
      <c r="A123" s="41" t="s">
        <v>31</v>
      </c>
      <c r="B123" s="42">
        <f t="shared" si="6"/>
        <v>200</v>
      </c>
      <c r="C123" s="42" t="s">
        <v>3</v>
      </c>
      <c r="D123" s="42">
        <f t="shared" si="7"/>
        <v>300</v>
      </c>
      <c r="E123" s="42" t="s">
        <v>3</v>
      </c>
      <c r="F123" s="90">
        <f t="shared" si="8"/>
        <v>1200</v>
      </c>
      <c r="G123" s="42" t="s">
        <v>3</v>
      </c>
      <c r="H123" s="39">
        <v>4</v>
      </c>
      <c r="I123" s="40" t="s">
        <v>41</v>
      </c>
      <c r="J123" s="149">
        <v>200</v>
      </c>
      <c r="K123" s="66">
        <v>300</v>
      </c>
      <c r="L123" s="66">
        <v>1200</v>
      </c>
      <c r="M123" s="164">
        <v>16.055844912417275</v>
      </c>
      <c r="N123" s="78">
        <v>945.83537968975281</v>
      </c>
      <c r="O123" s="113">
        <v>25968.837594673285</v>
      </c>
      <c r="P123" s="161">
        <v>32147.024195547376</v>
      </c>
      <c r="Q123" s="254">
        <v>16482.042416688462</v>
      </c>
      <c r="R123" s="263">
        <v>42450.880011361747</v>
      </c>
      <c r="S123" s="259">
        <v>48629.066612235838</v>
      </c>
      <c r="U123" s="7" t="s">
        <v>3858</v>
      </c>
    </row>
    <row r="124" spans="1:21" s="65" customFormat="1" ht="16.5" thickBot="1">
      <c r="A124" s="41" t="s">
        <v>31</v>
      </c>
      <c r="B124" s="42">
        <f t="shared" si="6"/>
        <v>200</v>
      </c>
      <c r="C124" s="42" t="s">
        <v>3</v>
      </c>
      <c r="D124" s="42">
        <f t="shared" si="7"/>
        <v>300</v>
      </c>
      <c r="E124" s="42" t="s">
        <v>3</v>
      </c>
      <c r="F124" s="90">
        <f t="shared" si="8"/>
        <v>1250</v>
      </c>
      <c r="G124" s="42" t="s">
        <v>3</v>
      </c>
      <c r="H124" s="39">
        <v>4</v>
      </c>
      <c r="I124" s="40" t="s">
        <v>41</v>
      </c>
      <c r="J124" s="149">
        <v>200</v>
      </c>
      <c r="K124" s="66">
        <v>300</v>
      </c>
      <c r="L124" s="66">
        <v>1250</v>
      </c>
      <c r="M124" s="164">
        <v>16.65911283402917</v>
      </c>
      <c r="N124" s="78">
        <v>1001.4727549656208</v>
      </c>
      <c r="O124" s="113">
        <v>26787.555566738429</v>
      </c>
      <c r="P124" s="161">
        <v>33186.227416561982</v>
      </c>
      <c r="Q124" s="254">
        <v>17005.684202688975</v>
      </c>
      <c r="R124" s="263">
        <v>43793.239769427404</v>
      </c>
      <c r="S124" s="259">
        <v>50191.911619250954</v>
      </c>
      <c r="U124" s="7" t="s">
        <v>3859</v>
      </c>
    </row>
    <row r="125" spans="1:21" s="65" customFormat="1" ht="16.5" thickBot="1">
      <c r="A125" s="41" t="s">
        <v>31</v>
      </c>
      <c r="B125" s="42">
        <f t="shared" si="6"/>
        <v>200</v>
      </c>
      <c r="C125" s="42" t="s">
        <v>3</v>
      </c>
      <c r="D125" s="42">
        <f t="shared" si="7"/>
        <v>300</v>
      </c>
      <c r="E125" s="42" t="s">
        <v>3</v>
      </c>
      <c r="F125" s="90">
        <f t="shared" si="8"/>
        <v>1300</v>
      </c>
      <c r="G125" s="42" t="s">
        <v>3</v>
      </c>
      <c r="H125" s="39">
        <v>4</v>
      </c>
      <c r="I125" s="40" t="s">
        <v>41</v>
      </c>
      <c r="J125" s="149">
        <v>200</v>
      </c>
      <c r="K125" s="66">
        <v>300</v>
      </c>
      <c r="L125" s="66">
        <v>1300</v>
      </c>
      <c r="M125" s="164">
        <v>17.279846755641067</v>
      </c>
      <c r="N125" s="78">
        <v>1057.1101302414884</v>
      </c>
      <c r="O125" s="113">
        <v>27606.273538803573</v>
      </c>
      <c r="P125" s="161">
        <v>34225.430637576435</v>
      </c>
      <c r="Q125" s="254">
        <v>17780.65997344449</v>
      </c>
      <c r="R125" s="263">
        <v>45386.933512248062</v>
      </c>
      <c r="S125" s="259">
        <v>52006.090611020925</v>
      </c>
      <c r="U125" s="7" t="s">
        <v>3860</v>
      </c>
    </row>
    <row r="126" spans="1:21" s="65" customFormat="1" ht="16.5" thickBot="1">
      <c r="A126" s="41" t="s">
        <v>31</v>
      </c>
      <c r="B126" s="42">
        <f t="shared" si="6"/>
        <v>200</v>
      </c>
      <c r="C126" s="42" t="s">
        <v>3</v>
      </c>
      <c r="D126" s="42">
        <f t="shared" si="7"/>
        <v>300</v>
      </c>
      <c r="E126" s="42" t="s">
        <v>3</v>
      </c>
      <c r="F126" s="90">
        <f t="shared" si="8"/>
        <v>1350</v>
      </c>
      <c r="G126" s="42" t="s">
        <v>3</v>
      </c>
      <c r="H126" s="39">
        <v>4</v>
      </c>
      <c r="I126" s="40" t="s">
        <v>41</v>
      </c>
      <c r="J126" s="149">
        <v>200</v>
      </c>
      <c r="K126" s="66">
        <v>300</v>
      </c>
      <c r="L126" s="66">
        <v>1350</v>
      </c>
      <c r="M126" s="164">
        <v>17.883114677252959</v>
      </c>
      <c r="N126" s="78">
        <v>1112.7475055173563</v>
      </c>
      <c r="O126" s="113">
        <v>28424.991510868713</v>
      </c>
      <c r="P126" s="161">
        <v>35264.633858590889</v>
      </c>
      <c r="Q126" s="254">
        <v>18304.301606416237</v>
      </c>
      <c r="R126" s="263">
        <v>46729.293117284949</v>
      </c>
      <c r="S126" s="259">
        <v>53568.935465007125</v>
      </c>
      <c r="U126" s="7" t="s">
        <v>3861</v>
      </c>
    </row>
    <row r="127" spans="1:21" s="65" customFormat="1" ht="16.5" thickBot="1">
      <c r="A127" s="41" t="s">
        <v>31</v>
      </c>
      <c r="B127" s="42">
        <f t="shared" si="6"/>
        <v>200</v>
      </c>
      <c r="C127" s="42" t="s">
        <v>3</v>
      </c>
      <c r="D127" s="42">
        <f t="shared" si="7"/>
        <v>300</v>
      </c>
      <c r="E127" s="42" t="s">
        <v>3</v>
      </c>
      <c r="F127" s="90">
        <f t="shared" si="8"/>
        <v>1400</v>
      </c>
      <c r="G127" s="42" t="s">
        <v>3</v>
      </c>
      <c r="H127" s="39">
        <v>4</v>
      </c>
      <c r="I127" s="40" t="s">
        <v>41</v>
      </c>
      <c r="J127" s="149">
        <v>200</v>
      </c>
      <c r="K127" s="66">
        <v>300</v>
      </c>
      <c r="L127" s="66">
        <v>1400</v>
      </c>
      <c r="M127" s="164">
        <v>18.503848598864852</v>
      </c>
      <c r="N127" s="78">
        <v>1168.3848807932243</v>
      </c>
      <c r="O127" s="113">
        <v>29243.709482933857</v>
      </c>
      <c r="P127" s="161">
        <v>36303.837079605342</v>
      </c>
      <c r="Q127" s="254">
        <v>19079.277530200521</v>
      </c>
      <c r="R127" s="263">
        <v>48322.987013134378</v>
      </c>
      <c r="S127" s="259">
        <v>55383.114609805867</v>
      </c>
      <c r="U127" s="7" t="s">
        <v>3862</v>
      </c>
    </row>
    <row r="128" spans="1:21" s="65" customFormat="1" ht="16.5" thickBot="1">
      <c r="A128" s="41" t="s">
        <v>31</v>
      </c>
      <c r="B128" s="42">
        <f t="shared" si="6"/>
        <v>200</v>
      </c>
      <c r="C128" s="42" t="s">
        <v>3</v>
      </c>
      <c r="D128" s="42">
        <f t="shared" si="7"/>
        <v>300</v>
      </c>
      <c r="E128" s="42" t="s">
        <v>3</v>
      </c>
      <c r="F128" s="90">
        <f t="shared" si="8"/>
        <v>1450</v>
      </c>
      <c r="G128" s="42" t="s">
        <v>3</v>
      </c>
      <c r="H128" s="39">
        <v>4</v>
      </c>
      <c r="I128" s="40" t="s">
        <v>41</v>
      </c>
      <c r="J128" s="149">
        <v>200</v>
      </c>
      <c r="K128" s="66">
        <v>300</v>
      </c>
      <c r="L128" s="66">
        <v>1450</v>
      </c>
      <c r="M128" s="164">
        <v>19.107116520476751</v>
      </c>
      <c r="N128" s="78">
        <v>1224.022256069092</v>
      </c>
      <c r="O128" s="113">
        <v>30062.427454998997</v>
      </c>
      <c r="P128" s="161">
        <v>37343.040300619796</v>
      </c>
      <c r="Q128" s="254">
        <v>19602.919163172111</v>
      </c>
      <c r="R128" s="263">
        <v>49665.346618171112</v>
      </c>
      <c r="S128" s="259">
        <v>56945.959463791907</v>
      </c>
      <c r="U128" s="7" t="s">
        <v>3863</v>
      </c>
    </row>
    <row r="129" spans="1:21" s="65" customFormat="1" ht="16.5" thickBot="1">
      <c r="A129" s="41" t="s">
        <v>31</v>
      </c>
      <c r="B129" s="42">
        <f t="shared" si="6"/>
        <v>200</v>
      </c>
      <c r="C129" s="42" t="s">
        <v>3</v>
      </c>
      <c r="D129" s="42">
        <f t="shared" si="7"/>
        <v>300</v>
      </c>
      <c r="E129" s="42" t="s">
        <v>3</v>
      </c>
      <c r="F129" s="90">
        <f t="shared" si="8"/>
        <v>1500</v>
      </c>
      <c r="G129" s="42" t="s">
        <v>3</v>
      </c>
      <c r="H129" s="39">
        <v>4</v>
      </c>
      <c r="I129" s="40" t="s">
        <v>41</v>
      </c>
      <c r="J129" s="149">
        <v>200</v>
      </c>
      <c r="K129" s="66">
        <v>300</v>
      </c>
      <c r="L129" s="66">
        <v>1500</v>
      </c>
      <c r="M129" s="164">
        <v>19.897909065347644</v>
      </c>
      <c r="N129" s="78">
        <v>1279.6596313449597</v>
      </c>
      <c r="O129" s="113">
        <v>31580.820945479652</v>
      </c>
      <c r="P129" s="161">
        <v>39045.789121622816</v>
      </c>
      <c r="Q129" s="254">
        <v>20377.895086956549</v>
      </c>
      <c r="R129" s="263">
        <v>51958.716032436205</v>
      </c>
      <c r="S129" s="259">
        <v>59423.684208579361</v>
      </c>
      <c r="U129" s="7" t="s">
        <v>3864</v>
      </c>
    </row>
    <row r="130" spans="1:21" s="65" customFormat="1" ht="16.5" thickBot="1">
      <c r="A130" s="41" t="s">
        <v>31</v>
      </c>
      <c r="B130" s="42">
        <f t="shared" si="6"/>
        <v>200</v>
      </c>
      <c r="C130" s="42" t="s">
        <v>3</v>
      </c>
      <c r="D130" s="42">
        <f t="shared" si="7"/>
        <v>300</v>
      </c>
      <c r="E130" s="42" t="s">
        <v>3</v>
      </c>
      <c r="F130" s="90">
        <f t="shared" si="8"/>
        <v>1550</v>
      </c>
      <c r="G130" s="42" t="s">
        <v>3</v>
      </c>
      <c r="H130" s="39">
        <v>4</v>
      </c>
      <c r="I130" s="40" t="s">
        <v>41</v>
      </c>
      <c r="J130" s="149">
        <v>200</v>
      </c>
      <c r="K130" s="66">
        <v>300</v>
      </c>
      <c r="L130" s="66">
        <v>1550</v>
      </c>
      <c r="M130" s="164">
        <v>20.501176986959535</v>
      </c>
      <c r="N130" s="78">
        <v>1335.2970066208275</v>
      </c>
      <c r="O130" s="113">
        <v>32399.538917544796</v>
      </c>
      <c r="P130" s="161">
        <v>40084.99234263727</v>
      </c>
      <c r="Q130" s="254">
        <v>20901.536719928292</v>
      </c>
      <c r="R130" s="263">
        <v>53301.075637473084</v>
      </c>
      <c r="S130" s="259">
        <v>60986.529062565562</v>
      </c>
      <c r="U130" s="7" t="s">
        <v>3865</v>
      </c>
    </row>
    <row r="131" spans="1:21" s="65" customFormat="1" ht="16.5" thickBot="1">
      <c r="A131" s="38" t="s">
        <v>31</v>
      </c>
      <c r="B131" s="39">
        <f t="shared" si="6"/>
        <v>200</v>
      </c>
      <c r="C131" s="39" t="s">
        <v>3</v>
      </c>
      <c r="D131" s="39">
        <f t="shared" si="7"/>
        <v>300</v>
      </c>
      <c r="E131" s="39" t="s">
        <v>3</v>
      </c>
      <c r="F131" s="90">
        <f t="shared" si="8"/>
        <v>1600</v>
      </c>
      <c r="G131" s="39" t="s">
        <v>3</v>
      </c>
      <c r="H131" s="39">
        <v>4</v>
      </c>
      <c r="I131" s="40" t="s">
        <v>41</v>
      </c>
      <c r="J131" s="149">
        <v>200</v>
      </c>
      <c r="K131" s="66">
        <v>300</v>
      </c>
      <c r="L131" s="66">
        <v>1600</v>
      </c>
      <c r="M131" s="164">
        <v>21.104444908571434</v>
      </c>
      <c r="N131" s="78">
        <v>1390.9343818966954</v>
      </c>
      <c r="O131" s="113">
        <v>33218.25688960994</v>
      </c>
      <c r="P131" s="161">
        <v>41124.195563651876</v>
      </c>
      <c r="Q131" s="254">
        <v>21425.178352900039</v>
      </c>
      <c r="R131" s="263">
        <v>54643.435242509979</v>
      </c>
      <c r="S131" s="259">
        <v>62549.373916551915</v>
      </c>
      <c r="U131" s="7" t="s">
        <v>3866</v>
      </c>
    </row>
    <row r="132" spans="1:21" s="65" customFormat="1" ht="16.5" thickBot="1">
      <c r="A132" s="41" t="s">
        <v>31</v>
      </c>
      <c r="B132" s="42">
        <f t="shared" si="6"/>
        <v>200</v>
      </c>
      <c r="C132" s="42" t="s">
        <v>3</v>
      </c>
      <c r="D132" s="42">
        <f t="shared" si="7"/>
        <v>300</v>
      </c>
      <c r="E132" s="42" t="s">
        <v>3</v>
      </c>
      <c r="F132" s="90">
        <f t="shared" si="8"/>
        <v>1650</v>
      </c>
      <c r="G132" s="42" t="s">
        <v>3</v>
      </c>
      <c r="H132" s="39">
        <v>4</v>
      </c>
      <c r="I132" s="40" t="s">
        <v>41</v>
      </c>
      <c r="J132" s="149">
        <v>200</v>
      </c>
      <c r="K132" s="66">
        <v>300</v>
      </c>
      <c r="L132" s="66">
        <v>1650</v>
      </c>
      <c r="M132" s="164">
        <v>21.725178830183328</v>
      </c>
      <c r="N132" s="78">
        <v>1446.5717571725634</v>
      </c>
      <c r="O132" s="113">
        <v>34036.974861674928</v>
      </c>
      <c r="P132" s="161">
        <v>42163.398784666329</v>
      </c>
      <c r="Q132" s="254">
        <v>22200.154276684319</v>
      </c>
      <c r="R132" s="263">
        <v>56237.129138359247</v>
      </c>
      <c r="S132" s="259">
        <v>64363.553061350649</v>
      </c>
      <c r="U132" s="7" t="s">
        <v>3867</v>
      </c>
    </row>
    <row r="133" spans="1:21" s="65" customFormat="1" ht="16.5" thickBot="1">
      <c r="A133" s="41" t="s">
        <v>31</v>
      </c>
      <c r="B133" s="42">
        <f t="shared" si="6"/>
        <v>200</v>
      </c>
      <c r="C133" s="42" t="s">
        <v>3</v>
      </c>
      <c r="D133" s="42">
        <f t="shared" si="7"/>
        <v>300</v>
      </c>
      <c r="E133" s="42" t="s">
        <v>3</v>
      </c>
      <c r="F133" s="90">
        <f t="shared" si="8"/>
        <v>1700</v>
      </c>
      <c r="G133" s="42" t="s">
        <v>3</v>
      </c>
      <c r="H133" s="39">
        <v>4</v>
      </c>
      <c r="I133" s="40" t="s">
        <v>41</v>
      </c>
      <c r="J133" s="149">
        <v>200</v>
      </c>
      <c r="K133" s="66">
        <v>300</v>
      </c>
      <c r="L133" s="66">
        <v>1700</v>
      </c>
      <c r="M133" s="164">
        <v>22.328446751795219</v>
      </c>
      <c r="N133" s="78">
        <v>1502.2091324484311</v>
      </c>
      <c r="O133" s="113">
        <v>34855.692833740221</v>
      </c>
      <c r="P133" s="161">
        <v>43202.602005680783</v>
      </c>
      <c r="Q133" s="254">
        <v>22723.795909656066</v>
      </c>
      <c r="R133" s="263">
        <v>57579.488743396287</v>
      </c>
      <c r="S133" s="259">
        <v>65926.397915336856</v>
      </c>
      <c r="U133" s="7" t="s">
        <v>3868</v>
      </c>
    </row>
    <row r="134" spans="1:21" s="65" customFormat="1" ht="16.5" thickBot="1">
      <c r="A134" s="41" t="s">
        <v>31</v>
      </c>
      <c r="B134" s="42">
        <f t="shared" si="6"/>
        <v>200</v>
      </c>
      <c r="C134" s="42" t="s">
        <v>3</v>
      </c>
      <c r="D134" s="42">
        <f t="shared" si="7"/>
        <v>300</v>
      </c>
      <c r="E134" s="42" t="s">
        <v>3</v>
      </c>
      <c r="F134" s="90">
        <f t="shared" si="8"/>
        <v>1750</v>
      </c>
      <c r="G134" s="42" t="s">
        <v>3</v>
      </c>
      <c r="H134" s="39">
        <v>4</v>
      </c>
      <c r="I134" s="40" t="s">
        <v>41</v>
      </c>
      <c r="J134" s="149">
        <v>200</v>
      </c>
      <c r="K134" s="66">
        <v>300</v>
      </c>
      <c r="L134" s="66">
        <v>1750</v>
      </c>
      <c r="M134" s="164">
        <v>22.949180673407113</v>
      </c>
      <c r="N134" s="78">
        <v>1557.8465077242988</v>
      </c>
      <c r="O134" s="113">
        <v>35674.410805805368</v>
      </c>
      <c r="P134" s="161">
        <v>44241.805226695229</v>
      </c>
      <c r="Q134" s="254">
        <v>23498.771833440347</v>
      </c>
      <c r="R134" s="263">
        <v>59173.182639245715</v>
      </c>
      <c r="S134" s="259">
        <v>67740.577060135576</v>
      </c>
      <c r="U134" s="7" t="s">
        <v>3869</v>
      </c>
    </row>
    <row r="135" spans="1:21" s="65" customFormat="1" ht="16.5" thickBot="1">
      <c r="A135" s="41" t="s">
        <v>31</v>
      </c>
      <c r="B135" s="42">
        <f t="shared" si="6"/>
        <v>200</v>
      </c>
      <c r="C135" s="42" t="s">
        <v>3</v>
      </c>
      <c r="D135" s="42">
        <f t="shared" si="7"/>
        <v>300</v>
      </c>
      <c r="E135" s="42" t="s">
        <v>3</v>
      </c>
      <c r="F135" s="90">
        <f t="shared" si="8"/>
        <v>1800</v>
      </c>
      <c r="G135" s="42" t="s">
        <v>3</v>
      </c>
      <c r="H135" s="39">
        <v>4</v>
      </c>
      <c r="I135" s="40" t="s">
        <v>41</v>
      </c>
      <c r="J135" s="149">
        <v>200</v>
      </c>
      <c r="K135" s="66">
        <v>300</v>
      </c>
      <c r="L135" s="66">
        <v>1800</v>
      </c>
      <c r="M135" s="164">
        <v>23.552448595019008</v>
      </c>
      <c r="N135" s="78">
        <v>1613.4838830001665</v>
      </c>
      <c r="O135" s="113">
        <v>36493.128624841738</v>
      </c>
      <c r="P135" s="161">
        <v>45281.00844770969</v>
      </c>
      <c r="Q135" s="254">
        <v>24022.413466412094</v>
      </c>
      <c r="R135" s="263">
        <v>60515.542091253832</v>
      </c>
      <c r="S135" s="259">
        <v>69303.421914121776</v>
      </c>
      <c r="U135" s="7" t="s">
        <v>3870</v>
      </c>
    </row>
    <row r="136" spans="1:21" s="65" customFormat="1" ht="16.5" thickBot="1">
      <c r="A136" s="41" t="s">
        <v>31</v>
      </c>
      <c r="B136" s="42">
        <f t="shared" si="6"/>
        <v>200</v>
      </c>
      <c r="C136" s="42" t="s">
        <v>3</v>
      </c>
      <c r="D136" s="42">
        <f t="shared" si="7"/>
        <v>300</v>
      </c>
      <c r="E136" s="42" t="s">
        <v>3</v>
      </c>
      <c r="F136" s="90">
        <f t="shared" si="8"/>
        <v>1850</v>
      </c>
      <c r="G136" s="42" t="s">
        <v>3</v>
      </c>
      <c r="H136" s="39">
        <v>4</v>
      </c>
      <c r="I136" s="40" t="s">
        <v>41</v>
      </c>
      <c r="J136" s="149">
        <v>200</v>
      </c>
      <c r="K136" s="66">
        <v>300</v>
      </c>
      <c r="L136" s="66">
        <v>1850</v>
      </c>
      <c r="M136" s="164">
        <v>24.173182516630906</v>
      </c>
      <c r="N136" s="78">
        <v>1669.1212582760345</v>
      </c>
      <c r="O136" s="113">
        <v>37311.846596906886</v>
      </c>
      <c r="P136" s="161">
        <v>46320.211668724296</v>
      </c>
      <c r="Q136" s="254">
        <v>24797.389237167612</v>
      </c>
      <c r="R136" s="263">
        <v>62109.235834074498</v>
      </c>
      <c r="S136" s="259">
        <v>71117.600905891915</v>
      </c>
      <c r="U136" s="7" t="s">
        <v>3871</v>
      </c>
    </row>
    <row r="137" spans="1:21" s="65" customFormat="1" ht="16.5" thickBot="1">
      <c r="A137" s="41" t="s">
        <v>31</v>
      </c>
      <c r="B137" s="42">
        <f t="shared" si="6"/>
        <v>200</v>
      </c>
      <c r="C137" s="42" t="s">
        <v>3</v>
      </c>
      <c r="D137" s="42">
        <f t="shared" si="7"/>
        <v>300</v>
      </c>
      <c r="E137" s="42" t="s">
        <v>3</v>
      </c>
      <c r="F137" s="90">
        <f t="shared" si="8"/>
        <v>1900</v>
      </c>
      <c r="G137" s="42" t="s">
        <v>3</v>
      </c>
      <c r="H137" s="39">
        <v>4</v>
      </c>
      <c r="I137" s="40" t="s">
        <v>41</v>
      </c>
      <c r="J137" s="149">
        <v>200</v>
      </c>
      <c r="K137" s="66">
        <v>300</v>
      </c>
      <c r="L137" s="66">
        <v>1900</v>
      </c>
      <c r="M137" s="164">
        <v>24.776450438242797</v>
      </c>
      <c r="N137" s="78">
        <v>1724.7586335519024</v>
      </c>
      <c r="O137" s="113">
        <v>38130.564568972026</v>
      </c>
      <c r="P137" s="161">
        <v>47359.414889738749</v>
      </c>
      <c r="Q137" s="254">
        <v>25321.031023168125</v>
      </c>
      <c r="R137" s="263">
        <v>63451.595592140147</v>
      </c>
      <c r="S137" s="259">
        <v>72680.445912906871</v>
      </c>
      <c r="U137" s="7" t="s">
        <v>3872</v>
      </c>
    </row>
    <row r="138" spans="1:21" s="65" customFormat="1" ht="16.5" thickBot="1">
      <c r="A138" s="41" t="s">
        <v>31</v>
      </c>
      <c r="B138" s="42">
        <f t="shared" si="6"/>
        <v>200</v>
      </c>
      <c r="C138" s="42" t="s">
        <v>3</v>
      </c>
      <c r="D138" s="42">
        <f t="shared" si="7"/>
        <v>300</v>
      </c>
      <c r="E138" s="42" t="s">
        <v>3</v>
      </c>
      <c r="F138" s="90">
        <f t="shared" si="8"/>
        <v>1950</v>
      </c>
      <c r="G138" s="42" t="s">
        <v>3</v>
      </c>
      <c r="H138" s="39">
        <v>4</v>
      </c>
      <c r="I138" s="40" t="s">
        <v>41</v>
      </c>
      <c r="J138" s="149">
        <v>200</v>
      </c>
      <c r="K138" s="66">
        <v>300</v>
      </c>
      <c r="L138" s="66">
        <v>1950</v>
      </c>
      <c r="M138" s="164">
        <v>25.460180859854695</v>
      </c>
      <c r="N138" s="78">
        <v>1780.3960088277702</v>
      </c>
      <c r="O138" s="113">
        <v>39037.585647549837</v>
      </c>
      <c r="P138" s="161">
        <v>48488.306518514168</v>
      </c>
      <c r="Q138" s="254">
        <v>25844.672656139872</v>
      </c>
      <c r="R138" s="263">
        <v>64882.258303689712</v>
      </c>
      <c r="S138" s="259">
        <v>74332.979174654043</v>
      </c>
      <c r="U138" s="7" t="s">
        <v>3873</v>
      </c>
    </row>
    <row r="139" spans="1:21" s="65" customFormat="1" ht="16.5" thickBot="1">
      <c r="A139" s="41" t="s">
        <v>31</v>
      </c>
      <c r="B139" s="42">
        <f t="shared" si="6"/>
        <v>200</v>
      </c>
      <c r="C139" s="42" t="s">
        <v>3</v>
      </c>
      <c r="D139" s="42">
        <f t="shared" si="7"/>
        <v>300</v>
      </c>
      <c r="E139" s="42" t="s">
        <v>3</v>
      </c>
      <c r="F139" s="90">
        <f t="shared" si="8"/>
        <v>2000</v>
      </c>
      <c r="G139" s="42" t="s">
        <v>3</v>
      </c>
      <c r="H139" s="39">
        <v>4</v>
      </c>
      <c r="I139" s="40" t="s">
        <v>41</v>
      </c>
      <c r="J139" s="149">
        <v>200</v>
      </c>
      <c r="K139" s="66">
        <v>300</v>
      </c>
      <c r="L139" s="66">
        <v>2000</v>
      </c>
      <c r="M139" s="164">
        <v>26.174766241466589</v>
      </c>
      <c r="N139" s="78">
        <v>1836.0333841036379</v>
      </c>
      <c r="O139" s="113">
        <v>40120.160101248926</v>
      </c>
      <c r="P139" s="161">
        <v>49888.78108719024</v>
      </c>
      <c r="Q139" s="254">
        <v>26619.648426895383</v>
      </c>
      <c r="R139" s="263">
        <v>66739.808528144305</v>
      </c>
      <c r="S139" s="259">
        <v>76508.429514085627</v>
      </c>
      <c r="U139" s="7" t="s">
        <v>3874</v>
      </c>
    </row>
    <row r="140" spans="1:21" s="65" customFormat="1" ht="16.5" thickBot="1">
      <c r="A140" s="41" t="s">
        <v>31</v>
      </c>
      <c r="B140" s="42">
        <f t="shared" si="6"/>
        <v>200</v>
      </c>
      <c r="C140" s="42" t="s">
        <v>3</v>
      </c>
      <c r="D140" s="42">
        <f t="shared" si="7"/>
        <v>300</v>
      </c>
      <c r="E140" s="42" t="s">
        <v>3</v>
      </c>
      <c r="F140" s="90">
        <f t="shared" si="8"/>
        <v>2050</v>
      </c>
      <c r="G140" s="42" t="s">
        <v>3</v>
      </c>
      <c r="H140" s="39">
        <v>4</v>
      </c>
      <c r="I140" s="40" t="s">
        <v>41</v>
      </c>
      <c r="J140" s="149">
        <v>200</v>
      </c>
      <c r="K140" s="66">
        <v>300</v>
      </c>
      <c r="L140" s="66">
        <v>2050</v>
      </c>
      <c r="M140" s="164">
        <v>26.778034163078487</v>
      </c>
      <c r="N140" s="78">
        <v>1891.6707593795056</v>
      </c>
      <c r="O140" s="113">
        <v>40938.878073314067</v>
      </c>
      <c r="P140" s="161">
        <v>50927.984308204846</v>
      </c>
      <c r="Q140" s="254">
        <v>27143.290212895896</v>
      </c>
      <c r="R140" s="263">
        <v>68082.168286209955</v>
      </c>
      <c r="S140" s="259">
        <v>78071.274521100742</v>
      </c>
      <c r="U140" s="7" t="s">
        <v>3875</v>
      </c>
    </row>
    <row r="141" spans="1:21" s="65" customFormat="1" ht="16.5" thickBot="1">
      <c r="A141" s="38" t="s">
        <v>31</v>
      </c>
      <c r="B141" s="39">
        <f t="shared" si="6"/>
        <v>200</v>
      </c>
      <c r="C141" s="39" t="s">
        <v>3</v>
      </c>
      <c r="D141" s="39">
        <f t="shared" si="7"/>
        <v>300</v>
      </c>
      <c r="E141" s="39" t="s">
        <v>3</v>
      </c>
      <c r="F141" s="90">
        <f t="shared" si="8"/>
        <v>2100</v>
      </c>
      <c r="G141" s="39" t="s">
        <v>3</v>
      </c>
      <c r="H141" s="39">
        <v>4</v>
      </c>
      <c r="I141" s="40" t="s">
        <v>41</v>
      </c>
      <c r="J141" s="149">
        <v>200</v>
      </c>
      <c r="K141" s="66">
        <v>300</v>
      </c>
      <c r="L141" s="66">
        <v>2100</v>
      </c>
      <c r="M141" s="164">
        <v>27.398768084690374</v>
      </c>
      <c r="N141" s="78">
        <v>1947.3081346553736</v>
      </c>
      <c r="O141" s="113">
        <v>41757.596045379207</v>
      </c>
      <c r="P141" s="161">
        <v>51967.187529219307</v>
      </c>
      <c r="Q141" s="254">
        <v>27918.265983651414</v>
      </c>
      <c r="R141" s="263">
        <v>69675.862029030628</v>
      </c>
      <c r="S141" s="259">
        <v>79885.453512870721</v>
      </c>
      <c r="U141" s="7" t="s">
        <v>3876</v>
      </c>
    </row>
    <row r="142" spans="1:21" s="65" customFormat="1" ht="16.5" thickBot="1">
      <c r="A142" s="41" t="s">
        <v>31</v>
      </c>
      <c r="B142" s="42">
        <f t="shared" si="6"/>
        <v>200</v>
      </c>
      <c r="C142" s="42" t="s">
        <v>3</v>
      </c>
      <c r="D142" s="42">
        <f t="shared" si="7"/>
        <v>300</v>
      </c>
      <c r="E142" s="42" t="s">
        <v>3</v>
      </c>
      <c r="F142" s="90">
        <f t="shared" si="8"/>
        <v>2150</v>
      </c>
      <c r="G142" s="42" t="s">
        <v>3</v>
      </c>
      <c r="H142" s="39">
        <v>4</v>
      </c>
      <c r="I142" s="40" t="s">
        <v>41</v>
      </c>
      <c r="J142" s="149">
        <v>200</v>
      </c>
      <c r="K142" s="66">
        <v>300</v>
      </c>
      <c r="L142" s="66">
        <v>2150</v>
      </c>
      <c r="M142" s="164">
        <v>28.002036006302276</v>
      </c>
      <c r="N142" s="78">
        <v>2002.9455099312415</v>
      </c>
      <c r="O142" s="113">
        <v>42576.314017444354</v>
      </c>
      <c r="P142" s="161">
        <v>53006.390750233753</v>
      </c>
      <c r="Q142" s="254">
        <v>28441.907769651927</v>
      </c>
      <c r="R142" s="263">
        <v>71018.221787096278</v>
      </c>
      <c r="S142" s="259">
        <v>81448.298519885677</v>
      </c>
      <c r="U142" s="7" t="s">
        <v>3877</v>
      </c>
    </row>
    <row r="143" spans="1:21" s="65" customFormat="1" ht="16.5" thickBot="1">
      <c r="A143" s="41" t="s">
        <v>31</v>
      </c>
      <c r="B143" s="42">
        <f t="shared" si="6"/>
        <v>200</v>
      </c>
      <c r="C143" s="42" t="s">
        <v>3</v>
      </c>
      <c r="D143" s="42">
        <f t="shared" si="7"/>
        <v>300</v>
      </c>
      <c r="E143" s="42" t="s">
        <v>3</v>
      </c>
      <c r="F143" s="90">
        <f t="shared" si="8"/>
        <v>2200</v>
      </c>
      <c r="G143" s="42" t="s">
        <v>3</v>
      </c>
      <c r="H143" s="39">
        <v>4</v>
      </c>
      <c r="I143" s="40" t="s">
        <v>41</v>
      </c>
      <c r="J143" s="149">
        <v>200</v>
      </c>
      <c r="K143" s="66">
        <v>300</v>
      </c>
      <c r="L143" s="66">
        <v>2200</v>
      </c>
      <c r="M143" s="164">
        <v>28.62276992791417</v>
      </c>
      <c r="N143" s="78">
        <v>2058.5828852071095</v>
      </c>
      <c r="O143" s="113">
        <v>43395.031989509494</v>
      </c>
      <c r="P143" s="161">
        <v>54045.593971248207</v>
      </c>
      <c r="Q143" s="254">
        <v>29216.883540407438</v>
      </c>
      <c r="R143" s="263">
        <v>72611.915529916936</v>
      </c>
      <c r="S143" s="259">
        <v>83262.477511655641</v>
      </c>
      <c r="U143" s="7" t="s">
        <v>3878</v>
      </c>
    </row>
    <row r="144" spans="1:21" s="65" customFormat="1" ht="16.5" thickBot="1">
      <c r="A144" s="41" t="s">
        <v>31</v>
      </c>
      <c r="B144" s="42">
        <f t="shared" si="6"/>
        <v>200</v>
      </c>
      <c r="C144" s="42" t="s">
        <v>3</v>
      </c>
      <c r="D144" s="42">
        <f t="shared" si="7"/>
        <v>300</v>
      </c>
      <c r="E144" s="42" t="s">
        <v>3</v>
      </c>
      <c r="F144" s="90">
        <f t="shared" si="8"/>
        <v>2250</v>
      </c>
      <c r="G144" s="42" t="s">
        <v>3</v>
      </c>
      <c r="H144" s="39">
        <v>4</v>
      </c>
      <c r="I144" s="40" t="s">
        <v>41</v>
      </c>
      <c r="J144" s="149">
        <v>200</v>
      </c>
      <c r="K144" s="66">
        <v>300</v>
      </c>
      <c r="L144" s="66">
        <v>2250</v>
      </c>
      <c r="M144" s="164">
        <v>29.226037849526062</v>
      </c>
      <c r="N144" s="78">
        <v>2114.2202604829768</v>
      </c>
      <c r="O144" s="113">
        <v>44213.749808545872</v>
      </c>
      <c r="P144" s="161">
        <v>55084.797192262653</v>
      </c>
      <c r="Q144" s="254">
        <v>29740.525173379188</v>
      </c>
      <c r="R144" s="263">
        <v>73954.27498192506</v>
      </c>
      <c r="S144" s="259">
        <v>84825.322365641841</v>
      </c>
      <c r="U144" s="7" t="s">
        <v>3879</v>
      </c>
    </row>
    <row r="145" spans="1:21" s="65" customFormat="1" ht="16.5" thickBot="1">
      <c r="A145" s="41" t="s">
        <v>31</v>
      </c>
      <c r="B145" s="42">
        <f t="shared" si="6"/>
        <v>200</v>
      </c>
      <c r="C145" s="42" t="s">
        <v>3</v>
      </c>
      <c r="D145" s="42">
        <f t="shared" si="7"/>
        <v>300</v>
      </c>
      <c r="E145" s="42" t="s">
        <v>3</v>
      </c>
      <c r="F145" s="90">
        <f t="shared" si="8"/>
        <v>2300</v>
      </c>
      <c r="G145" s="42" t="s">
        <v>3</v>
      </c>
      <c r="H145" s="39">
        <v>4</v>
      </c>
      <c r="I145" s="40" t="s">
        <v>41</v>
      </c>
      <c r="J145" s="149">
        <v>200</v>
      </c>
      <c r="K145" s="66">
        <v>300</v>
      </c>
      <c r="L145" s="66">
        <v>2300</v>
      </c>
      <c r="M145" s="164">
        <v>29.82930577113796</v>
      </c>
      <c r="N145" s="78">
        <v>2169.8576357588449</v>
      </c>
      <c r="O145" s="113">
        <v>45032.467780611012</v>
      </c>
      <c r="P145" s="161">
        <v>56124.000413277266</v>
      </c>
      <c r="Q145" s="254">
        <v>30264.166959379701</v>
      </c>
      <c r="R145" s="263">
        <v>75296.63473999071</v>
      </c>
      <c r="S145" s="259">
        <v>86388.167372656972</v>
      </c>
      <c r="U145" s="7" t="s">
        <v>3880</v>
      </c>
    </row>
    <row r="146" spans="1:21" s="65" customFormat="1" ht="16.5" thickBot="1">
      <c r="A146" s="41" t="s">
        <v>31</v>
      </c>
      <c r="B146" s="42">
        <f t="shared" si="6"/>
        <v>200</v>
      </c>
      <c r="C146" s="42" t="s">
        <v>3</v>
      </c>
      <c r="D146" s="42">
        <f t="shared" si="7"/>
        <v>300</v>
      </c>
      <c r="E146" s="42" t="s">
        <v>3</v>
      </c>
      <c r="F146" s="90">
        <f t="shared" si="8"/>
        <v>2350</v>
      </c>
      <c r="G146" s="42" t="s">
        <v>3</v>
      </c>
      <c r="H146" s="39">
        <v>4</v>
      </c>
      <c r="I146" s="40" t="s">
        <v>41</v>
      </c>
      <c r="J146" s="149">
        <v>200</v>
      </c>
      <c r="K146" s="66">
        <v>300</v>
      </c>
      <c r="L146" s="66">
        <v>2350</v>
      </c>
      <c r="M146" s="164">
        <v>30.450039692749854</v>
      </c>
      <c r="N146" s="78">
        <v>2225.4950110347127</v>
      </c>
      <c r="O146" s="113">
        <v>45851.185752676152</v>
      </c>
      <c r="P146" s="161">
        <v>57163.20363429172</v>
      </c>
      <c r="Q146" s="254">
        <v>31039.142730135216</v>
      </c>
      <c r="R146" s="263">
        <v>76890.328482811368</v>
      </c>
      <c r="S146" s="259">
        <v>88202.346364426936</v>
      </c>
      <c r="U146" s="7" t="s">
        <v>3881</v>
      </c>
    </row>
    <row r="147" spans="1:21" s="65" customFormat="1" ht="16.5" thickBot="1">
      <c r="A147" s="41" t="s">
        <v>31</v>
      </c>
      <c r="B147" s="42">
        <f t="shared" si="6"/>
        <v>200</v>
      </c>
      <c r="C147" s="42" t="s">
        <v>3</v>
      </c>
      <c r="D147" s="42">
        <f t="shared" si="7"/>
        <v>300</v>
      </c>
      <c r="E147" s="42" t="s">
        <v>3</v>
      </c>
      <c r="F147" s="90">
        <f t="shared" si="8"/>
        <v>2400</v>
      </c>
      <c r="G147" s="42" t="s">
        <v>3</v>
      </c>
      <c r="H147" s="39">
        <v>4</v>
      </c>
      <c r="I147" s="40" t="s">
        <v>41</v>
      </c>
      <c r="J147" s="149">
        <v>200</v>
      </c>
      <c r="K147" s="66">
        <v>300</v>
      </c>
      <c r="L147" s="66">
        <v>2400</v>
      </c>
      <c r="M147" s="164">
        <v>31.053307614361746</v>
      </c>
      <c r="N147" s="78">
        <v>2281.1323863105804</v>
      </c>
      <c r="O147" s="113">
        <v>46669.903724741293</v>
      </c>
      <c r="P147" s="161">
        <v>58202.406855306173</v>
      </c>
      <c r="Q147" s="254">
        <v>31562.784363106966</v>
      </c>
      <c r="R147" s="263">
        <v>78232.688087848263</v>
      </c>
      <c r="S147" s="259">
        <v>89765.191218413136</v>
      </c>
      <c r="U147" s="7" t="s">
        <v>3882</v>
      </c>
    </row>
    <row r="148" spans="1:21" s="65" customFormat="1" ht="16.5" thickBot="1">
      <c r="A148" s="41" t="s">
        <v>31</v>
      </c>
      <c r="B148" s="42">
        <f t="shared" si="6"/>
        <v>200</v>
      </c>
      <c r="C148" s="42" t="s">
        <v>3</v>
      </c>
      <c r="D148" s="42">
        <f t="shared" si="7"/>
        <v>300</v>
      </c>
      <c r="E148" s="42" t="s">
        <v>3</v>
      </c>
      <c r="F148" s="90">
        <f t="shared" si="8"/>
        <v>2450</v>
      </c>
      <c r="G148" s="42" t="s">
        <v>3</v>
      </c>
      <c r="H148" s="39">
        <v>4</v>
      </c>
      <c r="I148" s="40" t="s">
        <v>41</v>
      </c>
      <c r="J148" s="149">
        <v>200</v>
      </c>
      <c r="K148" s="66">
        <v>300</v>
      </c>
      <c r="L148" s="66">
        <v>2450</v>
      </c>
      <c r="M148" s="164">
        <v>31.844100159232639</v>
      </c>
      <c r="N148" s="78">
        <v>2336.7697615864486</v>
      </c>
      <c r="O148" s="113">
        <v>48188.297368250714</v>
      </c>
      <c r="P148" s="161">
        <v>59905.155676309201</v>
      </c>
      <c r="Q148" s="254">
        <v>32337.760286891244</v>
      </c>
      <c r="R148" s="263">
        <v>80526.057655141951</v>
      </c>
      <c r="S148" s="259">
        <v>92242.915963200445</v>
      </c>
      <c r="U148" s="7" t="s">
        <v>3883</v>
      </c>
    </row>
    <row r="149" spans="1:21" s="65" customFormat="1" ht="16.5" thickBot="1">
      <c r="A149" s="41" t="s">
        <v>31</v>
      </c>
      <c r="B149" s="42">
        <f t="shared" si="6"/>
        <v>200</v>
      </c>
      <c r="C149" s="42" t="s">
        <v>3</v>
      </c>
      <c r="D149" s="42">
        <f t="shared" si="7"/>
        <v>300</v>
      </c>
      <c r="E149" s="42" t="s">
        <v>3</v>
      </c>
      <c r="F149" s="90">
        <f t="shared" si="8"/>
        <v>2500</v>
      </c>
      <c r="G149" s="42" t="s">
        <v>3</v>
      </c>
      <c r="H149" s="39">
        <v>4</v>
      </c>
      <c r="I149" s="40" t="s">
        <v>41</v>
      </c>
      <c r="J149" s="149">
        <v>200</v>
      </c>
      <c r="K149" s="66">
        <v>300</v>
      </c>
      <c r="L149" s="66">
        <v>2500</v>
      </c>
      <c r="M149" s="164">
        <v>32.447368080844541</v>
      </c>
      <c r="N149" s="78">
        <v>2392.4071368623158</v>
      </c>
      <c r="O149" s="113">
        <v>49007.015340315862</v>
      </c>
      <c r="P149" s="161">
        <v>60944.358897323647</v>
      </c>
      <c r="Q149" s="254">
        <v>32861.40191986299</v>
      </c>
      <c r="R149" s="263">
        <v>81868.41726017886</v>
      </c>
      <c r="S149" s="259">
        <v>93805.760817186645</v>
      </c>
      <c r="U149" s="7" t="s">
        <v>3884</v>
      </c>
    </row>
    <row r="150" spans="1:21" s="65" customFormat="1" ht="16.5" thickBot="1">
      <c r="A150" s="41" t="s">
        <v>31</v>
      </c>
      <c r="B150" s="42">
        <f t="shared" si="6"/>
        <v>200</v>
      </c>
      <c r="C150" s="42" t="s">
        <v>3</v>
      </c>
      <c r="D150" s="42">
        <f t="shared" si="7"/>
        <v>300</v>
      </c>
      <c r="E150" s="42" t="s">
        <v>3</v>
      </c>
      <c r="F150" s="90">
        <f t="shared" si="8"/>
        <v>2550</v>
      </c>
      <c r="G150" s="42" t="s">
        <v>3</v>
      </c>
      <c r="H150" s="39">
        <v>4</v>
      </c>
      <c r="I150" s="40" t="s">
        <v>41</v>
      </c>
      <c r="J150" s="149">
        <v>200</v>
      </c>
      <c r="K150" s="66">
        <v>300</v>
      </c>
      <c r="L150" s="66">
        <v>2550</v>
      </c>
      <c r="M150" s="164">
        <v>33.068102002456428</v>
      </c>
      <c r="N150" s="78">
        <v>2448.044512138184</v>
      </c>
      <c r="O150" s="113">
        <v>49825.733159352232</v>
      </c>
      <c r="P150" s="161">
        <v>61983.562118338108</v>
      </c>
      <c r="Q150" s="254">
        <v>33636.377843647271</v>
      </c>
      <c r="R150" s="263">
        <v>83462.111002999503</v>
      </c>
      <c r="S150" s="259">
        <v>95619.939961985379</v>
      </c>
      <c r="U150" s="7" t="s">
        <v>3885</v>
      </c>
    </row>
    <row r="151" spans="1:21" s="65" customFormat="1" ht="16.5" thickBot="1">
      <c r="A151" s="38" t="s">
        <v>31</v>
      </c>
      <c r="B151" s="39">
        <f t="shared" si="6"/>
        <v>200</v>
      </c>
      <c r="C151" s="39" t="s">
        <v>3</v>
      </c>
      <c r="D151" s="39">
        <f t="shared" si="7"/>
        <v>300</v>
      </c>
      <c r="E151" s="39" t="s">
        <v>3</v>
      </c>
      <c r="F151" s="90">
        <f t="shared" si="8"/>
        <v>2600</v>
      </c>
      <c r="G151" s="39" t="s">
        <v>3</v>
      </c>
      <c r="H151" s="39">
        <v>4</v>
      </c>
      <c r="I151" s="40" t="s">
        <v>41</v>
      </c>
      <c r="J151" s="149">
        <v>200</v>
      </c>
      <c r="K151" s="66">
        <v>300</v>
      </c>
      <c r="L151" s="66">
        <v>2600</v>
      </c>
      <c r="M151" s="164">
        <v>33.67136992406833</v>
      </c>
      <c r="N151" s="78">
        <v>2503.6818874140517</v>
      </c>
      <c r="O151" s="113">
        <v>50644.45113141738</v>
      </c>
      <c r="P151" s="161">
        <v>63022.765339352707</v>
      </c>
      <c r="Q151" s="254">
        <v>34160.019476619018</v>
      </c>
      <c r="R151" s="263">
        <v>84804.470608036398</v>
      </c>
      <c r="S151" s="259">
        <v>97182.784815971725</v>
      </c>
      <c r="U151" s="7" t="s">
        <v>3886</v>
      </c>
    </row>
    <row r="152" spans="1:21" s="65" customFormat="1" ht="16.5" thickBot="1">
      <c r="A152" s="41" t="s">
        <v>31</v>
      </c>
      <c r="B152" s="42">
        <f t="shared" si="6"/>
        <v>200</v>
      </c>
      <c r="C152" s="42" t="s">
        <v>3</v>
      </c>
      <c r="D152" s="42">
        <f t="shared" si="7"/>
        <v>300</v>
      </c>
      <c r="E152" s="42" t="s">
        <v>3</v>
      </c>
      <c r="F152" s="90">
        <f t="shared" si="8"/>
        <v>2650</v>
      </c>
      <c r="G152" s="42" t="s">
        <v>3</v>
      </c>
      <c r="H152" s="39">
        <v>4</v>
      </c>
      <c r="I152" s="40" t="s">
        <v>41</v>
      </c>
      <c r="J152" s="149">
        <v>200</v>
      </c>
      <c r="K152" s="66">
        <v>300</v>
      </c>
      <c r="L152" s="66">
        <v>2650</v>
      </c>
      <c r="M152" s="164">
        <v>34.292103845680224</v>
      </c>
      <c r="N152" s="78">
        <v>2559.3192626899195</v>
      </c>
      <c r="O152" s="113">
        <v>51463.16910348252</v>
      </c>
      <c r="P152" s="161">
        <v>64061.968560367153</v>
      </c>
      <c r="Q152" s="254">
        <v>34934.995247374536</v>
      </c>
      <c r="R152" s="263">
        <v>86398.164350857056</v>
      </c>
      <c r="S152" s="259">
        <v>98996.963807741689</v>
      </c>
      <c r="U152" s="7" t="s">
        <v>3887</v>
      </c>
    </row>
    <row r="153" spans="1:21" s="65" customFormat="1" ht="16.5" thickBot="1">
      <c r="A153" s="41" t="s">
        <v>31</v>
      </c>
      <c r="B153" s="42">
        <f t="shared" si="6"/>
        <v>200</v>
      </c>
      <c r="C153" s="42" t="s">
        <v>3</v>
      </c>
      <c r="D153" s="42">
        <f t="shared" si="7"/>
        <v>300</v>
      </c>
      <c r="E153" s="42" t="s">
        <v>3</v>
      </c>
      <c r="F153" s="90">
        <f t="shared" si="8"/>
        <v>2700</v>
      </c>
      <c r="G153" s="42" t="s">
        <v>3</v>
      </c>
      <c r="H153" s="39">
        <v>4</v>
      </c>
      <c r="I153" s="40" t="s">
        <v>41</v>
      </c>
      <c r="J153" s="149">
        <v>200</v>
      </c>
      <c r="K153" s="66">
        <v>300</v>
      </c>
      <c r="L153" s="66">
        <v>2700</v>
      </c>
      <c r="M153" s="164">
        <v>34.975834267292122</v>
      </c>
      <c r="N153" s="78">
        <v>2614.9566379657876</v>
      </c>
      <c r="O153" s="113">
        <v>52370.190182060331</v>
      </c>
      <c r="P153" s="161">
        <v>65190.860189142426</v>
      </c>
      <c r="Q153" s="254">
        <v>35458.637033375046</v>
      </c>
      <c r="R153" s="263">
        <v>87828.827215435376</v>
      </c>
      <c r="S153" s="259">
        <v>100649.49722251747</v>
      </c>
      <c r="U153" s="7" t="s">
        <v>3888</v>
      </c>
    </row>
    <row r="154" spans="1:21" s="65" customFormat="1" ht="16.5" thickBot="1">
      <c r="A154" s="41" t="s">
        <v>31</v>
      </c>
      <c r="B154" s="42">
        <f t="shared" si="6"/>
        <v>200</v>
      </c>
      <c r="C154" s="42" t="s">
        <v>3</v>
      </c>
      <c r="D154" s="42">
        <f t="shared" si="7"/>
        <v>300</v>
      </c>
      <c r="E154" s="42" t="s">
        <v>3</v>
      </c>
      <c r="F154" s="90">
        <f t="shared" si="8"/>
        <v>2750</v>
      </c>
      <c r="G154" s="42" t="s">
        <v>3</v>
      </c>
      <c r="H154" s="39">
        <v>4</v>
      </c>
      <c r="I154" s="40" t="s">
        <v>41</v>
      </c>
      <c r="J154" s="149">
        <v>200</v>
      </c>
      <c r="K154" s="66">
        <v>300</v>
      </c>
      <c r="L154" s="66">
        <v>2750</v>
      </c>
      <c r="M154" s="164">
        <v>35.579102188904017</v>
      </c>
      <c r="N154" s="78">
        <v>2670.5940132416549</v>
      </c>
      <c r="O154" s="113">
        <v>53188.908154125478</v>
      </c>
      <c r="P154" s="161">
        <v>66230.063410157032</v>
      </c>
      <c r="Q154" s="254">
        <v>35982.278666346792</v>
      </c>
      <c r="R154" s="263">
        <v>89171.18682047227</v>
      </c>
      <c r="S154" s="259">
        <v>102212.34207650382</v>
      </c>
      <c r="U154" s="7" t="s">
        <v>3889</v>
      </c>
    </row>
    <row r="155" spans="1:21" s="65" customFormat="1" ht="16.5" thickBot="1">
      <c r="A155" s="41" t="s">
        <v>31</v>
      </c>
      <c r="B155" s="42">
        <f t="shared" si="6"/>
        <v>200</v>
      </c>
      <c r="C155" s="42" t="s">
        <v>3</v>
      </c>
      <c r="D155" s="42">
        <f t="shared" si="7"/>
        <v>300</v>
      </c>
      <c r="E155" s="42" t="s">
        <v>3</v>
      </c>
      <c r="F155" s="90">
        <f t="shared" si="8"/>
        <v>2800</v>
      </c>
      <c r="G155" s="42" t="s">
        <v>3</v>
      </c>
      <c r="H155" s="39">
        <v>4</v>
      </c>
      <c r="I155" s="40" t="s">
        <v>41</v>
      </c>
      <c r="J155" s="149">
        <v>200</v>
      </c>
      <c r="K155" s="66">
        <v>300</v>
      </c>
      <c r="L155" s="66">
        <v>2800</v>
      </c>
      <c r="M155" s="164">
        <v>36.199836110515903</v>
      </c>
      <c r="N155" s="78">
        <v>2726.2313885175231</v>
      </c>
      <c r="O155" s="113">
        <v>54007.626126190618</v>
      </c>
      <c r="P155" s="161">
        <v>67269.266631171486</v>
      </c>
      <c r="Q155" s="254">
        <v>36757.25443710231</v>
      </c>
      <c r="R155" s="263">
        <v>90764.880563292929</v>
      </c>
      <c r="S155" s="259">
        <v>104026.5210682738</v>
      </c>
      <c r="U155" s="7" t="s">
        <v>3890</v>
      </c>
    </row>
    <row r="156" spans="1:21" s="65" customFormat="1" ht="16.5" thickBot="1">
      <c r="A156" s="41" t="s">
        <v>31</v>
      </c>
      <c r="B156" s="42">
        <f t="shared" si="6"/>
        <v>200</v>
      </c>
      <c r="C156" s="42" t="s">
        <v>3</v>
      </c>
      <c r="D156" s="42">
        <f t="shared" si="7"/>
        <v>300</v>
      </c>
      <c r="E156" s="42" t="s">
        <v>3</v>
      </c>
      <c r="F156" s="90">
        <f t="shared" si="8"/>
        <v>2850</v>
      </c>
      <c r="G156" s="42" t="s">
        <v>3</v>
      </c>
      <c r="H156" s="39">
        <v>4</v>
      </c>
      <c r="I156" s="40" t="s">
        <v>41</v>
      </c>
      <c r="J156" s="149">
        <v>200</v>
      </c>
      <c r="K156" s="66">
        <v>300</v>
      </c>
      <c r="L156" s="66">
        <v>2850</v>
      </c>
      <c r="M156" s="164">
        <v>36.803104032127806</v>
      </c>
      <c r="N156" s="78">
        <v>2781.8687637933908</v>
      </c>
      <c r="O156" s="113">
        <v>54826.344098255759</v>
      </c>
      <c r="P156" s="161">
        <v>68308.469852185939</v>
      </c>
      <c r="Q156" s="254">
        <v>37280.89622310282</v>
      </c>
      <c r="R156" s="263">
        <v>92107.240321358579</v>
      </c>
      <c r="S156" s="259">
        <v>105589.36607528877</v>
      </c>
      <c r="U156" s="7" t="s">
        <v>3891</v>
      </c>
    </row>
    <row r="157" spans="1:21" s="65" customFormat="1" ht="16.5" thickBot="1">
      <c r="A157" s="41" t="s">
        <v>31</v>
      </c>
      <c r="B157" s="42">
        <f t="shared" si="6"/>
        <v>200</v>
      </c>
      <c r="C157" s="42" t="s">
        <v>3</v>
      </c>
      <c r="D157" s="42">
        <f t="shared" si="7"/>
        <v>300</v>
      </c>
      <c r="E157" s="42" t="s">
        <v>3</v>
      </c>
      <c r="F157" s="90">
        <f t="shared" si="8"/>
        <v>2900</v>
      </c>
      <c r="G157" s="42" t="s">
        <v>3</v>
      </c>
      <c r="H157" s="39">
        <v>4</v>
      </c>
      <c r="I157" s="40" t="s">
        <v>41</v>
      </c>
      <c r="J157" s="149">
        <v>200</v>
      </c>
      <c r="K157" s="66">
        <v>300</v>
      </c>
      <c r="L157" s="66">
        <v>2900</v>
      </c>
      <c r="M157" s="164">
        <v>37.423837953739685</v>
      </c>
      <c r="N157" s="78">
        <v>2837.5061390692586</v>
      </c>
      <c r="O157" s="113">
        <v>55645.062070320906</v>
      </c>
      <c r="P157" s="161">
        <v>69347.673073200393</v>
      </c>
      <c r="Q157" s="254">
        <v>38055.871993858338</v>
      </c>
      <c r="R157" s="263">
        <v>93700.934064179251</v>
      </c>
      <c r="S157" s="259">
        <v>107403.54506705873</v>
      </c>
      <c r="U157" s="7" t="s">
        <v>3892</v>
      </c>
    </row>
    <row r="158" spans="1:21" s="65" customFormat="1" ht="16.5" thickBot="1">
      <c r="A158" s="41" t="s">
        <v>31</v>
      </c>
      <c r="B158" s="42">
        <f t="shared" si="6"/>
        <v>200</v>
      </c>
      <c r="C158" s="42" t="s">
        <v>3</v>
      </c>
      <c r="D158" s="42">
        <f t="shared" si="7"/>
        <v>300</v>
      </c>
      <c r="E158" s="42" t="s">
        <v>3</v>
      </c>
      <c r="F158" s="90">
        <f t="shared" si="8"/>
        <v>2950</v>
      </c>
      <c r="G158" s="42" t="s">
        <v>3</v>
      </c>
      <c r="H158" s="39">
        <v>4</v>
      </c>
      <c r="I158" s="40" t="s">
        <v>41</v>
      </c>
      <c r="J158" s="149">
        <v>200</v>
      </c>
      <c r="K158" s="66">
        <v>300</v>
      </c>
      <c r="L158" s="66">
        <v>2950</v>
      </c>
      <c r="M158" s="164">
        <v>38.027105875351594</v>
      </c>
      <c r="N158" s="78">
        <v>2893.1435143451267</v>
      </c>
      <c r="O158" s="113">
        <v>56463.780042386046</v>
      </c>
      <c r="P158" s="161">
        <v>70386.876294214992</v>
      </c>
      <c r="Q158" s="254">
        <v>38579.513779858848</v>
      </c>
      <c r="R158" s="263">
        <v>95043.293822244887</v>
      </c>
      <c r="S158" s="259">
        <v>108966.39007407383</v>
      </c>
      <c r="U158" s="7" t="s">
        <v>3893</v>
      </c>
    </row>
    <row r="159" spans="1:21" s="65" customFormat="1" ht="16.5" thickBot="1">
      <c r="A159" s="43" t="s">
        <v>31</v>
      </c>
      <c r="B159" s="44">
        <f t="shared" si="6"/>
        <v>200</v>
      </c>
      <c r="C159" s="44" t="s">
        <v>3</v>
      </c>
      <c r="D159" s="44">
        <f t="shared" si="7"/>
        <v>300</v>
      </c>
      <c r="E159" s="44" t="s">
        <v>3</v>
      </c>
      <c r="F159" s="91">
        <f t="shared" si="8"/>
        <v>3000</v>
      </c>
      <c r="G159" s="44" t="s">
        <v>3</v>
      </c>
      <c r="H159" s="46">
        <v>4</v>
      </c>
      <c r="I159" s="45" t="s">
        <v>41</v>
      </c>
      <c r="J159" s="265">
        <v>200</v>
      </c>
      <c r="K159" s="266">
        <v>300</v>
      </c>
      <c r="L159" s="266">
        <v>3000</v>
      </c>
      <c r="M159" s="249">
        <v>37.705209558013152</v>
      </c>
      <c r="N159" s="250">
        <v>2948.780889620994</v>
      </c>
      <c r="O159" s="251">
        <v>58627.465535703326</v>
      </c>
      <c r="P159" s="283">
        <v>71426.07951522946</v>
      </c>
      <c r="Q159" s="267">
        <v>39354.489550614366</v>
      </c>
      <c r="R159" s="268">
        <v>97981.955086317699</v>
      </c>
      <c r="S159" s="269">
        <v>110780.56906584383</v>
      </c>
      <c r="U159" s="7" t="s">
        <v>3894</v>
      </c>
    </row>
    <row r="160" spans="1:21" ht="22.5" customHeight="1" thickBot="1">
      <c r="A160" s="2968" t="s">
        <v>44</v>
      </c>
      <c r="B160" s="2969"/>
      <c r="C160" s="2969"/>
      <c r="D160" s="2969"/>
      <c r="E160" s="2969"/>
      <c r="F160" s="2969"/>
      <c r="G160" s="2969"/>
      <c r="H160" s="2969"/>
      <c r="I160" s="2969"/>
      <c r="J160" s="2969"/>
      <c r="K160" s="2969"/>
      <c r="L160" s="2969"/>
      <c r="M160" s="2969"/>
      <c r="N160" s="2969"/>
      <c r="O160" s="2969"/>
      <c r="P160" s="2969"/>
      <c r="Q160" s="2969"/>
      <c r="R160" s="2969"/>
      <c r="S160" s="2970"/>
      <c r="U160" s="7"/>
    </row>
    <row r="161" spans="1:21" ht="16.5" thickBot="1">
      <c r="A161" s="2974" t="s">
        <v>118</v>
      </c>
      <c r="B161" s="2975"/>
      <c r="C161" s="2975"/>
      <c r="D161" s="2975"/>
      <c r="E161" s="2975"/>
      <c r="F161" s="2975"/>
      <c r="G161" s="2975"/>
      <c r="H161" s="2975"/>
      <c r="I161" s="2975"/>
      <c r="J161" s="2975"/>
      <c r="K161" s="2975"/>
      <c r="L161" s="2975"/>
      <c r="M161" s="2975"/>
      <c r="N161" s="2975"/>
      <c r="O161" s="2975"/>
      <c r="P161" s="2975"/>
      <c r="Q161" s="2975"/>
      <c r="R161" s="2975"/>
      <c r="S161" s="2976"/>
      <c r="U161" s="7"/>
    </row>
    <row r="162" spans="1:21" ht="16.5" thickBot="1">
      <c r="A162" s="38" t="s">
        <v>31</v>
      </c>
      <c r="B162" s="39">
        <f>J162</f>
        <v>200</v>
      </c>
      <c r="C162" s="39" t="s">
        <v>3</v>
      </c>
      <c r="D162" s="39">
        <f>K162</f>
        <v>360</v>
      </c>
      <c r="E162" s="39" t="s">
        <v>3</v>
      </c>
      <c r="F162" s="90">
        <f>L162</f>
        <v>600</v>
      </c>
      <c r="G162" s="39" t="s">
        <v>3</v>
      </c>
      <c r="H162" s="39">
        <v>8</v>
      </c>
      <c r="I162" s="40" t="s">
        <v>42</v>
      </c>
      <c r="J162" s="270">
        <v>200</v>
      </c>
      <c r="K162" s="271">
        <v>360</v>
      </c>
      <c r="L162" s="271">
        <v>600</v>
      </c>
      <c r="M162" s="284">
        <v>11.124164973344211</v>
      </c>
      <c r="N162" s="246">
        <v>468.45599222102618</v>
      </c>
      <c r="O162" s="247">
        <v>21598.434766256792</v>
      </c>
      <c r="P162" s="275">
        <v>25609.7396823159</v>
      </c>
      <c r="Q162" s="272">
        <v>10032.760953270536</v>
      </c>
      <c r="R162" s="273">
        <v>31631.195719527328</v>
      </c>
      <c r="S162" s="274">
        <v>35642.500635586432</v>
      </c>
      <c r="U162" s="7" t="s">
        <v>3895</v>
      </c>
    </row>
    <row r="163" spans="1:21" ht="16.5" thickBot="1">
      <c r="A163" s="41" t="s">
        <v>31</v>
      </c>
      <c r="B163" s="42">
        <f t="shared" ref="B163:B210" si="9">J163</f>
        <v>200</v>
      </c>
      <c r="C163" s="42" t="s">
        <v>3</v>
      </c>
      <c r="D163" s="42">
        <f t="shared" ref="D163:D210" si="10">K163</f>
        <v>360</v>
      </c>
      <c r="E163" s="42" t="s">
        <v>3</v>
      </c>
      <c r="F163" s="90">
        <f t="shared" ref="F163:F210" si="11">L163</f>
        <v>650</v>
      </c>
      <c r="G163" s="42" t="s">
        <v>3</v>
      </c>
      <c r="H163" s="39">
        <v>8</v>
      </c>
      <c r="I163" s="40" t="s">
        <v>42</v>
      </c>
      <c r="J163" s="149">
        <v>200</v>
      </c>
      <c r="K163" s="66">
        <v>360</v>
      </c>
      <c r="L163" s="66">
        <v>650</v>
      </c>
      <c r="M163" s="158">
        <v>11.932073367706312</v>
      </c>
      <c r="N163" s="78">
        <v>562.14719066523139</v>
      </c>
      <c r="O163" s="113">
        <v>22882.448175841881</v>
      </c>
      <c r="P163" s="111">
        <v>27139.703830756425</v>
      </c>
      <c r="Q163" s="254">
        <v>10636.181837508726</v>
      </c>
      <c r="R163" s="263">
        <v>33518.630013350608</v>
      </c>
      <c r="S163" s="259">
        <v>37775.885668265153</v>
      </c>
      <c r="U163" s="7" t="s">
        <v>3896</v>
      </c>
    </row>
    <row r="164" spans="1:21" ht="16.5" thickBot="1">
      <c r="A164" s="41" t="s">
        <v>31</v>
      </c>
      <c r="B164" s="42">
        <f t="shared" si="9"/>
        <v>200</v>
      </c>
      <c r="C164" s="42" t="s">
        <v>3</v>
      </c>
      <c r="D164" s="42">
        <f t="shared" si="10"/>
        <v>360</v>
      </c>
      <c r="E164" s="42" t="s">
        <v>3</v>
      </c>
      <c r="F164" s="90">
        <f t="shared" si="11"/>
        <v>700</v>
      </c>
      <c r="G164" s="42" t="s">
        <v>3</v>
      </c>
      <c r="H164" s="39">
        <v>8</v>
      </c>
      <c r="I164" s="40" t="s">
        <v>42</v>
      </c>
      <c r="J164" s="149">
        <v>200</v>
      </c>
      <c r="K164" s="66">
        <v>360</v>
      </c>
      <c r="L164" s="66">
        <v>700</v>
      </c>
      <c r="M164" s="158">
        <v>12.757021762068419</v>
      </c>
      <c r="N164" s="78">
        <v>655.83838910943666</v>
      </c>
      <c r="O164" s="113">
        <v>24166.461585426969</v>
      </c>
      <c r="P164" s="111">
        <v>28669.667979196958</v>
      </c>
      <c r="Q164" s="254">
        <v>11490.936859530682</v>
      </c>
      <c r="R164" s="263">
        <v>35657.398444957653</v>
      </c>
      <c r="S164" s="259">
        <v>40160.604838727639</v>
      </c>
      <c r="U164" s="7" t="s">
        <v>3897</v>
      </c>
    </row>
    <row r="165" spans="1:21" ht="16.5" thickBot="1">
      <c r="A165" s="41" t="s">
        <v>31</v>
      </c>
      <c r="B165" s="42">
        <f t="shared" si="9"/>
        <v>200</v>
      </c>
      <c r="C165" s="42" t="s">
        <v>3</v>
      </c>
      <c r="D165" s="42">
        <f t="shared" si="10"/>
        <v>360</v>
      </c>
      <c r="E165" s="42" t="s">
        <v>3</v>
      </c>
      <c r="F165" s="90">
        <f t="shared" si="11"/>
        <v>750</v>
      </c>
      <c r="G165" s="42" t="s">
        <v>3</v>
      </c>
      <c r="H165" s="39">
        <v>8</v>
      </c>
      <c r="I165" s="40" t="s">
        <v>42</v>
      </c>
      <c r="J165" s="149">
        <v>200</v>
      </c>
      <c r="K165" s="66">
        <v>360</v>
      </c>
      <c r="L165" s="66">
        <v>750</v>
      </c>
      <c r="M165" s="158">
        <v>13.564930156430524</v>
      </c>
      <c r="N165" s="78">
        <v>749.52958755364193</v>
      </c>
      <c r="O165" s="113">
        <v>25450.47499501206</v>
      </c>
      <c r="P165" s="111">
        <v>30199.632127637484</v>
      </c>
      <c r="Q165" s="254">
        <v>12094.357743768871</v>
      </c>
      <c r="R165" s="263">
        <v>37544.832738780933</v>
      </c>
      <c r="S165" s="259">
        <v>42293.989871406353</v>
      </c>
      <c r="U165" s="7" t="s">
        <v>3898</v>
      </c>
    </row>
    <row r="166" spans="1:21" ht="16.5" thickBot="1">
      <c r="A166" s="41" t="s">
        <v>31</v>
      </c>
      <c r="B166" s="42">
        <f t="shared" si="9"/>
        <v>200</v>
      </c>
      <c r="C166" s="42" t="s">
        <v>3</v>
      </c>
      <c r="D166" s="42">
        <f t="shared" si="10"/>
        <v>360</v>
      </c>
      <c r="E166" s="42" t="s">
        <v>3</v>
      </c>
      <c r="F166" s="90">
        <f t="shared" si="11"/>
        <v>800</v>
      </c>
      <c r="G166" s="42" t="s">
        <v>3</v>
      </c>
      <c r="H166" s="39">
        <v>8</v>
      </c>
      <c r="I166" s="40" t="s">
        <v>42</v>
      </c>
      <c r="J166" s="149">
        <v>200</v>
      </c>
      <c r="K166" s="66">
        <v>360</v>
      </c>
      <c r="L166" s="66">
        <v>800</v>
      </c>
      <c r="M166" s="158">
        <v>14.372838550792631</v>
      </c>
      <c r="N166" s="78">
        <v>843.2207859978472</v>
      </c>
      <c r="O166" s="113">
        <v>26734.488404597148</v>
      </c>
      <c r="P166" s="111">
        <v>31729.596276078009</v>
      </c>
      <c r="Q166" s="254">
        <v>12697.77862800706</v>
      </c>
      <c r="R166" s="263">
        <v>39432.267032604206</v>
      </c>
      <c r="S166" s="259">
        <v>44427.374904085067</v>
      </c>
      <c r="U166" s="7" t="s">
        <v>3899</v>
      </c>
    </row>
    <row r="167" spans="1:21" ht="16.5" thickBot="1">
      <c r="A167" s="41" t="s">
        <v>31</v>
      </c>
      <c r="B167" s="42">
        <f t="shared" si="9"/>
        <v>200</v>
      </c>
      <c r="C167" s="42" t="s">
        <v>3</v>
      </c>
      <c r="D167" s="42">
        <f t="shared" si="10"/>
        <v>360</v>
      </c>
      <c r="E167" s="42" t="s">
        <v>3</v>
      </c>
      <c r="F167" s="90">
        <f t="shared" si="11"/>
        <v>850</v>
      </c>
      <c r="G167" s="42" t="s">
        <v>3</v>
      </c>
      <c r="H167" s="39">
        <v>8</v>
      </c>
      <c r="I167" s="40" t="s">
        <v>42</v>
      </c>
      <c r="J167" s="149">
        <v>200</v>
      </c>
      <c r="K167" s="66">
        <v>360</v>
      </c>
      <c r="L167" s="66">
        <v>850</v>
      </c>
      <c r="M167" s="158">
        <v>15.197786945154736</v>
      </c>
      <c r="N167" s="78">
        <v>936.91198444205236</v>
      </c>
      <c r="O167" s="113">
        <v>28018.50166115347</v>
      </c>
      <c r="P167" s="111">
        <v>33259.560424518531</v>
      </c>
      <c r="Q167" s="254">
        <v>13552.533650029018</v>
      </c>
      <c r="R167" s="263">
        <v>41571.035311182488</v>
      </c>
      <c r="S167" s="259">
        <v>46812.094074547553</v>
      </c>
      <c r="U167" s="7" t="s">
        <v>3900</v>
      </c>
    </row>
    <row r="168" spans="1:21" ht="16.5" thickBot="1">
      <c r="A168" s="41" t="s">
        <v>31</v>
      </c>
      <c r="B168" s="42">
        <f t="shared" si="9"/>
        <v>200</v>
      </c>
      <c r="C168" s="42" t="s">
        <v>3</v>
      </c>
      <c r="D168" s="42">
        <f t="shared" si="10"/>
        <v>360</v>
      </c>
      <c r="E168" s="42" t="s">
        <v>3</v>
      </c>
      <c r="F168" s="90">
        <f t="shared" si="11"/>
        <v>900</v>
      </c>
      <c r="G168" s="42" t="s">
        <v>3</v>
      </c>
      <c r="H168" s="39">
        <v>8</v>
      </c>
      <c r="I168" s="40" t="s">
        <v>42</v>
      </c>
      <c r="J168" s="149">
        <v>200</v>
      </c>
      <c r="K168" s="66">
        <v>360</v>
      </c>
      <c r="L168" s="66">
        <v>900</v>
      </c>
      <c r="M168" s="158">
        <v>16.005695339516841</v>
      </c>
      <c r="N168" s="78">
        <v>1030.6031828862576</v>
      </c>
      <c r="O168" s="113">
        <v>29302.515070738558</v>
      </c>
      <c r="P168" s="111">
        <v>34789.524572959061</v>
      </c>
      <c r="Q168" s="254">
        <v>14155.954534267206</v>
      </c>
      <c r="R168" s="263">
        <v>43458.469605005768</v>
      </c>
      <c r="S168" s="259">
        <v>48945.479107226267</v>
      </c>
      <c r="U168" s="7" t="s">
        <v>3901</v>
      </c>
    </row>
    <row r="169" spans="1:21" ht="16.5" thickBot="1">
      <c r="A169" s="41" t="s">
        <v>31</v>
      </c>
      <c r="B169" s="42">
        <f t="shared" si="9"/>
        <v>200</v>
      </c>
      <c r="C169" s="42" t="s">
        <v>3</v>
      </c>
      <c r="D169" s="42">
        <f t="shared" si="10"/>
        <v>360</v>
      </c>
      <c r="E169" s="42" t="s">
        <v>3</v>
      </c>
      <c r="F169" s="90">
        <f t="shared" si="11"/>
        <v>950</v>
      </c>
      <c r="G169" s="42" t="s">
        <v>3</v>
      </c>
      <c r="H169" s="39">
        <v>8</v>
      </c>
      <c r="I169" s="40" t="s">
        <v>42</v>
      </c>
      <c r="J169" s="149">
        <v>200</v>
      </c>
      <c r="K169" s="66">
        <v>360</v>
      </c>
      <c r="L169" s="66">
        <v>950</v>
      </c>
      <c r="M169" s="158">
        <v>16.830643733878944</v>
      </c>
      <c r="N169" s="78">
        <v>1124.2943813304628</v>
      </c>
      <c r="O169" s="113">
        <v>30586.52848032365</v>
      </c>
      <c r="P169" s="111">
        <v>36319.48856837082</v>
      </c>
      <c r="Q169" s="254">
        <v>15010.709556289165</v>
      </c>
      <c r="R169" s="263">
        <v>45597.238036612813</v>
      </c>
      <c r="S169" s="259">
        <v>51330.198124659983</v>
      </c>
      <c r="U169" s="7" t="s">
        <v>3902</v>
      </c>
    </row>
    <row r="170" spans="1:21" ht="16.5" thickBot="1">
      <c r="A170" s="41" t="s">
        <v>31</v>
      </c>
      <c r="B170" s="42">
        <f t="shared" si="9"/>
        <v>200</v>
      </c>
      <c r="C170" s="42" t="s">
        <v>3</v>
      </c>
      <c r="D170" s="42">
        <f t="shared" si="10"/>
        <v>360</v>
      </c>
      <c r="E170" s="42" t="s">
        <v>3</v>
      </c>
      <c r="F170" s="90">
        <f t="shared" si="11"/>
        <v>1000</v>
      </c>
      <c r="G170" s="42" t="s">
        <v>3</v>
      </c>
      <c r="H170" s="39">
        <v>8</v>
      </c>
      <c r="I170" s="40" t="s">
        <v>42</v>
      </c>
      <c r="J170" s="149">
        <v>200</v>
      </c>
      <c r="K170" s="66">
        <v>360</v>
      </c>
      <c r="L170" s="66">
        <v>1000</v>
      </c>
      <c r="M170" s="158">
        <v>17.638552128241052</v>
      </c>
      <c r="N170" s="78">
        <v>1217.9855797746682</v>
      </c>
      <c r="O170" s="113">
        <v>31870.541889908738</v>
      </c>
      <c r="P170" s="111">
        <v>37849.452716811349</v>
      </c>
      <c r="Q170" s="254">
        <v>15614.130440527351</v>
      </c>
      <c r="R170" s="263">
        <v>47484.672330436093</v>
      </c>
      <c r="S170" s="259">
        <v>53463.583157338697</v>
      </c>
      <c r="U170" s="7" t="s">
        <v>3903</v>
      </c>
    </row>
    <row r="171" spans="1:21" ht="16.5" thickBot="1">
      <c r="A171" s="41" t="s">
        <v>31</v>
      </c>
      <c r="B171" s="42">
        <f t="shared" si="9"/>
        <v>200</v>
      </c>
      <c r="C171" s="42" t="s">
        <v>3</v>
      </c>
      <c r="D171" s="42">
        <f t="shared" si="10"/>
        <v>360</v>
      </c>
      <c r="E171" s="42" t="s">
        <v>3</v>
      </c>
      <c r="F171" s="90">
        <f t="shared" si="11"/>
        <v>1050</v>
      </c>
      <c r="G171" s="42" t="s">
        <v>3</v>
      </c>
      <c r="H171" s="39">
        <v>8</v>
      </c>
      <c r="I171" s="40" t="s">
        <v>42</v>
      </c>
      <c r="J171" s="149">
        <v>200</v>
      </c>
      <c r="K171" s="66">
        <v>360</v>
      </c>
      <c r="L171" s="66">
        <v>1050</v>
      </c>
      <c r="M171" s="158">
        <v>18.463500522603155</v>
      </c>
      <c r="N171" s="78">
        <v>1311.6767782188733</v>
      </c>
      <c r="O171" s="113">
        <v>33154.555299493826</v>
      </c>
      <c r="P171" s="111">
        <v>39379.416865251871</v>
      </c>
      <c r="Q171" s="254">
        <v>16468.885462549311</v>
      </c>
      <c r="R171" s="263">
        <v>49623.440762043138</v>
      </c>
      <c r="S171" s="259">
        <v>55848.302327801182</v>
      </c>
      <c r="U171" s="7" t="s">
        <v>3904</v>
      </c>
    </row>
    <row r="172" spans="1:21" ht="16.5" thickBot="1">
      <c r="A172" s="38" t="s">
        <v>31</v>
      </c>
      <c r="B172" s="39">
        <f t="shared" si="9"/>
        <v>200</v>
      </c>
      <c r="C172" s="39" t="s">
        <v>3</v>
      </c>
      <c r="D172" s="39">
        <f t="shared" si="10"/>
        <v>360</v>
      </c>
      <c r="E172" s="39" t="s">
        <v>3</v>
      </c>
      <c r="F172" s="90">
        <f t="shared" si="11"/>
        <v>1100</v>
      </c>
      <c r="G172" s="39" t="s">
        <v>3</v>
      </c>
      <c r="H172" s="39">
        <v>8</v>
      </c>
      <c r="I172" s="40" t="s">
        <v>42</v>
      </c>
      <c r="J172" s="149">
        <v>200</v>
      </c>
      <c r="K172" s="66">
        <v>360</v>
      </c>
      <c r="L172" s="66">
        <v>1100</v>
      </c>
      <c r="M172" s="158">
        <v>19.27140891696526</v>
      </c>
      <c r="N172" s="78">
        <v>1405.3679766630785</v>
      </c>
      <c r="O172" s="113">
        <v>34438.568556050144</v>
      </c>
      <c r="P172" s="111">
        <v>40909.3810136924</v>
      </c>
      <c r="Q172" s="254">
        <v>17072.3063467875</v>
      </c>
      <c r="R172" s="263">
        <v>51510.874902837648</v>
      </c>
      <c r="S172" s="259">
        <v>57981.687360479904</v>
      </c>
      <c r="U172" s="7" t="s">
        <v>3905</v>
      </c>
    </row>
    <row r="173" spans="1:21" ht="16.5" thickBot="1">
      <c r="A173" s="41" t="s">
        <v>31</v>
      </c>
      <c r="B173" s="42">
        <f t="shared" si="9"/>
        <v>200</v>
      </c>
      <c r="C173" s="42" t="s">
        <v>3</v>
      </c>
      <c r="D173" s="42">
        <f t="shared" si="10"/>
        <v>360</v>
      </c>
      <c r="E173" s="42" t="s">
        <v>3</v>
      </c>
      <c r="F173" s="90">
        <f t="shared" si="11"/>
        <v>1150</v>
      </c>
      <c r="G173" s="42" t="s">
        <v>3</v>
      </c>
      <c r="H173" s="39">
        <v>8</v>
      </c>
      <c r="I173" s="40" t="s">
        <v>42</v>
      </c>
      <c r="J173" s="149">
        <v>200</v>
      </c>
      <c r="K173" s="66">
        <v>360</v>
      </c>
      <c r="L173" s="66">
        <v>1150</v>
      </c>
      <c r="M173" s="158">
        <v>20.079317311327372</v>
      </c>
      <c r="N173" s="78">
        <v>1499.0591751072839</v>
      </c>
      <c r="O173" s="113">
        <v>35722.58196563524</v>
      </c>
      <c r="P173" s="111">
        <v>42439.345162132922</v>
      </c>
      <c r="Q173" s="254">
        <v>17675.727231025689</v>
      </c>
      <c r="R173" s="263">
        <v>53398.309196660928</v>
      </c>
      <c r="S173" s="259">
        <v>60115.072393158611</v>
      </c>
      <c r="U173" s="7" t="s">
        <v>3906</v>
      </c>
    </row>
    <row r="174" spans="1:21" ht="16.5" thickBot="1">
      <c r="A174" s="41" t="s">
        <v>31</v>
      </c>
      <c r="B174" s="42">
        <f t="shared" si="9"/>
        <v>200</v>
      </c>
      <c r="C174" s="42" t="s">
        <v>3</v>
      </c>
      <c r="D174" s="42">
        <f t="shared" si="10"/>
        <v>360</v>
      </c>
      <c r="E174" s="42" t="s">
        <v>3</v>
      </c>
      <c r="F174" s="90">
        <f t="shared" si="11"/>
        <v>1200</v>
      </c>
      <c r="G174" s="42" t="s">
        <v>3</v>
      </c>
      <c r="H174" s="39">
        <v>8</v>
      </c>
      <c r="I174" s="40" t="s">
        <v>42</v>
      </c>
      <c r="J174" s="149">
        <v>200</v>
      </c>
      <c r="K174" s="66">
        <v>360</v>
      </c>
      <c r="L174" s="66">
        <v>1200</v>
      </c>
      <c r="M174" s="158">
        <v>21.061265705689472</v>
      </c>
      <c r="N174" s="78">
        <v>1592.7503735514888</v>
      </c>
      <c r="O174" s="113">
        <v>37174.791892458226</v>
      </c>
      <c r="P174" s="111">
        <v>44138.532650825327</v>
      </c>
      <c r="Q174" s="254">
        <v>18530.482406076411</v>
      </c>
      <c r="R174" s="263">
        <v>55705.274298534641</v>
      </c>
      <c r="S174" s="259">
        <v>62669.015056901742</v>
      </c>
      <c r="U174" s="7" t="s">
        <v>3907</v>
      </c>
    </row>
    <row r="175" spans="1:21" ht="16.5" thickBot="1">
      <c r="A175" s="41" t="s">
        <v>31</v>
      </c>
      <c r="B175" s="42">
        <f t="shared" si="9"/>
        <v>200</v>
      </c>
      <c r="C175" s="42" t="s">
        <v>3</v>
      </c>
      <c r="D175" s="42">
        <f t="shared" si="10"/>
        <v>360</v>
      </c>
      <c r="E175" s="42" t="s">
        <v>3</v>
      </c>
      <c r="F175" s="90">
        <f t="shared" si="11"/>
        <v>1250</v>
      </c>
      <c r="G175" s="42" t="s">
        <v>3</v>
      </c>
      <c r="H175" s="39">
        <v>8</v>
      </c>
      <c r="I175" s="40" t="s">
        <v>42</v>
      </c>
      <c r="J175" s="149">
        <v>200</v>
      </c>
      <c r="K175" s="66">
        <v>360</v>
      </c>
      <c r="L175" s="66">
        <v>1250</v>
      </c>
      <c r="M175" s="158">
        <v>21.86917410005158</v>
      </c>
      <c r="N175" s="78">
        <v>1686.4415719956944</v>
      </c>
      <c r="O175" s="113">
        <v>38458.805302043314</v>
      </c>
      <c r="P175" s="111">
        <v>45668.496799265864</v>
      </c>
      <c r="Q175" s="254">
        <v>19133.9032903146</v>
      </c>
      <c r="R175" s="263">
        <v>57592.708592357914</v>
      </c>
      <c r="S175" s="259">
        <v>64802.400089580464</v>
      </c>
      <c r="U175" s="7" t="s">
        <v>3908</v>
      </c>
    </row>
    <row r="176" spans="1:21" ht="16.5" thickBot="1">
      <c r="A176" s="41" t="s">
        <v>31</v>
      </c>
      <c r="B176" s="42">
        <f t="shared" si="9"/>
        <v>200</v>
      </c>
      <c r="C176" s="42" t="s">
        <v>3</v>
      </c>
      <c r="D176" s="42">
        <f t="shared" si="10"/>
        <v>360</v>
      </c>
      <c r="E176" s="42" t="s">
        <v>3</v>
      </c>
      <c r="F176" s="90">
        <f t="shared" si="11"/>
        <v>1300</v>
      </c>
      <c r="G176" s="42" t="s">
        <v>3</v>
      </c>
      <c r="H176" s="39">
        <v>8</v>
      </c>
      <c r="I176" s="40" t="s">
        <v>42</v>
      </c>
      <c r="J176" s="149">
        <v>200</v>
      </c>
      <c r="K176" s="66">
        <v>360</v>
      </c>
      <c r="L176" s="66">
        <v>1300</v>
      </c>
      <c r="M176" s="158">
        <v>22.694122494413683</v>
      </c>
      <c r="N176" s="78">
        <v>1780.1327704398993</v>
      </c>
      <c r="O176" s="113">
        <v>39742.818711628395</v>
      </c>
      <c r="P176" s="111">
        <v>47198.460947706386</v>
      </c>
      <c r="Q176" s="254">
        <v>19988.658312336556</v>
      </c>
      <c r="R176" s="263">
        <v>59731.477023964952</v>
      </c>
      <c r="S176" s="259">
        <v>67187.119260042935</v>
      </c>
      <c r="U176" s="7" t="s">
        <v>3909</v>
      </c>
    </row>
    <row r="177" spans="1:21" ht="16.5" thickBot="1">
      <c r="A177" s="41" t="s">
        <v>31</v>
      </c>
      <c r="B177" s="42">
        <f t="shared" si="9"/>
        <v>200</v>
      </c>
      <c r="C177" s="42" t="s">
        <v>3</v>
      </c>
      <c r="D177" s="42">
        <f t="shared" si="10"/>
        <v>360</v>
      </c>
      <c r="E177" s="42" t="s">
        <v>3</v>
      </c>
      <c r="F177" s="90">
        <f t="shared" si="11"/>
        <v>1350</v>
      </c>
      <c r="G177" s="42" t="s">
        <v>3</v>
      </c>
      <c r="H177" s="39">
        <v>8</v>
      </c>
      <c r="I177" s="40" t="s">
        <v>42</v>
      </c>
      <c r="J177" s="149">
        <v>200</v>
      </c>
      <c r="K177" s="66">
        <v>360</v>
      </c>
      <c r="L177" s="66">
        <v>1350</v>
      </c>
      <c r="M177" s="158">
        <v>23.502030888775792</v>
      </c>
      <c r="N177" s="78">
        <v>1873.8239688841047</v>
      </c>
      <c r="O177" s="113">
        <v>41026.832121213483</v>
      </c>
      <c r="P177" s="111">
        <v>48728.425096146915</v>
      </c>
      <c r="Q177" s="254">
        <v>20592.079196574745</v>
      </c>
      <c r="R177" s="263">
        <v>61618.911317788225</v>
      </c>
      <c r="S177" s="259">
        <v>69320.504292721656</v>
      </c>
      <c r="U177" s="7" t="s">
        <v>3910</v>
      </c>
    </row>
    <row r="178" spans="1:21" ht="16.5" thickBot="1">
      <c r="A178" s="41" t="s">
        <v>31</v>
      </c>
      <c r="B178" s="42">
        <f t="shared" si="9"/>
        <v>200</v>
      </c>
      <c r="C178" s="42" t="s">
        <v>3</v>
      </c>
      <c r="D178" s="42">
        <f t="shared" si="10"/>
        <v>360</v>
      </c>
      <c r="E178" s="42" t="s">
        <v>3</v>
      </c>
      <c r="F178" s="90">
        <f t="shared" si="11"/>
        <v>1400</v>
      </c>
      <c r="G178" s="42" t="s">
        <v>3</v>
      </c>
      <c r="H178" s="39">
        <v>8</v>
      </c>
      <c r="I178" s="40" t="s">
        <v>42</v>
      </c>
      <c r="J178" s="149">
        <v>200</v>
      </c>
      <c r="K178" s="66">
        <v>360</v>
      </c>
      <c r="L178" s="66">
        <v>1400</v>
      </c>
      <c r="M178" s="158">
        <v>24.326979283137895</v>
      </c>
      <c r="N178" s="78">
        <v>1967.5151673283099</v>
      </c>
      <c r="O178" s="113">
        <v>42310.845530798571</v>
      </c>
      <c r="P178" s="111">
        <v>50258.389244587437</v>
      </c>
      <c r="Q178" s="254">
        <v>21446.834218596705</v>
      </c>
      <c r="R178" s="263">
        <v>63757.679749395276</v>
      </c>
      <c r="S178" s="259">
        <v>71705.223463184142</v>
      </c>
      <c r="U178" s="7" t="s">
        <v>3911</v>
      </c>
    </row>
    <row r="179" spans="1:21" ht="16.5" thickBot="1">
      <c r="A179" s="41" t="s">
        <v>31</v>
      </c>
      <c r="B179" s="42">
        <f t="shared" si="9"/>
        <v>200</v>
      </c>
      <c r="C179" s="42" t="s">
        <v>3</v>
      </c>
      <c r="D179" s="42">
        <f t="shared" si="10"/>
        <v>360</v>
      </c>
      <c r="E179" s="42" t="s">
        <v>3</v>
      </c>
      <c r="F179" s="90">
        <f t="shared" si="11"/>
        <v>1450</v>
      </c>
      <c r="G179" s="42" t="s">
        <v>3</v>
      </c>
      <c r="H179" s="39">
        <v>8</v>
      </c>
      <c r="I179" s="40" t="s">
        <v>42</v>
      </c>
      <c r="J179" s="149">
        <v>200</v>
      </c>
      <c r="K179" s="66">
        <v>360</v>
      </c>
      <c r="L179" s="66">
        <v>1450</v>
      </c>
      <c r="M179" s="158">
        <v>25.134887677500004</v>
      </c>
      <c r="N179" s="78">
        <v>2061.2063657725153</v>
      </c>
      <c r="O179" s="113">
        <v>43594.858787354904</v>
      </c>
      <c r="P179" s="111">
        <v>51788.353393027966</v>
      </c>
      <c r="Q179" s="254">
        <v>22050.255102834893</v>
      </c>
      <c r="R179" s="263">
        <v>65645.113890189794</v>
      </c>
      <c r="S179" s="259">
        <v>73838.608495862863</v>
      </c>
      <c r="U179" s="7" t="s">
        <v>3912</v>
      </c>
    </row>
    <row r="180" spans="1:21" ht="16.5" thickBot="1">
      <c r="A180" s="41" t="s">
        <v>31</v>
      </c>
      <c r="B180" s="42">
        <f t="shared" si="9"/>
        <v>200</v>
      </c>
      <c r="C180" s="42" t="s">
        <v>3</v>
      </c>
      <c r="D180" s="42">
        <f t="shared" si="10"/>
        <v>360</v>
      </c>
      <c r="E180" s="42" t="s">
        <v>3</v>
      </c>
      <c r="F180" s="90">
        <f t="shared" si="11"/>
        <v>1500</v>
      </c>
      <c r="G180" s="42" t="s">
        <v>3</v>
      </c>
      <c r="H180" s="39">
        <v>8</v>
      </c>
      <c r="I180" s="40" t="s">
        <v>42</v>
      </c>
      <c r="J180" s="149">
        <v>200</v>
      </c>
      <c r="K180" s="66">
        <v>360</v>
      </c>
      <c r="L180" s="66">
        <v>1500</v>
      </c>
      <c r="M180" s="158">
        <v>26.195457365822108</v>
      </c>
      <c r="N180" s="78">
        <v>2154.8975642167202</v>
      </c>
      <c r="O180" s="113">
        <v>45699.063836013287</v>
      </c>
      <c r="P180" s="111">
        <v>54123.428042709944</v>
      </c>
      <c r="Q180" s="254">
        <v>22905.01012485685</v>
      </c>
      <c r="R180" s="263">
        <v>68604.073960870141</v>
      </c>
      <c r="S180" s="259">
        <v>77028.438167566797</v>
      </c>
      <c r="U180" s="7" t="s">
        <v>3913</v>
      </c>
    </row>
    <row r="181" spans="1:21" ht="16.5" thickBot="1">
      <c r="A181" s="41" t="s">
        <v>31</v>
      </c>
      <c r="B181" s="42">
        <f t="shared" si="9"/>
        <v>200</v>
      </c>
      <c r="C181" s="42" t="s">
        <v>3</v>
      </c>
      <c r="D181" s="42">
        <f t="shared" si="10"/>
        <v>360</v>
      </c>
      <c r="E181" s="42" t="s">
        <v>3</v>
      </c>
      <c r="F181" s="90">
        <f t="shared" si="11"/>
        <v>1550</v>
      </c>
      <c r="G181" s="42" t="s">
        <v>3</v>
      </c>
      <c r="H181" s="39">
        <v>8</v>
      </c>
      <c r="I181" s="40" t="s">
        <v>42</v>
      </c>
      <c r="J181" s="149">
        <v>200</v>
      </c>
      <c r="K181" s="66">
        <v>360</v>
      </c>
      <c r="L181" s="66">
        <v>1550</v>
      </c>
      <c r="M181" s="158">
        <v>27.003365760184209</v>
      </c>
      <c r="N181" s="78">
        <v>2248.5887626609256</v>
      </c>
      <c r="O181" s="113">
        <v>46983.077245598375</v>
      </c>
      <c r="P181" s="111">
        <v>55653.392191150473</v>
      </c>
      <c r="Q181" s="254">
        <v>23508.431009095038</v>
      </c>
      <c r="R181" s="263">
        <v>70491.508254693414</v>
      </c>
      <c r="S181" s="259">
        <v>79161.823200245504</v>
      </c>
      <c r="U181" s="7" t="s">
        <v>3914</v>
      </c>
    </row>
    <row r="182" spans="1:21" ht="16.5" thickBot="1">
      <c r="A182" s="38" t="s">
        <v>31</v>
      </c>
      <c r="B182" s="39">
        <f t="shared" si="9"/>
        <v>200</v>
      </c>
      <c r="C182" s="39" t="s">
        <v>3</v>
      </c>
      <c r="D182" s="39">
        <f t="shared" si="10"/>
        <v>360</v>
      </c>
      <c r="E182" s="39" t="s">
        <v>3</v>
      </c>
      <c r="F182" s="90">
        <f t="shared" si="11"/>
        <v>1600</v>
      </c>
      <c r="G182" s="39" t="s">
        <v>3</v>
      </c>
      <c r="H182" s="39">
        <v>8</v>
      </c>
      <c r="I182" s="40" t="s">
        <v>42</v>
      </c>
      <c r="J182" s="149">
        <v>200</v>
      </c>
      <c r="K182" s="66">
        <v>360</v>
      </c>
      <c r="L182" s="66">
        <v>1600</v>
      </c>
      <c r="M182" s="158">
        <v>27.811274154546318</v>
      </c>
      <c r="N182" s="78">
        <v>2342.279961105131</v>
      </c>
      <c r="O182" s="113">
        <v>48267.090502154693</v>
      </c>
      <c r="P182" s="111">
        <v>57183.356339590995</v>
      </c>
      <c r="Q182" s="254">
        <v>24111.851893333227</v>
      </c>
      <c r="R182" s="263">
        <v>72378.942395487917</v>
      </c>
      <c r="S182" s="259">
        <v>81295.208232924226</v>
      </c>
      <c r="U182" s="7" t="s">
        <v>3915</v>
      </c>
    </row>
    <row r="183" spans="1:21" ht="16.5" thickBot="1">
      <c r="A183" s="41" t="s">
        <v>31</v>
      </c>
      <c r="B183" s="42">
        <f t="shared" si="9"/>
        <v>200</v>
      </c>
      <c r="C183" s="42" t="s">
        <v>3</v>
      </c>
      <c r="D183" s="42">
        <f t="shared" si="10"/>
        <v>360</v>
      </c>
      <c r="E183" s="42" t="s">
        <v>3</v>
      </c>
      <c r="F183" s="90">
        <f t="shared" si="11"/>
        <v>1650</v>
      </c>
      <c r="G183" s="42" t="s">
        <v>3</v>
      </c>
      <c r="H183" s="39">
        <v>8</v>
      </c>
      <c r="I183" s="40" t="s">
        <v>42</v>
      </c>
      <c r="J183" s="149">
        <v>200</v>
      </c>
      <c r="K183" s="66">
        <v>360</v>
      </c>
      <c r="L183" s="66">
        <v>1650</v>
      </c>
      <c r="M183" s="158">
        <v>28.636222548908425</v>
      </c>
      <c r="N183" s="78">
        <v>2435.9711595493363</v>
      </c>
      <c r="O183" s="113">
        <v>49551.103911739789</v>
      </c>
      <c r="P183" s="111">
        <v>58713.320488031524</v>
      </c>
      <c r="Q183" s="254">
        <v>24966.606915355183</v>
      </c>
      <c r="R183" s="263">
        <v>74517.710827094968</v>
      </c>
      <c r="S183" s="259">
        <v>83679.927403386711</v>
      </c>
      <c r="U183" s="7" t="s">
        <v>3916</v>
      </c>
    </row>
    <row r="184" spans="1:21" ht="16.5" thickBot="1">
      <c r="A184" s="41" t="s">
        <v>31</v>
      </c>
      <c r="B184" s="42">
        <f t="shared" si="9"/>
        <v>200</v>
      </c>
      <c r="C184" s="42" t="s">
        <v>3</v>
      </c>
      <c r="D184" s="42">
        <f t="shared" si="10"/>
        <v>360</v>
      </c>
      <c r="E184" s="42" t="s">
        <v>3</v>
      </c>
      <c r="F184" s="90">
        <f t="shared" si="11"/>
        <v>1700</v>
      </c>
      <c r="G184" s="42" t="s">
        <v>3</v>
      </c>
      <c r="H184" s="39">
        <v>8</v>
      </c>
      <c r="I184" s="40" t="s">
        <v>42</v>
      </c>
      <c r="J184" s="149">
        <v>200</v>
      </c>
      <c r="K184" s="66">
        <v>360</v>
      </c>
      <c r="L184" s="66">
        <v>1700</v>
      </c>
      <c r="M184" s="158">
        <v>29.444130943270526</v>
      </c>
      <c r="N184" s="78">
        <v>2529.6623579935417</v>
      </c>
      <c r="O184" s="113">
        <v>50835.117321324877</v>
      </c>
      <c r="P184" s="111">
        <v>60243.284636472061</v>
      </c>
      <c r="Q184" s="254">
        <v>25570.027799593372</v>
      </c>
      <c r="R184" s="263">
        <v>76405.145120918256</v>
      </c>
      <c r="S184" s="259">
        <v>85813.312436065433</v>
      </c>
      <c r="U184" s="7" t="s">
        <v>3917</v>
      </c>
    </row>
    <row r="185" spans="1:21" ht="16.5" thickBot="1">
      <c r="A185" s="41" t="s">
        <v>31</v>
      </c>
      <c r="B185" s="42">
        <f t="shared" si="9"/>
        <v>200</v>
      </c>
      <c r="C185" s="42" t="s">
        <v>3</v>
      </c>
      <c r="D185" s="42">
        <f t="shared" si="10"/>
        <v>360</v>
      </c>
      <c r="E185" s="42" t="s">
        <v>3</v>
      </c>
      <c r="F185" s="90">
        <f t="shared" si="11"/>
        <v>1750</v>
      </c>
      <c r="G185" s="42" t="s">
        <v>3</v>
      </c>
      <c r="H185" s="39">
        <v>8</v>
      </c>
      <c r="I185" s="40" t="s">
        <v>42</v>
      </c>
      <c r="J185" s="149">
        <v>200</v>
      </c>
      <c r="K185" s="66">
        <v>360</v>
      </c>
      <c r="L185" s="66">
        <v>1750</v>
      </c>
      <c r="M185" s="158">
        <v>30.269079337632625</v>
      </c>
      <c r="N185" s="78">
        <v>2623.3535564377466</v>
      </c>
      <c r="O185" s="113">
        <v>52119.130730909957</v>
      </c>
      <c r="P185" s="111">
        <v>61773.24878491259</v>
      </c>
      <c r="Q185" s="254">
        <v>26424.782821615332</v>
      </c>
      <c r="R185" s="263">
        <v>78543.913552525293</v>
      </c>
      <c r="S185" s="259">
        <v>88198.031606527918</v>
      </c>
      <c r="U185" s="7" t="s">
        <v>3918</v>
      </c>
    </row>
    <row r="186" spans="1:21" ht="16.5" thickBot="1">
      <c r="A186" s="41" t="s">
        <v>31</v>
      </c>
      <c r="B186" s="42">
        <f t="shared" si="9"/>
        <v>200</v>
      </c>
      <c r="C186" s="42" t="s">
        <v>3</v>
      </c>
      <c r="D186" s="42">
        <f t="shared" si="10"/>
        <v>360</v>
      </c>
      <c r="E186" s="42" t="s">
        <v>3</v>
      </c>
      <c r="F186" s="90">
        <f t="shared" si="11"/>
        <v>1800</v>
      </c>
      <c r="G186" s="42" t="s">
        <v>3</v>
      </c>
      <c r="H186" s="39">
        <v>8</v>
      </c>
      <c r="I186" s="40" t="s">
        <v>42</v>
      </c>
      <c r="J186" s="149">
        <v>200</v>
      </c>
      <c r="K186" s="66">
        <v>360</v>
      </c>
      <c r="L186" s="66">
        <v>1800</v>
      </c>
      <c r="M186" s="158">
        <v>31.076987731994734</v>
      </c>
      <c r="N186" s="78">
        <v>2717.0447548819516</v>
      </c>
      <c r="O186" s="113">
        <v>53403.144140495046</v>
      </c>
      <c r="P186" s="111">
        <v>63303.212780324342</v>
      </c>
      <c r="Q186" s="254">
        <v>27028.203705853517</v>
      </c>
      <c r="R186" s="263">
        <v>80431.347846348566</v>
      </c>
      <c r="S186" s="259">
        <v>90331.416486177855</v>
      </c>
      <c r="U186" s="7" t="s">
        <v>3919</v>
      </c>
    </row>
    <row r="187" spans="1:21" ht="16.5" thickBot="1">
      <c r="A187" s="41" t="s">
        <v>31</v>
      </c>
      <c r="B187" s="42">
        <f t="shared" si="9"/>
        <v>200</v>
      </c>
      <c r="C187" s="42" t="s">
        <v>3</v>
      </c>
      <c r="D187" s="42">
        <f t="shared" si="10"/>
        <v>360</v>
      </c>
      <c r="E187" s="42" t="s">
        <v>3</v>
      </c>
      <c r="F187" s="90">
        <f t="shared" si="11"/>
        <v>1850</v>
      </c>
      <c r="G187" s="42" t="s">
        <v>3</v>
      </c>
      <c r="H187" s="39">
        <v>8</v>
      </c>
      <c r="I187" s="40" t="s">
        <v>42</v>
      </c>
      <c r="J187" s="149">
        <v>200</v>
      </c>
      <c r="K187" s="66">
        <v>360</v>
      </c>
      <c r="L187" s="66">
        <v>1850</v>
      </c>
      <c r="M187" s="158">
        <v>31.901936126356844</v>
      </c>
      <c r="N187" s="78">
        <v>2810.735953326157</v>
      </c>
      <c r="O187" s="113">
        <v>54687.157397051371</v>
      </c>
      <c r="P187" s="111">
        <v>64833.176928764864</v>
      </c>
      <c r="Q187" s="254">
        <v>27882.958880904247</v>
      </c>
      <c r="R187" s="263">
        <v>82570.116277955618</v>
      </c>
      <c r="S187" s="259">
        <v>92716.135809669111</v>
      </c>
      <c r="U187" s="7" t="s">
        <v>3920</v>
      </c>
    </row>
    <row r="188" spans="1:21" ht="16.5" thickBot="1">
      <c r="A188" s="41" t="s">
        <v>31</v>
      </c>
      <c r="B188" s="42">
        <f t="shared" si="9"/>
        <v>200</v>
      </c>
      <c r="C188" s="42" t="s">
        <v>3</v>
      </c>
      <c r="D188" s="42">
        <f t="shared" si="10"/>
        <v>360</v>
      </c>
      <c r="E188" s="42" t="s">
        <v>3</v>
      </c>
      <c r="F188" s="90">
        <f t="shared" si="11"/>
        <v>1900</v>
      </c>
      <c r="G188" s="42" t="s">
        <v>3</v>
      </c>
      <c r="H188" s="39">
        <v>8</v>
      </c>
      <c r="I188" s="40" t="s">
        <v>42</v>
      </c>
      <c r="J188" s="149">
        <v>200</v>
      </c>
      <c r="K188" s="66">
        <v>360</v>
      </c>
      <c r="L188" s="66">
        <v>1900</v>
      </c>
      <c r="M188" s="158">
        <v>32.709844520718946</v>
      </c>
      <c r="N188" s="78">
        <v>2904.4271517703623</v>
      </c>
      <c r="O188" s="113">
        <v>55971.170806636466</v>
      </c>
      <c r="P188" s="111">
        <v>66363.141077205393</v>
      </c>
      <c r="Q188" s="254">
        <v>28486.379765142432</v>
      </c>
      <c r="R188" s="263">
        <v>84457.550571778906</v>
      </c>
      <c r="S188" s="259">
        <v>94849.520842347818</v>
      </c>
      <c r="U188" s="7" t="s">
        <v>3921</v>
      </c>
    </row>
    <row r="189" spans="1:21" ht="16.5" thickBot="1">
      <c r="A189" s="41" t="s">
        <v>31</v>
      </c>
      <c r="B189" s="42">
        <f t="shared" si="9"/>
        <v>200</v>
      </c>
      <c r="C189" s="42" t="s">
        <v>3</v>
      </c>
      <c r="D189" s="42">
        <f t="shared" si="10"/>
        <v>360</v>
      </c>
      <c r="E189" s="42" t="s">
        <v>3</v>
      </c>
      <c r="F189" s="90">
        <f t="shared" si="11"/>
        <v>1950</v>
      </c>
      <c r="G189" s="42" t="s">
        <v>3</v>
      </c>
      <c r="H189" s="39">
        <v>8</v>
      </c>
      <c r="I189" s="40" t="s">
        <v>42</v>
      </c>
      <c r="J189" s="149">
        <v>200</v>
      </c>
      <c r="K189" s="66">
        <v>360</v>
      </c>
      <c r="L189" s="66">
        <v>1950</v>
      </c>
      <c r="M189" s="158">
        <v>33.674752915081058</v>
      </c>
      <c r="N189" s="78">
        <v>2998.1183502145677</v>
      </c>
      <c r="O189" s="113">
        <v>57423.380733459446</v>
      </c>
      <c r="P189" s="111">
        <v>68062.328718926568</v>
      </c>
      <c r="Q189" s="254">
        <v>29089.800649380621</v>
      </c>
      <c r="R189" s="263">
        <v>86513.181382840063</v>
      </c>
      <c r="S189" s="259">
        <v>97152.129368307185</v>
      </c>
      <c r="U189" s="7" t="s">
        <v>3922</v>
      </c>
    </row>
    <row r="190" spans="1:21" ht="16.5" thickBot="1">
      <c r="A190" s="41" t="s">
        <v>31</v>
      </c>
      <c r="B190" s="42">
        <f t="shared" si="9"/>
        <v>200</v>
      </c>
      <c r="C190" s="42" t="s">
        <v>3</v>
      </c>
      <c r="D190" s="42">
        <f t="shared" si="10"/>
        <v>360</v>
      </c>
      <c r="E190" s="42" t="s">
        <v>3</v>
      </c>
      <c r="F190" s="90">
        <f t="shared" si="11"/>
        <v>2000</v>
      </c>
      <c r="G190" s="42" t="s">
        <v>3</v>
      </c>
      <c r="H190" s="39">
        <v>8</v>
      </c>
      <c r="I190" s="40" t="s">
        <v>42</v>
      </c>
      <c r="J190" s="149">
        <v>200</v>
      </c>
      <c r="K190" s="66">
        <v>360</v>
      </c>
      <c r="L190" s="66">
        <v>2000</v>
      </c>
      <c r="M190" s="158">
        <v>34.591263709443155</v>
      </c>
      <c r="N190" s="78">
        <v>3091.8095486587722</v>
      </c>
      <c r="O190" s="113">
        <v>58958.686044889124</v>
      </c>
      <c r="P190" s="111">
        <v>69933.11486036313</v>
      </c>
      <c r="Q190" s="254">
        <v>29944.555671402581</v>
      </c>
      <c r="R190" s="263">
        <v>88903.241716291697</v>
      </c>
      <c r="S190" s="259">
        <v>99877.670531765703</v>
      </c>
      <c r="U190" s="7" t="s">
        <v>3923</v>
      </c>
    </row>
    <row r="191" spans="1:21" ht="16.5" thickBot="1">
      <c r="A191" s="41" t="s">
        <v>31</v>
      </c>
      <c r="B191" s="42">
        <f t="shared" si="9"/>
        <v>200</v>
      </c>
      <c r="C191" s="42" t="s">
        <v>3</v>
      </c>
      <c r="D191" s="42">
        <f t="shared" si="10"/>
        <v>360</v>
      </c>
      <c r="E191" s="42" t="s">
        <v>3</v>
      </c>
      <c r="F191" s="90">
        <f t="shared" si="11"/>
        <v>2050</v>
      </c>
      <c r="G191" s="42" t="s">
        <v>3</v>
      </c>
      <c r="H191" s="39">
        <v>8</v>
      </c>
      <c r="I191" s="40" t="s">
        <v>42</v>
      </c>
      <c r="J191" s="149">
        <v>200</v>
      </c>
      <c r="K191" s="66">
        <v>360</v>
      </c>
      <c r="L191" s="66">
        <v>2050</v>
      </c>
      <c r="M191" s="158">
        <v>35.399172103805256</v>
      </c>
      <c r="N191" s="78">
        <v>3185.5007471029776</v>
      </c>
      <c r="O191" s="113">
        <v>60242.699454474219</v>
      </c>
      <c r="P191" s="111">
        <v>71463.079008803659</v>
      </c>
      <c r="Q191" s="254">
        <v>30547.976555640766</v>
      </c>
      <c r="R191" s="263">
        <v>90790.676010114985</v>
      </c>
      <c r="S191" s="259">
        <v>102011.05556444442</v>
      </c>
      <c r="U191" s="7" t="s">
        <v>3924</v>
      </c>
    </row>
    <row r="192" spans="1:21" ht="16.5" thickBot="1">
      <c r="A192" s="38" t="s">
        <v>31</v>
      </c>
      <c r="B192" s="39">
        <f t="shared" si="9"/>
        <v>200</v>
      </c>
      <c r="C192" s="39" t="s">
        <v>3</v>
      </c>
      <c r="D192" s="39">
        <f t="shared" si="10"/>
        <v>360</v>
      </c>
      <c r="E192" s="39" t="s">
        <v>3</v>
      </c>
      <c r="F192" s="90">
        <f t="shared" si="11"/>
        <v>2100</v>
      </c>
      <c r="G192" s="39" t="s">
        <v>3</v>
      </c>
      <c r="H192" s="39">
        <v>8</v>
      </c>
      <c r="I192" s="40" t="s">
        <v>42</v>
      </c>
      <c r="J192" s="149">
        <v>200</v>
      </c>
      <c r="K192" s="66">
        <v>360</v>
      </c>
      <c r="L192" s="66">
        <v>2100</v>
      </c>
      <c r="M192" s="158">
        <v>36.224120498167366</v>
      </c>
      <c r="N192" s="78">
        <v>3279.191945547183</v>
      </c>
      <c r="O192" s="113">
        <v>61526.7128640593</v>
      </c>
      <c r="P192" s="111">
        <v>72993.043157244188</v>
      </c>
      <c r="Q192" s="254">
        <v>31402.731577662726</v>
      </c>
      <c r="R192" s="263">
        <v>92929.444441722022</v>
      </c>
      <c r="S192" s="259">
        <v>104395.77473490691</v>
      </c>
      <c r="U192" s="7" t="s">
        <v>3925</v>
      </c>
    </row>
    <row r="193" spans="1:21" ht="16.5" thickBot="1">
      <c r="A193" s="41" t="s">
        <v>31</v>
      </c>
      <c r="B193" s="42">
        <f t="shared" si="9"/>
        <v>200</v>
      </c>
      <c r="C193" s="42" t="s">
        <v>3</v>
      </c>
      <c r="D193" s="42">
        <f t="shared" si="10"/>
        <v>360</v>
      </c>
      <c r="E193" s="42" t="s">
        <v>3</v>
      </c>
      <c r="F193" s="90">
        <f t="shared" si="11"/>
        <v>2150</v>
      </c>
      <c r="G193" s="42" t="s">
        <v>3</v>
      </c>
      <c r="H193" s="39">
        <v>8</v>
      </c>
      <c r="I193" s="40" t="s">
        <v>42</v>
      </c>
      <c r="J193" s="149">
        <v>200</v>
      </c>
      <c r="K193" s="66">
        <v>360</v>
      </c>
      <c r="L193" s="66">
        <v>2150</v>
      </c>
      <c r="M193" s="158">
        <v>37.032028892529475</v>
      </c>
      <c r="N193" s="78">
        <v>3372.8831439913888</v>
      </c>
      <c r="O193" s="113">
        <v>62810.726120615633</v>
      </c>
      <c r="P193" s="111">
        <v>74523.007152655948</v>
      </c>
      <c r="Q193" s="254">
        <v>32006.152461900914</v>
      </c>
      <c r="R193" s="263">
        <v>94816.87858251654</v>
      </c>
      <c r="S193" s="259">
        <v>106529.15961455686</v>
      </c>
      <c r="U193" s="7" t="s">
        <v>3926</v>
      </c>
    </row>
    <row r="194" spans="1:21" ht="16.5" thickBot="1">
      <c r="A194" s="41" t="s">
        <v>31</v>
      </c>
      <c r="B194" s="42">
        <f t="shared" si="9"/>
        <v>200</v>
      </c>
      <c r="C194" s="42" t="s">
        <v>3</v>
      </c>
      <c r="D194" s="42">
        <f t="shared" si="10"/>
        <v>360</v>
      </c>
      <c r="E194" s="42" t="s">
        <v>3</v>
      </c>
      <c r="F194" s="90">
        <f t="shared" si="11"/>
        <v>2200</v>
      </c>
      <c r="G194" s="42" t="s">
        <v>3</v>
      </c>
      <c r="H194" s="39">
        <v>8</v>
      </c>
      <c r="I194" s="40" t="s">
        <v>42</v>
      </c>
      <c r="J194" s="149">
        <v>200</v>
      </c>
      <c r="K194" s="66">
        <v>360</v>
      </c>
      <c r="L194" s="66">
        <v>2200</v>
      </c>
      <c r="M194" s="158">
        <v>37.856977286891578</v>
      </c>
      <c r="N194" s="78">
        <v>3466.5743424355942</v>
      </c>
      <c r="O194" s="113">
        <v>64094.739530200713</v>
      </c>
      <c r="P194" s="111">
        <v>76052.971301096477</v>
      </c>
      <c r="Q194" s="254">
        <v>32860.907483922878</v>
      </c>
      <c r="R194" s="263">
        <v>96955.647014123591</v>
      </c>
      <c r="S194" s="259">
        <v>108913.87878501936</v>
      </c>
      <c r="U194" s="7" t="s">
        <v>3927</v>
      </c>
    </row>
    <row r="195" spans="1:21" ht="16.5" thickBot="1">
      <c r="A195" s="41" t="s">
        <v>31</v>
      </c>
      <c r="B195" s="42">
        <f t="shared" si="9"/>
        <v>200</v>
      </c>
      <c r="C195" s="42" t="s">
        <v>3</v>
      </c>
      <c r="D195" s="42">
        <f t="shared" si="10"/>
        <v>360</v>
      </c>
      <c r="E195" s="42" t="s">
        <v>3</v>
      </c>
      <c r="F195" s="90">
        <f t="shared" si="11"/>
        <v>2250</v>
      </c>
      <c r="G195" s="42" t="s">
        <v>3</v>
      </c>
      <c r="H195" s="39">
        <v>8</v>
      </c>
      <c r="I195" s="40" t="s">
        <v>42</v>
      </c>
      <c r="J195" s="149">
        <v>200</v>
      </c>
      <c r="K195" s="66">
        <v>360</v>
      </c>
      <c r="L195" s="66">
        <v>2250</v>
      </c>
      <c r="M195" s="158">
        <v>38.664885681253686</v>
      </c>
      <c r="N195" s="78">
        <v>3560.2655408797987</v>
      </c>
      <c r="O195" s="113">
        <v>65378.752939785809</v>
      </c>
      <c r="P195" s="111">
        <v>77582.935449536992</v>
      </c>
      <c r="Q195" s="254">
        <v>33464.328368161063</v>
      </c>
      <c r="R195" s="263">
        <v>98843.081307946879</v>
      </c>
      <c r="S195" s="259">
        <v>111047.26381769805</v>
      </c>
      <c r="U195" s="7" t="s">
        <v>3928</v>
      </c>
    </row>
    <row r="196" spans="1:21" ht="16.5" thickBot="1">
      <c r="A196" s="41" t="s">
        <v>31</v>
      </c>
      <c r="B196" s="42">
        <f t="shared" si="9"/>
        <v>200</v>
      </c>
      <c r="C196" s="42" t="s">
        <v>3</v>
      </c>
      <c r="D196" s="42">
        <f t="shared" si="10"/>
        <v>360</v>
      </c>
      <c r="E196" s="42" t="s">
        <v>3</v>
      </c>
      <c r="F196" s="90">
        <f t="shared" si="11"/>
        <v>2300</v>
      </c>
      <c r="G196" s="42" t="s">
        <v>3</v>
      </c>
      <c r="H196" s="39">
        <v>8</v>
      </c>
      <c r="I196" s="40" t="s">
        <v>42</v>
      </c>
      <c r="J196" s="149">
        <v>200</v>
      </c>
      <c r="K196" s="66">
        <v>360</v>
      </c>
      <c r="L196" s="66">
        <v>2300</v>
      </c>
      <c r="M196" s="158">
        <v>39.472794075615795</v>
      </c>
      <c r="N196" s="78">
        <v>3653.956739324004</v>
      </c>
      <c r="O196" s="113">
        <v>66662.766349370897</v>
      </c>
      <c r="P196" s="111">
        <v>79112.899597977521</v>
      </c>
      <c r="Q196" s="254">
        <v>34067.749252399248</v>
      </c>
      <c r="R196" s="263">
        <v>100730.51560177014</v>
      </c>
      <c r="S196" s="259">
        <v>113180.64885037678</v>
      </c>
      <c r="U196" s="7" t="s">
        <v>3929</v>
      </c>
    </row>
    <row r="197" spans="1:21" ht="16.5" thickBot="1">
      <c r="A197" s="41" t="s">
        <v>31</v>
      </c>
      <c r="B197" s="42">
        <f t="shared" si="9"/>
        <v>200</v>
      </c>
      <c r="C197" s="42" t="s">
        <v>3</v>
      </c>
      <c r="D197" s="42">
        <f t="shared" si="10"/>
        <v>360</v>
      </c>
      <c r="E197" s="42" t="s">
        <v>3</v>
      </c>
      <c r="F197" s="90">
        <f t="shared" si="11"/>
        <v>2350</v>
      </c>
      <c r="G197" s="42" t="s">
        <v>3</v>
      </c>
      <c r="H197" s="39">
        <v>8</v>
      </c>
      <c r="I197" s="40" t="s">
        <v>42</v>
      </c>
      <c r="J197" s="149">
        <v>200</v>
      </c>
      <c r="K197" s="66">
        <v>360</v>
      </c>
      <c r="L197" s="66">
        <v>2350</v>
      </c>
      <c r="M197" s="158">
        <v>40.297742469977891</v>
      </c>
      <c r="N197" s="78">
        <v>3747.6479377682094</v>
      </c>
      <c r="O197" s="113">
        <v>67946.779758955992</v>
      </c>
      <c r="P197" s="111">
        <v>80642.86374641805</v>
      </c>
      <c r="Q197" s="254">
        <v>34922.504274421211</v>
      </c>
      <c r="R197" s="263">
        <v>102869.2840333772</v>
      </c>
      <c r="S197" s="259">
        <v>115565.36802083926</v>
      </c>
      <c r="U197" s="7" t="s">
        <v>3930</v>
      </c>
    </row>
    <row r="198" spans="1:21" ht="16.5" thickBot="1">
      <c r="A198" s="41" t="s">
        <v>31</v>
      </c>
      <c r="B198" s="42">
        <f t="shared" si="9"/>
        <v>200</v>
      </c>
      <c r="C198" s="42" t="s">
        <v>3</v>
      </c>
      <c r="D198" s="42">
        <f t="shared" si="10"/>
        <v>360</v>
      </c>
      <c r="E198" s="42" t="s">
        <v>3</v>
      </c>
      <c r="F198" s="90">
        <f t="shared" si="11"/>
        <v>2400</v>
      </c>
      <c r="G198" s="42" t="s">
        <v>3</v>
      </c>
      <c r="H198" s="39">
        <v>8</v>
      </c>
      <c r="I198" s="40" t="s">
        <v>42</v>
      </c>
      <c r="J198" s="149">
        <v>200</v>
      </c>
      <c r="K198" s="66">
        <v>360</v>
      </c>
      <c r="L198" s="66">
        <v>2400</v>
      </c>
      <c r="M198" s="158">
        <v>41.105650864339992</v>
      </c>
      <c r="N198" s="78">
        <v>3841.3391362124139</v>
      </c>
      <c r="O198" s="113">
        <v>69230.793015512303</v>
      </c>
      <c r="P198" s="111">
        <v>82172.827894858579</v>
      </c>
      <c r="Q198" s="254">
        <v>35525.925158659396</v>
      </c>
      <c r="R198" s="263">
        <v>104756.71817417169</v>
      </c>
      <c r="S198" s="259">
        <v>117698.75305351798</v>
      </c>
      <c r="U198" s="7" t="s">
        <v>3931</v>
      </c>
    </row>
    <row r="199" spans="1:21" ht="16.5" thickBot="1">
      <c r="A199" s="41" t="s">
        <v>31</v>
      </c>
      <c r="B199" s="42">
        <f t="shared" si="9"/>
        <v>200</v>
      </c>
      <c r="C199" s="42" t="s">
        <v>3</v>
      </c>
      <c r="D199" s="42">
        <f t="shared" si="10"/>
        <v>360</v>
      </c>
      <c r="E199" s="42" t="s">
        <v>3</v>
      </c>
      <c r="F199" s="90">
        <f t="shared" si="11"/>
        <v>2450</v>
      </c>
      <c r="G199" s="42" t="s">
        <v>3</v>
      </c>
      <c r="H199" s="39">
        <v>8</v>
      </c>
      <c r="I199" s="40" t="s">
        <v>42</v>
      </c>
      <c r="J199" s="149">
        <v>200</v>
      </c>
      <c r="K199" s="66">
        <v>360</v>
      </c>
      <c r="L199" s="66">
        <v>2450</v>
      </c>
      <c r="M199" s="158">
        <v>42.166220552662104</v>
      </c>
      <c r="N199" s="78">
        <v>3935.0303346566197</v>
      </c>
      <c r="O199" s="113">
        <v>71334.998064170693</v>
      </c>
      <c r="P199" s="111">
        <v>84507.902544540571</v>
      </c>
      <c r="Q199" s="254">
        <v>36380.680180681353</v>
      </c>
      <c r="R199" s="263">
        <v>107715.67824485205</v>
      </c>
      <c r="S199" s="259">
        <v>120888.58272522193</v>
      </c>
      <c r="U199" s="7" t="s">
        <v>3932</v>
      </c>
    </row>
    <row r="200" spans="1:21" ht="16.5" thickBot="1">
      <c r="A200" s="41" t="s">
        <v>31</v>
      </c>
      <c r="B200" s="42">
        <f t="shared" si="9"/>
        <v>200</v>
      </c>
      <c r="C200" s="42" t="s">
        <v>3</v>
      </c>
      <c r="D200" s="42">
        <f t="shared" si="10"/>
        <v>360</v>
      </c>
      <c r="E200" s="42" t="s">
        <v>3</v>
      </c>
      <c r="F200" s="90">
        <f t="shared" si="11"/>
        <v>2500</v>
      </c>
      <c r="G200" s="42" t="s">
        <v>3</v>
      </c>
      <c r="H200" s="39">
        <v>8</v>
      </c>
      <c r="I200" s="40" t="s">
        <v>42</v>
      </c>
      <c r="J200" s="149">
        <v>200</v>
      </c>
      <c r="K200" s="66">
        <v>360</v>
      </c>
      <c r="L200" s="66">
        <v>2500</v>
      </c>
      <c r="M200" s="158">
        <v>42.974128947024212</v>
      </c>
      <c r="N200" s="78">
        <v>4028.7215331008247</v>
      </c>
      <c r="O200" s="113">
        <v>72619.011473755789</v>
      </c>
      <c r="P200" s="111">
        <v>86037.866692981101</v>
      </c>
      <c r="Q200" s="254">
        <v>36984.101064919538</v>
      </c>
      <c r="R200" s="263">
        <v>109603.11253867533</v>
      </c>
      <c r="S200" s="259">
        <v>123021.96775790064</v>
      </c>
      <c r="U200" s="7" t="s">
        <v>3933</v>
      </c>
    </row>
    <row r="201" spans="1:21" ht="16.5" thickBot="1">
      <c r="A201" s="41" t="s">
        <v>31</v>
      </c>
      <c r="B201" s="42">
        <f t="shared" si="9"/>
        <v>200</v>
      </c>
      <c r="C201" s="42" t="s">
        <v>3</v>
      </c>
      <c r="D201" s="42">
        <f t="shared" si="10"/>
        <v>360</v>
      </c>
      <c r="E201" s="42" t="s">
        <v>3</v>
      </c>
      <c r="F201" s="90">
        <f t="shared" si="11"/>
        <v>2550</v>
      </c>
      <c r="G201" s="42" t="s">
        <v>3</v>
      </c>
      <c r="H201" s="39">
        <v>8</v>
      </c>
      <c r="I201" s="40" t="s">
        <v>42</v>
      </c>
      <c r="J201" s="149">
        <v>200</v>
      </c>
      <c r="K201" s="66">
        <v>360</v>
      </c>
      <c r="L201" s="66">
        <v>2550</v>
      </c>
      <c r="M201" s="158">
        <v>43.799077341386308</v>
      </c>
      <c r="N201" s="78">
        <v>4122.4127315450305</v>
      </c>
      <c r="O201" s="113">
        <v>73903.0247303121</v>
      </c>
      <c r="P201" s="111">
        <v>87567.830841421615</v>
      </c>
      <c r="Q201" s="254">
        <v>37838.856239970264</v>
      </c>
      <c r="R201" s="263">
        <v>111741.88097028236</v>
      </c>
      <c r="S201" s="259">
        <v>125406.68708139188</v>
      </c>
      <c r="U201" s="7" t="s">
        <v>3934</v>
      </c>
    </row>
    <row r="202" spans="1:21" ht="16.5" thickBot="1">
      <c r="A202" s="38" t="s">
        <v>31</v>
      </c>
      <c r="B202" s="39">
        <f t="shared" si="9"/>
        <v>200</v>
      </c>
      <c r="C202" s="39" t="s">
        <v>3</v>
      </c>
      <c r="D202" s="39">
        <f t="shared" si="10"/>
        <v>360</v>
      </c>
      <c r="E202" s="39" t="s">
        <v>3</v>
      </c>
      <c r="F202" s="90">
        <f t="shared" si="11"/>
        <v>2600</v>
      </c>
      <c r="G202" s="39" t="s">
        <v>3</v>
      </c>
      <c r="H202" s="39">
        <v>8</v>
      </c>
      <c r="I202" s="40" t="s">
        <v>42</v>
      </c>
      <c r="J202" s="149">
        <v>200</v>
      </c>
      <c r="K202" s="66">
        <v>360</v>
      </c>
      <c r="L202" s="66">
        <v>2600</v>
      </c>
      <c r="M202" s="158">
        <v>44.606985735748424</v>
      </c>
      <c r="N202" s="78">
        <v>4216.1039299892354</v>
      </c>
      <c r="O202" s="113">
        <v>75187.038139897195</v>
      </c>
      <c r="P202" s="111">
        <v>89097.794989862145</v>
      </c>
      <c r="Q202" s="254">
        <v>38442.277124208456</v>
      </c>
      <c r="R202" s="263">
        <v>113629.31526410565</v>
      </c>
      <c r="S202" s="259">
        <v>127540.0721140706</v>
      </c>
      <c r="U202" s="7" t="s">
        <v>3935</v>
      </c>
    </row>
    <row r="203" spans="1:21" ht="16.5" thickBot="1">
      <c r="A203" s="41" t="s">
        <v>31</v>
      </c>
      <c r="B203" s="42">
        <f t="shared" si="9"/>
        <v>200</v>
      </c>
      <c r="C203" s="42" t="s">
        <v>3</v>
      </c>
      <c r="D203" s="42">
        <f t="shared" si="10"/>
        <v>360</v>
      </c>
      <c r="E203" s="42" t="s">
        <v>3</v>
      </c>
      <c r="F203" s="90">
        <f t="shared" si="11"/>
        <v>2650</v>
      </c>
      <c r="G203" s="42" t="s">
        <v>3</v>
      </c>
      <c r="H203" s="39">
        <v>8</v>
      </c>
      <c r="I203" s="40" t="s">
        <v>42</v>
      </c>
      <c r="J203" s="149">
        <v>200</v>
      </c>
      <c r="K203" s="66">
        <v>360</v>
      </c>
      <c r="L203" s="66">
        <v>2650</v>
      </c>
      <c r="M203" s="158">
        <v>45.431934130110534</v>
      </c>
      <c r="N203" s="78">
        <v>4309.7951284334404</v>
      </c>
      <c r="O203" s="113">
        <v>76471.051549482276</v>
      </c>
      <c r="P203" s="111">
        <v>90627.759138302674</v>
      </c>
      <c r="Q203" s="254">
        <v>39297.032146230413</v>
      </c>
      <c r="R203" s="263">
        <v>115768.08369571269</v>
      </c>
      <c r="S203" s="259">
        <v>129924.79128453309</v>
      </c>
      <c r="U203" s="7" t="s">
        <v>3936</v>
      </c>
    </row>
    <row r="204" spans="1:21" ht="16.5" thickBot="1">
      <c r="A204" s="41" t="s">
        <v>31</v>
      </c>
      <c r="B204" s="42">
        <f t="shared" si="9"/>
        <v>200</v>
      </c>
      <c r="C204" s="42" t="s">
        <v>3</v>
      </c>
      <c r="D204" s="42">
        <f t="shared" si="10"/>
        <v>360</v>
      </c>
      <c r="E204" s="42" t="s">
        <v>3</v>
      </c>
      <c r="F204" s="90">
        <f t="shared" si="11"/>
        <v>2700</v>
      </c>
      <c r="G204" s="42" t="s">
        <v>3</v>
      </c>
      <c r="H204" s="39">
        <v>8</v>
      </c>
      <c r="I204" s="40" t="s">
        <v>42</v>
      </c>
      <c r="J204" s="149">
        <v>200</v>
      </c>
      <c r="K204" s="66">
        <v>360</v>
      </c>
      <c r="L204" s="66">
        <v>2700</v>
      </c>
      <c r="M204" s="158">
        <v>46.396842524472639</v>
      </c>
      <c r="N204" s="78">
        <v>4403.4863268776462</v>
      </c>
      <c r="O204" s="113">
        <v>77923.261476305255</v>
      </c>
      <c r="P204" s="111">
        <v>92326.946626995079</v>
      </c>
      <c r="Q204" s="254">
        <v>39900.453030468605</v>
      </c>
      <c r="R204" s="263">
        <v>117823.71450677386</v>
      </c>
      <c r="S204" s="259">
        <v>132227.39965746368</v>
      </c>
      <c r="U204" s="7" t="s">
        <v>3937</v>
      </c>
    </row>
    <row r="205" spans="1:21">
      <c r="A205" s="43" t="s">
        <v>31</v>
      </c>
      <c r="B205" s="44">
        <f t="shared" si="9"/>
        <v>200</v>
      </c>
      <c r="C205" s="44" t="s">
        <v>3</v>
      </c>
      <c r="D205" s="44">
        <f t="shared" si="10"/>
        <v>360</v>
      </c>
      <c r="E205" s="44" t="s">
        <v>3</v>
      </c>
      <c r="F205" s="91">
        <f t="shared" si="11"/>
        <v>2750</v>
      </c>
      <c r="G205" s="44" t="s">
        <v>3</v>
      </c>
      <c r="H205" s="46">
        <v>8</v>
      </c>
      <c r="I205" s="45" t="s">
        <v>42</v>
      </c>
      <c r="J205" s="265">
        <v>200</v>
      </c>
      <c r="K205" s="266">
        <v>360</v>
      </c>
      <c r="L205" s="266">
        <v>2750</v>
      </c>
      <c r="M205" s="285">
        <v>47.204750918834733</v>
      </c>
      <c r="N205" s="250">
        <v>4497.1775253218511</v>
      </c>
      <c r="O205" s="251">
        <v>79207.274885890351</v>
      </c>
      <c r="P205" s="280">
        <v>93856.910775435608</v>
      </c>
      <c r="Q205" s="267">
        <v>40503.87391470679</v>
      </c>
      <c r="R205" s="268">
        <v>119711.14880059715</v>
      </c>
      <c r="S205" s="269">
        <v>134360.78469014241</v>
      </c>
      <c r="U205" s="7" t="s">
        <v>3938</v>
      </c>
    </row>
    <row r="206" spans="1:21" ht="16.5" thickBot="1">
      <c r="A206" s="289" t="s">
        <v>31</v>
      </c>
      <c r="B206" s="290">
        <f t="shared" si="9"/>
        <v>200</v>
      </c>
      <c r="C206" s="290" t="s">
        <v>3</v>
      </c>
      <c r="D206" s="290">
        <f t="shared" si="10"/>
        <v>360</v>
      </c>
      <c r="E206" s="290" t="s">
        <v>3</v>
      </c>
      <c r="F206" s="291">
        <f t="shared" si="11"/>
        <v>2800</v>
      </c>
      <c r="G206" s="290" t="s">
        <v>3</v>
      </c>
      <c r="H206" s="290">
        <v>8</v>
      </c>
      <c r="I206" s="292" t="s">
        <v>42</v>
      </c>
      <c r="J206" s="149">
        <v>200</v>
      </c>
      <c r="K206" s="66">
        <v>360</v>
      </c>
      <c r="L206" s="66">
        <v>2800</v>
      </c>
      <c r="M206" s="158">
        <v>48.029699313196843</v>
      </c>
      <c r="N206" s="78">
        <v>4590.868723766057</v>
      </c>
      <c r="O206" s="113">
        <v>80491.288295475431</v>
      </c>
      <c r="P206" s="111">
        <v>95386.874923876137</v>
      </c>
      <c r="Q206" s="254">
        <v>41358.628936728746</v>
      </c>
      <c r="R206" s="263">
        <v>121849.91723220417</v>
      </c>
      <c r="S206" s="259">
        <v>136745.50386060489</v>
      </c>
      <c r="U206" s="7" t="s">
        <v>3939</v>
      </c>
    </row>
    <row r="207" spans="1:21" ht="16.5" thickBot="1">
      <c r="A207" s="41" t="s">
        <v>31</v>
      </c>
      <c r="B207" s="42">
        <f t="shared" si="9"/>
        <v>200</v>
      </c>
      <c r="C207" s="42" t="s">
        <v>3</v>
      </c>
      <c r="D207" s="42">
        <f t="shared" si="10"/>
        <v>360</v>
      </c>
      <c r="E207" s="42" t="s">
        <v>3</v>
      </c>
      <c r="F207" s="90">
        <f t="shared" si="11"/>
        <v>2850</v>
      </c>
      <c r="G207" s="42" t="s">
        <v>3</v>
      </c>
      <c r="H207" s="39">
        <v>8</v>
      </c>
      <c r="I207" s="40" t="s">
        <v>42</v>
      </c>
      <c r="J207" s="149">
        <v>200</v>
      </c>
      <c r="K207" s="66">
        <v>360</v>
      </c>
      <c r="L207" s="66">
        <v>2850</v>
      </c>
      <c r="M207" s="158">
        <v>48.837607707558945</v>
      </c>
      <c r="N207" s="78">
        <v>4684.5599222102619</v>
      </c>
      <c r="O207" s="113">
        <v>81775.301552031771</v>
      </c>
      <c r="P207" s="111">
        <v>96916.839072316652</v>
      </c>
      <c r="Q207" s="254">
        <v>41962.049820966939</v>
      </c>
      <c r="R207" s="263">
        <v>123737.3513729987</v>
      </c>
      <c r="S207" s="259">
        <v>138878.88889328358</v>
      </c>
      <c r="U207" s="7" t="s">
        <v>3940</v>
      </c>
    </row>
    <row r="208" spans="1:21" ht="16.5" thickBot="1">
      <c r="A208" s="41" t="s">
        <v>31</v>
      </c>
      <c r="B208" s="42">
        <f t="shared" si="9"/>
        <v>200</v>
      </c>
      <c r="C208" s="42" t="s">
        <v>3</v>
      </c>
      <c r="D208" s="42">
        <f t="shared" si="10"/>
        <v>360</v>
      </c>
      <c r="E208" s="42" t="s">
        <v>3</v>
      </c>
      <c r="F208" s="90">
        <f t="shared" si="11"/>
        <v>2900</v>
      </c>
      <c r="G208" s="42" t="s">
        <v>3</v>
      </c>
      <c r="H208" s="39">
        <v>8</v>
      </c>
      <c r="I208" s="40" t="s">
        <v>42</v>
      </c>
      <c r="J208" s="149">
        <v>200</v>
      </c>
      <c r="K208" s="66">
        <v>360</v>
      </c>
      <c r="L208" s="66">
        <v>2900</v>
      </c>
      <c r="M208" s="158">
        <v>49.662556101921055</v>
      </c>
      <c r="N208" s="78">
        <v>4778.2511206544668</v>
      </c>
      <c r="O208" s="113">
        <v>83059.314961616852</v>
      </c>
      <c r="P208" s="111">
        <v>98446.803220757181</v>
      </c>
      <c r="Q208" s="254">
        <v>42816.804842988895</v>
      </c>
      <c r="R208" s="263">
        <v>125876.11980460575</v>
      </c>
      <c r="S208" s="259">
        <v>141263.60806374607</v>
      </c>
      <c r="U208" s="7" t="s">
        <v>3941</v>
      </c>
    </row>
    <row r="209" spans="1:21" ht="16.5" thickBot="1">
      <c r="A209" s="41" t="s">
        <v>31</v>
      </c>
      <c r="B209" s="42">
        <f t="shared" si="9"/>
        <v>200</v>
      </c>
      <c r="C209" s="42" t="s">
        <v>3</v>
      </c>
      <c r="D209" s="42">
        <f t="shared" si="10"/>
        <v>360</v>
      </c>
      <c r="E209" s="42" t="s">
        <v>3</v>
      </c>
      <c r="F209" s="90">
        <f t="shared" si="11"/>
        <v>2950</v>
      </c>
      <c r="G209" s="42" t="s">
        <v>3</v>
      </c>
      <c r="H209" s="39">
        <v>8</v>
      </c>
      <c r="I209" s="40" t="s">
        <v>42</v>
      </c>
      <c r="J209" s="149">
        <v>200</v>
      </c>
      <c r="K209" s="66">
        <v>360</v>
      </c>
      <c r="L209" s="66">
        <v>2950</v>
      </c>
      <c r="M209" s="158">
        <v>50.470464496283157</v>
      </c>
      <c r="N209" s="78">
        <v>4871.9423190986727</v>
      </c>
      <c r="O209" s="113">
        <v>84343.328371201947</v>
      </c>
      <c r="P209" s="111">
        <v>99976.767369197711</v>
      </c>
      <c r="Q209" s="254">
        <v>43420.22572722708</v>
      </c>
      <c r="R209" s="263">
        <v>127763.55409842903</v>
      </c>
      <c r="S209" s="259">
        <v>143396.99309642479</v>
      </c>
      <c r="U209" s="7" t="s">
        <v>3942</v>
      </c>
    </row>
    <row r="210" spans="1:21" ht="16.5" thickBot="1">
      <c r="A210" s="41" t="s">
        <v>31</v>
      </c>
      <c r="B210" s="42">
        <f t="shared" si="9"/>
        <v>200</v>
      </c>
      <c r="C210" s="42" t="s">
        <v>3</v>
      </c>
      <c r="D210" s="42">
        <f t="shared" si="10"/>
        <v>360</v>
      </c>
      <c r="E210" s="42" t="s">
        <v>3</v>
      </c>
      <c r="F210" s="90">
        <f t="shared" si="11"/>
        <v>3000</v>
      </c>
      <c r="G210" s="42" t="s">
        <v>3</v>
      </c>
      <c r="H210" s="39">
        <v>8</v>
      </c>
      <c r="I210" s="40" t="s">
        <v>42</v>
      </c>
      <c r="J210" s="151">
        <v>200</v>
      </c>
      <c r="K210" s="126">
        <v>360</v>
      </c>
      <c r="L210" s="126">
        <v>3000</v>
      </c>
      <c r="M210" s="159">
        <v>51.295412890645267</v>
      </c>
      <c r="N210" s="127">
        <v>4965.6335175428767</v>
      </c>
      <c r="O210" s="128">
        <v>86908.263244172776</v>
      </c>
      <c r="P210" s="135">
        <v>101506.73136460946</v>
      </c>
      <c r="Q210" s="255">
        <v>44274.980749249036</v>
      </c>
      <c r="R210" s="264">
        <v>131183.24399342181</v>
      </c>
      <c r="S210" s="261">
        <v>145781.71211385849</v>
      </c>
      <c r="U210" s="7" t="s">
        <v>3943</v>
      </c>
    </row>
    <row r="211" spans="1:21">
      <c r="M211" s="85"/>
      <c r="P211" s="84"/>
      <c r="Q211" s="108"/>
      <c r="S211" s="84"/>
    </row>
    <row r="212" spans="1:21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85"/>
      <c r="N212" s="65"/>
      <c r="O212" s="65"/>
      <c r="P212" s="84"/>
      <c r="Q212" s="108"/>
      <c r="R212" s="65"/>
      <c r="S212" s="84"/>
    </row>
    <row r="213" spans="1:21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85"/>
      <c r="N213" s="65"/>
      <c r="O213" s="65"/>
      <c r="P213" s="84"/>
      <c r="Q213" s="108"/>
      <c r="R213" s="65"/>
      <c r="S213" s="84"/>
    </row>
    <row r="214" spans="1:21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85"/>
      <c r="N214" s="65"/>
      <c r="O214" s="65"/>
      <c r="P214" s="84"/>
      <c r="Q214" s="108"/>
      <c r="R214" s="65"/>
      <c r="S214" s="84"/>
    </row>
    <row r="215" spans="1:21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85"/>
      <c r="N215" s="65"/>
      <c r="O215" s="65"/>
      <c r="P215" s="84"/>
      <c r="Q215" s="108"/>
      <c r="R215" s="65"/>
      <c r="S215" s="84"/>
    </row>
    <row r="216" spans="1:21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85"/>
      <c r="N216" s="65"/>
      <c r="O216" s="65"/>
      <c r="P216" s="84"/>
      <c r="Q216" s="108"/>
      <c r="R216" s="65"/>
      <c r="S216" s="84"/>
    </row>
    <row r="217" spans="1:21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85"/>
      <c r="N217" s="65"/>
      <c r="O217" s="65"/>
      <c r="P217" s="84"/>
      <c r="Q217" s="108"/>
      <c r="R217" s="65"/>
      <c r="S217" s="84"/>
    </row>
    <row r="218" spans="1:21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85"/>
      <c r="N218" s="65"/>
      <c r="O218" s="65"/>
      <c r="P218" s="84"/>
      <c r="Q218" s="108"/>
      <c r="R218" s="65"/>
      <c r="S218" s="84"/>
    </row>
    <row r="219" spans="1:21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85"/>
      <c r="N219" s="65"/>
      <c r="O219" s="65"/>
      <c r="P219" s="84"/>
      <c r="Q219" s="108"/>
      <c r="R219" s="65"/>
      <c r="S219" s="84"/>
    </row>
    <row r="220" spans="1:21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85"/>
      <c r="N220" s="65"/>
      <c r="O220" s="65"/>
      <c r="P220" s="84"/>
      <c r="Q220" s="108"/>
      <c r="R220" s="65"/>
      <c r="S220" s="84"/>
    </row>
    <row r="221" spans="1:21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85"/>
      <c r="N221" s="65"/>
      <c r="O221" s="65"/>
      <c r="P221" s="84"/>
      <c r="Q221" s="108"/>
      <c r="R221" s="65"/>
      <c r="S221" s="84"/>
    </row>
    <row r="222" spans="1:21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85"/>
      <c r="N222" s="65"/>
      <c r="O222" s="65"/>
      <c r="P222" s="84"/>
      <c r="Q222" s="108"/>
      <c r="R222" s="65"/>
      <c r="S222" s="84"/>
    </row>
    <row r="223" spans="1:21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85"/>
      <c r="N223" s="65"/>
      <c r="O223" s="65"/>
      <c r="P223" s="84"/>
      <c r="Q223" s="108"/>
      <c r="R223" s="65"/>
      <c r="S223" s="84"/>
    </row>
    <row r="224" spans="1:21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85"/>
      <c r="N224" s="65"/>
      <c r="O224" s="65"/>
      <c r="P224" s="84"/>
      <c r="Q224" s="108"/>
      <c r="R224" s="65"/>
      <c r="S224" s="84"/>
    </row>
    <row r="225" spans="1:19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85"/>
      <c r="N225" s="65"/>
      <c r="O225" s="65"/>
      <c r="P225" s="84"/>
      <c r="Q225" s="108"/>
      <c r="R225" s="65"/>
      <c r="S225" s="84"/>
    </row>
    <row r="226" spans="1:19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85"/>
      <c r="N226" s="65"/>
      <c r="O226" s="65"/>
      <c r="P226" s="84"/>
      <c r="Q226" s="108"/>
      <c r="R226" s="65"/>
      <c r="S226" s="84"/>
    </row>
    <row r="227" spans="1:19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85"/>
      <c r="N227" s="65"/>
      <c r="O227" s="65"/>
      <c r="P227" s="84"/>
      <c r="Q227" s="108"/>
      <c r="R227" s="65"/>
      <c r="S227" s="84"/>
    </row>
    <row r="228" spans="1:19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85"/>
      <c r="N228" s="65"/>
      <c r="O228" s="65"/>
      <c r="P228" s="84"/>
      <c r="Q228" s="108"/>
      <c r="R228" s="65"/>
      <c r="S228" s="84"/>
    </row>
    <row r="229" spans="1:19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85"/>
      <c r="N229" s="65"/>
      <c r="O229" s="65"/>
      <c r="P229" s="84"/>
      <c r="Q229" s="108"/>
      <c r="R229" s="65"/>
      <c r="S229" s="84"/>
    </row>
    <row r="230" spans="1:19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85"/>
      <c r="N230" s="65"/>
      <c r="O230" s="65"/>
      <c r="P230" s="84"/>
      <c r="Q230" s="108"/>
      <c r="R230" s="65"/>
      <c r="S230" s="84"/>
    </row>
    <row r="231" spans="1:19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85"/>
      <c r="N231" s="65"/>
      <c r="O231" s="65"/>
      <c r="P231" s="84"/>
      <c r="Q231" s="108"/>
      <c r="R231" s="65"/>
      <c r="S231" s="84"/>
    </row>
    <row r="232" spans="1:19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85"/>
      <c r="N232" s="65"/>
      <c r="O232" s="65"/>
      <c r="P232" s="84"/>
      <c r="Q232" s="108"/>
      <c r="R232" s="65"/>
      <c r="S232" s="84"/>
    </row>
    <row r="233" spans="1:19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85"/>
      <c r="N233" s="65"/>
      <c r="O233" s="65"/>
      <c r="P233" s="84"/>
      <c r="Q233" s="108"/>
      <c r="R233" s="65"/>
      <c r="S233" s="84"/>
    </row>
    <row r="234" spans="1:19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85"/>
      <c r="N234" s="65"/>
      <c r="O234" s="65"/>
      <c r="P234" s="84"/>
      <c r="Q234" s="108"/>
      <c r="R234" s="65"/>
      <c r="S234" s="84"/>
    </row>
    <row r="235" spans="1:19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85"/>
      <c r="N235" s="65"/>
      <c r="O235" s="65"/>
      <c r="P235" s="84"/>
      <c r="Q235" s="108"/>
      <c r="R235" s="65"/>
      <c r="S235" s="84"/>
    </row>
    <row r="236" spans="1:19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85"/>
      <c r="N236" s="65"/>
      <c r="O236" s="65"/>
      <c r="P236" s="84"/>
      <c r="Q236" s="108"/>
      <c r="R236" s="65"/>
      <c r="S236" s="84"/>
    </row>
    <row r="237" spans="1:19">
      <c r="M237" s="85"/>
      <c r="P237" s="84"/>
      <c r="S237" s="84"/>
    </row>
    <row r="238" spans="1:19">
      <c r="M238" s="85"/>
      <c r="P238" s="84"/>
      <c r="S238" s="84"/>
    </row>
    <row r="239" spans="1:19">
      <c r="M239" s="85"/>
      <c r="P239" s="84"/>
      <c r="S239" s="84"/>
    </row>
    <row r="240" spans="1:19">
      <c r="M240" s="85"/>
      <c r="P240" s="84"/>
      <c r="S240" s="84"/>
    </row>
    <row r="241" spans="13:19">
      <c r="M241" s="85"/>
      <c r="P241" s="84"/>
      <c r="S241" s="84"/>
    </row>
    <row r="242" spans="13:19">
      <c r="M242" s="85"/>
      <c r="P242" s="84"/>
      <c r="S242" s="84"/>
    </row>
    <row r="243" spans="13:19">
      <c r="M243" s="85"/>
      <c r="P243" s="84"/>
      <c r="S243" s="84"/>
    </row>
    <row r="244" spans="13:19">
      <c r="M244" s="85"/>
      <c r="P244" s="84"/>
      <c r="S244" s="84"/>
    </row>
    <row r="245" spans="13:19">
      <c r="M245" s="85"/>
      <c r="P245" s="84"/>
      <c r="S245" s="84"/>
    </row>
    <row r="246" spans="13:19">
      <c r="M246" s="85"/>
      <c r="P246" s="84"/>
      <c r="S246" s="84"/>
    </row>
    <row r="247" spans="13:19">
      <c r="M247" s="85"/>
      <c r="P247" s="84"/>
      <c r="S247" s="84"/>
    </row>
    <row r="248" spans="13:19">
      <c r="M248" s="85"/>
      <c r="P248" s="84"/>
      <c r="S248" s="84"/>
    </row>
    <row r="249" spans="13:19">
      <c r="M249" s="85"/>
      <c r="P249" s="84"/>
      <c r="S249" s="84"/>
    </row>
    <row r="250" spans="13:19">
      <c r="M250" s="85"/>
      <c r="P250" s="84"/>
      <c r="S250" s="84"/>
    </row>
    <row r="251" spans="13:19">
      <c r="M251" s="85"/>
      <c r="P251" s="84"/>
      <c r="S251" s="84"/>
    </row>
    <row r="252" spans="13:19">
      <c r="M252" s="85"/>
      <c r="P252" s="84"/>
      <c r="S252" s="84"/>
    </row>
    <row r="253" spans="13:19">
      <c r="M253" s="85"/>
      <c r="P253" s="84"/>
      <c r="S253" s="84"/>
    </row>
    <row r="254" spans="13:19">
      <c r="M254" s="85"/>
      <c r="P254" s="84"/>
      <c r="S254" s="84"/>
    </row>
    <row r="255" spans="13:19">
      <c r="M255" s="85"/>
      <c r="P255" s="84"/>
      <c r="S255" s="84"/>
    </row>
    <row r="256" spans="13:19">
      <c r="M256" s="85"/>
      <c r="P256" s="84"/>
      <c r="S256" s="84"/>
    </row>
    <row r="257" spans="13:19">
      <c r="M257" s="85"/>
      <c r="P257" s="84"/>
      <c r="S257" s="84"/>
    </row>
    <row r="258" spans="13:19">
      <c r="M258" s="85"/>
      <c r="P258" s="84"/>
      <c r="S258" s="84"/>
    </row>
    <row r="259" spans="13:19">
      <c r="M259" s="85"/>
      <c r="P259" s="84"/>
      <c r="S259" s="84"/>
    </row>
    <row r="260" spans="13:19">
      <c r="M260" s="85"/>
      <c r="P260" s="84"/>
      <c r="S260" s="84"/>
    </row>
    <row r="261" spans="13:19">
      <c r="M261" s="85"/>
      <c r="P261" s="84"/>
      <c r="S261" s="84"/>
    </row>
    <row r="262" spans="13:19">
      <c r="M262" s="85"/>
      <c r="P262" s="84"/>
      <c r="S262" s="84"/>
    </row>
    <row r="263" spans="13:19">
      <c r="M263" s="85"/>
      <c r="P263" s="84"/>
      <c r="S263" s="84"/>
    </row>
    <row r="264" spans="13:19">
      <c r="M264" s="85"/>
      <c r="P264" s="84"/>
      <c r="S264" s="84"/>
    </row>
    <row r="265" spans="13:19">
      <c r="M265" s="85"/>
      <c r="P265" s="84"/>
      <c r="S265" s="84"/>
    </row>
    <row r="266" spans="13:19">
      <c r="M266" s="85"/>
      <c r="P266" s="84"/>
      <c r="S266" s="84"/>
    </row>
    <row r="267" spans="13:19">
      <c r="M267" s="85"/>
      <c r="P267" s="84"/>
      <c r="S267" s="84"/>
    </row>
    <row r="268" spans="13:19">
      <c r="M268" s="85"/>
      <c r="P268" s="84"/>
      <c r="S268" s="84"/>
    </row>
    <row r="269" spans="13:19">
      <c r="M269" s="85"/>
      <c r="P269" s="84"/>
      <c r="S269" s="84"/>
    </row>
    <row r="270" spans="13:19">
      <c r="M270" s="85"/>
      <c r="P270" s="84"/>
      <c r="S270" s="84"/>
    </row>
    <row r="271" spans="13:19">
      <c r="M271" s="85"/>
      <c r="P271" s="84"/>
      <c r="S271" s="84"/>
    </row>
    <row r="272" spans="13:19">
      <c r="M272" s="85"/>
      <c r="P272" s="84"/>
      <c r="S272" s="84"/>
    </row>
    <row r="273" spans="13:19">
      <c r="M273" s="85"/>
      <c r="P273" s="84"/>
      <c r="S273" s="84"/>
    </row>
    <row r="274" spans="13:19">
      <c r="M274" s="85"/>
      <c r="P274" s="84"/>
      <c r="S274" s="84"/>
    </row>
    <row r="275" spans="13:19">
      <c r="M275" s="85"/>
      <c r="P275" s="84"/>
      <c r="S275" s="84"/>
    </row>
    <row r="276" spans="13:19">
      <c r="M276" s="85"/>
      <c r="P276" s="84"/>
      <c r="S276" s="84"/>
    </row>
    <row r="277" spans="13:19">
      <c r="M277" s="85"/>
      <c r="P277" s="84"/>
      <c r="S277" s="84"/>
    </row>
    <row r="278" spans="13:19">
      <c r="M278" s="85"/>
      <c r="P278" s="84"/>
      <c r="S278" s="84"/>
    </row>
    <row r="279" spans="13:19">
      <c r="M279" s="85"/>
      <c r="P279" s="84"/>
      <c r="S279" s="84"/>
    </row>
    <row r="280" spans="13:19">
      <c r="M280" s="85"/>
      <c r="P280" s="84"/>
      <c r="S280" s="84"/>
    </row>
    <row r="281" spans="13:19">
      <c r="M281" s="85"/>
      <c r="P281" s="84"/>
      <c r="S281" s="84"/>
    </row>
    <row r="282" spans="13:19">
      <c r="M282" s="85"/>
      <c r="P282" s="84"/>
      <c r="S282" s="84"/>
    </row>
    <row r="283" spans="13:19">
      <c r="M283" s="85"/>
      <c r="P283" s="84"/>
      <c r="S283" s="84"/>
    </row>
    <row r="284" spans="13:19">
      <c r="M284" s="85"/>
      <c r="P284" s="84"/>
      <c r="S284" s="84"/>
    </row>
    <row r="285" spans="13:19">
      <c r="M285" s="85"/>
      <c r="P285" s="84"/>
      <c r="S285" s="84"/>
    </row>
    <row r="286" spans="13:19">
      <c r="M286" s="85"/>
      <c r="P286" s="84"/>
      <c r="S286" s="84"/>
    </row>
    <row r="287" spans="13:19">
      <c r="M287" s="85"/>
      <c r="P287" s="84"/>
      <c r="S287" s="84"/>
    </row>
    <row r="288" spans="13:19">
      <c r="M288" s="85"/>
      <c r="P288" s="84"/>
      <c r="S288" s="84"/>
    </row>
    <row r="289" spans="13:19">
      <c r="M289" s="85"/>
      <c r="P289" s="84"/>
      <c r="S289" s="84"/>
    </row>
    <row r="290" spans="13:19">
      <c r="M290" s="85"/>
      <c r="P290" s="84"/>
      <c r="S290" s="84"/>
    </row>
    <row r="291" spans="13:19">
      <c r="M291" s="85"/>
      <c r="P291" s="84"/>
      <c r="S291" s="84"/>
    </row>
    <row r="292" spans="13:19">
      <c r="M292" s="85"/>
      <c r="P292" s="84"/>
      <c r="S292" s="84"/>
    </row>
    <row r="293" spans="13:19">
      <c r="M293" s="85"/>
      <c r="P293" s="84"/>
      <c r="S293" s="84"/>
    </row>
    <row r="294" spans="13:19">
      <c r="M294" s="85"/>
      <c r="P294" s="84"/>
      <c r="S294" s="84"/>
    </row>
    <row r="295" spans="13:19">
      <c r="M295" s="85"/>
      <c r="P295" s="84"/>
      <c r="S295" s="84"/>
    </row>
    <row r="296" spans="13:19">
      <c r="M296" s="85"/>
      <c r="P296" s="84"/>
      <c r="S296" s="84"/>
    </row>
    <row r="297" spans="13:19">
      <c r="M297" s="85"/>
      <c r="P297" s="84"/>
      <c r="S297" s="84"/>
    </row>
    <row r="298" spans="13:19">
      <c r="M298" s="85"/>
      <c r="P298" s="84"/>
      <c r="S298" s="84"/>
    </row>
    <row r="299" spans="13:19">
      <c r="M299" s="85"/>
      <c r="P299" s="84"/>
      <c r="S299" s="84"/>
    </row>
    <row r="300" spans="13:19">
      <c r="M300" s="85"/>
      <c r="P300" s="84"/>
      <c r="S300" s="84"/>
    </row>
    <row r="301" spans="13:19">
      <c r="M301" s="85"/>
      <c r="P301" s="84"/>
      <c r="S301" s="84"/>
    </row>
    <row r="302" spans="13:19">
      <c r="M302" s="85"/>
      <c r="P302" s="84"/>
      <c r="S302" s="84"/>
    </row>
    <row r="303" spans="13:19">
      <c r="M303" s="85"/>
      <c r="P303" s="84"/>
      <c r="S303" s="84"/>
    </row>
    <row r="304" spans="13:19">
      <c r="M304" s="85"/>
      <c r="P304" s="84"/>
      <c r="S304" s="84"/>
    </row>
    <row r="305" spans="13:19">
      <c r="M305" s="85"/>
      <c r="P305" s="84"/>
      <c r="S305" s="84"/>
    </row>
    <row r="306" spans="13:19">
      <c r="M306" s="85"/>
      <c r="P306" s="84"/>
      <c r="S306" s="84"/>
    </row>
    <row r="307" spans="13:19">
      <c r="M307" s="85"/>
      <c r="P307" s="84"/>
      <c r="S307" s="84"/>
    </row>
    <row r="308" spans="13:19">
      <c r="M308" s="85"/>
      <c r="P308" s="84"/>
      <c r="S308" s="84"/>
    </row>
    <row r="309" spans="13:19">
      <c r="M309" s="85"/>
      <c r="P309" s="84"/>
      <c r="S309" s="84"/>
    </row>
    <row r="310" spans="13:19">
      <c r="M310" s="85"/>
      <c r="P310" s="84"/>
      <c r="S310" s="84"/>
    </row>
    <row r="311" spans="13:19">
      <c r="M311" s="85"/>
      <c r="P311" s="84"/>
      <c r="S311" s="84"/>
    </row>
    <row r="312" spans="13:19">
      <c r="M312" s="85"/>
      <c r="P312" s="84"/>
      <c r="S312" s="84"/>
    </row>
    <row r="313" spans="13:19">
      <c r="M313" s="85"/>
      <c r="P313" s="84"/>
      <c r="S313" s="84"/>
    </row>
    <row r="314" spans="13:19">
      <c r="M314" s="85"/>
      <c r="P314" s="84"/>
      <c r="S314" s="84"/>
    </row>
    <row r="315" spans="13:19">
      <c r="M315" s="85"/>
      <c r="P315" s="84"/>
      <c r="S315" s="84"/>
    </row>
    <row r="316" spans="13:19">
      <c r="M316" s="85"/>
      <c r="P316" s="84"/>
      <c r="S316" s="84"/>
    </row>
    <row r="317" spans="13:19">
      <c r="M317" s="85"/>
      <c r="P317" s="84"/>
      <c r="S317" s="84"/>
    </row>
    <row r="318" spans="13:19">
      <c r="M318" s="85"/>
      <c r="P318" s="84"/>
      <c r="S318" s="84"/>
    </row>
    <row r="319" spans="13:19">
      <c r="M319" s="85"/>
      <c r="P319" s="84"/>
      <c r="S319" s="84"/>
    </row>
    <row r="320" spans="13:19">
      <c r="M320" s="85"/>
      <c r="P320" s="84"/>
      <c r="S320" s="84"/>
    </row>
    <row r="321" spans="13:19">
      <c r="M321" s="85"/>
      <c r="P321" s="84"/>
      <c r="S321" s="84"/>
    </row>
    <row r="322" spans="13:19">
      <c r="M322" s="85"/>
      <c r="P322" s="84"/>
      <c r="S322" s="84"/>
    </row>
    <row r="323" spans="13:19">
      <c r="M323" s="85"/>
      <c r="P323" s="84"/>
      <c r="S323" s="84"/>
    </row>
    <row r="324" spans="13:19">
      <c r="M324" s="85"/>
      <c r="P324" s="84"/>
      <c r="S324" s="84"/>
    </row>
    <row r="325" spans="13:19">
      <c r="M325" s="85"/>
      <c r="P325" s="84"/>
      <c r="S325" s="84"/>
    </row>
    <row r="326" spans="13:19">
      <c r="M326" s="85"/>
      <c r="P326" s="84"/>
      <c r="S326" s="84"/>
    </row>
    <row r="327" spans="13:19">
      <c r="M327" s="85"/>
      <c r="P327" s="84"/>
      <c r="S327" s="84"/>
    </row>
    <row r="328" spans="13:19">
      <c r="M328" s="85"/>
      <c r="P328" s="84"/>
      <c r="S328" s="84"/>
    </row>
    <row r="329" spans="13:19">
      <c r="M329" s="85"/>
      <c r="P329" s="84"/>
      <c r="S329" s="84"/>
    </row>
    <row r="330" spans="13:19">
      <c r="M330" s="85"/>
      <c r="P330" s="84"/>
      <c r="S330" s="84"/>
    </row>
    <row r="331" spans="13:19">
      <c r="M331" s="85"/>
      <c r="P331" s="84"/>
      <c r="S331" s="84"/>
    </row>
    <row r="332" spans="13:19">
      <c r="M332" s="85"/>
      <c r="P332" s="84"/>
      <c r="S332" s="84"/>
    </row>
    <row r="333" spans="13:19">
      <c r="M333" s="85"/>
      <c r="P333" s="84"/>
      <c r="S333" s="84"/>
    </row>
    <row r="334" spans="13:19">
      <c r="M334" s="85"/>
      <c r="P334" s="84"/>
      <c r="S334" s="84"/>
    </row>
    <row r="335" spans="13:19">
      <c r="M335" s="85"/>
      <c r="P335" s="84"/>
      <c r="S335" s="84"/>
    </row>
    <row r="336" spans="13:19">
      <c r="M336" s="85"/>
      <c r="P336" s="84"/>
      <c r="S336" s="84"/>
    </row>
    <row r="337" spans="13:19">
      <c r="M337" s="85"/>
      <c r="P337" s="84"/>
      <c r="S337" s="84"/>
    </row>
    <row r="338" spans="13:19">
      <c r="M338" s="85"/>
      <c r="P338" s="84"/>
      <c r="S338" s="84"/>
    </row>
    <row r="339" spans="13:19">
      <c r="M339" s="85"/>
      <c r="P339" s="84"/>
      <c r="S339" s="84"/>
    </row>
    <row r="340" spans="13:19">
      <c r="M340" s="85"/>
      <c r="P340" s="84"/>
      <c r="S340" s="84"/>
    </row>
    <row r="341" spans="13:19">
      <c r="M341" s="85"/>
      <c r="P341" s="84"/>
      <c r="S341" s="84"/>
    </row>
    <row r="342" spans="13:19">
      <c r="M342" s="85"/>
      <c r="P342" s="84"/>
      <c r="S342" s="84"/>
    </row>
    <row r="343" spans="13:19">
      <c r="M343" s="85"/>
      <c r="P343" s="84"/>
      <c r="S343" s="84"/>
    </row>
    <row r="344" spans="13:19">
      <c r="M344" s="85"/>
      <c r="P344" s="84"/>
      <c r="S344" s="84"/>
    </row>
    <row r="345" spans="13:19">
      <c r="M345" s="85"/>
      <c r="P345" s="84"/>
      <c r="S345" s="84"/>
    </row>
    <row r="346" spans="13:19">
      <c r="M346" s="85"/>
      <c r="P346" s="84"/>
      <c r="S346" s="84"/>
    </row>
    <row r="347" spans="13:19">
      <c r="M347" s="85"/>
      <c r="P347" s="84"/>
      <c r="S347" s="84"/>
    </row>
    <row r="348" spans="13:19">
      <c r="M348" s="85"/>
      <c r="P348" s="84"/>
      <c r="S348" s="84"/>
    </row>
    <row r="349" spans="13:19">
      <c r="M349" s="85"/>
      <c r="P349" s="84"/>
      <c r="S349" s="84"/>
    </row>
    <row r="350" spans="13:19">
      <c r="M350" s="85"/>
      <c r="P350" s="84"/>
      <c r="S350" s="84"/>
    </row>
    <row r="351" spans="13:19">
      <c r="M351" s="85"/>
      <c r="P351" s="84"/>
      <c r="S351" s="84"/>
    </row>
    <row r="352" spans="13:19">
      <c r="M352" s="85"/>
      <c r="P352" s="84"/>
      <c r="S352" s="84"/>
    </row>
    <row r="353" spans="13:19">
      <c r="M353" s="85"/>
      <c r="P353" s="84"/>
      <c r="S353" s="84"/>
    </row>
    <row r="354" spans="13:19">
      <c r="M354" s="85"/>
      <c r="P354" s="84"/>
      <c r="S354" s="84"/>
    </row>
    <row r="355" spans="13:19">
      <c r="M355" s="85"/>
      <c r="P355" s="84"/>
      <c r="S355" s="84"/>
    </row>
    <row r="356" spans="13:19">
      <c r="M356" s="85"/>
      <c r="P356" s="84"/>
      <c r="S356" s="84"/>
    </row>
    <row r="357" spans="13:19">
      <c r="M357" s="85"/>
      <c r="P357" s="84"/>
      <c r="S357" s="84"/>
    </row>
    <row r="358" spans="13:19">
      <c r="M358" s="85"/>
      <c r="P358" s="84"/>
      <c r="S358" s="84"/>
    </row>
    <row r="359" spans="13:19">
      <c r="M359" s="85"/>
      <c r="P359" s="84"/>
      <c r="S359" s="84"/>
    </row>
    <row r="360" spans="13:19">
      <c r="M360" s="85"/>
      <c r="P360" s="84"/>
      <c r="S360" s="84"/>
    </row>
    <row r="361" spans="13:19">
      <c r="M361" s="85"/>
      <c r="P361" s="84"/>
      <c r="S361" s="84"/>
    </row>
    <row r="362" spans="13:19">
      <c r="M362" s="85"/>
      <c r="P362" s="84"/>
      <c r="S362" s="84"/>
    </row>
    <row r="363" spans="13:19">
      <c r="M363" s="85"/>
      <c r="P363" s="84"/>
      <c r="S363" s="84"/>
    </row>
    <row r="364" spans="13:19">
      <c r="M364" s="85"/>
      <c r="P364" s="84"/>
      <c r="S364" s="84"/>
    </row>
    <row r="365" spans="13:19">
      <c r="M365" s="85"/>
      <c r="P365" s="84"/>
      <c r="S365" s="84"/>
    </row>
    <row r="366" spans="13:19">
      <c r="M366" s="85"/>
      <c r="P366" s="84"/>
      <c r="S366" s="84"/>
    </row>
    <row r="367" spans="13:19">
      <c r="M367" s="85"/>
      <c r="P367" s="84"/>
      <c r="S367" s="84"/>
    </row>
    <row r="368" spans="13:19">
      <c r="M368" s="85"/>
      <c r="P368" s="84"/>
      <c r="S368" s="84"/>
    </row>
    <row r="369" spans="13:19">
      <c r="M369" s="85"/>
      <c r="P369" s="84"/>
      <c r="S369" s="84"/>
    </row>
    <row r="370" spans="13:19">
      <c r="M370" s="85"/>
      <c r="P370" s="84"/>
      <c r="S370" s="84"/>
    </row>
    <row r="371" spans="13:19">
      <c r="M371" s="85"/>
      <c r="P371" s="84"/>
      <c r="S371" s="84"/>
    </row>
    <row r="372" spans="13:19">
      <c r="M372" s="85"/>
      <c r="P372" s="84"/>
      <c r="S372" s="84"/>
    </row>
    <row r="373" spans="13:19">
      <c r="M373" s="85"/>
      <c r="P373" s="84"/>
      <c r="S373" s="84"/>
    </row>
    <row r="374" spans="13:19">
      <c r="M374" s="85"/>
      <c r="P374" s="84"/>
      <c r="S374" s="84"/>
    </row>
    <row r="375" spans="13:19">
      <c r="M375" s="85"/>
      <c r="P375" s="84"/>
      <c r="S375" s="84"/>
    </row>
    <row r="376" spans="13:19">
      <c r="M376" s="85"/>
      <c r="P376" s="84"/>
      <c r="S376" s="84"/>
    </row>
    <row r="377" spans="13:19">
      <c r="M377" s="85"/>
      <c r="P377" s="84"/>
      <c r="S377" s="84"/>
    </row>
    <row r="378" spans="13:19">
      <c r="M378" s="85"/>
      <c r="P378" s="84"/>
      <c r="S378" s="84"/>
    </row>
    <row r="379" spans="13:19">
      <c r="M379" s="85"/>
      <c r="P379" s="84"/>
      <c r="S379" s="84"/>
    </row>
    <row r="380" spans="13:19">
      <c r="M380" s="85"/>
      <c r="P380" s="84"/>
      <c r="S380" s="84"/>
    </row>
    <row r="381" spans="13:19">
      <c r="M381" s="85"/>
      <c r="P381" s="84"/>
      <c r="S381" s="84"/>
    </row>
    <row r="382" spans="13:19">
      <c r="M382" s="85"/>
      <c r="P382" s="84"/>
      <c r="S382" s="84"/>
    </row>
    <row r="383" spans="13:19">
      <c r="M383" s="85"/>
      <c r="P383" s="84"/>
      <c r="S383" s="84"/>
    </row>
    <row r="384" spans="13:19">
      <c r="M384" s="85"/>
      <c r="P384" s="84"/>
      <c r="S384" s="84"/>
    </row>
    <row r="385" spans="13:19">
      <c r="M385" s="85"/>
      <c r="P385" s="84"/>
      <c r="S385" s="84"/>
    </row>
    <row r="386" spans="13:19">
      <c r="M386" s="85"/>
      <c r="P386" s="84"/>
      <c r="S386" s="84"/>
    </row>
    <row r="387" spans="13:19">
      <c r="M387" s="85"/>
      <c r="P387" s="84"/>
      <c r="S387" s="84"/>
    </row>
    <row r="388" spans="13:19">
      <c r="M388" s="85"/>
      <c r="P388" s="84"/>
      <c r="S388" s="84"/>
    </row>
    <row r="389" spans="13:19">
      <c r="M389" s="85"/>
      <c r="P389" s="84"/>
      <c r="S389" s="84"/>
    </row>
    <row r="390" spans="13:19">
      <c r="M390" s="85"/>
      <c r="P390" s="84"/>
      <c r="S390" s="84"/>
    </row>
    <row r="391" spans="13:19">
      <c r="M391" s="85"/>
      <c r="P391" s="84"/>
      <c r="S391" s="84"/>
    </row>
    <row r="392" spans="13:19">
      <c r="M392" s="85"/>
      <c r="P392" s="84"/>
      <c r="S392" s="84"/>
    </row>
    <row r="393" spans="13:19">
      <c r="M393" s="85"/>
      <c r="P393" s="84"/>
      <c r="S393" s="84"/>
    </row>
    <row r="394" spans="13:19">
      <c r="M394" s="85"/>
      <c r="P394" s="84"/>
      <c r="S394" s="84"/>
    </row>
    <row r="395" spans="13:19">
      <c r="M395" s="85"/>
      <c r="P395" s="84"/>
      <c r="S395" s="84"/>
    </row>
    <row r="396" spans="13:19">
      <c r="M396" s="85"/>
      <c r="P396" s="84"/>
      <c r="S396" s="84"/>
    </row>
    <row r="397" spans="13:19">
      <c r="M397" s="85"/>
      <c r="P397" s="84"/>
      <c r="S397" s="84"/>
    </row>
    <row r="398" spans="13:19">
      <c r="M398" s="85"/>
      <c r="P398" s="84"/>
      <c r="S398" s="84"/>
    </row>
    <row r="399" spans="13:19">
      <c r="M399" s="85"/>
      <c r="P399" s="84"/>
      <c r="S399" s="84"/>
    </row>
    <row r="400" spans="13:19">
      <c r="M400" s="85"/>
      <c r="P400" s="84"/>
      <c r="S400" s="84"/>
    </row>
    <row r="401" spans="13:19">
      <c r="M401" s="85"/>
      <c r="P401" s="84"/>
      <c r="S401" s="84"/>
    </row>
    <row r="402" spans="13:19">
      <c r="M402" s="85"/>
      <c r="P402" s="84"/>
      <c r="S402" s="84"/>
    </row>
    <row r="403" spans="13:19">
      <c r="M403" s="85"/>
      <c r="P403" s="84"/>
      <c r="S403" s="84"/>
    </row>
    <row r="404" spans="13:19">
      <c r="M404" s="85"/>
      <c r="P404" s="84"/>
      <c r="S404" s="84"/>
    </row>
    <row r="405" spans="13:19">
      <c r="M405" s="85"/>
      <c r="P405" s="84"/>
      <c r="S405" s="84"/>
    </row>
    <row r="406" spans="13:19">
      <c r="M406" s="85"/>
      <c r="P406" s="84"/>
      <c r="S406" s="84"/>
    </row>
    <row r="407" spans="13:19">
      <c r="M407" s="85"/>
      <c r="P407" s="84"/>
      <c r="S407" s="84"/>
    </row>
    <row r="408" spans="13:19">
      <c r="M408" s="85"/>
      <c r="P408" s="84"/>
      <c r="S408" s="84"/>
    </row>
    <row r="409" spans="13:19">
      <c r="M409" s="85"/>
      <c r="P409" s="84"/>
      <c r="S409" s="84"/>
    </row>
    <row r="410" spans="13:19">
      <c r="M410" s="85"/>
      <c r="P410" s="84"/>
      <c r="S410" s="84"/>
    </row>
    <row r="411" spans="13:19">
      <c r="M411" s="85"/>
      <c r="P411" s="84"/>
      <c r="S411" s="84"/>
    </row>
    <row r="412" spans="13:19">
      <c r="M412" s="85"/>
      <c r="P412" s="84"/>
      <c r="S412" s="84"/>
    </row>
    <row r="413" spans="13:19">
      <c r="M413" s="85"/>
      <c r="P413" s="84"/>
      <c r="S413" s="84"/>
    </row>
    <row r="414" spans="13:19">
      <c r="M414" s="85"/>
      <c r="P414" s="84"/>
      <c r="S414" s="84"/>
    </row>
    <row r="415" spans="13:19">
      <c r="M415" s="85"/>
      <c r="P415" s="84"/>
      <c r="S415" s="84"/>
    </row>
    <row r="416" spans="13:19">
      <c r="P416" s="84"/>
      <c r="S416" s="84"/>
    </row>
    <row r="417" spans="16:19">
      <c r="P417" s="84"/>
      <c r="S417" s="84"/>
    </row>
    <row r="418" spans="16:19">
      <c r="P418" s="84"/>
      <c r="S418" s="84"/>
    </row>
    <row r="419" spans="16:19">
      <c r="P419" s="84"/>
      <c r="S419" s="84"/>
    </row>
    <row r="420" spans="16:19">
      <c r="P420" s="84"/>
      <c r="S420" s="84"/>
    </row>
    <row r="421" spans="16:19">
      <c r="P421" s="84"/>
      <c r="S421" s="84"/>
    </row>
    <row r="422" spans="16:19">
      <c r="P422" s="84"/>
      <c r="S422" s="84"/>
    </row>
    <row r="423" spans="16:19">
      <c r="P423" s="84"/>
      <c r="S423" s="84"/>
    </row>
    <row r="424" spans="16:19">
      <c r="P424" s="84"/>
      <c r="S424" s="84"/>
    </row>
    <row r="425" spans="16:19">
      <c r="P425" s="84"/>
      <c r="S425" s="84"/>
    </row>
    <row r="426" spans="16:19">
      <c r="P426" s="84"/>
      <c r="S426" s="84"/>
    </row>
    <row r="427" spans="16:19">
      <c r="P427" s="84"/>
      <c r="S427" s="84"/>
    </row>
    <row r="428" spans="16:19">
      <c r="P428" s="84"/>
      <c r="S428" s="84"/>
    </row>
    <row r="429" spans="16:19">
      <c r="P429" s="84"/>
      <c r="S429" s="84"/>
    </row>
    <row r="430" spans="16:19">
      <c r="P430" s="84"/>
      <c r="S430" s="84"/>
    </row>
    <row r="431" spans="16:19">
      <c r="P431" s="84"/>
      <c r="S431" s="84"/>
    </row>
    <row r="432" spans="16:19">
      <c r="P432" s="84"/>
      <c r="S432" s="84"/>
    </row>
    <row r="433" spans="16:19">
      <c r="P433" s="84"/>
      <c r="S433" s="84"/>
    </row>
    <row r="434" spans="16:19">
      <c r="P434" s="84"/>
      <c r="S434" s="84"/>
    </row>
    <row r="435" spans="16:19">
      <c r="P435" s="84"/>
      <c r="S435" s="84"/>
    </row>
    <row r="436" spans="16:19">
      <c r="P436" s="84"/>
      <c r="S436" s="84"/>
    </row>
    <row r="437" spans="16:19">
      <c r="P437" s="84"/>
      <c r="S437" s="84"/>
    </row>
    <row r="438" spans="16:19">
      <c r="P438" s="84"/>
      <c r="S438" s="84"/>
    </row>
    <row r="439" spans="16:19">
      <c r="P439" s="84"/>
      <c r="S439" s="84"/>
    </row>
    <row r="440" spans="16:19">
      <c r="P440" s="84"/>
      <c r="S440" s="84"/>
    </row>
    <row r="441" spans="16:19">
      <c r="P441" s="84"/>
      <c r="S441" s="84"/>
    </row>
    <row r="442" spans="16:19">
      <c r="P442" s="84"/>
      <c r="S442" s="84"/>
    </row>
    <row r="443" spans="16:19">
      <c r="P443" s="84"/>
      <c r="S443" s="84"/>
    </row>
    <row r="444" spans="16:19">
      <c r="P444" s="84"/>
      <c r="S444" s="84"/>
    </row>
    <row r="445" spans="16:19">
      <c r="P445" s="84"/>
      <c r="S445" s="84"/>
    </row>
    <row r="446" spans="16:19">
      <c r="P446" s="84"/>
      <c r="S446" s="84"/>
    </row>
    <row r="447" spans="16:19">
      <c r="P447" s="84"/>
      <c r="S447" s="84"/>
    </row>
    <row r="448" spans="16:19">
      <c r="P448" s="84"/>
      <c r="S448" s="84"/>
    </row>
    <row r="449" spans="16:19">
      <c r="P449" s="84"/>
      <c r="S449" s="84"/>
    </row>
    <row r="450" spans="16:19">
      <c r="P450" s="84"/>
      <c r="S450" s="84"/>
    </row>
    <row r="451" spans="16:19">
      <c r="P451" s="84"/>
      <c r="S451" s="84"/>
    </row>
    <row r="452" spans="16:19">
      <c r="P452" s="84"/>
      <c r="S452" s="84"/>
    </row>
    <row r="453" spans="16:19">
      <c r="P453" s="84"/>
      <c r="S453" s="84"/>
    </row>
    <row r="454" spans="16:19">
      <c r="P454" s="84"/>
      <c r="S454" s="84"/>
    </row>
    <row r="455" spans="16:19">
      <c r="P455" s="84"/>
      <c r="S455" s="84"/>
    </row>
    <row r="456" spans="16:19">
      <c r="P456" s="84"/>
      <c r="S456" s="84"/>
    </row>
    <row r="457" spans="16:19">
      <c r="P457" s="84"/>
      <c r="S457" s="84"/>
    </row>
    <row r="458" spans="16:19">
      <c r="P458" s="84"/>
      <c r="S458" s="84"/>
    </row>
    <row r="459" spans="16:19">
      <c r="P459" s="84"/>
      <c r="S459" s="84"/>
    </row>
    <row r="460" spans="16:19">
      <c r="P460" s="84"/>
      <c r="S460" s="84"/>
    </row>
    <row r="461" spans="16:19">
      <c r="P461" s="84"/>
      <c r="S461" s="84"/>
    </row>
    <row r="462" spans="16:19">
      <c r="P462" s="84"/>
      <c r="S462" s="84"/>
    </row>
    <row r="463" spans="16:19">
      <c r="P463" s="84"/>
      <c r="S463" s="84"/>
    </row>
    <row r="464" spans="16:19">
      <c r="P464" s="84"/>
      <c r="S464" s="84"/>
    </row>
    <row r="465" spans="16:19">
      <c r="P465" s="84"/>
      <c r="S465" s="84"/>
    </row>
    <row r="466" spans="16:19">
      <c r="P466" s="84"/>
      <c r="S466" s="84"/>
    </row>
    <row r="467" spans="16:19">
      <c r="P467" s="84"/>
      <c r="S467" s="84"/>
    </row>
    <row r="468" spans="16:19">
      <c r="P468" s="84"/>
      <c r="S468" s="84"/>
    </row>
    <row r="469" spans="16:19">
      <c r="P469" s="84"/>
      <c r="S469" s="84"/>
    </row>
    <row r="470" spans="16:19">
      <c r="P470" s="84"/>
      <c r="S470" s="84"/>
    </row>
    <row r="471" spans="16:19">
      <c r="P471" s="84"/>
      <c r="S471" s="84"/>
    </row>
    <row r="472" spans="16:19">
      <c r="P472" s="84"/>
      <c r="S472" s="84"/>
    </row>
    <row r="473" spans="16:19">
      <c r="P473" s="84"/>
      <c r="S473" s="84"/>
    </row>
    <row r="474" spans="16:19">
      <c r="P474" s="84"/>
      <c r="S474" s="84"/>
    </row>
    <row r="475" spans="16:19">
      <c r="P475" s="84"/>
      <c r="S475" s="84"/>
    </row>
    <row r="476" spans="16:19">
      <c r="P476" s="84"/>
      <c r="S476" s="84"/>
    </row>
    <row r="477" spans="16:19">
      <c r="P477" s="84"/>
      <c r="S477" s="84"/>
    </row>
    <row r="478" spans="16:19">
      <c r="P478" s="84"/>
      <c r="S478" s="84"/>
    </row>
    <row r="479" spans="16:19">
      <c r="P479" s="84"/>
      <c r="S479" s="84"/>
    </row>
    <row r="480" spans="16:19">
      <c r="P480" s="84"/>
      <c r="S480" s="84"/>
    </row>
    <row r="481" spans="16:19">
      <c r="P481" s="84"/>
      <c r="S481" s="84"/>
    </row>
    <row r="482" spans="16:19">
      <c r="P482" s="84"/>
      <c r="S482" s="84"/>
    </row>
    <row r="483" spans="16:19">
      <c r="P483" s="84"/>
      <c r="S483" s="84"/>
    </row>
    <row r="484" spans="16:19">
      <c r="P484" s="84"/>
      <c r="S484" s="84"/>
    </row>
    <row r="485" spans="16:19">
      <c r="P485" s="84"/>
      <c r="S485" s="84"/>
    </row>
    <row r="486" spans="16:19">
      <c r="P486" s="84"/>
      <c r="S486" s="84"/>
    </row>
    <row r="487" spans="16:19">
      <c r="P487" s="84"/>
      <c r="S487" s="84"/>
    </row>
    <row r="488" spans="16:19">
      <c r="P488" s="84"/>
      <c r="S488" s="84"/>
    </row>
    <row r="489" spans="16:19">
      <c r="P489" s="84"/>
      <c r="S489" s="84"/>
    </row>
    <row r="490" spans="16:19">
      <c r="P490" s="84"/>
      <c r="S490" s="84"/>
    </row>
    <row r="491" spans="16:19">
      <c r="P491" s="84"/>
      <c r="S491" s="84"/>
    </row>
    <row r="492" spans="16:19">
      <c r="P492" s="84"/>
      <c r="S492" s="84"/>
    </row>
    <row r="493" spans="16:19">
      <c r="P493" s="84"/>
      <c r="S493" s="84"/>
    </row>
    <row r="494" spans="16:19">
      <c r="P494" s="84"/>
      <c r="S494" s="84"/>
    </row>
    <row r="495" spans="16:19">
      <c r="P495" s="84"/>
      <c r="S495" s="84"/>
    </row>
    <row r="496" spans="16:19">
      <c r="P496" s="84"/>
      <c r="S496" s="84"/>
    </row>
    <row r="497" spans="16:19">
      <c r="P497" s="84"/>
      <c r="S497" s="84"/>
    </row>
    <row r="498" spans="16:19">
      <c r="P498" s="84"/>
      <c r="S498" s="84"/>
    </row>
    <row r="499" spans="16:19">
      <c r="P499" s="84"/>
      <c r="S499" s="84"/>
    </row>
    <row r="500" spans="16:19">
      <c r="P500" s="84"/>
      <c r="S500" s="84"/>
    </row>
    <row r="501" spans="16:19">
      <c r="P501" s="84"/>
      <c r="S501" s="84"/>
    </row>
    <row r="502" spans="16:19">
      <c r="P502" s="84"/>
      <c r="S502" s="84"/>
    </row>
    <row r="503" spans="16:19">
      <c r="P503" s="84"/>
      <c r="S503" s="84"/>
    </row>
    <row r="504" spans="16:19">
      <c r="P504" s="84"/>
      <c r="S504" s="84"/>
    </row>
    <row r="505" spans="16:19">
      <c r="P505" s="84"/>
      <c r="S505" s="84"/>
    </row>
    <row r="506" spans="16:19">
      <c r="P506" s="84"/>
      <c r="S506" s="84"/>
    </row>
    <row r="507" spans="16:19">
      <c r="P507" s="84"/>
      <c r="S507" s="84"/>
    </row>
    <row r="508" spans="16:19">
      <c r="P508" s="84"/>
      <c r="S508" s="84"/>
    </row>
    <row r="509" spans="16:19">
      <c r="P509" s="84"/>
      <c r="S509" s="84"/>
    </row>
    <row r="510" spans="16:19">
      <c r="P510" s="84"/>
      <c r="S510" s="84"/>
    </row>
    <row r="511" spans="16:19">
      <c r="P511" s="84"/>
      <c r="S511" s="84"/>
    </row>
    <row r="512" spans="16:19">
      <c r="P512" s="84"/>
      <c r="S512" s="84"/>
    </row>
    <row r="513" spans="16:19">
      <c r="P513" s="84"/>
      <c r="S513" s="84"/>
    </row>
    <row r="514" spans="16:19">
      <c r="P514" s="84"/>
      <c r="S514" s="84"/>
    </row>
    <row r="515" spans="16:19">
      <c r="P515" s="84"/>
      <c r="S515" s="84"/>
    </row>
    <row r="516" spans="16:19">
      <c r="P516" s="84"/>
      <c r="S516" s="84"/>
    </row>
    <row r="517" spans="16:19">
      <c r="P517" s="84"/>
      <c r="S517" s="84"/>
    </row>
  </sheetData>
  <mergeCells count="17">
    <mergeCell ref="Q4:Q5"/>
    <mergeCell ref="R4:R5"/>
    <mergeCell ref="S4:S5"/>
    <mergeCell ref="O6:S6"/>
    <mergeCell ref="A109:S109"/>
    <mergeCell ref="A4:I6"/>
    <mergeCell ref="J4:M5"/>
    <mergeCell ref="N4:N6"/>
    <mergeCell ref="O4:O5"/>
    <mergeCell ref="P4:P5"/>
    <mergeCell ref="A7:S7"/>
    <mergeCell ref="A8:S8"/>
    <mergeCell ref="A160:S160"/>
    <mergeCell ref="A161:S161"/>
    <mergeCell ref="A58:S58"/>
    <mergeCell ref="A59:S59"/>
    <mergeCell ref="A110:S110"/>
  </mergeCells>
  <hyperlinks>
    <hyperlink ref="A1:I1" location="Главная!A1" display="Вернуться на главную страницу" xr:uid="{00000000-0004-0000-1800-000000000000}"/>
    <hyperlink ref="A2" location="'Калькулятор теплоотдач ВК'!R1C1" display="Вернуться Калькулятор теплоотдач ВК" xr:uid="{00000000-0004-0000-18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7">
    <tabColor rgb="FFFFC000"/>
  </sheetPr>
  <dimension ref="A1:U466"/>
  <sheetViews>
    <sheetView zoomScale="70" zoomScaleNormal="70" workbookViewId="0">
      <pane ySplit="6" topLeftCell="A7" activePane="bottomLeft" state="frozen"/>
      <selection activeCell="A58" sqref="A58"/>
      <selection pane="bottomLeft" activeCell="X30" sqref="X30"/>
    </sheetView>
  </sheetViews>
  <sheetFormatPr defaultRowHeight="15.75"/>
  <cols>
    <col min="1" max="1" width="3.710937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4.5703125" style="7" customWidth="1"/>
    <col min="10" max="10" width="11.28515625" style="7" customWidth="1"/>
    <col min="11" max="12" width="11.28515625" style="87" customWidth="1"/>
    <col min="13" max="13" width="15.5703125" style="1" customWidth="1"/>
    <col min="14" max="14" width="19.140625" style="7" customWidth="1"/>
    <col min="15" max="15" width="27.7109375" style="112" customWidth="1"/>
    <col min="16" max="16" width="27.7109375" style="106" customWidth="1"/>
    <col min="17" max="17" width="26.28515625" style="107" customWidth="1"/>
    <col min="18" max="18" width="27.7109375" style="112" customWidth="1"/>
    <col min="19" max="19" width="27.7109375" style="107" customWidth="1"/>
    <col min="21" max="21" width="22.42578125" customWidth="1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0"/>
      <c r="O1" s="107"/>
      <c r="P1" s="107"/>
      <c r="R1" s="107"/>
      <c r="U1" s="65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s="65" customFormat="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142</v>
      </c>
      <c r="P4" s="3008" t="s">
        <v>138</v>
      </c>
      <c r="Q4" s="3045" t="s">
        <v>143</v>
      </c>
      <c r="R4" s="3020" t="s">
        <v>420</v>
      </c>
      <c r="S4" s="2981" t="s">
        <v>421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s="65" customFormat="1" ht="22.5" customHeight="1" thickBot="1">
      <c r="A7" s="2968" t="s">
        <v>45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s="65" customFormat="1" ht="16.5" thickBot="1">
      <c r="A8" s="2974" t="s">
        <v>117</v>
      </c>
      <c r="B8" s="2975"/>
      <c r="C8" s="2975"/>
      <c r="D8" s="2975"/>
      <c r="E8" s="2975"/>
      <c r="F8" s="2975"/>
      <c r="G8" s="2975"/>
      <c r="H8" s="2975"/>
      <c r="I8" s="2975"/>
      <c r="J8" s="2975"/>
      <c r="K8" s="2975"/>
      <c r="L8" s="2975"/>
      <c r="M8" s="2975"/>
      <c r="N8" s="2975"/>
      <c r="O8" s="2975"/>
      <c r="P8" s="2975"/>
      <c r="Q8" s="2975"/>
      <c r="R8" s="3022"/>
      <c r="S8" s="3023"/>
    </row>
    <row r="9" spans="1:21" s="65" customFormat="1" ht="16.5" thickBot="1">
      <c r="A9" s="38" t="s">
        <v>31</v>
      </c>
      <c r="B9" s="39">
        <f>J9</f>
        <v>300</v>
      </c>
      <c r="C9" s="39" t="s">
        <v>3</v>
      </c>
      <c r="D9" s="39">
        <f>K9</f>
        <v>260</v>
      </c>
      <c r="E9" s="39" t="s">
        <v>3</v>
      </c>
      <c r="F9" s="90">
        <f>L9</f>
        <v>600</v>
      </c>
      <c r="G9" s="39" t="s">
        <v>3</v>
      </c>
      <c r="H9" s="39">
        <v>4</v>
      </c>
      <c r="I9" s="40" t="s">
        <v>41</v>
      </c>
      <c r="J9" s="146">
        <v>300</v>
      </c>
      <c r="K9" s="122">
        <v>260</v>
      </c>
      <c r="L9" s="122">
        <v>600</v>
      </c>
      <c r="M9" s="163">
        <v>10.016682100560526</v>
      </c>
      <c r="N9" s="123">
        <v>298.55476233792859</v>
      </c>
      <c r="O9" s="124">
        <v>15529.884432635678</v>
      </c>
      <c r="P9" s="160">
        <v>18718.193968716274</v>
      </c>
      <c r="Q9" s="253">
        <v>8214.2785134660462</v>
      </c>
      <c r="R9" s="262">
        <v>23744.162946101722</v>
      </c>
      <c r="S9" s="257">
        <v>26932.472482182318</v>
      </c>
      <c r="U9" s="7" t="s">
        <v>3944</v>
      </c>
    </row>
    <row r="10" spans="1:21" s="65" customFormat="1" ht="16.5" thickBot="1">
      <c r="A10" s="41" t="s">
        <v>31</v>
      </c>
      <c r="B10" s="42">
        <f t="shared" ref="B10:B57" si="0">J10</f>
        <v>300</v>
      </c>
      <c r="C10" s="42" t="s">
        <v>3</v>
      </c>
      <c r="D10" s="42">
        <f t="shared" ref="D10:D57" si="1">K10</f>
        <v>260</v>
      </c>
      <c r="E10" s="42" t="s">
        <v>3</v>
      </c>
      <c r="F10" s="90">
        <f t="shared" ref="F10:F57" si="2">L10</f>
        <v>650</v>
      </c>
      <c r="G10" s="42" t="s">
        <v>3</v>
      </c>
      <c r="H10" s="39">
        <v>4</v>
      </c>
      <c r="I10" s="40" t="s">
        <v>41</v>
      </c>
      <c r="J10" s="149">
        <v>300</v>
      </c>
      <c r="K10" s="66">
        <v>260</v>
      </c>
      <c r="L10" s="66">
        <v>650</v>
      </c>
      <c r="M10" s="164">
        <v>10.699436170425791</v>
      </c>
      <c r="N10" s="78">
        <v>358.26571480551439</v>
      </c>
      <c r="O10" s="113">
        <v>16329.493549770896</v>
      </c>
      <c r="P10" s="161">
        <v>19718.573459549749</v>
      </c>
      <c r="Q10" s="254">
        <v>8684.7340809460093</v>
      </c>
      <c r="R10" s="263">
        <v>25014.227630716905</v>
      </c>
      <c r="S10" s="259">
        <v>28403.307540495756</v>
      </c>
      <c r="U10" s="7" t="s">
        <v>3945</v>
      </c>
    </row>
    <row r="11" spans="1:21" s="65" customFormat="1" ht="16.5" thickBot="1">
      <c r="A11" s="41" t="s">
        <v>31</v>
      </c>
      <c r="B11" s="42">
        <f t="shared" si="0"/>
        <v>300</v>
      </c>
      <c r="C11" s="42" t="s">
        <v>3</v>
      </c>
      <c r="D11" s="42">
        <f t="shared" si="1"/>
        <v>260</v>
      </c>
      <c r="E11" s="42" t="s">
        <v>3</v>
      </c>
      <c r="F11" s="90">
        <f t="shared" si="2"/>
        <v>700</v>
      </c>
      <c r="G11" s="42" t="s">
        <v>3</v>
      </c>
      <c r="H11" s="39">
        <v>4</v>
      </c>
      <c r="I11" s="40" t="s">
        <v>41</v>
      </c>
      <c r="J11" s="149">
        <v>300</v>
      </c>
      <c r="K11" s="66">
        <v>260</v>
      </c>
      <c r="L11" s="66">
        <v>700</v>
      </c>
      <c r="M11" s="164">
        <v>11.399230240291054</v>
      </c>
      <c r="N11" s="78">
        <v>417.97666727310008</v>
      </c>
      <c r="O11" s="113">
        <v>17129.102666906114</v>
      </c>
      <c r="P11" s="161">
        <v>20718.952950383071</v>
      </c>
      <c r="Q11" s="254">
        <v>9406.5237862097401</v>
      </c>
      <c r="R11" s="263">
        <v>26535.626453115852</v>
      </c>
      <c r="S11" s="259">
        <v>30125.476736592813</v>
      </c>
      <c r="U11" s="7" t="s">
        <v>3946</v>
      </c>
    </row>
    <row r="12" spans="1:21" s="65" customFormat="1" ht="16.5" thickBot="1">
      <c r="A12" s="41" t="s">
        <v>31</v>
      </c>
      <c r="B12" s="42">
        <f t="shared" si="0"/>
        <v>300</v>
      </c>
      <c r="C12" s="42" t="s">
        <v>3</v>
      </c>
      <c r="D12" s="42">
        <f t="shared" si="1"/>
        <v>260</v>
      </c>
      <c r="E12" s="42" t="s">
        <v>3</v>
      </c>
      <c r="F12" s="90">
        <f t="shared" si="2"/>
        <v>750</v>
      </c>
      <c r="G12" s="42" t="s">
        <v>3</v>
      </c>
      <c r="H12" s="39">
        <v>4</v>
      </c>
      <c r="I12" s="40" t="s">
        <v>41</v>
      </c>
      <c r="J12" s="149">
        <v>300</v>
      </c>
      <c r="K12" s="66">
        <v>260</v>
      </c>
      <c r="L12" s="66">
        <v>750</v>
      </c>
      <c r="M12" s="164">
        <v>12.081984310156315</v>
      </c>
      <c r="N12" s="78">
        <v>477.68761974068588</v>
      </c>
      <c r="O12" s="113">
        <v>17928.711784041334</v>
      </c>
      <c r="P12" s="161">
        <v>21719.332441216393</v>
      </c>
      <c r="Q12" s="254">
        <v>9876.9793536897032</v>
      </c>
      <c r="R12" s="263">
        <v>27805.691137731039</v>
      </c>
      <c r="S12" s="259">
        <v>31596.311794906098</v>
      </c>
      <c r="U12" s="7" t="s">
        <v>3947</v>
      </c>
    </row>
    <row r="13" spans="1:21" s="65" customFormat="1" ht="16.5" thickBot="1">
      <c r="A13" s="41" t="s">
        <v>31</v>
      </c>
      <c r="B13" s="42">
        <f t="shared" si="0"/>
        <v>300</v>
      </c>
      <c r="C13" s="42" t="s">
        <v>3</v>
      </c>
      <c r="D13" s="42">
        <f t="shared" si="1"/>
        <v>260</v>
      </c>
      <c r="E13" s="42" t="s">
        <v>3</v>
      </c>
      <c r="F13" s="90">
        <f t="shared" si="2"/>
        <v>800</v>
      </c>
      <c r="G13" s="42" t="s">
        <v>3</v>
      </c>
      <c r="H13" s="39">
        <v>4</v>
      </c>
      <c r="I13" s="40" t="s">
        <v>41</v>
      </c>
      <c r="J13" s="149">
        <v>300</v>
      </c>
      <c r="K13" s="66">
        <v>260</v>
      </c>
      <c r="L13" s="66">
        <v>800</v>
      </c>
      <c r="M13" s="164">
        <v>12.76473838002158</v>
      </c>
      <c r="N13" s="78">
        <v>537.3985722082715</v>
      </c>
      <c r="O13" s="113">
        <v>18728.320901176547</v>
      </c>
      <c r="P13" s="161">
        <v>22719.711932049719</v>
      </c>
      <c r="Q13" s="254">
        <v>10347.434921169664</v>
      </c>
      <c r="R13" s="263">
        <v>29075.755822346211</v>
      </c>
      <c r="S13" s="259">
        <v>33067.146853219383</v>
      </c>
      <c r="U13" s="7" t="s">
        <v>3948</v>
      </c>
    </row>
    <row r="14" spans="1:21" s="65" customFormat="1" ht="16.5" thickBot="1">
      <c r="A14" s="41" t="s">
        <v>31</v>
      </c>
      <c r="B14" s="42">
        <f t="shared" si="0"/>
        <v>300</v>
      </c>
      <c r="C14" s="42" t="s">
        <v>3</v>
      </c>
      <c r="D14" s="42">
        <f t="shared" si="1"/>
        <v>260</v>
      </c>
      <c r="E14" s="42" t="s">
        <v>3</v>
      </c>
      <c r="F14" s="90">
        <f t="shared" si="2"/>
        <v>850</v>
      </c>
      <c r="G14" s="42" t="s">
        <v>3</v>
      </c>
      <c r="H14" s="39">
        <v>4</v>
      </c>
      <c r="I14" s="40" t="s">
        <v>41</v>
      </c>
      <c r="J14" s="149">
        <v>300</v>
      </c>
      <c r="K14" s="66">
        <v>260</v>
      </c>
      <c r="L14" s="66">
        <v>850</v>
      </c>
      <c r="M14" s="164">
        <v>13.464532449886846</v>
      </c>
      <c r="N14" s="78">
        <v>597.10952467585719</v>
      </c>
      <c r="O14" s="113">
        <v>19527.930018311767</v>
      </c>
      <c r="P14" s="161">
        <v>23720.091422883193</v>
      </c>
      <c r="Q14" s="254">
        <v>11069.224626433395</v>
      </c>
      <c r="R14" s="263">
        <v>30597.154644745162</v>
      </c>
      <c r="S14" s="259">
        <v>34789.316049316592</v>
      </c>
      <c r="U14" s="7" t="s">
        <v>3949</v>
      </c>
    </row>
    <row r="15" spans="1:21" s="65" customFormat="1" ht="16.5" thickBot="1">
      <c r="A15" s="41" t="s">
        <v>31</v>
      </c>
      <c r="B15" s="42">
        <f t="shared" si="0"/>
        <v>300</v>
      </c>
      <c r="C15" s="42" t="s">
        <v>3</v>
      </c>
      <c r="D15" s="42">
        <f t="shared" si="1"/>
        <v>260</v>
      </c>
      <c r="E15" s="42" t="s">
        <v>3</v>
      </c>
      <c r="F15" s="90">
        <f t="shared" si="2"/>
        <v>900</v>
      </c>
      <c r="G15" s="42" t="s">
        <v>3</v>
      </c>
      <c r="H15" s="39">
        <v>4</v>
      </c>
      <c r="I15" s="40" t="s">
        <v>41</v>
      </c>
      <c r="J15" s="149">
        <v>300</v>
      </c>
      <c r="K15" s="66">
        <v>260</v>
      </c>
      <c r="L15" s="66">
        <v>900</v>
      </c>
      <c r="M15" s="164">
        <v>14.147286519752106</v>
      </c>
      <c r="N15" s="78">
        <v>656.8204771434431</v>
      </c>
      <c r="O15" s="113">
        <v>20327.539135446983</v>
      </c>
      <c r="P15" s="161">
        <v>24720.470913716515</v>
      </c>
      <c r="Q15" s="254">
        <v>11539.680193913358</v>
      </c>
      <c r="R15" s="263">
        <v>31867.219329360341</v>
      </c>
      <c r="S15" s="259">
        <v>36260.151107629878</v>
      </c>
      <c r="U15" s="7" t="s">
        <v>3950</v>
      </c>
    </row>
    <row r="16" spans="1:21" s="65" customFormat="1" ht="16.5" thickBot="1">
      <c r="A16" s="41" t="s">
        <v>31</v>
      </c>
      <c r="B16" s="42">
        <f t="shared" si="0"/>
        <v>300</v>
      </c>
      <c r="C16" s="42" t="s">
        <v>3</v>
      </c>
      <c r="D16" s="42">
        <f t="shared" si="1"/>
        <v>260</v>
      </c>
      <c r="E16" s="42" t="s">
        <v>3</v>
      </c>
      <c r="F16" s="90">
        <f t="shared" si="2"/>
        <v>950</v>
      </c>
      <c r="G16" s="42" t="s">
        <v>3</v>
      </c>
      <c r="H16" s="39">
        <v>4</v>
      </c>
      <c r="I16" s="40" t="s">
        <v>41</v>
      </c>
      <c r="J16" s="149">
        <v>300</v>
      </c>
      <c r="K16" s="66">
        <v>260</v>
      </c>
      <c r="L16" s="66">
        <v>950</v>
      </c>
      <c r="M16" s="164">
        <v>14.847080589617367</v>
      </c>
      <c r="N16" s="78">
        <v>716.53142961102878</v>
      </c>
      <c r="O16" s="113">
        <v>21127.148252582203</v>
      </c>
      <c r="P16" s="161">
        <v>25720.850404549838</v>
      </c>
      <c r="Q16" s="254">
        <v>12261.469899177091</v>
      </c>
      <c r="R16" s="263">
        <v>33388.618151759292</v>
      </c>
      <c r="S16" s="259">
        <v>37982.320303726927</v>
      </c>
      <c r="U16" s="7" t="s">
        <v>3951</v>
      </c>
    </row>
    <row r="17" spans="1:21" s="65" customFormat="1" ht="16.5" thickBot="1">
      <c r="A17" s="41" t="s">
        <v>31</v>
      </c>
      <c r="B17" s="42">
        <f t="shared" si="0"/>
        <v>300</v>
      </c>
      <c r="C17" s="42" t="s">
        <v>3</v>
      </c>
      <c r="D17" s="42">
        <f t="shared" si="1"/>
        <v>260</v>
      </c>
      <c r="E17" s="42" t="s">
        <v>3</v>
      </c>
      <c r="F17" s="90">
        <f t="shared" si="2"/>
        <v>1000</v>
      </c>
      <c r="G17" s="42" t="s">
        <v>3</v>
      </c>
      <c r="H17" s="39">
        <v>4</v>
      </c>
      <c r="I17" s="40" t="s">
        <v>41</v>
      </c>
      <c r="J17" s="149">
        <v>300</v>
      </c>
      <c r="K17" s="66">
        <v>260</v>
      </c>
      <c r="L17" s="66">
        <v>1000</v>
      </c>
      <c r="M17" s="164">
        <v>15.529834659482633</v>
      </c>
      <c r="N17" s="78">
        <v>776.24238207861447</v>
      </c>
      <c r="O17" s="113">
        <v>21926.757369717419</v>
      </c>
      <c r="P17" s="161">
        <v>26721.22989538316</v>
      </c>
      <c r="Q17" s="254">
        <v>12731.925466657052</v>
      </c>
      <c r="R17" s="263">
        <v>34658.682836374472</v>
      </c>
      <c r="S17" s="259">
        <v>39453.155362040212</v>
      </c>
      <c r="U17" s="7" t="s">
        <v>3952</v>
      </c>
    </row>
    <row r="18" spans="1:21" s="65" customFormat="1" ht="16.5" thickBot="1">
      <c r="A18" s="41" t="s">
        <v>31</v>
      </c>
      <c r="B18" s="42">
        <f t="shared" si="0"/>
        <v>300</v>
      </c>
      <c r="C18" s="42" t="s">
        <v>3</v>
      </c>
      <c r="D18" s="42">
        <f t="shared" si="1"/>
        <v>260</v>
      </c>
      <c r="E18" s="42" t="s">
        <v>3</v>
      </c>
      <c r="F18" s="90">
        <f t="shared" si="2"/>
        <v>1050</v>
      </c>
      <c r="G18" s="42" t="s">
        <v>3</v>
      </c>
      <c r="H18" s="39">
        <v>4</v>
      </c>
      <c r="I18" s="40" t="s">
        <v>41</v>
      </c>
      <c r="J18" s="149">
        <v>300</v>
      </c>
      <c r="K18" s="66">
        <v>260</v>
      </c>
      <c r="L18" s="66">
        <v>1050</v>
      </c>
      <c r="M18" s="164">
        <v>16.229628729347894</v>
      </c>
      <c r="N18" s="78">
        <v>835.95333454620015</v>
      </c>
      <c r="O18" s="113">
        <v>22726.366486852636</v>
      </c>
      <c r="P18" s="161">
        <v>27721.609386216634</v>
      </c>
      <c r="Q18" s="254">
        <v>13453.71501889202</v>
      </c>
      <c r="R18" s="263">
        <v>36180.08150574466</v>
      </c>
      <c r="S18" s="259">
        <v>41175.324405108651</v>
      </c>
      <c r="U18" s="7" t="s">
        <v>3953</v>
      </c>
    </row>
    <row r="19" spans="1:21" s="65" customFormat="1" ht="16.5" thickBot="1">
      <c r="A19" s="38" t="s">
        <v>31</v>
      </c>
      <c r="B19" s="39">
        <f t="shared" si="0"/>
        <v>300</v>
      </c>
      <c r="C19" s="39" t="s">
        <v>3</v>
      </c>
      <c r="D19" s="39">
        <f t="shared" si="1"/>
        <v>260</v>
      </c>
      <c r="E19" s="39" t="s">
        <v>3</v>
      </c>
      <c r="F19" s="90">
        <f t="shared" si="2"/>
        <v>1100</v>
      </c>
      <c r="G19" s="39" t="s">
        <v>3</v>
      </c>
      <c r="H19" s="39">
        <v>4</v>
      </c>
      <c r="I19" s="40" t="s">
        <v>41</v>
      </c>
      <c r="J19" s="149">
        <v>300</v>
      </c>
      <c r="K19" s="66">
        <v>260</v>
      </c>
      <c r="L19" s="66">
        <v>1100</v>
      </c>
      <c r="M19" s="164">
        <v>16.912382799213155</v>
      </c>
      <c r="N19" s="78">
        <v>895.66428701378595</v>
      </c>
      <c r="O19" s="113">
        <v>23525.975603987856</v>
      </c>
      <c r="P19" s="161">
        <v>28721.98887704996</v>
      </c>
      <c r="Q19" s="254">
        <v>13924.170586371982</v>
      </c>
      <c r="R19" s="263">
        <v>37450.146190359839</v>
      </c>
      <c r="S19" s="259">
        <v>42646.159463421944</v>
      </c>
      <c r="U19" s="7" t="s">
        <v>3954</v>
      </c>
    </row>
    <row r="20" spans="1:21" s="65" customFormat="1" ht="16.5" thickBot="1">
      <c r="A20" s="41" t="s">
        <v>31</v>
      </c>
      <c r="B20" s="42">
        <f t="shared" si="0"/>
        <v>300</v>
      </c>
      <c r="C20" s="42" t="s">
        <v>3</v>
      </c>
      <c r="D20" s="42">
        <f t="shared" si="1"/>
        <v>260</v>
      </c>
      <c r="E20" s="42" t="s">
        <v>3</v>
      </c>
      <c r="F20" s="90">
        <f t="shared" si="2"/>
        <v>1150</v>
      </c>
      <c r="G20" s="42" t="s">
        <v>3</v>
      </c>
      <c r="H20" s="39">
        <v>4</v>
      </c>
      <c r="I20" s="40" t="s">
        <v>41</v>
      </c>
      <c r="J20" s="149">
        <v>300</v>
      </c>
      <c r="K20" s="66">
        <v>260</v>
      </c>
      <c r="L20" s="66">
        <v>1150</v>
      </c>
      <c r="M20" s="164">
        <v>17.595136869078424</v>
      </c>
      <c r="N20" s="78">
        <v>955.37523948137175</v>
      </c>
      <c r="O20" s="113">
        <v>24325.584721123072</v>
      </c>
      <c r="P20" s="161">
        <v>29722.368367883282</v>
      </c>
      <c r="Q20" s="254">
        <v>14394.626153851941</v>
      </c>
      <c r="R20" s="263">
        <v>38720.210874975011</v>
      </c>
      <c r="S20" s="259">
        <v>44116.994521735221</v>
      </c>
      <c r="U20" s="7" t="s">
        <v>3955</v>
      </c>
    </row>
    <row r="21" spans="1:21" s="65" customFormat="1" ht="16.5" thickBot="1">
      <c r="A21" s="41" t="s">
        <v>31</v>
      </c>
      <c r="B21" s="42">
        <f t="shared" si="0"/>
        <v>300</v>
      </c>
      <c r="C21" s="42" t="s">
        <v>3</v>
      </c>
      <c r="D21" s="42">
        <f t="shared" si="1"/>
        <v>260</v>
      </c>
      <c r="E21" s="42" t="s">
        <v>3</v>
      </c>
      <c r="F21" s="90">
        <f t="shared" si="2"/>
        <v>1200</v>
      </c>
      <c r="G21" s="42" t="s">
        <v>3</v>
      </c>
      <c r="H21" s="39">
        <v>4</v>
      </c>
      <c r="I21" s="40" t="s">
        <v>41</v>
      </c>
      <c r="J21" s="149">
        <v>300</v>
      </c>
      <c r="K21" s="66">
        <v>260</v>
      </c>
      <c r="L21" s="66">
        <v>1200</v>
      </c>
      <c r="M21" s="164">
        <v>18.373430938943685</v>
      </c>
      <c r="N21" s="78">
        <v>1015.0861919489573</v>
      </c>
      <c r="O21" s="113">
        <v>25209.292173391619</v>
      </c>
      <c r="P21" s="161">
        <v>30807.359564151484</v>
      </c>
      <c r="Q21" s="254">
        <v>15116.415859115676</v>
      </c>
      <c r="R21" s="263">
        <v>40325.708032507297</v>
      </c>
      <c r="S21" s="259">
        <v>45923.775423267158</v>
      </c>
      <c r="U21" s="7" t="s">
        <v>3956</v>
      </c>
    </row>
    <row r="22" spans="1:21" s="65" customFormat="1" ht="16.5" thickBot="1">
      <c r="A22" s="41" t="s">
        <v>31</v>
      </c>
      <c r="B22" s="42">
        <f t="shared" si="0"/>
        <v>300</v>
      </c>
      <c r="C22" s="42" t="s">
        <v>3</v>
      </c>
      <c r="D22" s="42">
        <f t="shared" si="1"/>
        <v>260</v>
      </c>
      <c r="E22" s="42" t="s">
        <v>3</v>
      </c>
      <c r="F22" s="90">
        <f t="shared" si="2"/>
        <v>1250</v>
      </c>
      <c r="G22" s="42" t="s">
        <v>3</v>
      </c>
      <c r="H22" s="39">
        <v>4</v>
      </c>
      <c r="I22" s="40" t="s">
        <v>41</v>
      </c>
      <c r="J22" s="149">
        <v>300</v>
      </c>
      <c r="K22" s="66">
        <v>260</v>
      </c>
      <c r="L22" s="66">
        <v>1250</v>
      </c>
      <c r="M22" s="164">
        <v>19.056185008808946</v>
      </c>
      <c r="N22" s="78">
        <v>1074.797144416543</v>
      </c>
      <c r="O22" s="113">
        <v>26008.901290526839</v>
      </c>
      <c r="P22" s="161">
        <v>31807.739054984806</v>
      </c>
      <c r="Q22" s="254">
        <v>15586.871426595639</v>
      </c>
      <c r="R22" s="263">
        <v>41595.772717122476</v>
      </c>
      <c r="S22" s="259">
        <v>47394.610481580443</v>
      </c>
      <c r="U22" s="7" t="s">
        <v>3957</v>
      </c>
    </row>
    <row r="23" spans="1:21" s="65" customFormat="1" ht="16.5" thickBot="1">
      <c r="A23" s="41" t="s">
        <v>31</v>
      </c>
      <c r="B23" s="42">
        <f t="shared" si="0"/>
        <v>300</v>
      </c>
      <c r="C23" s="42" t="s">
        <v>3</v>
      </c>
      <c r="D23" s="42">
        <f t="shared" si="1"/>
        <v>260</v>
      </c>
      <c r="E23" s="42" t="s">
        <v>3</v>
      </c>
      <c r="F23" s="90">
        <f t="shared" si="2"/>
        <v>1300</v>
      </c>
      <c r="G23" s="42" t="s">
        <v>3</v>
      </c>
      <c r="H23" s="39">
        <v>4</v>
      </c>
      <c r="I23" s="40" t="s">
        <v>41</v>
      </c>
      <c r="J23" s="149">
        <v>300</v>
      </c>
      <c r="K23" s="66">
        <v>260</v>
      </c>
      <c r="L23" s="66">
        <v>1300</v>
      </c>
      <c r="M23" s="164">
        <v>19.755979078674208</v>
      </c>
      <c r="N23" s="78">
        <v>1134.5080968841287</v>
      </c>
      <c r="O23" s="113">
        <v>26808.510407662056</v>
      </c>
      <c r="P23" s="161">
        <v>32808.118545818288</v>
      </c>
      <c r="Q23" s="254">
        <v>16308.66113185937</v>
      </c>
      <c r="R23" s="263">
        <v>43117.171539521427</v>
      </c>
      <c r="S23" s="259">
        <v>49116.779677677659</v>
      </c>
      <c r="U23" s="7" t="s">
        <v>3958</v>
      </c>
    </row>
    <row r="24" spans="1:21" s="65" customFormat="1" ht="16.5" thickBot="1">
      <c r="A24" s="41" t="s">
        <v>31</v>
      </c>
      <c r="B24" s="42">
        <f t="shared" si="0"/>
        <v>300</v>
      </c>
      <c r="C24" s="42" t="s">
        <v>3</v>
      </c>
      <c r="D24" s="42">
        <f t="shared" si="1"/>
        <v>260</v>
      </c>
      <c r="E24" s="42" t="s">
        <v>3</v>
      </c>
      <c r="F24" s="90">
        <f t="shared" si="2"/>
        <v>1350</v>
      </c>
      <c r="G24" s="42" t="s">
        <v>3</v>
      </c>
      <c r="H24" s="39">
        <v>4</v>
      </c>
      <c r="I24" s="40" t="s">
        <v>41</v>
      </c>
      <c r="J24" s="149">
        <v>300</v>
      </c>
      <c r="K24" s="66">
        <v>260</v>
      </c>
      <c r="L24" s="66">
        <v>1350</v>
      </c>
      <c r="M24" s="164">
        <v>20.438733148539477</v>
      </c>
      <c r="N24" s="78">
        <v>1194.2190493517144</v>
      </c>
      <c r="O24" s="113">
        <v>27608.119524797276</v>
      </c>
      <c r="P24" s="161">
        <v>33808.498036651603</v>
      </c>
      <c r="Q24" s="254">
        <v>16779.116699339331</v>
      </c>
      <c r="R24" s="263">
        <v>44387.236224136606</v>
      </c>
      <c r="S24" s="259">
        <v>50587.614735990937</v>
      </c>
      <c r="U24" s="7" t="s">
        <v>3959</v>
      </c>
    </row>
    <row r="25" spans="1:21" s="65" customFormat="1" ht="16.5" thickBot="1">
      <c r="A25" s="41" t="s">
        <v>31</v>
      </c>
      <c r="B25" s="42">
        <f t="shared" si="0"/>
        <v>300</v>
      </c>
      <c r="C25" s="42" t="s">
        <v>3</v>
      </c>
      <c r="D25" s="42">
        <f t="shared" si="1"/>
        <v>260</v>
      </c>
      <c r="E25" s="42" t="s">
        <v>3</v>
      </c>
      <c r="F25" s="90">
        <f t="shared" si="2"/>
        <v>1400</v>
      </c>
      <c r="G25" s="42" t="s">
        <v>3</v>
      </c>
      <c r="H25" s="39">
        <v>4</v>
      </c>
      <c r="I25" s="40" t="s">
        <v>41</v>
      </c>
      <c r="J25" s="149">
        <v>300</v>
      </c>
      <c r="K25" s="66">
        <v>260</v>
      </c>
      <c r="L25" s="66">
        <v>1400</v>
      </c>
      <c r="M25" s="164">
        <v>21.138527218404736</v>
      </c>
      <c r="N25" s="78">
        <v>1253.9300018193001</v>
      </c>
      <c r="O25" s="113">
        <v>28407.728641932492</v>
      </c>
      <c r="P25" s="161">
        <v>34808.877527484925</v>
      </c>
      <c r="Q25" s="254">
        <v>17500.906404603062</v>
      </c>
      <c r="R25" s="263">
        <v>45908.63504653555</v>
      </c>
      <c r="S25" s="259">
        <v>52309.783932087987</v>
      </c>
      <c r="U25" s="7" t="s">
        <v>3960</v>
      </c>
    </row>
    <row r="26" spans="1:21" s="65" customFormat="1" ht="16.5" thickBot="1">
      <c r="A26" s="41" t="s">
        <v>31</v>
      </c>
      <c r="B26" s="42">
        <f t="shared" si="0"/>
        <v>300</v>
      </c>
      <c r="C26" s="42" t="s">
        <v>3</v>
      </c>
      <c r="D26" s="42">
        <f t="shared" si="1"/>
        <v>260</v>
      </c>
      <c r="E26" s="42" t="s">
        <v>3</v>
      </c>
      <c r="F26" s="90">
        <f t="shared" si="2"/>
        <v>1450</v>
      </c>
      <c r="G26" s="42" t="s">
        <v>3</v>
      </c>
      <c r="H26" s="39">
        <v>4</v>
      </c>
      <c r="I26" s="40" t="s">
        <v>41</v>
      </c>
      <c r="J26" s="149">
        <v>300</v>
      </c>
      <c r="K26" s="66">
        <v>260</v>
      </c>
      <c r="L26" s="66">
        <v>1450</v>
      </c>
      <c r="M26" s="164">
        <v>21.821281288270001</v>
      </c>
      <c r="N26" s="78">
        <v>1313.6409542868862</v>
      </c>
      <c r="O26" s="113">
        <v>29207.337759067712</v>
      </c>
      <c r="P26" s="161">
        <v>35809.257018318407</v>
      </c>
      <c r="Q26" s="254">
        <v>17971.361972083025</v>
      </c>
      <c r="R26" s="263">
        <v>47178.699731150737</v>
      </c>
      <c r="S26" s="259">
        <v>53780.618990401432</v>
      </c>
      <c r="U26" s="7" t="s">
        <v>3961</v>
      </c>
    </row>
    <row r="27" spans="1:21" s="65" customFormat="1" ht="16.5" thickBot="1">
      <c r="A27" s="41" t="s">
        <v>31</v>
      </c>
      <c r="B27" s="42">
        <f t="shared" si="0"/>
        <v>300</v>
      </c>
      <c r="C27" s="42" t="s">
        <v>3</v>
      </c>
      <c r="D27" s="42">
        <f t="shared" si="1"/>
        <v>260</v>
      </c>
      <c r="E27" s="42" t="s">
        <v>3</v>
      </c>
      <c r="F27" s="90">
        <f t="shared" si="2"/>
        <v>1500</v>
      </c>
      <c r="G27" s="42" t="s">
        <v>3</v>
      </c>
      <c r="H27" s="39">
        <v>4</v>
      </c>
      <c r="I27" s="40" t="s">
        <v>41</v>
      </c>
      <c r="J27" s="149">
        <v>300</v>
      </c>
      <c r="K27" s="66">
        <v>260</v>
      </c>
      <c r="L27" s="66">
        <v>1500</v>
      </c>
      <c r="M27" s="164">
        <v>22.686986210095263</v>
      </c>
      <c r="N27" s="78">
        <v>1373.3519067544714</v>
      </c>
      <c r="O27" s="113">
        <v>30673.304665817901</v>
      </c>
      <c r="P27" s="161">
        <v>37435.622924235184</v>
      </c>
      <c r="Q27" s="254">
        <v>18693.151677346756</v>
      </c>
      <c r="R27" s="263">
        <v>49366.456343164653</v>
      </c>
      <c r="S27" s="259">
        <v>56128.774601581943</v>
      </c>
      <c r="U27" s="7" t="s">
        <v>3962</v>
      </c>
    </row>
    <row r="28" spans="1:21" s="65" customFormat="1" ht="16.5" thickBot="1">
      <c r="A28" s="41" t="s">
        <v>31</v>
      </c>
      <c r="B28" s="42">
        <f t="shared" si="0"/>
        <v>300</v>
      </c>
      <c r="C28" s="42" t="s">
        <v>3</v>
      </c>
      <c r="D28" s="42">
        <f t="shared" si="1"/>
        <v>260</v>
      </c>
      <c r="E28" s="42" t="s">
        <v>3</v>
      </c>
      <c r="F28" s="90">
        <f t="shared" si="2"/>
        <v>1550</v>
      </c>
      <c r="G28" s="42" t="s">
        <v>3</v>
      </c>
      <c r="H28" s="39">
        <v>4</v>
      </c>
      <c r="I28" s="40" t="s">
        <v>41</v>
      </c>
      <c r="J28" s="149">
        <v>300</v>
      </c>
      <c r="K28" s="66">
        <v>260</v>
      </c>
      <c r="L28" s="66">
        <v>1550</v>
      </c>
      <c r="M28" s="164">
        <v>23.369740279960524</v>
      </c>
      <c r="N28" s="78">
        <v>1433.0628592220576</v>
      </c>
      <c r="O28" s="113">
        <v>31472.913782953117</v>
      </c>
      <c r="P28" s="161">
        <v>38436.002415068506</v>
      </c>
      <c r="Q28" s="254">
        <v>19163.607244826719</v>
      </c>
      <c r="R28" s="263">
        <v>50636.521027779832</v>
      </c>
      <c r="S28" s="259">
        <v>57599.609659895228</v>
      </c>
      <c r="U28" s="7" t="s">
        <v>3963</v>
      </c>
    </row>
    <row r="29" spans="1:21" s="65" customFormat="1" ht="16.5" thickBot="1">
      <c r="A29" s="38" t="s">
        <v>31</v>
      </c>
      <c r="B29" s="39">
        <f t="shared" si="0"/>
        <v>300</v>
      </c>
      <c r="C29" s="39" t="s">
        <v>3</v>
      </c>
      <c r="D29" s="39">
        <f t="shared" si="1"/>
        <v>260</v>
      </c>
      <c r="E29" s="39" t="s">
        <v>3</v>
      </c>
      <c r="F29" s="90">
        <f t="shared" si="2"/>
        <v>1600</v>
      </c>
      <c r="G29" s="39" t="s">
        <v>3</v>
      </c>
      <c r="H29" s="39">
        <v>4</v>
      </c>
      <c r="I29" s="40" t="s">
        <v>41</v>
      </c>
      <c r="J29" s="149">
        <v>300</v>
      </c>
      <c r="K29" s="66">
        <v>260</v>
      </c>
      <c r="L29" s="66">
        <v>1600</v>
      </c>
      <c r="M29" s="164">
        <v>24.052494349825789</v>
      </c>
      <c r="N29" s="78">
        <v>1492.7738116896433</v>
      </c>
      <c r="O29" s="113">
        <v>32272.522900088337</v>
      </c>
      <c r="P29" s="161">
        <v>39436.381905901828</v>
      </c>
      <c r="Q29" s="254">
        <v>19634.062812306682</v>
      </c>
      <c r="R29" s="263">
        <v>51906.585712395019</v>
      </c>
      <c r="S29" s="259">
        <v>59070.444718208513</v>
      </c>
      <c r="U29" s="7" t="s">
        <v>3964</v>
      </c>
    </row>
    <row r="30" spans="1:21" s="65" customFormat="1" ht="16.5" thickBot="1">
      <c r="A30" s="41" t="s">
        <v>31</v>
      </c>
      <c r="B30" s="42">
        <f t="shared" si="0"/>
        <v>300</v>
      </c>
      <c r="C30" s="42" t="s">
        <v>3</v>
      </c>
      <c r="D30" s="42">
        <f t="shared" si="1"/>
        <v>260</v>
      </c>
      <c r="E30" s="42" t="s">
        <v>3</v>
      </c>
      <c r="F30" s="90">
        <f t="shared" si="2"/>
        <v>1650</v>
      </c>
      <c r="G30" s="42" t="s">
        <v>3</v>
      </c>
      <c r="H30" s="39">
        <v>4</v>
      </c>
      <c r="I30" s="40" t="s">
        <v>41</v>
      </c>
      <c r="J30" s="149">
        <v>300</v>
      </c>
      <c r="K30" s="66">
        <v>260</v>
      </c>
      <c r="L30" s="66">
        <v>1650</v>
      </c>
      <c r="M30" s="164">
        <v>24.752288419691055</v>
      </c>
      <c r="N30" s="78">
        <v>1552.4847641572289</v>
      </c>
      <c r="O30" s="113">
        <v>33072.13201722355</v>
      </c>
      <c r="P30" s="161">
        <v>40436.761396735303</v>
      </c>
      <c r="Q30" s="254">
        <v>20355.852364541646</v>
      </c>
      <c r="R30" s="263">
        <v>53427.9843817652</v>
      </c>
      <c r="S30" s="259">
        <v>60792.613761276953</v>
      </c>
      <c r="U30" s="7" t="s">
        <v>3965</v>
      </c>
    </row>
    <row r="31" spans="1:21" s="65" customFormat="1" ht="16.5" thickBot="1">
      <c r="A31" s="41" t="s">
        <v>31</v>
      </c>
      <c r="B31" s="42">
        <f t="shared" si="0"/>
        <v>300</v>
      </c>
      <c r="C31" s="42" t="s">
        <v>3</v>
      </c>
      <c r="D31" s="42">
        <f t="shared" si="1"/>
        <v>260</v>
      </c>
      <c r="E31" s="42" t="s">
        <v>3</v>
      </c>
      <c r="F31" s="90">
        <f t="shared" si="2"/>
        <v>1700</v>
      </c>
      <c r="G31" s="42" t="s">
        <v>3</v>
      </c>
      <c r="H31" s="39">
        <v>4</v>
      </c>
      <c r="I31" s="40" t="s">
        <v>41</v>
      </c>
      <c r="J31" s="149">
        <v>300</v>
      </c>
      <c r="K31" s="66">
        <v>260</v>
      </c>
      <c r="L31" s="66">
        <v>1700</v>
      </c>
      <c r="M31" s="164">
        <v>25.435042489556317</v>
      </c>
      <c r="N31" s="78">
        <v>1612.1957166248148</v>
      </c>
      <c r="O31" s="113">
        <v>33871.741134358774</v>
      </c>
      <c r="P31" s="161">
        <v>41437.140887568625</v>
      </c>
      <c r="Q31" s="254">
        <v>20826.307932021609</v>
      </c>
      <c r="R31" s="263">
        <v>54698.049066380379</v>
      </c>
      <c r="S31" s="259">
        <v>62263.448819590238</v>
      </c>
      <c r="U31" s="7" t="s">
        <v>3966</v>
      </c>
    </row>
    <row r="32" spans="1:21" s="65" customFormat="1" ht="16.5" thickBot="1">
      <c r="A32" s="41" t="s">
        <v>31</v>
      </c>
      <c r="B32" s="42">
        <f t="shared" si="0"/>
        <v>300</v>
      </c>
      <c r="C32" s="42" t="s">
        <v>3</v>
      </c>
      <c r="D32" s="42">
        <f t="shared" si="1"/>
        <v>260</v>
      </c>
      <c r="E32" s="42" t="s">
        <v>3</v>
      </c>
      <c r="F32" s="90">
        <f t="shared" si="2"/>
        <v>1750</v>
      </c>
      <c r="G32" s="42" t="s">
        <v>3</v>
      </c>
      <c r="H32" s="39">
        <v>4</v>
      </c>
      <c r="I32" s="40" t="s">
        <v>41</v>
      </c>
      <c r="J32" s="149">
        <v>300</v>
      </c>
      <c r="K32" s="66">
        <v>260</v>
      </c>
      <c r="L32" s="66">
        <v>1750</v>
      </c>
      <c r="M32" s="164">
        <v>26.134836559421576</v>
      </c>
      <c r="N32" s="78">
        <v>1671.9066690924003</v>
      </c>
      <c r="O32" s="113">
        <v>34671.35025149399</v>
      </c>
      <c r="P32" s="161">
        <v>42437.520378401947</v>
      </c>
      <c r="Q32" s="254">
        <v>21548.09763728534</v>
      </c>
      <c r="R32" s="263">
        <v>56219.44788877933</v>
      </c>
      <c r="S32" s="259">
        <v>63985.618015687287</v>
      </c>
      <c r="U32" s="7" t="s">
        <v>3967</v>
      </c>
    </row>
    <row r="33" spans="1:21" s="65" customFormat="1" ht="16.5" thickBot="1">
      <c r="A33" s="41" t="s">
        <v>31</v>
      </c>
      <c r="B33" s="42">
        <f t="shared" si="0"/>
        <v>300</v>
      </c>
      <c r="C33" s="42" t="s">
        <v>3</v>
      </c>
      <c r="D33" s="42">
        <f t="shared" si="1"/>
        <v>260</v>
      </c>
      <c r="E33" s="42" t="s">
        <v>3</v>
      </c>
      <c r="F33" s="90">
        <f t="shared" si="2"/>
        <v>1800</v>
      </c>
      <c r="G33" s="42" t="s">
        <v>3</v>
      </c>
      <c r="H33" s="39">
        <v>4</v>
      </c>
      <c r="I33" s="40" t="s">
        <v>41</v>
      </c>
      <c r="J33" s="149">
        <v>300</v>
      </c>
      <c r="K33" s="66">
        <v>260</v>
      </c>
      <c r="L33" s="66">
        <v>1800</v>
      </c>
      <c r="M33" s="164">
        <v>26.81759062928684</v>
      </c>
      <c r="N33" s="78">
        <v>1731.6176215599862</v>
      </c>
      <c r="O33" s="113">
        <v>35470.959368629206</v>
      </c>
      <c r="P33" s="161">
        <v>43437.899869235429</v>
      </c>
      <c r="Q33" s="254">
        <v>22018.553204765303</v>
      </c>
      <c r="R33" s="263">
        <v>57489.51257339451</v>
      </c>
      <c r="S33" s="259">
        <v>65456.453074000732</v>
      </c>
      <c r="U33" s="7" t="s">
        <v>3968</v>
      </c>
    </row>
    <row r="34" spans="1:21" s="65" customFormat="1" ht="16.5" thickBot="1">
      <c r="A34" s="41" t="s">
        <v>31</v>
      </c>
      <c r="B34" s="42">
        <f t="shared" si="0"/>
        <v>300</v>
      </c>
      <c r="C34" s="42" t="s">
        <v>3</v>
      </c>
      <c r="D34" s="42">
        <f t="shared" si="1"/>
        <v>260</v>
      </c>
      <c r="E34" s="42" t="s">
        <v>3</v>
      </c>
      <c r="F34" s="90">
        <f t="shared" si="2"/>
        <v>1850</v>
      </c>
      <c r="G34" s="42" t="s">
        <v>3</v>
      </c>
      <c r="H34" s="39">
        <v>4</v>
      </c>
      <c r="I34" s="40" t="s">
        <v>41</v>
      </c>
      <c r="J34" s="149">
        <v>300</v>
      </c>
      <c r="K34" s="66">
        <v>260</v>
      </c>
      <c r="L34" s="66">
        <v>1850</v>
      </c>
      <c r="M34" s="164">
        <v>27.517384699152103</v>
      </c>
      <c r="N34" s="78">
        <v>1791.3285740275719</v>
      </c>
      <c r="O34" s="113">
        <v>36270.568485764423</v>
      </c>
      <c r="P34" s="161">
        <v>44438.279360068751</v>
      </c>
      <c r="Q34" s="254">
        <v>22740.342910029034</v>
      </c>
      <c r="R34" s="263">
        <v>59010.911395793461</v>
      </c>
      <c r="S34" s="259">
        <v>67178.622270097781</v>
      </c>
      <c r="U34" s="7" t="s">
        <v>3969</v>
      </c>
    </row>
    <row r="35" spans="1:21" s="65" customFormat="1" ht="16.5" thickBot="1">
      <c r="A35" s="41" t="s">
        <v>31</v>
      </c>
      <c r="B35" s="42">
        <f t="shared" si="0"/>
        <v>300</v>
      </c>
      <c r="C35" s="42" t="s">
        <v>3</v>
      </c>
      <c r="D35" s="42">
        <f t="shared" si="1"/>
        <v>260</v>
      </c>
      <c r="E35" s="42" t="s">
        <v>3</v>
      </c>
      <c r="F35" s="90">
        <f t="shared" si="2"/>
        <v>1900</v>
      </c>
      <c r="G35" s="42" t="s">
        <v>3</v>
      </c>
      <c r="H35" s="39">
        <v>4</v>
      </c>
      <c r="I35" s="40" t="s">
        <v>41</v>
      </c>
      <c r="J35" s="149">
        <v>300</v>
      </c>
      <c r="K35" s="66">
        <v>260</v>
      </c>
      <c r="L35" s="66">
        <v>1900</v>
      </c>
      <c r="M35" s="164">
        <v>28.200138769017364</v>
      </c>
      <c r="N35" s="78">
        <v>1851.0395264951576</v>
      </c>
      <c r="O35" s="113">
        <v>37070.177449870876</v>
      </c>
      <c r="P35" s="161">
        <v>45438.658850902073</v>
      </c>
      <c r="Q35" s="254">
        <v>23210.798477508997</v>
      </c>
      <c r="R35" s="263">
        <v>60280.97592737987</v>
      </c>
      <c r="S35" s="259">
        <v>68649.457328411067</v>
      </c>
      <c r="U35" s="7" t="s">
        <v>3970</v>
      </c>
    </row>
    <row r="36" spans="1:21" s="65" customFormat="1" ht="16.5" thickBot="1">
      <c r="A36" s="41" t="s">
        <v>31</v>
      </c>
      <c r="B36" s="42">
        <f t="shared" si="0"/>
        <v>300</v>
      </c>
      <c r="C36" s="42" t="s">
        <v>3</v>
      </c>
      <c r="D36" s="42">
        <f t="shared" si="1"/>
        <v>260</v>
      </c>
      <c r="E36" s="42" t="s">
        <v>3</v>
      </c>
      <c r="F36" s="90">
        <f t="shared" si="2"/>
        <v>1950</v>
      </c>
      <c r="G36" s="42" t="s">
        <v>3</v>
      </c>
      <c r="H36" s="39">
        <v>4</v>
      </c>
      <c r="I36" s="40" t="s">
        <v>41</v>
      </c>
      <c r="J36" s="149">
        <v>300</v>
      </c>
      <c r="K36" s="66">
        <v>260</v>
      </c>
      <c r="L36" s="66">
        <v>1950</v>
      </c>
      <c r="M36" s="164">
        <v>28.961392838882631</v>
      </c>
      <c r="N36" s="78">
        <v>1910.7504789627435</v>
      </c>
      <c r="O36" s="113">
        <v>37953.884902139427</v>
      </c>
      <c r="P36" s="161">
        <v>46523.650047170275</v>
      </c>
      <c r="Q36" s="254">
        <v>23681.25404498896</v>
      </c>
      <c r="R36" s="263">
        <v>61635.138947128391</v>
      </c>
      <c r="S36" s="259">
        <v>70204.904092159239</v>
      </c>
      <c r="U36" s="7" t="s">
        <v>3971</v>
      </c>
    </row>
    <row r="37" spans="1:21" s="65" customFormat="1" ht="16.5" thickBot="1">
      <c r="A37" s="41" t="s">
        <v>31</v>
      </c>
      <c r="B37" s="42">
        <f t="shared" si="0"/>
        <v>300</v>
      </c>
      <c r="C37" s="42" t="s">
        <v>3</v>
      </c>
      <c r="D37" s="42">
        <f t="shared" si="1"/>
        <v>260</v>
      </c>
      <c r="E37" s="42" t="s">
        <v>3</v>
      </c>
      <c r="F37" s="90">
        <f t="shared" si="2"/>
        <v>2000</v>
      </c>
      <c r="G37" s="42" t="s">
        <v>3</v>
      </c>
      <c r="H37" s="39">
        <v>4</v>
      </c>
      <c r="I37" s="40" t="s">
        <v>41</v>
      </c>
      <c r="J37" s="149">
        <v>300</v>
      </c>
      <c r="K37" s="66">
        <v>260</v>
      </c>
      <c r="L37" s="66">
        <v>2000</v>
      </c>
      <c r="M37" s="164">
        <v>29.752749308747898</v>
      </c>
      <c r="N37" s="78">
        <v>1970.461431430329</v>
      </c>
      <c r="O37" s="113">
        <v>39004.785921119241</v>
      </c>
      <c r="P37" s="161">
        <v>47864.851564099605</v>
      </c>
      <c r="Q37" s="254">
        <v>24403.043750252691</v>
      </c>
      <c r="R37" s="263">
        <v>63407.829671371932</v>
      </c>
      <c r="S37" s="259">
        <v>72267.895314352296</v>
      </c>
      <c r="U37" s="7" t="s">
        <v>3972</v>
      </c>
    </row>
    <row r="38" spans="1:21" s="65" customFormat="1" ht="16.5" thickBot="1">
      <c r="A38" s="41" t="s">
        <v>31</v>
      </c>
      <c r="B38" s="42">
        <f t="shared" si="0"/>
        <v>300</v>
      </c>
      <c r="C38" s="42" t="s">
        <v>3</v>
      </c>
      <c r="D38" s="42">
        <f t="shared" si="1"/>
        <v>260</v>
      </c>
      <c r="E38" s="42" t="s">
        <v>3</v>
      </c>
      <c r="F38" s="90">
        <f t="shared" si="2"/>
        <v>2050</v>
      </c>
      <c r="G38" s="42" t="s">
        <v>3</v>
      </c>
      <c r="H38" s="39">
        <v>4</v>
      </c>
      <c r="I38" s="40" t="s">
        <v>41</v>
      </c>
      <c r="J38" s="149">
        <v>300</v>
      </c>
      <c r="K38" s="66">
        <v>260</v>
      </c>
      <c r="L38" s="66">
        <v>2050</v>
      </c>
      <c r="M38" s="164">
        <v>30.435503378613163</v>
      </c>
      <c r="N38" s="78">
        <v>2030.1723838979146</v>
      </c>
      <c r="O38" s="113">
        <v>39804.395038254457</v>
      </c>
      <c r="P38" s="161">
        <v>48865.231054932927</v>
      </c>
      <c r="Q38" s="254">
        <v>24873.499317732651</v>
      </c>
      <c r="R38" s="263">
        <v>64677.894355987111</v>
      </c>
      <c r="S38" s="259">
        <v>73738.730372665581</v>
      </c>
      <c r="U38" s="7" t="s">
        <v>3973</v>
      </c>
    </row>
    <row r="39" spans="1:21" s="65" customFormat="1" ht="16.5" thickBot="1">
      <c r="A39" s="38" t="s">
        <v>31</v>
      </c>
      <c r="B39" s="39">
        <f t="shared" si="0"/>
        <v>300</v>
      </c>
      <c r="C39" s="39" t="s">
        <v>3</v>
      </c>
      <c r="D39" s="39">
        <f t="shared" si="1"/>
        <v>260</v>
      </c>
      <c r="E39" s="39" t="s">
        <v>3</v>
      </c>
      <c r="F39" s="90">
        <f t="shared" si="2"/>
        <v>2100</v>
      </c>
      <c r="G39" s="39" t="s">
        <v>3</v>
      </c>
      <c r="H39" s="39">
        <v>4</v>
      </c>
      <c r="I39" s="40" t="s">
        <v>41</v>
      </c>
      <c r="J39" s="149">
        <v>300</v>
      </c>
      <c r="K39" s="66">
        <v>260</v>
      </c>
      <c r="L39" s="66">
        <v>2100</v>
      </c>
      <c r="M39" s="164">
        <v>31.135297448478422</v>
      </c>
      <c r="N39" s="78">
        <v>2089.8833363655003</v>
      </c>
      <c r="O39" s="113">
        <v>40604.004155389674</v>
      </c>
      <c r="P39" s="161">
        <v>49865.610545766249</v>
      </c>
      <c r="Q39" s="254">
        <v>25595.289022996385</v>
      </c>
      <c r="R39" s="263">
        <v>66199.293178386055</v>
      </c>
      <c r="S39" s="259">
        <v>75460.89956876263</v>
      </c>
      <c r="U39" s="7" t="s">
        <v>3974</v>
      </c>
    </row>
    <row r="40" spans="1:21" s="65" customFormat="1" ht="16.5" thickBot="1">
      <c r="A40" s="41" t="s">
        <v>31</v>
      </c>
      <c r="B40" s="42">
        <f t="shared" si="0"/>
        <v>300</v>
      </c>
      <c r="C40" s="42" t="s">
        <v>3</v>
      </c>
      <c r="D40" s="42">
        <f t="shared" si="1"/>
        <v>260</v>
      </c>
      <c r="E40" s="42" t="s">
        <v>3</v>
      </c>
      <c r="F40" s="90">
        <f t="shared" si="2"/>
        <v>2150</v>
      </c>
      <c r="G40" s="42" t="s">
        <v>3</v>
      </c>
      <c r="H40" s="39">
        <v>4</v>
      </c>
      <c r="I40" s="40" t="s">
        <v>41</v>
      </c>
      <c r="J40" s="149">
        <v>300</v>
      </c>
      <c r="K40" s="66">
        <v>260</v>
      </c>
      <c r="L40" s="66">
        <v>2150</v>
      </c>
      <c r="M40" s="164">
        <v>31.818051518343687</v>
      </c>
      <c r="N40" s="78">
        <v>2149.594288833086</v>
      </c>
      <c r="O40" s="113">
        <v>41403.61327252489</v>
      </c>
      <c r="P40" s="161">
        <v>50865.990036599724</v>
      </c>
      <c r="Q40" s="254">
        <v>26065.744590476344</v>
      </c>
      <c r="R40" s="263">
        <v>67469.357863001234</v>
      </c>
      <c r="S40" s="259">
        <v>76931.734627076075</v>
      </c>
      <c r="U40" s="7" t="s">
        <v>3975</v>
      </c>
    </row>
    <row r="41" spans="1:21" s="65" customFormat="1" ht="16.5" thickBot="1">
      <c r="A41" s="41" t="s">
        <v>31</v>
      </c>
      <c r="B41" s="42">
        <f t="shared" si="0"/>
        <v>300</v>
      </c>
      <c r="C41" s="42" t="s">
        <v>3</v>
      </c>
      <c r="D41" s="42">
        <f t="shared" si="1"/>
        <v>260</v>
      </c>
      <c r="E41" s="42" t="s">
        <v>3</v>
      </c>
      <c r="F41" s="90">
        <f t="shared" si="2"/>
        <v>2200</v>
      </c>
      <c r="G41" s="42" t="s">
        <v>3</v>
      </c>
      <c r="H41" s="39">
        <v>4</v>
      </c>
      <c r="I41" s="40" t="s">
        <v>41</v>
      </c>
      <c r="J41" s="149">
        <v>300</v>
      </c>
      <c r="K41" s="66">
        <v>260</v>
      </c>
      <c r="L41" s="66">
        <v>2200</v>
      </c>
      <c r="M41" s="164">
        <v>32.517845588208949</v>
      </c>
      <c r="N41" s="78">
        <v>2209.3052413006717</v>
      </c>
      <c r="O41" s="113">
        <v>42203.222389660114</v>
      </c>
      <c r="P41" s="161">
        <v>51866.369527433053</v>
      </c>
      <c r="Q41" s="254">
        <v>26787.534295740079</v>
      </c>
      <c r="R41" s="263">
        <v>68990.756685400193</v>
      </c>
      <c r="S41" s="259">
        <v>78653.903823173139</v>
      </c>
      <c r="U41" s="7" t="s">
        <v>3976</v>
      </c>
    </row>
    <row r="42" spans="1:21" s="65" customFormat="1" ht="16.5" thickBot="1">
      <c r="A42" s="41" t="s">
        <v>31</v>
      </c>
      <c r="B42" s="42">
        <f t="shared" si="0"/>
        <v>300</v>
      </c>
      <c r="C42" s="42" t="s">
        <v>3</v>
      </c>
      <c r="D42" s="42">
        <f t="shared" si="1"/>
        <v>260</v>
      </c>
      <c r="E42" s="42" t="s">
        <v>3</v>
      </c>
      <c r="F42" s="90">
        <f t="shared" si="2"/>
        <v>2250</v>
      </c>
      <c r="G42" s="42" t="s">
        <v>3</v>
      </c>
      <c r="H42" s="39">
        <v>4</v>
      </c>
      <c r="I42" s="40" t="s">
        <v>41</v>
      </c>
      <c r="J42" s="149">
        <v>300</v>
      </c>
      <c r="K42" s="66">
        <v>260</v>
      </c>
      <c r="L42" s="66">
        <v>2250</v>
      </c>
      <c r="M42" s="164">
        <v>33.200599658074211</v>
      </c>
      <c r="N42" s="78">
        <v>2269.0161937682574</v>
      </c>
      <c r="O42" s="113">
        <v>43002.831506795323</v>
      </c>
      <c r="P42" s="161">
        <v>52866.749018266368</v>
      </c>
      <c r="Q42" s="254">
        <v>27257.989710191272</v>
      </c>
      <c r="R42" s="263">
        <v>70260.821216986602</v>
      </c>
      <c r="S42" s="259">
        <v>80124.73872845764</v>
      </c>
      <c r="U42" s="7" t="s">
        <v>3977</v>
      </c>
    </row>
    <row r="43" spans="1:21" s="65" customFormat="1" ht="16.5" thickBot="1">
      <c r="A43" s="41" t="s">
        <v>31</v>
      </c>
      <c r="B43" s="42">
        <f t="shared" si="0"/>
        <v>300</v>
      </c>
      <c r="C43" s="42" t="s">
        <v>3</v>
      </c>
      <c r="D43" s="42">
        <f t="shared" si="1"/>
        <v>260</v>
      </c>
      <c r="E43" s="42" t="s">
        <v>3</v>
      </c>
      <c r="F43" s="90">
        <f t="shared" si="2"/>
        <v>2300</v>
      </c>
      <c r="G43" s="42" t="s">
        <v>3</v>
      </c>
      <c r="H43" s="39">
        <v>4</v>
      </c>
      <c r="I43" s="40" t="s">
        <v>41</v>
      </c>
      <c r="J43" s="149">
        <v>300</v>
      </c>
      <c r="K43" s="66">
        <v>260</v>
      </c>
      <c r="L43" s="66">
        <v>2300</v>
      </c>
      <c r="M43" s="164">
        <v>33.883353727939472</v>
      </c>
      <c r="N43" s="78">
        <v>2328.7271462358431</v>
      </c>
      <c r="O43" s="113">
        <v>43802.440623930546</v>
      </c>
      <c r="P43" s="161">
        <v>53867.128509099843</v>
      </c>
      <c r="Q43" s="254">
        <v>27728.445277671239</v>
      </c>
      <c r="R43" s="263">
        <v>71530.885901601781</v>
      </c>
      <c r="S43" s="259">
        <v>81595.573786771085</v>
      </c>
      <c r="U43" s="7" t="s">
        <v>3978</v>
      </c>
    </row>
    <row r="44" spans="1:21" s="65" customFormat="1" ht="16.5" thickBot="1">
      <c r="A44" s="41" t="s">
        <v>31</v>
      </c>
      <c r="B44" s="42">
        <f t="shared" si="0"/>
        <v>300</v>
      </c>
      <c r="C44" s="42" t="s">
        <v>3</v>
      </c>
      <c r="D44" s="42">
        <f t="shared" si="1"/>
        <v>260</v>
      </c>
      <c r="E44" s="42" t="s">
        <v>3</v>
      </c>
      <c r="F44" s="90">
        <f t="shared" si="2"/>
        <v>2350</v>
      </c>
      <c r="G44" s="42" t="s">
        <v>3</v>
      </c>
      <c r="H44" s="39">
        <v>4</v>
      </c>
      <c r="I44" s="40" t="s">
        <v>41</v>
      </c>
      <c r="J44" s="149">
        <v>300</v>
      </c>
      <c r="K44" s="66">
        <v>260</v>
      </c>
      <c r="L44" s="66">
        <v>2350</v>
      </c>
      <c r="M44" s="164">
        <v>34.583147797804742</v>
      </c>
      <c r="N44" s="78">
        <v>2388.4380987034288</v>
      </c>
      <c r="O44" s="113">
        <v>44602.049741065763</v>
      </c>
      <c r="P44" s="161">
        <v>54867.507999933165</v>
      </c>
      <c r="Q44" s="254">
        <v>28450.234982934966</v>
      </c>
      <c r="R44" s="263">
        <v>73052.284724000725</v>
      </c>
      <c r="S44" s="259">
        <v>83317.742982868134</v>
      </c>
      <c r="U44" s="7" t="s">
        <v>3979</v>
      </c>
    </row>
    <row r="45" spans="1:21" s="65" customFormat="1" ht="16.5" thickBot="1">
      <c r="A45" s="41" t="s">
        <v>31</v>
      </c>
      <c r="B45" s="42">
        <f t="shared" si="0"/>
        <v>300</v>
      </c>
      <c r="C45" s="42" t="s">
        <v>3</v>
      </c>
      <c r="D45" s="42">
        <f t="shared" si="1"/>
        <v>260</v>
      </c>
      <c r="E45" s="42" t="s">
        <v>3</v>
      </c>
      <c r="F45" s="90">
        <f t="shared" si="2"/>
        <v>2400</v>
      </c>
      <c r="G45" s="42" t="s">
        <v>3</v>
      </c>
      <c r="H45" s="39">
        <v>4</v>
      </c>
      <c r="I45" s="40" t="s">
        <v>41</v>
      </c>
      <c r="J45" s="149">
        <v>300</v>
      </c>
      <c r="K45" s="66">
        <v>260</v>
      </c>
      <c r="L45" s="66">
        <v>2400</v>
      </c>
      <c r="M45" s="164">
        <v>35.265901867669996</v>
      </c>
      <c r="N45" s="78">
        <v>2448.1490511710144</v>
      </c>
      <c r="O45" s="113">
        <v>45401.658858200986</v>
      </c>
      <c r="P45" s="161">
        <v>55867.887490766494</v>
      </c>
      <c r="Q45" s="254">
        <v>28920.690550414929</v>
      </c>
      <c r="R45" s="263">
        <v>74322.349408615919</v>
      </c>
      <c r="S45" s="259">
        <v>84788.578041181419</v>
      </c>
      <c r="U45" s="7" t="s">
        <v>3980</v>
      </c>
    </row>
    <row r="46" spans="1:21" s="65" customFormat="1" ht="16.5" thickBot="1">
      <c r="A46" s="41" t="s">
        <v>31</v>
      </c>
      <c r="B46" s="42">
        <f t="shared" si="0"/>
        <v>300</v>
      </c>
      <c r="C46" s="42" t="s">
        <v>3</v>
      </c>
      <c r="D46" s="42">
        <f t="shared" si="1"/>
        <v>260</v>
      </c>
      <c r="E46" s="42" t="s">
        <v>3</v>
      </c>
      <c r="F46" s="90">
        <f t="shared" si="2"/>
        <v>2450</v>
      </c>
      <c r="G46" s="42" t="s">
        <v>3</v>
      </c>
      <c r="H46" s="39">
        <v>4</v>
      </c>
      <c r="I46" s="40" t="s">
        <v>41</v>
      </c>
      <c r="J46" s="149">
        <v>300</v>
      </c>
      <c r="K46" s="66">
        <v>260</v>
      </c>
      <c r="L46" s="66">
        <v>2450</v>
      </c>
      <c r="M46" s="164">
        <v>36.131606789495258</v>
      </c>
      <c r="N46" s="78">
        <v>2507.8600036386001</v>
      </c>
      <c r="O46" s="113">
        <v>46867.625764951175</v>
      </c>
      <c r="P46" s="161">
        <v>57494.253396683423</v>
      </c>
      <c r="Q46" s="254">
        <v>29642.480255678664</v>
      </c>
      <c r="R46" s="263">
        <v>76510.106020629843</v>
      </c>
      <c r="S46" s="259">
        <v>87136.733652362091</v>
      </c>
      <c r="U46" s="7" t="s">
        <v>3981</v>
      </c>
    </row>
    <row r="47" spans="1:21" s="65" customFormat="1" ht="16.5" thickBot="1">
      <c r="A47" s="41" t="s">
        <v>31</v>
      </c>
      <c r="B47" s="42">
        <f t="shared" si="0"/>
        <v>300</v>
      </c>
      <c r="C47" s="42" t="s">
        <v>3</v>
      </c>
      <c r="D47" s="42">
        <f t="shared" si="1"/>
        <v>260</v>
      </c>
      <c r="E47" s="42" t="s">
        <v>3</v>
      </c>
      <c r="F47" s="90">
        <f t="shared" si="2"/>
        <v>2500</v>
      </c>
      <c r="G47" s="42" t="s">
        <v>3</v>
      </c>
      <c r="H47" s="39">
        <v>4</v>
      </c>
      <c r="I47" s="40" t="s">
        <v>41</v>
      </c>
      <c r="J47" s="149">
        <v>300</v>
      </c>
      <c r="K47" s="66">
        <v>260</v>
      </c>
      <c r="L47" s="66">
        <v>2500</v>
      </c>
      <c r="M47" s="164">
        <v>36.814360859360519</v>
      </c>
      <c r="N47" s="78">
        <v>2567.5709561061863</v>
      </c>
      <c r="O47" s="113">
        <v>47667.234882086384</v>
      </c>
      <c r="P47" s="161">
        <v>58494.632887516746</v>
      </c>
      <c r="Q47" s="254">
        <v>30112.935823158623</v>
      </c>
      <c r="R47" s="263">
        <v>77780.170705245007</v>
      </c>
      <c r="S47" s="259">
        <v>88607.568710675376</v>
      </c>
      <c r="U47" s="7" t="s">
        <v>3982</v>
      </c>
    </row>
    <row r="48" spans="1:21" s="65" customFormat="1" ht="16.5" thickBot="1">
      <c r="A48" s="41" t="s">
        <v>31</v>
      </c>
      <c r="B48" s="42">
        <f t="shared" si="0"/>
        <v>300</v>
      </c>
      <c r="C48" s="42" t="s">
        <v>3</v>
      </c>
      <c r="D48" s="42">
        <f t="shared" si="1"/>
        <v>260</v>
      </c>
      <c r="E48" s="42" t="s">
        <v>3</v>
      </c>
      <c r="F48" s="90">
        <f t="shared" si="2"/>
        <v>2550</v>
      </c>
      <c r="G48" s="42" t="s">
        <v>3</v>
      </c>
      <c r="H48" s="39">
        <v>4</v>
      </c>
      <c r="I48" s="40" t="s">
        <v>41</v>
      </c>
      <c r="J48" s="149">
        <v>300</v>
      </c>
      <c r="K48" s="66">
        <v>260</v>
      </c>
      <c r="L48" s="66">
        <v>2550</v>
      </c>
      <c r="M48" s="164">
        <v>37.514154929225789</v>
      </c>
      <c r="N48" s="78">
        <v>2627.2819085737724</v>
      </c>
      <c r="O48" s="113">
        <v>48466.843999221608</v>
      </c>
      <c r="P48" s="161">
        <v>59495.012378350068</v>
      </c>
      <c r="Q48" s="254">
        <v>30834.725528422357</v>
      </c>
      <c r="R48" s="263">
        <v>79301.569527643966</v>
      </c>
      <c r="S48" s="259">
        <v>90329.737906772425</v>
      </c>
      <c r="U48" s="7" t="s">
        <v>3983</v>
      </c>
    </row>
    <row r="49" spans="1:21" s="65" customFormat="1" ht="16.5" thickBot="1">
      <c r="A49" s="38" t="s">
        <v>31</v>
      </c>
      <c r="B49" s="39">
        <f t="shared" si="0"/>
        <v>300</v>
      </c>
      <c r="C49" s="39" t="s">
        <v>3</v>
      </c>
      <c r="D49" s="39">
        <f t="shared" si="1"/>
        <v>260</v>
      </c>
      <c r="E49" s="39" t="s">
        <v>3</v>
      </c>
      <c r="F49" s="90">
        <f t="shared" si="2"/>
        <v>2600</v>
      </c>
      <c r="G49" s="39" t="s">
        <v>3</v>
      </c>
      <c r="H49" s="39">
        <v>4</v>
      </c>
      <c r="I49" s="40" t="s">
        <v>41</v>
      </c>
      <c r="J49" s="149">
        <v>300</v>
      </c>
      <c r="K49" s="66">
        <v>260</v>
      </c>
      <c r="L49" s="66">
        <v>2600</v>
      </c>
      <c r="M49" s="164">
        <v>38.19690899909105</v>
      </c>
      <c r="N49" s="78">
        <v>2686.9928610413576</v>
      </c>
      <c r="O49" s="113">
        <v>49266.453116356824</v>
      </c>
      <c r="P49" s="161">
        <v>60495.39186918339</v>
      </c>
      <c r="Q49" s="254">
        <v>31305.181095902317</v>
      </c>
      <c r="R49" s="263">
        <v>80571.634212259145</v>
      </c>
      <c r="S49" s="259">
        <v>91800.57296508571</v>
      </c>
      <c r="U49" s="7" t="s">
        <v>3984</v>
      </c>
    </row>
    <row r="50" spans="1:21" s="65" customFormat="1" ht="16.5" thickBot="1">
      <c r="A50" s="41" t="s">
        <v>31</v>
      </c>
      <c r="B50" s="42">
        <f t="shared" si="0"/>
        <v>300</v>
      </c>
      <c r="C50" s="42" t="s">
        <v>3</v>
      </c>
      <c r="D50" s="42">
        <f t="shared" si="1"/>
        <v>260</v>
      </c>
      <c r="E50" s="42" t="s">
        <v>3</v>
      </c>
      <c r="F50" s="90">
        <f t="shared" si="2"/>
        <v>2650</v>
      </c>
      <c r="G50" s="42" t="s">
        <v>3</v>
      </c>
      <c r="H50" s="39">
        <v>4</v>
      </c>
      <c r="I50" s="40" t="s">
        <v>41</v>
      </c>
      <c r="J50" s="149">
        <v>300</v>
      </c>
      <c r="K50" s="66">
        <v>260</v>
      </c>
      <c r="L50" s="66">
        <v>2650</v>
      </c>
      <c r="M50" s="164">
        <v>38.896703068956313</v>
      </c>
      <c r="N50" s="78">
        <v>2746.7038135089429</v>
      </c>
      <c r="O50" s="113">
        <v>50066.062233492048</v>
      </c>
      <c r="P50" s="161">
        <v>61495.771360016864</v>
      </c>
      <c r="Q50" s="254">
        <v>32026.970801166051</v>
      </c>
      <c r="R50" s="263">
        <v>82093.033034658103</v>
      </c>
      <c r="S50" s="259">
        <v>93522.74216118292</v>
      </c>
      <c r="U50" s="7" t="s">
        <v>3985</v>
      </c>
    </row>
    <row r="51" spans="1:21" s="65" customFormat="1" ht="16.5" thickBot="1">
      <c r="A51" s="41" t="s">
        <v>31</v>
      </c>
      <c r="B51" s="42">
        <f t="shared" si="0"/>
        <v>300</v>
      </c>
      <c r="C51" s="42" t="s">
        <v>3</v>
      </c>
      <c r="D51" s="42">
        <f t="shared" si="1"/>
        <v>260</v>
      </c>
      <c r="E51" s="42" t="s">
        <v>3</v>
      </c>
      <c r="F51" s="90">
        <f t="shared" si="2"/>
        <v>2700</v>
      </c>
      <c r="G51" s="42" t="s">
        <v>3</v>
      </c>
      <c r="H51" s="39">
        <v>4</v>
      </c>
      <c r="I51" s="40" t="s">
        <v>41</v>
      </c>
      <c r="J51" s="149">
        <v>300</v>
      </c>
      <c r="K51" s="66">
        <v>260</v>
      </c>
      <c r="L51" s="66">
        <v>2700</v>
      </c>
      <c r="M51" s="164">
        <v>39.657957138821587</v>
      </c>
      <c r="N51" s="78">
        <v>2806.414765976529</v>
      </c>
      <c r="O51" s="113">
        <v>50949.769685760584</v>
      </c>
      <c r="P51" s="161">
        <v>62580.762556284913</v>
      </c>
      <c r="Q51" s="254">
        <v>32497.426368646011</v>
      </c>
      <c r="R51" s="263">
        <v>83447.196054406595</v>
      </c>
      <c r="S51" s="259">
        <v>95078.188924930932</v>
      </c>
      <c r="U51" s="7" t="s">
        <v>3986</v>
      </c>
    </row>
    <row r="52" spans="1:21" s="65" customFormat="1" ht="16.5" thickBot="1">
      <c r="A52" s="41" t="s">
        <v>31</v>
      </c>
      <c r="B52" s="42">
        <f t="shared" si="0"/>
        <v>300</v>
      </c>
      <c r="C52" s="42" t="s">
        <v>3</v>
      </c>
      <c r="D52" s="42">
        <f t="shared" si="1"/>
        <v>260</v>
      </c>
      <c r="E52" s="42" t="s">
        <v>3</v>
      </c>
      <c r="F52" s="90">
        <f t="shared" si="2"/>
        <v>2750</v>
      </c>
      <c r="G52" s="42" t="s">
        <v>3</v>
      </c>
      <c r="H52" s="39">
        <v>4</v>
      </c>
      <c r="I52" s="40" t="s">
        <v>41</v>
      </c>
      <c r="J52" s="149">
        <v>300</v>
      </c>
      <c r="K52" s="66">
        <v>260</v>
      </c>
      <c r="L52" s="66">
        <v>2750</v>
      </c>
      <c r="M52" s="164">
        <v>40.340711208686841</v>
      </c>
      <c r="N52" s="78">
        <v>2866.1257184441151</v>
      </c>
      <c r="O52" s="113">
        <v>51749.378802895808</v>
      </c>
      <c r="P52" s="161">
        <v>63581.142047118388</v>
      </c>
      <c r="Q52" s="254">
        <v>32967.881936125974</v>
      </c>
      <c r="R52" s="263">
        <v>84717.260739021789</v>
      </c>
      <c r="S52" s="259">
        <v>96549.023983244362</v>
      </c>
      <c r="U52" s="7" t="s">
        <v>3987</v>
      </c>
    </row>
    <row r="53" spans="1:21" s="65" customFormat="1" ht="16.5" thickBot="1">
      <c r="A53" s="41" t="s">
        <v>31</v>
      </c>
      <c r="B53" s="42">
        <f t="shared" si="0"/>
        <v>300</v>
      </c>
      <c r="C53" s="42" t="s">
        <v>3</v>
      </c>
      <c r="D53" s="42">
        <f t="shared" si="1"/>
        <v>260</v>
      </c>
      <c r="E53" s="42" t="s">
        <v>3</v>
      </c>
      <c r="F53" s="90">
        <f t="shared" si="2"/>
        <v>2800</v>
      </c>
      <c r="G53" s="42" t="s">
        <v>3</v>
      </c>
      <c r="H53" s="39">
        <v>4</v>
      </c>
      <c r="I53" s="40" t="s">
        <v>41</v>
      </c>
      <c r="J53" s="149">
        <v>300</v>
      </c>
      <c r="K53" s="66">
        <v>260</v>
      </c>
      <c r="L53" s="66">
        <v>2800</v>
      </c>
      <c r="M53" s="164">
        <v>41.040505278552104</v>
      </c>
      <c r="N53" s="78">
        <v>2925.8366709117008</v>
      </c>
      <c r="O53" s="113">
        <v>52548.987920031024</v>
      </c>
      <c r="P53" s="161">
        <v>64581.521537951718</v>
      </c>
      <c r="Q53" s="254">
        <v>33689.671488360938</v>
      </c>
      <c r="R53" s="263">
        <v>86238.659408391963</v>
      </c>
      <c r="S53" s="259">
        <v>98271.193026312656</v>
      </c>
      <c r="U53" s="7" t="s">
        <v>3988</v>
      </c>
    </row>
    <row r="54" spans="1:21" s="65" customFormat="1" ht="16.5" thickBot="1">
      <c r="A54" s="41" t="s">
        <v>31</v>
      </c>
      <c r="B54" s="42">
        <f t="shared" si="0"/>
        <v>300</v>
      </c>
      <c r="C54" s="42" t="s">
        <v>3</v>
      </c>
      <c r="D54" s="42">
        <f t="shared" si="1"/>
        <v>260</v>
      </c>
      <c r="E54" s="42" t="s">
        <v>3</v>
      </c>
      <c r="F54" s="90">
        <f t="shared" si="2"/>
        <v>2850</v>
      </c>
      <c r="G54" s="42" t="s">
        <v>3</v>
      </c>
      <c r="H54" s="39">
        <v>4</v>
      </c>
      <c r="I54" s="40" t="s">
        <v>41</v>
      </c>
      <c r="J54" s="149">
        <v>300</v>
      </c>
      <c r="K54" s="66">
        <v>260</v>
      </c>
      <c r="L54" s="66">
        <v>2850</v>
      </c>
      <c r="M54" s="164">
        <v>41.723259348417372</v>
      </c>
      <c r="N54" s="78">
        <v>2985.5476233792865</v>
      </c>
      <c r="O54" s="113">
        <v>53348.597037166248</v>
      </c>
      <c r="P54" s="161">
        <v>65581.90102878504</v>
      </c>
      <c r="Q54" s="254">
        <v>34160.127055840901</v>
      </c>
      <c r="R54" s="263">
        <v>87508.724093007157</v>
      </c>
      <c r="S54" s="259">
        <v>99742.028084625941</v>
      </c>
      <c r="U54" s="7" t="s">
        <v>3989</v>
      </c>
    </row>
    <row r="55" spans="1:21" s="65" customFormat="1" ht="16.5" thickBot="1">
      <c r="A55" s="41" t="s">
        <v>31</v>
      </c>
      <c r="B55" s="42">
        <f t="shared" si="0"/>
        <v>300</v>
      </c>
      <c r="C55" s="42" t="s">
        <v>3</v>
      </c>
      <c r="D55" s="42">
        <f t="shared" si="1"/>
        <v>260</v>
      </c>
      <c r="E55" s="42" t="s">
        <v>3</v>
      </c>
      <c r="F55" s="90">
        <f t="shared" si="2"/>
        <v>2900</v>
      </c>
      <c r="G55" s="42" t="s">
        <v>3</v>
      </c>
      <c r="H55" s="39">
        <v>4</v>
      </c>
      <c r="I55" s="40" t="s">
        <v>41</v>
      </c>
      <c r="J55" s="149">
        <v>300</v>
      </c>
      <c r="K55" s="66">
        <v>260</v>
      </c>
      <c r="L55" s="66">
        <v>2900</v>
      </c>
      <c r="M55" s="164">
        <v>42.42305341828262</v>
      </c>
      <c r="N55" s="78">
        <v>3045.2585758468717</v>
      </c>
      <c r="O55" s="113">
        <v>54148.206154301457</v>
      </c>
      <c r="P55" s="161">
        <v>66582.280519618362</v>
      </c>
      <c r="Q55" s="254">
        <v>34881.916761104636</v>
      </c>
      <c r="R55" s="263">
        <v>89030.1229154061</v>
      </c>
      <c r="S55" s="259">
        <v>101464.19728072299</v>
      </c>
      <c r="U55" s="7" t="s">
        <v>3990</v>
      </c>
    </row>
    <row r="56" spans="1:21" s="65" customFormat="1" ht="16.5" thickBot="1">
      <c r="A56" s="41" t="s">
        <v>31</v>
      </c>
      <c r="B56" s="42">
        <f t="shared" si="0"/>
        <v>300</v>
      </c>
      <c r="C56" s="42" t="s">
        <v>3</v>
      </c>
      <c r="D56" s="42">
        <f t="shared" si="1"/>
        <v>260</v>
      </c>
      <c r="E56" s="42" t="s">
        <v>3</v>
      </c>
      <c r="F56" s="90">
        <f t="shared" si="2"/>
        <v>2950</v>
      </c>
      <c r="G56" s="42" t="s">
        <v>3</v>
      </c>
      <c r="H56" s="39">
        <v>4</v>
      </c>
      <c r="I56" s="40" t="s">
        <v>41</v>
      </c>
      <c r="J56" s="149">
        <v>300</v>
      </c>
      <c r="K56" s="66">
        <v>260</v>
      </c>
      <c r="L56" s="66">
        <v>2950</v>
      </c>
      <c r="M56" s="164">
        <v>43.105807488147889</v>
      </c>
      <c r="N56" s="78">
        <v>3104.9695283144579</v>
      </c>
      <c r="O56" s="113">
        <v>54947.815271436681</v>
      </c>
      <c r="P56" s="161">
        <v>67582.660010451829</v>
      </c>
      <c r="Q56" s="254">
        <v>35352.372328584599</v>
      </c>
      <c r="R56" s="263">
        <v>90300.18760002128</v>
      </c>
      <c r="S56" s="259">
        <v>102935.03233903644</v>
      </c>
      <c r="U56" s="7" t="s">
        <v>3991</v>
      </c>
    </row>
    <row r="57" spans="1:21" s="65" customFormat="1" ht="16.5" thickBot="1">
      <c r="A57" s="43" t="s">
        <v>31</v>
      </c>
      <c r="B57" s="44">
        <f t="shared" si="0"/>
        <v>300</v>
      </c>
      <c r="C57" s="44" t="s">
        <v>3</v>
      </c>
      <c r="D57" s="44">
        <f t="shared" si="1"/>
        <v>260</v>
      </c>
      <c r="E57" s="44" t="s">
        <v>3</v>
      </c>
      <c r="F57" s="91">
        <f t="shared" si="2"/>
        <v>3000</v>
      </c>
      <c r="G57" s="44" t="s">
        <v>3</v>
      </c>
      <c r="H57" s="46">
        <v>4</v>
      </c>
      <c r="I57" s="45" t="s">
        <v>41</v>
      </c>
      <c r="J57" s="265">
        <v>300</v>
      </c>
      <c r="K57" s="266">
        <v>260</v>
      </c>
      <c r="L57" s="266">
        <v>3000</v>
      </c>
      <c r="M57" s="249">
        <v>43.805601558013151</v>
      </c>
      <c r="N57" s="250">
        <v>3164.6804807820436</v>
      </c>
      <c r="O57" s="251">
        <v>57028.345851957631</v>
      </c>
      <c r="P57" s="283">
        <v>68583.039501285166</v>
      </c>
      <c r="Q57" s="267">
        <v>36074.162033848326</v>
      </c>
      <c r="R57" s="268">
        <v>93102.507885805957</v>
      </c>
      <c r="S57" s="269">
        <v>104657.2015351335</v>
      </c>
      <c r="U57" s="7" t="s">
        <v>3992</v>
      </c>
    </row>
    <row r="58" spans="1:21" ht="22.5" customHeight="1" thickBot="1">
      <c r="A58" s="2968" t="s">
        <v>45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69"/>
      <c r="R58" s="2969"/>
      <c r="S58" s="2970"/>
      <c r="U58" s="7"/>
    </row>
    <row r="59" spans="1:21" ht="16.5" thickBot="1">
      <c r="A59" s="2974" t="s">
        <v>117</v>
      </c>
      <c r="B59" s="2975"/>
      <c r="C59" s="2975"/>
      <c r="D59" s="2975"/>
      <c r="E59" s="2975"/>
      <c r="F59" s="2975"/>
      <c r="G59" s="2975"/>
      <c r="H59" s="2975"/>
      <c r="I59" s="2975"/>
      <c r="J59" s="2975"/>
      <c r="K59" s="2975"/>
      <c r="L59" s="2975"/>
      <c r="M59" s="2975"/>
      <c r="N59" s="2975"/>
      <c r="O59" s="2975"/>
      <c r="P59" s="2975"/>
      <c r="Q59" s="2975"/>
      <c r="R59" s="2975"/>
      <c r="S59" s="2976"/>
      <c r="U59" s="7"/>
    </row>
    <row r="60" spans="1:21" ht="16.5" thickBot="1">
      <c r="A60" s="38" t="s">
        <v>31</v>
      </c>
      <c r="B60" s="39">
        <f>J60</f>
        <v>300</v>
      </c>
      <c r="C60" s="39" t="s">
        <v>3</v>
      </c>
      <c r="D60" s="39">
        <f>K60</f>
        <v>300</v>
      </c>
      <c r="E60" s="39" t="s">
        <v>3</v>
      </c>
      <c r="F60" s="90">
        <f>L60</f>
        <v>600</v>
      </c>
      <c r="G60" s="39" t="s">
        <v>3</v>
      </c>
      <c r="H60" s="39">
        <v>4</v>
      </c>
      <c r="I60" s="40" t="s">
        <v>41</v>
      </c>
      <c r="J60" s="270">
        <v>300</v>
      </c>
      <c r="K60" s="271">
        <v>300</v>
      </c>
      <c r="L60" s="271">
        <v>600</v>
      </c>
      <c r="M60" s="245">
        <v>10.267099153074538</v>
      </c>
      <c r="N60" s="246">
        <v>319.68732473236855</v>
      </c>
      <c r="O60" s="247">
        <v>16306.378707827529</v>
      </c>
      <c r="P60" s="170">
        <v>19841.285606839239</v>
      </c>
      <c r="Q60" s="272">
        <v>8941.6715199935952</v>
      </c>
      <c r="R60" s="273">
        <v>25248.050227821124</v>
      </c>
      <c r="S60" s="274">
        <v>28782.957126832836</v>
      </c>
      <c r="U60" s="7" t="s">
        <v>3993</v>
      </c>
    </row>
    <row r="61" spans="1:21" ht="16.5" thickBot="1">
      <c r="A61" s="41" t="s">
        <v>31</v>
      </c>
      <c r="B61" s="42">
        <f t="shared" ref="B61:B108" si="3">J61</f>
        <v>300</v>
      </c>
      <c r="C61" s="42" t="s">
        <v>3</v>
      </c>
      <c r="D61" s="42">
        <f t="shared" ref="D61:D108" si="4">K61</f>
        <v>300</v>
      </c>
      <c r="E61" s="42" t="s">
        <v>3</v>
      </c>
      <c r="F61" s="90">
        <f t="shared" ref="F61:F108" si="5">L61</f>
        <v>650</v>
      </c>
      <c r="G61" s="42" t="s">
        <v>3</v>
      </c>
      <c r="H61" s="39">
        <v>4</v>
      </c>
      <c r="I61" s="40" t="s">
        <v>41</v>
      </c>
      <c r="J61" s="149">
        <v>300</v>
      </c>
      <c r="K61" s="66">
        <v>300</v>
      </c>
      <c r="L61" s="66">
        <v>650</v>
      </c>
      <c r="M61" s="164">
        <v>10.966922074686435</v>
      </c>
      <c r="N61" s="78">
        <v>383.62478967884226</v>
      </c>
      <c r="O61" s="113">
        <v>17145.96827316807</v>
      </c>
      <c r="P61" s="161">
        <v>20901.687867122728</v>
      </c>
      <c r="Q61" s="254">
        <v>9465.3131529653438</v>
      </c>
      <c r="R61" s="263">
        <v>26611.281426133413</v>
      </c>
      <c r="S61" s="259">
        <v>30367.001020088072</v>
      </c>
      <c r="U61" s="7" t="s">
        <v>3994</v>
      </c>
    </row>
    <row r="62" spans="1:21" ht="16.5" thickBot="1">
      <c r="A62" s="41" t="s">
        <v>31</v>
      </c>
      <c r="B62" s="42">
        <f t="shared" si="3"/>
        <v>300</v>
      </c>
      <c r="C62" s="42" t="s">
        <v>3</v>
      </c>
      <c r="D62" s="42">
        <f t="shared" si="4"/>
        <v>300</v>
      </c>
      <c r="E62" s="42" t="s">
        <v>3</v>
      </c>
      <c r="F62" s="90">
        <f t="shared" si="5"/>
        <v>700</v>
      </c>
      <c r="G62" s="42" t="s">
        <v>3</v>
      </c>
      <c r="H62" s="39">
        <v>4</v>
      </c>
      <c r="I62" s="40" t="s">
        <v>41</v>
      </c>
      <c r="J62" s="149">
        <v>300</v>
      </c>
      <c r="K62" s="66">
        <v>300</v>
      </c>
      <c r="L62" s="66">
        <v>700</v>
      </c>
      <c r="M62" s="164">
        <v>11.684210996298329</v>
      </c>
      <c r="N62" s="78">
        <v>447.56225462531597</v>
      </c>
      <c r="O62" s="113">
        <v>17985.557838508608</v>
      </c>
      <c r="P62" s="161">
        <v>21962.090127406063</v>
      </c>
      <c r="Q62" s="254">
        <v>10240.289076749623</v>
      </c>
      <c r="R62" s="263">
        <v>28225.846915258233</v>
      </c>
      <c r="S62" s="259">
        <v>32202.379204155688</v>
      </c>
      <c r="U62" s="7" t="s">
        <v>3995</v>
      </c>
    </row>
    <row r="63" spans="1:21" ht="16.5" thickBot="1">
      <c r="A63" s="41" t="s">
        <v>31</v>
      </c>
      <c r="B63" s="42">
        <f t="shared" si="3"/>
        <v>300</v>
      </c>
      <c r="C63" s="42" t="s">
        <v>3</v>
      </c>
      <c r="D63" s="42">
        <f t="shared" si="4"/>
        <v>300</v>
      </c>
      <c r="E63" s="42" t="s">
        <v>3</v>
      </c>
      <c r="F63" s="90">
        <f t="shared" si="5"/>
        <v>750</v>
      </c>
      <c r="G63" s="42" t="s">
        <v>3</v>
      </c>
      <c r="H63" s="39">
        <v>4</v>
      </c>
      <c r="I63" s="40" t="s">
        <v>41</v>
      </c>
      <c r="J63" s="149">
        <v>300</v>
      </c>
      <c r="K63" s="66">
        <v>300</v>
      </c>
      <c r="L63" s="66">
        <v>750</v>
      </c>
      <c r="M63" s="164">
        <v>12.384033917910221</v>
      </c>
      <c r="N63" s="78">
        <v>511.49971957178968</v>
      </c>
      <c r="O63" s="113">
        <v>18825.147403849151</v>
      </c>
      <c r="P63" s="161">
        <v>23022.492387689395</v>
      </c>
      <c r="Q63" s="254">
        <v>10763.930709721371</v>
      </c>
      <c r="R63" s="263">
        <v>29589.078113570522</v>
      </c>
      <c r="S63" s="259">
        <v>33786.423097410763</v>
      </c>
      <c r="U63" s="7" t="s">
        <v>3996</v>
      </c>
    </row>
    <row r="64" spans="1:21" ht="16.5" thickBot="1">
      <c r="A64" s="41" t="s">
        <v>31</v>
      </c>
      <c r="B64" s="42">
        <f t="shared" si="3"/>
        <v>300</v>
      </c>
      <c r="C64" s="42" t="s">
        <v>3</v>
      </c>
      <c r="D64" s="42">
        <f t="shared" si="4"/>
        <v>300</v>
      </c>
      <c r="E64" s="42" t="s">
        <v>3</v>
      </c>
      <c r="F64" s="90">
        <f t="shared" si="5"/>
        <v>800</v>
      </c>
      <c r="G64" s="42" t="s">
        <v>3</v>
      </c>
      <c r="H64" s="39">
        <v>4</v>
      </c>
      <c r="I64" s="40" t="s">
        <v>41</v>
      </c>
      <c r="J64" s="149">
        <v>300</v>
      </c>
      <c r="K64" s="66">
        <v>300</v>
      </c>
      <c r="L64" s="66">
        <v>800</v>
      </c>
      <c r="M64" s="164">
        <v>13.083856839522118</v>
      </c>
      <c r="N64" s="78">
        <v>575.43718451826339</v>
      </c>
      <c r="O64" s="113">
        <v>19664.736969189693</v>
      </c>
      <c r="P64" s="161">
        <v>24082.894647972731</v>
      </c>
      <c r="Q64" s="254">
        <v>11287.572342693116</v>
      </c>
      <c r="R64" s="263">
        <v>30952.309311882811</v>
      </c>
      <c r="S64" s="259">
        <v>35370.466990665846</v>
      </c>
      <c r="U64" s="7" t="s">
        <v>3997</v>
      </c>
    </row>
    <row r="65" spans="1:21" ht="16.5" thickBot="1">
      <c r="A65" s="41" t="s">
        <v>31</v>
      </c>
      <c r="B65" s="42">
        <f t="shared" si="3"/>
        <v>300</v>
      </c>
      <c r="C65" s="42" t="s">
        <v>3</v>
      </c>
      <c r="D65" s="42">
        <f t="shared" si="4"/>
        <v>300</v>
      </c>
      <c r="E65" s="42" t="s">
        <v>3</v>
      </c>
      <c r="F65" s="90">
        <f t="shared" si="5"/>
        <v>850</v>
      </c>
      <c r="G65" s="42" t="s">
        <v>3</v>
      </c>
      <c r="H65" s="39">
        <v>4</v>
      </c>
      <c r="I65" s="40" t="s">
        <v>41</v>
      </c>
      <c r="J65" s="149">
        <v>300</v>
      </c>
      <c r="K65" s="66">
        <v>300</v>
      </c>
      <c r="L65" s="66">
        <v>850</v>
      </c>
      <c r="M65" s="164">
        <v>13.801145761134016</v>
      </c>
      <c r="N65" s="78">
        <v>639.3746494647371</v>
      </c>
      <c r="O65" s="113">
        <v>20504.326534530232</v>
      </c>
      <c r="P65" s="161">
        <v>25143.296908256063</v>
      </c>
      <c r="Q65" s="254">
        <v>12062.548266477399</v>
      </c>
      <c r="R65" s="263">
        <v>32566.874801007631</v>
      </c>
      <c r="S65" s="259">
        <v>37205.845174733462</v>
      </c>
      <c r="U65" s="7" t="s">
        <v>3998</v>
      </c>
    </row>
    <row r="66" spans="1:21" ht="16.5" thickBot="1">
      <c r="A66" s="41" t="s">
        <v>31</v>
      </c>
      <c r="B66" s="42">
        <f t="shared" si="3"/>
        <v>300</v>
      </c>
      <c r="C66" s="42" t="s">
        <v>3</v>
      </c>
      <c r="D66" s="42">
        <f t="shared" si="4"/>
        <v>300</v>
      </c>
      <c r="E66" s="42" t="s">
        <v>3</v>
      </c>
      <c r="F66" s="90">
        <f t="shared" si="5"/>
        <v>900</v>
      </c>
      <c r="G66" s="42" t="s">
        <v>3</v>
      </c>
      <c r="H66" s="39">
        <v>4</v>
      </c>
      <c r="I66" s="40" t="s">
        <v>41</v>
      </c>
      <c r="J66" s="149">
        <v>300</v>
      </c>
      <c r="K66" s="66">
        <v>300</v>
      </c>
      <c r="L66" s="66">
        <v>900</v>
      </c>
      <c r="M66" s="164">
        <v>14.500968682745906</v>
      </c>
      <c r="N66" s="78">
        <v>703.31211441121081</v>
      </c>
      <c r="O66" s="113">
        <v>21343.91609987077</v>
      </c>
      <c r="P66" s="161">
        <v>26203.699168539551</v>
      </c>
      <c r="Q66" s="254">
        <v>12586.189899449146</v>
      </c>
      <c r="R66" s="263">
        <v>33930.105999319916</v>
      </c>
      <c r="S66" s="259">
        <v>38789.889067988697</v>
      </c>
      <c r="U66" s="7" t="s">
        <v>3999</v>
      </c>
    </row>
    <row r="67" spans="1:21" ht="16.5" thickBot="1">
      <c r="A67" s="41" t="s">
        <v>31</v>
      </c>
      <c r="B67" s="42">
        <f t="shared" si="3"/>
        <v>300</v>
      </c>
      <c r="C67" s="42" t="s">
        <v>3</v>
      </c>
      <c r="D67" s="42">
        <f t="shared" si="4"/>
        <v>300</v>
      </c>
      <c r="E67" s="42" t="s">
        <v>3</v>
      </c>
      <c r="F67" s="90">
        <f t="shared" si="5"/>
        <v>950</v>
      </c>
      <c r="G67" s="42" t="s">
        <v>3</v>
      </c>
      <c r="H67" s="39">
        <v>4</v>
      </c>
      <c r="I67" s="40" t="s">
        <v>41</v>
      </c>
      <c r="J67" s="149">
        <v>300</v>
      </c>
      <c r="K67" s="66">
        <v>300</v>
      </c>
      <c r="L67" s="66">
        <v>950</v>
      </c>
      <c r="M67" s="164">
        <v>15.218257604357799</v>
      </c>
      <c r="N67" s="78">
        <v>767.24957935768452</v>
      </c>
      <c r="O67" s="113">
        <v>22183.505665211313</v>
      </c>
      <c r="P67" s="161">
        <v>27264.101428822887</v>
      </c>
      <c r="Q67" s="254">
        <v>13361.165670204662</v>
      </c>
      <c r="R67" s="263">
        <v>35544.671335415973</v>
      </c>
      <c r="S67" s="259">
        <v>40625.267099027551</v>
      </c>
      <c r="U67" s="7" t="s">
        <v>4000</v>
      </c>
    </row>
    <row r="68" spans="1:21" ht="16.5" thickBot="1">
      <c r="A68" s="41" t="s">
        <v>31</v>
      </c>
      <c r="B68" s="42">
        <f t="shared" si="3"/>
        <v>300</v>
      </c>
      <c r="C68" s="42" t="s">
        <v>3</v>
      </c>
      <c r="D68" s="42">
        <f t="shared" si="4"/>
        <v>300</v>
      </c>
      <c r="E68" s="42" t="s">
        <v>3</v>
      </c>
      <c r="F68" s="90">
        <f t="shared" si="5"/>
        <v>1000</v>
      </c>
      <c r="G68" s="42" t="s">
        <v>3</v>
      </c>
      <c r="H68" s="39">
        <v>4</v>
      </c>
      <c r="I68" s="40" t="s">
        <v>41</v>
      </c>
      <c r="J68" s="149">
        <v>300</v>
      </c>
      <c r="K68" s="66">
        <v>300</v>
      </c>
      <c r="L68" s="66">
        <v>1000</v>
      </c>
      <c r="M68" s="164">
        <v>15.918080525969698</v>
      </c>
      <c r="N68" s="78">
        <v>831.18704430415823</v>
      </c>
      <c r="O68" s="113">
        <v>23023.095230551851</v>
      </c>
      <c r="P68" s="161">
        <v>28324.503689106223</v>
      </c>
      <c r="Q68" s="254">
        <v>13884.807456205173</v>
      </c>
      <c r="R68" s="263">
        <v>36907.902686757021</v>
      </c>
      <c r="S68" s="259">
        <v>42209.311145311396</v>
      </c>
      <c r="U68" s="7" t="s">
        <v>4001</v>
      </c>
    </row>
    <row r="69" spans="1:21" ht="16.5" thickBot="1">
      <c r="A69" s="41" t="s">
        <v>31</v>
      </c>
      <c r="B69" s="42">
        <f t="shared" si="3"/>
        <v>300</v>
      </c>
      <c r="C69" s="42" t="s">
        <v>3</v>
      </c>
      <c r="D69" s="42">
        <f t="shared" si="4"/>
        <v>300</v>
      </c>
      <c r="E69" s="42" t="s">
        <v>3</v>
      </c>
      <c r="F69" s="90">
        <f t="shared" si="5"/>
        <v>1050</v>
      </c>
      <c r="G69" s="42" t="s">
        <v>3</v>
      </c>
      <c r="H69" s="39">
        <v>4</v>
      </c>
      <c r="I69" s="40" t="s">
        <v>41</v>
      </c>
      <c r="J69" s="149">
        <v>300</v>
      </c>
      <c r="K69" s="66">
        <v>300</v>
      </c>
      <c r="L69" s="66">
        <v>1050</v>
      </c>
      <c r="M69" s="164">
        <v>16.635369447581589</v>
      </c>
      <c r="N69" s="78">
        <v>895.12450925063195</v>
      </c>
      <c r="O69" s="113">
        <v>23862.684795892394</v>
      </c>
      <c r="P69" s="161">
        <v>29384.905949389558</v>
      </c>
      <c r="Q69" s="254">
        <v>14659.78322696069</v>
      </c>
      <c r="R69" s="263">
        <v>38522.468022853085</v>
      </c>
      <c r="S69" s="259">
        <v>44044.68917635025</v>
      </c>
      <c r="U69" s="7" t="s">
        <v>4002</v>
      </c>
    </row>
    <row r="70" spans="1:21" ht="16.5" thickBot="1">
      <c r="A70" s="38" t="s">
        <v>31</v>
      </c>
      <c r="B70" s="39">
        <f t="shared" si="3"/>
        <v>300</v>
      </c>
      <c r="C70" s="39" t="s">
        <v>3</v>
      </c>
      <c r="D70" s="39">
        <f t="shared" si="4"/>
        <v>300</v>
      </c>
      <c r="E70" s="39" t="s">
        <v>3</v>
      </c>
      <c r="F70" s="90">
        <f t="shared" si="5"/>
        <v>1100</v>
      </c>
      <c r="G70" s="39" t="s">
        <v>3</v>
      </c>
      <c r="H70" s="39">
        <v>4</v>
      </c>
      <c r="I70" s="40" t="s">
        <v>41</v>
      </c>
      <c r="J70" s="149">
        <v>300</v>
      </c>
      <c r="K70" s="66">
        <v>300</v>
      </c>
      <c r="L70" s="66">
        <v>1100</v>
      </c>
      <c r="M70" s="164">
        <v>17.335192369193482</v>
      </c>
      <c r="N70" s="78">
        <v>959.06197419710566</v>
      </c>
      <c r="O70" s="113">
        <v>24702.274361232932</v>
      </c>
      <c r="P70" s="161">
        <v>30445.308209672887</v>
      </c>
      <c r="Q70" s="254">
        <v>15183.425012961201</v>
      </c>
      <c r="R70" s="263">
        <v>39885.699374194133</v>
      </c>
      <c r="S70" s="259">
        <v>45628.733222634088</v>
      </c>
      <c r="U70" s="7" t="s">
        <v>4003</v>
      </c>
    </row>
    <row r="71" spans="1:21" ht="16.5" thickBot="1">
      <c r="A71" s="41" t="s">
        <v>31</v>
      </c>
      <c r="B71" s="42">
        <f t="shared" si="3"/>
        <v>300</v>
      </c>
      <c r="C71" s="42" t="s">
        <v>3</v>
      </c>
      <c r="D71" s="42">
        <f t="shared" si="4"/>
        <v>300</v>
      </c>
      <c r="E71" s="42" t="s">
        <v>3</v>
      </c>
      <c r="F71" s="90">
        <f t="shared" si="5"/>
        <v>1150</v>
      </c>
      <c r="G71" s="42" t="s">
        <v>3</v>
      </c>
      <c r="H71" s="39">
        <v>4</v>
      </c>
      <c r="I71" s="40" t="s">
        <v>41</v>
      </c>
      <c r="J71" s="149">
        <v>300</v>
      </c>
      <c r="K71" s="66">
        <v>300</v>
      </c>
      <c r="L71" s="66">
        <v>1150</v>
      </c>
      <c r="M71" s="164">
        <v>18.035015290805383</v>
      </c>
      <c r="N71" s="78">
        <v>1022.9994391435794</v>
      </c>
      <c r="O71" s="113">
        <v>25541.863926573475</v>
      </c>
      <c r="P71" s="161">
        <v>31505.710469956379</v>
      </c>
      <c r="Q71" s="254">
        <v>15707.066645932946</v>
      </c>
      <c r="R71" s="263">
        <v>41248.930572506419</v>
      </c>
      <c r="S71" s="259">
        <v>47212.777115889323</v>
      </c>
      <c r="U71" s="7" t="s">
        <v>4004</v>
      </c>
    </row>
    <row r="72" spans="1:21" ht="16.5" thickBot="1">
      <c r="A72" s="41" t="s">
        <v>31</v>
      </c>
      <c r="B72" s="42">
        <f t="shared" si="3"/>
        <v>300</v>
      </c>
      <c r="C72" s="42" t="s">
        <v>3</v>
      </c>
      <c r="D72" s="42">
        <f t="shared" si="4"/>
        <v>300</v>
      </c>
      <c r="E72" s="42" t="s">
        <v>3</v>
      </c>
      <c r="F72" s="90">
        <f t="shared" si="5"/>
        <v>1200</v>
      </c>
      <c r="G72" s="42" t="s">
        <v>3</v>
      </c>
      <c r="H72" s="39">
        <v>4</v>
      </c>
      <c r="I72" s="40" t="s">
        <v>41</v>
      </c>
      <c r="J72" s="149">
        <v>300</v>
      </c>
      <c r="K72" s="66">
        <v>300</v>
      </c>
      <c r="L72" s="66">
        <v>1200</v>
      </c>
      <c r="M72" s="164">
        <v>18.832766712417275</v>
      </c>
      <c r="N72" s="78">
        <v>1086.9369040900531</v>
      </c>
      <c r="O72" s="113">
        <v>26469.75675145545</v>
      </c>
      <c r="P72" s="161">
        <v>32655.801138000523</v>
      </c>
      <c r="Q72" s="254">
        <v>16482.042416688462</v>
      </c>
      <c r="R72" s="263">
        <v>42951.799168143916</v>
      </c>
      <c r="S72" s="259">
        <v>49137.843554688981</v>
      </c>
      <c r="U72" s="7" t="s">
        <v>4005</v>
      </c>
    </row>
    <row r="73" spans="1:21" ht="16.5" thickBot="1">
      <c r="A73" s="41" t="s">
        <v>31</v>
      </c>
      <c r="B73" s="42">
        <f t="shared" si="3"/>
        <v>300</v>
      </c>
      <c r="C73" s="42" t="s">
        <v>3</v>
      </c>
      <c r="D73" s="42">
        <f t="shared" si="4"/>
        <v>300</v>
      </c>
      <c r="E73" s="42" t="s">
        <v>3</v>
      </c>
      <c r="F73" s="90">
        <f t="shared" si="5"/>
        <v>1250</v>
      </c>
      <c r="G73" s="42" t="s">
        <v>3</v>
      </c>
      <c r="H73" s="39">
        <v>4</v>
      </c>
      <c r="I73" s="40" t="s">
        <v>41</v>
      </c>
      <c r="J73" s="149">
        <v>300</v>
      </c>
      <c r="K73" s="66">
        <v>300</v>
      </c>
      <c r="L73" s="66">
        <v>1250</v>
      </c>
      <c r="M73" s="164">
        <v>19.532589634029168</v>
      </c>
      <c r="N73" s="78">
        <v>1150.8743690365268</v>
      </c>
      <c r="O73" s="113">
        <v>27309.346316795993</v>
      </c>
      <c r="P73" s="161">
        <v>33716.203398284015</v>
      </c>
      <c r="Q73" s="254">
        <v>17005.684202688975</v>
      </c>
      <c r="R73" s="263">
        <v>44315.030519484964</v>
      </c>
      <c r="S73" s="259">
        <v>50721.887600972987</v>
      </c>
      <c r="U73" s="7" t="s">
        <v>4006</v>
      </c>
    </row>
    <row r="74" spans="1:21" ht="16.5" thickBot="1">
      <c r="A74" s="41" t="s">
        <v>31</v>
      </c>
      <c r="B74" s="42">
        <f t="shared" si="3"/>
        <v>300</v>
      </c>
      <c r="C74" s="42" t="s">
        <v>3</v>
      </c>
      <c r="D74" s="42">
        <f t="shared" si="4"/>
        <v>300</v>
      </c>
      <c r="E74" s="42" t="s">
        <v>3</v>
      </c>
      <c r="F74" s="90">
        <f t="shared" si="5"/>
        <v>1300</v>
      </c>
      <c r="G74" s="42" t="s">
        <v>3</v>
      </c>
      <c r="H74" s="39">
        <v>4</v>
      </c>
      <c r="I74" s="40" t="s">
        <v>41</v>
      </c>
      <c r="J74" s="149">
        <v>300</v>
      </c>
      <c r="K74" s="66">
        <v>300</v>
      </c>
      <c r="L74" s="66">
        <v>1300</v>
      </c>
      <c r="M74" s="164">
        <v>20.249878555641061</v>
      </c>
      <c r="N74" s="78">
        <v>1214.8118339830005</v>
      </c>
      <c r="O74" s="113">
        <v>28148.935882136531</v>
      </c>
      <c r="P74" s="161">
        <v>34776.605658567343</v>
      </c>
      <c r="Q74" s="254">
        <v>17780.65997344449</v>
      </c>
      <c r="R74" s="263">
        <v>45929.595855581021</v>
      </c>
      <c r="S74" s="259">
        <v>52557.265632011833</v>
      </c>
      <c r="U74" s="7" t="s">
        <v>4007</v>
      </c>
    </row>
    <row r="75" spans="1:21" ht="16.5" thickBot="1">
      <c r="A75" s="41" t="s">
        <v>31</v>
      </c>
      <c r="B75" s="42">
        <f t="shared" si="3"/>
        <v>300</v>
      </c>
      <c r="C75" s="42" t="s">
        <v>3</v>
      </c>
      <c r="D75" s="42">
        <f t="shared" si="4"/>
        <v>300</v>
      </c>
      <c r="E75" s="42" t="s">
        <v>3</v>
      </c>
      <c r="F75" s="90">
        <f t="shared" si="5"/>
        <v>1350</v>
      </c>
      <c r="G75" s="42" t="s">
        <v>3</v>
      </c>
      <c r="H75" s="39">
        <v>4</v>
      </c>
      <c r="I75" s="40" t="s">
        <v>41</v>
      </c>
      <c r="J75" s="149">
        <v>300</v>
      </c>
      <c r="K75" s="66">
        <v>300</v>
      </c>
      <c r="L75" s="66">
        <v>1350</v>
      </c>
      <c r="M75" s="164">
        <v>20.949701477252962</v>
      </c>
      <c r="N75" s="78">
        <v>1278.7492989294742</v>
      </c>
      <c r="O75" s="113">
        <v>28988.52544747707</v>
      </c>
      <c r="P75" s="161">
        <v>35837.007918850679</v>
      </c>
      <c r="Q75" s="254">
        <v>18304.301606416237</v>
      </c>
      <c r="R75" s="263">
        <v>47292.827053893307</v>
      </c>
      <c r="S75" s="259">
        <v>54141.309525266915</v>
      </c>
      <c r="U75" s="7" t="s">
        <v>4008</v>
      </c>
    </row>
    <row r="76" spans="1:21" ht="16.5" thickBot="1">
      <c r="A76" s="41" t="s">
        <v>31</v>
      </c>
      <c r="B76" s="42">
        <f t="shared" si="3"/>
        <v>300</v>
      </c>
      <c r="C76" s="42" t="s">
        <v>3</v>
      </c>
      <c r="D76" s="42">
        <f t="shared" si="4"/>
        <v>300</v>
      </c>
      <c r="E76" s="42" t="s">
        <v>3</v>
      </c>
      <c r="F76" s="90">
        <f t="shared" si="5"/>
        <v>1400</v>
      </c>
      <c r="G76" s="42" t="s">
        <v>3</v>
      </c>
      <c r="H76" s="39">
        <v>4</v>
      </c>
      <c r="I76" s="40" t="s">
        <v>41</v>
      </c>
      <c r="J76" s="149">
        <v>300</v>
      </c>
      <c r="K76" s="66">
        <v>300</v>
      </c>
      <c r="L76" s="66">
        <v>1400</v>
      </c>
      <c r="M76" s="164">
        <v>21.666990398864851</v>
      </c>
      <c r="N76" s="78">
        <v>1342.6867638759479</v>
      </c>
      <c r="O76" s="113">
        <v>29828.115012817612</v>
      </c>
      <c r="P76" s="161">
        <v>36897.410179134014</v>
      </c>
      <c r="Q76" s="254">
        <v>19079.277530200521</v>
      </c>
      <c r="R76" s="263">
        <v>48907.392543018133</v>
      </c>
      <c r="S76" s="259">
        <v>55976.687709334539</v>
      </c>
      <c r="U76" s="7" t="s">
        <v>4009</v>
      </c>
    </row>
    <row r="77" spans="1:21" ht="16.5" thickBot="1">
      <c r="A77" s="41" t="s">
        <v>31</v>
      </c>
      <c r="B77" s="42">
        <f t="shared" si="3"/>
        <v>300</v>
      </c>
      <c r="C77" s="42" t="s">
        <v>3</v>
      </c>
      <c r="D77" s="42">
        <f t="shared" si="4"/>
        <v>300</v>
      </c>
      <c r="E77" s="42" t="s">
        <v>3</v>
      </c>
      <c r="F77" s="90">
        <f t="shared" si="5"/>
        <v>1450</v>
      </c>
      <c r="G77" s="42" t="s">
        <v>3</v>
      </c>
      <c r="H77" s="39">
        <v>4</v>
      </c>
      <c r="I77" s="40" t="s">
        <v>41</v>
      </c>
      <c r="J77" s="149">
        <v>300</v>
      </c>
      <c r="K77" s="66">
        <v>300</v>
      </c>
      <c r="L77" s="66">
        <v>1450</v>
      </c>
      <c r="M77" s="164">
        <v>22.366813320476748</v>
      </c>
      <c r="N77" s="78">
        <v>1406.6242288224216</v>
      </c>
      <c r="O77" s="113">
        <v>30667.704578158151</v>
      </c>
      <c r="P77" s="161">
        <v>37957.812439417503</v>
      </c>
      <c r="Q77" s="254">
        <v>19602.919163172111</v>
      </c>
      <c r="R77" s="263">
        <v>50270.623741330259</v>
      </c>
      <c r="S77" s="259">
        <v>57560.731602589614</v>
      </c>
      <c r="U77" s="7" t="s">
        <v>4010</v>
      </c>
    </row>
    <row r="78" spans="1:21" ht="16.5" thickBot="1">
      <c r="A78" s="41" t="s">
        <v>31</v>
      </c>
      <c r="B78" s="42">
        <f t="shared" si="3"/>
        <v>300</v>
      </c>
      <c r="C78" s="42" t="s">
        <v>3</v>
      </c>
      <c r="D78" s="42">
        <f t="shared" si="4"/>
        <v>300</v>
      </c>
      <c r="E78" s="42" t="s">
        <v>3</v>
      </c>
      <c r="F78" s="90">
        <f t="shared" si="5"/>
        <v>1500</v>
      </c>
      <c r="G78" s="42" t="s">
        <v>3</v>
      </c>
      <c r="H78" s="39">
        <v>4</v>
      </c>
      <c r="I78" s="40" t="s">
        <v>41</v>
      </c>
      <c r="J78" s="149">
        <v>300</v>
      </c>
      <c r="K78" s="66">
        <v>300</v>
      </c>
      <c r="L78" s="66">
        <v>1500</v>
      </c>
      <c r="M78" s="164">
        <v>23.254160865347643</v>
      </c>
      <c r="N78" s="78">
        <v>1470.5616937688953</v>
      </c>
      <c r="O78" s="113">
        <v>32206.969814942975</v>
      </c>
      <c r="P78" s="161">
        <v>39681.760299689253</v>
      </c>
      <c r="Q78" s="254">
        <v>20377.895086956549</v>
      </c>
      <c r="R78" s="263">
        <v>52584.86490189952</v>
      </c>
      <c r="S78" s="259">
        <v>60059.655386645798</v>
      </c>
      <c r="U78" s="7" t="s">
        <v>4011</v>
      </c>
    </row>
    <row r="79" spans="1:21" ht="16.5" thickBot="1">
      <c r="A79" s="41" t="s">
        <v>31</v>
      </c>
      <c r="B79" s="42">
        <f t="shared" si="3"/>
        <v>300</v>
      </c>
      <c r="C79" s="42" t="s">
        <v>3</v>
      </c>
      <c r="D79" s="42">
        <f t="shared" si="4"/>
        <v>300</v>
      </c>
      <c r="E79" s="42" t="s">
        <v>3</v>
      </c>
      <c r="F79" s="90">
        <f t="shared" si="5"/>
        <v>1550</v>
      </c>
      <c r="G79" s="42" t="s">
        <v>3</v>
      </c>
      <c r="H79" s="39">
        <v>4</v>
      </c>
      <c r="I79" s="40" t="s">
        <v>41</v>
      </c>
      <c r="J79" s="149">
        <v>300</v>
      </c>
      <c r="K79" s="66">
        <v>300</v>
      </c>
      <c r="L79" s="66">
        <v>1550</v>
      </c>
      <c r="M79" s="164">
        <v>23.953983786959537</v>
      </c>
      <c r="N79" s="78">
        <v>1534.499158715369</v>
      </c>
      <c r="O79" s="113">
        <v>33046.559380283514</v>
      </c>
      <c r="P79" s="161">
        <v>40742.162559972588</v>
      </c>
      <c r="Q79" s="254">
        <v>20901.536719928292</v>
      </c>
      <c r="R79" s="263">
        <v>53948.096100211806</v>
      </c>
      <c r="S79" s="259">
        <v>61643.69927990088</v>
      </c>
      <c r="U79" s="7" t="s">
        <v>4012</v>
      </c>
    </row>
    <row r="80" spans="1:21" ht="16.5" thickBot="1">
      <c r="A80" s="38" t="s">
        <v>31</v>
      </c>
      <c r="B80" s="39">
        <f t="shared" si="3"/>
        <v>300</v>
      </c>
      <c r="C80" s="39" t="s">
        <v>3</v>
      </c>
      <c r="D80" s="39">
        <f t="shared" si="4"/>
        <v>300</v>
      </c>
      <c r="E80" s="39" t="s">
        <v>3</v>
      </c>
      <c r="F80" s="90">
        <f t="shared" si="5"/>
        <v>1600</v>
      </c>
      <c r="G80" s="39" t="s">
        <v>3</v>
      </c>
      <c r="H80" s="39">
        <v>4</v>
      </c>
      <c r="I80" s="40" t="s">
        <v>41</v>
      </c>
      <c r="J80" s="149">
        <v>300</v>
      </c>
      <c r="K80" s="66">
        <v>300</v>
      </c>
      <c r="L80" s="66">
        <v>1600</v>
      </c>
      <c r="M80" s="164">
        <v>24.65380670857143</v>
      </c>
      <c r="N80" s="78">
        <v>1598.4366236618428</v>
      </c>
      <c r="O80" s="113">
        <v>33886.148945624052</v>
      </c>
      <c r="P80" s="161">
        <v>41802.564820256077</v>
      </c>
      <c r="Q80" s="254">
        <v>21425.178352900039</v>
      </c>
      <c r="R80" s="263">
        <v>55311.327298524091</v>
      </c>
      <c r="S80" s="259">
        <v>63227.743173156116</v>
      </c>
      <c r="U80" s="7" t="s">
        <v>4013</v>
      </c>
    </row>
    <row r="81" spans="1:21" ht="16.5" thickBot="1">
      <c r="A81" s="41" t="s">
        <v>31</v>
      </c>
      <c r="B81" s="42">
        <f t="shared" si="3"/>
        <v>300</v>
      </c>
      <c r="C81" s="42" t="s">
        <v>3</v>
      </c>
      <c r="D81" s="42">
        <f t="shared" si="4"/>
        <v>300</v>
      </c>
      <c r="E81" s="42" t="s">
        <v>3</v>
      </c>
      <c r="F81" s="90">
        <f t="shared" si="5"/>
        <v>1650</v>
      </c>
      <c r="G81" s="42" t="s">
        <v>3</v>
      </c>
      <c r="H81" s="39">
        <v>4</v>
      </c>
      <c r="I81" s="40" t="s">
        <v>41</v>
      </c>
      <c r="J81" s="149">
        <v>300</v>
      </c>
      <c r="K81" s="66">
        <v>300</v>
      </c>
      <c r="L81" s="66">
        <v>1650</v>
      </c>
      <c r="M81" s="164">
        <v>25.37109563018333</v>
      </c>
      <c r="N81" s="78">
        <v>1662.3740886083165</v>
      </c>
      <c r="O81" s="113">
        <v>34725.738510964598</v>
      </c>
      <c r="P81" s="161">
        <v>42862.967080539413</v>
      </c>
      <c r="Q81" s="254">
        <v>22200.154276684319</v>
      </c>
      <c r="R81" s="263">
        <v>56925.892787648918</v>
      </c>
      <c r="S81" s="259">
        <v>65063.121357223732</v>
      </c>
      <c r="U81" s="7" t="s">
        <v>4014</v>
      </c>
    </row>
    <row r="82" spans="1:21" ht="16.5" thickBot="1">
      <c r="A82" s="41" t="s">
        <v>31</v>
      </c>
      <c r="B82" s="42">
        <f t="shared" si="3"/>
        <v>300</v>
      </c>
      <c r="C82" s="42" t="s">
        <v>3</v>
      </c>
      <c r="D82" s="42">
        <f t="shared" si="4"/>
        <v>300</v>
      </c>
      <c r="E82" s="42" t="s">
        <v>3</v>
      </c>
      <c r="F82" s="90">
        <f t="shared" si="5"/>
        <v>1700</v>
      </c>
      <c r="G82" s="42" t="s">
        <v>3</v>
      </c>
      <c r="H82" s="39">
        <v>4</v>
      </c>
      <c r="I82" s="40" t="s">
        <v>41</v>
      </c>
      <c r="J82" s="149">
        <v>300</v>
      </c>
      <c r="K82" s="66">
        <v>300</v>
      </c>
      <c r="L82" s="66">
        <v>1700</v>
      </c>
      <c r="M82" s="164">
        <v>26.070918551795224</v>
      </c>
      <c r="N82" s="78">
        <v>1726.3115535547902</v>
      </c>
      <c r="O82" s="113">
        <v>35565.328076305137</v>
      </c>
      <c r="P82" s="161">
        <v>43923.369340822741</v>
      </c>
      <c r="Q82" s="254">
        <v>22723.795909656066</v>
      </c>
      <c r="R82" s="263">
        <v>58289.123985961203</v>
      </c>
      <c r="S82" s="259">
        <v>66647.165250478807</v>
      </c>
      <c r="U82" s="7" t="s">
        <v>4015</v>
      </c>
    </row>
    <row r="83" spans="1:21" ht="16.5" thickBot="1">
      <c r="A83" s="41" t="s">
        <v>31</v>
      </c>
      <c r="B83" s="42">
        <f t="shared" si="3"/>
        <v>300</v>
      </c>
      <c r="C83" s="42" t="s">
        <v>3</v>
      </c>
      <c r="D83" s="42">
        <f t="shared" si="4"/>
        <v>300</v>
      </c>
      <c r="E83" s="42" t="s">
        <v>3</v>
      </c>
      <c r="F83" s="90">
        <f t="shared" si="5"/>
        <v>1750</v>
      </c>
      <c r="G83" s="42" t="s">
        <v>3</v>
      </c>
      <c r="H83" s="39">
        <v>4</v>
      </c>
      <c r="I83" s="40" t="s">
        <v>41</v>
      </c>
      <c r="J83" s="149">
        <v>300</v>
      </c>
      <c r="K83" s="66">
        <v>300</v>
      </c>
      <c r="L83" s="66">
        <v>1750</v>
      </c>
      <c r="M83" s="164">
        <v>26.788207473407113</v>
      </c>
      <c r="N83" s="78">
        <v>1790.2490185012639</v>
      </c>
      <c r="O83" s="113">
        <v>36404.917641645676</v>
      </c>
      <c r="P83" s="161">
        <v>44983.771601106077</v>
      </c>
      <c r="Q83" s="254">
        <v>23498.771833440347</v>
      </c>
      <c r="R83" s="263">
        <v>59903.689475086023</v>
      </c>
      <c r="S83" s="259">
        <v>68482.543434546416</v>
      </c>
      <c r="U83" s="7" t="s">
        <v>4016</v>
      </c>
    </row>
    <row r="84" spans="1:21" ht="16.5" thickBot="1">
      <c r="A84" s="41" t="s">
        <v>31</v>
      </c>
      <c r="B84" s="42">
        <f t="shared" si="3"/>
        <v>300</v>
      </c>
      <c r="C84" s="42" t="s">
        <v>3</v>
      </c>
      <c r="D84" s="42">
        <f t="shared" si="4"/>
        <v>300</v>
      </c>
      <c r="E84" s="42" t="s">
        <v>3</v>
      </c>
      <c r="F84" s="90">
        <f t="shared" si="5"/>
        <v>1800</v>
      </c>
      <c r="G84" s="42" t="s">
        <v>3</v>
      </c>
      <c r="H84" s="39">
        <v>4</v>
      </c>
      <c r="I84" s="40" t="s">
        <v>41</v>
      </c>
      <c r="J84" s="149">
        <v>300</v>
      </c>
      <c r="K84" s="66">
        <v>300</v>
      </c>
      <c r="L84" s="66">
        <v>1800</v>
      </c>
      <c r="M84" s="164">
        <v>27.48803039501901</v>
      </c>
      <c r="N84" s="78">
        <v>1854.1864834477376</v>
      </c>
      <c r="O84" s="113">
        <v>37244.507206986214</v>
      </c>
      <c r="P84" s="161">
        <v>46044.173861389412</v>
      </c>
      <c r="Q84" s="254">
        <v>24022.413466412094</v>
      </c>
      <c r="R84" s="263">
        <v>61266.920673398308</v>
      </c>
      <c r="S84" s="259">
        <v>70066.587327801506</v>
      </c>
      <c r="U84" s="7" t="s">
        <v>4017</v>
      </c>
    </row>
    <row r="85" spans="1:21" ht="16.5" thickBot="1">
      <c r="A85" s="41" t="s">
        <v>31</v>
      </c>
      <c r="B85" s="42">
        <f t="shared" si="3"/>
        <v>300</v>
      </c>
      <c r="C85" s="42" t="s">
        <v>3</v>
      </c>
      <c r="D85" s="42">
        <f t="shared" si="4"/>
        <v>300</v>
      </c>
      <c r="E85" s="42" t="s">
        <v>3</v>
      </c>
      <c r="F85" s="90">
        <f t="shared" si="5"/>
        <v>1850</v>
      </c>
      <c r="G85" s="42" t="s">
        <v>3</v>
      </c>
      <c r="H85" s="39">
        <v>4</v>
      </c>
      <c r="I85" s="40" t="s">
        <v>41</v>
      </c>
      <c r="J85" s="149">
        <v>300</v>
      </c>
      <c r="K85" s="66">
        <v>300</v>
      </c>
      <c r="L85" s="66">
        <v>1850</v>
      </c>
      <c r="M85" s="164">
        <v>28.205319316630902</v>
      </c>
      <c r="N85" s="78">
        <v>1918.1239483942113</v>
      </c>
      <c r="O85" s="113">
        <v>38084.096772326753</v>
      </c>
      <c r="P85" s="161">
        <v>47104.576121672901</v>
      </c>
      <c r="Q85" s="254">
        <v>24797.389237167612</v>
      </c>
      <c r="R85" s="263">
        <v>62881.486009494365</v>
      </c>
      <c r="S85" s="259">
        <v>71901.965358840505</v>
      </c>
      <c r="U85" s="7" t="s">
        <v>4018</v>
      </c>
    </row>
    <row r="86" spans="1:21" ht="16.5" thickBot="1">
      <c r="A86" s="41" t="s">
        <v>31</v>
      </c>
      <c r="B86" s="42">
        <f t="shared" si="3"/>
        <v>300</v>
      </c>
      <c r="C86" s="42" t="s">
        <v>3</v>
      </c>
      <c r="D86" s="42">
        <f t="shared" si="4"/>
        <v>300</v>
      </c>
      <c r="E86" s="42" t="s">
        <v>3</v>
      </c>
      <c r="F86" s="90">
        <f t="shared" si="5"/>
        <v>1900</v>
      </c>
      <c r="G86" s="42" t="s">
        <v>3</v>
      </c>
      <c r="H86" s="39">
        <v>4</v>
      </c>
      <c r="I86" s="40" t="s">
        <v>41</v>
      </c>
      <c r="J86" s="149">
        <v>300</v>
      </c>
      <c r="K86" s="66">
        <v>300</v>
      </c>
      <c r="L86" s="66">
        <v>1900</v>
      </c>
      <c r="M86" s="164">
        <v>28.905142238242796</v>
      </c>
      <c r="N86" s="78">
        <v>1982.061413340685</v>
      </c>
      <c r="O86" s="113">
        <v>38923.686337667299</v>
      </c>
      <c r="P86" s="161">
        <v>48164.978381956236</v>
      </c>
      <c r="Q86" s="254">
        <v>25321.031023168125</v>
      </c>
      <c r="R86" s="263">
        <v>64244.717360835421</v>
      </c>
      <c r="S86" s="259">
        <v>73486.009405124365</v>
      </c>
      <c r="U86" s="7" t="s">
        <v>4019</v>
      </c>
    </row>
    <row r="87" spans="1:21" ht="16.5" thickBot="1">
      <c r="A87" s="41" t="s">
        <v>31</v>
      </c>
      <c r="B87" s="42">
        <f t="shared" si="3"/>
        <v>300</v>
      </c>
      <c r="C87" s="42" t="s">
        <v>3</v>
      </c>
      <c r="D87" s="42">
        <f t="shared" si="4"/>
        <v>300</v>
      </c>
      <c r="E87" s="42" t="s">
        <v>3</v>
      </c>
      <c r="F87" s="90">
        <f t="shared" si="5"/>
        <v>1950</v>
      </c>
      <c r="G87" s="42" t="s">
        <v>3</v>
      </c>
      <c r="H87" s="39">
        <v>4</v>
      </c>
      <c r="I87" s="40" t="s">
        <v>41</v>
      </c>
      <c r="J87" s="149">
        <v>300</v>
      </c>
      <c r="K87" s="66">
        <v>300</v>
      </c>
      <c r="L87" s="66">
        <v>1950</v>
      </c>
      <c r="M87" s="164">
        <v>29.685427659854692</v>
      </c>
      <c r="N87" s="78">
        <v>2045.9988782871587</v>
      </c>
      <c r="O87" s="113">
        <v>39851.579162549271</v>
      </c>
      <c r="P87" s="161">
        <v>49315.069050000537</v>
      </c>
      <c r="Q87" s="254">
        <v>25844.672656139872</v>
      </c>
      <c r="R87" s="263">
        <v>65696.251818689139</v>
      </c>
      <c r="S87" s="259">
        <v>75159.741706140412</v>
      </c>
      <c r="U87" s="7" t="s">
        <v>4020</v>
      </c>
    </row>
    <row r="88" spans="1:21" ht="16.5" thickBot="1">
      <c r="A88" s="41" t="s">
        <v>31</v>
      </c>
      <c r="B88" s="42">
        <f t="shared" si="3"/>
        <v>300</v>
      </c>
      <c r="C88" s="42" t="s">
        <v>3</v>
      </c>
      <c r="D88" s="42">
        <f t="shared" si="4"/>
        <v>300</v>
      </c>
      <c r="E88" s="42" t="s">
        <v>3</v>
      </c>
      <c r="F88" s="90">
        <f t="shared" si="5"/>
        <v>2000</v>
      </c>
      <c r="G88" s="42" t="s">
        <v>3</v>
      </c>
      <c r="H88" s="39">
        <v>4</v>
      </c>
      <c r="I88" s="40" t="s">
        <v>41</v>
      </c>
      <c r="J88" s="149">
        <v>300</v>
      </c>
      <c r="K88" s="66">
        <v>300</v>
      </c>
      <c r="L88" s="66">
        <v>2000</v>
      </c>
      <c r="M88" s="164">
        <v>30.496568041466592</v>
      </c>
      <c r="N88" s="78">
        <v>2109.9363432336322</v>
      </c>
      <c r="O88" s="113">
        <v>40955.025209523759</v>
      </c>
      <c r="P88" s="161">
        <v>50736.742657945499</v>
      </c>
      <c r="Q88" s="254">
        <v>26619.648426895383</v>
      </c>
      <c r="R88" s="263">
        <v>67574.673636419146</v>
      </c>
      <c r="S88" s="259">
        <v>77356.391084840885</v>
      </c>
      <c r="U88" s="7" t="s">
        <v>4021</v>
      </c>
    </row>
    <row r="89" spans="1:21" ht="16.5" thickBot="1">
      <c r="A89" s="41" t="s">
        <v>31</v>
      </c>
      <c r="B89" s="42">
        <f t="shared" si="3"/>
        <v>300</v>
      </c>
      <c r="C89" s="42" t="s">
        <v>3</v>
      </c>
      <c r="D89" s="42">
        <f t="shared" si="4"/>
        <v>300</v>
      </c>
      <c r="E89" s="42" t="s">
        <v>3</v>
      </c>
      <c r="F89" s="90">
        <f t="shared" si="5"/>
        <v>2050</v>
      </c>
      <c r="G89" s="42" t="s">
        <v>3</v>
      </c>
      <c r="H89" s="39">
        <v>4</v>
      </c>
      <c r="I89" s="40" t="s">
        <v>41</v>
      </c>
      <c r="J89" s="149">
        <v>300</v>
      </c>
      <c r="K89" s="66">
        <v>300</v>
      </c>
      <c r="L89" s="66">
        <v>2050</v>
      </c>
      <c r="M89" s="164">
        <v>31.196390963078489</v>
      </c>
      <c r="N89" s="78">
        <v>2173.8738081801062</v>
      </c>
      <c r="O89" s="113">
        <v>41794.614774864298</v>
      </c>
      <c r="P89" s="161">
        <v>51797.14491822898</v>
      </c>
      <c r="Q89" s="254">
        <v>27143.290212895896</v>
      </c>
      <c r="R89" s="263">
        <v>68937.904987760194</v>
      </c>
      <c r="S89" s="259">
        <v>78940.435131124876</v>
      </c>
      <c r="U89" s="7" t="s">
        <v>4022</v>
      </c>
    </row>
    <row r="90" spans="1:21" ht="16.5" thickBot="1">
      <c r="A90" s="38" t="s">
        <v>31</v>
      </c>
      <c r="B90" s="39">
        <f t="shared" si="3"/>
        <v>300</v>
      </c>
      <c r="C90" s="39" t="s">
        <v>3</v>
      </c>
      <c r="D90" s="39">
        <f t="shared" si="4"/>
        <v>300</v>
      </c>
      <c r="E90" s="39" t="s">
        <v>3</v>
      </c>
      <c r="F90" s="90">
        <f t="shared" si="5"/>
        <v>2100</v>
      </c>
      <c r="G90" s="39" t="s">
        <v>3</v>
      </c>
      <c r="H90" s="39">
        <v>4</v>
      </c>
      <c r="I90" s="40" t="s">
        <v>41</v>
      </c>
      <c r="J90" s="149">
        <v>300</v>
      </c>
      <c r="K90" s="66">
        <v>300</v>
      </c>
      <c r="L90" s="66">
        <v>2100</v>
      </c>
      <c r="M90" s="164">
        <v>31.913679884690378</v>
      </c>
      <c r="N90" s="78">
        <v>2237.8112731265801</v>
      </c>
      <c r="O90" s="113">
        <v>42634.204340204844</v>
      </c>
      <c r="P90" s="161">
        <v>52857.547178512315</v>
      </c>
      <c r="Q90" s="254">
        <v>27918.265983651414</v>
      </c>
      <c r="R90" s="263">
        <v>70552.470323856251</v>
      </c>
      <c r="S90" s="259">
        <v>80775.813162163729</v>
      </c>
      <c r="U90" s="7" t="s">
        <v>4023</v>
      </c>
    </row>
    <row r="91" spans="1:21" ht="16.5" thickBot="1">
      <c r="A91" s="41" t="s">
        <v>31</v>
      </c>
      <c r="B91" s="42">
        <f t="shared" si="3"/>
        <v>300</v>
      </c>
      <c r="C91" s="42" t="s">
        <v>3</v>
      </c>
      <c r="D91" s="42">
        <f t="shared" si="4"/>
        <v>300</v>
      </c>
      <c r="E91" s="42" t="s">
        <v>3</v>
      </c>
      <c r="F91" s="90">
        <f t="shared" si="5"/>
        <v>2150</v>
      </c>
      <c r="G91" s="42" t="s">
        <v>3</v>
      </c>
      <c r="H91" s="39">
        <v>4</v>
      </c>
      <c r="I91" s="40" t="s">
        <v>41</v>
      </c>
      <c r="J91" s="149">
        <v>300</v>
      </c>
      <c r="K91" s="66">
        <v>300</v>
      </c>
      <c r="L91" s="66">
        <v>2150</v>
      </c>
      <c r="M91" s="164">
        <v>32.613502806302279</v>
      </c>
      <c r="N91" s="78">
        <v>2301.7487380730536</v>
      </c>
      <c r="O91" s="113">
        <v>43473.793905545383</v>
      </c>
      <c r="P91" s="161">
        <v>53917.949438795651</v>
      </c>
      <c r="Q91" s="254">
        <v>28441.907769651927</v>
      </c>
      <c r="R91" s="263">
        <v>71915.701675197313</v>
      </c>
      <c r="S91" s="259">
        <v>82359.857208447575</v>
      </c>
      <c r="U91" s="7" t="s">
        <v>4024</v>
      </c>
    </row>
    <row r="92" spans="1:21" ht="16.5" thickBot="1">
      <c r="A92" s="41" t="s">
        <v>31</v>
      </c>
      <c r="B92" s="42">
        <f t="shared" si="3"/>
        <v>300</v>
      </c>
      <c r="C92" s="42" t="s">
        <v>3</v>
      </c>
      <c r="D92" s="42">
        <f t="shared" si="4"/>
        <v>300</v>
      </c>
      <c r="E92" s="42" t="s">
        <v>3</v>
      </c>
      <c r="F92" s="90">
        <f t="shared" si="5"/>
        <v>2200</v>
      </c>
      <c r="G92" s="42" t="s">
        <v>3</v>
      </c>
      <c r="H92" s="39">
        <v>4</v>
      </c>
      <c r="I92" s="40" t="s">
        <v>41</v>
      </c>
      <c r="J92" s="149">
        <v>300</v>
      </c>
      <c r="K92" s="66">
        <v>300</v>
      </c>
      <c r="L92" s="66">
        <v>2200</v>
      </c>
      <c r="M92" s="164">
        <v>33.330791727914168</v>
      </c>
      <c r="N92" s="78">
        <v>2365.6862030195275</v>
      </c>
      <c r="O92" s="113">
        <v>44313.383470885929</v>
      </c>
      <c r="P92" s="161">
        <v>54978.351699078987</v>
      </c>
      <c r="Q92" s="254">
        <v>29216.883540407438</v>
      </c>
      <c r="R92" s="263">
        <v>73530.26701129337</v>
      </c>
      <c r="S92" s="259">
        <v>84195.235239486428</v>
      </c>
      <c r="U92" s="7" t="s">
        <v>4025</v>
      </c>
    </row>
    <row r="93" spans="1:21" ht="16.5" thickBot="1">
      <c r="A93" s="41" t="s">
        <v>31</v>
      </c>
      <c r="B93" s="42">
        <f t="shared" si="3"/>
        <v>300</v>
      </c>
      <c r="C93" s="42" t="s">
        <v>3</v>
      </c>
      <c r="D93" s="42">
        <f t="shared" si="4"/>
        <v>300</v>
      </c>
      <c r="E93" s="42" t="s">
        <v>3</v>
      </c>
      <c r="F93" s="90">
        <f t="shared" si="5"/>
        <v>2250</v>
      </c>
      <c r="G93" s="42" t="s">
        <v>3</v>
      </c>
      <c r="H93" s="39">
        <v>4</v>
      </c>
      <c r="I93" s="40" t="s">
        <v>41</v>
      </c>
      <c r="J93" s="149">
        <v>300</v>
      </c>
      <c r="K93" s="66">
        <v>300</v>
      </c>
      <c r="L93" s="66">
        <v>2250</v>
      </c>
      <c r="M93" s="164">
        <v>34.030614649526065</v>
      </c>
      <c r="N93" s="78">
        <v>2429.623667966001</v>
      </c>
      <c r="O93" s="113">
        <v>45152.973036226467</v>
      </c>
      <c r="P93" s="161">
        <v>56038.753959362322</v>
      </c>
      <c r="Q93" s="254">
        <v>29740.525173379188</v>
      </c>
      <c r="R93" s="263">
        <v>74893.498209605663</v>
      </c>
      <c r="S93" s="259">
        <v>85779.279132741503</v>
      </c>
      <c r="U93" s="7" t="s">
        <v>4026</v>
      </c>
    </row>
    <row r="94" spans="1:21" ht="16.5" thickBot="1">
      <c r="A94" s="41" t="s">
        <v>31</v>
      </c>
      <c r="B94" s="42">
        <f t="shared" si="3"/>
        <v>300</v>
      </c>
      <c r="C94" s="42" t="s">
        <v>3</v>
      </c>
      <c r="D94" s="42">
        <f t="shared" si="4"/>
        <v>300</v>
      </c>
      <c r="E94" s="42" t="s">
        <v>3</v>
      </c>
      <c r="F94" s="90">
        <f t="shared" si="5"/>
        <v>2300</v>
      </c>
      <c r="G94" s="42" t="s">
        <v>3</v>
      </c>
      <c r="H94" s="39">
        <v>4</v>
      </c>
      <c r="I94" s="40" t="s">
        <v>41</v>
      </c>
      <c r="J94" s="149">
        <v>300</v>
      </c>
      <c r="K94" s="66">
        <v>300</v>
      </c>
      <c r="L94" s="66">
        <v>2300</v>
      </c>
      <c r="M94" s="164">
        <v>34.730437571137955</v>
      </c>
      <c r="N94" s="78">
        <v>2493.5611329124745</v>
      </c>
      <c r="O94" s="113">
        <v>45992.562601567006</v>
      </c>
      <c r="P94" s="161">
        <v>57099.156219645804</v>
      </c>
      <c r="Q94" s="254">
        <v>30264.166959379701</v>
      </c>
      <c r="R94" s="263">
        <v>76256.729560946711</v>
      </c>
      <c r="S94" s="259">
        <v>87363.323179025509</v>
      </c>
      <c r="U94" s="7" t="s">
        <v>4027</v>
      </c>
    </row>
    <row r="95" spans="1:21" ht="16.5" thickBot="1">
      <c r="A95" s="41" t="s">
        <v>31</v>
      </c>
      <c r="B95" s="42">
        <f t="shared" si="3"/>
        <v>300</v>
      </c>
      <c r="C95" s="42" t="s">
        <v>3</v>
      </c>
      <c r="D95" s="42">
        <f t="shared" si="4"/>
        <v>300</v>
      </c>
      <c r="E95" s="42" t="s">
        <v>3</v>
      </c>
      <c r="F95" s="90">
        <f t="shared" si="5"/>
        <v>2350</v>
      </c>
      <c r="G95" s="42" t="s">
        <v>3</v>
      </c>
      <c r="H95" s="39">
        <v>4</v>
      </c>
      <c r="I95" s="40" t="s">
        <v>41</v>
      </c>
      <c r="J95" s="149">
        <v>300</v>
      </c>
      <c r="K95" s="66">
        <v>300</v>
      </c>
      <c r="L95" s="66">
        <v>2350</v>
      </c>
      <c r="M95" s="164">
        <v>35.447726492749858</v>
      </c>
      <c r="N95" s="78">
        <v>2557.4985978589484</v>
      </c>
      <c r="O95" s="113">
        <v>46832.152166907545</v>
      </c>
      <c r="P95" s="161">
        <v>58159.558479929139</v>
      </c>
      <c r="Q95" s="254">
        <v>31039.142730135216</v>
      </c>
      <c r="R95" s="263">
        <v>77871.294897042768</v>
      </c>
      <c r="S95" s="259">
        <v>89198.701210064348</v>
      </c>
      <c r="U95" s="7" t="s">
        <v>4028</v>
      </c>
    </row>
    <row r="96" spans="1:21" ht="16.5" thickBot="1">
      <c r="A96" s="41" t="s">
        <v>31</v>
      </c>
      <c r="B96" s="42">
        <f t="shared" si="3"/>
        <v>300</v>
      </c>
      <c r="C96" s="42" t="s">
        <v>3</v>
      </c>
      <c r="D96" s="42">
        <f t="shared" si="4"/>
        <v>300</v>
      </c>
      <c r="E96" s="42" t="s">
        <v>3</v>
      </c>
      <c r="F96" s="90">
        <f t="shared" si="5"/>
        <v>2400</v>
      </c>
      <c r="G96" s="42" t="s">
        <v>3</v>
      </c>
      <c r="H96" s="39">
        <v>4</v>
      </c>
      <c r="I96" s="40" t="s">
        <v>41</v>
      </c>
      <c r="J96" s="149">
        <v>300</v>
      </c>
      <c r="K96" s="66">
        <v>300</v>
      </c>
      <c r="L96" s="66">
        <v>2400</v>
      </c>
      <c r="M96" s="164">
        <v>36.147549414361741</v>
      </c>
      <c r="N96" s="78">
        <v>2621.4360628054219</v>
      </c>
      <c r="O96" s="113">
        <v>47671.741732248083</v>
      </c>
      <c r="P96" s="161">
        <v>59219.960740212475</v>
      </c>
      <c r="Q96" s="254">
        <v>31562.784363106966</v>
      </c>
      <c r="R96" s="263">
        <v>79234.526095355046</v>
      </c>
      <c r="S96" s="259">
        <v>90782.745103319437</v>
      </c>
      <c r="U96" s="7" t="s">
        <v>4029</v>
      </c>
    </row>
    <row r="97" spans="1:21" ht="16.5" thickBot="1">
      <c r="A97" s="41" t="s">
        <v>31</v>
      </c>
      <c r="B97" s="42">
        <f t="shared" si="3"/>
        <v>300</v>
      </c>
      <c r="C97" s="42" t="s">
        <v>3</v>
      </c>
      <c r="D97" s="42">
        <f t="shared" si="4"/>
        <v>300</v>
      </c>
      <c r="E97" s="42" t="s">
        <v>3</v>
      </c>
      <c r="F97" s="90">
        <f t="shared" si="5"/>
        <v>2450</v>
      </c>
      <c r="G97" s="42" t="s">
        <v>3</v>
      </c>
      <c r="H97" s="39">
        <v>4</v>
      </c>
      <c r="I97" s="40" t="s">
        <v>41</v>
      </c>
      <c r="J97" s="149">
        <v>300</v>
      </c>
      <c r="K97" s="66">
        <v>300</v>
      </c>
      <c r="L97" s="66">
        <v>2450</v>
      </c>
      <c r="M97" s="164">
        <v>37.03489695923264</v>
      </c>
      <c r="N97" s="78">
        <v>2685.3735277518958</v>
      </c>
      <c r="O97" s="113">
        <v>49211.007122061674</v>
      </c>
      <c r="P97" s="161">
        <v>60943.908600484378</v>
      </c>
      <c r="Q97" s="254">
        <v>32337.760286891244</v>
      </c>
      <c r="R97" s="263">
        <v>81548.767408952917</v>
      </c>
      <c r="S97" s="259">
        <v>93281.668887375621</v>
      </c>
      <c r="U97" s="7" t="s">
        <v>4030</v>
      </c>
    </row>
    <row r="98" spans="1:21" ht="16.5" thickBot="1">
      <c r="A98" s="41" t="s">
        <v>31</v>
      </c>
      <c r="B98" s="42">
        <f t="shared" si="3"/>
        <v>300</v>
      </c>
      <c r="C98" s="42" t="s">
        <v>3</v>
      </c>
      <c r="D98" s="42">
        <f t="shared" si="4"/>
        <v>300</v>
      </c>
      <c r="E98" s="42" t="s">
        <v>3</v>
      </c>
      <c r="F98" s="90">
        <f t="shared" si="5"/>
        <v>2500</v>
      </c>
      <c r="G98" s="42" t="s">
        <v>3</v>
      </c>
      <c r="H98" s="39">
        <v>4</v>
      </c>
      <c r="I98" s="40" t="s">
        <v>41</v>
      </c>
      <c r="J98" s="149">
        <v>300</v>
      </c>
      <c r="K98" s="66">
        <v>300</v>
      </c>
      <c r="L98" s="66">
        <v>2500</v>
      </c>
      <c r="M98" s="164">
        <v>37.73471988084453</v>
      </c>
      <c r="N98" s="78">
        <v>2749.3109926983693</v>
      </c>
      <c r="O98" s="113">
        <v>50050.596687402212</v>
      </c>
      <c r="P98" s="161">
        <v>62004.310860767713</v>
      </c>
      <c r="Q98" s="254">
        <v>32861.40191986299</v>
      </c>
      <c r="R98" s="263">
        <v>82911.99860726521</v>
      </c>
      <c r="S98" s="259">
        <v>94865.712780630711</v>
      </c>
      <c r="U98" s="7" t="s">
        <v>4031</v>
      </c>
    </row>
    <row r="99" spans="1:21" ht="16.5" thickBot="1">
      <c r="A99" s="41" t="s">
        <v>31</v>
      </c>
      <c r="B99" s="42">
        <f t="shared" si="3"/>
        <v>300</v>
      </c>
      <c r="C99" s="42" t="s">
        <v>3</v>
      </c>
      <c r="D99" s="42">
        <f t="shared" si="4"/>
        <v>300</v>
      </c>
      <c r="E99" s="42" t="s">
        <v>3</v>
      </c>
      <c r="F99" s="90">
        <f t="shared" si="5"/>
        <v>2550</v>
      </c>
      <c r="G99" s="42" t="s">
        <v>3</v>
      </c>
      <c r="H99" s="39">
        <v>4</v>
      </c>
      <c r="I99" s="40" t="s">
        <v>41</v>
      </c>
      <c r="J99" s="149">
        <v>300</v>
      </c>
      <c r="K99" s="66">
        <v>300</v>
      </c>
      <c r="L99" s="66">
        <v>2550</v>
      </c>
      <c r="M99" s="164">
        <v>38.452008802456433</v>
      </c>
      <c r="N99" s="78">
        <v>2813.2484576448433</v>
      </c>
      <c r="O99" s="113">
        <v>50890.186252742751</v>
      </c>
      <c r="P99" s="161">
        <v>63064.713121051049</v>
      </c>
      <c r="Q99" s="254">
        <v>33636.377843647271</v>
      </c>
      <c r="R99" s="263">
        <v>84526.564096390022</v>
      </c>
      <c r="S99" s="259">
        <v>96701.09096469832</v>
      </c>
      <c r="U99" s="7" t="s">
        <v>4032</v>
      </c>
    </row>
    <row r="100" spans="1:21" ht="16.5" thickBot="1">
      <c r="A100" s="38" t="s">
        <v>31</v>
      </c>
      <c r="B100" s="39">
        <f t="shared" si="3"/>
        <v>300</v>
      </c>
      <c r="C100" s="39" t="s">
        <v>3</v>
      </c>
      <c r="D100" s="39">
        <f t="shared" si="4"/>
        <v>300</v>
      </c>
      <c r="E100" s="39" t="s">
        <v>3</v>
      </c>
      <c r="F100" s="90">
        <f t="shared" si="5"/>
        <v>2600</v>
      </c>
      <c r="G100" s="39" t="s">
        <v>3</v>
      </c>
      <c r="H100" s="39">
        <v>4</v>
      </c>
      <c r="I100" s="40" t="s">
        <v>41</v>
      </c>
      <c r="J100" s="149">
        <v>300</v>
      </c>
      <c r="K100" s="66">
        <v>300</v>
      </c>
      <c r="L100" s="66">
        <v>2600</v>
      </c>
      <c r="M100" s="164">
        <v>39.151831724068323</v>
      </c>
      <c r="N100" s="78">
        <v>2877.1859225913167</v>
      </c>
      <c r="O100" s="113">
        <v>51729.775818083297</v>
      </c>
      <c r="P100" s="161">
        <v>64125.11538133453</v>
      </c>
      <c r="Q100" s="254">
        <v>34160.019476619018</v>
      </c>
      <c r="R100" s="263">
        <v>85889.795294702315</v>
      </c>
      <c r="S100" s="259">
        <v>98285.134857953555</v>
      </c>
      <c r="U100" s="7" t="s">
        <v>4033</v>
      </c>
    </row>
    <row r="101" spans="1:21" ht="16.5" thickBot="1">
      <c r="A101" s="41" t="s">
        <v>31</v>
      </c>
      <c r="B101" s="42">
        <f t="shared" si="3"/>
        <v>300</v>
      </c>
      <c r="C101" s="42" t="s">
        <v>3</v>
      </c>
      <c r="D101" s="42">
        <f t="shared" si="4"/>
        <v>300</v>
      </c>
      <c r="E101" s="42" t="s">
        <v>3</v>
      </c>
      <c r="F101" s="90">
        <f t="shared" si="5"/>
        <v>2650</v>
      </c>
      <c r="G101" s="42" t="s">
        <v>3</v>
      </c>
      <c r="H101" s="39">
        <v>4</v>
      </c>
      <c r="I101" s="40" t="s">
        <v>41</v>
      </c>
      <c r="J101" s="149">
        <v>300</v>
      </c>
      <c r="K101" s="66">
        <v>300</v>
      </c>
      <c r="L101" s="66">
        <v>2650</v>
      </c>
      <c r="M101" s="164">
        <v>39.869120645680219</v>
      </c>
      <c r="N101" s="78">
        <v>2941.1233875377907</v>
      </c>
      <c r="O101" s="113">
        <v>52569.365383423828</v>
      </c>
      <c r="P101" s="161">
        <v>65185.517641617866</v>
      </c>
      <c r="Q101" s="254">
        <v>34934.995247374536</v>
      </c>
      <c r="R101" s="263">
        <v>87504.360630798357</v>
      </c>
      <c r="S101" s="259">
        <v>100120.51288899241</v>
      </c>
      <c r="U101" s="7" t="s">
        <v>4034</v>
      </c>
    </row>
    <row r="102" spans="1:21" ht="16.5" thickBot="1">
      <c r="A102" s="41" t="s">
        <v>31</v>
      </c>
      <c r="B102" s="42">
        <f t="shared" si="3"/>
        <v>300</v>
      </c>
      <c r="C102" s="42" t="s">
        <v>3</v>
      </c>
      <c r="D102" s="42">
        <f t="shared" si="4"/>
        <v>300</v>
      </c>
      <c r="E102" s="42" t="s">
        <v>3</v>
      </c>
      <c r="F102" s="90">
        <f t="shared" si="5"/>
        <v>2700</v>
      </c>
      <c r="G102" s="42" t="s">
        <v>3</v>
      </c>
      <c r="H102" s="39">
        <v>4</v>
      </c>
      <c r="I102" s="40" t="s">
        <v>41</v>
      </c>
      <c r="J102" s="149">
        <v>300</v>
      </c>
      <c r="K102" s="66">
        <v>300</v>
      </c>
      <c r="L102" s="66">
        <v>2700</v>
      </c>
      <c r="M102" s="164">
        <v>40.649406067292126</v>
      </c>
      <c r="N102" s="78">
        <v>3005.0608524842646</v>
      </c>
      <c r="O102" s="113">
        <v>53497.258055277045</v>
      </c>
      <c r="P102" s="161">
        <v>66335.608309662013</v>
      </c>
      <c r="Q102" s="254">
        <v>35458.637033375046</v>
      </c>
      <c r="R102" s="263">
        <v>88955.895088652091</v>
      </c>
      <c r="S102" s="259">
        <v>101794.24534303707</v>
      </c>
      <c r="U102" s="7" t="s">
        <v>4035</v>
      </c>
    </row>
    <row r="103" spans="1:21" ht="16.5" thickBot="1">
      <c r="A103" s="41" t="s">
        <v>31</v>
      </c>
      <c r="B103" s="42">
        <f t="shared" si="3"/>
        <v>300</v>
      </c>
      <c r="C103" s="42" t="s">
        <v>3</v>
      </c>
      <c r="D103" s="42">
        <f t="shared" si="4"/>
        <v>300</v>
      </c>
      <c r="E103" s="42" t="s">
        <v>3</v>
      </c>
      <c r="F103" s="90">
        <f t="shared" si="5"/>
        <v>2750</v>
      </c>
      <c r="G103" s="42" t="s">
        <v>3</v>
      </c>
      <c r="H103" s="39">
        <v>4</v>
      </c>
      <c r="I103" s="40" t="s">
        <v>41</v>
      </c>
      <c r="J103" s="149">
        <v>300</v>
      </c>
      <c r="K103" s="66">
        <v>300</v>
      </c>
      <c r="L103" s="66">
        <v>2750</v>
      </c>
      <c r="M103" s="164">
        <v>41.349228988904009</v>
      </c>
      <c r="N103" s="78">
        <v>3068.9983174307381</v>
      </c>
      <c r="O103" s="113">
        <v>54336.847620617584</v>
      </c>
      <c r="P103" s="161">
        <v>67396.010569945502</v>
      </c>
      <c r="Q103" s="254">
        <v>35982.278666346792</v>
      </c>
      <c r="R103" s="263">
        <v>90319.126286964369</v>
      </c>
      <c r="S103" s="259">
        <v>103378.2892362923</v>
      </c>
      <c r="U103" s="7" t="s">
        <v>4036</v>
      </c>
    </row>
    <row r="104" spans="1:21" ht="16.5" thickBot="1">
      <c r="A104" s="41" t="s">
        <v>31</v>
      </c>
      <c r="B104" s="42">
        <f t="shared" si="3"/>
        <v>300</v>
      </c>
      <c r="C104" s="42" t="s">
        <v>3</v>
      </c>
      <c r="D104" s="42">
        <f t="shared" si="4"/>
        <v>300</v>
      </c>
      <c r="E104" s="42" t="s">
        <v>3</v>
      </c>
      <c r="F104" s="90">
        <f t="shared" si="5"/>
        <v>2800</v>
      </c>
      <c r="G104" s="42" t="s">
        <v>3</v>
      </c>
      <c r="H104" s="39">
        <v>4</v>
      </c>
      <c r="I104" s="40" t="s">
        <v>41</v>
      </c>
      <c r="J104" s="149">
        <v>300</v>
      </c>
      <c r="K104" s="66">
        <v>300</v>
      </c>
      <c r="L104" s="66">
        <v>2800</v>
      </c>
      <c r="M104" s="164">
        <v>42.066517910515905</v>
      </c>
      <c r="N104" s="78">
        <v>3132.935782377212</v>
      </c>
      <c r="O104" s="113">
        <v>55176.43718595813</v>
      </c>
      <c r="P104" s="161">
        <v>68456.412830228845</v>
      </c>
      <c r="Q104" s="254">
        <v>36757.25443710231</v>
      </c>
      <c r="R104" s="263">
        <v>91933.69162306044</v>
      </c>
      <c r="S104" s="259">
        <v>105213.66726733116</v>
      </c>
      <c r="U104" s="7" t="s">
        <v>4037</v>
      </c>
    </row>
    <row r="105" spans="1:21" ht="16.5" thickBot="1">
      <c r="A105" s="41" t="s">
        <v>31</v>
      </c>
      <c r="B105" s="42">
        <f t="shared" si="3"/>
        <v>300</v>
      </c>
      <c r="C105" s="42" t="s">
        <v>3</v>
      </c>
      <c r="D105" s="42">
        <f t="shared" si="4"/>
        <v>300</v>
      </c>
      <c r="E105" s="42" t="s">
        <v>3</v>
      </c>
      <c r="F105" s="90">
        <f t="shared" si="5"/>
        <v>2850</v>
      </c>
      <c r="G105" s="42" t="s">
        <v>3</v>
      </c>
      <c r="H105" s="39">
        <v>4</v>
      </c>
      <c r="I105" s="40" t="s">
        <v>41</v>
      </c>
      <c r="J105" s="149">
        <v>300</v>
      </c>
      <c r="K105" s="66">
        <v>300</v>
      </c>
      <c r="L105" s="66">
        <v>2850</v>
      </c>
      <c r="M105" s="164">
        <v>42.766340832127803</v>
      </c>
      <c r="N105" s="78">
        <v>3196.8732473236855</v>
      </c>
      <c r="O105" s="113">
        <v>56016.026751298661</v>
      </c>
      <c r="P105" s="161">
        <v>69516.815090512173</v>
      </c>
      <c r="Q105" s="254">
        <v>37280.89622310282</v>
      </c>
      <c r="R105" s="263">
        <v>93296.922974401474</v>
      </c>
      <c r="S105" s="259">
        <v>106797.711313615</v>
      </c>
      <c r="U105" s="7" t="s">
        <v>4038</v>
      </c>
    </row>
    <row r="106" spans="1:21" ht="16.5" thickBot="1">
      <c r="A106" s="41" t="s">
        <v>31</v>
      </c>
      <c r="B106" s="42">
        <f t="shared" si="3"/>
        <v>300</v>
      </c>
      <c r="C106" s="42" t="s">
        <v>3</v>
      </c>
      <c r="D106" s="42">
        <f t="shared" si="4"/>
        <v>300</v>
      </c>
      <c r="E106" s="42" t="s">
        <v>3</v>
      </c>
      <c r="F106" s="90">
        <f t="shared" si="5"/>
        <v>2900</v>
      </c>
      <c r="G106" s="42" t="s">
        <v>3</v>
      </c>
      <c r="H106" s="39">
        <v>4</v>
      </c>
      <c r="I106" s="40" t="s">
        <v>41</v>
      </c>
      <c r="J106" s="149">
        <v>300</v>
      </c>
      <c r="K106" s="66">
        <v>300</v>
      </c>
      <c r="L106" s="66">
        <v>2900</v>
      </c>
      <c r="M106" s="164">
        <v>43.483629753739685</v>
      </c>
      <c r="N106" s="78">
        <v>3260.810712270159</v>
      </c>
      <c r="O106" s="113">
        <v>56855.61646966797</v>
      </c>
      <c r="P106" s="161">
        <v>70577.217350795516</v>
      </c>
      <c r="Q106" s="254">
        <v>38055.871993858338</v>
      </c>
      <c r="R106" s="263">
        <v>94911.488463526301</v>
      </c>
      <c r="S106" s="259">
        <v>108633.08934465385</v>
      </c>
      <c r="U106" s="7" t="s">
        <v>4039</v>
      </c>
    </row>
    <row r="107" spans="1:21" ht="16.5" thickBot="1">
      <c r="A107" s="41" t="s">
        <v>31</v>
      </c>
      <c r="B107" s="42">
        <f t="shared" si="3"/>
        <v>300</v>
      </c>
      <c r="C107" s="42" t="s">
        <v>3</v>
      </c>
      <c r="D107" s="42">
        <f t="shared" si="4"/>
        <v>300</v>
      </c>
      <c r="E107" s="42" t="s">
        <v>3</v>
      </c>
      <c r="F107" s="90">
        <f t="shared" si="5"/>
        <v>2950</v>
      </c>
      <c r="G107" s="42" t="s">
        <v>3</v>
      </c>
      <c r="H107" s="39">
        <v>4</v>
      </c>
      <c r="I107" s="40" t="s">
        <v>41</v>
      </c>
      <c r="J107" s="149">
        <v>300</v>
      </c>
      <c r="K107" s="66">
        <v>300</v>
      </c>
      <c r="L107" s="66">
        <v>2950</v>
      </c>
      <c r="M107" s="164">
        <v>44.183452675351582</v>
      </c>
      <c r="N107" s="78">
        <v>3324.7481772166329</v>
      </c>
      <c r="O107" s="113">
        <v>57695.206035008516</v>
      </c>
      <c r="P107" s="161">
        <v>71637.61961107883</v>
      </c>
      <c r="Q107" s="254">
        <v>38579.513779858848</v>
      </c>
      <c r="R107" s="263">
        <v>96274.719814867363</v>
      </c>
      <c r="S107" s="259">
        <v>110217.13339093767</v>
      </c>
      <c r="U107" s="7" t="s">
        <v>4040</v>
      </c>
    </row>
    <row r="108" spans="1:21" ht="16.5" thickBot="1">
      <c r="A108" s="43" t="s">
        <v>31</v>
      </c>
      <c r="B108" s="44">
        <f t="shared" si="3"/>
        <v>300</v>
      </c>
      <c r="C108" s="44" t="s">
        <v>3</v>
      </c>
      <c r="D108" s="44">
        <f t="shared" si="4"/>
        <v>300</v>
      </c>
      <c r="E108" s="44" t="s">
        <v>3</v>
      </c>
      <c r="F108" s="91">
        <f t="shared" si="5"/>
        <v>3000</v>
      </c>
      <c r="G108" s="44" t="s">
        <v>3</v>
      </c>
      <c r="H108" s="46">
        <v>4</v>
      </c>
      <c r="I108" s="45" t="s">
        <v>41</v>
      </c>
      <c r="J108" s="265">
        <v>300</v>
      </c>
      <c r="K108" s="266">
        <v>300</v>
      </c>
      <c r="L108" s="266">
        <v>3000</v>
      </c>
      <c r="M108" s="249">
        <v>43.805601558013151</v>
      </c>
      <c r="N108" s="250">
        <v>3388.6856421631064</v>
      </c>
      <c r="O108" s="251">
        <v>59879.763121601201</v>
      </c>
      <c r="P108" s="283">
        <v>72698.021871362333</v>
      </c>
      <c r="Q108" s="267">
        <v>39354.489550614366</v>
      </c>
      <c r="R108" s="268">
        <v>99234.252672215574</v>
      </c>
      <c r="S108" s="269">
        <v>112052.5114219767</v>
      </c>
      <c r="U108" s="7" t="s">
        <v>4041</v>
      </c>
    </row>
    <row r="109" spans="1:21" ht="19.5" thickBot="1">
      <c r="A109" s="2968" t="s">
        <v>44</v>
      </c>
      <c r="B109" s="2969"/>
      <c r="C109" s="2969"/>
      <c r="D109" s="2969"/>
      <c r="E109" s="2969"/>
      <c r="F109" s="2969"/>
      <c r="G109" s="2969"/>
      <c r="H109" s="2969"/>
      <c r="I109" s="2969"/>
      <c r="J109" s="2969"/>
      <c r="K109" s="2969"/>
      <c r="L109" s="2969"/>
      <c r="M109" s="2969"/>
      <c r="N109" s="2969"/>
      <c r="O109" s="2969"/>
      <c r="P109" s="2969"/>
      <c r="Q109" s="2969"/>
      <c r="R109" s="2969"/>
      <c r="S109" s="2970"/>
      <c r="U109" s="7"/>
    </row>
    <row r="110" spans="1:21" ht="16.5" thickBot="1">
      <c r="A110" s="2974" t="s">
        <v>118</v>
      </c>
      <c r="B110" s="2975"/>
      <c r="C110" s="2975"/>
      <c r="D110" s="2975"/>
      <c r="E110" s="2975"/>
      <c r="F110" s="2975"/>
      <c r="G110" s="2975"/>
      <c r="H110" s="2975"/>
      <c r="I110" s="2975"/>
      <c r="J110" s="2975"/>
      <c r="K110" s="2975"/>
      <c r="L110" s="2975"/>
      <c r="M110" s="2975"/>
      <c r="N110" s="2975"/>
      <c r="O110" s="2975"/>
      <c r="P110" s="2975"/>
      <c r="Q110" s="2975"/>
      <c r="R110" s="2975"/>
      <c r="S110" s="2976"/>
      <c r="U110" s="7"/>
    </row>
    <row r="111" spans="1:21" ht="16.5" thickBot="1">
      <c r="A111" s="38" t="s">
        <v>31</v>
      </c>
      <c r="B111" s="39">
        <f>J111</f>
        <v>300</v>
      </c>
      <c r="C111" s="39" t="s">
        <v>3</v>
      </c>
      <c r="D111" s="39">
        <f>K111</f>
        <v>360</v>
      </c>
      <c r="E111" s="39" t="s">
        <v>3</v>
      </c>
      <c r="F111" s="90">
        <f>L111</f>
        <v>600</v>
      </c>
      <c r="G111" s="39" t="s">
        <v>3</v>
      </c>
      <c r="H111" s="39">
        <v>8</v>
      </c>
      <c r="I111" s="40" t="s">
        <v>42</v>
      </c>
      <c r="J111" s="270">
        <v>300</v>
      </c>
      <c r="K111" s="271">
        <v>360</v>
      </c>
      <c r="L111" s="271">
        <v>600</v>
      </c>
      <c r="M111" s="245">
        <v>12.891356973344212</v>
      </c>
      <c r="N111" s="246">
        <v>536.95663259296873</v>
      </c>
      <c r="O111" s="247">
        <v>21836.967741780325</v>
      </c>
      <c r="P111" s="275">
        <v>25849.728879568367</v>
      </c>
      <c r="Q111" s="272">
        <v>10032.760953270536</v>
      </c>
      <c r="R111" s="273">
        <v>31869.728695050861</v>
      </c>
      <c r="S111" s="274">
        <v>35882.489832838903</v>
      </c>
      <c r="U111" s="7" t="s">
        <v>4042</v>
      </c>
    </row>
    <row r="112" spans="1:21" ht="16.5" thickBot="1">
      <c r="A112" s="41" t="s">
        <v>31</v>
      </c>
      <c r="B112" s="42">
        <f t="shared" ref="B112:B159" si="6">J112</f>
        <v>300</v>
      </c>
      <c r="C112" s="42" t="s">
        <v>3</v>
      </c>
      <c r="D112" s="42">
        <f t="shared" ref="D112:D159" si="7">K112</f>
        <v>360</v>
      </c>
      <c r="E112" s="42" t="s">
        <v>3</v>
      </c>
      <c r="F112" s="90">
        <f t="shared" ref="F112:F159" si="8">L112</f>
        <v>650</v>
      </c>
      <c r="G112" s="42" t="s">
        <v>3</v>
      </c>
      <c r="H112" s="39">
        <v>8</v>
      </c>
      <c r="I112" s="40" t="s">
        <v>42</v>
      </c>
      <c r="J112" s="149">
        <v>300</v>
      </c>
      <c r="K112" s="66">
        <v>360</v>
      </c>
      <c r="L112" s="66">
        <v>650</v>
      </c>
      <c r="M112" s="164">
        <v>13.793465367706315</v>
      </c>
      <c r="N112" s="78">
        <v>644.34795911156243</v>
      </c>
      <c r="O112" s="113">
        <v>23140.858822811326</v>
      </c>
      <c r="P112" s="111">
        <v>27399.692051265545</v>
      </c>
      <c r="Q112" s="254">
        <v>10636.181837508726</v>
      </c>
      <c r="R112" s="263">
        <v>33777.040660320054</v>
      </c>
      <c r="S112" s="259">
        <v>38035.873888774273</v>
      </c>
      <c r="U112" s="7" t="s">
        <v>4043</v>
      </c>
    </row>
    <row r="113" spans="1:21" ht="16.5" thickBot="1">
      <c r="A113" s="41" t="s">
        <v>31</v>
      </c>
      <c r="B113" s="42">
        <f t="shared" si="6"/>
        <v>300</v>
      </c>
      <c r="C113" s="42" t="s">
        <v>3</v>
      </c>
      <c r="D113" s="42">
        <f t="shared" si="7"/>
        <v>360</v>
      </c>
      <c r="E113" s="42" t="s">
        <v>3</v>
      </c>
      <c r="F113" s="90">
        <f t="shared" si="8"/>
        <v>700</v>
      </c>
      <c r="G113" s="42" t="s">
        <v>3</v>
      </c>
      <c r="H113" s="39">
        <v>8</v>
      </c>
      <c r="I113" s="40" t="s">
        <v>42</v>
      </c>
      <c r="J113" s="149">
        <v>300</v>
      </c>
      <c r="K113" s="66">
        <v>360</v>
      </c>
      <c r="L113" s="66">
        <v>700</v>
      </c>
      <c r="M113" s="164">
        <v>14.712613762068418</v>
      </c>
      <c r="N113" s="78">
        <v>751.73928563015613</v>
      </c>
      <c r="O113" s="113">
        <v>24444.749903842327</v>
      </c>
      <c r="P113" s="111">
        <v>28949.655222962727</v>
      </c>
      <c r="Q113" s="254">
        <v>11490.936859530682</v>
      </c>
      <c r="R113" s="263">
        <v>35935.686763373007</v>
      </c>
      <c r="S113" s="259">
        <v>40440.592082493407</v>
      </c>
      <c r="U113" s="7" t="s">
        <v>4044</v>
      </c>
    </row>
    <row r="114" spans="1:21" ht="16.5" thickBot="1">
      <c r="A114" s="41" t="s">
        <v>31</v>
      </c>
      <c r="B114" s="42">
        <f t="shared" si="6"/>
        <v>300</v>
      </c>
      <c r="C114" s="42" t="s">
        <v>3</v>
      </c>
      <c r="D114" s="42">
        <f t="shared" si="7"/>
        <v>360</v>
      </c>
      <c r="E114" s="42" t="s">
        <v>3</v>
      </c>
      <c r="F114" s="90">
        <f t="shared" si="8"/>
        <v>750</v>
      </c>
      <c r="G114" s="42" t="s">
        <v>3</v>
      </c>
      <c r="H114" s="39">
        <v>8</v>
      </c>
      <c r="I114" s="40" t="s">
        <v>42</v>
      </c>
      <c r="J114" s="149">
        <v>300</v>
      </c>
      <c r="K114" s="66">
        <v>360</v>
      </c>
      <c r="L114" s="66">
        <v>750</v>
      </c>
      <c r="M114" s="164">
        <v>15.614722156430526</v>
      </c>
      <c r="N114" s="78">
        <v>859.13061214874995</v>
      </c>
      <c r="O114" s="113">
        <v>25748.641137902094</v>
      </c>
      <c r="P114" s="111">
        <v>30499.618547688679</v>
      </c>
      <c r="Q114" s="254">
        <v>12094.357743768871</v>
      </c>
      <c r="R114" s="263">
        <v>37842.998881670967</v>
      </c>
      <c r="S114" s="259">
        <v>42593.976291457548</v>
      </c>
      <c r="U114" s="7" t="s">
        <v>4045</v>
      </c>
    </row>
    <row r="115" spans="1:21" ht="16.5" thickBot="1">
      <c r="A115" s="41" t="s">
        <v>31</v>
      </c>
      <c r="B115" s="42">
        <f t="shared" si="6"/>
        <v>300</v>
      </c>
      <c r="C115" s="42" t="s">
        <v>3</v>
      </c>
      <c r="D115" s="42">
        <f t="shared" si="7"/>
        <v>360</v>
      </c>
      <c r="E115" s="42" t="s">
        <v>3</v>
      </c>
      <c r="F115" s="90">
        <f t="shared" si="8"/>
        <v>800</v>
      </c>
      <c r="G115" s="42" t="s">
        <v>3</v>
      </c>
      <c r="H115" s="39">
        <v>8</v>
      </c>
      <c r="I115" s="40" t="s">
        <v>42</v>
      </c>
      <c r="J115" s="149">
        <v>300</v>
      </c>
      <c r="K115" s="66">
        <v>360</v>
      </c>
      <c r="L115" s="66">
        <v>800</v>
      </c>
      <c r="M115" s="164">
        <v>16.516830550792633</v>
      </c>
      <c r="N115" s="78">
        <v>966.52193866734365</v>
      </c>
      <c r="O115" s="113">
        <v>27052.532218933095</v>
      </c>
      <c r="P115" s="111">
        <v>32049.581719385857</v>
      </c>
      <c r="Q115" s="254">
        <v>12697.77862800706</v>
      </c>
      <c r="R115" s="263">
        <v>39750.310846940156</v>
      </c>
      <c r="S115" s="259">
        <v>44747.360347392918</v>
      </c>
      <c r="U115" s="7" t="s">
        <v>4046</v>
      </c>
    </row>
    <row r="116" spans="1:21" ht="16.5" thickBot="1">
      <c r="A116" s="41" t="s">
        <v>31</v>
      </c>
      <c r="B116" s="42">
        <f t="shared" si="6"/>
        <v>300</v>
      </c>
      <c r="C116" s="42" t="s">
        <v>3</v>
      </c>
      <c r="D116" s="42">
        <f t="shared" si="7"/>
        <v>360</v>
      </c>
      <c r="E116" s="42" t="s">
        <v>3</v>
      </c>
      <c r="F116" s="90">
        <f t="shared" si="8"/>
        <v>850</v>
      </c>
      <c r="G116" s="42" t="s">
        <v>3</v>
      </c>
      <c r="H116" s="39">
        <v>8</v>
      </c>
      <c r="I116" s="40" t="s">
        <v>42</v>
      </c>
      <c r="J116" s="149">
        <v>300</v>
      </c>
      <c r="K116" s="66">
        <v>360</v>
      </c>
      <c r="L116" s="66">
        <v>850</v>
      </c>
      <c r="M116" s="164">
        <v>17.435978945154737</v>
      </c>
      <c r="N116" s="78">
        <v>1073.9132651859375</v>
      </c>
      <c r="O116" s="113">
        <v>28356.423299964092</v>
      </c>
      <c r="P116" s="111">
        <v>33599.544891083038</v>
      </c>
      <c r="Q116" s="254">
        <v>13552.533650029018</v>
      </c>
      <c r="R116" s="263">
        <v>41908.956949993109</v>
      </c>
      <c r="S116" s="259">
        <v>47152.07854111206</v>
      </c>
      <c r="U116" s="7" t="s">
        <v>4047</v>
      </c>
    </row>
    <row r="117" spans="1:21" ht="16.5" thickBot="1">
      <c r="A117" s="41" t="s">
        <v>31</v>
      </c>
      <c r="B117" s="42">
        <f t="shared" si="6"/>
        <v>300</v>
      </c>
      <c r="C117" s="42" t="s">
        <v>3</v>
      </c>
      <c r="D117" s="42">
        <f t="shared" si="7"/>
        <v>360</v>
      </c>
      <c r="E117" s="42" t="s">
        <v>3</v>
      </c>
      <c r="F117" s="90">
        <f t="shared" si="8"/>
        <v>900</v>
      </c>
      <c r="G117" s="42" t="s">
        <v>3</v>
      </c>
      <c r="H117" s="39">
        <v>8</v>
      </c>
      <c r="I117" s="40" t="s">
        <v>42</v>
      </c>
      <c r="J117" s="149">
        <v>300</v>
      </c>
      <c r="K117" s="66">
        <v>360</v>
      </c>
      <c r="L117" s="66">
        <v>900</v>
      </c>
      <c r="M117" s="164">
        <v>18.338087339516843</v>
      </c>
      <c r="N117" s="78">
        <v>1181.3045917045313</v>
      </c>
      <c r="O117" s="113">
        <v>29660.314380995096</v>
      </c>
      <c r="P117" s="111">
        <v>35149.508215808986</v>
      </c>
      <c r="Q117" s="254">
        <v>14155.954534267206</v>
      </c>
      <c r="R117" s="263">
        <v>43816.268915262306</v>
      </c>
      <c r="S117" s="259">
        <v>49305.462750076193</v>
      </c>
      <c r="U117" s="7" t="s">
        <v>4048</v>
      </c>
    </row>
    <row r="118" spans="1:21" ht="16.5" thickBot="1">
      <c r="A118" s="41" t="s">
        <v>31</v>
      </c>
      <c r="B118" s="42">
        <f t="shared" si="6"/>
        <v>300</v>
      </c>
      <c r="C118" s="42" t="s">
        <v>3</v>
      </c>
      <c r="D118" s="42">
        <f t="shared" si="7"/>
        <v>360</v>
      </c>
      <c r="E118" s="42" t="s">
        <v>3</v>
      </c>
      <c r="F118" s="90">
        <f t="shared" si="8"/>
        <v>950</v>
      </c>
      <c r="G118" s="42" t="s">
        <v>3</v>
      </c>
      <c r="H118" s="39">
        <v>8</v>
      </c>
      <c r="I118" s="40" t="s">
        <v>42</v>
      </c>
      <c r="J118" s="149">
        <v>300</v>
      </c>
      <c r="K118" s="66">
        <v>360</v>
      </c>
      <c r="L118" s="66">
        <v>950</v>
      </c>
      <c r="M118" s="164">
        <v>19.257235733878947</v>
      </c>
      <c r="N118" s="78">
        <v>1288.6959182231249</v>
      </c>
      <c r="O118" s="113">
        <v>30964.205615054863</v>
      </c>
      <c r="P118" s="111">
        <v>36699.471387506164</v>
      </c>
      <c r="Q118" s="254">
        <v>15010.709556289165</v>
      </c>
      <c r="R118" s="263">
        <v>45974.91517134403</v>
      </c>
      <c r="S118" s="259">
        <v>51710.180943795327</v>
      </c>
      <c r="U118" s="7" t="s">
        <v>4049</v>
      </c>
    </row>
    <row r="119" spans="1:21" ht="16.5" thickBot="1">
      <c r="A119" s="41" t="s">
        <v>31</v>
      </c>
      <c r="B119" s="42">
        <f t="shared" si="6"/>
        <v>300</v>
      </c>
      <c r="C119" s="42" t="s">
        <v>3</v>
      </c>
      <c r="D119" s="42">
        <f t="shared" si="7"/>
        <v>360</v>
      </c>
      <c r="E119" s="42" t="s">
        <v>3</v>
      </c>
      <c r="F119" s="90">
        <f t="shared" si="8"/>
        <v>1000</v>
      </c>
      <c r="G119" s="42" t="s">
        <v>3</v>
      </c>
      <c r="H119" s="39">
        <v>8</v>
      </c>
      <c r="I119" s="40" t="s">
        <v>42</v>
      </c>
      <c r="J119" s="149">
        <v>300</v>
      </c>
      <c r="K119" s="66">
        <v>360</v>
      </c>
      <c r="L119" s="66">
        <v>1000</v>
      </c>
      <c r="M119" s="164">
        <v>20.159344128241056</v>
      </c>
      <c r="N119" s="78">
        <v>1396.0872447417185</v>
      </c>
      <c r="O119" s="113">
        <v>32268.09669608586</v>
      </c>
      <c r="P119" s="111">
        <v>38249.43471223212</v>
      </c>
      <c r="Q119" s="254">
        <v>15614.130440527351</v>
      </c>
      <c r="R119" s="263">
        <v>47882.227136613212</v>
      </c>
      <c r="S119" s="259">
        <v>53863.565152759475</v>
      </c>
      <c r="U119" s="7" t="s">
        <v>4050</v>
      </c>
    </row>
    <row r="120" spans="1:21" ht="16.5" thickBot="1">
      <c r="A120" s="41" t="s">
        <v>31</v>
      </c>
      <c r="B120" s="42">
        <f t="shared" si="6"/>
        <v>300</v>
      </c>
      <c r="C120" s="42" t="s">
        <v>3</v>
      </c>
      <c r="D120" s="42">
        <f t="shared" si="7"/>
        <v>360</v>
      </c>
      <c r="E120" s="42" t="s">
        <v>3</v>
      </c>
      <c r="F120" s="90">
        <f t="shared" si="8"/>
        <v>1050</v>
      </c>
      <c r="G120" s="42" t="s">
        <v>3</v>
      </c>
      <c r="H120" s="39">
        <v>8</v>
      </c>
      <c r="I120" s="40" t="s">
        <v>42</v>
      </c>
      <c r="J120" s="149">
        <v>300</v>
      </c>
      <c r="K120" s="66">
        <v>360</v>
      </c>
      <c r="L120" s="66">
        <v>1050</v>
      </c>
      <c r="M120" s="164">
        <v>21.078492522603156</v>
      </c>
      <c r="N120" s="78">
        <v>1503.4785712603123</v>
      </c>
      <c r="O120" s="113">
        <v>33571.987777116861</v>
      </c>
      <c r="P120" s="111">
        <v>39799.397883929298</v>
      </c>
      <c r="Q120" s="254">
        <v>16468.885462549311</v>
      </c>
      <c r="R120" s="263">
        <v>50040.873239666173</v>
      </c>
      <c r="S120" s="259">
        <v>56268.283346478609</v>
      </c>
      <c r="U120" s="7" t="s">
        <v>4051</v>
      </c>
    </row>
    <row r="121" spans="1:21" ht="16.5" thickBot="1">
      <c r="A121" s="38" t="s">
        <v>31</v>
      </c>
      <c r="B121" s="39">
        <f t="shared" si="6"/>
        <v>300</v>
      </c>
      <c r="C121" s="39" t="s">
        <v>3</v>
      </c>
      <c r="D121" s="39">
        <f t="shared" si="7"/>
        <v>360</v>
      </c>
      <c r="E121" s="39" t="s">
        <v>3</v>
      </c>
      <c r="F121" s="90">
        <f t="shared" si="8"/>
        <v>1100</v>
      </c>
      <c r="G121" s="39" t="s">
        <v>3</v>
      </c>
      <c r="H121" s="39">
        <v>8</v>
      </c>
      <c r="I121" s="40" t="s">
        <v>42</v>
      </c>
      <c r="J121" s="149">
        <v>300</v>
      </c>
      <c r="K121" s="66">
        <v>360</v>
      </c>
      <c r="L121" s="66">
        <v>1100</v>
      </c>
      <c r="M121" s="164">
        <v>21.980600916965265</v>
      </c>
      <c r="N121" s="78">
        <v>1610.8698977789061</v>
      </c>
      <c r="O121" s="113">
        <v>34875.878858147858</v>
      </c>
      <c r="P121" s="111">
        <v>41349.361055626483</v>
      </c>
      <c r="Q121" s="254">
        <v>17072.3063467875</v>
      </c>
      <c r="R121" s="263">
        <v>51948.185204935362</v>
      </c>
      <c r="S121" s="259">
        <v>58421.667402413979</v>
      </c>
      <c r="U121" s="7" t="s">
        <v>4052</v>
      </c>
    </row>
    <row r="122" spans="1:21" ht="16.5" thickBot="1">
      <c r="A122" s="41" t="s">
        <v>31</v>
      </c>
      <c r="B122" s="42">
        <f t="shared" si="6"/>
        <v>300</v>
      </c>
      <c r="C122" s="42" t="s">
        <v>3</v>
      </c>
      <c r="D122" s="42">
        <f t="shared" si="7"/>
        <v>360</v>
      </c>
      <c r="E122" s="42" t="s">
        <v>3</v>
      </c>
      <c r="F122" s="90">
        <f t="shared" si="8"/>
        <v>1150</v>
      </c>
      <c r="G122" s="42" t="s">
        <v>3</v>
      </c>
      <c r="H122" s="39">
        <v>8</v>
      </c>
      <c r="I122" s="40" t="s">
        <v>42</v>
      </c>
      <c r="J122" s="149">
        <v>300</v>
      </c>
      <c r="K122" s="66">
        <v>360</v>
      </c>
      <c r="L122" s="66">
        <v>1150</v>
      </c>
      <c r="M122" s="164">
        <v>22.882709311327375</v>
      </c>
      <c r="N122" s="78">
        <v>1718.2612242974999</v>
      </c>
      <c r="O122" s="113">
        <v>36179.770092207626</v>
      </c>
      <c r="P122" s="111">
        <v>42899.324380352431</v>
      </c>
      <c r="Q122" s="254">
        <v>17675.727231025689</v>
      </c>
      <c r="R122" s="263">
        <v>53855.497323233314</v>
      </c>
      <c r="S122" s="259">
        <v>60575.05161137812</v>
      </c>
      <c r="U122" s="7" t="s">
        <v>4053</v>
      </c>
    </row>
    <row r="123" spans="1:21" ht="16.5" thickBot="1">
      <c r="A123" s="41" t="s">
        <v>31</v>
      </c>
      <c r="B123" s="42">
        <f t="shared" si="6"/>
        <v>300</v>
      </c>
      <c r="C123" s="42" t="s">
        <v>3</v>
      </c>
      <c r="D123" s="42">
        <f t="shared" si="7"/>
        <v>360</v>
      </c>
      <c r="E123" s="42" t="s">
        <v>3</v>
      </c>
      <c r="F123" s="90">
        <f t="shared" si="8"/>
        <v>1200</v>
      </c>
      <c r="G123" s="42" t="s">
        <v>3</v>
      </c>
      <c r="H123" s="39">
        <v>8</v>
      </c>
      <c r="I123" s="40" t="s">
        <v>42</v>
      </c>
      <c r="J123" s="149">
        <v>300</v>
      </c>
      <c r="K123" s="66">
        <v>360</v>
      </c>
      <c r="L123" s="66">
        <v>1200</v>
      </c>
      <c r="M123" s="164">
        <v>23.958857705689475</v>
      </c>
      <c r="N123" s="78">
        <v>1825.6525508160937</v>
      </c>
      <c r="O123" s="113">
        <v>37651.857690476521</v>
      </c>
      <c r="P123" s="111">
        <v>44618.510892301492</v>
      </c>
      <c r="Q123" s="254">
        <v>18530.482406076411</v>
      </c>
      <c r="R123" s="263">
        <v>56182.340096552929</v>
      </c>
      <c r="S123" s="259">
        <v>63148.9932983779</v>
      </c>
      <c r="U123" s="7" t="s">
        <v>4054</v>
      </c>
    </row>
    <row r="124" spans="1:21" ht="16.5" thickBot="1">
      <c r="A124" s="41" t="s">
        <v>31</v>
      </c>
      <c r="B124" s="42">
        <f t="shared" si="6"/>
        <v>300</v>
      </c>
      <c r="C124" s="42" t="s">
        <v>3</v>
      </c>
      <c r="D124" s="42">
        <f t="shared" si="7"/>
        <v>360</v>
      </c>
      <c r="E124" s="42" t="s">
        <v>3</v>
      </c>
      <c r="F124" s="90">
        <f t="shared" si="8"/>
        <v>1250</v>
      </c>
      <c r="G124" s="42" t="s">
        <v>3</v>
      </c>
      <c r="H124" s="39">
        <v>8</v>
      </c>
      <c r="I124" s="40" t="s">
        <v>42</v>
      </c>
      <c r="J124" s="149">
        <v>300</v>
      </c>
      <c r="K124" s="66">
        <v>360</v>
      </c>
      <c r="L124" s="66">
        <v>1250</v>
      </c>
      <c r="M124" s="164">
        <v>24.860966100051577</v>
      </c>
      <c r="N124" s="78">
        <v>1933.0438773346873</v>
      </c>
      <c r="O124" s="113">
        <v>38955.748771507526</v>
      </c>
      <c r="P124" s="111">
        <v>46168.47421702744</v>
      </c>
      <c r="Q124" s="254">
        <v>19133.9032903146</v>
      </c>
      <c r="R124" s="263">
        <v>58089.652061822126</v>
      </c>
      <c r="S124" s="259">
        <v>65302.37750734204</v>
      </c>
      <c r="U124" s="7" t="s">
        <v>4055</v>
      </c>
    </row>
    <row r="125" spans="1:21" ht="16.5" thickBot="1">
      <c r="A125" s="41" t="s">
        <v>31</v>
      </c>
      <c r="B125" s="42">
        <f t="shared" si="6"/>
        <v>300</v>
      </c>
      <c r="C125" s="42" t="s">
        <v>3</v>
      </c>
      <c r="D125" s="42">
        <f t="shared" si="7"/>
        <v>360</v>
      </c>
      <c r="E125" s="42" t="s">
        <v>3</v>
      </c>
      <c r="F125" s="90">
        <f t="shared" si="8"/>
        <v>1300</v>
      </c>
      <c r="G125" s="42" t="s">
        <v>3</v>
      </c>
      <c r="H125" s="39">
        <v>8</v>
      </c>
      <c r="I125" s="40" t="s">
        <v>42</v>
      </c>
      <c r="J125" s="149">
        <v>300</v>
      </c>
      <c r="K125" s="66">
        <v>360</v>
      </c>
      <c r="L125" s="66">
        <v>1300</v>
      </c>
      <c r="M125" s="164">
        <v>25.780114494413688</v>
      </c>
      <c r="N125" s="78">
        <v>2040.4352038532811</v>
      </c>
      <c r="O125" s="113">
        <v>40259.640005567293</v>
      </c>
      <c r="P125" s="111">
        <v>47718.437388724618</v>
      </c>
      <c r="Q125" s="254">
        <v>19988.658312336556</v>
      </c>
      <c r="R125" s="263">
        <v>60248.298317903849</v>
      </c>
      <c r="S125" s="259">
        <v>67707.095701061175</v>
      </c>
      <c r="U125" s="7" t="s">
        <v>4056</v>
      </c>
    </row>
    <row r="126" spans="1:21" ht="16.5" thickBot="1">
      <c r="A126" s="41" t="s">
        <v>31</v>
      </c>
      <c r="B126" s="42">
        <f t="shared" si="6"/>
        <v>300</v>
      </c>
      <c r="C126" s="42" t="s">
        <v>3</v>
      </c>
      <c r="D126" s="42">
        <f t="shared" si="7"/>
        <v>360</v>
      </c>
      <c r="E126" s="42" t="s">
        <v>3</v>
      </c>
      <c r="F126" s="90">
        <f t="shared" si="8"/>
        <v>1350</v>
      </c>
      <c r="G126" s="42" t="s">
        <v>3</v>
      </c>
      <c r="H126" s="39">
        <v>8</v>
      </c>
      <c r="I126" s="40" t="s">
        <v>42</v>
      </c>
      <c r="J126" s="149">
        <v>300</v>
      </c>
      <c r="K126" s="66">
        <v>360</v>
      </c>
      <c r="L126" s="66">
        <v>1350</v>
      </c>
      <c r="M126" s="164">
        <v>26.68222288877579</v>
      </c>
      <c r="N126" s="78">
        <v>2147.8265303718749</v>
      </c>
      <c r="O126" s="113">
        <v>41563.53108659829</v>
      </c>
      <c r="P126" s="111">
        <v>49268.400560421804</v>
      </c>
      <c r="Q126" s="254">
        <v>20592.079196574745</v>
      </c>
      <c r="R126" s="263">
        <v>62155.610283173039</v>
      </c>
      <c r="S126" s="259">
        <v>69860.479756996545</v>
      </c>
      <c r="U126" s="7" t="s">
        <v>4057</v>
      </c>
    </row>
    <row r="127" spans="1:21" ht="16.5" thickBot="1">
      <c r="A127" s="41" t="s">
        <v>31</v>
      </c>
      <c r="B127" s="42">
        <f t="shared" si="6"/>
        <v>300</v>
      </c>
      <c r="C127" s="42" t="s">
        <v>3</v>
      </c>
      <c r="D127" s="42">
        <f t="shared" si="7"/>
        <v>360</v>
      </c>
      <c r="E127" s="42" t="s">
        <v>3</v>
      </c>
      <c r="F127" s="90">
        <f t="shared" si="8"/>
        <v>1400</v>
      </c>
      <c r="G127" s="42" t="s">
        <v>3</v>
      </c>
      <c r="H127" s="39">
        <v>8</v>
      </c>
      <c r="I127" s="40" t="s">
        <v>42</v>
      </c>
      <c r="J127" s="149">
        <v>300</v>
      </c>
      <c r="K127" s="66">
        <v>360</v>
      </c>
      <c r="L127" s="66">
        <v>1400</v>
      </c>
      <c r="M127" s="164">
        <v>27.601371283137894</v>
      </c>
      <c r="N127" s="78">
        <v>2255.2178568904683</v>
      </c>
      <c r="O127" s="113">
        <v>42867.422167629287</v>
      </c>
      <c r="P127" s="111">
        <v>50818.363885147752</v>
      </c>
      <c r="Q127" s="254">
        <v>21446.834218596705</v>
      </c>
      <c r="R127" s="263">
        <v>64314.256386225992</v>
      </c>
      <c r="S127" s="259">
        <v>72265.198103744449</v>
      </c>
      <c r="U127" s="7" t="s">
        <v>4058</v>
      </c>
    </row>
    <row r="128" spans="1:21" ht="16.5" thickBot="1">
      <c r="A128" s="41" t="s">
        <v>31</v>
      </c>
      <c r="B128" s="42">
        <f t="shared" si="6"/>
        <v>300</v>
      </c>
      <c r="C128" s="42" t="s">
        <v>3</v>
      </c>
      <c r="D128" s="42">
        <f t="shared" si="7"/>
        <v>360</v>
      </c>
      <c r="E128" s="42" t="s">
        <v>3</v>
      </c>
      <c r="F128" s="90">
        <f t="shared" si="8"/>
        <v>1450</v>
      </c>
      <c r="G128" s="42" t="s">
        <v>3</v>
      </c>
      <c r="H128" s="39">
        <v>8</v>
      </c>
      <c r="I128" s="40" t="s">
        <v>42</v>
      </c>
      <c r="J128" s="149">
        <v>300</v>
      </c>
      <c r="K128" s="66">
        <v>360</v>
      </c>
      <c r="L128" s="66">
        <v>1450</v>
      </c>
      <c r="M128" s="164">
        <v>28.503479677500003</v>
      </c>
      <c r="N128" s="78">
        <v>2362.6091834090626</v>
      </c>
      <c r="O128" s="113">
        <v>44171.313248660292</v>
      </c>
      <c r="P128" s="111">
        <v>52368.327056844937</v>
      </c>
      <c r="Q128" s="254">
        <v>22050.255102834893</v>
      </c>
      <c r="R128" s="263">
        <v>66221.568351495182</v>
      </c>
      <c r="S128" s="259">
        <v>74418.582159679834</v>
      </c>
      <c r="U128" s="7" t="s">
        <v>4059</v>
      </c>
    </row>
    <row r="129" spans="1:21" ht="16.5" thickBot="1">
      <c r="A129" s="41" t="s">
        <v>31</v>
      </c>
      <c r="B129" s="42">
        <f t="shared" si="6"/>
        <v>300</v>
      </c>
      <c r="C129" s="42" t="s">
        <v>3</v>
      </c>
      <c r="D129" s="42">
        <f t="shared" si="7"/>
        <v>360</v>
      </c>
      <c r="E129" s="42" t="s">
        <v>3</v>
      </c>
      <c r="F129" s="90">
        <f t="shared" si="8"/>
        <v>1500</v>
      </c>
      <c r="G129" s="42" t="s">
        <v>3</v>
      </c>
      <c r="H129" s="39">
        <v>8</v>
      </c>
      <c r="I129" s="40" t="s">
        <v>42</v>
      </c>
      <c r="J129" s="149">
        <v>300</v>
      </c>
      <c r="K129" s="66">
        <v>360</v>
      </c>
      <c r="L129" s="66">
        <v>1500</v>
      </c>
      <c r="M129" s="164">
        <v>29.658249365822108</v>
      </c>
      <c r="N129" s="78">
        <v>2470.0005099276555</v>
      </c>
      <c r="O129" s="113">
        <v>46295.395968764591</v>
      </c>
      <c r="P129" s="111">
        <v>54723.400882812341</v>
      </c>
      <c r="Q129" s="254">
        <v>22905.01012485685</v>
      </c>
      <c r="R129" s="263">
        <v>69200.406093621437</v>
      </c>
      <c r="S129" s="259">
        <v>77628.411007669187</v>
      </c>
      <c r="U129" s="7" t="s">
        <v>4060</v>
      </c>
    </row>
    <row r="130" spans="1:21" ht="16.5" thickBot="1">
      <c r="A130" s="41" t="s">
        <v>31</v>
      </c>
      <c r="B130" s="42">
        <f t="shared" si="6"/>
        <v>300</v>
      </c>
      <c r="C130" s="42" t="s">
        <v>3</v>
      </c>
      <c r="D130" s="42">
        <f t="shared" si="7"/>
        <v>360</v>
      </c>
      <c r="E130" s="42" t="s">
        <v>3</v>
      </c>
      <c r="F130" s="90">
        <f t="shared" si="8"/>
        <v>1550</v>
      </c>
      <c r="G130" s="42" t="s">
        <v>3</v>
      </c>
      <c r="H130" s="39">
        <v>8</v>
      </c>
      <c r="I130" s="40" t="s">
        <v>42</v>
      </c>
      <c r="J130" s="149">
        <v>300</v>
      </c>
      <c r="K130" s="66">
        <v>360</v>
      </c>
      <c r="L130" s="66">
        <v>1550</v>
      </c>
      <c r="M130" s="164">
        <v>30.56035776018421</v>
      </c>
      <c r="N130" s="78">
        <v>2577.3918364462497</v>
      </c>
      <c r="O130" s="113">
        <v>47599.287049795588</v>
      </c>
      <c r="P130" s="111">
        <v>56273.364054509519</v>
      </c>
      <c r="Q130" s="254">
        <v>23508.431009095038</v>
      </c>
      <c r="R130" s="263">
        <v>71107.718058890634</v>
      </c>
      <c r="S130" s="259">
        <v>79781.795063604557</v>
      </c>
      <c r="U130" s="7" t="s">
        <v>4061</v>
      </c>
    </row>
    <row r="131" spans="1:21" ht="16.5" thickBot="1">
      <c r="A131" s="38" t="s">
        <v>31</v>
      </c>
      <c r="B131" s="39">
        <f t="shared" si="6"/>
        <v>300</v>
      </c>
      <c r="C131" s="39" t="s">
        <v>3</v>
      </c>
      <c r="D131" s="39">
        <f t="shared" si="7"/>
        <v>360</v>
      </c>
      <c r="E131" s="39" t="s">
        <v>3</v>
      </c>
      <c r="F131" s="90">
        <f t="shared" si="8"/>
        <v>1600</v>
      </c>
      <c r="G131" s="39" t="s">
        <v>3</v>
      </c>
      <c r="H131" s="39">
        <v>8</v>
      </c>
      <c r="I131" s="40" t="s">
        <v>42</v>
      </c>
      <c r="J131" s="149">
        <v>300</v>
      </c>
      <c r="K131" s="66">
        <v>360</v>
      </c>
      <c r="L131" s="66">
        <v>1600</v>
      </c>
      <c r="M131" s="164">
        <v>31.462466154546313</v>
      </c>
      <c r="N131" s="78">
        <v>2684.7831629648435</v>
      </c>
      <c r="O131" s="113">
        <v>48903.178283855355</v>
      </c>
      <c r="P131" s="111">
        <v>57823.327379235474</v>
      </c>
      <c r="Q131" s="254">
        <v>24111.851893333227</v>
      </c>
      <c r="R131" s="263">
        <v>73015.030177188586</v>
      </c>
      <c r="S131" s="259">
        <v>81935.179272568697</v>
      </c>
      <c r="U131" s="7" t="s">
        <v>4062</v>
      </c>
    </row>
    <row r="132" spans="1:21" ht="16.5" thickBot="1">
      <c r="A132" s="41" t="s">
        <v>31</v>
      </c>
      <c r="B132" s="42">
        <f t="shared" si="6"/>
        <v>300</v>
      </c>
      <c r="C132" s="42" t="s">
        <v>3</v>
      </c>
      <c r="D132" s="42">
        <f t="shared" si="7"/>
        <v>360</v>
      </c>
      <c r="E132" s="42" t="s">
        <v>3</v>
      </c>
      <c r="F132" s="90">
        <f t="shared" si="8"/>
        <v>1650</v>
      </c>
      <c r="G132" s="42" t="s">
        <v>3</v>
      </c>
      <c r="H132" s="39">
        <v>8</v>
      </c>
      <c r="I132" s="40" t="s">
        <v>42</v>
      </c>
      <c r="J132" s="149">
        <v>300</v>
      </c>
      <c r="K132" s="66">
        <v>360</v>
      </c>
      <c r="L132" s="66">
        <v>1650</v>
      </c>
      <c r="M132" s="164">
        <v>32.381614548908416</v>
      </c>
      <c r="N132" s="78">
        <v>2792.1744894834369</v>
      </c>
      <c r="O132" s="113">
        <v>50207.069364886345</v>
      </c>
      <c r="P132" s="111">
        <v>59373.290550932659</v>
      </c>
      <c r="Q132" s="254">
        <v>24966.606915355183</v>
      </c>
      <c r="R132" s="263">
        <v>75173.676280241532</v>
      </c>
      <c r="S132" s="259">
        <v>84339.897466287846</v>
      </c>
      <c r="U132" s="7" t="s">
        <v>4063</v>
      </c>
    </row>
    <row r="133" spans="1:21" ht="16.5" thickBot="1">
      <c r="A133" s="41" t="s">
        <v>31</v>
      </c>
      <c r="B133" s="42">
        <f t="shared" si="6"/>
        <v>300</v>
      </c>
      <c r="C133" s="42" t="s">
        <v>3</v>
      </c>
      <c r="D133" s="42">
        <f t="shared" si="7"/>
        <v>360</v>
      </c>
      <c r="E133" s="42" t="s">
        <v>3</v>
      </c>
      <c r="F133" s="90">
        <f t="shared" si="8"/>
        <v>1700</v>
      </c>
      <c r="G133" s="42" t="s">
        <v>3</v>
      </c>
      <c r="H133" s="39">
        <v>8</v>
      </c>
      <c r="I133" s="40" t="s">
        <v>42</v>
      </c>
      <c r="J133" s="149">
        <v>300</v>
      </c>
      <c r="K133" s="66">
        <v>360</v>
      </c>
      <c r="L133" s="66">
        <v>1700</v>
      </c>
      <c r="M133" s="164">
        <v>33.283722943270526</v>
      </c>
      <c r="N133" s="78">
        <v>2899.5658160020312</v>
      </c>
      <c r="O133" s="113">
        <v>51510.960445917357</v>
      </c>
      <c r="P133" s="111">
        <v>60923.25372262983</v>
      </c>
      <c r="Q133" s="254">
        <v>25570.027799593372</v>
      </c>
      <c r="R133" s="263">
        <v>77080.988245510729</v>
      </c>
      <c r="S133" s="259">
        <v>86493.281522223202</v>
      </c>
      <c r="U133" s="7" t="s">
        <v>4064</v>
      </c>
    </row>
    <row r="134" spans="1:21" ht="16.5" thickBot="1">
      <c r="A134" s="41" t="s">
        <v>31</v>
      </c>
      <c r="B134" s="42">
        <f t="shared" si="6"/>
        <v>300</v>
      </c>
      <c r="C134" s="42" t="s">
        <v>3</v>
      </c>
      <c r="D134" s="42">
        <f t="shared" si="7"/>
        <v>360</v>
      </c>
      <c r="E134" s="42" t="s">
        <v>3</v>
      </c>
      <c r="F134" s="90">
        <f t="shared" si="8"/>
        <v>1750</v>
      </c>
      <c r="G134" s="42" t="s">
        <v>3</v>
      </c>
      <c r="H134" s="39">
        <v>8</v>
      </c>
      <c r="I134" s="40" t="s">
        <v>42</v>
      </c>
      <c r="J134" s="149">
        <v>300</v>
      </c>
      <c r="K134" s="66">
        <v>360</v>
      </c>
      <c r="L134" s="66">
        <v>1750</v>
      </c>
      <c r="M134" s="164">
        <v>34.202871337632629</v>
      </c>
      <c r="N134" s="78">
        <v>3006.9571425206245</v>
      </c>
      <c r="O134" s="113">
        <v>52814.851526948354</v>
      </c>
      <c r="P134" s="111">
        <v>62473.217047355785</v>
      </c>
      <c r="Q134" s="254">
        <v>26424.782821615332</v>
      </c>
      <c r="R134" s="263">
        <v>79239.63434856369</v>
      </c>
      <c r="S134" s="259">
        <v>88897.999868971121</v>
      </c>
      <c r="U134" s="7" t="s">
        <v>4065</v>
      </c>
    </row>
    <row r="135" spans="1:21" ht="16.5" thickBot="1">
      <c r="A135" s="41" t="s">
        <v>31</v>
      </c>
      <c r="B135" s="42">
        <f t="shared" si="6"/>
        <v>300</v>
      </c>
      <c r="C135" s="42" t="s">
        <v>3</v>
      </c>
      <c r="D135" s="42">
        <f t="shared" si="7"/>
        <v>360</v>
      </c>
      <c r="E135" s="42" t="s">
        <v>3</v>
      </c>
      <c r="F135" s="90">
        <f t="shared" si="8"/>
        <v>1800</v>
      </c>
      <c r="G135" s="42" t="s">
        <v>3</v>
      </c>
      <c r="H135" s="39">
        <v>8</v>
      </c>
      <c r="I135" s="40" t="s">
        <v>42</v>
      </c>
      <c r="J135" s="149">
        <v>300</v>
      </c>
      <c r="K135" s="66">
        <v>360</v>
      </c>
      <c r="L135" s="66">
        <v>1800</v>
      </c>
      <c r="M135" s="164">
        <v>35.104979731994732</v>
      </c>
      <c r="N135" s="78">
        <v>3114.3484690392183</v>
      </c>
      <c r="O135" s="113">
        <v>54118.742761007961</v>
      </c>
      <c r="P135" s="111">
        <v>64023.180219052971</v>
      </c>
      <c r="Q135" s="254">
        <v>27028.203705853517</v>
      </c>
      <c r="R135" s="263">
        <v>81146.946466861482</v>
      </c>
      <c r="S135" s="259">
        <v>91051.383924906491</v>
      </c>
      <c r="U135" s="7" t="s">
        <v>4066</v>
      </c>
    </row>
    <row r="136" spans="1:21" ht="16.5" thickBot="1">
      <c r="A136" s="41" t="s">
        <v>31</v>
      </c>
      <c r="B136" s="42">
        <f t="shared" si="6"/>
        <v>300</v>
      </c>
      <c r="C136" s="42" t="s">
        <v>3</v>
      </c>
      <c r="D136" s="42">
        <f t="shared" si="7"/>
        <v>360</v>
      </c>
      <c r="E136" s="42" t="s">
        <v>3</v>
      </c>
      <c r="F136" s="90">
        <f t="shared" si="8"/>
        <v>1850</v>
      </c>
      <c r="G136" s="42" t="s">
        <v>3</v>
      </c>
      <c r="H136" s="39">
        <v>8</v>
      </c>
      <c r="I136" s="40" t="s">
        <v>42</v>
      </c>
      <c r="J136" s="149">
        <v>300</v>
      </c>
      <c r="K136" s="66">
        <v>360</v>
      </c>
      <c r="L136" s="66">
        <v>1850</v>
      </c>
      <c r="M136" s="164">
        <v>36.024128126356842</v>
      </c>
      <c r="N136" s="78">
        <v>3221.7397955578122</v>
      </c>
      <c r="O136" s="113">
        <v>55422.633842039118</v>
      </c>
      <c r="P136" s="111">
        <v>65573.143390750149</v>
      </c>
      <c r="Q136" s="254">
        <v>27882.958880904247</v>
      </c>
      <c r="R136" s="263">
        <v>83305.592722943373</v>
      </c>
      <c r="S136" s="259">
        <v>93456.102271654396</v>
      </c>
      <c r="U136" s="7" t="s">
        <v>4067</v>
      </c>
    </row>
    <row r="137" spans="1:21" ht="16.5" thickBot="1">
      <c r="A137" s="41" t="s">
        <v>31</v>
      </c>
      <c r="B137" s="42">
        <f t="shared" si="6"/>
        <v>300</v>
      </c>
      <c r="C137" s="42" t="s">
        <v>3</v>
      </c>
      <c r="D137" s="42">
        <f t="shared" si="7"/>
        <v>360</v>
      </c>
      <c r="E137" s="42" t="s">
        <v>3</v>
      </c>
      <c r="F137" s="90">
        <f t="shared" si="8"/>
        <v>1900</v>
      </c>
      <c r="G137" s="42" t="s">
        <v>3</v>
      </c>
      <c r="H137" s="39">
        <v>8</v>
      </c>
      <c r="I137" s="40" t="s">
        <v>42</v>
      </c>
      <c r="J137" s="149">
        <v>300</v>
      </c>
      <c r="K137" s="66">
        <v>360</v>
      </c>
      <c r="L137" s="66">
        <v>1900</v>
      </c>
      <c r="M137" s="164">
        <v>36.926236520718945</v>
      </c>
      <c r="N137" s="78">
        <v>3329.131122076406</v>
      </c>
      <c r="O137" s="113">
        <v>56726.524923070116</v>
      </c>
      <c r="P137" s="111">
        <v>67123.106715476097</v>
      </c>
      <c r="Q137" s="254">
        <v>28486.379765142432</v>
      </c>
      <c r="R137" s="263">
        <v>85212.904688212555</v>
      </c>
      <c r="S137" s="259">
        <v>95609.486480618536</v>
      </c>
      <c r="U137" s="7" t="s">
        <v>4068</v>
      </c>
    </row>
    <row r="138" spans="1:21" ht="16.5" thickBot="1">
      <c r="A138" s="41" t="s">
        <v>31</v>
      </c>
      <c r="B138" s="42">
        <f t="shared" si="6"/>
        <v>300</v>
      </c>
      <c r="C138" s="42" t="s">
        <v>3</v>
      </c>
      <c r="D138" s="42">
        <f t="shared" si="7"/>
        <v>360</v>
      </c>
      <c r="E138" s="42" t="s">
        <v>3</v>
      </c>
      <c r="F138" s="90">
        <f t="shared" si="8"/>
        <v>1950</v>
      </c>
      <c r="G138" s="42" t="s">
        <v>3</v>
      </c>
      <c r="H138" s="39">
        <v>8</v>
      </c>
      <c r="I138" s="40" t="s">
        <v>42</v>
      </c>
      <c r="J138" s="149">
        <v>300</v>
      </c>
      <c r="K138" s="66">
        <v>360</v>
      </c>
      <c r="L138" s="66">
        <v>1950</v>
      </c>
      <c r="M138" s="164">
        <v>37.985344915081058</v>
      </c>
      <c r="N138" s="78">
        <v>3436.5224485949998</v>
      </c>
      <c r="O138" s="113">
        <v>58198.612674367774</v>
      </c>
      <c r="P138" s="111">
        <v>68842.293380453921</v>
      </c>
      <c r="Q138" s="254">
        <v>29089.800649380621</v>
      </c>
      <c r="R138" s="263">
        <v>87288.413323748391</v>
      </c>
      <c r="S138" s="259">
        <v>97932.094029834538</v>
      </c>
      <c r="U138" s="7" t="s">
        <v>4069</v>
      </c>
    </row>
    <row r="139" spans="1:21" ht="16.5" thickBot="1">
      <c r="A139" s="41" t="s">
        <v>31</v>
      </c>
      <c r="B139" s="42">
        <f t="shared" si="6"/>
        <v>300</v>
      </c>
      <c r="C139" s="42" t="s">
        <v>3</v>
      </c>
      <c r="D139" s="42">
        <f t="shared" si="7"/>
        <v>360</v>
      </c>
      <c r="E139" s="42" t="s">
        <v>3</v>
      </c>
      <c r="F139" s="90">
        <f t="shared" si="8"/>
        <v>2000</v>
      </c>
      <c r="G139" s="42" t="s">
        <v>3</v>
      </c>
      <c r="H139" s="39">
        <v>8</v>
      </c>
      <c r="I139" s="40" t="s">
        <v>42</v>
      </c>
      <c r="J139" s="149">
        <v>300</v>
      </c>
      <c r="K139" s="66">
        <v>360</v>
      </c>
      <c r="L139" s="66">
        <v>2000</v>
      </c>
      <c r="M139" s="164">
        <v>38.996055709443162</v>
      </c>
      <c r="N139" s="78">
        <v>3543.9137751135931</v>
      </c>
      <c r="O139" s="113">
        <v>59753.795657243376</v>
      </c>
      <c r="P139" s="111">
        <v>70733.078545147146</v>
      </c>
      <c r="Q139" s="254">
        <v>29944.555671402581</v>
      </c>
      <c r="R139" s="263">
        <v>89698.351328645949</v>
      </c>
      <c r="S139" s="259">
        <v>100677.63421654972</v>
      </c>
      <c r="U139" s="7" t="s">
        <v>4070</v>
      </c>
    </row>
    <row r="140" spans="1:21" ht="16.5" thickBot="1">
      <c r="A140" s="41" t="s">
        <v>31</v>
      </c>
      <c r="B140" s="42">
        <f t="shared" si="6"/>
        <v>300</v>
      </c>
      <c r="C140" s="42" t="s">
        <v>3</v>
      </c>
      <c r="D140" s="42">
        <f t="shared" si="7"/>
        <v>360</v>
      </c>
      <c r="E140" s="42" t="s">
        <v>3</v>
      </c>
      <c r="F140" s="90">
        <f t="shared" si="8"/>
        <v>2050</v>
      </c>
      <c r="G140" s="42" t="s">
        <v>3</v>
      </c>
      <c r="H140" s="39">
        <v>8</v>
      </c>
      <c r="I140" s="40" t="s">
        <v>42</v>
      </c>
      <c r="J140" s="149">
        <v>300</v>
      </c>
      <c r="K140" s="66">
        <v>360</v>
      </c>
      <c r="L140" s="66">
        <v>2050</v>
      </c>
      <c r="M140" s="164">
        <v>39.898164103805257</v>
      </c>
      <c r="N140" s="78">
        <v>3651.3051016321874</v>
      </c>
      <c r="O140" s="113">
        <v>61057.686738274373</v>
      </c>
      <c r="P140" s="111">
        <v>72283.041716844324</v>
      </c>
      <c r="Q140" s="254">
        <v>30547.976555640766</v>
      </c>
      <c r="R140" s="263">
        <v>91605.663293915131</v>
      </c>
      <c r="S140" s="259">
        <v>102831.01827248509</v>
      </c>
      <c r="U140" s="7" t="s">
        <v>4071</v>
      </c>
    </row>
    <row r="141" spans="1:21" ht="16.5" thickBot="1">
      <c r="A141" s="38" t="s">
        <v>31</v>
      </c>
      <c r="B141" s="39">
        <f t="shared" si="6"/>
        <v>300</v>
      </c>
      <c r="C141" s="39" t="s">
        <v>3</v>
      </c>
      <c r="D141" s="39">
        <f t="shared" si="7"/>
        <v>360</v>
      </c>
      <c r="E141" s="39" t="s">
        <v>3</v>
      </c>
      <c r="F141" s="90">
        <f t="shared" si="8"/>
        <v>2100</v>
      </c>
      <c r="G141" s="39" t="s">
        <v>3</v>
      </c>
      <c r="H141" s="39">
        <v>8</v>
      </c>
      <c r="I141" s="40" t="s">
        <v>42</v>
      </c>
      <c r="J141" s="149">
        <v>300</v>
      </c>
      <c r="K141" s="66">
        <v>360</v>
      </c>
      <c r="L141" s="66">
        <v>2100</v>
      </c>
      <c r="M141" s="164">
        <v>40.817312498167368</v>
      </c>
      <c r="N141" s="78">
        <v>3758.6964281507808</v>
      </c>
      <c r="O141" s="113">
        <v>62361.57781930537</v>
      </c>
      <c r="P141" s="111">
        <v>73833.005041570286</v>
      </c>
      <c r="Q141" s="254">
        <v>31402.731577662726</v>
      </c>
      <c r="R141" s="263">
        <v>93764.309396968092</v>
      </c>
      <c r="S141" s="259">
        <v>105235.73661923301</v>
      </c>
      <c r="U141" s="7" t="s">
        <v>4072</v>
      </c>
    </row>
    <row r="142" spans="1:21" ht="16.5" thickBot="1">
      <c r="A142" s="41" t="s">
        <v>31</v>
      </c>
      <c r="B142" s="42">
        <f t="shared" si="6"/>
        <v>300</v>
      </c>
      <c r="C142" s="42" t="s">
        <v>3</v>
      </c>
      <c r="D142" s="42">
        <f t="shared" si="7"/>
        <v>360</v>
      </c>
      <c r="E142" s="42" t="s">
        <v>3</v>
      </c>
      <c r="F142" s="90">
        <f t="shared" si="8"/>
        <v>2150</v>
      </c>
      <c r="G142" s="42" t="s">
        <v>3</v>
      </c>
      <c r="H142" s="39">
        <v>8</v>
      </c>
      <c r="I142" s="40" t="s">
        <v>42</v>
      </c>
      <c r="J142" s="149">
        <v>300</v>
      </c>
      <c r="K142" s="66">
        <v>360</v>
      </c>
      <c r="L142" s="66">
        <v>2150</v>
      </c>
      <c r="M142" s="164">
        <v>41.71942089252947</v>
      </c>
      <c r="N142" s="78">
        <v>3866.0877546693746</v>
      </c>
      <c r="O142" s="113">
        <v>63665.469053365145</v>
      </c>
      <c r="P142" s="111">
        <v>75382.96821326745</v>
      </c>
      <c r="Q142" s="254">
        <v>32006.152461900914</v>
      </c>
      <c r="R142" s="263">
        <v>95671.621515266059</v>
      </c>
      <c r="S142" s="259">
        <v>107389.12067516836</v>
      </c>
      <c r="U142" s="7" t="s">
        <v>4073</v>
      </c>
    </row>
    <row r="143" spans="1:21" ht="16.5" thickBot="1">
      <c r="A143" s="41" t="s">
        <v>31</v>
      </c>
      <c r="B143" s="42">
        <f t="shared" si="6"/>
        <v>300</v>
      </c>
      <c r="C143" s="42" t="s">
        <v>3</v>
      </c>
      <c r="D143" s="42">
        <f t="shared" si="7"/>
        <v>360</v>
      </c>
      <c r="E143" s="42" t="s">
        <v>3</v>
      </c>
      <c r="F143" s="90">
        <f t="shared" si="8"/>
        <v>2200</v>
      </c>
      <c r="G143" s="42" t="s">
        <v>3</v>
      </c>
      <c r="H143" s="39">
        <v>8</v>
      </c>
      <c r="I143" s="40" t="s">
        <v>42</v>
      </c>
      <c r="J143" s="149">
        <v>300</v>
      </c>
      <c r="K143" s="66">
        <v>360</v>
      </c>
      <c r="L143" s="66">
        <v>2200</v>
      </c>
      <c r="M143" s="164">
        <v>42.638569286891581</v>
      </c>
      <c r="N143" s="78">
        <v>3973.4790811879684</v>
      </c>
      <c r="O143" s="113">
        <v>64969.360134396142</v>
      </c>
      <c r="P143" s="111">
        <v>76932.931537993412</v>
      </c>
      <c r="Q143" s="254">
        <v>32860.907483922878</v>
      </c>
      <c r="R143" s="263">
        <v>97830.26761831902</v>
      </c>
      <c r="S143" s="259">
        <v>109793.8390219163</v>
      </c>
      <c r="U143" s="7" t="s">
        <v>4074</v>
      </c>
    </row>
    <row r="144" spans="1:21" ht="16.5" thickBot="1">
      <c r="A144" s="41" t="s">
        <v>31</v>
      </c>
      <c r="B144" s="42">
        <f t="shared" si="6"/>
        <v>300</v>
      </c>
      <c r="C144" s="42" t="s">
        <v>3</v>
      </c>
      <c r="D144" s="42">
        <f t="shared" si="7"/>
        <v>360</v>
      </c>
      <c r="E144" s="42" t="s">
        <v>3</v>
      </c>
      <c r="F144" s="90">
        <f t="shared" si="8"/>
        <v>2250</v>
      </c>
      <c r="G144" s="42" t="s">
        <v>3</v>
      </c>
      <c r="H144" s="39">
        <v>8</v>
      </c>
      <c r="I144" s="40" t="s">
        <v>42</v>
      </c>
      <c r="J144" s="149">
        <v>300</v>
      </c>
      <c r="K144" s="66">
        <v>360</v>
      </c>
      <c r="L144" s="66">
        <v>2250</v>
      </c>
      <c r="M144" s="164">
        <v>43.540677681253683</v>
      </c>
      <c r="N144" s="78">
        <v>4080.8704077065622</v>
      </c>
      <c r="O144" s="113">
        <v>66273.251215427139</v>
      </c>
      <c r="P144" s="111">
        <v>78482.89470969059</v>
      </c>
      <c r="Q144" s="254">
        <v>33464.328368161063</v>
      </c>
      <c r="R144" s="263">
        <v>99737.579583588202</v>
      </c>
      <c r="S144" s="259">
        <v>111947.22307785165</v>
      </c>
      <c r="U144" s="7" t="s">
        <v>4075</v>
      </c>
    </row>
    <row r="145" spans="1:21" ht="16.5" thickBot="1">
      <c r="A145" s="41" t="s">
        <v>31</v>
      </c>
      <c r="B145" s="42">
        <f t="shared" si="6"/>
        <v>300</v>
      </c>
      <c r="C145" s="42" t="s">
        <v>3</v>
      </c>
      <c r="D145" s="42">
        <f t="shared" si="7"/>
        <v>360</v>
      </c>
      <c r="E145" s="42" t="s">
        <v>3</v>
      </c>
      <c r="F145" s="90">
        <f t="shared" si="8"/>
        <v>2300</v>
      </c>
      <c r="G145" s="42" t="s">
        <v>3</v>
      </c>
      <c r="H145" s="39">
        <v>8</v>
      </c>
      <c r="I145" s="40" t="s">
        <v>42</v>
      </c>
      <c r="J145" s="149">
        <v>300</v>
      </c>
      <c r="K145" s="66">
        <v>360</v>
      </c>
      <c r="L145" s="66">
        <v>2300</v>
      </c>
      <c r="M145" s="164">
        <v>44.442786075615786</v>
      </c>
      <c r="N145" s="78">
        <v>4188.2617342251551</v>
      </c>
      <c r="O145" s="113">
        <v>67577.142296458143</v>
      </c>
      <c r="P145" s="111">
        <v>80032.857881387768</v>
      </c>
      <c r="Q145" s="254">
        <v>34067.749252399248</v>
      </c>
      <c r="R145" s="263">
        <v>101644.89154885738</v>
      </c>
      <c r="S145" s="259">
        <v>114100.60713378701</v>
      </c>
      <c r="U145" s="7" t="s">
        <v>4076</v>
      </c>
    </row>
    <row r="146" spans="1:21" ht="16.5" thickBot="1">
      <c r="A146" s="41" t="s">
        <v>31</v>
      </c>
      <c r="B146" s="42">
        <f t="shared" si="6"/>
        <v>300</v>
      </c>
      <c r="C146" s="42" t="s">
        <v>3</v>
      </c>
      <c r="D146" s="42">
        <f t="shared" si="7"/>
        <v>360</v>
      </c>
      <c r="E146" s="42" t="s">
        <v>3</v>
      </c>
      <c r="F146" s="90">
        <f t="shared" si="8"/>
        <v>2350</v>
      </c>
      <c r="G146" s="42" t="s">
        <v>3</v>
      </c>
      <c r="H146" s="39">
        <v>8</v>
      </c>
      <c r="I146" s="40" t="s">
        <v>42</v>
      </c>
      <c r="J146" s="149">
        <v>300</v>
      </c>
      <c r="K146" s="66">
        <v>360</v>
      </c>
      <c r="L146" s="66">
        <v>2350</v>
      </c>
      <c r="M146" s="164">
        <v>45.361934469977896</v>
      </c>
      <c r="N146" s="78">
        <v>4295.6530607437498</v>
      </c>
      <c r="O146" s="113">
        <v>68881.033530517918</v>
      </c>
      <c r="P146" s="111">
        <v>81582.821206113716</v>
      </c>
      <c r="Q146" s="254">
        <v>34922.504274421211</v>
      </c>
      <c r="R146" s="263">
        <v>103803.53780493913</v>
      </c>
      <c r="S146" s="259">
        <v>116505.32548053493</v>
      </c>
      <c r="U146" s="7" t="s">
        <v>4077</v>
      </c>
    </row>
    <row r="147" spans="1:21" ht="16.5" thickBot="1">
      <c r="A147" s="41" t="s">
        <v>31</v>
      </c>
      <c r="B147" s="42">
        <f t="shared" si="6"/>
        <v>300</v>
      </c>
      <c r="C147" s="42" t="s">
        <v>3</v>
      </c>
      <c r="D147" s="42">
        <f t="shared" si="7"/>
        <v>360</v>
      </c>
      <c r="E147" s="42" t="s">
        <v>3</v>
      </c>
      <c r="F147" s="90">
        <f t="shared" si="8"/>
        <v>2400</v>
      </c>
      <c r="G147" s="42" t="s">
        <v>3</v>
      </c>
      <c r="H147" s="39">
        <v>8</v>
      </c>
      <c r="I147" s="40" t="s">
        <v>42</v>
      </c>
      <c r="J147" s="149">
        <v>300</v>
      </c>
      <c r="K147" s="66">
        <v>360</v>
      </c>
      <c r="L147" s="66">
        <v>2400</v>
      </c>
      <c r="M147" s="164">
        <v>46.264042864339999</v>
      </c>
      <c r="N147" s="78">
        <v>4403.0443872623428</v>
      </c>
      <c r="O147" s="113">
        <v>70184.924611548908</v>
      </c>
      <c r="P147" s="111">
        <v>83132.784377810895</v>
      </c>
      <c r="Q147" s="254">
        <v>35525.925158659396</v>
      </c>
      <c r="R147" s="263">
        <v>105710.8497702083</v>
      </c>
      <c r="S147" s="259">
        <v>118658.7095364703</v>
      </c>
      <c r="U147" s="7" t="s">
        <v>4078</v>
      </c>
    </row>
    <row r="148" spans="1:21" ht="16.5" thickBot="1">
      <c r="A148" s="41" t="s">
        <v>31</v>
      </c>
      <c r="B148" s="42">
        <f t="shared" si="6"/>
        <v>300</v>
      </c>
      <c r="C148" s="42" t="s">
        <v>3</v>
      </c>
      <c r="D148" s="42">
        <f t="shared" si="7"/>
        <v>360</v>
      </c>
      <c r="E148" s="42" t="s">
        <v>3</v>
      </c>
      <c r="F148" s="90">
        <f t="shared" si="8"/>
        <v>2450</v>
      </c>
      <c r="G148" s="42" t="s">
        <v>3</v>
      </c>
      <c r="H148" s="39">
        <v>8</v>
      </c>
      <c r="I148" s="40" t="s">
        <v>42</v>
      </c>
      <c r="J148" s="149">
        <v>300</v>
      </c>
      <c r="K148" s="66">
        <v>360</v>
      </c>
      <c r="L148" s="66">
        <v>2450</v>
      </c>
      <c r="M148" s="164">
        <v>47.418812552662104</v>
      </c>
      <c r="N148" s="78">
        <v>4510.4357137809366</v>
      </c>
      <c r="O148" s="113">
        <v>72309.007331653207</v>
      </c>
      <c r="P148" s="111">
        <v>85487.858203778305</v>
      </c>
      <c r="Q148" s="254">
        <v>36380.680180681353</v>
      </c>
      <c r="R148" s="263">
        <v>108689.68751233455</v>
      </c>
      <c r="S148" s="259">
        <v>121868.53838445965</v>
      </c>
      <c r="U148" s="7" t="s">
        <v>4079</v>
      </c>
    </row>
    <row r="149" spans="1:21" ht="16.5" thickBot="1">
      <c r="A149" s="41" t="s">
        <v>31</v>
      </c>
      <c r="B149" s="42">
        <f t="shared" si="6"/>
        <v>300</v>
      </c>
      <c r="C149" s="42" t="s">
        <v>3</v>
      </c>
      <c r="D149" s="42">
        <f t="shared" si="7"/>
        <v>360</v>
      </c>
      <c r="E149" s="42" t="s">
        <v>3</v>
      </c>
      <c r="F149" s="90">
        <f t="shared" si="8"/>
        <v>2500</v>
      </c>
      <c r="G149" s="42" t="s">
        <v>3</v>
      </c>
      <c r="H149" s="39">
        <v>8</v>
      </c>
      <c r="I149" s="40" t="s">
        <v>42</v>
      </c>
      <c r="J149" s="149">
        <v>300</v>
      </c>
      <c r="K149" s="66">
        <v>360</v>
      </c>
      <c r="L149" s="66">
        <v>2500</v>
      </c>
      <c r="M149" s="164">
        <v>48.320920947024206</v>
      </c>
      <c r="N149" s="78">
        <v>4617.8270402995313</v>
      </c>
      <c r="O149" s="113">
        <v>73612.898412684212</v>
      </c>
      <c r="P149" s="111">
        <v>87037.821375475483</v>
      </c>
      <c r="Q149" s="254">
        <v>36984.101064919538</v>
      </c>
      <c r="R149" s="263">
        <v>110596.99947760375</v>
      </c>
      <c r="S149" s="259">
        <v>124021.92244039502</v>
      </c>
      <c r="U149" s="7" t="s">
        <v>4080</v>
      </c>
    </row>
    <row r="150" spans="1:21" ht="16.5" thickBot="1">
      <c r="A150" s="41" t="s">
        <v>31</v>
      </c>
      <c r="B150" s="42">
        <f t="shared" si="6"/>
        <v>300</v>
      </c>
      <c r="C150" s="42" t="s">
        <v>3</v>
      </c>
      <c r="D150" s="42">
        <f t="shared" si="7"/>
        <v>360</v>
      </c>
      <c r="E150" s="42" t="s">
        <v>3</v>
      </c>
      <c r="F150" s="90">
        <f t="shared" si="8"/>
        <v>2550</v>
      </c>
      <c r="G150" s="42" t="s">
        <v>3</v>
      </c>
      <c r="H150" s="39">
        <v>8</v>
      </c>
      <c r="I150" s="40" t="s">
        <v>42</v>
      </c>
      <c r="J150" s="149">
        <v>300</v>
      </c>
      <c r="K150" s="66">
        <v>360</v>
      </c>
      <c r="L150" s="66">
        <v>2550</v>
      </c>
      <c r="M150" s="164">
        <v>49.240069341386317</v>
      </c>
      <c r="N150" s="78">
        <v>4725.2183668181251</v>
      </c>
      <c r="O150" s="113">
        <v>74916.789493715216</v>
      </c>
      <c r="P150" s="111">
        <v>88587.784547172661</v>
      </c>
      <c r="Q150" s="254">
        <v>37838.856239970264</v>
      </c>
      <c r="R150" s="263">
        <v>112755.64573368548</v>
      </c>
      <c r="S150" s="259">
        <v>126426.64078714293</v>
      </c>
      <c r="U150" s="7" t="s">
        <v>4081</v>
      </c>
    </row>
    <row r="151" spans="1:21" ht="16.5" thickBot="1">
      <c r="A151" s="38" t="s">
        <v>31</v>
      </c>
      <c r="B151" s="39">
        <f t="shared" si="6"/>
        <v>300</v>
      </c>
      <c r="C151" s="39" t="s">
        <v>3</v>
      </c>
      <c r="D151" s="39">
        <f t="shared" si="7"/>
        <v>360</v>
      </c>
      <c r="E151" s="39" t="s">
        <v>3</v>
      </c>
      <c r="F151" s="90">
        <f t="shared" si="8"/>
        <v>2600</v>
      </c>
      <c r="G151" s="39" t="s">
        <v>3</v>
      </c>
      <c r="H151" s="39">
        <v>8</v>
      </c>
      <c r="I151" s="40" t="s">
        <v>42</v>
      </c>
      <c r="J151" s="149">
        <v>300</v>
      </c>
      <c r="K151" s="66">
        <v>360</v>
      </c>
      <c r="L151" s="66">
        <v>2600</v>
      </c>
      <c r="M151" s="164">
        <v>50.142177735748419</v>
      </c>
      <c r="N151" s="78">
        <v>4832.609693336718</v>
      </c>
      <c r="O151" s="113">
        <v>76220.680574746206</v>
      </c>
      <c r="P151" s="111">
        <v>90137.747871898609</v>
      </c>
      <c r="Q151" s="254">
        <v>38442.277124208456</v>
      </c>
      <c r="R151" s="263">
        <v>114662.95769895466</v>
      </c>
      <c r="S151" s="259">
        <v>128580.02499610707</v>
      </c>
      <c r="U151" s="7" t="s">
        <v>4082</v>
      </c>
    </row>
    <row r="152" spans="1:21">
      <c r="A152" s="43" t="s">
        <v>31</v>
      </c>
      <c r="B152" s="44">
        <f t="shared" si="6"/>
        <v>300</v>
      </c>
      <c r="C152" s="44" t="s">
        <v>3</v>
      </c>
      <c r="D152" s="44">
        <f t="shared" si="7"/>
        <v>360</v>
      </c>
      <c r="E152" s="44" t="s">
        <v>3</v>
      </c>
      <c r="F152" s="91">
        <f t="shared" si="8"/>
        <v>2650</v>
      </c>
      <c r="G152" s="44" t="s">
        <v>3</v>
      </c>
      <c r="H152" s="46">
        <v>8</v>
      </c>
      <c r="I152" s="45" t="s">
        <v>42</v>
      </c>
      <c r="J152" s="265">
        <v>300</v>
      </c>
      <c r="K152" s="266">
        <v>360</v>
      </c>
      <c r="L152" s="266">
        <v>2650</v>
      </c>
      <c r="M152" s="249">
        <v>51.06132613011053</v>
      </c>
      <c r="N152" s="250">
        <v>4940.0010198553109</v>
      </c>
      <c r="O152" s="251">
        <v>77524.571808805966</v>
      </c>
      <c r="P152" s="280">
        <v>91687.711043595802</v>
      </c>
      <c r="Q152" s="267">
        <v>39297.032146230413</v>
      </c>
      <c r="R152" s="268">
        <v>116821.60395503638</v>
      </c>
      <c r="S152" s="269">
        <v>130984.74318982621</v>
      </c>
      <c r="U152" s="7" t="s">
        <v>4083</v>
      </c>
    </row>
    <row r="153" spans="1:21" ht="16.5" thickBot="1">
      <c r="A153" s="289" t="s">
        <v>31</v>
      </c>
      <c r="B153" s="290">
        <f t="shared" si="6"/>
        <v>300</v>
      </c>
      <c r="C153" s="290" t="s">
        <v>3</v>
      </c>
      <c r="D153" s="290">
        <f t="shared" si="7"/>
        <v>360</v>
      </c>
      <c r="E153" s="290" t="s">
        <v>3</v>
      </c>
      <c r="F153" s="291">
        <f t="shared" si="8"/>
        <v>2700</v>
      </c>
      <c r="G153" s="290" t="s">
        <v>3</v>
      </c>
      <c r="H153" s="290">
        <v>8</v>
      </c>
      <c r="I153" s="292" t="s">
        <v>42</v>
      </c>
      <c r="J153" s="149">
        <v>300</v>
      </c>
      <c r="K153" s="66">
        <v>360</v>
      </c>
      <c r="L153" s="66">
        <v>2700</v>
      </c>
      <c r="M153" s="164">
        <v>52.120434524472643</v>
      </c>
      <c r="N153" s="78">
        <v>5047.3923463739047</v>
      </c>
      <c r="O153" s="113">
        <v>78996.659407074869</v>
      </c>
      <c r="P153" s="111">
        <v>93406.897708573626</v>
      </c>
      <c r="Q153" s="254">
        <v>39900.453030468605</v>
      </c>
      <c r="R153" s="263">
        <v>118897.11243754347</v>
      </c>
      <c r="S153" s="259">
        <v>133307.35073904222</v>
      </c>
      <c r="U153" s="7" t="s">
        <v>4084</v>
      </c>
    </row>
    <row r="154" spans="1:21" ht="16.5" thickBot="1">
      <c r="A154" s="41" t="s">
        <v>31</v>
      </c>
      <c r="B154" s="42">
        <f t="shared" si="6"/>
        <v>300</v>
      </c>
      <c r="C154" s="42" t="s">
        <v>3</v>
      </c>
      <c r="D154" s="42">
        <f t="shared" si="7"/>
        <v>360</v>
      </c>
      <c r="E154" s="42" t="s">
        <v>3</v>
      </c>
      <c r="F154" s="90">
        <f t="shared" si="8"/>
        <v>2750</v>
      </c>
      <c r="G154" s="42" t="s">
        <v>3</v>
      </c>
      <c r="H154" s="39">
        <v>8</v>
      </c>
      <c r="I154" s="40" t="s">
        <v>42</v>
      </c>
      <c r="J154" s="149">
        <v>300</v>
      </c>
      <c r="K154" s="66">
        <v>360</v>
      </c>
      <c r="L154" s="66">
        <v>2750</v>
      </c>
      <c r="M154" s="164">
        <v>53.022542918834745</v>
      </c>
      <c r="N154" s="78">
        <v>5154.7836728924995</v>
      </c>
      <c r="O154" s="113">
        <v>80300.550488105873</v>
      </c>
      <c r="P154" s="111">
        <v>94956.860880270819</v>
      </c>
      <c r="Q154" s="254">
        <v>40503.87391470679</v>
      </c>
      <c r="R154" s="263">
        <v>120804.42440281267</v>
      </c>
      <c r="S154" s="259">
        <v>135460.73479497762</v>
      </c>
      <c r="U154" s="7" t="s">
        <v>4085</v>
      </c>
    </row>
    <row r="155" spans="1:21" ht="16.5" thickBot="1">
      <c r="A155" s="41" t="s">
        <v>31</v>
      </c>
      <c r="B155" s="42">
        <f t="shared" si="6"/>
        <v>300</v>
      </c>
      <c r="C155" s="42" t="s">
        <v>3</v>
      </c>
      <c r="D155" s="42">
        <f t="shared" si="7"/>
        <v>360</v>
      </c>
      <c r="E155" s="42" t="s">
        <v>3</v>
      </c>
      <c r="F155" s="90">
        <f t="shared" si="8"/>
        <v>2800</v>
      </c>
      <c r="G155" s="42" t="s">
        <v>3</v>
      </c>
      <c r="H155" s="39">
        <v>8</v>
      </c>
      <c r="I155" s="40" t="s">
        <v>42</v>
      </c>
      <c r="J155" s="149">
        <v>300</v>
      </c>
      <c r="K155" s="66">
        <v>360</v>
      </c>
      <c r="L155" s="66">
        <v>2800</v>
      </c>
      <c r="M155" s="164">
        <v>53.941691313196841</v>
      </c>
      <c r="N155" s="78">
        <v>5262.1749994110933</v>
      </c>
      <c r="O155" s="113">
        <v>81604.441722165648</v>
      </c>
      <c r="P155" s="111">
        <v>96506.824204996767</v>
      </c>
      <c r="Q155" s="254">
        <v>41358.628936728746</v>
      </c>
      <c r="R155" s="263">
        <v>122963.0706588944</v>
      </c>
      <c r="S155" s="259">
        <v>137865.45314172551</v>
      </c>
      <c r="U155" s="7" t="s">
        <v>4086</v>
      </c>
    </row>
    <row r="156" spans="1:21" ht="16.5" thickBot="1">
      <c r="A156" s="41" t="s">
        <v>31</v>
      </c>
      <c r="B156" s="42">
        <f t="shared" si="6"/>
        <v>300</v>
      </c>
      <c r="C156" s="42" t="s">
        <v>3</v>
      </c>
      <c r="D156" s="42">
        <f t="shared" si="7"/>
        <v>360</v>
      </c>
      <c r="E156" s="42" t="s">
        <v>3</v>
      </c>
      <c r="F156" s="90">
        <f t="shared" si="8"/>
        <v>2850</v>
      </c>
      <c r="G156" s="42" t="s">
        <v>3</v>
      </c>
      <c r="H156" s="39">
        <v>8</v>
      </c>
      <c r="I156" s="40" t="s">
        <v>42</v>
      </c>
      <c r="J156" s="149">
        <v>300</v>
      </c>
      <c r="K156" s="66">
        <v>360</v>
      </c>
      <c r="L156" s="66">
        <v>2850</v>
      </c>
      <c r="M156" s="164">
        <v>54.843799707558958</v>
      </c>
      <c r="N156" s="78">
        <v>5369.5663259296871</v>
      </c>
      <c r="O156" s="113">
        <v>82908.332803196638</v>
      </c>
      <c r="P156" s="111">
        <v>98056.787376693945</v>
      </c>
      <c r="Q156" s="254">
        <v>41962.049820966939</v>
      </c>
      <c r="R156" s="263">
        <v>124870.38262416358</v>
      </c>
      <c r="S156" s="259">
        <v>140018.83719766088</v>
      </c>
      <c r="U156" s="7" t="s">
        <v>4087</v>
      </c>
    </row>
    <row r="157" spans="1:21" ht="16.5" thickBot="1">
      <c r="A157" s="41" t="s">
        <v>31</v>
      </c>
      <c r="B157" s="42">
        <f t="shared" si="6"/>
        <v>300</v>
      </c>
      <c r="C157" s="42" t="s">
        <v>3</v>
      </c>
      <c r="D157" s="42">
        <f t="shared" si="7"/>
        <v>360</v>
      </c>
      <c r="E157" s="42" t="s">
        <v>3</v>
      </c>
      <c r="F157" s="90">
        <f t="shared" si="8"/>
        <v>2900</v>
      </c>
      <c r="G157" s="42" t="s">
        <v>3</v>
      </c>
      <c r="H157" s="39">
        <v>8</v>
      </c>
      <c r="I157" s="40" t="s">
        <v>42</v>
      </c>
      <c r="J157" s="149">
        <v>300</v>
      </c>
      <c r="K157" s="66">
        <v>360</v>
      </c>
      <c r="L157" s="66">
        <v>2900</v>
      </c>
      <c r="M157" s="164">
        <v>55.762948101921054</v>
      </c>
      <c r="N157" s="78">
        <v>5476.9576524482809</v>
      </c>
      <c r="O157" s="113">
        <v>84212.223884227642</v>
      </c>
      <c r="P157" s="111">
        <v>99606.750548391123</v>
      </c>
      <c r="Q157" s="254">
        <v>42816.804842988895</v>
      </c>
      <c r="R157" s="263">
        <v>127029.02872721653</v>
      </c>
      <c r="S157" s="259">
        <v>142423.55539138001</v>
      </c>
      <c r="U157" s="7" t="s">
        <v>4088</v>
      </c>
    </row>
    <row r="158" spans="1:21" ht="16.5" thickBot="1">
      <c r="A158" s="41" t="s">
        <v>31</v>
      </c>
      <c r="B158" s="42">
        <f t="shared" si="6"/>
        <v>300</v>
      </c>
      <c r="C158" s="42" t="s">
        <v>3</v>
      </c>
      <c r="D158" s="42">
        <f t="shared" si="7"/>
        <v>360</v>
      </c>
      <c r="E158" s="42" t="s">
        <v>3</v>
      </c>
      <c r="F158" s="90">
        <f t="shared" si="8"/>
        <v>2950</v>
      </c>
      <c r="G158" s="42" t="s">
        <v>3</v>
      </c>
      <c r="H158" s="39">
        <v>8</v>
      </c>
      <c r="I158" s="40" t="s">
        <v>42</v>
      </c>
      <c r="J158" s="149">
        <v>300</v>
      </c>
      <c r="K158" s="66">
        <v>360</v>
      </c>
      <c r="L158" s="66">
        <v>2950</v>
      </c>
      <c r="M158" s="164">
        <v>56.665056496283157</v>
      </c>
      <c r="N158" s="78">
        <v>5584.3489789668738</v>
      </c>
      <c r="O158" s="113">
        <v>85516.114965258632</v>
      </c>
      <c r="P158" s="111">
        <v>101156.71387311707</v>
      </c>
      <c r="Q158" s="254">
        <v>43420.22572722708</v>
      </c>
      <c r="R158" s="263">
        <v>128936.34069248571</v>
      </c>
      <c r="S158" s="259">
        <v>144576.93960034417</v>
      </c>
      <c r="U158" s="7" t="s">
        <v>4089</v>
      </c>
    </row>
    <row r="159" spans="1:21" ht="16.5" thickBot="1">
      <c r="A159" s="41" t="s">
        <v>31</v>
      </c>
      <c r="B159" s="42">
        <f t="shared" si="6"/>
        <v>300</v>
      </c>
      <c r="C159" s="42" t="s">
        <v>3</v>
      </c>
      <c r="D159" s="42">
        <f t="shared" si="7"/>
        <v>360</v>
      </c>
      <c r="E159" s="42" t="s">
        <v>3</v>
      </c>
      <c r="F159" s="90">
        <f t="shared" si="8"/>
        <v>3000</v>
      </c>
      <c r="G159" s="42" t="s">
        <v>3</v>
      </c>
      <c r="H159" s="39">
        <v>8</v>
      </c>
      <c r="I159" s="40" t="s">
        <v>42</v>
      </c>
      <c r="J159" s="151">
        <v>300</v>
      </c>
      <c r="K159" s="126">
        <v>360</v>
      </c>
      <c r="L159" s="126">
        <v>3000</v>
      </c>
      <c r="M159" s="171">
        <v>57.584204890645267</v>
      </c>
      <c r="N159" s="127">
        <v>5691.7403054854676</v>
      </c>
      <c r="O159" s="128">
        <v>88100.92766270414</v>
      </c>
      <c r="P159" s="135">
        <v>102706.67704481425</v>
      </c>
      <c r="Q159" s="255">
        <v>44274.980749249036</v>
      </c>
      <c r="R159" s="264">
        <v>132375.90841195319</v>
      </c>
      <c r="S159" s="261">
        <v>146981.65779406327</v>
      </c>
      <c r="U159" s="7" t="s">
        <v>4090</v>
      </c>
    </row>
    <row r="160" spans="1:21">
      <c r="M160" s="85"/>
      <c r="P160" s="84"/>
      <c r="S160" s="84"/>
    </row>
    <row r="161" spans="13:19">
      <c r="M161" s="85"/>
      <c r="P161" s="84"/>
      <c r="S161" s="84"/>
    </row>
    <row r="162" spans="13:19">
      <c r="M162" s="85"/>
      <c r="P162" s="84"/>
      <c r="S162" s="84"/>
    </row>
    <row r="163" spans="13:19">
      <c r="M163" s="85"/>
      <c r="P163" s="84"/>
      <c r="S163" s="84"/>
    </row>
    <row r="164" spans="13:19">
      <c r="M164" s="85"/>
      <c r="P164" s="84"/>
      <c r="S164" s="84"/>
    </row>
    <row r="165" spans="13:19">
      <c r="M165" s="85"/>
      <c r="P165" s="84"/>
      <c r="S165" s="84"/>
    </row>
    <row r="166" spans="13:19">
      <c r="M166" s="85"/>
      <c r="P166" s="84"/>
      <c r="S166" s="84"/>
    </row>
    <row r="167" spans="13:19">
      <c r="M167" s="85"/>
      <c r="P167" s="84"/>
      <c r="S167" s="84"/>
    </row>
    <row r="168" spans="13:19">
      <c r="M168" s="85"/>
      <c r="P168" s="84"/>
      <c r="S168" s="84"/>
    </row>
    <row r="169" spans="13:19">
      <c r="M169" s="85"/>
      <c r="P169" s="84"/>
      <c r="S169" s="84"/>
    </row>
    <row r="170" spans="13:19">
      <c r="M170" s="85"/>
      <c r="P170" s="84"/>
      <c r="S170" s="84"/>
    </row>
    <row r="171" spans="13:19">
      <c r="M171" s="85"/>
      <c r="P171" s="84"/>
      <c r="S171" s="84"/>
    </row>
    <row r="172" spans="13:19">
      <c r="M172" s="85"/>
      <c r="P172" s="84"/>
      <c r="S172" s="84"/>
    </row>
    <row r="173" spans="13:19">
      <c r="M173" s="85"/>
      <c r="P173" s="84"/>
      <c r="S173" s="84"/>
    </row>
    <row r="174" spans="13:19">
      <c r="M174" s="85"/>
      <c r="P174" s="84"/>
      <c r="S174" s="84"/>
    </row>
    <row r="175" spans="13:19">
      <c r="M175" s="85"/>
      <c r="P175" s="84"/>
      <c r="S175" s="84"/>
    </row>
    <row r="176" spans="13:19">
      <c r="M176" s="85"/>
      <c r="P176" s="84"/>
      <c r="S176" s="84"/>
    </row>
    <row r="177" spans="13:19">
      <c r="M177" s="85"/>
      <c r="P177" s="84"/>
      <c r="S177" s="84"/>
    </row>
    <row r="178" spans="13:19">
      <c r="M178" s="85"/>
      <c r="P178" s="84"/>
      <c r="S178" s="84"/>
    </row>
    <row r="179" spans="13:19">
      <c r="M179" s="85"/>
      <c r="P179" s="84"/>
      <c r="S179" s="84"/>
    </row>
    <row r="180" spans="13:19">
      <c r="M180" s="85"/>
      <c r="P180" s="84"/>
      <c r="S180" s="84"/>
    </row>
    <row r="181" spans="13:19">
      <c r="M181" s="85"/>
      <c r="P181" s="84"/>
      <c r="S181" s="84"/>
    </row>
    <row r="182" spans="13:19">
      <c r="M182" s="85"/>
      <c r="P182" s="84"/>
      <c r="S182" s="84"/>
    </row>
    <row r="183" spans="13:19">
      <c r="M183" s="85"/>
      <c r="P183" s="84"/>
      <c r="S183" s="84"/>
    </row>
    <row r="184" spans="13:19">
      <c r="M184" s="85"/>
      <c r="P184" s="84"/>
      <c r="S184" s="84"/>
    </row>
    <row r="185" spans="13:19">
      <c r="M185" s="85"/>
      <c r="P185" s="84"/>
      <c r="S185" s="84"/>
    </row>
    <row r="186" spans="13:19">
      <c r="M186" s="85"/>
      <c r="P186" s="84"/>
      <c r="S186" s="84"/>
    </row>
    <row r="187" spans="13:19">
      <c r="M187" s="85"/>
      <c r="P187" s="84"/>
      <c r="S187" s="84"/>
    </row>
    <row r="188" spans="13:19">
      <c r="M188" s="85"/>
      <c r="P188" s="84"/>
      <c r="S188" s="84"/>
    </row>
    <row r="189" spans="13:19">
      <c r="M189" s="85"/>
      <c r="P189" s="84"/>
      <c r="S189" s="84"/>
    </row>
    <row r="190" spans="13:19">
      <c r="M190" s="85"/>
      <c r="P190" s="84"/>
      <c r="S190" s="84"/>
    </row>
    <row r="191" spans="13:19">
      <c r="M191" s="85"/>
      <c r="P191" s="84"/>
      <c r="S191" s="84"/>
    </row>
    <row r="192" spans="13:19">
      <c r="M192" s="85"/>
      <c r="P192" s="84"/>
      <c r="S192" s="84"/>
    </row>
    <row r="193" spans="13:19">
      <c r="M193" s="85"/>
      <c r="P193" s="84"/>
      <c r="S193" s="84"/>
    </row>
    <row r="194" spans="13:19">
      <c r="M194" s="85"/>
      <c r="P194" s="84"/>
      <c r="S194" s="84"/>
    </row>
    <row r="195" spans="13:19">
      <c r="M195" s="85"/>
      <c r="P195" s="84"/>
      <c r="S195" s="84"/>
    </row>
    <row r="196" spans="13:19">
      <c r="M196" s="85"/>
      <c r="P196" s="84"/>
      <c r="S196" s="84"/>
    </row>
    <row r="197" spans="13:19">
      <c r="M197" s="85"/>
      <c r="P197" s="84"/>
      <c r="S197" s="84"/>
    </row>
    <row r="198" spans="13:19">
      <c r="M198" s="85"/>
      <c r="P198" s="84"/>
      <c r="S198" s="84"/>
    </row>
    <row r="199" spans="13:19">
      <c r="M199" s="85"/>
      <c r="P199" s="84"/>
      <c r="S199" s="84"/>
    </row>
    <row r="200" spans="13:19">
      <c r="M200" s="85"/>
      <c r="P200" s="84"/>
      <c r="S200" s="84"/>
    </row>
    <row r="201" spans="13:19">
      <c r="M201" s="85"/>
      <c r="P201" s="84"/>
      <c r="S201" s="84"/>
    </row>
    <row r="202" spans="13:19">
      <c r="M202" s="85"/>
      <c r="P202" s="84"/>
      <c r="S202" s="84"/>
    </row>
    <row r="203" spans="13:19">
      <c r="M203" s="85"/>
      <c r="P203" s="84"/>
      <c r="S203" s="84"/>
    </row>
    <row r="204" spans="13:19">
      <c r="M204" s="85"/>
      <c r="P204" s="84"/>
      <c r="S204" s="84"/>
    </row>
    <row r="205" spans="13:19">
      <c r="M205" s="85"/>
      <c r="P205" s="84"/>
      <c r="S205" s="84"/>
    </row>
    <row r="206" spans="13:19">
      <c r="M206" s="85"/>
      <c r="P206" s="84"/>
      <c r="S206" s="84"/>
    </row>
    <row r="207" spans="13:19">
      <c r="M207" s="85"/>
      <c r="P207" s="84"/>
      <c r="S207" s="84"/>
    </row>
    <row r="208" spans="13:19">
      <c r="M208" s="85"/>
      <c r="P208" s="84"/>
      <c r="S208" s="84"/>
    </row>
    <row r="209" spans="13:19">
      <c r="M209" s="85"/>
      <c r="P209" s="84"/>
      <c r="S209" s="84"/>
    </row>
    <row r="210" spans="13:19">
      <c r="M210" s="85"/>
      <c r="P210" s="84"/>
      <c r="S210" s="84"/>
    </row>
    <row r="211" spans="13:19">
      <c r="M211" s="85"/>
      <c r="P211" s="84"/>
      <c r="S211" s="84"/>
    </row>
    <row r="212" spans="13:19">
      <c r="M212" s="85"/>
      <c r="P212" s="84"/>
      <c r="S212" s="84"/>
    </row>
    <row r="213" spans="13:19">
      <c r="M213" s="85"/>
      <c r="P213" s="84"/>
      <c r="S213" s="84"/>
    </row>
    <row r="214" spans="13:19">
      <c r="M214" s="85"/>
      <c r="P214" s="84"/>
      <c r="S214" s="84"/>
    </row>
    <row r="215" spans="13:19">
      <c r="M215" s="85"/>
      <c r="P215" s="84"/>
      <c r="S215" s="84"/>
    </row>
    <row r="216" spans="13:19">
      <c r="M216" s="85"/>
      <c r="P216" s="84"/>
      <c r="S216" s="84"/>
    </row>
    <row r="217" spans="13:19">
      <c r="M217" s="85"/>
      <c r="P217" s="84"/>
      <c r="S217" s="84"/>
    </row>
    <row r="218" spans="13:19">
      <c r="M218" s="85"/>
      <c r="P218" s="84"/>
      <c r="S218" s="84"/>
    </row>
    <row r="219" spans="13:19">
      <c r="M219" s="85"/>
      <c r="P219" s="84"/>
      <c r="S219" s="84"/>
    </row>
    <row r="220" spans="13:19">
      <c r="M220" s="85"/>
      <c r="P220" s="84"/>
      <c r="S220" s="84"/>
    </row>
    <row r="221" spans="13:19">
      <c r="M221" s="85"/>
      <c r="P221" s="84"/>
      <c r="S221" s="84"/>
    </row>
    <row r="222" spans="13:19">
      <c r="M222" s="85"/>
      <c r="P222" s="84"/>
      <c r="S222" s="84"/>
    </row>
    <row r="223" spans="13:19">
      <c r="M223" s="85"/>
      <c r="P223" s="84"/>
      <c r="S223" s="84"/>
    </row>
    <row r="224" spans="13:19">
      <c r="M224" s="85"/>
      <c r="P224" s="84"/>
      <c r="S224" s="84"/>
    </row>
    <row r="225" spans="13:19">
      <c r="M225" s="85"/>
      <c r="P225" s="84"/>
      <c r="S225" s="84"/>
    </row>
    <row r="226" spans="13:19">
      <c r="M226" s="85"/>
      <c r="P226" s="84"/>
      <c r="S226" s="84"/>
    </row>
    <row r="227" spans="13:19">
      <c r="M227" s="85"/>
      <c r="P227" s="84"/>
      <c r="S227" s="84"/>
    </row>
    <row r="228" spans="13:19">
      <c r="M228" s="85"/>
      <c r="P228" s="84"/>
      <c r="S228" s="84"/>
    </row>
    <row r="229" spans="13:19">
      <c r="M229" s="85"/>
      <c r="P229" s="84"/>
      <c r="S229" s="84"/>
    </row>
    <row r="230" spans="13:19">
      <c r="M230" s="85"/>
      <c r="P230" s="84"/>
      <c r="S230" s="84"/>
    </row>
    <row r="231" spans="13:19">
      <c r="M231" s="85"/>
      <c r="P231" s="84"/>
      <c r="S231" s="84"/>
    </row>
    <row r="232" spans="13:19">
      <c r="M232" s="85"/>
      <c r="P232" s="84"/>
      <c r="S232" s="84"/>
    </row>
    <row r="233" spans="13:19">
      <c r="M233" s="85"/>
      <c r="P233" s="84"/>
      <c r="S233" s="84"/>
    </row>
    <row r="234" spans="13:19">
      <c r="M234" s="85"/>
      <c r="P234" s="84"/>
      <c r="S234" s="84"/>
    </row>
    <row r="235" spans="13:19">
      <c r="M235" s="85"/>
      <c r="P235" s="84"/>
      <c r="S235" s="84"/>
    </row>
    <row r="236" spans="13:19">
      <c r="M236" s="85"/>
      <c r="P236" s="84"/>
      <c r="S236" s="84"/>
    </row>
    <row r="237" spans="13:19">
      <c r="M237" s="85"/>
      <c r="P237" s="84"/>
      <c r="S237" s="84"/>
    </row>
    <row r="238" spans="13:19">
      <c r="M238" s="85"/>
      <c r="P238" s="84"/>
      <c r="S238" s="84"/>
    </row>
    <row r="239" spans="13:19">
      <c r="M239" s="85"/>
      <c r="P239" s="84"/>
      <c r="S239" s="84"/>
    </row>
    <row r="240" spans="13:19">
      <c r="M240" s="85"/>
      <c r="P240" s="84"/>
      <c r="S240" s="84"/>
    </row>
    <row r="241" spans="13:19">
      <c r="M241" s="85"/>
      <c r="P241" s="84"/>
      <c r="S241" s="84"/>
    </row>
    <row r="242" spans="13:19">
      <c r="M242" s="85"/>
      <c r="P242" s="84"/>
      <c r="S242" s="84"/>
    </row>
    <row r="243" spans="13:19">
      <c r="M243" s="85"/>
      <c r="P243" s="84"/>
      <c r="S243" s="84"/>
    </row>
    <row r="244" spans="13:19">
      <c r="M244" s="85"/>
      <c r="P244" s="84"/>
      <c r="S244" s="84"/>
    </row>
    <row r="245" spans="13:19">
      <c r="M245" s="85"/>
      <c r="P245" s="84"/>
      <c r="S245" s="84"/>
    </row>
    <row r="246" spans="13:19">
      <c r="M246" s="85"/>
      <c r="P246" s="84"/>
      <c r="S246" s="84"/>
    </row>
    <row r="247" spans="13:19">
      <c r="M247" s="85"/>
      <c r="P247" s="84"/>
      <c r="S247" s="84"/>
    </row>
    <row r="248" spans="13:19">
      <c r="M248" s="85"/>
      <c r="P248" s="84"/>
      <c r="S248" s="84"/>
    </row>
    <row r="249" spans="13:19">
      <c r="M249" s="85"/>
      <c r="P249" s="84"/>
      <c r="S249" s="84"/>
    </row>
    <row r="250" spans="13:19">
      <c r="M250" s="85"/>
      <c r="P250" s="84"/>
      <c r="S250" s="84"/>
    </row>
    <row r="251" spans="13:19">
      <c r="M251" s="85"/>
      <c r="P251" s="84"/>
      <c r="S251" s="84"/>
    </row>
    <row r="252" spans="13:19">
      <c r="M252" s="85"/>
      <c r="P252" s="84"/>
      <c r="S252" s="84"/>
    </row>
    <row r="253" spans="13:19">
      <c r="M253" s="85"/>
      <c r="P253" s="84"/>
      <c r="S253" s="84"/>
    </row>
    <row r="254" spans="13:19">
      <c r="M254" s="85"/>
      <c r="P254" s="84"/>
      <c r="S254" s="84"/>
    </row>
    <row r="255" spans="13:19">
      <c r="M255" s="85"/>
      <c r="P255" s="84"/>
      <c r="S255" s="84"/>
    </row>
    <row r="256" spans="13:19">
      <c r="M256" s="85"/>
      <c r="P256" s="84"/>
      <c r="S256" s="84"/>
    </row>
    <row r="257" spans="13:19">
      <c r="M257" s="85"/>
      <c r="P257" s="84"/>
      <c r="S257" s="84"/>
    </row>
    <row r="258" spans="13:19">
      <c r="M258" s="85"/>
      <c r="P258" s="84"/>
      <c r="S258" s="84"/>
    </row>
    <row r="259" spans="13:19">
      <c r="M259" s="85"/>
      <c r="P259" s="84"/>
      <c r="S259" s="84"/>
    </row>
    <row r="260" spans="13:19">
      <c r="M260" s="85"/>
      <c r="P260" s="84"/>
      <c r="S260" s="84"/>
    </row>
    <row r="261" spans="13:19">
      <c r="M261" s="85"/>
      <c r="P261" s="84"/>
      <c r="S261" s="84"/>
    </row>
    <row r="262" spans="13:19">
      <c r="M262" s="85"/>
      <c r="P262" s="84"/>
      <c r="S262" s="84"/>
    </row>
    <row r="263" spans="13:19">
      <c r="M263" s="85"/>
      <c r="P263" s="84"/>
      <c r="S263" s="84"/>
    </row>
    <row r="264" spans="13:19">
      <c r="M264" s="85"/>
      <c r="P264" s="84"/>
      <c r="S264" s="84"/>
    </row>
    <row r="265" spans="13:19">
      <c r="M265" s="85"/>
      <c r="P265" s="84"/>
      <c r="S265" s="84"/>
    </row>
    <row r="266" spans="13:19">
      <c r="M266" s="85"/>
      <c r="P266" s="84"/>
      <c r="S266" s="84"/>
    </row>
    <row r="267" spans="13:19">
      <c r="M267" s="85"/>
      <c r="P267" s="84"/>
      <c r="S267" s="84"/>
    </row>
    <row r="268" spans="13:19">
      <c r="M268" s="85"/>
      <c r="P268" s="84"/>
      <c r="S268" s="84"/>
    </row>
    <row r="269" spans="13:19">
      <c r="M269" s="85"/>
      <c r="P269" s="84"/>
      <c r="S269" s="84"/>
    </row>
    <row r="270" spans="13:19">
      <c r="M270" s="85"/>
      <c r="P270" s="84"/>
      <c r="S270" s="84"/>
    </row>
    <row r="271" spans="13:19">
      <c r="M271" s="85"/>
      <c r="P271" s="84"/>
      <c r="S271" s="84"/>
    </row>
    <row r="272" spans="13:19">
      <c r="M272" s="85"/>
      <c r="P272" s="84"/>
      <c r="S272" s="84"/>
    </row>
    <row r="273" spans="13:19">
      <c r="M273" s="85"/>
      <c r="P273" s="84"/>
      <c r="S273" s="84"/>
    </row>
    <row r="274" spans="13:19">
      <c r="M274" s="85"/>
      <c r="P274" s="84"/>
      <c r="S274" s="84"/>
    </row>
    <row r="275" spans="13:19">
      <c r="M275" s="85"/>
      <c r="P275" s="84"/>
      <c r="S275" s="84"/>
    </row>
    <row r="276" spans="13:19">
      <c r="M276" s="85"/>
      <c r="P276" s="84"/>
      <c r="S276" s="84"/>
    </row>
    <row r="277" spans="13:19">
      <c r="M277" s="85"/>
      <c r="P277" s="84"/>
      <c r="S277" s="84"/>
    </row>
    <row r="278" spans="13:19">
      <c r="M278" s="85"/>
      <c r="P278" s="84"/>
      <c r="S278" s="84"/>
    </row>
    <row r="279" spans="13:19">
      <c r="M279" s="85"/>
      <c r="P279" s="84"/>
      <c r="S279" s="84"/>
    </row>
    <row r="280" spans="13:19">
      <c r="M280" s="85"/>
      <c r="P280" s="84"/>
      <c r="S280" s="84"/>
    </row>
    <row r="281" spans="13:19">
      <c r="M281" s="85"/>
      <c r="P281" s="84"/>
      <c r="S281" s="84"/>
    </row>
    <row r="282" spans="13:19">
      <c r="M282" s="85"/>
      <c r="P282" s="84"/>
      <c r="S282" s="84"/>
    </row>
    <row r="283" spans="13:19">
      <c r="M283" s="85"/>
      <c r="P283" s="84"/>
      <c r="S283" s="84"/>
    </row>
    <row r="284" spans="13:19">
      <c r="M284" s="85"/>
      <c r="P284" s="84"/>
      <c r="S284" s="84"/>
    </row>
    <row r="285" spans="13:19">
      <c r="M285" s="85"/>
      <c r="P285" s="84"/>
      <c r="S285" s="84"/>
    </row>
    <row r="286" spans="13:19">
      <c r="M286" s="85"/>
      <c r="P286" s="84"/>
      <c r="S286" s="84"/>
    </row>
    <row r="287" spans="13:19">
      <c r="M287" s="85"/>
      <c r="P287" s="84"/>
      <c r="S287" s="84"/>
    </row>
    <row r="288" spans="13:19">
      <c r="M288" s="85"/>
      <c r="P288" s="84"/>
      <c r="S288" s="84"/>
    </row>
    <row r="289" spans="13:19">
      <c r="M289" s="85"/>
      <c r="P289" s="84"/>
      <c r="S289" s="84"/>
    </row>
    <row r="290" spans="13:19">
      <c r="M290" s="85"/>
      <c r="P290" s="84"/>
      <c r="S290" s="84"/>
    </row>
    <row r="291" spans="13:19">
      <c r="M291" s="85"/>
      <c r="P291" s="84"/>
      <c r="S291" s="84"/>
    </row>
    <row r="292" spans="13:19">
      <c r="M292" s="85"/>
      <c r="P292" s="84"/>
      <c r="S292" s="84"/>
    </row>
    <row r="293" spans="13:19">
      <c r="M293" s="85"/>
      <c r="P293" s="84"/>
      <c r="S293" s="84"/>
    </row>
    <row r="294" spans="13:19">
      <c r="M294" s="85"/>
      <c r="P294" s="84"/>
      <c r="S294" s="84"/>
    </row>
    <row r="295" spans="13:19">
      <c r="M295" s="85"/>
      <c r="P295" s="84"/>
      <c r="S295" s="84"/>
    </row>
    <row r="296" spans="13:19">
      <c r="M296" s="85"/>
      <c r="P296" s="84"/>
      <c r="S296" s="84"/>
    </row>
    <row r="297" spans="13:19">
      <c r="M297" s="85"/>
      <c r="P297" s="84"/>
      <c r="S297" s="84"/>
    </row>
    <row r="298" spans="13:19">
      <c r="M298" s="85"/>
      <c r="P298" s="84"/>
      <c r="S298" s="84"/>
    </row>
    <row r="299" spans="13:19">
      <c r="M299" s="85"/>
      <c r="P299" s="84"/>
      <c r="S299" s="84"/>
    </row>
    <row r="300" spans="13:19">
      <c r="M300" s="85"/>
      <c r="P300" s="84"/>
      <c r="S300" s="84"/>
    </row>
    <row r="301" spans="13:19">
      <c r="M301" s="85"/>
      <c r="P301" s="84"/>
      <c r="S301" s="84"/>
    </row>
    <row r="302" spans="13:19">
      <c r="M302" s="85"/>
      <c r="P302" s="84"/>
      <c r="S302" s="84"/>
    </row>
    <row r="303" spans="13:19">
      <c r="M303" s="85"/>
      <c r="P303" s="84"/>
      <c r="S303" s="84"/>
    </row>
    <row r="304" spans="13:19">
      <c r="M304" s="85"/>
      <c r="P304" s="84"/>
      <c r="S304" s="84"/>
    </row>
    <row r="305" spans="13:19">
      <c r="M305" s="85"/>
      <c r="P305" s="84"/>
      <c r="S305" s="84"/>
    </row>
    <row r="306" spans="13:19">
      <c r="M306" s="85"/>
      <c r="P306" s="84"/>
      <c r="S306" s="84"/>
    </row>
    <row r="307" spans="13:19">
      <c r="M307" s="85"/>
      <c r="P307" s="84"/>
      <c r="S307" s="84"/>
    </row>
    <row r="308" spans="13:19">
      <c r="M308" s="85"/>
      <c r="P308" s="84"/>
      <c r="S308" s="84"/>
    </row>
    <row r="309" spans="13:19">
      <c r="M309" s="85"/>
      <c r="P309" s="84"/>
      <c r="S309" s="84"/>
    </row>
    <row r="310" spans="13:19">
      <c r="M310" s="85"/>
      <c r="P310" s="84"/>
      <c r="S310" s="84"/>
    </row>
    <row r="311" spans="13:19">
      <c r="M311" s="85"/>
      <c r="P311" s="84"/>
      <c r="S311" s="84"/>
    </row>
    <row r="312" spans="13:19">
      <c r="M312" s="85"/>
      <c r="P312" s="84"/>
      <c r="S312" s="84"/>
    </row>
    <row r="313" spans="13:19">
      <c r="M313" s="85"/>
      <c r="P313" s="84"/>
      <c r="S313" s="84"/>
    </row>
    <row r="314" spans="13:19">
      <c r="M314" s="85"/>
      <c r="P314" s="84"/>
      <c r="S314" s="84"/>
    </row>
    <row r="315" spans="13:19">
      <c r="M315" s="85"/>
      <c r="P315" s="84"/>
      <c r="S315" s="84"/>
    </row>
    <row r="316" spans="13:19">
      <c r="M316" s="85"/>
      <c r="P316" s="84"/>
      <c r="S316" s="84"/>
    </row>
    <row r="317" spans="13:19">
      <c r="M317" s="85"/>
      <c r="P317" s="84"/>
      <c r="S317" s="84"/>
    </row>
    <row r="318" spans="13:19">
      <c r="M318" s="85"/>
      <c r="P318" s="84"/>
      <c r="S318" s="84"/>
    </row>
    <row r="319" spans="13:19">
      <c r="M319" s="85"/>
      <c r="P319" s="84"/>
      <c r="S319" s="84"/>
    </row>
    <row r="320" spans="13:19">
      <c r="M320" s="85"/>
      <c r="P320" s="84"/>
      <c r="S320" s="84"/>
    </row>
    <row r="321" spans="13:19">
      <c r="M321" s="85"/>
      <c r="P321" s="84"/>
      <c r="S321" s="84"/>
    </row>
    <row r="322" spans="13:19">
      <c r="M322" s="85"/>
      <c r="P322" s="84"/>
      <c r="S322" s="84"/>
    </row>
    <row r="323" spans="13:19">
      <c r="M323" s="85"/>
      <c r="P323" s="84"/>
      <c r="S323" s="84"/>
    </row>
    <row r="324" spans="13:19">
      <c r="M324" s="85"/>
      <c r="P324" s="84"/>
      <c r="S324" s="84"/>
    </row>
    <row r="325" spans="13:19">
      <c r="M325" s="85"/>
      <c r="P325" s="84"/>
      <c r="S325" s="84"/>
    </row>
    <row r="326" spans="13:19">
      <c r="M326" s="85"/>
      <c r="P326" s="84"/>
      <c r="S326" s="84"/>
    </row>
    <row r="327" spans="13:19">
      <c r="M327" s="85"/>
      <c r="P327" s="84"/>
      <c r="S327" s="84"/>
    </row>
    <row r="328" spans="13:19">
      <c r="M328" s="85"/>
      <c r="P328" s="84"/>
      <c r="S328" s="84"/>
    </row>
    <row r="329" spans="13:19">
      <c r="M329" s="85"/>
      <c r="P329" s="84"/>
      <c r="S329" s="84"/>
    </row>
    <row r="330" spans="13:19">
      <c r="M330" s="85"/>
      <c r="P330" s="84"/>
      <c r="S330" s="84"/>
    </row>
    <row r="331" spans="13:19">
      <c r="M331" s="85"/>
      <c r="P331" s="84"/>
      <c r="S331" s="84"/>
    </row>
    <row r="332" spans="13:19">
      <c r="M332" s="85"/>
      <c r="P332" s="84"/>
      <c r="S332" s="84"/>
    </row>
    <row r="333" spans="13:19">
      <c r="M333" s="85"/>
      <c r="P333" s="84"/>
      <c r="S333" s="84"/>
    </row>
    <row r="334" spans="13:19">
      <c r="M334" s="85"/>
      <c r="P334" s="84"/>
      <c r="S334" s="84"/>
    </row>
    <row r="335" spans="13:19">
      <c r="M335" s="85"/>
      <c r="P335" s="84"/>
      <c r="S335" s="84"/>
    </row>
    <row r="336" spans="13:19">
      <c r="M336" s="85"/>
      <c r="P336" s="84"/>
      <c r="S336" s="84"/>
    </row>
    <row r="337" spans="13:19">
      <c r="M337" s="85"/>
      <c r="P337" s="84"/>
      <c r="S337" s="84"/>
    </row>
    <row r="338" spans="13:19">
      <c r="M338" s="85"/>
      <c r="P338" s="84"/>
      <c r="S338" s="84"/>
    </row>
    <row r="339" spans="13:19">
      <c r="M339" s="85"/>
      <c r="P339" s="84"/>
      <c r="S339" s="84"/>
    </row>
    <row r="340" spans="13:19">
      <c r="M340" s="85"/>
      <c r="P340" s="84"/>
      <c r="S340" s="84"/>
    </row>
    <row r="341" spans="13:19">
      <c r="M341" s="85"/>
      <c r="P341" s="84"/>
      <c r="S341" s="84"/>
    </row>
    <row r="342" spans="13:19">
      <c r="M342" s="85"/>
      <c r="P342" s="84"/>
      <c r="S342" s="84"/>
    </row>
    <row r="343" spans="13:19">
      <c r="M343" s="85"/>
      <c r="P343" s="84"/>
      <c r="S343" s="84"/>
    </row>
    <row r="344" spans="13:19">
      <c r="M344" s="85"/>
      <c r="P344" s="84"/>
      <c r="S344" s="84"/>
    </row>
    <row r="345" spans="13:19">
      <c r="M345" s="85"/>
      <c r="P345" s="84"/>
      <c r="S345" s="84"/>
    </row>
    <row r="346" spans="13:19">
      <c r="M346" s="85"/>
      <c r="P346" s="84"/>
      <c r="S346" s="84"/>
    </row>
    <row r="347" spans="13:19">
      <c r="M347" s="85"/>
      <c r="P347" s="84"/>
      <c r="S347" s="84"/>
    </row>
    <row r="348" spans="13:19">
      <c r="M348" s="85"/>
      <c r="P348" s="84"/>
      <c r="S348" s="84"/>
    </row>
    <row r="349" spans="13:19">
      <c r="M349" s="85"/>
      <c r="P349" s="84"/>
      <c r="S349" s="84"/>
    </row>
    <row r="350" spans="13:19">
      <c r="M350" s="85"/>
      <c r="P350" s="84"/>
      <c r="S350" s="84"/>
    </row>
    <row r="351" spans="13:19">
      <c r="M351" s="85"/>
      <c r="P351" s="84"/>
      <c r="S351" s="84"/>
    </row>
    <row r="352" spans="13:19">
      <c r="M352" s="85"/>
      <c r="P352" s="84"/>
      <c r="S352" s="84"/>
    </row>
    <row r="353" spans="13:19">
      <c r="M353" s="85"/>
      <c r="P353" s="84"/>
      <c r="S353" s="84"/>
    </row>
    <row r="354" spans="13:19">
      <c r="M354" s="85"/>
      <c r="P354" s="84"/>
      <c r="S354" s="84"/>
    </row>
    <row r="355" spans="13:19">
      <c r="M355" s="85"/>
      <c r="P355" s="84"/>
      <c r="S355" s="84"/>
    </row>
    <row r="356" spans="13:19">
      <c r="M356" s="85"/>
      <c r="P356" s="84"/>
      <c r="S356" s="84"/>
    </row>
    <row r="357" spans="13:19">
      <c r="M357" s="85"/>
      <c r="P357" s="84"/>
      <c r="S357" s="84"/>
    </row>
    <row r="358" spans="13:19">
      <c r="M358" s="85"/>
      <c r="P358" s="84"/>
      <c r="S358" s="84"/>
    </row>
    <row r="359" spans="13:19">
      <c r="M359" s="85"/>
      <c r="P359" s="84"/>
      <c r="S359" s="84"/>
    </row>
    <row r="360" spans="13:19">
      <c r="M360" s="85"/>
      <c r="P360" s="84"/>
      <c r="S360" s="84"/>
    </row>
    <row r="361" spans="13:19">
      <c r="M361" s="85"/>
      <c r="P361" s="84"/>
      <c r="S361" s="84"/>
    </row>
    <row r="362" spans="13:19">
      <c r="M362" s="85"/>
      <c r="P362" s="84"/>
      <c r="S362" s="84"/>
    </row>
    <row r="363" spans="13:19">
      <c r="M363" s="85"/>
      <c r="P363" s="84"/>
      <c r="S363" s="84"/>
    </row>
    <row r="364" spans="13:19">
      <c r="M364" s="85"/>
      <c r="P364" s="84"/>
      <c r="S364" s="84"/>
    </row>
    <row r="365" spans="13:19">
      <c r="P365" s="84"/>
      <c r="S365" s="84"/>
    </row>
    <row r="366" spans="13:19">
      <c r="P366" s="84"/>
      <c r="S366" s="84"/>
    </row>
    <row r="367" spans="13:19">
      <c r="P367" s="84"/>
      <c r="S367" s="84"/>
    </row>
    <row r="368" spans="13:19">
      <c r="P368" s="84"/>
      <c r="S368" s="84"/>
    </row>
    <row r="369" spans="16:19">
      <c r="P369" s="84"/>
      <c r="S369" s="84"/>
    </row>
    <row r="370" spans="16:19">
      <c r="P370" s="84"/>
      <c r="S370" s="84"/>
    </row>
    <row r="371" spans="16:19">
      <c r="P371" s="84"/>
      <c r="S371" s="84"/>
    </row>
    <row r="372" spans="16:19">
      <c r="P372" s="84"/>
      <c r="S372" s="84"/>
    </row>
    <row r="373" spans="16:19">
      <c r="P373" s="84"/>
      <c r="S373" s="84"/>
    </row>
    <row r="374" spans="16:19">
      <c r="P374" s="84"/>
      <c r="S374" s="84"/>
    </row>
    <row r="375" spans="16:19">
      <c r="P375" s="84"/>
      <c r="S375" s="84"/>
    </row>
    <row r="376" spans="16:19">
      <c r="P376" s="84"/>
      <c r="S376" s="84"/>
    </row>
    <row r="377" spans="16:19">
      <c r="P377" s="84"/>
      <c r="S377" s="84"/>
    </row>
    <row r="378" spans="16:19">
      <c r="P378" s="84"/>
      <c r="S378" s="84"/>
    </row>
    <row r="379" spans="16:19">
      <c r="P379" s="84"/>
      <c r="S379" s="84"/>
    </row>
    <row r="380" spans="16:19">
      <c r="P380" s="84"/>
      <c r="S380" s="84"/>
    </row>
    <row r="381" spans="16:19">
      <c r="P381" s="84"/>
      <c r="S381" s="84"/>
    </row>
    <row r="382" spans="16:19">
      <c r="P382" s="84"/>
      <c r="S382" s="84"/>
    </row>
    <row r="383" spans="16:19">
      <c r="P383" s="84"/>
      <c r="S383" s="84"/>
    </row>
    <row r="384" spans="16:19">
      <c r="P384" s="84"/>
      <c r="S384" s="84"/>
    </row>
    <row r="385" spans="16:19">
      <c r="P385" s="84"/>
      <c r="S385" s="84"/>
    </row>
    <row r="386" spans="16:19">
      <c r="P386" s="84"/>
      <c r="S386" s="84"/>
    </row>
    <row r="387" spans="16:19">
      <c r="P387" s="84"/>
      <c r="S387" s="84"/>
    </row>
    <row r="388" spans="16:19">
      <c r="P388" s="84"/>
      <c r="S388" s="84"/>
    </row>
    <row r="389" spans="16:19">
      <c r="P389" s="84"/>
      <c r="S389" s="84"/>
    </row>
    <row r="390" spans="16:19">
      <c r="P390" s="84"/>
      <c r="S390" s="84"/>
    </row>
    <row r="391" spans="16:19">
      <c r="P391" s="84"/>
      <c r="S391" s="84"/>
    </row>
    <row r="392" spans="16:19">
      <c r="P392" s="84"/>
      <c r="S392" s="84"/>
    </row>
    <row r="393" spans="16:19">
      <c r="P393" s="84"/>
      <c r="S393" s="84"/>
    </row>
    <row r="394" spans="16:19">
      <c r="P394" s="84"/>
      <c r="S394" s="84"/>
    </row>
    <row r="395" spans="16:19">
      <c r="P395" s="84"/>
      <c r="S395" s="84"/>
    </row>
    <row r="396" spans="16:19">
      <c r="P396" s="84"/>
      <c r="S396" s="84"/>
    </row>
    <row r="397" spans="16:19">
      <c r="P397" s="84"/>
      <c r="S397" s="84"/>
    </row>
    <row r="398" spans="16:19">
      <c r="P398" s="84"/>
      <c r="S398" s="84"/>
    </row>
    <row r="399" spans="16:19">
      <c r="P399" s="84"/>
      <c r="S399" s="84"/>
    </row>
    <row r="400" spans="16:19">
      <c r="P400" s="84"/>
      <c r="S400" s="84"/>
    </row>
    <row r="401" spans="16:19">
      <c r="P401" s="84"/>
      <c r="S401" s="84"/>
    </row>
    <row r="402" spans="16:19">
      <c r="P402" s="84"/>
      <c r="S402" s="84"/>
    </row>
    <row r="403" spans="16:19">
      <c r="P403" s="84"/>
      <c r="S403" s="84"/>
    </row>
    <row r="404" spans="16:19">
      <c r="P404" s="84"/>
      <c r="S404" s="84"/>
    </row>
    <row r="405" spans="16:19">
      <c r="P405" s="84"/>
      <c r="S405" s="84"/>
    </row>
    <row r="406" spans="16:19">
      <c r="P406" s="84"/>
      <c r="S406" s="84"/>
    </row>
    <row r="407" spans="16:19">
      <c r="P407" s="84"/>
      <c r="S407" s="84"/>
    </row>
    <row r="408" spans="16:19">
      <c r="P408" s="84"/>
      <c r="S408" s="84"/>
    </row>
    <row r="409" spans="16:19">
      <c r="P409" s="84"/>
      <c r="S409" s="84"/>
    </row>
    <row r="410" spans="16:19">
      <c r="P410" s="84"/>
      <c r="S410" s="84"/>
    </row>
    <row r="411" spans="16:19">
      <c r="P411" s="84"/>
      <c r="S411" s="84"/>
    </row>
    <row r="412" spans="16:19">
      <c r="P412" s="84"/>
      <c r="S412" s="84"/>
    </row>
    <row r="413" spans="16:19">
      <c r="P413" s="84"/>
      <c r="S413" s="84"/>
    </row>
    <row r="414" spans="16:19">
      <c r="P414" s="84"/>
      <c r="S414" s="84"/>
    </row>
    <row r="415" spans="16:19">
      <c r="P415" s="84"/>
      <c r="S415" s="84"/>
    </row>
    <row r="416" spans="16:19">
      <c r="P416" s="84"/>
      <c r="S416" s="84"/>
    </row>
    <row r="417" spans="16:19">
      <c r="P417" s="84"/>
      <c r="S417" s="84"/>
    </row>
    <row r="418" spans="16:19">
      <c r="P418" s="84"/>
      <c r="S418" s="84"/>
    </row>
    <row r="419" spans="16:19">
      <c r="P419" s="84"/>
      <c r="S419" s="84"/>
    </row>
    <row r="420" spans="16:19">
      <c r="P420" s="84"/>
      <c r="S420" s="84"/>
    </row>
    <row r="421" spans="16:19">
      <c r="P421" s="84"/>
      <c r="S421" s="84"/>
    </row>
    <row r="422" spans="16:19">
      <c r="P422" s="84"/>
      <c r="S422" s="84"/>
    </row>
    <row r="423" spans="16:19">
      <c r="P423" s="84"/>
      <c r="S423" s="84"/>
    </row>
    <row r="424" spans="16:19">
      <c r="P424" s="84"/>
      <c r="S424" s="84"/>
    </row>
    <row r="425" spans="16:19">
      <c r="P425" s="84"/>
      <c r="S425" s="84"/>
    </row>
    <row r="426" spans="16:19">
      <c r="P426" s="84"/>
      <c r="S426" s="84"/>
    </row>
    <row r="427" spans="16:19">
      <c r="P427" s="84"/>
      <c r="S427" s="84"/>
    </row>
    <row r="428" spans="16:19">
      <c r="P428" s="84"/>
      <c r="S428" s="84"/>
    </row>
    <row r="429" spans="16:19">
      <c r="P429" s="84"/>
      <c r="S429" s="84"/>
    </row>
    <row r="430" spans="16:19">
      <c r="P430" s="84"/>
      <c r="S430" s="84"/>
    </row>
    <row r="431" spans="16:19">
      <c r="P431" s="84"/>
      <c r="S431" s="84"/>
    </row>
    <row r="432" spans="16:19">
      <c r="P432" s="84"/>
      <c r="S432" s="84"/>
    </row>
    <row r="433" spans="16:19">
      <c r="P433" s="84"/>
      <c r="S433" s="84"/>
    </row>
    <row r="434" spans="16:19">
      <c r="P434" s="84"/>
      <c r="S434" s="84"/>
    </row>
    <row r="435" spans="16:19">
      <c r="P435" s="84"/>
      <c r="S435" s="84"/>
    </row>
    <row r="436" spans="16:19">
      <c r="P436" s="84"/>
      <c r="S436" s="84"/>
    </row>
    <row r="437" spans="16:19">
      <c r="P437" s="84"/>
      <c r="S437" s="84"/>
    </row>
    <row r="438" spans="16:19">
      <c r="P438" s="84"/>
      <c r="S438" s="84"/>
    </row>
    <row r="439" spans="16:19">
      <c r="P439" s="84"/>
      <c r="S439" s="84"/>
    </row>
    <row r="440" spans="16:19">
      <c r="P440" s="84"/>
      <c r="S440" s="84"/>
    </row>
    <row r="441" spans="16:19">
      <c r="P441" s="84"/>
      <c r="S441" s="84"/>
    </row>
    <row r="442" spans="16:19">
      <c r="P442" s="84"/>
      <c r="S442" s="84"/>
    </row>
    <row r="443" spans="16:19">
      <c r="P443" s="84"/>
      <c r="S443" s="84"/>
    </row>
    <row r="444" spans="16:19">
      <c r="P444" s="84"/>
      <c r="S444" s="84"/>
    </row>
    <row r="445" spans="16:19">
      <c r="P445" s="84"/>
      <c r="S445" s="84"/>
    </row>
    <row r="446" spans="16:19">
      <c r="P446" s="84"/>
      <c r="S446" s="84"/>
    </row>
    <row r="447" spans="16:19">
      <c r="P447" s="84"/>
      <c r="S447" s="84"/>
    </row>
    <row r="448" spans="16:19">
      <c r="P448" s="84"/>
      <c r="S448" s="84"/>
    </row>
    <row r="449" spans="16:19">
      <c r="P449" s="84"/>
      <c r="S449" s="84"/>
    </row>
    <row r="450" spans="16:19">
      <c r="P450" s="84"/>
      <c r="S450" s="84"/>
    </row>
    <row r="451" spans="16:19">
      <c r="P451" s="84"/>
      <c r="S451" s="84"/>
    </row>
    <row r="452" spans="16:19">
      <c r="P452" s="84"/>
      <c r="S452" s="84"/>
    </row>
    <row r="453" spans="16:19">
      <c r="P453" s="84"/>
      <c r="S453" s="84"/>
    </row>
    <row r="454" spans="16:19">
      <c r="P454" s="84"/>
      <c r="S454" s="84"/>
    </row>
    <row r="455" spans="16:19">
      <c r="P455" s="84"/>
      <c r="S455" s="84"/>
    </row>
    <row r="456" spans="16:19">
      <c r="P456" s="84"/>
      <c r="S456" s="84"/>
    </row>
    <row r="457" spans="16:19">
      <c r="P457" s="84"/>
      <c r="S457" s="84"/>
    </row>
    <row r="458" spans="16:19">
      <c r="P458" s="84"/>
      <c r="S458" s="84"/>
    </row>
    <row r="459" spans="16:19">
      <c r="P459" s="84"/>
      <c r="S459" s="84"/>
    </row>
    <row r="460" spans="16:19">
      <c r="P460" s="84"/>
      <c r="S460" s="84"/>
    </row>
    <row r="461" spans="16:19">
      <c r="P461" s="84"/>
      <c r="S461" s="84"/>
    </row>
    <row r="462" spans="16:19">
      <c r="P462" s="84"/>
      <c r="S462" s="84"/>
    </row>
    <row r="463" spans="16:19">
      <c r="P463" s="84"/>
      <c r="S463" s="84"/>
    </row>
    <row r="464" spans="16:19">
      <c r="P464" s="84"/>
      <c r="S464" s="84"/>
    </row>
    <row r="465" spans="16:19">
      <c r="P465" s="84"/>
      <c r="S465" s="84"/>
    </row>
    <row r="466" spans="16:19">
      <c r="P466" s="84"/>
      <c r="S466" s="84"/>
    </row>
  </sheetData>
  <mergeCells count="15">
    <mergeCell ref="Q4:Q5"/>
    <mergeCell ref="R4:R5"/>
    <mergeCell ref="S4:S5"/>
    <mergeCell ref="O6:S6"/>
    <mergeCell ref="A58:S58"/>
    <mergeCell ref="A4:I6"/>
    <mergeCell ref="J4:M5"/>
    <mergeCell ref="N4:N6"/>
    <mergeCell ref="O4:O5"/>
    <mergeCell ref="P4:P5"/>
    <mergeCell ref="A109:S109"/>
    <mergeCell ref="A110:S110"/>
    <mergeCell ref="A7:S7"/>
    <mergeCell ref="A8:S8"/>
    <mergeCell ref="A59:S59"/>
  </mergeCells>
  <hyperlinks>
    <hyperlink ref="A1:I1" location="Главная!A1" display="Вернуться на главную страницу" xr:uid="{00000000-0004-0000-1900-000000000000}"/>
    <hyperlink ref="A2" location="'Калькулятор теплоотдач ВК'!R1C1" display="Вернуться Калькулятор теплоотдач ВК" xr:uid="{00000000-0004-0000-1900-000001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28">
    <tabColor rgb="FFFFC000"/>
  </sheetPr>
  <dimension ref="A1:U466"/>
  <sheetViews>
    <sheetView zoomScale="70" zoomScaleNormal="70" workbookViewId="0">
      <pane ySplit="6" topLeftCell="A7" activePane="bottomLeft" state="frozen"/>
      <selection pane="bottomLeft" activeCell="Z15" sqref="Z15"/>
    </sheetView>
  </sheetViews>
  <sheetFormatPr defaultRowHeight="15.75"/>
  <cols>
    <col min="1" max="1" width="3.710937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4.5703125" style="7" customWidth="1"/>
    <col min="10" max="10" width="11.28515625" style="7" customWidth="1"/>
    <col min="11" max="12" width="11.28515625" style="87" customWidth="1"/>
    <col min="13" max="13" width="15.5703125" style="1" customWidth="1"/>
    <col min="14" max="14" width="19.140625" style="7" customWidth="1"/>
    <col min="15" max="15" width="27.7109375" style="112" customWidth="1"/>
    <col min="16" max="16" width="27.7109375" style="106" customWidth="1"/>
    <col min="17" max="17" width="26.28515625" style="107" customWidth="1"/>
    <col min="18" max="18" width="27.7109375" style="112" customWidth="1"/>
    <col min="19" max="19" width="27.7109375" style="107" customWidth="1"/>
    <col min="21" max="21" width="22.42578125" customWidth="1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0"/>
      <c r="O1" s="107"/>
      <c r="P1" s="107"/>
      <c r="R1" s="107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s="65" customFormat="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142</v>
      </c>
      <c r="P4" s="3008" t="s">
        <v>138</v>
      </c>
      <c r="Q4" s="3045" t="s">
        <v>143</v>
      </c>
      <c r="R4" s="3020" t="s">
        <v>420</v>
      </c>
      <c r="S4" s="2981" t="s">
        <v>421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ht="22.5" customHeight="1" thickBot="1">
      <c r="A7" s="2968" t="s">
        <v>45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ht="16.5" thickBot="1">
      <c r="A8" s="2974" t="s">
        <v>117</v>
      </c>
      <c r="B8" s="2975"/>
      <c r="C8" s="2975"/>
      <c r="D8" s="2975"/>
      <c r="E8" s="2975"/>
      <c r="F8" s="2975"/>
      <c r="G8" s="2975"/>
      <c r="H8" s="2975"/>
      <c r="I8" s="2975"/>
      <c r="J8" s="2975"/>
      <c r="K8" s="2975"/>
      <c r="L8" s="2975"/>
      <c r="M8" s="2975"/>
      <c r="N8" s="2975"/>
      <c r="O8" s="2975"/>
      <c r="P8" s="2975"/>
      <c r="Q8" s="2975"/>
      <c r="R8" s="3022"/>
      <c r="S8" s="3023"/>
    </row>
    <row r="9" spans="1:21" ht="16.5" thickBot="1">
      <c r="A9" s="38" t="s">
        <v>31</v>
      </c>
      <c r="B9" s="39">
        <f>J9</f>
        <v>400</v>
      </c>
      <c r="C9" s="39" t="s">
        <v>3</v>
      </c>
      <c r="D9" s="39">
        <f>K9</f>
        <v>260</v>
      </c>
      <c r="E9" s="39" t="s">
        <v>3</v>
      </c>
      <c r="F9" s="90">
        <f>L9</f>
        <v>600</v>
      </c>
      <c r="G9" s="39" t="s">
        <v>3</v>
      </c>
      <c r="H9" s="39">
        <v>4</v>
      </c>
      <c r="I9" s="40" t="s">
        <v>41</v>
      </c>
      <c r="J9" s="146">
        <v>400</v>
      </c>
      <c r="K9" s="122">
        <v>260</v>
      </c>
      <c r="L9" s="122">
        <v>600</v>
      </c>
      <c r="M9" s="163">
        <v>11.595474100560526</v>
      </c>
      <c r="N9" s="123">
        <v>348.88677408075375</v>
      </c>
      <c r="O9" s="124">
        <v>15768.417255130445</v>
      </c>
      <c r="P9" s="160">
        <v>18958.18309251493</v>
      </c>
      <c r="Q9" s="253">
        <v>8214.2785134660462</v>
      </c>
      <c r="R9" s="262">
        <v>23982.695768596492</v>
      </c>
      <c r="S9" s="257">
        <v>27172.461605980978</v>
      </c>
      <c r="U9" s="7" t="s">
        <v>4091</v>
      </c>
    </row>
    <row r="10" spans="1:21" ht="16.5" thickBot="1">
      <c r="A10" s="41" t="s">
        <v>31</v>
      </c>
      <c r="B10" s="42">
        <f t="shared" ref="B10:B57" si="0">J10</f>
        <v>400</v>
      </c>
      <c r="C10" s="42" t="s">
        <v>3</v>
      </c>
      <c r="D10" s="42">
        <f t="shared" ref="D10:D57" si="1">K10</f>
        <v>260</v>
      </c>
      <c r="E10" s="42" t="s">
        <v>3</v>
      </c>
      <c r="F10" s="90">
        <f t="shared" ref="F10:F57" si="2">L10</f>
        <v>650</v>
      </c>
      <c r="G10" s="42" t="s">
        <v>3</v>
      </c>
      <c r="H10" s="39">
        <v>4</v>
      </c>
      <c r="I10" s="40" t="s">
        <v>41</v>
      </c>
      <c r="J10" s="149">
        <v>400</v>
      </c>
      <c r="K10" s="66">
        <v>260</v>
      </c>
      <c r="L10" s="66">
        <v>650</v>
      </c>
      <c r="M10" s="164">
        <v>12.372428170425788</v>
      </c>
      <c r="N10" s="78">
        <v>418.66412889690457</v>
      </c>
      <c r="O10" s="113">
        <v>16587.904196740339</v>
      </c>
      <c r="P10" s="161">
        <v>19978.561676998292</v>
      </c>
      <c r="Q10" s="254">
        <v>8684.7340809460093</v>
      </c>
      <c r="R10" s="263">
        <v>25272.638277686347</v>
      </c>
      <c r="S10" s="259">
        <v>28663.295757944303</v>
      </c>
      <c r="U10" s="7" t="s">
        <v>4092</v>
      </c>
    </row>
    <row r="11" spans="1:21" ht="16.5" thickBot="1">
      <c r="A11" s="41" t="s">
        <v>31</v>
      </c>
      <c r="B11" s="42">
        <f t="shared" si="0"/>
        <v>400</v>
      </c>
      <c r="C11" s="42" t="s">
        <v>3</v>
      </c>
      <c r="D11" s="42">
        <f t="shared" si="1"/>
        <v>260</v>
      </c>
      <c r="E11" s="42" t="s">
        <v>3</v>
      </c>
      <c r="F11" s="90">
        <f t="shared" si="2"/>
        <v>700</v>
      </c>
      <c r="G11" s="42" t="s">
        <v>3</v>
      </c>
      <c r="H11" s="39">
        <v>4</v>
      </c>
      <c r="I11" s="40" t="s">
        <v>41</v>
      </c>
      <c r="J11" s="149">
        <v>400</v>
      </c>
      <c r="K11" s="66">
        <v>260</v>
      </c>
      <c r="L11" s="66">
        <v>700</v>
      </c>
      <c r="M11" s="164">
        <v>13.166422240291052</v>
      </c>
      <c r="N11" s="78">
        <v>488.44148371305522</v>
      </c>
      <c r="O11" s="113">
        <v>17407.390985321468</v>
      </c>
      <c r="P11" s="161">
        <v>20998.940261481501</v>
      </c>
      <c r="Q11" s="254">
        <v>9406.5237862097401</v>
      </c>
      <c r="R11" s="263">
        <v>26813.914771531206</v>
      </c>
      <c r="S11" s="259">
        <v>30405.464047691239</v>
      </c>
      <c r="U11" s="7" t="s">
        <v>4093</v>
      </c>
    </row>
    <row r="12" spans="1:21" ht="16.5" thickBot="1">
      <c r="A12" s="41" t="s">
        <v>31</v>
      </c>
      <c r="B12" s="42">
        <f t="shared" si="0"/>
        <v>400</v>
      </c>
      <c r="C12" s="42" t="s">
        <v>3</v>
      </c>
      <c r="D12" s="42">
        <f t="shared" si="1"/>
        <v>260</v>
      </c>
      <c r="E12" s="42" t="s">
        <v>3</v>
      </c>
      <c r="F12" s="90">
        <f t="shared" si="2"/>
        <v>750</v>
      </c>
      <c r="G12" s="42" t="s">
        <v>3</v>
      </c>
      <c r="H12" s="39">
        <v>4</v>
      </c>
      <c r="I12" s="40" t="s">
        <v>41</v>
      </c>
      <c r="J12" s="149">
        <v>400</v>
      </c>
      <c r="K12" s="66">
        <v>260</v>
      </c>
      <c r="L12" s="66">
        <v>750</v>
      </c>
      <c r="M12" s="164">
        <v>13.943376310156316</v>
      </c>
      <c r="N12" s="78">
        <v>558.21883852920598</v>
      </c>
      <c r="O12" s="113">
        <v>18226.877926931364</v>
      </c>
      <c r="P12" s="161">
        <v>22019.318845964714</v>
      </c>
      <c r="Q12" s="254">
        <v>9876.9793536897032</v>
      </c>
      <c r="R12" s="263">
        <v>28103.857280621065</v>
      </c>
      <c r="S12" s="259">
        <v>31896.298199654419</v>
      </c>
      <c r="U12" s="7" t="s">
        <v>4094</v>
      </c>
    </row>
    <row r="13" spans="1:21" ht="16.5" thickBot="1">
      <c r="A13" s="41" t="s">
        <v>31</v>
      </c>
      <c r="B13" s="42">
        <f t="shared" si="0"/>
        <v>400</v>
      </c>
      <c r="C13" s="42" t="s">
        <v>3</v>
      </c>
      <c r="D13" s="42">
        <f t="shared" si="1"/>
        <v>260</v>
      </c>
      <c r="E13" s="42" t="s">
        <v>3</v>
      </c>
      <c r="F13" s="90">
        <f t="shared" si="2"/>
        <v>800</v>
      </c>
      <c r="G13" s="42" t="s">
        <v>3</v>
      </c>
      <c r="H13" s="39">
        <v>4</v>
      </c>
      <c r="I13" s="40" t="s">
        <v>41</v>
      </c>
      <c r="J13" s="149">
        <v>400</v>
      </c>
      <c r="K13" s="66">
        <v>260</v>
      </c>
      <c r="L13" s="66">
        <v>800</v>
      </c>
      <c r="M13" s="164">
        <v>14.720330380021579</v>
      </c>
      <c r="N13" s="78">
        <v>627.9961933453568</v>
      </c>
      <c r="O13" s="113">
        <v>19046.364715512496</v>
      </c>
      <c r="P13" s="161">
        <v>23039.697430447926</v>
      </c>
      <c r="Q13" s="254">
        <v>10347.434921169664</v>
      </c>
      <c r="R13" s="263">
        <v>29393.799636682161</v>
      </c>
      <c r="S13" s="259">
        <v>33387.132351617591</v>
      </c>
      <c r="U13" s="7" t="s">
        <v>4095</v>
      </c>
    </row>
    <row r="14" spans="1:21" ht="16.5" thickBot="1">
      <c r="A14" s="41" t="s">
        <v>31</v>
      </c>
      <c r="B14" s="42">
        <f t="shared" si="0"/>
        <v>400</v>
      </c>
      <c r="C14" s="42" t="s">
        <v>3</v>
      </c>
      <c r="D14" s="42">
        <f t="shared" si="1"/>
        <v>260</v>
      </c>
      <c r="E14" s="42" t="s">
        <v>3</v>
      </c>
      <c r="F14" s="90">
        <f t="shared" si="2"/>
        <v>850</v>
      </c>
      <c r="G14" s="42" t="s">
        <v>3</v>
      </c>
      <c r="H14" s="39">
        <v>4</v>
      </c>
      <c r="I14" s="40" t="s">
        <v>41</v>
      </c>
      <c r="J14" s="149">
        <v>400</v>
      </c>
      <c r="K14" s="66">
        <v>260</v>
      </c>
      <c r="L14" s="66">
        <v>850</v>
      </c>
      <c r="M14" s="164">
        <v>15.514324449886839</v>
      </c>
      <c r="N14" s="78">
        <v>697.77354816150751</v>
      </c>
      <c r="O14" s="113">
        <v>19865.851657122388</v>
      </c>
      <c r="P14" s="161">
        <v>24060.076014931288</v>
      </c>
      <c r="Q14" s="254">
        <v>11069.224626433395</v>
      </c>
      <c r="R14" s="263">
        <v>30935.076283555783</v>
      </c>
      <c r="S14" s="259">
        <v>35129.30064136468</v>
      </c>
      <c r="U14" s="7" t="s">
        <v>4096</v>
      </c>
    </row>
    <row r="15" spans="1:21" ht="16.5" thickBot="1">
      <c r="A15" s="41" t="s">
        <v>31</v>
      </c>
      <c r="B15" s="42">
        <f t="shared" si="0"/>
        <v>400</v>
      </c>
      <c r="C15" s="42" t="s">
        <v>3</v>
      </c>
      <c r="D15" s="42">
        <f t="shared" si="1"/>
        <v>260</v>
      </c>
      <c r="E15" s="42" t="s">
        <v>3</v>
      </c>
      <c r="F15" s="90">
        <f t="shared" si="2"/>
        <v>900</v>
      </c>
      <c r="G15" s="42" t="s">
        <v>3</v>
      </c>
      <c r="H15" s="39">
        <v>4</v>
      </c>
      <c r="I15" s="40" t="s">
        <v>41</v>
      </c>
      <c r="J15" s="149">
        <v>400</v>
      </c>
      <c r="K15" s="66">
        <v>260</v>
      </c>
      <c r="L15" s="66">
        <v>900</v>
      </c>
      <c r="M15" s="164">
        <v>16.291278519752105</v>
      </c>
      <c r="N15" s="78">
        <v>767.55090297765832</v>
      </c>
      <c r="O15" s="113">
        <v>20685.338445703521</v>
      </c>
      <c r="P15" s="161">
        <v>25080.454599414497</v>
      </c>
      <c r="Q15" s="254">
        <v>11539.680193913358</v>
      </c>
      <c r="R15" s="263">
        <v>32225.018639616879</v>
      </c>
      <c r="S15" s="259">
        <v>36620.134793327859</v>
      </c>
      <c r="U15" s="7" t="s">
        <v>4097</v>
      </c>
    </row>
    <row r="16" spans="1:21" ht="16.5" thickBot="1">
      <c r="A16" s="41" t="s">
        <v>31</v>
      </c>
      <c r="B16" s="42">
        <f t="shared" si="0"/>
        <v>400</v>
      </c>
      <c r="C16" s="42" t="s">
        <v>3</v>
      </c>
      <c r="D16" s="42">
        <f t="shared" si="1"/>
        <v>260</v>
      </c>
      <c r="E16" s="42" t="s">
        <v>3</v>
      </c>
      <c r="F16" s="90">
        <f t="shared" si="2"/>
        <v>950</v>
      </c>
      <c r="G16" s="42" t="s">
        <v>3</v>
      </c>
      <c r="H16" s="39">
        <v>4</v>
      </c>
      <c r="I16" s="40" t="s">
        <v>41</v>
      </c>
      <c r="J16" s="149">
        <v>400</v>
      </c>
      <c r="K16" s="66">
        <v>260</v>
      </c>
      <c r="L16" s="66">
        <v>950</v>
      </c>
      <c r="M16" s="164">
        <v>17.085272589617368</v>
      </c>
      <c r="N16" s="78">
        <v>837.32825779380914</v>
      </c>
      <c r="O16" s="113">
        <v>21504.82523428465</v>
      </c>
      <c r="P16" s="161">
        <v>26100.83318389771</v>
      </c>
      <c r="Q16" s="254">
        <v>12261.469899177091</v>
      </c>
      <c r="R16" s="263">
        <v>33766.295133461739</v>
      </c>
      <c r="S16" s="259">
        <v>38362.303083074803</v>
      </c>
      <c r="U16" s="7" t="s">
        <v>4098</v>
      </c>
    </row>
    <row r="17" spans="1:21" ht="16.5" thickBot="1">
      <c r="A17" s="41" t="s">
        <v>31</v>
      </c>
      <c r="B17" s="42">
        <f t="shared" si="0"/>
        <v>400</v>
      </c>
      <c r="C17" s="42" t="s">
        <v>3</v>
      </c>
      <c r="D17" s="42">
        <f t="shared" si="1"/>
        <v>260</v>
      </c>
      <c r="E17" s="42" t="s">
        <v>3</v>
      </c>
      <c r="F17" s="90">
        <f t="shared" si="2"/>
        <v>1000</v>
      </c>
      <c r="G17" s="42" t="s">
        <v>3</v>
      </c>
      <c r="H17" s="39">
        <v>4</v>
      </c>
      <c r="I17" s="40" t="s">
        <v>41</v>
      </c>
      <c r="J17" s="149">
        <v>400</v>
      </c>
      <c r="K17" s="66">
        <v>260</v>
      </c>
      <c r="L17" s="66">
        <v>1000</v>
      </c>
      <c r="M17" s="164">
        <v>17.862226659482634</v>
      </c>
      <c r="N17" s="78">
        <v>907.10561260995985</v>
      </c>
      <c r="O17" s="113">
        <v>22324.312175894542</v>
      </c>
      <c r="P17" s="161">
        <v>27121.211768380919</v>
      </c>
      <c r="Q17" s="254">
        <v>12731.925466657052</v>
      </c>
      <c r="R17" s="263">
        <v>35056.237642551598</v>
      </c>
      <c r="S17" s="259">
        <v>39853.137235037968</v>
      </c>
      <c r="U17" s="7" t="s">
        <v>4099</v>
      </c>
    </row>
    <row r="18" spans="1:21" ht="16.5" thickBot="1">
      <c r="A18" s="41" t="s">
        <v>31</v>
      </c>
      <c r="B18" s="42">
        <f t="shared" si="0"/>
        <v>400</v>
      </c>
      <c r="C18" s="42" t="s">
        <v>3</v>
      </c>
      <c r="D18" s="42">
        <f t="shared" si="1"/>
        <v>260</v>
      </c>
      <c r="E18" s="42" t="s">
        <v>3</v>
      </c>
      <c r="F18" s="90">
        <f t="shared" si="2"/>
        <v>1050</v>
      </c>
      <c r="G18" s="42" t="s">
        <v>3</v>
      </c>
      <c r="H18" s="39">
        <v>4</v>
      </c>
      <c r="I18" s="40" t="s">
        <v>41</v>
      </c>
      <c r="J18" s="149">
        <v>400</v>
      </c>
      <c r="K18" s="66">
        <v>260</v>
      </c>
      <c r="L18" s="66">
        <v>1050</v>
      </c>
      <c r="M18" s="164">
        <v>18.656220729347893</v>
      </c>
      <c r="N18" s="78">
        <v>976.88296742611044</v>
      </c>
      <c r="O18" s="113">
        <v>23143.798964475671</v>
      </c>
      <c r="P18" s="161">
        <v>28141.590352864281</v>
      </c>
      <c r="Q18" s="254">
        <v>13453.71501889202</v>
      </c>
      <c r="R18" s="263">
        <v>36597.513983367695</v>
      </c>
      <c r="S18" s="259">
        <v>41595.305371756302</v>
      </c>
      <c r="U18" s="7" t="s">
        <v>4100</v>
      </c>
    </row>
    <row r="19" spans="1:21" ht="16.5" thickBot="1">
      <c r="A19" s="38" t="s">
        <v>31</v>
      </c>
      <c r="B19" s="39">
        <f t="shared" si="0"/>
        <v>400</v>
      </c>
      <c r="C19" s="39" t="s">
        <v>3</v>
      </c>
      <c r="D19" s="39">
        <f t="shared" si="1"/>
        <v>260</v>
      </c>
      <c r="E19" s="39" t="s">
        <v>3</v>
      </c>
      <c r="F19" s="90">
        <f t="shared" si="2"/>
        <v>1100</v>
      </c>
      <c r="G19" s="39" t="s">
        <v>3</v>
      </c>
      <c r="H19" s="39">
        <v>4</v>
      </c>
      <c r="I19" s="40" t="s">
        <v>41</v>
      </c>
      <c r="J19" s="149">
        <v>400</v>
      </c>
      <c r="K19" s="66">
        <v>260</v>
      </c>
      <c r="L19" s="66">
        <v>1100</v>
      </c>
      <c r="M19" s="164">
        <v>19.433174799213159</v>
      </c>
      <c r="N19" s="78">
        <v>1046.6603222422614</v>
      </c>
      <c r="O19" s="113">
        <v>23963.28590608557</v>
      </c>
      <c r="P19" s="161">
        <v>29161.968937347494</v>
      </c>
      <c r="Q19" s="254">
        <v>13924.170586371982</v>
      </c>
      <c r="R19" s="263">
        <v>37887.456492457553</v>
      </c>
      <c r="S19" s="259">
        <v>43086.139523719474</v>
      </c>
      <c r="U19" s="7" t="s">
        <v>4101</v>
      </c>
    </row>
    <row r="20" spans="1:21" ht="16.5" thickBot="1">
      <c r="A20" s="41" t="s">
        <v>31</v>
      </c>
      <c r="B20" s="42">
        <f t="shared" si="0"/>
        <v>400</v>
      </c>
      <c r="C20" s="42" t="s">
        <v>3</v>
      </c>
      <c r="D20" s="42">
        <f t="shared" si="1"/>
        <v>260</v>
      </c>
      <c r="E20" s="42" t="s">
        <v>3</v>
      </c>
      <c r="F20" s="90">
        <f t="shared" si="2"/>
        <v>1150</v>
      </c>
      <c r="G20" s="42" t="s">
        <v>3</v>
      </c>
      <c r="H20" s="39">
        <v>4</v>
      </c>
      <c r="I20" s="40" t="s">
        <v>41</v>
      </c>
      <c r="J20" s="149">
        <v>400</v>
      </c>
      <c r="K20" s="66">
        <v>260</v>
      </c>
      <c r="L20" s="66">
        <v>1150</v>
      </c>
      <c r="M20" s="164">
        <v>20.210128869078424</v>
      </c>
      <c r="N20" s="78">
        <v>1116.437677058412</v>
      </c>
      <c r="O20" s="113">
        <v>24782.772694666699</v>
      </c>
      <c r="P20" s="161">
        <v>30182.347521830703</v>
      </c>
      <c r="Q20" s="254">
        <v>14394.626153851941</v>
      </c>
      <c r="R20" s="263">
        <v>39177.398848518642</v>
      </c>
      <c r="S20" s="259">
        <v>44576.973675682646</v>
      </c>
      <c r="U20" s="7" t="s">
        <v>4102</v>
      </c>
    </row>
    <row r="21" spans="1:21" ht="16.5" thickBot="1">
      <c r="A21" s="41" t="s">
        <v>31</v>
      </c>
      <c r="B21" s="42">
        <f t="shared" si="0"/>
        <v>400</v>
      </c>
      <c r="C21" s="42" t="s">
        <v>3</v>
      </c>
      <c r="D21" s="42">
        <f t="shared" si="1"/>
        <v>260</v>
      </c>
      <c r="E21" s="42" t="s">
        <v>3</v>
      </c>
      <c r="F21" s="90">
        <f t="shared" si="2"/>
        <v>1200</v>
      </c>
      <c r="G21" s="42" t="s">
        <v>3</v>
      </c>
      <c r="H21" s="39">
        <v>4</v>
      </c>
      <c r="I21" s="40" t="s">
        <v>41</v>
      </c>
      <c r="J21" s="149">
        <v>400</v>
      </c>
      <c r="K21" s="66">
        <v>260</v>
      </c>
      <c r="L21" s="66">
        <v>1200</v>
      </c>
      <c r="M21" s="164">
        <v>21.082622938943686</v>
      </c>
      <c r="N21" s="78">
        <v>1186.2150318745628</v>
      </c>
      <c r="O21" s="113">
        <v>25686.357818381155</v>
      </c>
      <c r="P21" s="161">
        <v>31287.337811748796</v>
      </c>
      <c r="Q21" s="254">
        <v>15116.415859115676</v>
      </c>
      <c r="R21" s="263">
        <v>40802.773677496829</v>
      </c>
      <c r="S21" s="259">
        <v>46403.753670864469</v>
      </c>
      <c r="U21" s="7" t="s">
        <v>4103</v>
      </c>
    </row>
    <row r="22" spans="1:21" ht="16.5" thickBot="1">
      <c r="A22" s="41" t="s">
        <v>31</v>
      </c>
      <c r="B22" s="42">
        <f t="shared" si="0"/>
        <v>400</v>
      </c>
      <c r="C22" s="42" t="s">
        <v>3</v>
      </c>
      <c r="D22" s="42">
        <f t="shared" si="1"/>
        <v>260</v>
      </c>
      <c r="E22" s="42" t="s">
        <v>3</v>
      </c>
      <c r="F22" s="90">
        <f t="shared" si="2"/>
        <v>1250</v>
      </c>
      <c r="G22" s="42" t="s">
        <v>3</v>
      </c>
      <c r="H22" s="39">
        <v>4</v>
      </c>
      <c r="I22" s="40" t="s">
        <v>41</v>
      </c>
      <c r="J22" s="149">
        <v>400</v>
      </c>
      <c r="K22" s="66">
        <v>260</v>
      </c>
      <c r="L22" s="66">
        <v>1250</v>
      </c>
      <c r="M22" s="164">
        <v>21.859577008808948</v>
      </c>
      <c r="N22" s="78">
        <v>1255.9923866907136</v>
      </c>
      <c r="O22" s="113">
        <v>26505.844759991051</v>
      </c>
      <c r="P22" s="161">
        <v>32307.716396232008</v>
      </c>
      <c r="Q22" s="254">
        <v>15586.871426595639</v>
      </c>
      <c r="R22" s="263">
        <v>42092.716186586687</v>
      </c>
      <c r="S22" s="259">
        <v>47894.587822827649</v>
      </c>
      <c r="U22" s="7" t="s">
        <v>4104</v>
      </c>
    </row>
    <row r="23" spans="1:21" ht="16.5" thickBot="1">
      <c r="A23" s="41" t="s">
        <v>31</v>
      </c>
      <c r="B23" s="42">
        <f t="shared" si="0"/>
        <v>400</v>
      </c>
      <c r="C23" s="42" t="s">
        <v>3</v>
      </c>
      <c r="D23" s="42">
        <f t="shared" si="1"/>
        <v>260</v>
      </c>
      <c r="E23" s="42" t="s">
        <v>3</v>
      </c>
      <c r="F23" s="90">
        <f t="shared" si="2"/>
        <v>1300</v>
      </c>
      <c r="G23" s="42" t="s">
        <v>3</v>
      </c>
      <c r="H23" s="39">
        <v>4</v>
      </c>
      <c r="I23" s="40" t="s">
        <v>41</v>
      </c>
      <c r="J23" s="149">
        <v>400</v>
      </c>
      <c r="K23" s="66">
        <v>260</v>
      </c>
      <c r="L23" s="66">
        <v>1300</v>
      </c>
      <c r="M23" s="164">
        <v>22.653571078674211</v>
      </c>
      <c r="N23" s="78">
        <v>1325.7697415068644</v>
      </c>
      <c r="O23" s="113">
        <v>27325.331548572183</v>
      </c>
      <c r="P23" s="161">
        <v>33328.094980715374</v>
      </c>
      <c r="Q23" s="254">
        <v>16308.66113185937</v>
      </c>
      <c r="R23" s="263">
        <v>43633.992680431555</v>
      </c>
      <c r="S23" s="259">
        <v>49636.756112574745</v>
      </c>
      <c r="U23" s="7" t="s">
        <v>4105</v>
      </c>
    </row>
    <row r="24" spans="1:21" ht="16.5" thickBot="1">
      <c r="A24" s="41" t="s">
        <v>31</v>
      </c>
      <c r="B24" s="42">
        <f t="shared" si="0"/>
        <v>400</v>
      </c>
      <c r="C24" s="42" t="s">
        <v>3</v>
      </c>
      <c r="D24" s="42">
        <f t="shared" si="1"/>
        <v>260</v>
      </c>
      <c r="E24" s="42" t="s">
        <v>3</v>
      </c>
      <c r="F24" s="90">
        <f t="shared" si="2"/>
        <v>1350</v>
      </c>
      <c r="G24" s="42" t="s">
        <v>3</v>
      </c>
      <c r="H24" s="39">
        <v>4</v>
      </c>
      <c r="I24" s="40" t="s">
        <v>41</v>
      </c>
      <c r="J24" s="149">
        <v>400</v>
      </c>
      <c r="K24" s="66">
        <v>260</v>
      </c>
      <c r="L24" s="66">
        <v>1350</v>
      </c>
      <c r="M24" s="164">
        <v>23.430525148539473</v>
      </c>
      <c r="N24" s="78">
        <v>1395.547096323015</v>
      </c>
      <c r="O24" s="113">
        <v>28144.818490182075</v>
      </c>
      <c r="P24" s="161">
        <v>34348.473565198576</v>
      </c>
      <c r="Q24" s="254">
        <v>16779.116699339331</v>
      </c>
      <c r="R24" s="263">
        <v>44923.935189521406</v>
      </c>
      <c r="S24" s="259">
        <v>51127.59026453791</v>
      </c>
      <c r="U24" s="7" t="s">
        <v>4106</v>
      </c>
    </row>
    <row r="25" spans="1:21" ht="16.5" thickBot="1">
      <c r="A25" s="41" t="s">
        <v>31</v>
      </c>
      <c r="B25" s="42">
        <f t="shared" si="0"/>
        <v>400</v>
      </c>
      <c r="C25" s="42" t="s">
        <v>3</v>
      </c>
      <c r="D25" s="42">
        <f t="shared" si="1"/>
        <v>260</v>
      </c>
      <c r="E25" s="42" t="s">
        <v>3</v>
      </c>
      <c r="F25" s="90">
        <f t="shared" si="2"/>
        <v>1400</v>
      </c>
      <c r="G25" s="42" t="s">
        <v>3</v>
      </c>
      <c r="H25" s="39">
        <v>4</v>
      </c>
      <c r="I25" s="40" t="s">
        <v>41</v>
      </c>
      <c r="J25" s="149">
        <v>400</v>
      </c>
      <c r="K25" s="66">
        <v>260</v>
      </c>
      <c r="L25" s="66">
        <v>1400</v>
      </c>
      <c r="M25" s="164">
        <v>24.224519218404737</v>
      </c>
      <c r="N25" s="78">
        <v>1465.3244511391658</v>
      </c>
      <c r="O25" s="113">
        <v>28964.305278763208</v>
      </c>
      <c r="P25" s="161">
        <v>35368.852149681792</v>
      </c>
      <c r="Q25" s="254">
        <v>17500.906404603062</v>
      </c>
      <c r="R25" s="263">
        <v>46465.211683366273</v>
      </c>
      <c r="S25" s="259">
        <v>52869.758554284854</v>
      </c>
      <c r="U25" s="7" t="s">
        <v>4107</v>
      </c>
    </row>
    <row r="26" spans="1:21" ht="16.5" thickBot="1">
      <c r="A26" s="41" t="s">
        <v>31</v>
      </c>
      <c r="B26" s="42">
        <f t="shared" si="0"/>
        <v>400</v>
      </c>
      <c r="C26" s="42" t="s">
        <v>3</v>
      </c>
      <c r="D26" s="42">
        <f t="shared" si="1"/>
        <v>260</v>
      </c>
      <c r="E26" s="42" t="s">
        <v>3</v>
      </c>
      <c r="F26" s="90">
        <f t="shared" si="2"/>
        <v>1450</v>
      </c>
      <c r="G26" s="42" t="s">
        <v>3</v>
      </c>
      <c r="H26" s="39">
        <v>4</v>
      </c>
      <c r="I26" s="40" t="s">
        <v>41</v>
      </c>
      <c r="J26" s="149">
        <v>400</v>
      </c>
      <c r="K26" s="66">
        <v>260</v>
      </c>
      <c r="L26" s="66">
        <v>1450</v>
      </c>
      <c r="M26" s="164">
        <v>25.001473288269999</v>
      </c>
      <c r="N26" s="78">
        <v>1535.1018059553166</v>
      </c>
      <c r="O26" s="113">
        <v>29783.792067344333</v>
      </c>
      <c r="P26" s="161">
        <v>36389.230734165001</v>
      </c>
      <c r="Q26" s="254">
        <v>17971.361972083025</v>
      </c>
      <c r="R26" s="263">
        <v>47755.154039427362</v>
      </c>
      <c r="S26" s="259">
        <v>54360.592706248026</v>
      </c>
      <c r="U26" s="7" t="s">
        <v>4108</v>
      </c>
    </row>
    <row r="27" spans="1:21" ht="16.5" thickBot="1">
      <c r="A27" s="41" t="s">
        <v>31</v>
      </c>
      <c r="B27" s="42">
        <f t="shared" si="0"/>
        <v>400</v>
      </c>
      <c r="C27" s="42" t="s">
        <v>3</v>
      </c>
      <c r="D27" s="42">
        <f t="shared" si="1"/>
        <v>260</v>
      </c>
      <c r="E27" s="42" t="s">
        <v>3</v>
      </c>
      <c r="F27" s="90">
        <f t="shared" si="2"/>
        <v>1500</v>
      </c>
      <c r="G27" s="42" t="s">
        <v>3</v>
      </c>
      <c r="H27" s="39">
        <v>4</v>
      </c>
      <c r="I27" s="40" t="s">
        <v>41</v>
      </c>
      <c r="J27" s="149">
        <v>400</v>
      </c>
      <c r="K27" s="66">
        <v>260</v>
      </c>
      <c r="L27" s="66">
        <v>1500</v>
      </c>
      <c r="M27" s="164">
        <v>25.961378210095265</v>
      </c>
      <c r="N27" s="78">
        <v>1604.8791607714672</v>
      </c>
      <c r="O27" s="113">
        <v>31269.636798569201</v>
      </c>
      <c r="P27" s="161">
        <v>38035.595733731825</v>
      </c>
      <c r="Q27" s="254">
        <v>18693.151677346756</v>
      </c>
      <c r="R27" s="263">
        <v>49962.788475915957</v>
      </c>
      <c r="S27" s="259">
        <v>56728.747411078584</v>
      </c>
      <c r="U27" s="7" t="s">
        <v>4109</v>
      </c>
    </row>
    <row r="28" spans="1:21" ht="16.5" thickBot="1">
      <c r="A28" s="41" t="s">
        <v>31</v>
      </c>
      <c r="B28" s="42">
        <f t="shared" si="0"/>
        <v>400</v>
      </c>
      <c r="C28" s="42" t="s">
        <v>3</v>
      </c>
      <c r="D28" s="42">
        <f t="shared" si="1"/>
        <v>260</v>
      </c>
      <c r="E28" s="42" t="s">
        <v>3</v>
      </c>
      <c r="F28" s="90">
        <f t="shared" si="2"/>
        <v>1550</v>
      </c>
      <c r="G28" s="42" t="s">
        <v>3</v>
      </c>
      <c r="H28" s="39">
        <v>4</v>
      </c>
      <c r="I28" s="40" t="s">
        <v>41</v>
      </c>
      <c r="J28" s="149">
        <v>400</v>
      </c>
      <c r="K28" s="66">
        <v>260</v>
      </c>
      <c r="L28" s="66">
        <v>1550</v>
      </c>
      <c r="M28" s="164">
        <v>26.738332279960531</v>
      </c>
      <c r="N28" s="78">
        <v>1674.6565155876183</v>
      </c>
      <c r="O28" s="113">
        <v>32089.123587150334</v>
      </c>
      <c r="P28" s="161">
        <v>39055.974318215034</v>
      </c>
      <c r="Q28" s="254">
        <v>19163.607244826719</v>
      </c>
      <c r="R28" s="263">
        <v>51252.730831977053</v>
      </c>
      <c r="S28" s="259">
        <v>58219.581563041749</v>
      </c>
      <c r="U28" s="7" t="s">
        <v>4110</v>
      </c>
    </row>
    <row r="29" spans="1:21" ht="16.5" thickBot="1">
      <c r="A29" s="38" t="s">
        <v>31</v>
      </c>
      <c r="B29" s="39">
        <f t="shared" si="0"/>
        <v>400</v>
      </c>
      <c r="C29" s="39" t="s">
        <v>3</v>
      </c>
      <c r="D29" s="39">
        <f t="shared" si="1"/>
        <v>260</v>
      </c>
      <c r="E29" s="39" t="s">
        <v>3</v>
      </c>
      <c r="F29" s="90">
        <f t="shared" si="2"/>
        <v>1600</v>
      </c>
      <c r="G29" s="39" t="s">
        <v>3</v>
      </c>
      <c r="H29" s="39">
        <v>4</v>
      </c>
      <c r="I29" s="40" t="s">
        <v>41</v>
      </c>
      <c r="J29" s="149">
        <v>400</v>
      </c>
      <c r="K29" s="66">
        <v>260</v>
      </c>
      <c r="L29" s="66">
        <v>1600</v>
      </c>
      <c r="M29" s="164">
        <v>27.515286349825786</v>
      </c>
      <c r="N29" s="78">
        <v>1744.4338704037689</v>
      </c>
      <c r="O29" s="113">
        <v>32908.610528760226</v>
      </c>
      <c r="P29" s="161">
        <v>40076.352902698396</v>
      </c>
      <c r="Q29" s="254">
        <v>19634.062812306682</v>
      </c>
      <c r="R29" s="263">
        <v>52542.673341066911</v>
      </c>
      <c r="S29" s="259">
        <v>59710.415715005074</v>
      </c>
      <c r="U29" s="7" t="s">
        <v>4111</v>
      </c>
    </row>
    <row r="30" spans="1:21" ht="16.5" thickBot="1">
      <c r="A30" s="41" t="s">
        <v>31</v>
      </c>
      <c r="B30" s="42">
        <f t="shared" si="0"/>
        <v>400</v>
      </c>
      <c r="C30" s="42" t="s">
        <v>3</v>
      </c>
      <c r="D30" s="42">
        <f t="shared" si="1"/>
        <v>260</v>
      </c>
      <c r="E30" s="42" t="s">
        <v>3</v>
      </c>
      <c r="F30" s="90">
        <f t="shared" si="2"/>
        <v>1650</v>
      </c>
      <c r="G30" s="42" t="s">
        <v>3</v>
      </c>
      <c r="H30" s="39">
        <v>4</v>
      </c>
      <c r="I30" s="40" t="s">
        <v>41</v>
      </c>
      <c r="J30" s="149">
        <v>400</v>
      </c>
      <c r="K30" s="66">
        <v>260</v>
      </c>
      <c r="L30" s="66">
        <v>1650</v>
      </c>
      <c r="M30" s="164">
        <v>28.309280419691053</v>
      </c>
      <c r="N30" s="78">
        <v>1814.2112252199197</v>
      </c>
      <c r="O30" s="113">
        <v>33728.097317341359</v>
      </c>
      <c r="P30" s="161">
        <v>41096.731487181605</v>
      </c>
      <c r="Q30" s="254">
        <v>20355.852364541646</v>
      </c>
      <c r="R30" s="263">
        <v>54083.949681883008</v>
      </c>
      <c r="S30" s="259">
        <v>61452.583851723248</v>
      </c>
      <c r="U30" s="7" t="s">
        <v>4112</v>
      </c>
    </row>
    <row r="31" spans="1:21" ht="16.5" thickBot="1">
      <c r="A31" s="41" t="s">
        <v>31</v>
      </c>
      <c r="B31" s="42">
        <f t="shared" si="0"/>
        <v>400</v>
      </c>
      <c r="C31" s="42" t="s">
        <v>3</v>
      </c>
      <c r="D31" s="42">
        <f t="shared" si="1"/>
        <v>260</v>
      </c>
      <c r="E31" s="42" t="s">
        <v>3</v>
      </c>
      <c r="F31" s="90">
        <f t="shared" si="2"/>
        <v>1700</v>
      </c>
      <c r="G31" s="42" t="s">
        <v>3</v>
      </c>
      <c r="H31" s="39">
        <v>4</v>
      </c>
      <c r="I31" s="40" t="s">
        <v>41</v>
      </c>
      <c r="J31" s="149">
        <v>400</v>
      </c>
      <c r="K31" s="66">
        <v>260</v>
      </c>
      <c r="L31" s="66">
        <v>1700</v>
      </c>
      <c r="M31" s="164">
        <v>29.086234489556318</v>
      </c>
      <c r="N31" s="78">
        <v>1883.9885800360703</v>
      </c>
      <c r="O31" s="113">
        <v>34547.584258951254</v>
      </c>
      <c r="P31" s="161">
        <v>42117.110071664814</v>
      </c>
      <c r="Q31" s="254">
        <v>20826.307932021609</v>
      </c>
      <c r="R31" s="263">
        <v>55373.892190972867</v>
      </c>
      <c r="S31" s="259">
        <v>62943.418003686427</v>
      </c>
      <c r="U31" s="7" t="s">
        <v>4113</v>
      </c>
    </row>
    <row r="32" spans="1:21" ht="16.5" thickBot="1">
      <c r="A32" s="41" t="s">
        <v>31</v>
      </c>
      <c r="B32" s="42">
        <f t="shared" si="0"/>
        <v>400</v>
      </c>
      <c r="C32" s="42" t="s">
        <v>3</v>
      </c>
      <c r="D32" s="42">
        <f t="shared" si="1"/>
        <v>260</v>
      </c>
      <c r="E32" s="42" t="s">
        <v>3</v>
      </c>
      <c r="F32" s="90">
        <f t="shared" si="2"/>
        <v>1750</v>
      </c>
      <c r="G32" s="42" t="s">
        <v>3</v>
      </c>
      <c r="H32" s="39">
        <v>4</v>
      </c>
      <c r="I32" s="40" t="s">
        <v>41</v>
      </c>
      <c r="J32" s="149">
        <v>400</v>
      </c>
      <c r="K32" s="66">
        <v>260</v>
      </c>
      <c r="L32" s="66">
        <v>1750</v>
      </c>
      <c r="M32" s="164">
        <v>29.880228559421578</v>
      </c>
      <c r="N32" s="78">
        <v>1953.7659348522209</v>
      </c>
      <c r="O32" s="113">
        <v>35367.071047532379</v>
      </c>
      <c r="P32" s="161">
        <v>43137.488656148031</v>
      </c>
      <c r="Q32" s="254">
        <v>21548.09763728534</v>
      </c>
      <c r="R32" s="263">
        <v>56915.16868481772</v>
      </c>
      <c r="S32" s="259">
        <v>64685.586293433371</v>
      </c>
      <c r="U32" s="7" t="s">
        <v>4114</v>
      </c>
    </row>
    <row r="33" spans="1:21" ht="16.5" thickBot="1">
      <c r="A33" s="41" t="s">
        <v>31</v>
      </c>
      <c r="B33" s="42">
        <f t="shared" si="0"/>
        <v>400</v>
      </c>
      <c r="C33" s="42" t="s">
        <v>3</v>
      </c>
      <c r="D33" s="42">
        <f t="shared" si="1"/>
        <v>260</v>
      </c>
      <c r="E33" s="42" t="s">
        <v>3</v>
      </c>
      <c r="F33" s="90">
        <f t="shared" si="2"/>
        <v>1800</v>
      </c>
      <c r="G33" s="42" t="s">
        <v>3</v>
      </c>
      <c r="H33" s="39">
        <v>4</v>
      </c>
      <c r="I33" s="40" t="s">
        <v>41</v>
      </c>
      <c r="J33" s="149">
        <v>400</v>
      </c>
      <c r="K33" s="66">
        <v>260</v>
      </c>
      <c r="L33" s="66">
        <v>1800</v>
      </c>
      <c r="M33" s="164">
        <v>30.657182629286844</v>
      </c>
      <c r="N33" s="78">
        <v>2023.5432896683717</v>
      </c>
      <c r="O33" s="113">
        <v>36186.557989142275</v>
      </c>
      <c r="P33" s="161">
        <v>44157.867240631393</v>
      </c>
      <c r="Q33" s="254">
        <v>22018.553204765303</v>
      </c>
      <c r="R33" s="263">
        <v>58205.111193907578</v>
      </c>
      <c r="S33" s="259">
        <v>66176.420445396696</v>
      </c>
      <c r="U33" s="7" t="s">
        <v>4115</v>
      </c>
    </row>
    <row r="34" spans="1:21" ht="16.5" thickBot="1">
      <c r="A34" s="41" t="s">
        <v>31</v>
      </c>
      <c r="B34" s="42">
        <f t="shared" si="0"/>
        <v>400</v>
      </c>
      <c r="C34" s="42" t="s">
        <v>3</v>
      </c>
      <c r="D34" s="42">
        <f t="shared" si="1"/>
        <v>260</v>
      </c>
      <c r="E34" s="42" t="s">
        <v>3</v>
      </c>
      <c r="F34" s="90">
        <f t="shared" si="2"/>
        <v>1850</v>
      </c>
      <c r="G34" s="42" t="s">
        <v>3</v>
      </c>
      <c r="H34" s="39">
        <v>4</v>
      </c>
      <c r="I34" s="40" t="s">
        <v>41</v>
      </c>
      <c r="J34" s="149">
        <v>400</v>
      </c>
      <c r="K34" s="66">
        <v>260</v>
      </c>
      <c r="L34" s="66">
        <v>1850</v>
      </c>
      <c r="M34" s="164">
        <v>31.451176699152107</v>
      </c>
      <c r="N34" s="78">
        <v>2093.3206444845227</v>
      </c>
      <c r="O34" s="113">
        <v>37006.044777723408</v>
      </c>
      <c r="P34" s="161">
        <v>45178.245825114602</v>
      </c>
      <c r="Q34" s="254">
        <v>22740.342910029034</v>
      </c>
      <c r="R34" s="263">
        <v>59746.387687752445</v>
      </c>
      <c r="S34" s="259">
        <v>67918.588735143639</v>
      </c>
      <c r="U34" s="7" t="s">
        <v>4116</v>
      </c>
    </row>
    <row r="35" spans="1:21" ht="16.5" thickBot="1">
      <c r="A35" s="41" t="s">
        <v>31</v>
      </c>
      <c r="B35" s="42">
        <f t="shared" si="0"/>
        <v>400</v>
      </c>
      <c r="C35" s="42" t="s">
        <v>3</v>
      </c>
      <c r="D35" s="42">
        <f t="shared" si="1"/>
        <v>260</v>
      </c>
      <c r="E35" s="42" t="s">
        <v>3</v>
      </c>
      <c r="F35" s="90">
        <f t="shared" si="2"/>
        <v>1900</v>
      </c>
      <c r="G35" s="42" t="s">
        <v>3</v>
      </c>
      <c r="H35" s="39">
        <v>4</v>
      </c>
      <c r="I35" s="40" t="s">
        <v>41</v>
      </c>
      <c r="J35" s="149">
        <v>400</v>
      </c>
      <c r="K35" s="66">
        <v>260</v>
      </c>
      <c r="L35" s="66">
        <v>1900</v>
      </c>
      <c r="M35" s="164">
        <v>32.228130769017376</v>
      </c>
      <c r="N35" s="78">
        <v>2163.0979993006736</v>
      </c>
      <c r="O35" s="113">
        <v>37825.531719333303</v>
      </c>
      <c r="P35" s="161">
        <v>46198.624409597811</v>
      </c>
      <c r="Q35" s="254">
        <v>23210.798477508997</v>
      </c>
      <c r="R35" s="263">
        <v>61036.330196842304</v>
      </c>
      <c r="S35" s="259">
        <v>69409.422887106804</v>
      </c>
      <c r="U35" s="7" t="s">
        <v>4117</v>
      </c>
    </row>
    <row r="36" spans="1:21" ht="16.5" thickBot="1">
      <c r="A36" s="41" t="s">
        <v>31</v>
      </c>
      <c r="B36" s="42">
        <f t="shared" si="0"/>
        <v>400</v>
      </c>
      <c r="C36" s="42" t="s">
        <v>3</v>
      </c>
      <c r="D36" s="42">
        <f t="shared" si="1"/>
        <v>260</v>
      </c>
      <c r="E36" s="42" t="s">
        <v>3</v>
      </c>
      <c r="F36" s="90">
        <f t="shared" si="2"/>
        <v>1950</v>
      </c>
      <c r="G36" s="42" t="s">
        <v>3</v>
      </c>
      <c r="H36" s="39">
        <v>4</v>
      </c>
      <c r="I36" s="40" t="s">
        <v>41</v>
      </c>
      <c r="J36" s="149">
        <v>400</v>
      </c>
      <c r="K36" s="66">
        <v>260</v>
      </c>
      <c r="L36" s="66">
        <v>1950</v>
      </c>
      <c r="M36" s="164">
        <v>33.083584838882629</v>
      </c>
      <c r="N36" s="78">
        <v>2232.8753541168239</v>
      </c>
      <c r="O36" s="113">
        <v>38729.116843047763</v>
      </c>
      <c r="P36" s="161">
        <v>47303.6146995159</v>
      </c>
      <c r="Q36" s="254">
        <v>23681.25404498896</v>
      </c>
      <c r="R36" s="263">
        <v>62410.370888036719</v>
      </c>
      <c r="S36" s="259">
        <v>70984.868744504856</v>
      </c>
      <c r="U36" s="7" t="s">
        <v>4118</v>
      </c>
    </row>
    <row r="37" spans="1:21" ht="16.5" thickBot="1">
      <c r="A37" s="41" t="s">
        <v>31</v>
      </c>
      <c r="B37" s="42">
        <f t="shared" si="0"/>
        <v>400</v>
      </c>
      <c r="C37" s="42" t="s">
        <v>3</v>
      </c>
      <c r="D37" s="42">
        <f t="shared" si="1"/>
        <v>260</v>
      </c>
      <c r="E37" s="42" t="s">
        <v>3</v>
      </c>
      <c r="F37" s="90">
        <f t="shared" si="2"/>
        <v>2000</v>
      </c>
      <c r="G37" s="42" t="s">
        <v>3</v>
      </c>
      <c r="H37" s="39">
        <v>4</v>
      </c>
      <c r="I37" s="40" t="s">
        <v>41</v>
      </c>
      <c r="J37" s="149">
        <v>400</v>
      </c>
      <c r="K37" s="66">
        <v>260</v>
      </c>
      <c r="L37" s="66">
        <v>2000</v>
      </c>
      <c r="M37" s="164">
        <v>33.969141308747894</v>
      </c>
      <c r="N37" s="78">
        <v>2302.6527089329752</v>
      </c>
      <c r="O37" s="113">
        <v>39799.895533473486</v>
      </c>
      <c r="P37" s="161">
        <v>48664.815310095124</v>
      </c>
      <c r="Q37" s="254">
        <v>24403.043750252691</v>
      </c>
      <c r="R37" s="263">
        <v>64202.939283726177</v>
      </c>
      <c r="S37" s="259">
        <v>73067.859060347808</v>
      </c>
      <c r="U37" s="7" t="s">
        <v>4119</v>
      </c>
    </row>
    <row r="38" spans="1:21" ht="16.5" thickBot="1">
      <c r="A38" s="41" t="s">
        <v>31</v>
      </c>
      <c r="B38" s="42">
        <f t="shared" si="0"/>
        <v>400</v>
      </c>
      <c r="C38" s="42" t="s">
        <v>3</v>
      </c>
      <c r="D38" s="42">
        <f t="shared" si="1"/>
        <v>260</v>
      </c>
      <c r="E38" s="42" t="s">
        <v>3</v>
      </c>
      <c r="F38" s="90">
        <f t="shared" si="2"/>
        <v>2050</v>
      </c>
      <c r="G38" s="42" t="s">
        <v>3</v>
      </c>
      <c r="H38" s="39">
        <v>4</v>
      </c>
      <c r="I38" s="40" t="s">
        <v>41</v>
      </c>
      <c r="J38" s="149">
        <v>400</v>
      </c>
      <c r="K38" s="66">
        <v>260</v>
      </c>
      <c r="L38" s="66">
        <v>2050</v>
      </c>
      <c r="M38" s="164">
        <v>34.746095378613163</v>
      </c>
      <c r="N38" s="78">
        <v>2372.4300637491256</v>
      </c>
      <c r="O38" s="113">
        <v>40619.382322054611</v>
      </c>
      <c r="P38" s="161">
        <v>49685.193894578333</v>
      </c>
      <c r="Q38" s="254">
        <v>24873.499317732651</v>
      </c>
      <c r="R38" s="263">
        <v>65492.881639787258</v>
      </c>
      <c r="S38" s="259">
        <v>74558.693212310987</v>
      </c>
      <c r="U38" s="7" t="s">
        <v>4120</v>
      </c>
    </row>
    <row r="39" spans="1:21" ht="16.5" thickBot="1">
      <c r="A39" s="38" t="s">
        <v>31</v>
      </c>
      <c r="B39" s="39">
        <f t="shared" si="0"/>
        <v>400</v>
      </c>
      <c r="C39" s="39" t="s">
        <v>3</v>
      </c>
      <c r="D39" s="39">
        <f t="shared" si="1"/>
        <v>260</v>
      </c>
      <c r="E39" s="39" t="s">
        <v>3</v>
      </c>
      <c r="F39" s="90">
        <f t="shared" si="2"/>
        <v>2100</v>
      </c>
      <c r="G39" s="39" t="s">
        <v>3</v>
      </c>
      <c r="H39" s="39">
        <v>4</v>
      </c>
      <c r="I39" s="40" t="s">
        <v>41</v>
      </c>
      <c r="J39" s="149">
        <v>400</v>
      </c>
      <c r="K39" s="66">
        <v>260</v>
      </c>
      <c r="L39" s="66">
        <v>2100</v>
      </c>
      <c r="M39" s="164">
        <v>35.540089448478426</v>
      </c>
      <c r="N39" s="78">
        <v>2442.2074185652764</v>
      </c>
      <c r="O39" s="113">
        <v>41438.869263664514</v>
      </c>
      <c r="P39" s="161">
        <v>50705.572479061535</v>
      </c>
      <c r="Q39" s="254">
        <v>25595.289022996385</v>
      </c>
      <c r="R39" s="263">
        <v>67034.158286660895</v>
      </c>
      <c r="S39" s="259">
        <v>76300.861502057916</v>
      </c>
      <c r="U39" s="7" t="s">
        <v>4121</v>
      </c>
    </row>
    <row r="40" spans="1:21" ht="16.5" thickBot="1">
      <c r="A40" s="41" t="s">
        <v>31</v>
      </c>
      <c r="B40" s="42">
        <f t="shared" si="0"/>
        <v>400</v>
      </c>
      <c r="C40" s="42" t="s">
        <v>3</v>
      </c>
      <c r="D40" s="42">
        <f t="shared" si="1"/>
        <v>260</v>
      </c>
      <c r="E40" s="42" t="s">
        <v>3</v>
      </c>
      <c r="F40" s="90">
        <f t="shared" si="2"/>
        <v>2150</v>
      </c>
      <c r="G40" s="42" t="s">
        <v>3</v>
      </c>
      <c r="H40" s="39">
        <v>4</v>
      </c>
      <c r="I40" s="40" t="s">
        <v>41</v>
      </c>
      <c r="J40" s="149">
        <v>400</v>
      </c>
      <c r="K40" s="66">
        <v>260</v>
      </c>
      <c r="L40" s="66">
        <v>2150</v>
      </c>
      <c r="M40" s="164">
        <v>36.317043518343688</v>
      </c>
      <c r="N40" s="78">
        <v>2511.9847733814272</v>
      </c>
      <c r="O40" s="113">
        <v>42258.356052245639</v>
      </c>
      <c r="P40" s="161">
        <v>51725.951063544897</v>
      </c>
      <c r="Q40" s="254">
        <v>26065.744590476344</v>
      </c>
      <c r="R40" s="263">
        <v>68324.100642721984</v>
      </c>
      <c r="S40" s="259">
        <v>77791.695654021241</v>
      </c>
      <c r="U40" s="7" t="s">
        <v>4122</v>
      </c>
    </row>
    <row r="41" spans="1:21" ht="16.5" thickBot="1">
      <c r="A41" s="41" t="s">
        <v>31</v>
      </c>
      <c r="B41" s="42">
        <f t="shared" si="0"/>
        <v>400</v>
      </c>
      <c r="C41" s="42" t="s">
        <v>3</v>
      </c>
      <c r="D41" s="42">
        <f t="shared" si="1"/>
        <v>260</v>
      </c>
      <c r="E41" s="42" t="s">
        <v>3</v>
      </c>
      <c r="F41" s="90">
        <f t="shared" si="2"/>
        <v>2200</v>
      </c>
      <c r="G41" s="42" t="s">
        <v>3</v>
      </c>
      <c r="H41" s="39">
        <v>4</v>
      </c>
      <c r="I41" s="40" t="s">
        <v>41</v>
      </c>
      <c r="J41" s="149">
        <v>400</v>
      </c>
      <c r="K41" s="66">
        <v>260</v>
      </c>
      <c r="L41" s="66">
        <v>2200</v>
      </c>
      <c r="M41" s="164">
        <v>37.111037588208951</v>
      </c>
      <c r="N41" s="78">
        <v>2581.7621281975776</v>
      </c>
      <c r="O41" s="113">
        <v>43077.842993855535</v>
      </c>
      <c r="P41" s="161">
        <v>52746.329648028121</v>
      </c>
      <c r="Q41" s="254">
        <v>26787.534295740079</v>
      </c>
      <c r="R41" s="263">
        <v>69865.377289595606</v>
      </c>
      <c r="S41" s="259">
        <v>79533.8639437682</v>
      </c>
      <c r="U41" s="7" t="s">
        <v>4123</v>
      </c>
    </row>
    <row r="42" spans="1:21" ht="16.5" thickBot="1">
      <c r="A42" s="41" t="s">
        <v>31</v>
      </c>
      <c r="B42" s="42">
        <f t="shared" si="0"/>
        <v>400</v>
      </c>
      <c r="C42" s="42" t="s">
        <v>3</v>
      </c>
      <c r="D42" s="42">
        <f t="shared" si="1"/>
        <v>260</v>
      </c>
      <c r="E42" s="42" t="s">
        <v>3</v>
      </c>
      <c r="F42" s="90">
        <f t="shared" si="2"/>
        <v>2250</v>
      </c>
      <c r="G42" s="42" t="s">
        <v>3</v>
      </c>
      <c r="H42" s="39">
        <v>4</v>
      </c>
      <c r="I42" s="40" t="s">
        <v>41</v>
      </c>
      <c r="J42" s="149">
        <v>400</v>
      </c>
      <c r="K42" s="66">
        <v>260</v>
      </c>
      <c r="L42" s="66">
        <v>2250</v>
      </c>
      <c r="M42" s="164">
        <v>37.887991658074213</v>
      </c>
      <c r="N42" s="78">
        <v>2651.5394830137288</v>
      </c>
      <c r="O42" s="113">
        <v>43897.329782436667</v>
      </c>
      <c r="P42" s="161">
        <v>53766.708232511322</v>
      </c>
      <c r="Q42" s="254">
        <v>27257.989710191272</v>
      </c>
      <c r="R42" s="263">
        <v>71155.319492627939</v>
      </c>
      <c r="S42" s="259">
        <v>81024.697942702594</v>
      </c>
      <c r="U42" s="7" t="s">
        <v>4124</v>
      </c>
    </row>
    <row r="43" spans="1:21" ht="16.5" thickBot="1">
      <c r="A43" s="41" t="s">
        <v>31</v>
      </c>
      <c r="B43" s="42">
        <f t="shared" si="0"/>
        <v>400</v>
      </c>
      <c r="C43" s="42" t="s">
        <v>3</v>
      </c>
      <c r="D43" s="42">
        <f t="shared" si="1"/>
        <v>260</v>
      </c>
      <c r="E43" s="42" t="s">
        <v>3</v>
      </c>
      <c r="F43" s="90">
        <f t="shared" si="2"/>
        <v>2300</v>
      </c>
      <c r="G43" s="42" t="s">
        <v>3</v>
      </c>
      <c r="H43" s="39">
        <v>4</v>
      </c>
      <c r="I43" s="40" t="s">
        <v>41</v>
      </c>
      <c r="J43" s="149">
        <v>400</v>
      </c>
      <c r="K43" s="66">
        <v>260</v>
      </c>
      <c r="L43" s="66">
        <v>2300</v>
      </c>
      <c r="M43" s="164">
        <v>38.664945727939475</v>
      </c>
      <c r="N43" s="78">
        <v>2721.3168378298792</v>
      </c>
      <c r="O43" s="113">
        <v>44716.81672404641</v>
      </c>
      <c r="P43" s="161">
        <v>54787.086816994692</v>
      </c>
      <c r="Q43" s="254">
        <v>27728.445277671239</v>
      </c>
      <c r="R43" s="263">
        <v>72445.262001717652</v>
      </c>
      <c r="S43" s="259">
        <v>82515.532094665934</v>
      </c>
      <c r="U43" s="7" t="s">
        <v>4125</v>
      </c>
    </row>
    <row r="44" spans="1:21" ht="16.5" thickBot="1">
      <c r="A44" s="41" t="s">
        <v>31</v>
      </c>
      <c r="B44" s="42">
        <f t="shared" si="0"/>
        <v>400</v>
      </c>
      <c r="C44" s="42" t="s">
        <v>3</v>
      </c>
      <c r="D44" s="42">
        <f t="shared" si="1"/>
        <v>260</v>
      </c>
      <c r="E44" s="42" t="s">
        <v>3</v>
      </c>
      <c r="F44" s="90">
        <f t="shared" si="2"/>
        <v>2350</v>
      </c>
      <c r="G44" s="42" t="s">
        <v>3</v>
      </c>
      <c r="H44" s="39">
        <v>4</v>
      </c>
      <c r="I44" s="40" t="s">
        <v>41</v>
      </c>
      <c r="J44" s="149">
        <v>400</v>
      </c>
      <c r="K44" s="66">
        <v>260</v>
      </c>
      <c r="L44" s="66">
        <v>2350</v>
      </c>
      <c r="M44" s="164">
        <v>39.458939797804746</v>
      </c>
      <c r="N44" s="78">
        <v>2791.09419264603</v>
      </c>
      <c r="O44" s="113">
        <v>45536.303512627688</v>
      </c>
      <c r="P44" s="161">
        <v>55807.465401477893</v>
      </c>
      <c r="Q44" s="254">
        <v>28450.234982934966</v>
      </c>
      <c r="R44" s="263">
        <v>73986.53849556265</v>
      </c>
      <c r="S44" s="259">
        <v>84257.700384412863</v>
      </c>
      <c r="U44" s="7" t="s">
        <v>4126</v>
      </c>
    </row>
    <row r="45" spans="1:21" ht="16.5" thickBot="1">
      <c r="A45" s="41" t="s">
        <v>31</v>
      </c>
      <c r="B45" s="42">
        <f t="shared" si="0"/>
        <v>400</v>
      </c>
      <c r="C45" s="42" t="s">
        <v>3</v>
      </c>
      <c r="D45" s="42">
        <f t="shared" si="1"/>
        <v>260</v>
      </c>
      <c r="E45" s="42" t="s">
        <v>3</v>
      </c>
      <c r="F45" s="90">
        <f t="shared" si="2"/>
        <v>2400</v>
      </c>
      <c r="G45" s="42" t="s">
        <v>3</v>
      </c>
      <c r="H45" s="39">
        <v>4</v>
      </c>
      <c r="I45" s="40" t="s">
        <v>41</v>
      </c>
      <c r="J45" s="149">
        <v>400</v>
      </c>
      <c r="K45" s="66">
        <v>260</v>
      </c>
      <c r="L45" s="66">
        <v>2400</v>
      </c>
      <c r="M45" s="164">
        <v>40.235893867670001</v>
      </c>
      <c r="N45" s="78">
        <v>2860.8715474621804</v>
      </c>
      <c r="O45" s="113">
        <v>46355.790301208814</v>
      </c>
      <c r="P45" s="161">
        <v>56827.843985961117</v>
      </c>
      <c r="Q45" s="254">
        <v>28920.690550414929</v>
      </c>
      <c r="R45" s="263">
        <v>75276.480851623739</v>
      </c>
      <c r="S45" s="259">
        <v>85748.534536376043</v>
      </c>
      <c r="U45" s="7" t="s">
        <v>4127</v>
      </c>
    </row>
    <row r="46" spans="1:21" ht="16.5" thickBot="1">
      <c r="A46" s="41" t="s">
        <v>31</v>
      </c>
      <c r="B46" s="42">
        <f t="shared" si="0"/>
        <v>400</v>
      </c>
      <c r="C46" s="42" t="s">
        <v>3</v>
      </c>
      <c r="D46" s="42">
        <f t="shared" si="1"/>
        <v>260</v>
      </c>
      <c r="E46" s="42" t="s">
        <v>3</v>
      </c>
      <c r="F46" s="90">
        <f t="shared" si="2"/>
        <v>2450</v>
      </c>
      <c r="G46" s="42" t="s">
        <v>3</v>
      </c>
      <c r="H46" s="39">
        <v>4</v>
      </c>
      <c r="I46" s="40" t="s">
        <v>41</v>
      </c>
      <c r="J46" s="149">
        <v>400</v>
      </c>
      <c r="K46" s="66">
        <v>260</v>
      </c>
      <c r="L46" s="66">
        <v>2450</v>
      </c>
      <c r="M46" s="164">
        <v>41.195798789495264</v>
      </c>
      <c r="N46" s="78">
        <v>2930.6489022783317</v>
      </c>
      <c r="O46" s="113">
        <v>47841.635032433682</v>
      </c>
      <c r="P46" s="161">
        <v>58474.208985527934</v>
      </c>
      <c r="Q46" s="254">
        <v>29642.480255678664</v>
      </c>
      <c r="R46" s="263">
        <v>77484.115288112342</v>
      </c>
      <c r="S46" s="259">
        <v>88116.689241206594</v>
      </c>
      <c r="U46" s="7" t="s">
        <v>4128</v>
      </c>
    </row>
    <row r="47" spans="1:21" ht="16.5" thickBot="1">
      <c r="A47" s="41" t="s">
        <v>31</v>
      </c>
      <c r="B47" s="42">
        <f t="shared" si="0"/>
        <v>400</v>
      </c>
      <c r="C47" s="42" t="s">
        <v>3</v>
      </c>
      <c r="D47" s="42">
        <f t="shared" si="1"/>
        <v>260</v>
      </c>
      <c r="E47" s="42" t="s">
        <v>3</v>
      </c>
      <c r="F47" s="90">
        <f t="shared" si="2"/>
        <v>2500</v>
      </c>
      <c r="G47" s="42" t="s">
        <v>3</v>
      </c>
      <c r="H47" s="39">
        <v>4</v>
      </c>
      <c r="I47" s="40" t="s">
        <v>41</v>
      </c>
      <c r="J47" s="149">
        <v>400</v>
      </c>
      <c r="K47" s="66">
        <v>260</v>
      </c>
      <c r="L47" s="66">
        <v>2500</v>
      </c>
      <c r="M47" s="164">
        <v>41.972752859360526</v>
      </c>
      <c r="N47" s="78">
        <v>3000.4262570944825</v>
      </c>
      <c r="O47" s="113">
        <v>48661.121821014814</v>
      </c>
      <c r="P47" s="161">
        <v>59494.587570011143</v>
      </c>
      <c r="Q47" s="254">
        <v>30112.935823158623</v>
      </c>
      <c r="R47" s="263">
        <v>78774.057644173445</v>
      </c>
      <c r="S47" s="259">
        <v>89607.523393169773</v>
      </c>
      <c r="U47" s="7" t="s">
        <v>4129</v>
      </c>
    </row>
    <row r="48" spans="1:21" ht="16.5" thickBot="1">
      <c r="A48" s="41" t="s">
        <v>31</v>
      </c>
      <c r="B48" s="42">
        <f t="shared" si="0"/>
        <v>400</v>
      </c>
      <c r="C48" s="42" t="s">
        <v>3</v>
      </c>
      <c r="D48" s="42">
        <f t="shared" si="1"/>
        <v>260</v>
      </c>
      <c r="E48" s="42" t="s">
        <v>3</v>
      </c>
      <c r="F48" s="90">
        <f t="shared" si="2"/>
        <v>2550</v>
      </c>
      <c r="G48" s="42" t="s">
        <v>3</v>
      </c>
      <c r="H48" s="39">
        <v>4</v>
      </c>
      <c r="I48" s="40" t="s">
        <v>41</v>
      </c>
      <c r="J48" s="149">
        <v>400</v>
      </c>
      <c r="K48" s="66">
        <v>260</v>
      </c>
      <c r="L48" s="66">
        <v>2550</v>
      </c>
      <c r="M48" s="164">
        <v>42.766746929225789</v>
      </c>
      <c r="N48" s="78">
        <v>3070.2036119106333</v>
      </c>
      <c r="O48" s="113">
        <v>49480.60876262471</v>
      </c>
      <c r="P48" s="161">
        <v>60514.966154494359</v>
      </c>
      <c r="Q48" s="254">
        <v>30834.725528422357</v>
      </c>
      <c r="R48" s="263">
        <v>80315.334291047067</v>
      </c>
      <c r="S48" s="259">
        <v>91349.691682916717</v>
      </c>
      <c r="U48" s="7" t="s">
        <v>4130</v>
      </c>
    </row>
    <row r="49" spans="1:21" ht="16.5" thickBot="1">
      <c r="A49" s="38" t="s">
        <v>31</v>
      </c>
      <c r="B49" s="39">
        <f t="shared" si="0"/>
        <v>400</v>
      </c>
      <c r="C49" s="39" t="s">
        <v>3</v>
      </c>
      <c r="D49" s="39">
        <f t="shared" si="1"/>
        <v>260</v>
      </c>
      <c r="E49" s="39" t="s">
        <v>3</v>
      </c>
      <c r="F49" s="90">
        <f t="shared" si="2"/>
        <v>2600</v>
      </c>
      <c r="G49" s="39" t="s">
        <v>3</v>
      </c>
      <c r="H49" s="39">
        <v>4</v>
      </c>
      <c r="I49" s="40" t="s">
        <v>41</v>
      </c>
      <c r="J49" s="149">
        <v>400</v>
      </c>
      <c r="K49" s="66">
        <v>260</v>
      </c>
      <c r="L49" s="66">
        <v>2600</v>
      </c>
      <c r="M49" s="164">
        <v>43.543700999091058</v>
      </c>
      <c r="N49" s="78">
        <v>3139.9809667267837</v>
      </c>
      <c r="O49" s="113">
        <v>50300.09555120569</v>
      </c>
      <c r="P49" s="161">
        <v>61535.344738977568</v>
      </c>
      <c r="Q49" s="254">
        <v>31305.181095902317</v>
      </c>
      <c r="R49" s="263">
        <v>81605.27664710801</v>
      </c>
      <c r="S49" s="259">
        <v>92840.525834879882</v>
      </c>
      <c r="U49" s="7" t="s">
        <v>4131</v>
      </c>
    </row>
    <row r="50" spans="1:21" ht="16.5" thickBot="1">
      <c r="A50" s="41" t="s">
        <v>31</v>
      </c>
      <c r="B50" s="42">
        <f t="shared" si="0"/>
        <v>400</v>
      </c>
      <c r="C50" s="42" t="s">
        <v>3</v>
      </c>
      <c r="D50" s="42">
        <f t="shared" si="1"/>
        <v>260</v>
      </c>
      <c r="E50" s="42" t="s">
        <v>3</v>
      </c>
      <c r="F50" s="90">
        <f t="shared" si="2"/>
        <v>2650</v>
      </c>
      <c r="G50" s="42" t="s">
        <v>3</v>
      </c>
      <c r="H50" s="39">
        <v>4</v>
      </c>
      <c r="I50" s="40" t="s">
        <v>41</v>
      </c>
      <c r="J50" s="149">
        <v>400</v>
      </c>
      <c r="K50" s="66">
        <v>260</v>
      </c>
      <c r="L50" s="66">
        <v>2650</v>
      </c>
      <c r="M50" s="164">
        <v>44.337695068956322</v>
      </c>
      <c r="N50" s="78">
        <v>3209.7583215429345</v>
      </c>
      <c r="O50" s="113">
        <v>51119.582492815738</v>
      </c>
      <c r="P50" s="161">
        <v>62555.72332346093</v>
      </c>
      <c r="Q50" s="254">
        <v>32026.970801166051</v>
      </c>
      <c r="R50" s="263">
        <v>83146.553293981793</v>
      </c>
      <c r="S50" s="259">
        <v>94582.694124626985</v>
      </c>
      <c r="U50" s="7" t="s">
        <v>4132</v>
      </c>
    </row>
    <row r="51" spans="1:21" ht="16.5" thickBot="1">
      <c r="A51" s="41" t="s">
        <v>31</v>
      </c>
      <c r="B51" s="42">
        <f t="shared" si="0"/>
        <v>400</v>
      </c>
      <c r="C51" s="42" t="s">
        <v>3</v>
      </c>
      <c r="D51" s="42">
        <f t="shared" si="1"/>
        <v>260</v>
      </c>
      <c r="E51" s="42" t="s">
        <v>3</v>
      </c>
      <c r="F51" s="90">
        <f t="shared" si="2"/>
        <v>2700</v>
      </c>
      <c r="G51" s="42" t="s">
        <v>3</v>
      </c>
      <c r="H51" s="39">
        <v>4</v>
      </c>
      <c r="I51" s="40" t="s">
        <v>41</v>
      </c>
      <c r="J51" s="149">
        <v>400</v>
      </c>
      <c r="K51" s="66">
        <v>260</v>
      </c>
      <c r="L51" s="66">
        <v>2700</v>
      </c>
      <c r="M51" s="164">
        <v>45.193149138821582</v>
      </c>
      <c r="N51" s="78">
        <v>3279.5356763590853</v>
      </c>
      <c r="O51" s="113">
        <v>52023.167616530191</v>
      </c>
      <c r="P51" s="161">
        <v>63660.713613378859</v>
      </c>
      <c r="Q51" s="254">
        <v>32497.426368646011</v>
      </c>
      <c r="R51" s="263">
        <v>84520.593985176209</v>
      </c>
      <c r="S51" s="259">
        <v>96158.139982024877</v>
      </c>
      <c r="U51" s="7" t="s">
        <v>4133</v>
      </c>
    </row>
    <row r="52" spans="1:21" ht="16.5" thickBot="1">
      <c r="A52" s="41" t="s">
        <v>31</v>
      </c>
      <c r="B52" s="42">
        <f t="shared" si="0"/>
        <v>400</v>
      </c>
      <c r="C52" s="42" t="s">
        <v>3</v>
      </c>
      <c r="D52" s="42">
        <f t="shared" si="1"/>
        <v>260</v>
      </c>
      <c r="E52" s="42" t="s">
        <v>3</v>
      </c>
      <c r="F52" s="90">
        <f t="shared" si="2"/>
        <v>2750</v>
      </c>
      <c r="G52" s="42" t="s">
        <v>3</v>
      </c>
      <c r="H52" s="39">
        <v>4</v>
      </c>
      <c r="I52" s="40" t="s">
        <v>41</v>
      </c>
      <c r="J52" s="149">
        <v>400</v>
      </c>
      <c r="K52" s="66">
        <v>260</v>
      </c>
      <c r="L52" s="66">
        <v>2750</v>
      </c>
      <c r="M52" s="164">
        <v>45.970103208686837</v>
      </c>
      <c r="N52" s="78">
        <v>3349.3130311752366</v>
      </c>
      <c r="O52" s="113">
        <v>52842.654405111323</v>
      </c>
      <c r="P52" s="161">
        <v>64681.092197862235</v>
      </c>
      <c r="Q52" s="254">
        <v>32967.881936125974</v>
      </c>
      <c r="R52" s="263">
        <v>85810.536341237297</v>
      </c>
      <c r="S52" s="259">
        <v>97648.974133988202</v>
      </c>
      <c r="U52" s="7" t="s">
        <v>4134</v>
      </c>
    </row>
    <row r="53" spans="1:21" ht="16.5" thickBot="1">
      <c r="A53" s="41" t="s">
        <v>31</v>
      </c>
      <c r="B53" s="42">
        <f t="shared" si="0"/>
        <v>400</v>
      </c>
      <c r="C53" s="42" t="s">
        <v>3</v>
      </c>
      <c r="D53" s="42">
        <f t="shared" si="1"/>
        <v>260</v>
      </c>
      <c r="E53" s="42" t="s">
        <v>3</v>
      </c>
      <c r="F53" s="90">
        <f t="shared" si="2"/>
        <v>2800</v>
      </c>
      <c r="G53" s="42" t="s">
        <v>3</v>
      </c>
      <c r="H53" s="39">
        <v>4</v>
      </c>
      <c r="I53" s="40" t="s">
        <v>41</v>
      </c>
      <c r="J53" s="149">
        <v>400</v>
      </c>
      <c r="K53" s="66">
        <v>260</v>
      </c>
      <c r="L53" s="66">
        <v>2800</v>
      </c>
      <c r="M53" s="164">
        <v>46.7640972785521</v>
      </c>
      <c r="N53" s="78">
        <v>3419.0903859913869</v>
      </c>
      <c r="O53" s="113">
        <v>53662.141346721219</v>
      </c>
      <c r="P53" s="161">
        <v>65701.470782345437</v>
      </c>
      <c r="Q53" s="254">
        <v>33689.671488360938</v>
      </c>
      <c r="R53" s="263">
        <v>87351.81283508215</v>
      </c>
      <c r="S53" s="259">
        <v>99391.142270706376</v>
      </c>
      <c r="U53" s="7" t="s">
        <v>4135</v>
      </c>
    </row>
    <row r="54" spans="1:21" ht="16.5" thickBot="1">
      <c r="A54" s="41" t="s">
        <v>31</v>
      </c>
      <c r="B54" s="42">
        <f t="shared" si="0"/>
        <v>400</v>
      </c>
      <c r="C54" s="42" t="s">
        <v>3</v>
      </c>
      <c r="D54" s="42">
        <f t="shared" si="1"/>
        <v>260</v>
      </c>
      <c r="E54" s="42" t="s">
        <v>3</v>
      </c>
      <c r="F54" s="90">
        <f t="shared" si="2"/>
        <v>2850</v>
      </c>
      <c r="G54" s="42" t="s">
        <v>3</v>
      </c>
      <c r="H54" s="39">
        <v>4</v>
      </c>
      <c r="I54" s="40" t="s">
        <v>41</v>
      </c>
      <c r="J54" s="149">
        <v>400</v>
      </c>
      <c r="K54" s="66">
        <v>260</v>
      </c>
      <c r="L54" s="66">
        <v>2850</v>
      </c>
      <c r="M54" s="164">
        <v>47.541051348417369</v>
      </c>
      <c r="N54" s="78">
        <v>3488.8677408075378</v>
      </c>
      <c r="O54" s="113">
        <v>54481.628135302344</v>
      </c>
      <c r="P54" s="161">
        <v>66721.849366828654</v>
      </c>
      <c r="Q54" s="254">
        <v>34160.127055840901</v>
      </c>
      <c r="R54" s="263">
        <v>88641.755191143253</v>
      </c>
      <c r="S54" s="259">
        <v>100881.97642266956</v>
      </c>
      <c r="U54" s="7" t="s">
        <v>4136</v>
      </c>
    </row>
    <row r="55" spans="1:21" ht="16.5" thickBot="1">
      <c r="A55" s="41" t="s">
        <v>31</v>
      </c>
      <c r="B55" s="42">
        <f t="shared" si="0"/>
        <v>400</v>
      </c>
      <c r="C55" s="42" t="s">
        <v>3</v>
      </c>
      <c r="D55" s="42">
        <f t="shared" si="1"/>
        <v>260</v>
      </c>
      <c r="E55" s="42" t="s">
        <v>3</v>
      </c>
      <c r="F55" s="90">
        <f t="shared" si="2"/>
        <v>2900</v>
      </c>
      <c r="G55" s="42" t="s">
        <v>3</v>
      </c>
      <c r="H55" s="39">
        <v>4</v>
      </c>
      <c r="I55" s="40" t="s">
        <v>41</v>
      </c>
      <c r="J55" s="149">
        <v>400</v>
      </c>
      <c r="K55" s="66">
        <v>260</v>
      </c>
      <c r="L55" s="66">
        <v>2900</v>
      </c>
      <c r="M55" s="164">
        <v>48.335045418282633</v>
      </c>
      <c r="N55" s="78">
        <v>3558.6450956236881</v>
      </c>
      <c r="O55" s="113">
        <v>55301.115076912247</v>
      </c>
      <c r="P55" s="161">
        <v>67742.227951311856</v>
      </c>
      <c r="Q55" s="254">
        <v>34881.916761104636</v>
      </c>
      <c r="R55" s="263">
        <v>90183.031838016876</v>
      </c>
      <c r="S55" s="259">
        <v>102624.14471241648</v>
      </c>
      <c r="U55" s="7" t="s">
        <v>4137</v>
      </c>
    </row>
    <row r="56" spans="1:21" ht="16.5" thickBot="1">
      <c r="A56" s="41" t="s">
        <v>31</v>
      </c>
      <c r="B56" s="42">
        <f t="shared" si="0"/>
        <v>400</v>
      </c>
      <c r="C56" s="42" t="s">
        <v>3</v>
      </c>
      <c r="D56" s="42">
        <f t="shared" si="1"/>
        <v>260</v>
      </c>
      <c r="E56" s="42" t="s">
        <v>3</v>
      </c>
      <c r="F56" s="90">
        <f t="shared" si="2"/>
        <v>2950</v>
      </c>
      <c r="G56" s="42" t="s">
        <v>3</v>
      </c>
      <c r="H56" s="39">
        <v>4</v>
      </c>
      <c r="I56" s="40" t="s">
        <v>41</v>
      </c>
      <c r="J56" s="149">
        <v>400</v>
      </c>
      <c r="K56" s="66">
        <v>260</v>
      </c>
      <c r="L56" s="66">
        <v>2950</v>
      </c>
      <c r="M56" s="164">
        <v>49.111999488147895</v>
      </c>
      <c r="N56" s="78">
        <v>3628.4224504398394</v>
      </c>
      <c r="O56" s="113">
        <v>56120.601865493372</v>
      </c>
      <c r="P56" s="161">
        <v>68762.606535795217</v>
      </c>
      <c r="Q56" s="254">
        <v>35352.372328584599</v>
      </c>
      <c r="R56" s="263">
        <v>91472.974194077979</v>
      </c>
      <c r="S56" s="259">
        <v>104114.97886437981</v>
      </c>
      <c r="U56" s="7" t="s">
        <v>4138</v>
      </c>
    </row>
    <row r="57" spans="1:21" ht="16.5" thickBot="1">
      <c r="A57" s="43" t="s">
        <v>31</v>
      </c>
      <c r="B57" s="44">
        <f t="shared" si="0"/>
        <v>400</v>
      </c>
      <c r="C57" s="44" t="s">
        <v>3</v>
      </c>
      <c r="D57" s="44">
        <f t="shared" si="1"/>
        <v>260</v>
      </c>
      <c r="E57" s="44" t="s">
        <v>3</v>
      </c>
      <c r="F57" s="91">
        <f t="shared" si="2"/>
        <v>3000</v>
      </c>
      <c r="G57" s="44" t="s">
        <v>3</v>
      </c>
      <c r="H57" s="46">
        <v>4</v>
      </c>
      <c r="I57" s="45" t="s">
        <v>41</v>
      </c>
      <c r="J57" s="265">
        <v>400</v>
      </c>
      <c r="K57" s="266">
        <v>260</v>
      </c>
      <c r="L57" s="266">
        <v>3000</v>
      </c>
      <c r="M57" s="249">
        <v>49.905993558013151</v>
      </c>
      <c r="N57" s="250">
        <v>3698.1998052559902</v>
      </c>
      <c r="O57" s="251">
        <v>58221.010270489001</v>
      </c>
      <c r="P57" s="283">
        <v>69782.985120278434</v>
      </c>
      <c r="Q57" s="267">
        <v>36074.162033848326</v>
      </c>
      <c r="R57" s="268">
        <v>94295.17230433732</v>
      </c>
      <c r="S57" s="269">
        <v>105857.14715412675</v>
      </c>
      <c r="U57" s="7" t="s">
        <v>4139</v>
      </c>
    </row>
    <row r="58" spans="1:21" ht="22.5" customHeight="1" thickBot="1">
      <c r="A58" s="2968" t="s">
        <v>43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69"/>
      <c r="R58" s="2969"/>
      <c r="S58" s="2970"/>
      <c r="U58" s="7"/>
    </row>
    <row r="59" spans="1:21" ht="16.5" thickBot="1">
      <c r="A59" s="2974" t="s">
        <v>117</v>
      </c>
      <c r="B59" s="2975"/>
      <c r="C59" s="2975"/>
      <c r="D59" s="2975"/>
      <c r="E59" s="2975"/>
      <c r="F59" s="2975"/>
      <c r="G59" s="2975"/>
      <c r="H59" s="2975"/>
      <c r="I59" s="2975"/>
      <c r="J59" s="2975"/>
      <c r="K59" s="2975"/>
      <c r="L59" s="2975"/>
      <c r="M59" s="2975"/>
      <c r="N59" s="2975"/>
      <c r="O59" s="2975"/>
      <c r="P59" s="2975"/>
      <c r="Q59" s="2975"/>
      <c r="R59" s="2975"/>
      <c r="S59" s="2976"/>
      <c r="U59" s="7"/>
    </row>
    <row r="60" spans="1:21" ht="16.5" thickBot="1">
      <c r="A60" s="38" t="s">
        <v>31</v>
      </c>
      <c r="B60" s="39">
        <f>J60</f>
        <v>400</v>
      </c>
      <c r="C60" s="39" t="s">
        <v>3</v>
      </c>
      <c r="D60" s="39">
        <f>K60</f>
        <v>300</v>
      </c>
      <c r="E60" s="39" t="s">
        <v>3</v>
      </c>
      <c r="F60" s="90">
        <f>L60</f>
        <v>600</v>
      </c>
      <c r="G60" s="39" t="s">
        <v>3</v>
      </c>
      <c r="H60" s="39">
        <v>4</v>
      </c>
      <c r="I60" s="40" t="s">
        <v>41</v>
      </c>
      <c r="J60" s="270">
        <v>400</v>
      </c>
      <c r="K60" s="271">
        <v>300</v>
      </c>
      <c r="L60" s="271">
        <v>600</v>
      </c>
      <c r="M60" s="245">
        <v>11.885360953074539</v>
      </c>
      <c r="N60" s="246">
        <v>373.77178000534883</v>
      </c>
      <c r="O60" s="247">
        <v>16556.838133189845</v>
      </c>
      <c r="P60" s="170">
        <v>20095.674078065815</v>
      </c>
      <c r="Q60" s="272">
        <v>8941.6715199935952</v>
      </c>
      <c r="R60" s="273">
        <v>25498.509653183442</v>
      </c>
      <c r="S60" s="274">
        <v>29037.345598059408</v>
      </c>
      <c r="U60" s="7" t="s">
        <v>4140</v>
      </c>
    </row>
    <row r="61" spans="1:21" ht="16.5" thickBot="1">
      <c r="A61" s="41" t="s">
        <v>31</v>
      </c>
      <c r="B61" s="42">
        <f t="shared" ref="B61:B108" si="3">J61</f>
        <v>400</v>
      </c>
      <c r="C61" s="42" t="s">
        <v>3</v>
      </c>
      <c r="D61" s="42">
        <f t="shared" ref="D61:D108" si="4">K61</f>
        <v>300</v>
      </c>
      <c r="E61" s="42" t="s">
        <v>3</v>
      </c>
      <c r="F61" s="90">
        <f t="shared" ref="F61:F108" si="5">L61</f>
        <v>650</v>
      </c>
      <c r="G61" s="42" t="s">
        <v>3</v>
      </c>
      <c r="H61" s="39">
        <v>4</v>
      </c>
      <c r="I61" s="40" t="s">
        <v>41</v>
      </c>
      <c r="J61" s="149">
        <v>400</v>
      </c>
      <c r="K61" s="66">
        <v>300</v>
      </c>
      <c r="L61" s="66">
        <v>650</v>
      </c>
      <c r="M61" s="164">
        <v>12.681738874686433</v>
      </c>
      <c r="N61" s="78">
        <v>448.5261360064186</v>
      </c>
      <c r="O61" s="113">
        <v>17417.299291805783</v>
      </c>
      <c r="P61" s="161">
        <v>21177.275377618185</v>
      </c>
      <c r="Q61" s="254">
        <v>9465.3131529653438</v>
      </c>
      <c r="R61" s="263">
        <v>26882.612444771126</v>
      </c>
      <c r="S61" s="259">
        <v>30642.588530583529</v>
      </c>
      <c r="U61" s="7" t="s">
        <v>4141</v>
      </c>
    </row>
    <row r="62" spans="1:21" ht="16.5" thickBot="1">
      <c r="A62" s="41" t="s">
        <v>31</v>
      </c>
      <c r="B62" s="42">
        <f t="shared" si="3"/>
        <v>400</v>
      </c>
      <c r="C62" s="42" t="s">
        <v>3</v>
      </c>
      <c r="D62" s="42">
        <f t="shared" si="4"/>
        <v>300</v>
      </c>
      <c r="E62" s="42" t="s">
        <v>3</v>
      </c>
      <c r="F62" s="90">
        <f t="shared" si="5"/>
        <v>700</v>
      </c>
      <c r="G62" s="42" t="s">
        <v>3</v>
      </c>
      <c r="H62" s="39">
        <v>4</v>
      </c>
      <c r="I62" s="40" t="s">
        <v>41</v>
      </c>
      <c r="J62" s="149">
        <v>400</v>
      </c>
      <c r="K62" s="66">
        <v>300</v>
      </c>
      <c r="L62" s="66">
        <v>700</v>
      </c>
      <c r="M62" s="164">
        <v>13.495582796298327</v>
      </c>
      <c r="N62" s="78">
        <v>523.28049200748831</v>
      </c>
      <c r="O62" s="113">
        <v>18277.760603450486</v>
      </c>
      <c r="P62" s="161">
        <v>22258.876677170399</v>
      </c>
      <c r="Q62" s="254">
        <v>10240.289076749623</v>
      </c>
      <c r="R62" s="263">
        <v>28518.049680200107</v>
      </c>
      <c r="S62" s="259">
        <v>32499.165753920024</v>
      </c>
      <c r="U62" s="7" t="s">
        <v>4142</v>
      </c>
    </row>
    <row r="63" spans="1:21" ht="16.5" thickBot="1">
      <c r="A63" s="41" t="s">
        <v>31</v>
      </c>
      <c r="B63" s="42">
        <f t="shared" si="3"/>
        <v>400</v>
      </c>
      <c r="C63" s="42" t="s">
        <v>3</v>
      </c>
      <c r="D63" s="42">
        <f t="shared" si="4"/>
        <v>300</v>
      </c>
      <c r="E63" s="42" t="s">
        <v>3</v>
      </c>
      <c r="F63" s="90">
        <f t="shared" si="5"/>
        <v>750</v>
      </c>
      <c r="G63" s="42" t="s">
        <v>3</v>
      </c>
      <c r="H63" s="39">
        <v>4</v>
      </c>
      <c r="I63" s="40" t="s">
        <v>41</v>
      </c>
      <c r="J63" s="149">
        <v>400</v>
      </c>
      <c r="K63" s="66">
        <v>300</v>
      </c>
      <c r="L63" s="66">
        <v>750</v>
      </c>
      <c r="M63" s="164">
        <v>14.291960717910221</v>
      </c>
      <c r="N63" s="78">
        <v>598.03484800855813</v>
      </c>
      <c r="O63" s="113">
        <v>19138.221762066427</v>
      </c>
      <c r="P63" s="161">
        <v>23340.477976722614</v>
      </c>
      <c r="Q63" s="254">
        <v>10763.930709721371</v>
      </c>
      <c r="R63" s="263">
        <v>29902.152471787798</v>
      </c>
      <c r="S63" s="259">
        <v>34104.408686443989</v>
      </c>
      <c r="U63" s="7" t="s">
        <v>4143</v>
      </c>
    </row>
    <row r="64" spans="1:21" ht="16.5" thickBot="1">
      <c r="A64" s="41" t="s">
        <v>31</v>
      </c>
      <c r="B64" s="42">
        <f t="shared" si="3"/>
        <v>400</v>
      </c>
      <c r="C64" s="42" t="s">
        <v>3</v>
      </c>
      <c r="D64" s="42">
        <f t="shared" si="4"/>
        <v>300</v>
      </c>
      <c r="E64" s="42" t="s">
        <v>3</v>
      </c>
      <c r="F64" s="90">
        <f t="shared" si="5"/>
        <v>800</v>
      </c>
      <c r="G64" s="42" t="s">
        <v>3</v>
      </c>
      <c r="H64" s="39">
        <v>4</v>
      </c>
      <c r="I64" s="40" t="s">
        <v>41</v>
      </c>
      <c r="J64" s="149">
        <v>400</v>
      </c>
      <c r="K64" s="66">
        <v>300</v>
      </c>
      <c r="L64" s="66">
        <v>800</v>
      </c>
      <c r="M64" s="164">
        <v>15.088338639522117</v>
      </c>
      <c r="N64" s="78">
        <v>672.78920400962795</v>
      </c>
      <c r="O64" s="113">
        <v>19998.682920682368</v>
      </c>
      <c r="P64" s="161">
        <v>24422.079276274831</v>
      </c>
      <c r="Q64" s="254">
        <v>11287.572342693116</v>
      </c>
      <c r="R64" s="263">
        <v>31286.255263375482</v>
      </c>
      <c r="S64" s="259">
        <v>35709.651618967946</v>
      </c>
      <c r="U64" s="7" t="s">
        <v>4144</v>
      </c>
    </row>
    <row r="65" spans="1:21" ht="16.5" thickBot="1">
      <c r="A65" s="41" t="s">
        <v>31</v>
      </c>
      <c r="B65" s="42">
        <f t="shared" si="3"/>
        <v>400</v>
      </c>
      <c r="C65" s="42" t="s">
        <v>3</v>
      </c>
      <c r="D65" s="42">
        <f t="shared" si="4"/>
        <v>300</v>
      </c>
      <c r="E65" s="42" t="s">
        <v>3</v>
      </c>
      <c r="F65" s="90">
        <f t="shared" si="5"/>
        <v>850</v>
      </c>
      <c r="G65" s="42" t="s">
        <v>3</v>
      </c>
      <c r="H65" s="39">
        <v>4</v>
      </c>
      <c r="I65" s="40" t="s">
        <v>41</v>
      </c>
      <c r="J65" s="149">
        <v>400</v>
      </c>
      <c r="K65" s="66">
        <v>300</v>
      </c>
      <c r="L65" s="66">
        <v>850</v>
      </c>
      <c r="M65" s="164">
        <v>15.902182561134008</v>
      </c>
      <c r="N65" s="78">
        <v>747.54356001069766</v>
      </c>
      <c r="O65" s="113">
        <v>20859.144232327071</v>
      </c>
      <c r="P65" s="161">
        <v>25503.680575827049</v>
      </c>
      <c r="Q65" s="254">
        <v>12062.548266477399</v>
      </c>
      <c r="R65" s="263">
        <v>32921.69249880447</v>
      </c>
      <c r="S65" s="259">
        <v>37566.228842304452</v>
      </c>
      <c r="U65" s="7" t="s">
        <v>4145</v>
      </c>
    </row>
    <row r="66" spans="1:21" ht="16.5" thickBot="1">
      <c r="A66" s="41" t="s">
        <v>31</v>
      </c>
      <c r="B66" s="42">
        <f t="shared" si="3"/>
        <v>400</v>
      </c>
      <c r="C66" s="42" t="s">
        <v>3</v>
      </c>
      <c r="D66" s="42">
        <f t="shared" si="4"/>
        <v>300</v>
      </c>
      <c r="E66" s="42" t="s">
        <v>3</v>
      </c>
      <c r="F66" s="90">
        <f t="shared" si="5"/>
        <v>900</v>
      </c>
      <c r="G66" s="42" t="s">
        <v>3</v>
      </c>
      <c r="H66" s="39">
        <v>4</v>
      </c>
      <c r="I66" s="40" t="s">
        <v>41</v>
      </c>
      <c r="J66" s="149">
        <v>400</v>
      </c>
      <c r="K66" s="66">
        <v>300</v>
      </c>
      <c r="L66" s="66">
        <v>900</v>
      </c>
      <c r="M66" s="164">
        <v>16.698560482745904</v>
      </c>
      <c r="N66" s="78">
        <v>822.29791601176748</v>
      </c>
      <c r="O66" s="113">
        <v>21719.605390943008</v>
      </c>
      <c r="P66" s="161">
        <v>26585.281875379413</v>
      </c>
      <c r="Q66" s="254">
        <v>12586.189899449146</v>
      </c>
      <c r="R66" s="263">
        <v>34305.795290392154</v>
      </c>
      <c r="S66" s="259">
        <v>39171.471774828562</v>
      </c>
      <c r="U66" s="7" t="s">
        <v>4146</v>
      </c>
    </row>
    <row r="67" spans="1:21" ht="16.5" thickBot="1">
      <c r="A67" s="41" t="s">
        <v>31</v>
      </c>
      <c r="B67" s="42">
        <f t="shared" si="3"/>
        <v>400</v>
      </c>
      <c r="C67" s="42" t="s">
        <v>3</v>
      </c>
      <c r="D67" s="42">
        <f t="shared" si="4"/>
        <v>300</v>
      </c>
      <c r="E67" s="42" t="s">
        <v>3</v>
      </c>
      <c r="F67" s="90">
        <f t="shared" si="5"/>
        <v>950</v>
      </c>
      <c r="G67" s="42" t="s">
        <v>3</v>
      </c>
      <c r="H67" s="39">
        <v>4</v>
      </c>
      <c r="I67" s="40" t="s">
        <v>41</v>
      </c>
      <c r="J67" s="149">
        <v>400</v>
      </c>
      <c r="K67" s="66">
        <v>300</v>
      </c>
      <c r="L67" s="66">
        <v>950</v>
      </c>
      <c r="M67" s="164">
        <v>17.512404404357802</v>
      </c>
      <c r="N67" s="78">
        <v>897.05227201283719</v>
      </c>
      <c r="O67" s="113">
        <v>22580.066549558949</v>
      </c>
      <c r="P67" s="161">
        <v>27666.88317493163</v>
      </c>
      <c r="Q67" s="254">
        <v>13361.165670204662</v>
      </c>
      <c r="R67" s="263">
        <v>35941.232219763609</v>
      </c>
      <c r="S67" s="259">
        <v>41028.048845136291</v>
      </c>
      <c r="U67" s="7" t="s">
        <v>4147</v>
      </c>
    </row>
    <row r="68" spans="1:21" ht="16.5" thickBot="1">
      <c r="A68" s="41" t="s">
        <v>31</v>
      </c>
      <c r="B68" s="42">
        <f t="shared" si="3"/>
        <v>400</v>
      </c>
      <c r="C68" s="42" t="s">
        <v>3</v>
      </c>
      <c r="D68" s="42">
        <f t="shared" si="4"/>
        <v>300</v>
      </c>
      <c r="E68" s="42" t="s">
        <v>3</v>
      </c>
      <c r="F68" s="90">
        <f t="shared" si="5"/>
        <v>1000</v>
      </c>
      <c r="G68" s="42" t="s">
        <v>3</v>
      </c>
      <c r="H68" s="39">
        <v>4</v>
      </c>
      <c r="I68" s="40" t="s">
        <v>41</v>
      </c>
      <c r="J68" s="149">
        <v>400</v>
      </c>
      <c r="K68" s="66">
        <v>300</v>
      </c>
      <c r="L68" s="66">
        <v>1000</v>
      </c>
      <c r="M68" s="164">
        <v>18.308782325969698</v>
      </c>
      <c r="N68" s="78">
        <v>971.80662801390702</v>
      </c>
      <c r="O68" s="113">
        <v>23440.52770817489</v>
      </c>
      <c r="P68" s="161">
        <v>28748.484474483692</v>
      </c>
      <c r="Q68" s="254">
        <v>13884.807456205173</v>
      </c>
      <c r="R68" s="263">
        <v>37325.335164380063</v>
      </c>
      <c r="S68" s="259">
        <v>42633.291930688865</v>
      </c>
      <c r="U68" s="7" t="s">
        <v>4148</v>
      </c>
    </row>
    <row r="69" spans="1:21" ht="16.5" thickBot="1">
      <c r="A69" s="41" t="s">
        <v>31</v>
      </c>
      <c r="B69" s="42">
        <f t="shared" si="3"/>
        <v>400</v>
      </c>
      <c r="C69" s="42" t="s">
        <v>3</v>
      </c>
      <c r="D69" s="42">
        <f t="shared" si="4"/>
        <v>300</v>
      </c>
      <c r="E69" s="42" t="s">
        <v>3</v>
      </c>
      <c r="F69" s="90">
        <f t="shared" si="5"/>
        <v>1050</v>
      </c>
      <c r="G69" s="42" t="s">
        <v>3</v>
      </c>
      <c r="H69" s="39">
        <v>4</v>
      </c>
      <c r="I69" s="40" t="s">
        <v>41</v>
      </c>
      <c r="J69" s="149">
        <v>400</v>
      </c>
      <c r="K69" s="66">
        <v>300</v>
      </c>
      <c r="L69" s="66">
        <v>1050</v>
      </c>
      <c r="M69" s="164">
        <v>19.122626247581589</v>
      </c>
      <c r="N69" s="78">
        <v>1046.5609840149766</v>
      </c>
      <c r="O69" s="113">
        <v>24300.989019819594</v>
      </c>
      <c r="P69" s="161">
        <v>29830.085774036063</v>
      </c>
      <c r="Q69" s="254">
        <v>14659.78322696069</v>
      </c>
      <c r="R69" s="263">
        <v>38960.772246780281</v>
      </c>
      <c r="S69" s="259">
        <v>44489.869000996754</v>
      </c>
      <c r="U69" s="7" t="s">
        <v>4149</v>
      </c>
    </row>
    <row r="70" spans="1:21" ht="16.5" thickBot="1">
      <c r="A70" s="38" t="s">
        <v>31</v>
      </c>
      <c r="B70" s="39">
        <f t="shared" si="3"/>
        <v>400</v>
      </c>
      <c r="C70" s="39" t="s">
        <v>3</v>
      </c>
      <c r="D70" s="39">
        <f t="shared" si="4"/>
        <v>300</v>
      </c>
      <c r="E70" s="39" t="s">
        <v>3</v>
      </c>
      <c r="F70" s="90">
        <f t="shared" si="5"/>
        <v>1100</v>
      </c>
      <c r="G70" s="39" t="s">
        <v>3</v>
      </c>
      <c r="H70" s="39">
        <v>4</v>
      </c>
      <c r="I70" s="40" t="s">
        <v>41</v>
      </c>
      <c r="J70" s="149">
        <v>400</v>
      </c>
      <c r="K70" s="66">
        <v>300</v>
      </c>
      <c r="L70" s="66">
        <v>1100</v>
      </c>
      <c r="M70" s="164">
        <v>19.919004169193485</v>
      </c>
      <c r="N70" s="78">
        <v>1121.3153400160465</v>
      </c>
      <c r="O70" s="113">
        <v>25161.450178435531</v>
      </c>
      <c r="P70" s="161">
        <v>30911.687073588429</v>
      </c>
      <c r="Q70" s="254">
        <v>15183.425012961201</v>
      </c>
      <c r="R70" s="263">
        <v>40344.875191396728</v>
      </c>
      <c r="S70" s="259">
        <v>46095.112086549634</v>
      </c>
      <c r="U70" s="7" t="s">
        <v>4150</v>
      </c>
    </row>
    <row r="71" spans="1:21" ht="16.5" thickBot="1">
      <c r="A71" s="41" t="s">
        <v>31</v>
      </c>
      <c r="B71" s="42">
        <f t="shared" si="3"/>
        <v>400</v>
      </c>
      <c r="C71" s="42" t="s">
        <v>3</v>
      </c>
      <c r="D71" s="42">
        <f t="shared" si="4"/>
        <v>300</v>
      </c>
      <c r="E71" s="42" t="s">
        <v>3</v>
      </c>
      <c r="F71" s="90">
        <f t="shared" si="5"/>
        <v>1150</v>
      </c>
      <c r="G71" s="42" t="s">
        <v>3</v>
      </c>
      <c r="H71" s="39">
        <v>4</v>
      </c>
      <c r="I71" s="40" t="s">
        <v>41</v>
      </c>
      <c r="J71" s="149">
        <v>400</v>
      </c>
      <c r="K71" s="66">
        <v>300</v>
      </c>
      <c r="L71" s="66">
        <v>1150</v>
      </c>
      <c r="M71" s="164">
        <v>20.715382090805385</v>
      </c>
      <c r="N71" s="78">
        <v>1196.0696960171163</v>
      </c>
      <c r="O71" s="113">
        <v>26021.911337051468</v>
      </c>
      <c r="P71" s="161">
        <v>31993.288373140644</v>
      </c>
      <c r="Q71" s="254">
        <v>15707.066645932946</v>
      </c>
      <c r="R71" s="263">
        <v>41728.977982984412</v>
      </c>
      <c r="S71" s="259">
        <v>47700.355019073591</v>
      </c>
      <c r="U71" s="7" t="s">
        <v>4151</v>
      </c>
    </row>
    <row r="72" spans="1:21" ht="16.5" thickBot="1">
      <c r="A72" s="41" t="s">
        <v>31</v>
      </c>
      <c r="B72" s="42">
        <f t="shared" si="3"/>
        <v>400</v>
      </c>
      <c r="C72" s="42" t="s">
        <v>3</v>
      </c>
      <c r="D72" s="42">
        <f t="shared" si="4"/>
        <v>300</v>
      </c>
      <c r="E72" s="42" t="s">
        <v>3</v>
      </c>
      <c r="F72" s="90">
        <f t="shared" si="5"/>
        <v>1200</v>
      </c>
      <c r="G72" s="42" t="s">
        <v>3</v>
      </c>
      <c r="H72" s="39">
        <v>4</v>
      </c>
      <c r="I72" s="40" t="s">
        <v>41</v>
      </c>
      <c r="J72" s="149">
        <v>400</v>
      </c>
      <c r="K72" s="66">
        <v>300</v>
      </c>
      <c r="L72" s="66">
        <v>1200</v>
      </c>
      <c r="M72" s="164">
        <v>21.609688512417275</v>
      </c>
      <c r="N72" s="78">
        <v>1270.824052018186</v>
      </c>
      <c r="O72" s="113">
        <v>26970.675755208842</v>
      </c>
      <c r="P72" s="161">
        <v>33164.578080453677</v>
      </c>
      <c r="Q72" s="254">
        <v>16482.042416688462</v>
      </c>
      <c r="R72" s="263">
        <v>43452.718171897301</v>
      </c>
      <c r="S72" s="259">
        <v>49646.620497142139</v>
      </c>
      <c r="U72" s="7" t="s">
        <v>4152</v>
      </c>
    </row>
    <row r="73" spans="1:21" ht="16.5" thickBot="1">
      <c r="A73" s="41" t="s">
        <v>31</v>
      </c>
      <c r="B73" s="42">
        <f t="shared" si="3"/>
        <v>400</v>
      </c>
      <c r="C73" s="42" t="s">
        <v>3</v>
      </c>
      <c r="D73" s="42">
        <f t="shared" si="4"/>
        <v>300</v>
      </c>
      <c r="E73" s="42" t="s">
        <v>3</v>
      </c>
      <c r="F73" s="90">
        <f t="shared" si="5"/>
        <v>1250</v>
      </c>
      <c r="G73" s="42" t="s">
        <v>3</v>
      </c>
      <c r="H73" s="39">
        <v>4</v>
      </c>
      <c r="I73" s="40" t="s">
        <v>41</v>
      </c>
      <c r="J73" s="149">
        <v>400</v>
      </c>
      <c r="K73" s="66">
        <v>300</v>
      </c>
      <c r="L73" s="66">
        <v>1250</v>
      </c>
      <c r="M73" s="164">
        <v>22.406066434029171</v>
      </c>
      <c r="N73" s="78">
        <v>1345.5784080192559</v>
      </c>
      <c r="O73" s="113">
        <v>27831.136913824786</v>
      </c>
      <c r="P73" s="161">
        <v>34246.17938000604</v>
      </c>
      <c r="Q73" s="254">
        <v>17005.684202688975</v>
      </c>
      <c r="R73" s="263">
        <v>44836.821116513762</v>
      </c>
      <c r="S73" s="259">
        <v>51251.863582695019</v>
      </c>
      <c r="U73" s="7" t="s">
        <v>4153</v>
      </c>
    </row>
    <row r="74" spans="1:21" ht="16.5" thickBot="1">
      <c r="A74" s="41" t="s">
        <v>31</v>
      </c>
      <c r="B74" s="42">
        <f t="shared" si="3"/>
        <v>400</v>
      </c>
      <c r="C74" s="42" t="s">
        <v>3</v>
      </c>
      <c r="D74" s="42">
        <f t="shared" si="4"/>
        <v>300</v>
      </c>
      <c r="E74" s="42" t="s">
        <v>3</v>
      </c>
      <c r="F74" s="90">
        <f t="shared" si="5"/>
        <v>1300</v>
      </c>
      <c r="G74" s="42" t="s">
        <v>3</v>
      </c>
      <c r="H74" s="39">
        <v>4</v>
      </c>
      <c r="I74" s="40" t="s">
        <v>41</v>
      </c>
      <c r="J74" s="149">
        <v>400</v>
      </c>
      <c r="K74" s="66">
        <v>300</v>
      </c>
      <c r="L74" s="66">
        <v>1300</v>
      </c>
      <c r="M74" s="164">
        <v>23.219910355641066</v>
      </c>
      <c r="N74" s="78">
        <v>1420.3327640203254</v>
      </c>
      <c r="O74" s="113">
        <v>28691.59822546949</v>
      </c>
      <c r="P74" s="161">
        <v>35327.780679558258</v>
      </c>
      <c r="Q74" s="254">
        <v>17780.65997344449</v>
      </c>
      <c r="R74" s="263">
        <v>46472.25819891398</v>
      </c>
      <c r="S74" s="259">
        <v>53108.440653002748</v>
      </c>
      <c r="U74" s="7" t="s">
        <v>4154</v>
      </c>
    </row>
    <row r="75" spans="1:21" ht="16.5" thickBot="1">
      <c r="A75" s="41" t="s">
        <v>31</v>
      </c>
      <c r="B75" s="42">
        <f t="shared" si="3"/>
        <v>400</v>
      </c>
      <c r="C75" s="42" t="s">
        <v>3</v>
      </c>
      <c r="D75" s="42">
        <f t="shared" si="4"/>
        <v>300</v>
      </c>
      <c r="E75" s="42" t="s">
        <v>3</v>
      </c>
      <c r="F75" s="90">
        <f t="shared" si="5"/>
        <v>1350</v>
      </c>
      <c r="G75" s="42" t="s">
        <v>3</v>
      </c>
      <c r="H75" s="39">
        <v>4</v>
      </c>
      <c r="I75" s="40" t="s">
        <v>41</v>
      </c>
      <c r="J75" s="149">
        <v>400</v>
      </c>
      <c r="K75" s="66">
        <v>300</v>
      </c>
      <c r="L75" s="66">
        <v>1350</v>
      </c>
      <c r="M75" s="164">
        <v>24.016288277252958</v>
      </c>
      <c r="N75" s="78">
        <v>1495.0871200213953</v>
      </c>
      <c r="O75" s="113">
        <v>29552.059384085427</v>
      </c>
      <c r="P75" s="161">
        <v>36409.381979110469</v>
      </c>
      <c r="Q75" s="254">
        <v>18304.301606416237</v>
      </c>
      <c r="R75" s="263">
        <v>47856.360990501664</v>
      </c>
      <c r="S75" s="259">
        <v>54713.683585526705</v>
      </c>
      <c r="U75" s="7" t="s">
        <v>4155</v>
      </c>
    </row>
    <row r="76" spans="1:21" ht="16.5" thickBot="1">
      <c r="A76" s="41" t="s">
        <v>31</v>
      </c>
      <c r="B76" s="42">
        <f t="shared" si="3"/>
        <v>400</v>
      </c>
      <c r="C76" s="42" t="s">
        <v>3</v>
      </c>
      <c r="D76" s="42">
        <f t="shared" si="4"/>
        <v>300</v>
      </c>
      <c r="E76" s="42" t="s">
        <v>3</v>
      </c>
      <c r="F76" s="90">
        <f t="shared" si="5"/>
        <v>1400</v>
      </c>
      <c r="G76" s="42" t="s">
        <v>3</v>
      </c>
      <c r="H76" s="39">
        <v>4</v>
      </c>
      <c r="I76" s="40" t="s">
        <v>41</v>
      </c>
      <c r="J76" s="149">
        <v>400</v>
      </c>
      <c r="K76" s="66">
        <v>300</v>
      </c>
      <c r="L76" s="66">
        <v>1400</v>
      </c>
      <c r="M76" s="164">
        <v>24.830132198864852</v>
      </c>
      <c r="N76" s="78">
        <v>1569.8414760224653</v>
      </c>
      <c r="O76" s="113">
        <v>30412.520542701364</v>
      </c>
      <c r="P76" s="161">
        <v>37490.983278662694</v>
      </c>
      <c r="Q76" s="254">
        <v>19079.277530200521</v>
      </c>
      <c r="R76" s="263">
        <v>49491.798072901889</v>
      </c>
      <c r="S76" s="259">
        <v>56570.260808863211</v>
      </c>
      <c r="U76" s="7" t="s">
        <v>4156</v>
      </c>
    </row>
    <row r="77" spans="1:21" ht="16.5" thickBot="1">
      <c r="A77" s="41" t="s">
        <v>31</v>
      </c>
      <c r="B77" s="42">
        <f t="shared" si="3"/>
        <v>400</v>
      </c>
      <c r="C77" s="42" t="s">
        <v>3</v>
      </c>
      <c r="D77" s="42">
        <f t="shared" si="4"/>
        <v>300</v>
      </c>
      <c r="E77" s="42" t="s">
        <v>3</v>
      </c>
      <c r="F77" s="90">
        <f t="shared" si="5"/>
        <v>1450</v>
      </c>
      <c r="G77" s="42" t="s">
        <v>3</v>
      </c>
      <c r="H77" s="39">
        <v>4</v>
      </c>
      <c r="I77" s="40" t="s">
        <v>41</v>
      </c>
      <c r="J77" s="149">
        <v>400</v>
      </c>
      <c r="K77" s="66">
        <v>300</v>
      </c>
      <c r="L77" s="66">
        <v>1450</v>
      </c>
      <c r="M77" s="164">
        <v>25.626510120476748</v>
      </c>
      <c r="N77" s="78">
        <v>1644.595832023535</v>
      </c>
      <c r="O77" s="113">
        <v>31272.981701317309</v>
      </c>
      <c r="P77" s="161">
        <v>38572.584578214904</v>
      </c>
      <c r="Q77" s="254">
        <v>19602.919163172111</v>
      </c>
      <c r="R77" s="263">
        <v>50875.90086448942</v>
      </c>
      <c r="S77" s="259">
        <v>58175.503741387016</v>
      </c>
      <c r="U77" s="7" t="s">
        <v>4157</v>
      </c>
    </row>
    <row r="78" spans="1:21" ht="16.5" thickBot="1">
      <c r="A78" s="41" t="s">
        <v>31</v>
      </c>
      <c r="B78" s="42">
        <f t="shared" si="3"/>
        <v>400</v>
      </c>
      <c r="C78" s="42" t="s">
        <v>3</v>
      </c>
      <c r="D78" s="42">
        <f t="shared" si="4"/>
        <v>300</v>
      </c>
      <c r="E78" s="42" t="s">
        <v>3</v>
      </c>
      <c r="F78" s="90">
        <f t="shared" si="5"/>
        <v>1500</v>
      </c>
      <c r="G78" s="42" t="s">
        <v>3</v>
      </c>
      <c r="H78" s="39">
        <v>4</v>
      </c>
      <c r="I78" s="40" t="s">
        <v>41</v>
      </c>
      <c r="J78" s="149">
        <v>400</v>
      </c>
      <c r="K78" s="66">
        <v>300</v>
      </c>
      <c r="L78" s="66">
        <v>1500</v>
      </c>
      <c r="M78" s="164">
        <v>26.610412665347646</v>
      </c>
      <c r="N78" s="78">
        <v>1719.3501880246044</v>
      </c>
      <c r="O78" s="113">
        <v>32833.11868440629</v>
      </c>
      <c r="P78" s="161">
        <v>40317.731477755689</v>
      </c>
      <c r="Q78" s="254">
        <v>20377.895086956549</v>
      </c>
      <c r="R78" s="263">
        <v>53211.013771362836</v>
      </c>
      <c r="S78" s="259">
        <v>60695.626564712235</v>
      </c>
      <c r="U78" s="7" t="s">
        <v>4158</v>
      </c>
    </row>
    <row r="79" spans="1:21" ht="16.5" thickBot="1">
      <c r="A79" s="41" t="s">
        <v>31</v>
      </c>
      <c r="B79" s="42">
        <f t="shared" si="3"/>
        <v>400</v>
      </c>
      <c r="C79" s="42" t="s">
        <v>3</v>
      </c>
      <c r="D79" s="42">
        <f t="shared" si="4"/>
        <v>300</v>
      </c>
      <c r="E79" s="42" t="s">
        <v>3</v>
      </c>
      <c r="F79" s="90">
        <f t="shared" si="5"/>
        <v>1550</v>
      </c>
      <c r="G79" s="42" t="s">
        <v>3</v>
      </c>
      <c r="H79" s="39">
        <v>4</v>
      </c>
      <c r="I79" s="40" t="s">
        <v>41</v>
      </c>
      <c r="J79" s="149">
        <v>400</v>
      </c>
      <c r="K79" s="66">
        <v>300</v>
      </c>
      <c r="L79" s="66">
        <v>1550</v>
      </c>
      <c r="M79" s="164">
        <v>27.406790586959541</v>
      </c>
      <c r="N79" s="78">
        <v>1794.1045440256744</v>
      </c>
      <c r="O79" s="113">
        <v>33693.579843022228</v>
      </c>
      <c r="P79" s="161">
        <v>41399.332777307907</v>
      </c>
      <c r="Q79" s="254">
        <v>20901.536719928292</v>
      </c>
      <c r="R79" s="263">
        <v>54595.116562950519</v>
      </c>
      <c r="S79" s="259">
        <v>62300.869497236199</v>
      </c>
      <c r="U79" s="7" t="s">
        <v>4159</v>
      </c>
    </row>
    <row r="80" spans="1:21" ht="16.5" thickBot="1">
      <c r="A80" s="38" t="s">
        <v>31</v>
      </c>
      <c r="B80" s="39">
        <f t="shared" si="3"/>
        <v>400</v>
      </c>
      <c r="C80" s="39" t="s">
        <v>3</v>
      </c>
      <c r="D80" s="39">
        <f t="shared" si="4"/>
        <v>300</v>
      </c>
      <c r="E80" s="39" t="s">
        <v>3</v>
      </c>
      <c r="F80" s="90">
        <f t="shared" si="5"/>
        <v>1600</v>
      </c>
      <c r="G80" s="39" t="s">
        <v>3</v>
      </c>
      <c r="H80" s="39">
        <v>4</v>
      </c>
      <c r="I80" s="40" t="s">
        <v>41</v>
      </c>
      <c r="J80" s="149">
        <v>400</v>
      </c>
      <c r="K80" s="66">
        <v>300</v>
      </c>
      <c r="L80" s="66">
        <v>1600</v>
      </c>
      <c r="M80" s="164">
        <v>28.203168508571427</v>
      </c>
      <c r="N80" s="78">
        <v>1868.8589000267441</v>
      </c>
      <c r="O80" s="113">
        <v>34554.041001638172</v>
      </c>
      <c r="P80" s="161">
        <v>42480.934076860271</v>
      </c>
      <c r="Q80" s="254">
        <v>21425.178352900039</v>
      </c>
      <c r="R80" s="263">
        <v>55979.219354538211</v>
      </c>
      <c r="S80" s="259">
        <v>63906.112429760309</v>
      </c>
      <c r="U80" s="7" t="s">
        <v>4160</v>
      </c>
    </row>
    <row r="81" spans="1:21" ht="16.5" thickBot="1">
      <c r="A81" s="41" t="s">
        <v>31</v>
      </c>
      <c r="B81" s="42">
        <f t="shared" si="3"/>
        <v>400</v>
      </c>
      <c r="C81" s="42" t="s">
        <v>3</v>
      </c>
      <c r="D81" s="42">
        <f t="shared" si="4"/>
        <v>300</v>
      </c>
      <c r="E81" s="42" t="s">
        <v>3</v>
      </c>
      <c r="F81" s="90">
        <f t="shared" si="5"/>
        <v>1650</v>
      </c>
      <c r="G81" s="42" t="s">
        <v>3</v>
      </c>
      <c r="H81" s="39">
        <v>4</v>
      </c>
      <c r="I81" s="40" t="s">
        <v>41</v>
      </c>
      <c r="J81" s="149">
        <v>400</v>
      </c>
      <c r="K81" s="66">
        <v>300</v>
      </c>
      <c r="L81" s="66">
        <v>1650</v>
      </c>
      <c r="M81" s="164">
        <v>29.017012430183328</v>
      </c>
      <c r="N81" s="78">
        <v>1943.613256027814</v>
      </c>
      <c r="O81" s="113">
        <v>35414.502160254109</v>
      </c>
      <c r="P81" s="161">
        <v>43562.535376412496</v>
      </c>
      <c r="Q81" s="254">
        <v>22200.154276684319</v>
      </c>
      <c r="R81" s="263">
        <v>57614.656436938429</v>
      </c>
      <c r="S81" s="259">
        <v>65762.689653096808</v>
      </c>
      <c r="U81" s="7" t="s">
        <v>4161</v>
      </c>
    </row>
    <row r="82" spans="1:21" ht="16.5" thickBot="1">
      <c r="A82" s="41" t="s">
        <v>31</v>
      </c>
      <c r="B82" s="42">
        <f t="shared" si="3"/>
        <v>400</v>
      </c>
      <c r="C82" s="42" t="s">
        <v>3</v>
      </c>
      <c r="D82" s="42">
        <f t="shared" si="4"/>
        <v>300</v>
      </c>
      <c r="E82" s="42" t="s">
        <v>3</v>
      </c>
      <c r="F82" s="90">
        <f t="shared" si="5"/>
        <v>1700</v>
      </c>
      <c r="G82" s="42" t="s">
        <v>3</v>
      </c>
      <c r="H82" s="39">
        <v>4</v>
      </c>
      <c r="I82" s="40" t="s">
        <v>41</v>
      </c>
      <c r="J82" s="149">
        <v>400</v>
      </c>
      <c r="K82" s="66">
        <v>300</v>
      </c>
      <c r="L82" s="66">
        <v>1700</v>
      </c>
      <c r="M82" s="164">
        <v>29.813390351795224</v>
      </c>
      <c r="N82" s="78">
        <v>2018.3676120288837</v>
      </c>
      <c r="O82" s="113">
        <v>36274.963471898816</v>
      </c>
      <c r="P82" s="161">
        <v>44644.136675964706</v>
      </c>
      <c r="Q82" s="254">
        <v>22723.795909656066</v>
      </c>
      <c r="R82" s="263">
        <v>58998.759381554883</v>
      </c>
      <c r="S82" s="259">
        <v>67367.932585620772</v>
      </c>
      <c r="U82" s="7" t="s">
        <v>4162</v>
      </c>
    </row>
    <row r="83" spans="1:21" ht="16.5" thickBot="1">
      <c r="A83" s="41" t="s">
        <v>31</v>
      </c>
      <c r="B83" s="42">
        <f t="shared" si="3"/>
        <v>400</v>
      </c>
      <c r="C83" s="42" t="s">
        <v>3</v>
      </c>
      <c r="D83" s="42">
        <f t="shared" si="4"/>
        <v>300</v>
      </c>
      <c r="E83" s="42" t="s">
        <v>3</v>
      </c>
      <c r="F83" s="90">
        <f t="shared" si="5"/>
        <v>1750</v>
      </c>
      <c r="G83" s="42" t="s">
        <v>3</v>
      </c>
      <c r="H83" s="39">
        <v>4</v>
      </c>
      <c r="I83" s="40" t="s">
        <v>41</v>
      </c>
      <c r="J83" s="149">
        <v>400</v>
      </c>
      <c r="K83" s="66">
        <v>300</v>
      </c>
      <c r="L83" s="66">
        <v>1750</v>
      </c>
      <c r="M83" s="164">
        <v>30.627234273407115</v>
      </c>
      <c r="N83" s="78">
        <v>2093.1219680299532</v>
      </c>
      <c r="O83" s="113">
        <v>37135.424630514754</v>
      </c>
      <c r="P83" s="161">
        <v>45725.737975516924</v>
      </c>
      <c r="Q83" s="254">
        <v>23498.771833440347</v>
      </c>
      <c r="R83" s="263">
        <v>60634.196463955101</v>
      </c>
      <c r="S83" s="259">
        <v>69224.509808957271</v>
      </c>
      <c r="U83" s="7" t="s">
        <v>4163</v>
      </c>
    </row>
    <row r="84" spans="1:21" ht="16.5" thickBot="1">
      <c r="A84" s="41" t="s">
        <v>31</v>
      </c>
      <c r="B84" s="42">
        <f t="shared" si="3"/>
        <v>400</v>
      </c>
      <c r="C84" s="42" t="s">
        <v>3</v>
      </c>
      <c r="D84" s="42">
        <f t="shared" si="4"/>
        <v>300</v>
      </c>
      <c r="E84" s="42" t="s">
        <v>3</v>
      </c>
      <c r="F84" s="90">
        <f t="shared" si="5"/>
        <v>1800</v>
      </c>
      <c r="G84" s="42" t="s">
        <v>3</v>
      </c>
      <c r="H84" s="39">
        <v>4</v>
      </c>
      <c r="I84" s="40" t="s">
        <v>41</v>
      </c>
      <c r="J84" s="149">
        <v>400</v>
      </c>
      <c r="K84" s="66">
        <v>300</v>
      </c>
      <c r="L84" s="66">
        <v>1800</v>
      </c>
      <c r="M84" s="164">
        <v>31.423612195019011</v>
      </c>
      <c r="N84" s="78">
        <v>2167.8763240310232</v>
      </c>
      <c r="O84" s="113">
        <v>37995.885789130698</v>
      </c>
      <c r="P84" s="161">
        <v>46807.339275069295</v>
      </c>
      <c r="Q84" s="254">
        <v>24022.413466412094</v>
      </c>
      <c r="R84" s="263">
        <v>62018.299255542792</v>
      </c>
      <c r="S84" s="259">
        <v>70829.752741481381</v>
      </c>
      <c r="U84" s="7" t="s">
        <v>4164</v>
      </c>
    </row>
    <row r="85" spans="1:21" ht="16.5" thickBot="1">
      <c r="A85" s="41" t="s">
        <v>31</v>
      </c>
      <c r="B85" s="42">
        <f t="shared" si="3"/>
        <v>400</v>
      </c>
      <c r="C85" s="42" t="s">
        <v>3</v>
      </c>
      <c r="D85" s="42">
        <f t="shared" si="4"/>
        <v>300</v>
      </c>
      <c r="E85" s="42" t="s">
        <v>3</v>
      </c>
      <c r="F85" s="90">
        <f t="shared" si="5"/>
        <v>1850</v>
      </c>
      <c r="G85" s="42" t="s">
        <v>3</v>
      </c>
      <c r="H85" s="39">
        <v>4</v>
      </c>
      <c r="I85" s="40" t="s">
        <v>41</v>
      </c>
      <c r="J85" s="149">
        <v>400</v>
      </c>
      <c r="K85" s="66">
        <v>300</v>
      </c>
      <c r="L85" s="66">
        <v>1850</v>
      </c>
      <c r="M85" s="164">
        <v>32.237456116630909</v>
      </c>
      <c r="N85" s="78">
        <v>2242.6306800320931</v>
      </c>
      <c r="O85" s="113">
        <v>38856.347100775398</v>
      </c>
      <c r="P85" s="161">
        <v>47888.940574621505</v>
      </c>
      <c r="Q85" s="254">
        <v>24797.389237167612</v>
      </c>
      <c r="R85" s="263">
        <v>63653.73633794301</v>
      </c>
      <c r="S85" s="259">
        <v>72686.329811789125</v>
      </c>
      <c r="U85" s="7" t="s">
        <v>4165</v>
      </c>
    </row>
    <row r="86" spans="1:21" ht="16.5" thickBot="1">
      <c r="A86" s="41" t="s">
        <v>31</v>
      </c>
      <c r="B86" s="42">
        <f t="shared" si="3"/>
        <v>400</v>
      </c>
      <c r="C86" s="42" t="s">
        <v>3</v>
      </c>
      <c r="D86" s="42">
        <f t="shared" si="4"/>
        <v>300</v>
      </c>
      <c r="E86" s="42" t="s">
        <v>3</v>
      </c>
      <c r="F86" s="90">
        <f t="shared" si="5"/>
        <v>1900</v>
      </c>
      <c r="G86" s="42" t="s">
        <v>3</v>
      </c>
      <c r="H86" s="39">
        <v>4</v>
      </c>
      <c r="I86" s="40" t="s">
        <v>41</v>
      </c>
      <c r="J86" s="149">
        <v>400</v>
      </c>
      <c r="K86" s="66">
        <v>300</v>
      </c>
      <c r="L86" s="66">
        <v>1900</v>
      </c>
      <c r="M86" s="164">
        <v>33.033834038242809</v>
      </c>
      <c r="N86" s="78">
        <v>2317.385036033163</v>
      </c>
      <c r="O86" s="113">
        <v>39716.808259391335</v>
      </c>
      <c r="P86" s="161">
        <v>48970.541874173716</v>
      </c>
      <c r="Q86" s="254">
        <v>25321.031023168125</v>
      </c>
      <c r="R86" s="263">
        <v>65037.839282559464</v>
      </c>
      <c r="S86" s="259">
        <v>74291.572897341845</v>
      </c>
      <c r="U86" s="7" t="s">
        <v>4166</v>
      </c>
    </row>
    <row r="87" spans="1:21" ht="16.5" thickBot="1">
      <c r="A87" s="41" t="s">
        <v>31</v>
      </c>
      <c r="B87" s="42">
        <f t="shared" si="3"/>
        <v>400</v>
      </c>
      <c r="C87" s="42" t="s">
        <v>3</v>
      </c>
      <c r="D87" s="42">
        <f t="shared" si="4"/>
        <v>300</v>
      </c>
      <c r="E87" s="42" t="s">
        <v>3</v>
      </c>
      <c r="F87" s="90">
        <f t="shared" si="5"/>
        <v>1950</v>
      </c>
      <c r="G87" s="42" t="s">
        <v>3</v>
      </c>
      <c r="H87" s="39">
        <v>4</v>
      </c>
      <c r="I87" s="40" t="s">
        <v>41</v>
      </c>
      <c r="J87" s="149">
        <v>400</v>
      </c>
      <c r="K87" s="66">
        <v>300</v>
      </c>
      <c r="L87" s="66">
        <v>1950</v>
      </c>
      <c r="M87" s="164">
        <v>33.91067445985469</v>
      </c>
      <c r="N87" s="78">
        <v>2392.1393920342325</v>
      </c>
      <c r="O87" s="113">
        <v>40665.572677548713</v>
      </c>
      <c r="P87" s="161">
        <v>50141.831581486906</v>
      </c>
      <c r="Q87" s="254">
        <v>25844.672656139872</v>
      </c>
      <c r="R87" s="263">
        <v>66510.245333688581</v>
      </c>
      <c r="S87" s="259">
        <v>75986.504237626781</v>
      </c>
      <c r="U87" s="7" t="s">
        <v>4167</v>
      </c>
    </row>
    <row r="88" spans="1:21" ht="16.5" thickBot="1">
      <c r="A88" s="41" t="s">
        <v>31</v>
      </c>
      <c r="B88" s="42">
        <f t="shared" si="3"/>
        <v>400</v>
      </c>
      <c r="C88" s="42" t="s">
        <v>3</v>
      </c>
      <c r="D88" s="42">
        <f t="shared" si="4"/>
        <v>300</v>
      </c>
      <c r="E88" s="42" t="s">
        <v>3</v>
      </c>
      <c r="F88" s="90">
        <f t="shared" si="5"/>
        <v>2000</v>
      </c>
      <c r="G88" s="42" t="s">
        <v>3</v>
      </c>
      <c r="H88" s="39">
        <v>4</v>
      </c>
      <c r="I88" s="40" t="s">
        <v>41</v>
      </c>
      <c r="J88" s="149">
        <v>400</v>
      </c>
      <c r="K88" s="66">
        <v>300</v>
      </c>
      <c r="L88" s="66">
        <v>2000</v>
      </c>
      <c r="M88" s="164">
        <v>34.818369841466591</v>
      </c>
      <c r="N88" s="78">
        <v>2466.893748035302</v>
      </c>
      <c r="O88" s="113">
        <v>41789.890317798447</v>
      </c>
      <c r="P88" s="161">
        <v>51584.704228700743</v>
      </c>
      <c r="Q88" s="254">
        <v>26619.648426895383</v>
      </c>
      <c r="R88" s="263">
        <v>68409.538744693826</v>
      </c>
      <c r="S88" s="259">
        <v>78204.352655596129</v>
      </c>
      <c r="U88" s="7" t="s">
        <v>4168</v>
      </c>
    </row>
    <row r="89" spans="1:21" ht="16.5" thickBot="1">
      <c r="A89" s="41" t="s">
        <v>31</v>
      </c>
      <c r="B89" s="42">
        <f t="shared" si="3"/>
        <v>400</v>
      </c>
      <c r="C89" s="42" t="s">
        <v>3</v>
      </c>
      <c r="D89" s="42">
        <f t="shared" si="4"/>
        <v>300</v>
      </c>
      <c r="E89" s="42" t="s">
        <v>3</v>
      </c>
      <c r="F89" s="90">
        <f t="shared" si="5"/>
        <v>2050</v>
      </c>
      <c r="G89" s="42" t="s">
        <v>3</v>
      </c>
      <c r="H89" s="39">
        <v>4</v>
      </c>
      <c r="I89" s="40" t="s">
        <v>41</v>
      </c>
      <c r="J89" s="149">
        <v>400</v>
      </c>
      <c r="K89" s="66">
        <v>300</v>
      </c>
      <c r="L89" s="66">
        <v>2050</v>
      </c>
      <c r="M89" s="164">
        <v>35.614747763078491</v>
      </c>
      <c r="N89" s="78">
        <v>2541.6481040363719</v>
      </c>
      <c r="O89" s="113">
        <v>42650.351476414537</v>
      </c>
      <c r="P89" s="161">
        <v>52666.305528253113</v>
      </c>
      <c r="Q89" s="254">
        <v>27143.290212895896</v>
      </c>
      <c r="R89" s="263">
        <v>69793.641689310432</v>
      </c>
      <c r="S89" s="259">
        <v>79809.595741149009</v>
      </c>
      <c r="U89" s="7" t="s">
        <v>4169</v>
      </c>
    </row>
    <row r="90" spans="1:21" ht="16.5" thickBot="1">
      <c r="A90" s="38" t="s">
        <v>31</v>
      </c>
      <c r="B90" s="39">
        <f t="shared" si="3"/>
        <v>400</v>
      </c>
      <c r="C90" s="39" t="s">
        <v>3</v>
      </c>
      <c r="D90" s="39">
        <f t="shared" si="4"/>
        <v>300</v>
      </c>
      <c r="E90" s="39" t="s">
        <v>3</v>
      </c>
      <c r="F90" s="90">
        <f t="shared" si="5"/>
        <v>2100</v>
      </c>
      <c r="G90" s="39" t="s">
        <v>3</v>
      </c>
      <c r="H90" s="39">
        <v>4</v>
      </c>
      <c r="I90" s="40" t="s">
        <v>41</v>
      </c>
      <c r="J90" s="149">
        <v>400</v>
      </c>
      <c r="K90" s="66">
        <v>300</v>
      </c>
      <c r="L90" s="66">
        <v>2100</v>
      </c>
      <c r="M90" s="164">
        <v>36.428591684690382</v>
      </c>
      <c r="N90" s="78">
        <v>2616.4024600374419</v>
      </c>
      <c r="O90" s="113">
        <v>43510.812635030481</v>
      </c>
      <c r="P90" s="161">
        <v>53747.906827805324</v>
      </c>
      <c r="Q90" s="254">
        <v>27918.265983651414</v>
      </c>
      <c r="R90" s="263">
        <v>71429.078618681902</v>
      </c>
      <c r="S90" s="259">
        <v>81666.172811456738</v>
      </c>
      <c r="U90" s="7" t="s">
        <v>4170</v>
      </c>
    </row>
    <row r="91" spans="1:21" ht="16.5" thickBot="1">
      <c r="A91" s="41" t="s">
        <v>31</v>
      </c>
      <c r="B91" s="42">
        <f t="shared" si="3"/>
        <v>400</v>
      </c>
      <c r="C91" s="42" t="s">
        <v>3</v>
      </c>
      <c r="D91" s="42">
        <f t="shared" si="4"/>
        <v>300</v>
      </c>
      <c r="E91" s="42" t="s">
        <v>3</v>
      </c>
      <c r="F91" s="90">
        <f t="shared" si="5"/>
        <v>2150</v>
      </c>
      <c r="G91" s="42" t="s">
        <v>3</v>
      </c>
      <c r="H91" s="39">
        <v>4</v>
      </c>
      <c r="I91" s="40" t="s">
        <v>41</v>
      </c>
      <c r="J91" s="149">
        <v>400</v>
      </c>
      <c r="K91" s="66">
        <v>300</v>
      </c>
      <c r="L91" s="66">
        <v>2150</v>
      </c>
      <c r="M91" s="164">
        <v>37.224969606302274</v>
      </c>
      <c r="N91" s="78">
        <v>2691.1568160385118</v>
      </c>
      <c r="O91" s="113">
        <v>44371.273946675181</v>
      </c>
      <c r="P91" s="161">
        <v>54829.508127357534</v>
      </c>
      <c r="Q91" s="254">
        <v>28441.907769651927</v>
      </c>
      <c r="R91" s="263">
        <v>72813.181716327104</v>
      </c>
      <c r="S91" s="259">
        <v>83271.415897009458</v>
      </c>
      <c r="U91" s="7" t="s">
        <v>4171</v>
      </c>
    </row>
    <row r="92" spans="1:21" ht="16.5" thickBot="1">
      <c r="A92" s="41" t="s">
        <v>31</v>
      </c>
      <c r="B92" s="42">
        <f t="shared" si="3"/>
        <v>400</v>
      </c>
      <c r="C92" s="42" t="s">
        <v>3</v>
      </c>
      <c r="D92" s="42">
        <f t="shared" si="4"/>
        <v>300</v>
      </c>
      <c r="E92" s="42" t="s">
        <v>3</v>
      </c>
      <c r="F92" s="90">
        <f t="shared" si="5"/>
        <v>2200</v>
      </c>
      <c r="G92" s="42" t="s">
        <v>3</v>
      </c>
      <c r="H92" s="39">
        <v>4</v>
      </c>
      <c r="I92" s="40" t="s">
        <v>41</v>
      </c>
      <c r="J92" s="149">
        <v>400</v>
      </c>
      <c r="K92" s="66">
        <v>300</v>
      </c>
      <c r="L92" s="66">
        <v>2200</v>
      </c>
      <c r="M92" s="164">
        <v>38.038813527914172</v>
      </c>
      <c r="N92" s="78">
        <v>2765.9111720395813</v>
      </c>
      <c r="O92" s="113">
        <v>45231.735105291118</v>
      </c>
      <c r="P92" s="161">
        <v>55911.109426909759</v>
      </c>
      <c r="Q92" s="254">
        <v>29216.883540407438</v>
      </c>
      <c r="R92" s="263">
        <v>74448.61864569856</v>
      </c>
      <c r="S92" s="259">
        <v>85127.992967317201</v>
      </c>
      <c r="U92" s="7" t="s">
        <v>4172</v>
      </c>
    </row>
    <row r="93" spans="1:21" ht="16.5" thickBot="1">
      <c r="A93" s="41" t="s">
        <v>31</v>
      </c>
      <c r="B93" s="42">
        <f t="shared" si="3"/>
        <v>400</v>
      </c>
      <c r="C93" s="42" t="s">
        <v>3</v>
      </c>
      <c r="D93" s="42">
        <f t="shared" si="4"/>
        <v>300</v>
      </c>
      <c r="E93" s="42" t="s">
        <v>3</v>
      </c>
      <c r="F93" s="90">
        <f t="shared" si="5"/>
        <v>2250</v>
      </c>
      <c r="G93" s="42" t="s">
        <v>3</v>
      </c>
      <c r="H93" s="39">
        <v>4</v>
      </c>
      <c r="I93" s="40" t="s">
        <v>41</v>
      </c>
      <c r="J93" s="149">
        <v>400</v>
      </c>
      <c r="K93" s="66">
        <v>300</v>
      </c>
      <c r="L93" s="66">
        <v>2250</v>
      </c>
      <c r="M93" s="164">
        <v>38.835191449526064</v>
      </c>
      <c r="N93" s="78">
        <v>2840.6655280406508</v>
      </c>
      <c r="O93" s="113">
        <v>46092.196263907055</v>
      </c>
      <c r="P93" s="161">
        <v>56992.710726461977</v>
      </c>
      <c r="Q93" s="254">
        <v>29740.525173379188</v>
      </c>
      <c r="R93" s="263">
        <v>75832.721437286236</v>
      </c>
      <c r="S93" s="259">
        <v>86733.235899841166</v>
      </c>
      <c r="U93" s="7" t="s">
        <v>4173</v>
      </c>
    </row>
    <row r="94" spans="1:21" ht="16.5" thickBot="1">
      <c r="A94" s="41" t="s">
        <v>31</v>
      </c>
      <c r="B94" s="42">
        <f t="shared" si="3"/>
        <v>400</v>
      </c>
      <c r="C94" s="42" t="s">
        <v>3</v>
      </c>
      <c r="D94" s="42">
        <f t="shared" si="4"/>
        <v>300</v>
      </c>
      <c r="E94" s="42" t="s">
        <v>3</v>
      </c>
      <c r="F94" s="90">
        <f t="shared" si="5"/>
        <v>2300</v>
      </c>
      <c r="G94" s="42" t="s">
        <v>3</v>
      </c>
      <c r="H94" s="39">
        <v>4</v>
      </c>
      <c r="I94" s="40" t="s">
        <v>41</v>
      </c>
      <c r="J94" s="149">
        <v>400</v>
      </c>
      <c r="K94" s="66">
        <v>300</v>
      </c>
      <c r="L94" s="66">
        <v>2300</v>
      </c>
      <c r="M94" s="164">
        <v>39.631569371137957</v>
      </c>
      <c r="N94" s="78">
        <v>2915.4198840417207</v>
      </c>
      <c r="O94" s="113">
        <v>46952.657422523</v>
      </c>
      <c r="P94" s="161">
        <v>58074.312026014341</v>
      </c>
      <c r="Q94" s="254">
        <v>30264.166959379701</v>
      </c>
      <c r="R94" s="263">
        <v>77216.824381902697</v>
      </c>
      <c r="S94" s="259">
        <v>88338.478985394046</v>
      </c>
      <c r="U94" s="7" t="s">
        <v>4174</v>
      </c>
    </row>
    <row r="95" spans="1:21" ht="16.5" thickBot="1">
      <c r="A95" s="41" t="s">
        <v>31</v>
      </c>
      <c r="B95" s="42">
        <f t="shared" si="3"/>
        <v>400</v>
      </c>
      <c r="C95" s="42" t="s">
        <v>3</v>
      </c>
      <c r="D95" s="42">
        <f t="shared" si="4"/>
        <v>300</v>
      </c>
      <c r="E95" s="42" t="s">
        <v>3</v>
      </c>
      <c r="F95" s="90">
        <f t="shared" si="5"/>
        <v>2350</v>
      </c>
      <c r="G95" s="42" t="s">
        <v>3</v>
      </c>
      <c r="H95" s="39">
        <v>4</v>
      </c>
      <c r="I95" s="40" t="s">
        <v>41</v>
      </c>
      <c r="J95" s="149">
        <v>400</v>
      </c>
      <c r="K95" s="66">
        <v>300</v>
      </c>
      <c r="L95" s="66">
        <v>2350</v>
      </c>
      <c r="M95" s="164">
        <v>40.445413292749862</v>
      </c>
      <c r="N95" s="78">
        <v>2990.1742400427906</v>
      </c>
      <c r="O95" s="113">
        <v>47813.118734167707</v>
      </c>
      <c r="P95" s="161">
        <v>59155.913325566558</v>
      </c>
      <c r="Q95" s="254">
        <v>31039.142730135216</v>
      </c>
      <c r="R95" s="263">
        <v>78852.261464302923</v>
      </c>
      <c r="S95" s="259">
        <v>90195.056055701774</v>
      </c>
      <c r="U95" s="7" t="s">
        <v>4175</v>
      </c>
    </row>
    <row r="96" spans="1:21" ht="16.5" thickBot="1">
      <c r="A96" s="41" t="s">
        <v>31</v>
      </c>
      <c r="B96" s="42">
        <f t="shared" si="3"/>
        <v>400</v>
      </c>
      <c r="C96" s="42" t="s">
        <v>3</v>
      </c>
      <c r="D96" s="42">
        <f t="shared" si="4"/>
        <v>300</v>
      </c>
      <c r="E96" s="42" t="s">
        <v>3</v>
      </c>
      <c r="F96" s="90">
        <f t="shared" si="5"/>
        <v>2400</v>
      </c>
      <c r="G96" s="42" t="s">
        <v>3</v>
      </c>
      <c r="H96" s="39">
        <v>4</v>
      </c>
      <c r="I96" s="40" t="s">
        <v>41</v>
      </c>
      <c r="J96" s="149">
        <v>400</v>
      </c>
      <c r="K96" s="66">
        <v>300</v>
      </c>
      <c r="L96" s="66">
        <v>2400</v>
      </c>
      <c r="M96" s="164">
        <v>41.241791214361747</v>
      </c>
      <c r="N96" s="78">
        <v>3064.9285960438601</v>
      </c>
      <c r="O96" s="113">
        <v>48673.579892783644</v>
      </c>
      <c r="P96" s="161">
        <v>60237.514625118769</v>
      </c>
      <c r="Q96" s="254">
        <v>31562.784363106966</v>
      </c>
      <c r="R96" s="263">
        <v>80236.364255890614</v>
      </c>
      <c r="S96" s="259">
        <v>91800.298988225739</v>
      </c>
      <c r="U96" s="7" t="s">
        <v>4176</v>
      </c>
    </row>
    <row r="97" spans="1:21" ht="16.5" thickBot="1">
      <c r="A97" s="41" t="s">
        <v>31</v>
      </c>
      <c r="B97" s="42">
        <f t="shared" si="3"/>
        <v>400</v>
      </c>
      <c r="C97" s="42" t="s">
        <v>3</v>
      </c>
      <c r="D97" s="42">
        <f t="shared" si="4"/>
        <v>300</v>
      </c>
      <c r="E97" s="42" t="s">
        <v>3</v>
      </c>
      <c r="F97" s="90">
        <f t="shared" si="5"/>
        <v>2450</v>
      </c>
      <c r="G97" s="42" t="s">
        <v>3</v>
      </c>
      <c r="H97" s="39">
        <v>4</v>
      </c>
      <c r="I97" s="40" t="s">
        <v>41</v>
      </c>
      <c r="J97" s="149">
        <v>400</v>
      </c>
      <c r="K97" s="66">
        <v>300</v>
      </c>
      <c r="L97" s="66">
        <v>2450</v>
      </c>
      <c r="M97" s="164">
        <v>42.225693759232641</v>
      </c>
      <c r="N97" s="78">
        <v>3139.6829520449305</v>
      </c>
      <c r="O97" s="113">
        <v>50233.716722843863</v>
      </c>
      <c r="P97" s="161">
        <v>61982.661524659561</v>
      </c>
      <c r="Q97" s="254">
        <v>32337.760286891244</v>
      </c>
      <c r="R97" s="263">
        <v>82571.477009735099</v>
      </c>
      <c r="S97" s="259">
        <v>94320.421811550797</v>
      </c>
      <c r="U97" s="7" t="s">
        <v>4177</v>
      </c>
    </row>
    <row r="98" spans="1:21" ht="16.5" thickBot="1">
      <c r="A98" s="41" t="s">
        <v>31</v>
      </c>
      <c r="B98" s="42">
        <f t="shared" si="3"/>
        <v>400</v>
      </c>
      <c r="C98" s="42" t="s">
        <v>3</v>
      </c>
      <c r="D98" s="42">
        <f t="shared" si="4"/>
        <v>300</v>
      </c>
      <c r="E98" s="42" t="s">
        <v>3</v>
      </c>
      <c r="F98" s="90">
        <f t="shared" si="5"/>
        <v>2500</v>
      </c>
      <c r="G98" s="42" t="s">
        <v>3</v>
      </c>
      <c r="H98" s="39">
        <v>4</v>
      </c>
      <c r="I98" s="40" t="s">
        <v>41</v>
      </c>
      <c r="J98" s="149">
        <v>400</v>
      </c>
      <c r="K98" s="66">
        <v>300</v>
      </c>
      <c r="L98" s="66">
        <v>2500</v>
      </c>
      <c r="M98" s="164">
        <v>43.022071680844533</v>
      </c>
      <c r="N98" s="78">
        <v>3214.437308046</v>
      </c>
      <c r="O98" s="113">
        <v>51094.17803448857</v>
      </c>
      <c r="P98" s="161">
        <v>63064.262824211779</v>
      </c>
      <c r="Q98" s="254">
        <v>32861.40191986299</v>
      </c>
      <c r="R98" s="263">
        <v>83955.57995435156</v>
      </c>
      <c r="S98" s="259">
        <v>95925.664744074777</v>
      </c>
      <c r="U98" s="7" t="s">
        <v>4178</v>
      </c>
    </row>
    <row r="99" spans="1:21" ht="16.5" thickBot="1">
      <c r="A99" s="41" t="s">
        <v>31</v>
      </c>
      <c r="B99" s="42">
        <f t="shared" si="3"/>
        <v>400</v>
      </c>
      <c r="C99" s="42" t="s">
        <v>3</v>
      </c>
      <c r="D99" s="42">
        <f t="shared" si="4"/>
        <v>300</v>
      </c>
      <c r="E99" s="42" t="s">
        <v>3</v>
      </c>
      <c r="F99" s="90">
        <f t="shared" si="5"/>
        <v>2550</v>
      </c>
      <c r="G99" s="42" t="s">
        <v>3</v>
      </c>
      <c r="H99" s="39">
        <v>4</v>
      </c>
      <c r="I99" s="40" t="s">
        <v>41</v>
      </c>
      <c r="J99" s="149">
        <v>400</v>
      </c>
      <c r="K99" s="66">
        <v>300</v>
      </c>
      <c r="L99" s="66">
        <v>2550</v>
      </c>
      <c r="M99" s="164">
        <v>43.835915602456431</v>
      </c>
      <c r="N99" s="78">
        <v>3289.1916640470699</v>
      </c>
      <c r="O99" s="113">
        <v>51954.639193104507</v>
      </c>
      <c r="P99" s="161">
        <v>64145.864123763989</v>
      </c>
      <c r="Q99" s="254">
        <v>33636.377843647271</v>
      </c>
      <c r="R99" s="263">
        <v>85591.017036751786</v>
      </c>
      <c r="S99" s="259">
        <v>97782.241967411261</v>
      </c>
      <c r="U99" s="7" t="s">
        <v>4179</v>
      </c>
    </row>
    <row r="100" spans="1:21" ht="16.5" thickBot="1">
      <c r="A100" s="38" t="s">
        <v>31</v>
      </c>
      <c r="B100" s="39">
        <f t="shared" si="3"/>
        <v>400</v>
      </c>
      <c r="C100" s="39" t="s">
        <v>3</v>
      </c>
      <c r="D100" s="39">
        <f t="shared" si="4"/>
        <v>300</v>
      </c>
      <c r="E100" s="39" t="s">
        <v>3</v>
      </c>
      <c r="F100" s="90">
        <f t="shared" si="5"/>
        <v>2600</v>
      </c>
      <c r="G100" s="39" t="s">
        <v>3</v>
      </c>
      <c r="H100" s="39">
        <v>4</v>
      </c>
      <c r="I100" s="40" t="s">
        <v>41</v>
      </c>
      <c r="J100" s="149">
        <v>400</v>
      </c>
      <c r="K100" s="66">
        <v>300</v>
      </c>
      <c r="L100" s="66">
        <v>2600</v>
      </c>
      <c r="M100" s="164">
        <v>44.632293524068331</v>
      </c>
      <c r="N100" s="78">
        <v>3363.9460200481394</v>
      </c>
      <c r="O100" s="113">
        <v>52815.100351720444</v>
      </c>
      <c r="P100" s="161">
        <v>65227.46542331636</v>
      </c>
      <c r="Q100" s="254">
        <v>34160.019476619018</v>
      </c>
      <c r="R100" s="263">
        <v>86975.119828339462</v>
      </c>
      <c r="S100" s="259">
        <v>99387.484899935371</v>
      </c>
      <c r="U100" s="7" t="s">
        <v>4180</v>
      </c>
    </row>
    <row r="101" spans="1:21" ht="16.5" thickBot="1">
      <c r="A101" s="41" t="s">
        <v>31</v>
      </c>
      <c r="B101" s="42">
        <f t="shared" si="3"/>
        <v>400</v>
      </c>
      <c r="C101" s="42" t="s">
        <v>3</v>
      </c>
      <c r="D101" s="42">
        <f t="shared" si="4"/>
        <v>300</v>
      </c>
      <c r="E101" s="42" t="s">
        <v>3</v>
      </c>
      <c r="F101" s="90">
        <f t="shared" si="5"/>
        <v>2650</v>
      </c>
      <c r="G101" s="42" t="s">
        <v>3</v>
      </c>
      <c r="H101" s="39">
        <v>4</v>
      </c>
      <c r="I101" s="40" t="s">
        <v>41</v>
      </c>
      <c r="J101" s="149">
        <v>400</v>
      </c>
      <c r="K101" s="66">
        <v>300</v>
      </c>
      <c r="L101" s="66">
        <v>2650</v>
      </c>
      <c r="M101" s="164">
        <v>45.446137445680229</v>
      </c>
      <c r="N101" s="78">
        <v>3438.7003760492089</v>
      </c>
      <c r="O101" s="113">
        <v>53675.561510336382</v>
      </c>
      <c r="P101" s="161">
        <v>66309.066722868578</v>
      </c>
      <c r="Q101" s="254">
        <v>34934.995247374536</v>
      </c>
      <c r="R101" s="263">
        <v>88610.556757710918</v>
      </c>
      <c r="S101" s="259">
        <v>101244.06197024311</v>
      </c>
      <c r="U101" s="7" t="s">
        <v>4181</v>
      </c>
    </row>
    <row r="102" spans="1:21" ht="16.5" thickBot="1">
      <c r="A102" s="41" t="s">
        <v>31</v>
      </c>
      <c r="B102" s="42">
        <f t="shared" si="3"/>
        <v>400</v>
      </c>
      <c r="C102" s="42" t="s">
        <v>3</v>
      </c>
      <c r="D102" s="42">
        <f t="shared" si="4"/>
        <v>300</v>
      </c>
      <c r="E102" s="42" t="s">
        <v>3</v>
      </c>
      <c r="F102" s="90">
        <f t="shared" si="5"/>
        <v>2700</v>
      </c>
      <c r="G102" s="42" t="s">
        <v>3</v>
      </c>
      <c r="H102" s="39">
        <v>4</v>
      </c>
      <c r="I102" s="40" t="s">
        <v>41</v>
      </c>
      <c r="J102" s="149">
        <v>400</v>
      </c>
      <c r="K102" s="66">
        <v>300</v>
      </c>
      <c r="L102" s="66">
        <v>2700</v>
      </c>
      <c r="M102" s="164">
        <v>46.322977867292117</v>
      </c>
      <c r="N102" s="78">
        <v>3513.4547320502793</v>
      </c>
      <c r="O102" s="113">
        <v>54624.325928493759</v>
      </c>
      <c r="P102" s="161">
        <v>67480.356430181593</v>
      </c>
      <c r="Q102" s="254">
        <v>35458.637033375046</v>
      </c>
      <c r="R102" s="263">
        <v>90082.962961868805</v>
      </c>
      <c r="S102" s="259">
        <v>102938.99346355663</v>
      </c>
      <c r="U102" s="7" t="s">
        <v>4182</v>
      </c>
    </row>
    <row r="103" spans="1:21" ht="16.5" thickBot="1">
      <c r="A103" s="41" t="s">
        <v>31</v>
      </c>
      <c r="B103" s="42">
        <f t="shared" si="3"/>
        <v>400</v>
      </c>
      <c r="C103" s="42" t="s">
        <v>3</v>
      </c>
      <c r="D103" s="42">
        <f t="shared" si="4"/>
        <v>300</v>
      </c>
      <c r="E103" s="42" t="s">
        <v>3</v>
      </c>
      <c r="F103" s="90">
        <f t="shared" si="5"/>
        <v>2750</v>
      </c>
      <c r="G103" s="42" t="s">
        <v>3</v>
      </c>
      <c r="H103" s="39">
        <v>4</v>
      </c>
      <c r="I103" s="40" t="s">
        <v>41</v>
      </c>
      <c r="J103" s="149">
        <v>400</v>
      </c>
      <c r="K103" s="66">
        <v>300</v>
      </c>
      <c r="L103" s="66">
        <v>2750</v>
      </c>
      <c r="M103" s="164">
        <v>47.119355788904002</v>
      </c>
      <c r="N103" s="78">
        <v>3588.2090880513488</v>
      </c>
      <c r="O103" s="113">
        <v>55484.787087109697</v>
      </c>
      <c r="P103" s="161">
        <v>68561.957729733971</v>
      </c>
      <c r="Q103" s="254">
        <v>35982.278666346792</v>
      </c>
      <c r="R103" s="263">
        <v>91467.065753456496</v>
      </c>
      <c r="S103" s="259">
        <v>104544.23639608076</v>
      </c>
      <c r="U103" s="7" t="s">
        <v>4183</v>
      </c>
    </row>
    <row r="104" spans="1:21" ht="16.5" thickBot="1">
      <c r="A104" s="41" t="s">
        <v>31</v>
      </c>
      <c r="B104" s="42">
        <f t="shared" si="3"/>
        <v>400</v>
      </c>
      <c r="C104" s="42" t="s">
        <v>3</v>
      </c>
      <c r="D104" s="42">
        <f t="shared" si="4"/>
        <v>300</v>
      </c>
      <c r="E104" s="42" t="s">
        <v>3</v>
      </c>
      <c r="F104" s="90">
        <f t="shared" si="5"/>
        <v>2800</v>
      </c>
      <c r="G104" s="42" t="s">
        <v>3</v>
      </c>
      <c r="H104" s="39">
        <v>4</v>
      </c>
      <c r="I104" s="40" t="s">
        <v>41</v>
      </c>
      <c r="J104" s="149">
        <v>400</v>
      </c>
      <c r="K104" s="66">
        <v>300</v>
      </c>
      <c r="L104" s="66">
        <v>2800</v>
      </c>
      <c r="M104" s="164">
        <v>47.9331997105159</v>
      </c>
      <c r="N104" s="78">
        <v>3662.9634440524187</v>
      </c>
      <c r="O104" s="113">
        <v>56345.248398754411</v>
      </c>
      <c r="P104" s="161">
        <v>69643.559029286189</v>
      </c>
      <c r="Q104" s="254">
        <v>36757.25443710231</v>
      </c>
      <c r="R104" s="263">
        <v>93102.502835856722</v>
      </c>
      <c r="S104" s="259">
        <v>106400.8134663885</v>
      </c>
      <c r="U104" s="7" t="s">
        <v>4184</v>
      </c>
    </row>
    <row r="105" spans="1:21" ht="16.5" thickBot="1">
      <c r="A105" s="41" t="s">
        <v>31</v>
      </c>
      <c r="B105" s="42">
        <f t="shared" si="3"/>
        <v>400</v>
      </c>
      <c r="C105" s="42" t="s">
        <v>3</v>
      </c>
      <c r="D105" s="42">
        <f t="shared" si="4"/>
        <v>300</v>
      </c>
      <c r="E105" s="42" t="s">
        <v>3</v>
      </c>
      <c r="F105" s="90">
        <f t="shared" si="5"/>
        <v>2850</v>
      </c>
      <c r="G105" s="42" t="s">
        <v>3</v>
      </c>
      <c r="H105" s="39">
        <v>4</v>
      </c>
      <c r="I105" s="40" t="s">
        <v>41</v>
      </c>
      <c r="J105" s="149">
        <v>400</v>
      </c>
      <c r="K105" s="66">
        <v>300</v>
      </c>
      <c r="L105" s="66">
        <v>2850</v>
      </c>
      <c r="M105" s="164">
        <v>48.7295776321278</v>
      </c>
      <c r="N105" s="78">
        <v>3737.7178000534882</v>
      </c>
      <c r="O105" s="113">
        <v>57205.709557370348</v>
      </c>
      <c r="P105" s="161">
        <v>70725.160328838407</v>
      </c>
      <c r="Q105" s="254">
        <v>37280.89622310282</v>
      </c>
      <c r="R105" s="263">
        <v>94486.605780473168</v>
      </c>
      <c r="S105" s="259">
        <v>108006.05655194123</v>
      </c>
      <c r="U105" s="7" t="s">
        <v>4185</v>
      </c>
    </row>
    <row r="106" spans="1:21" ht="16.5" thickBot="1">
      <c r="A106" s="41" t="s">
        <v>31</v>
      </c>
      <c r="B106" s="42">
        <f t="shared" si="3"/>
        <v>400</v>
      </c>
      <c r="C106" s="42" t="s">
        <v>3</v>
      </c>
      <c r="D106" s="42">
        <f t="shared" si="4"/>
        <v>300</v>
      </c>
      <c r="E106" s="42" t="s">
        <v>3</v>
      </c>
      <c r="F106" s="90">
        <f t="shared" si="5"/>
        <v>2900</v>
      </c>
      <c r="G106" s="42" t="s">
        <v>3</v>
      </c>
      <c r="H106" s="39">
        <v>4</v>
      </c>
      <c r="I106" s="40" t="s">
        <v>41</v>
      </c>
      <c r="J106" s="149">
        <v>400</v>
      </c>
      <c r="K106" s="66">
        <v>300</v>
      </c>
      <c r="L106" s="66">
        <v>2900</v>
      </c>
      <c r="M106" s="164">
        <v>49.543421553739691</v>
      </c>
      <c r="N106" s="78">
        <v>3812.4721560545577</v>
      </c>
      <c r="O106" s="113">
        <v>58066.170715986285</v>
      </c>
      <c r="P106" s="161">
        <v>71806.761628390625</v>
      </c>
      <c r="Q106" s="254">
        <v>38055.871993858338</v>
      </c>
      <c r="R106" s="263">
        <v>96122.042709844623</v>
      </c>
      <c r="S106" s="259">
        <v>109862.63362224896</v>
      </c>
      <c r="U106" s="7" t="s">
        <v>4186</v>
      </c>
    </row>
    <row r="107" spans="1:21" ht="16.5" thickBot="1">
      <c r="A107" s="41" t="s">
        <v>31</v>
      </c>
      <c r="B107" s="42">
        <f t="shared" si="3"/>
        <v>400</v>
      </c>
      <c r="C107" s="42" t="s">
        <v>3</v>
      </c>
      <c r="D107" s="42">
        <f t="shared" si="4"/>
        <v>300</v>
      </c>
      <c r="E107" s="42" t="s">
        <v>3</v>
      </c>
      <c r="F107" s="90">
        <f t="shared" si="5"/>
        <v>2950</v>
      </c>
      <c r="G107" s="42" t="s">
        <v>3</v>
      </c>
      <c r="H107" s="39">
        <v>4</v>
      </c>
      <c r="I107" s="40" t="s">
        <v>41</v>
      </c>
      <c r="J107" s="149">
        <v>400</v>
      </c>
      <c r="K107" s="66">
        <v>300</v>
      </c>
      <c r="L107" s="66">
        <v>2950</v>
      </c>
      <c r="M107" s="164">
        <v>50.33979947535159</v>
      </c>
      <c r="N107" s="78">
        <v>3887.2265120556281</v>
      </c>
      <c r="O107" s="113">
        <v>58926.632027630985</v>
      </c>
      <c r="P107" s="161">
        <v>72888.362927942828</v>
      </c>
      <c r="Q107" s="254">
        <v>38579.513779858848</v>
      </c>
      <c r="R107" s="263">
        <v>97506.14580748984</v>
      </c>
      <c r="S107" s="259">
        <v>111467.87670780168</v>
      </c>
      <c r="U107" s="7" t="s">
        <v>4187</v>
      </c>
    </row>
    <row r="108" spans="1:21" ht="16.5" thickBot="1">
      <c r="A108" s="43" t="s">
        <v>31</v>
      </c>
      <c r="B108" s="44">
        <f t="shared" si="3"/>
        <v>400</v>
      </c>
      <c r="C108" s="44" t="s">
        <v>3</v>
      </c>
      <c r="D108" s="44">
        <f t="shared" si="4"/>
        <v>300</v>
      </c>
      <c r="E108" s="44" t="s">
        <v>3</v>
      </c>
      <c r="F108" s="91">
        <f t="shared" si="5"/>
        <v>3000</v>
      </c>
      <c r="G108" s="44" t="s">
        <v>3</v>
      </c>
      <c r="H108" s="46">
        <v>4</v>
      </c>
      <c r="I108" s="45" t="s">
        <v>41</v>
      </c>
      <c r="J108" s="265">
        <v>400</v>
      </c>
      <c r="K108" s="266">
        <v>300</v>
      </c>
      <c r="L108" s="266">
        <v>3000</v>
      </c>
      <c r="M108" s="249">
        <v>49.905993558013151</v>
      </c>
      <c r="N108" s="250">
        <v>3961.9808680566975</v>
      </c>
      <c r="O108" s="251">
        <v>61132.060860527832</v>
      </c>
      <c r="P108" s="283">
        <v>73969.964227495206</v>
      </c>
      <c r="Q108" s="267">
        <v>39354.489550614366</v>
      </c>
      <c r="R108" s="268">
        <v>100486.55041114221</v>
      </c>
      <c r="S108" s="269">
        <v>113324.45377810957</v>
      </c>
      <c r="U108" s="7" t="s">
        <v>4188</v>
      </c>
    </row>
    <row r="109" spans="1:21" ht="19.5" thickBot="1">
      <c r="A109" s="2968" t="s">
        <v>44</v>
      </c>
      <c r="B109" s="2969"/>
      <c r="C109" s="2969"/>
      <c r="D109" s="2969"/>
      <c r="E109" s="2969"/>
      <c r="F109" s="2969"/>
      <c r="G109" s="2969"/>
      <c r="H109" s="2969"/>
      <c r="I109" s="2969"/>
      <c r="J109" s="2969"/>
      <c r="K109" s="2969"/>
      <c r="L109" s="2969"/>
      <c r="M109" s="2969"/>
      <c r="N109" s="2969"/>
      <c r="O109" s="2969"/>
      <c r="P109" s="2969"/>
      <c r="Q109" s="2969"/>
      <c r="R109" s="2969"/>
      <c r="S109" s="2970"/>
      <c r="U109" s="7"/>
    </row>
    <row r="110" spans="1:21" ht="16.5" thickBot="1">
      <c r="A110" s="2974" t="s">
        <v>118</v>
      </c>
      <c r="B110" s="2975"/>
      <c r="C110" s="2975"/>
      <c r="D110" s="2975"/>
      <c r="E110" s="2975"/>
      <c r="F110" s="2975"/>
      <c r="G110" s="2975"/>
      <c r="H110" s="2975"/>
      <c r="I110" s="2975"/>
      <c r="J110" s="2975"/>
      <c r="K110" s="2975"/>
      <c r="L110" s="2975"/>
      <c r="M110" s="2975"/>
      <c r="N110" s="2975"/>
      <c r="O110" s="2975"/>
      <c r="P110" s="2975"/>
      <c r="Q110" s="2975"/>
      <c r="R110" s="2975"/>
      <c r="S110" s="2976"/>
      <c r="U110" s="7"/>
    </row>
    <row r="111" spans="1:21" ht="16.5" thickBot="1">
      <c r="A111" s="38" t="s">
        <v>31</v>
      </c>
      <c r="B111" s="39">
        <f>J111</f>
        <v>400</v>
      </c>
      <c r="C111" s="39" t="s">
        <v>3</v>
      </c>
      <c r="D111" s="39">
        <f>K111</f>
        <v>360</v>
      </c>
      <c r="E111" s="39" t="s">
        <v>3</v>
      </c>
      <c r="F111" s="90">
        <f>L111</f>
        <v>600</v>
      </c>
      <c r="G111" s="39" t="s">
        <v>3</v>
      </c>
      <c r="H111" s="39">
        <v>8</v>
      </c>
      <c r="I111" s="40" t="s">
        <v>42</v>
      </c>
      <c r="J111" s="270">
        <v>400</v>
      </c>
      <c r="K111" s="271">
        <v>360</v>
      </c>
      <c r="L111" s="271">
        <v>600</v>
      </c>
      <c r="M111" s="245">
        <v>14.65854897334421</v>
      </c>
      <c r="N111" s="246">
        <v>629.02738578106334</v>
      </c>
      <c r="O111" s="247">
        <v>22075.500564275095</v>
      </c>
      <c r="P111" s="275">
        <v>26089.717923792065</v>
      </c>
      <c r="Q111" s="272">
        <v>10032.760953270536</v>
      </c>
      <c r="R111" s="273">
        <v>32108.26151754563</v>
      </c>
      <c r="S111" s="274">
        <v>36122.478877062604</v>
      </c>
      <c r="U111" s="7" t="s">
        <v>4189</v>
      </c>
    </row>
    <row r="112" spans="1:21" ht="16.5" thickBot="1">
      <c r="A112" s="41" t="s">
        <v>31</v>
      </c>
      <c r="B112" s="42">
        <f t="shared" ref="B112:B159" si="6">J112</f>
        <v>400</v>
      </c>
      <c r="C112" s="42" t="s">
        <v>3</v>
      </c>
      <c r="D112" s="42">
        <f t="shared" ref="D112:D159" si="7">K112</f>
        <v>360</v>
      </c>
      <c r="E112" s="42" t="s">
        <v>3</v>
      </c>
      <c r="F112" s="90">
        <f t="shared" ref="F112:F159" si="8">L112</f>
        <v>650</v>
      </c>
      <c r="G112" s="42" t="s">
        <v>3</v>
      </c>
      <c r="H112" s="39">
        <v>8</v>
      </c>
      <c r="I112" s="40" t="s">
        <v>42</v>
      </c>
      <c r="J112" s="149">
        <v>400</v>
      </c>
      <c r="K112" s="66">
        <v>360</v>
      </c>
      <c r="L112" s="66">
        <v>650</v>
      </c>
      <c r="M112" s="164">
        <v>15.654857367706315</v>
      </c>
      <c r="N112" s="78">
        <v>754.8328629372761</v>
      </c>
      <c r="O112" s="113">
        <v>23399.269469780771</v>
      </c>
      <c r="P112" s="111">
        <v>27659.680271774665</v>
      </c>
      <c r="Q112" s="254">
        <v>10636.181837508726</v>
      </c>
      <c r="R112" s="263">
        <v>34035.451307289499</v>
      </c>
      <c r="S112" s="259">
        <v>38295.862109283393</v>
      </c>
      <c r="U112" s="7" t="s">
        <v>4190</v>
      </c>
    </row>
    <row r="113" spans="1:21" ht="16.5" thickBot="1">
      <c r="A113" s="41" t="s">
        <v>31</v>
      </c>
      <c r="B113" s="42">
        <f t="shared" si="6"/>
        <v>400</v>
      </c>
      <c r="C113" s="42" t="s">
        <v>3</v>
      </c>
      <c r="D113" s="42">
        <f t="shared" si="7"/>
        <v>360</v>
      </c>
      <c r="E113" s="42" t="s">
        <v>3</v>
      </c>
      <c r="F113" s="90">
        <f t="shared" si="8"/>
        <v>700</v>
      </c>
      <c r="G113" s="42" t="s">
        <v>3</v>
      </c>
      <c r="H113" s="39">
        <v>8</v>
      </c>
      <c r="I113" s="40" t="s">
        <v>42</v>
      </c>
      <c r="J113" s="149">
        <v>400</v>
      </c>
      <c r="K113" s="66">
        <v>360</v>
      </c>
      <c r="L113" s="66">
        <v>700</v>
      </c>
      <c r="M113" s="164">
        <v>16.668205762068418</v>
      </c>
      <c r="N113" s="78">
        <v>880.63834009348875</v>
      </c>
      <c r="O113" s="113">
        <v>24723.038375286451</v>
      </c>
      <c r="P113" s="111">
        <v>29229.642619757265</v>
      </c>
      <c r="Q113" s="254">
        <v>11490.936859530682</v>
      </c>
      <c r="R113" s="263">
        <v>36213.975234817131</v>
      </c>
      <c r="S113" s="259">
        <v>40720.579479287946</v>
      </c>
      <c r="U113" s="7" t="s">
        <v>4191</v>
      </c>
    </row>
    <row r="114" spans="1:21" ht="16.5" thickBot="1">
      <c r="A114" s="41" t="s">
        <v>31</v>
      </c>
      <c r="B114" s="42">
        <f t="shared" si="6"/>
        <v>400</v>
      </c>
      <c r="C114" s="42" t="s">
        <v>3</v>
      </c>
      <c r="D114" s="42">
        <f t="shared" si="7"/>
        <v>360</v>
      </c>
      <c r="E114" s="42" t="s">
        <v>3</v>
      </c>
      <c r="F114" s="90">
        <f t="shared" si="8"/>
        <v>750</v>
      </c>
      <c r="G114" s="42" t="s">
        <v>3</v>
      </c>
      <c r="H114" s="39">
        <v>8</v>
      </c>
      <c r="I114" s="40" t="s">
        <v>42</v>
      </c>
      <c r="J114" s="149">
        <v>400</v>
      </c>
      <c r="K114" s="66">
        <v>360</v>
      </c>
      <c r="L114" s="66">
        <v>750</v>
      </c>
      <c r="M114" s="164">
        <v>17.664514156430528</v>
      </c>
      <c r="N114" s="78">
        <v>1006.4438172497014</v>
      </c>
      <c r="O114" s="113">
        <v>26046.807127763361</v>
      </c>
      <c r="P114" s="111">
        <v>30799.604967739873</v>
      </c>
      <c r="Q114" s="254">
        <v>12094.357743768871</v>
      </c>
      <c r="R114" s="263">
        <v>38141.16487153223</v>
      </c>
      <c r="S114" s="259">
        <v>42893.962711508742</v>
      </c>
      <c r="U114" s="7" t="s">
        <v>4192</v>
      </c>
    </row>
    <row r="115" spans="1:21" ht="16.5" thickBot="1">
      <c r="A115" s="41" t="s">
        <v>31</v>
      </c>
      <c r="B115" s="42">
        <f t="shared" si="6"/>
        <v>400</v>
      </c>
      <c r="C115" s="42" t="s">
        <v>3</v>
      </c>
      <c r="D115" s="42">
        <f t="shared" si="7"/>
        <v>360</v>
      </c>
      <c r="E115" s="42" t="s">
        <v>3</v>
      </c>
      <c r="F115" s="90">
        <f t="shared" si="8"/>
        <v>800</v>
      </c>
      <c r="G115" s="42" t="s">
        <v>3</v>
      </c>
      <c r="H115" s="39">
        <v>8</v>
      </c>
      <c r="I115" s="40" t="s">
        <v>42</v>
      </c>
      <c r="J115" s="149">
        <v>400</v>
      </c>
      <c r="K115" s="66">
        <v>360</v>
      </c>
      <c r="L115" s="66">
        <v>800</v>
      </c>
      <c r="M115" s="164">
        <v>18.660822550792631</v>
      </c>
      <c r="N115" s="78">
        <v>1132.2492944059143</v>
      </c>
      <c r="O115" s="113">
        <v>27370.576033269037</v>
      </c>
      <c r="P115" s="111">
        <v>32369.567162693711</v>
      </c>
      <c r="Q115" s="254">
        <v>12697.77862800706</v>
      </c>
      <c r="R115" s="263">
        <v>40068.354661276098</v>
      </c>
      <c r="S115" s="259">
        <v>45067.345790700769</v>
      </c>
      <c r="U115" s="7" t="s">
        <v>4193</v>
      </c>
    </row>
    <row r="116" spans="1:21" ht="16.5" thickBot="1">
      <c r="A116" s="41" t="s">
        <v>31</v>
      </c>
      <c r="B116" s="42">
        <f t="shared" si="6"/>
        <v>400</v>
      </c>
      <c r="C116" s="42" t="s">
        <v>3</v>
      </c>
      <c r="D116" s="42">
        <f t="shared" si="7"/>
        <v>360</v>
      </c>
      <c r="E116" s="42" t="s">
        <v>3</v>
      </c>
      <c r="F116" s="90">
        <f t="shared" si="8"/>
        <v>850</v>
      </c>
      <c r="G116" s="42" t="s">
        <v>3</v>
      </c>
      <c r="H116" s="39">
        <v>8</v>
      </c>
      <c r="I116" s="40" t="s">
        <v>42</v>
      </c>
      <c r="J116" s="149">
        <v>400</v>
      </c>
      <c r="K116" s="66">
        <v>360</v>
      </c>
      <c r="L116" s="66">
        <v>850</v>
      </c>
      <c r="M116" s="164">
        <v>19.674170945154735</v>
      </c>
      <c r="N116" s="78">
        <v>1258.0547715621267</v>
      </c>
      <c r="O116" s="113">
        <v>28694.344938774713</v>
      </c>
      <c r="P116" s="111">
        <v>33939.529510676308</v>
      </c>
      <c r="Q116" s="254">
        <v>13552.533650029018</v>
      </c>
      <c r="R116" s="263">
        <v>42246.878588803731</v>
      </c>
      <c r="S116" s="259">
        <v>47492.063160705322</v>
      </c>
      <c r="U116" s="7" t="s">
        <v>4194</v>
      </c>
    </row>
    <row r="117" spans="1:21" ht="16.5" thickBot="1">
      <c r="A117" s="41" t="s">
        <v>31</v>
      </c>
      <c r="B117" s="42">
        <f t="shared" si="6"/>
        <v>400</v>
      </c>
      <c r="C117" s="42" t="s">
        <v>3</v>
      </c>
      <c r="D117" s="42">
        <f t="shared" si="7"/>
        <v>360</v>
      </c>
      <c r="E117" s="42" t="s">
        <v>3</v>
      </c>
      <c r="F117" s="90">
        <f t="shared" si="8"/>
        <v>900</v>
      </c>
      <c r="G117" s="42" t="s">
        <v>3</v>
      </c>
      <c r="H117" s="39">
        <v>8</v>
      </c>
      <c r="I117" s="40" t="s">
        <v>42</v>
      </c>
      <c r="J117" s="149">
        <v>400</v>
      </c>
      <c r="K117" s="66">
        <v>360</v>
      </c>
      <c r="L117" s="66">
        <v>900</v>
      </c>
      <c r="M117" s="164">
        <v>20.670479339516842</v>
      </c>
      <c r="N117" s="78">
        <v>1383.8602487183396</v>
      </c>
      <c r="O117" s="113">
        <v>30018.11369125163</v>
      </c>
      <c r="P117" s="111">
        <v>35509.491858658919</v>
      </c>
      <c r="Q117" s="254">
        <v>14155.954534267206</v>
      </c>
      <c r="R117" s="263">
        <v>44174.068225518837</v>
      </c>
      <c r="S117" s="259">
        <v>49665.446392926126</v>
      </c>
      <c r="U117" s="7" t="s">
        <v>4195</v>
      </c>
    </row>
    <row r="118" spans="1:21" ht="16.5" thickBot="1">
      <c r="A118" s="41" t="s">
        <v>31</v>
      </c>
      <c r="B118" s="42">
        <f t="shared" si="6"/>
        <v>400</v>
      </c>
      <c r="C118" s="42" t="s">
        <v>3</v>
      </c>
      <c r="D118" s="42">
        <f t="shared" si="7"/>
        <v>360</v>
      </c>
      <c r="E118" s="42" t="s">
        <v>3</v>
      </c>
      <c r="F118" s="90">
        <f t="shared" si="8"/>
        <v>950</v>
      </c>
      <c r="G118" s="42" t="s">
        <v>3</v>
      </c>
      <c r="H118" s="39">
        <v>8</v>
      </c>
      <c r="I118" s="40" t="s">
        <v>42</v>
      </c>
      <c r="J118" s="149">
        <v>400</v>
      </c>
      <c r="K118" s="66">
        <v>360</v>
      </c>
      <c r="L118" s="66">
        <v>950</v>
      </c>
      <c r="M118" s="164">
        <v>21.683827733878946</v>
      </c>
      <c r="N118" s="78">
        <v>1509.6657258745522</v>
      </c>
      <c r="O118" s="113">
        <v>31341.882596757307</v>
      </c>
      <c r="P118" s="111">
        <v>37079.454206641523</v>
      </c>
      <c r="Q118" s="254">
        <v>15010.709556289165</v>
      </c>
      <c r="R118" s="263">
        <v>46352.592153046469</v>
      </c>
      <c r="S118" s="259">
        <v>52090.163762930686</v>
      </c>
      <c r="U118" s="7" t="s">
        <v>4196</v>
      </c>
    </row>
    <row r="119" spans="1:21" ht="16.5" thickBot="1">
      <c r="A119" s="41" t="s">
        <v>31</v>
      </c>
      <c r="B119" s="42">
        <f t="shared" si="6"/>
        <v>400</v>
      </c>
      <c r="C119" s="42" t="s">
        <v>3</v>
      </c>
      <c r="D119" s="42">
        <f t="shared" si="7"/>
        <v>360</v>
      </c>
      <c r="E119" s="42" t="s">
        <v>3</v>
      </c>
      <c r="F119" s="90">
        <f t="shared" si="8"/>
        <v>1000</v>
      </c>
      <c r="G119" s="42" t="s">
        <v>3</v>
      </c>
      <c r="H119" s="39">
        <v>8</v>
      </c>
      <c r="I119" s="40" t="s">
        <v>42</v>
      </c>
      <c r="J119" s="149">
        <v>400</v>
      </c>
      <c r="K119" s="66">
        <v>360</v>
      </c>
      <c r="L119" s="66">
        <v>1000</v>
      </c>
      <c r="M119" s="164">
        <v>22.680136128241056</v>
      </c>
      <c r="N119" s="78">
        <v>1635.4712030307649</v>
      </c>
      <c r="O119" s="113">
        <v>32665.651502262986</v>
      </c>
      <c r="P119" s="111">
        <v>38649.41655462412</v>
      </c>
      <c r="Q119" s="254">
        <v>15614.130440527351</v>
      </c>
      <c r="R119" s="263">
        <v>48279.781942790338</v>
      </c>
      <c r="S119" s="259">
        <v>54263.546995151468</v>
      </c>
      <c r="U119" s="7" t="s">
        <v>4197</v>
      </c>
    </row>
    <row r="120" spans="1:21" ht="16.5" thickBot="1">
      <c r="A120" s="41" t="s">
        <v>31</v>
      </c>
      <c r="B120" s="42">
        <f t="shared" si="6"/>
        <v>400</v>
      </c>
      <c r="C120" s="42" t="s">
        <v>3</v>
      </c>
      <c r="D120" s="42">
        <f t="shared" si="7"/>
        <v>360</v>
      </c>
      <c r="E120" s="42" t="s">
        <v>3</v>
      </c>
      <c r="F120" s="90">
        <f t="shared" si="8"/>
        <v>1050</v>
      </c>
      <c r="G120" s="42" t="s">
        <v>3</v>
      </c>
      <c r="H120" s="39">
        <v>8</v>
      </c>
      <c r="I120" s="40" t="s">
        <v>42</v>
      </c>
      <c r="J120" s="149">
        <v>400</v>
      </c>
      <c r="K120" s="66">
        <v>360</v>
      </c>
      <c r="L120" s="66">
        <v>1050</v>
      </c>
      <c r="M120" s="164">
        <v>23.693484522603157</v>
      </c>
      <c r="N120" s="78">
        <v>1761.2766801869775</v>
      </c>
      <c r="O120" s="113">
        <v>33989.420254739896</v>
      </c>
      <c r="P120" s="111">
        <v>40219.378902606724</v>
      </c>
      <c r="Q120" s="254">
        <v>16468.885462549311</v>
      </c>
      <c r="R120" s="263">
        <v>50458.305717289208</v>
      </c>
      <c r="S120" s="259">
        <v>56688.264365156036</v>
      </c>
      <c r="U120" s="7" t="s">
        <v>4198</v>
      </c>
    </row>
    <row r="121" spans="1:21" ht="16.5" thickBot="1">
      <c r="A121" s="38" t="s">
        <v>31</v>
      </c>
      <c r="B121" s="39">
        <f t="shared" si="6"/>
        <v>400</v>
      </c>
      <c r="C121" s="39" t="s">
        <v>3</v>
      </c>
      <c r="D121" s="39">
        <f t="shared" si="7"/>
        <v>360</v>
      </c>
      <c r="E121" s="39" t="s">
        <v>3</v>
      </c>
      <c r="F121" s="90">
        <f t="shared" si="8"/>
        <v>1100</v>
      </c>
      <c r="G121" s="39" t="s">
        <v>3</v>
      </c>
      <c r="H121" s="39">
        <v>8</v>
      </c>
      <c r="I121" s="40" t="s">
        <v>42</v>
      </c>
      <c r="J121" s="149">
        <v>400</v>
      </c>
      <c r="K121" s="66">
        <v>360</v>
      </c>
      <c r="L121" s="66">
        <v>1100</v>
      </c>
      <c r="M121" s="164">
        <v>24.68979291696526</v>
      </c>
      <c r="N121" s="78">
        <v>1887.0821573431904</v>
      </c>
      <c r="O121" s="113">
        <v>35313.189160245573</v>
      </c>
      <c r="P121" s="111">
        <v>41789.341097560566</v>
      </c>
      <c r="Q121" s="254">
        <v>17072.3063467875</v>
      </c>
      <c r="R121" s="263">
        <v>52385.495507033076</v>
      </c>
      <c r="S121" s="259">
        <v>58861.647444348069</v>
      </c>
      <c r="U121" s="7" t="s">
        <v>4199</v>
      </c>
    </row>
    <row r="122" spans="1:21" ht="16.5" thickBot="1">
      <c r="A122" s="41" t="s">
        <v>31</v>
      </c>
      <c r="B122" s="42">
        <f t="shared" si="6"/>
        <v>400</v>
      </c>
      <c r="C122" s="42" t="s">
        <v>3</v>
      </c>
      <c r="D122" s="42">
        <f t="shared" si="7"/>
        <v>360</v>
      </c>
      <c r="E122" s="42" t="s">
        <v>3</v>
      </c>
      <c r="F122" s="90">
        <f t="shared" si="8"/>
        <v>1150</v>
      </c>
      <c r="G122" s="42" t="s">
        <v>3</v>
      </c>
      <c r="H122" s="39">
        <v>8</v>
      </c>
      <c r="I122" s="40" t="s">
        <v>42</v>
      </c>
      <c r="J122" s="149">
        <v>400</v>
      </c>
      <c r="K122" s="66">
        <v>360</v>
      </c>
      <c r="L122" s="66">
        <v>1150</v>
      </c>
      <c r="M122" s="164">
        <v>25.68610131132737</v>
      </c>
      <c r="N122" s="78">
        <v>2012.8876344994028</v>
      </c>
      <c r="O122" s="113">
        <v>36636.958065751249</v>
      </c>
      <c r="P122" s="111">
        <v>43359.30344554317</v>
      </c>
      <c r="Q122" s="254">
        <v>17675.727231025689</v>
      </c>
      <c r="R122" s="263">
        <v>54312.685296776937</v>
      </c>
      <c r="S122" s="259">
        <v>61035.030676568858</v>
      </c>
      <c r="U122" s="7" t="s">
        <v>4200</v>
      </c>
    </row>
    <row r="123" spans="1:21" ht="16.5" thickBot="1">
      <c r="A123" s="41" t="s">
        <v>31</v>
      </c>
      <c r="B123" s="42">
        <f t="shared" si="6"/>
        <v>400</v>
      </c>
      <c r="C123" s="42" t="s">
        <v>3</v>
      </c>
      <c r="D123" s="42">
        <f t="shared" si="7"/>
        <v>360</v>
      </c>
      <c r="E123" s="42" t="s">
        <v>3</v>
      </c>
      <c r="F123" s="90">
        <f t="shared" si="8"/>
        <v>1200</v>
      </c>
      <c r="G123" s="42" t="s">
        <v>3</v>
      </c>
      <c r="H123" s="39">
        <v>8</v>
      </c>
      <c r="I123" s="40" t="s">
        <v>42</v>
      </c>
      <c r="J123" s="149">
        <v>400</v>
      </c>
      <c r="K123" s="66">
        <v>360</v>
      </c>
      <c r="L123" s="66">
        <v>1200</v>
      </c>
      <c r="M123" s="164">
        <v>26.856449705689471</v>
      </c>
      <c r="N123" s="78">
        <v>2138.6931116556157</v>
      </c>
      <c r="O123" s="113">
        <v>38128.923488494824</v>
      </c>
      <c r="P123" s="111">
        <v>45098.489133777657</v>
      </c>
      <c r="Q123" s="254">
        <v>18530.482406076411</v>
      </c>
      <c r="R123" s="263">
        <v>56659.405894571231</v>
      </c>
      <c r="S123" s="259">
        <v>63628.971539854072</v>
      </c>
      <c r="U123" s="7" t="s">
        <v>4201</v>
      </c>
    </row>
    <row r="124" spans="1:21" ht="16.5" thickBot="1">
      <c r="A124" s="41" t="s">
        <v>31</v>
      </c>
      <c r="B124" s="42">
        <f t="shared" si="6"/>
        <v>400</v>
      </c>
      <c r="C124" s="42" t="s">
        <v>3</v>
      </c>
      <c r="D124" s="42">
        <f t="shared" si="7"/>
        <v>360</v>
      </c>
      <c r="E124" s="42" t="s">
        <v>3</v>
      </c>
      <c r="F124" s="90">
        <f t="shared" si="8"/>
        <v>1250</v>
      </c>
      <c r="G124" s="42" t="s">
        <v>3</v>
      </c>
      <c r="H124" s="39">
        <v>8</v>
      </c>
      <c r="I124" s="40" t="s">
        <v>42</v>
      </c>
      <c r="J124" s="149">
        <v>400</v>
      </c>
      <c r="K124" s="66">
        <v>360</v>
      </c>
      <c r="L124" s="66">
        <v>1250</v>
      </c>
      <c r="M124" s="164">
        <v>27.852758100051581</v>
      </c>
      <c r="N124" s="78">
        <v>2264.4985888118285</v>
      </c>
      <c r="O124" s="113">
        <v>39452.6923940005</v>
      </c>
      <c r="P124" s="111">
        <v>46668.451481760261</v>
      </c>
      <c r="Q124" s="254">
        <v>19133.9032903146</v>
      </c>
      <c r="R124" s="263">
        <v>58586.5956843151</v>
      </c>
      <c r="S124" s="259">
        <v>65802.354772074861</v>
      </c>
      <c r="U124" s="7" t="s">
        <v>4202</v>
      </c>
    </row>
    <row r="125" spans="1:21" ht="16.5" thickBot="1">
      <c r="A125" s="41" t="s">
        <v>31</v>
      </c>
      <c r="B125" s="42">
        <f t="shared" si="6"/>
        <v>400</v>
      </c>
      <c r="C125" s="42" t="s">
        <v>3</v>
      </c>
      <c r="D125" s="42">
        <f t="shared" si="7"/>
        <v>360</v>
      </c>
      <c r="E125" s="42" t="s">
        <v>3</v>
      </c>
      <c r="F125" s="90">
        <f t="shared" si="8"/>
        <v>1300</v>
      </c>
      <c r="G125" s="42" t="s">
        <v>3</v>
      </c>
      <c r="H125" s="39">
        <v>8</v>
      </c>
      <c r="I125" s="40" t="s">
        <v>42</v>
      </c>
      <c r="J125" s="149">
        <v>400</v>
      </c>
      <c r="K125" s="66">
        <v>360</v>
      </c>
      <c r="L125" s="66">
        <v>1300</v>
      </c>
      <c r="M125" s="164">
        <v>28.866106494413682</v>
      </c>
      <c r="N125" s="78">
        <v>2390.3040659680414</v>
      </c>
      <c r="O125" s="113">
        <v>40776.461146477413</v>
      </c>
      <c r="P125" s="111">
        <v>48238.413829742858</v>
      </c>
      <c r="Q125" s="254">
        <v>19988.658312336556</v>
      </c>
      <c r="R125" s="263">
        <v>60765.11945881397</v>
      </c>
      <c r="S125" s="259">
        <v>68227.072142079414</v>
      </c>
      <c r="U125" s="7" t="s">
        <v>4203</v>
      </c>
    </row>
    <row r="126" spans="1:21" ht="16.5" thickBot="1">
      <c r="A126" s="41" t="s">
        <v>31</v>
      </c>
      <c r="B126" s="42">
        <f t="shared" si="6"/>
        <v>400</v>
      </c>
      <c r="C126" s="42" t="s">
        <v>3</v>
      </c>
      <c r="D126" s="42">
        <f t="shared" si="7"/>
        <v>360</v>
      </c>
      <c r="E126" s="42" t="s">
        <v>3</v>
      </c>
      <c r="F126" s="90">
        <f t="shared" si="8"/>
        <v>1350</v>
      </c>
      <c r="G126" s="42" t="s">
        <v>3</v>
      </c>
      <c r="H126" s="39">
        <v>8</v>
      </c>
      <c r="I126" s="40" t="s">
        <v>42</v>
      </c>
      <c r="J126" s="149">
        <v>400</v>
      </c>
      <c r="K126" s="66">
        <v>360</v>
      </c>
      <c r="L126" s="66">
        <v>1350</v>
      </c>
      <c r="M126" s="164">
        <v>29.862414888775788</v>
      </c>
      <c r="N126" s="78">
        <v>2516.1095431242534</v>
      </c>
      <c r="O126" s="113">
        <v>42100.23005198309</v>
      </c>
      <c r="P126" s="111">
        <v>49808.376177725462</v>
      </c>
      <c r="Q126" s="254">
        <v>20592.079196574745</v>
      </c>
      <c r="R126" s="263">
        <v>62692.309248557838</v>
      </c>
      <c r="S126" s="259">
        <v>70400.455374300203</v>
      </c>
      <c r="U126" s="7" t="s">
        <v>4204</v>
      </c>
    </row>
    <row r="127" spans="1:21" ht="16.5" thickBot="1">
      <c r="A127" s="41" t="s">
        <v>31</v>
      </c>
      <c r="B127" s="42">
        <f t="shared" si="6"/>
        <v>400</v>
      </c>
      <c r="C127" s="42" t="s">
        <v>3</v>
      </c>
      <c r="D127" s="42">
        <f t="shared" si="7"/>
        <v>360</v>
      </c>
      <c r="E127" s="42" t="s">
        <v>3</v>
      </c>
      <c r="F127" s="90">
        <f t="shared" si="8"/>
        <v>1400</v>
      </c>
      <c r="G127" s="42" t="s">
        <v>3</v>
      </c>
      <c r="H127" s="39">
        <v>8</v>
      </c>
      <c r="I127" s="40" t="s">
        <v>42</v>
      </c>
      <c r="J127" s="149">
        <v>400</v>
      </c>
      <c r="K127" s="66">
        <v>360</v>
      </c>
      <c r="L127" s="66">
        <v>1400</v>
      </c>
      <c r="M127" s="164">
        <v>30.875763283137893</v>
      </c>
      <c r="N127" s="78">
        <v>2641.9150202804663</v>
      </c>
      <c r="O127" s="113">
        <v>43423.998957488773</v>
      </c>
      <c r="P127" s="111">
        <v>51378.338525708074</v>
      </c>
      <c r="Q127" s="254">
        <v>21446.834218596705</v>
      </c>
      <c r="R127" s="263">
        <v>64870.833176085478</v>
      </c>
      <c r="S127" s="259">
        <v>72825.172744304786</v>
      </c>
      <c r="U127" s="7" t="s">
        <v>4205</v>
      </c>
    </row>
    <row r="128" spans="1:21" ht="16.5" thickBot="1">
      <c r="A128" s="41" t="s">
        <v>31</v>
      </c>
      <c r="B128" s="42">
        <f t="shared" si="6"/>
        <v>400</v>
      </c>
      <c r="C128" s="42" t="s">
        <v>3</v>
      </c>
      <c r="D128" s="42">
        <f t="shared" si="7"/>
        <v>360</v>
      </c>
      <c r="E128" s="42" t="s">
        <v>3</v>
      </c>
      <c r="F128" s="90">
        <f t="shared" si="8"/>
        <v>1450</v>
      </c>
      <c r="G128" s="42" t="s">
        <v>3</v>
      </c>
      <c r="H128" s="39">
        <v>8</v>
      </c>
      <c r="I128" s="40" t="s">
        <v>42</v>
      </c>
      <c r="J128" s="149">
        <v>400</v>
      </c>
      <c r="K128" s="66">
        <v>360</v>
      </c>
      <c r="L128" s="66">
        <v>1450</v>
      </c>
      <c r="M128" s="164">
        <v>31.872071677499999</v>
      </c>
      <c r="N128" s="78">
        <v>2767.7204974366791</v>
      </c>
      <c r="O128" s="113">
        <v>44747.767709965679</v>
      </c>
      <c r="P128" s="111">
        <v>52948.30087369067</v>
      </c>
      <c r="Q128" s="254">
        <v>22050.255102834893</v>
      </c>
      <c r="R128" s="263">
        <v>66798.022812800569</v>
      </c>
      <c r="S128" s="259">
        <v>74998.55597652556</v>
      </c>
      <c r="U128" s="7" t="s">
        <v>4206</v>
      </c>
    </row>
    <row r="129" spans="1:21" ht="16.5" thickBot="1">
      <c r="A129" s="41" t="s">
        <v>31</v>
      </c>
      <c r="B129" s="42">
        <f t="shared" si="6"/>
        <v>400</v>
      </c>
      <c r="C129" s="42" t="s">
        <v>3</v>
      </c>
      <c r="D129" s="42">
        <f t="shared" si="7"/>
        <v>360</v>
      </c>
      <c r="E129" s="42" t="s">
        <v>3</v>
      </c>
      <c r="F129" s="90">
        <f t="shared" si="8"/>
        <v>1500</v>
      </c>
      <c r="G129" s="42" t="s">
        <v>3</v>
      </c>
      <c r="H129" s="39">
        <v>8</v>
      </c>
      <c r="I129" s="40" t="s">
        <v>42</v>
      </c>
      <c r="J129" s="149">
        <v>400</v>
      </c>
      <c r="K129" s="66">
        <v>360</v>
      </c>
      <c r="L129" s="66">
        <v>1500</v>
      </c>
      <c r="M129" s="164">
        <v>33.121041365822109</v>
      </c>
      <c r="N129" s="78">
        <v>2893.5259745928915</v>
      </c>
      <c r="O129" s="113">
        <v>46891.728254544658</v>
      </c>
      <c r="P129" s="111">
        <v>55323.373722914737</v>
      </c>
      <c r="Q129" s="254">
        <v>22905.01012485685</v>
      </c>
      <c r="R129" s="263">
        <v>69796.738379401504</v>
      </c>
      <c r="S129" s="259">
        <v>78228.383847771591</v>
      </c>
      <c r="U129" s="7" t="s">
        <v>4207</v>
      </c>
    </row>
    <row r="130" spans="1:21" ht="16.5" thickBot="1">
      <c r="A130" s="41" t="s">
        <v>31</v>
      </c>
      <c r="B130" s="42">
        <f t="shared" si="6"/>
        <v>400</v>
      </c>
      <c r="C130" s="42" t="s">
        <v>3</v>
      </c>
      <c r="D130" s="42">
        <f t="shared" si="7"/>
        <v>360</v>
      </c>
      <c r="E130" s="42" t="s">
        <v>3</v>
      </c>
      <c r="F130" s="90">
        <f t="shared" si="8"/>
        <v>1550</v>
      </c>
      <c r="G130" s="42" t="s">
        <v>3</v>
      </c>
      <c r="H130" s="39">
        <v>8</v>
      </c>
      <c r="I130" s="40" t="s">
        <v>42</v>
      </c>
      <c r="J130" s="149">
        <v>400</v>
      </c>
      <c r="K130" s="66">
        <v>360</v>
      </c>
      <c r="L130" s="66">
        <v>1550</v>
      </c>
      <c r="M130" s="164">
        <v>34.117349760184212</v>
      </c>
      <c r="N130" s="78">
        <v>3019.3314517491044</v>
      </c>
      <c r="O130" s="113">
        <v>48215.497007021564</v>
      </c>
      <c r="P130" s="111">
        <v>56893.336070897341</v>
      </c>
      <c r="Q130" s="254">
        <v>23508.431009095038</v>
      </c>
      <c r="R130" s="263">
        <v>71723.92801611661</v>
      </c>
      <c r="S130" s="259">
        <v>80401.76707999238</v>
      </c>
      <c r="U130" s="7" t="s">
        <v>4208</v>
      </c>
    </row>
    <row r="131" spans="1:21" ht="16.5" thickBot="1">
      <c r="A131" s="38" t="s">
        <v>31</v>
      </c>
      <c r="B131" s="39">
        <f t="shared" si="6"/>
        <v>400</v>
      </c>
      <c r="C131" s="39" t="s">
        <v>3</v>
      </c>
      <c r="D131" s="39">
        <f t="shared" si="7"/>
        <v>360</v>
      </c>
      <c r="E131" s="39" t="s">
        <v>3</v>
      </c>
      <c r="F131" s="90">
        <f t="shared" si="8"/>
        <v>1600</v>
      </c>
      <c r="G131" s="39" t="s">
        <v>3</v>
      </c>
      <c r="H131" s="39">
        <v>8</v>
      </c>
      <c r="I131" s="40" t="s">
        <v>42</v>
      </c>
      <c r="J131" s="149">
        <v>400</v>
      </c>
      <c r="K131" s="66">
        <v>360</v>
      </c>
      <c r="L131" s="66">
        <v>1600</v>
      </c>
      <c r="M131" s="164">
        <v>35.113658154546307</v>
      </c>
      <c r="N131" s="78">
        <v>3145.1369289053173</v>
      </c>
      <c r="O131" s="113">
        <v>49539.26591252724</v>
      </c>
      <c r="P131" s="111">
        <v>58463.298265851168</v>
      </c>
      <c r="Q131" s="254">
        <v>24111.851893333227</v>
      </c>
      <c r="R131" s="263">
        <v>73651.117805860471</v>
      </c>
      <c r="S131" s="259">
        <v>82575.150159184399</v>
      </c>
      <c r="U131" s="7" t="s">
        <v>4209</v>
      </c>
    </row>
    <row r="132" spans="1:21" ht="16.5" thickBot="1">
      <c r="A132" s="41" t="s">
        <v>31</v>
      </c>
      <c r="B132" s="42">
        <f t="shared" si="6"/>
        <v>400</v>
      </c>
      <c r="C132" s="42" t="s">
        <v>3</v>
      </c>
      <c r="D132" s="42">
        <f t="shared" si="7"/>
        <v>360</v>
      </c>
      <c r="E132" s="42" t="s">
        <v>3</v>
      </c>
      <c r="F132" s="90">
        <f t="shared" si="8"/>
        <v>1650</v>
      </c>
      <c r="G132" s="42" t="s">
        <v>3</v>
      </c>
      <c r="H132" s="39">
        <v>8</v>
      </c>
      <c r="I132" s="40" t="s">
        <v>42</v>
      </c>
      <c r="J132" s="149">
        <v>400</v>
      </c>
      <c r="K132" s="66">
        <v>360</v>
      </c>
      <c r="L132" s="66">
        <v>1650</v>
      </c>
      <c r="M132" s="164">
        <v>36.127006548908419</v>
      </c>
      <c r="N132" s="78">
        <v>3270.9424060615297</v>
      </c>
      <c r="O132" s="113">
        <v>50863.034818032924</v>
      </c>
      <c r="P132" s="111">
        <v>60033.260613833787</v>
      </c>
      <c r="Q132" s="254">
        <v>24966.606915355183</v>
      </c>
      <c r="R132" s="263">
        <v>75829.641733388111</v>
      </c>
      <c r="S132" s="259">
        <v>84999.867529188967</v>
      </c>
      <c r="U132" s="7" t="s">
        <v>4210</v>
      </c>
    </row>
    <row r="133" spans="1:21" ht="16.5" thickBot="1">
      <c r="A133" s="41" t="s">
        <v>31</v>
      </c>
      <c r="B133" s="42">
        <f t="shared" si="6"/>
        <v>400</v>
      </c>
      <c r="C133" s="42" t="s">
        <v>3</v>
      </c>
      <c r="D133" s="42">
        <f t="shared" si="7"/>
        <v>360</v>
      </c>
      <c r="E133" s="42" t="s">
        <v>3</v>
      </c>
      <c r="F133" s="90">
        <f t="shared" si="8"/>
        <v>1700</v>
      </c>
      <c r="G133" s="42" t="s">
        <v>3</v>
      </c>
      <c r="H133" s="39">
        <v>8</v>
      </c>
      <c r="I133" s="40" t="s">
        <v>42</v>
      </c>
      <c r="J133" s="149">
        <v>400</v>
      </c>
      <c r="K133" s="66">
        <v>360</v>
      </c>
      <c r="L133" s="66">
        <v>1700</v>
      </c>
      <c r="M133" s="164">
        <v>37.123314943270529</v>
      </c>
      <c r="N133" s="78">
        <v>3396.747883217743</v>
      </c>
      <c r="O133" s="113">
        <v>52186.80357050983</v>
      </c>
      <c r="P133" s="111">
        <v>61603.222961816384</v>
      </c>
      <c r="Q133" s="254">
        <v>25570.027799593372</v>
      </c>
      <c r="R133" s="263">
        <v>77756.831370103202</v>
      </c>
      <c r="S133" s="259">
        <v>87173.250761409756</v>
      </c>
      <c r="U133" s="7" t="s">
        <v>4211</v>
      </c>
    </row>
    <row r="134" spans="1:21" ht="16.5" thickBot="1">
      <c r="A134" s="41" t="s">
        <v>31</v>
      </c>
      <c r="B134" s="42">
        <f t="shared" si="6"/>
        <v>400</v>
      </c>
      <c r="C134" s="42" t="s">
        <v>3</v>
      </c>
      <c r="D134" s="42">
        <f t="shared" si="7"/>
        <v>360</v>
      </c>
      <c r="E134" s="42" t="s">
        <v>3</v>
      </c>
      <c r="F134" s="90">
        <f t="shared" si="8"/>
        <v>1750</v>
      </c>
      <c r="G134" s="42" t="s">
        <v>3</v>
      </c>
      <c r="H134" s="39">
        <v>8</v>
      </c>
      <c r="I134" s="40" t="s">
        <v>42</v>
      </c>
      <c r="J134" s="149">
        <v>400</v>
      </c>
      <c r="K134" s="66">
        <v>360</v>
      </c>
      <c r="L134" s="66">
        <v>1750</v>
      </c>
      <c r="M134" s="164">
        <v>38.136663337632626</v>
      </c>
      <c r="N134" s="78">
        <v>3522.553360373955</v>
      </c>
      <c r="O134" s="113">
        <v>53510.572476015506</v>
      </c>
      <c r="P134" s="111">
        <v>63173.185309798988</v>
      </c>
      <c r="Q134" s="254">
        <v>26424.782821615332</v>
      </c>
      <c r="R134" s="263">
        <v>79935.355297630842</v>
      </c>
      <c r="S134" s="259">
        <v>89597.968131414324</v>
      </c>
      <c r="U134" s="7" t="s">
        <v>4212</v>
      </c>
    </row>
    <row r="135" spans="1:21" ht="16.5" thickBot="1">
      <c r="A135" s="41" t="s">
        <v>31</v>
      </c>
      <c r="B135" s="42">
        <f t="shared" si="6"/>
        <v>400</v>
      </c>
      <c r="C135" s="42" t="s">
        <v>3</v>
      </c>
      <c r="D135" s="42">
        <f t="shared" si="7"/>
        <v>360</v>
      </c>
      <c r="E135" s="42" t="s">
        <v>3</v>
      </c>
      <c r="F135" s="90">
        <f t="shared" si="8"/>
        <v>1800</v>
      </c>
      <c r="G135" s="42" t="s">
        <v>3</v>
      </c>
      <c r="H135" s="39">
        <v>8</v>
      </c>
      <c r="I135" s="40" t="s">
        <v>42</v>
      </c>
      <c r="J135" s="149">
        <v>400</v>
      </c>
      <c r="K135" s="66">
        <v>360</v>
      </c>
      <c r="L135" s="66">
        <v>1800</v>
      </c>
      <c r="M135" s="164">
        <v>39.132971731994729</v>
      </c>
      <c r="N135" s="78">
        <v>3648.3588375301683</v>
      </c>
      <c r="O135" s="113">
        <v>54834.341381521182</v>
      </c>
      <c r="P135" s="111">
        <v>64743.147657781592</v>
      </c>
      <c r="Q135" s="254">
        <v>27028.203705853517</v>
      </c>
      <c r="R135" s="263">
        <v>81862.545087374703</v>
      </c>
      <c r="S135" s="259">
        <v>91771.351363635113</v>
      </c>
      <c r="U135" s="7" t="s">
        <v>4213</v>
      </c>
    </row>
    <row r="136" spans="1:21" ht="16.5" thickBot="1">
      <c r="A136" s="41" t="s">
        <v>31</v>
      </c>
      <c r="B136" s="42">
        <f t="shared" si="6"/>
        <v>400</v>
      </c>
      <c r="C136" s="42" t="s">
        <v>3</v>
      </c>
      <c r="D136" s="42">
        <f t="shared" si="7"/>
        <v>360</v>
      </c>
      <c r="E136" s="42" t="s">
        <v>3</v>
      </c>
      <c r="F136" s="90">
        <f t="shared" si="8"/>
        <v>1850</v>
      </c>
      <c r="G136" s="42" t="s">
        <v>3</v>
      </c>
      <c r="H136" s="39">
        <v>8</v>
      </c>
      <c r="I136" s="40" t="s">
        <v>42</v>
      </c>
      <c r="J136" s="149">
        <v>400</v>
      </c>
      <c r="K136" s="66">
        <v>360</v>
      </c>
      <c r="L136" s="66">
        <v>1850</v>
      </c>
      <c r="M136" s="164">
        <v>40.146320126356841</v>
      </c>
      <c r="N136" s="78">
        <v>3774.1643146863807</v>
      </c>
      <c r="O136" s="113">
        <v>56158.110133998103</v>
      </c>
      <c r="P136" s="111">
        <v>66313.109852735433</v>
      </c>
      <c r="Q136" s="254">
        <v>27882.958880904247</v>
      </c>
      <c r="R136" s="263">
        <v>84041.069014902343</v>
      </c>
      <c r="S136" s="259">
        <v>94196.06873363968</v>
      </c>
      <c r="U136" s="7" t="s">
        <v>4214</v>
      </c>
    </row>
    <row r="137" spans="1:21" ht="16.5" thickBot="1">
      <c r="A137" s="41" t="s">
        <v>31</v>
      </c>
      <c r="B137" s="42">
        <f t="shared" si="6"/>
        <v>400</v>
      </c>
      <c r="C137" s="42" t="s">
        <v>3</v>
      </c>
      <c r="D137" s="42">
        <f t="shared" si="7"/>
        <v>360</v>
      </c>
      <c r="E137" s="42" t="s">
        <v>3</v>
      </c>
      <c r="F137" s="90">
        <f t="shared" si="8"/>
        <v>1900</v>
      </c>
      <c r="G137" s="42" t="s">
        <v>3</v>
      </c>
      <c r="H137" s="39">
        <v>8</v>
      </c>
      <c r="I137" s="40" t="s">
        <v>42</v>
      </c>
      <c r="J137" s="149">
        <v>400</v>
      </c>
      <c r="K137" s="66">
        <v>360</v>
      </c>
      <c r="L137" s="66">
        <v>1900</v>
      </c>
      <c r="M137" s="164">
        <v>41.142628520718944</v>
      </c>
      <c r="N137" s="78">
        <v>3899.9697918425936</v>
      </c>
      <c r="O137" s="113">
        <v>57481.879039503779</v>
      </c>
      <c r="P137" s="111">
        <v>67883.07220071803</v>
      </c>
      <c r="Q137" s="254">
        <v>28486.379765142432</v>
      </c>
      <c r="R137" s="263">
        <v>85968.258804646204</v>
      </c>
      <c r="S137" s="259">
        <v>96369.451965860469</v>
      </c>
      <c r="U137" s="7" t="s">
        <v>4215</v>
      </c>
    </row>
    <row r="138" spans="1:21" ht="16.5" thickBot="1">
      <c r="A138" s="41" t="s">
        <v>31</v>
      </c>
      <c r="B138" s="42">
        <f t="shared" si="6"/>
        <v>400</v>
      </c>
      <c r="C138" s="42" t="s">
        <v>3</v>
      </c>
      <c r="D138" s="42">
        <f t="shared" si="7"/>
        <v>360</v>
      </c>
      <c r="E138" s="42" t="s">
        <v>3</v>
      </c>
      <c r="F138" s="90">
        <f t="shared" si="8"/>
        <v>1950</v>
      </c>
      <c r="G138" s="42" t="s">
        <v>3</v>
      </c>
      <c r="H138" s="39">
        <v>8</v>
      </c>
      <c r="I138" s="40" t="s">
        <v>42</v>
      </c>
      <c r="J138" s="149">
        <v>400</v>
      </c>
      <c r="K138" s="66">
        <v>360</v>
      </c>
      <c r="L138" s="66">
        <v>1950</v>
      </c>
      <c r="M138" s="164">
        <v>42.29593691508105</v>
      </c>
      <c r="N138" s="78">
        <v>4025.7752689988056</v>
      </c>
      <c r="O138" s="113">
        <v>58973.844462247347</v>
      </c>
      <c r="P138" s="111">
        <v>69622.258041981273</v>
      </c>
      <c r="Q138" s="254">
        <v>29089.800649380621</v>
      </c>
      <c r="R138" s="263">
        <v>88063.645111627964</v>
      </c>
      <c r="S138" s="259">
        <v>98712.05869136189</v>
      </c>
      <c r="U138" s="7" t="s">
        <v>4216</v>
      </c>
    </row>
    <row r="139" spans="1:21" ht="16.5" thickBot="1">
      <c r="A139" s="41" t="s">
        <v>31</v>
      </c>
      <c r="B139" s="42">
        <f t="shared" si="6"/>
        <v>400</v>
      </c>
      <c r="C139" s="42" t="s">
        <v>3</v>
      </c>
      <c r="D139" s="42">
        <f t="shared" si="7"/>
        <v>360</v>
      </c>
      <c r="E139" s="42" t="s">
        <v>3</v>
      </c>
      <c r="F139" s="90">
        <f t="shared" si="8"/>
        <v>2000</v>
      </c>
      <c r="G139" s="42" t="s">
        <v>3</v>
      </c>
      <c r="H139" s="39">
        <v>8</v>
      </c>
      <c r="I139" s="40" t="s">
        <v>42</v>
      </c>
      <c r="J139" s="149">
        <v>400</v>
      </c>
      <c r="K139" s="66">
        <v>360</v>
      </c>
      <c r="L139" s="66">
        <v>2000</v>
      </c>
      <c r="M139" s="164">
        <v>43.400847709443156</v>
      </c>
      <c r="N139" s="78">
        <v>4151.5807461550185</v>
      </c>
      <c r="O139" s="113">
        <v>60548.905269597621</v>
      </c>
      <c r="P139" s="111">
        <v>71533.042382959917</v>
      </c>
      <c r="Q139" s="254">
        <v>29944.555671402581</v>
      </c>
      <c r="R139" s="263">
        <v>90493.460941000201</v>
      </c>
      <c r="S139" s="259">
        <v>101477.59805436249</v>
      </c>
      <c r="U139" s="7" t="s">
        <v>4217</v>
      </c>
    </row>
    <row r="140" spans="1:21" ht="16.5" thickBot="1">
      <c r="A140" s="41" t="s">
        <v>31</v>
      </c>
      <c r="B140" s="42">
        <f t="shared" si="6"/>
        <v>400</v>
      </c>
      <c r="C140" s="42" t="s">
        <v>3</v>
      </c>
      <c r="D140" s="42">
        <f t="shared" si="7"/>
        <v>360</v>
      </c>
      <c r="E140" s="42" t="s">
        <v>3</v>
      </c>
      <c r="F140" s="90">
        <f t="shared" si="8"/>
        <v>2050</v>
      </c>
      <c r="G140" s="42" t="s">
        <v>3</v>
      </c>
      <c r="H140" s="39">
        <v>8</v>
      </c>
      <c r="I140" s="40" t="s">
        <v>42</v>
      </c>
      <c r="J140" s="149">
        <v>400</v>
      </c>
      <c r="K140" s="66">
        <v>360</v>
      </c>
      <c r="L140" s="66">
        <v>2050</v>
      </c>
      <c r="M140" s="164">
        <v>44.397156103805258</v>
      </c>
      <c r="N140" s="78">
        <v>4277.3862233112313</v>
      </c>
      <c r="O140" s="113">
        <v>61872.674022074534</v>
      </c>
      <c r="P140" s="111">
        <v>73103.004577913758</v>
      </c>
      <c r="Q140" s="254">
        <v>30547.976555640766</v>
      </c>
      <c r="R140" s="263">
        <v>92420.650577715307</v>
      </c>
      <c r="S140" s="259">
        <v>103650.98113355452</v>
      </c>
      <c r="U140" s="7" t="s">
        <v>4218</v>
      </c>
    </row>
    <row r="141" spans="1:21" ht="16.5" thickBot="1">
      <c r="A141" s="38" t="s">
        <v>31</v>
      </c>
      <c r="B141" s="39">
        <f t="shared" si="6"/>
        <v>400</v>
      </c>
      <c r="C141" s="39" t="s">
        <v>3</v>
      </c>
      <c r="D141" s="39">
        <f t="shared" si="7"/>
        <v>360</v>
      </c>
      <c r="E141" s="39" t="s">
        <v>3</v>
      </c>
      <c r="F141" s="90">
        <f t="shared" si="8"/>
        <v>2100</v>
      </c>
      <c r="G141" s="39" t="s">
        <v>3</v>
      </c>
      <c r="H141" s="39">
        <v>8</v>
      </c>
      <c r="I141" s="40" t="s">
        <v>42</v>
      </c>
      <c r="J141" s="149">
        <v>400</v>
      </c>
      <c r="K141" s="66">
        <v>360</v>
      </c>
      <c r="L141" s="66">
        <v>2100</v>
      </c>
      <c r="M141" s="164">
        <v>45.410504498167363</v>
      </c>
      <c r="N141" s="78">
        <v>4403.1917004674442</v>
      </c>
      <c r="O141" s="113">
        <v>63196.442927580218</v>
      </c>
      <c r="P141" s="111">
        <v>74672.96692589637</v>
      </c>
      <c r="Q141" s="254">
        <v>31402.731577662726</v>
      </c>
      <c r="R141" s="263">
        <v>94599.174505242947</v>
      </c>
      <c r="S141" s="259">
        <v>106075.69850355909</v>
      </c>
      <c r="U141" s="7" t="s">
        <v>4219</v>
      </c>
    </row>
    <row r="142" spans="1:21" ht="16.5" thickBot="1">
      <c r="A142" s="41" t="s">
        <v>31</v>
      </c>
      <c r="B142" s="42">
        <f t="shared" si="6"/>
        <v>400</v>
      </c>
      <c r="C142" s="42" t="s">
        <v>3</v>
      </c>
      <c r="D142" s="42">
        <f t="shared" si="7"/>
        <v>360</v>
      </c>
      <c r="E142" s="42" t="s">
        <v>3</v>
      </c>
      <c r="F142" s="90">
        <f t="shared" si="8"/>
        <v>2150</v>
      </c>
      <c r="G142" s="42" t="s">
        <v>3</v>
      </c>
      <c r="H142" s="39">
        <v>8</v>
      </c>
      <c r="I142" s="40" t="s">
        <v>42</v>
      </c>
      <c r="J142" s="149">
        <v>400</v>
      </c>
      <c r="K142" s="66">
        <v>360</v>
      </c>
      <c r="L142" s="66">
        <v>2150</v>
      </c>
      <c r="M142" s="164">
        <v>46.406812892529473</v>
      </c>
      <c r="N142" s="78">
        <v>4528.9971776236571</v>
      </c>
      <c r="O142" s="113">
        <v>64520.211833085894</v>
      </c>
      <c r="P142" s="111">
        <v>76242.929273878966</v>
      </c>
      <c r="Q142" s="254">
        <v>32006.152461900914</v>
      </c>
      <c r="R142" s="263">
        <v>96526.364294986808</v>
      </c>
      <c r="S142" s="259">
        <v>108249.08173577988</v>
      </c>
      <c r="U142" s="7" t="s">
        <v>4220</v>
      </c>
    </row>
    <row r="143" spans="1:21" ht="16.5" thickBot="1">
      <c r="A143" s="41" t="s">
        <v>31</v>
      </c>
      <c r="B143" s="42">
        <f t="shared" si="6"/>
        <v>400</v>
      </c>
      <c r="C143" s="42" t="s">
        <v>3</v>
      </c>
      <c r="D143" s="42">
        <f t="shared" si="7"/>
        <v>360</v>
      </c>
      <c r="E143" s="42" t="s">
        <v>3</v>
      </c>
      <c r="F143" s="90">
        <f t="shared" si="8"/>
        <v>2200</v>
      </c>
      <c r="G143" s="42" t="s">
        <v>3</v>
      </c>
      <c r="H143" s="39">
        <v>8</v>
      </c>
      <c r="I143" s="40" t="s">
        <v>42</v>
      </c>
      <c r="J143" s="149">
        <v>400</v>
      </c>
      <c r="K143" s="66">
        <v>360</v>
      </c>
      <c r="L143" s="66">
        <v>2200</v>
      </c>
      <c r="M143" s="164">
        <v>47.420161286891577</v>
      </c>
      <c r="N143" s="78">
        <v>4654.802654779869</v>
      </c>
      <c r="O143" s="113">
        <v>65843.980585562807</v>
      </c>
      <c r="P143" s="111">
        <v>77812.891621861418</v>
      </c>
      <c r="Q143" s="254">
        <v>32860.907483922878</v>
      </c>
      <c r="R143" s="263">
        <v>98704.888069485693</v>
      </c>
      <c r="S143" s="259">
        <v>110673.7991057843</v>
      </c>
      <c r="U143" s="7" t="s">
        <v>4221</v>
      </c>
    </row>
    <row r="144" spans="1:21" ht="16.5" thickBot="1">
      <c r="A144" s="41" t="s">
        <v>31</v>
      </c>
      <c r="B144" s="42">
        <f t="shared" si="6"/>
        <v>400</v>
      </c>
      <c r="C144" s="42" t="s">
        <v>3</v>
      </c>
      <c r="D144" s="42">
        <f t="shared" si="7"/>
        <v>360</v>
      </c>
      <c r="E144" s="42" t="s">
        <v>3</v>
      </c>
      <c r="F144" s="90">
        <f t="shared" si="8"/>
        <v>2250</v>
      </c>
      <c r="G144" s="42" t="s">
        <v>3</v>
      </c>
      <c r="H144" s="39">
        <v>8</v>
      </c>
      <c r="I144" s="40" t="s">
        <v>42</v>
      </c>
      <c r="J144" s="149">
        <v>400</v>
      </c>
      <c r="K144" s="66">
        <v>360</v>
      </c>
      <c r="L144" s="66">
        <v>2250</v>
      </c>
      <c r="M144" s="164">
        <v>48.41646968125368</v>
      </c>
      <c r="N144" s="78">
        <v>4780.6081319360828</v>
      </c>
      <c r="O144" s="113">
        <v>67167.749491068491</v>
      </c>
      <c r="P144" s="111">
        <v>79382.853969844175</v>
      </c>
      <c r="Q144" s="254">
        <v>33464.328368161063</v>
      </c>
      <c r="R144" s="263">
        <v>100632.07785922955</v>
      </c>
      <c r="S144" s="259">
        <v>112847.18233800524</v>
      </c>
      <c r="U144" s="7" t="s">
        <v>4222</v>
      </c>
    </row>
    <row r="145" spans="1:21" ht="16.5" thickBot="1">
      <c r="A145" s="41" t="s">
        <v>31</v>
      </c>
      <c r="B145" s="42">
        <f t="shared" si="6"/>
        <v>400</v>
      </c>
      <c r="C145" s="42" t="s">
        <v>3</v>
      </c>
      <c r="D145" s="42">
        <f t="shared" si="7"/>
        <v>360</v>
      </c>
      <c r="E145" s="42" t="s">
        <v>3</v>
      </c>
      <c r="F145" s="90">
        <f t="shared" si="8"/>
        <v>2300</v>
      </c>
      <c r="G145" s="42" t="s">
        <v>3</v>
      </c>
      <c r="H145" s="39">
        <v>8</v>
      </c>
      <c r="I145" s="40" t="s">
        <v>42</v>
      </c>
      <c r="J145" s="149">
        <v>400</v>
      </c>
      <c r="K145" s="66">
        <v>360</v>
      </c>
      <c r="L145" s="66">
        <v>2300</v>
      </c>
      <c r="M145" s="164">
        <v>49.41277807561579</v>
      </c>
      <c r="N145" s="78">
        <v>4906.4136090922939</v>
      </c>
      <c r="O145" s="113">
        <v>68491.51839657416</v>
      </c>
      <c r="P145" s="111">
        <v>80952.816164798016</v>
      </c>
      <c r="Q145" s="254">
        <v>34067.749252399248</v>
      </c>
      <c r="R145" s="263">
        <v>102559.26764897341</v>
      </c>
      <c r="S145" s="259">
        <v>115020.56541719727</v>
      </c>
      <c r="U145" s="7" t="s">
        <v>4223</v>
      </c>
    </row>
    <row r="146" spans="1:21" ht="16.5" thickBot="1">
      <c r="A146" s="41" t="s">
        <v>31</v>
      </c>
      <c r="B146" s="42">
        <f t="shared" si="6"/>
        <v>400</v>
      </c>
      <c r="C146" s="42" t="s">
        <v>3</v>
      </c>
      <c r="D146" s="42">
        <f t="shared" si="7"/>
        <v>360</v>
      </c>
      <c r="E146" s="42" t="s">
        <v>3</v>
      </c>
      <c r="F146" s="90">
        <f t="shared" si="8"/>
        <v>2350</v>
      </c>
      <c r="G146" s="42" t="s">
        <v>3</v>
      </c>
      <c r="H146" s="39">
        <v>8</v>
      </c>
      <c r="I146" s="40" t="s">
        <v>42</v>
      </c>
      <c r="J146" s="149">
        <v>400</v>
      </c>
      <c r="K146" s="66">
        <v>360</v>
      </c>
      <c r="L146" s="66">
        <v>2350</v>
      </c>
      <c r="M146" s="164">
        <v>50.426126469977895</v>
      </c>
      <c r="N146" s="78">
        <v>5032.2190862485068</v>
      </c>
      <c r="O146" s="113">
        <v>69815.287302079843</v>
      </c>
      <c r="P146" s="111">
        <v>82522.778512780613</v>
      </c>
      <c r="Q146" s="254">
        <v>34922.504274421211</v>
      </c>
      <c r="R146" s="263">
        <v>104737.79157650105</v>
      </c>
      <c r="S146" s="259">
        <v>117445.28278720182</v>
      </c>
      <c r="U146" s="7" t="s">
        <v>4224</v>
      </c>
    </row>
    <row r="147" spans="1:21" ht="16.5" thickBot="1">
      <c r="A147" s="41" t="s">
        <v>31</v>
      </c>
      <c r="B147" s="42">
        <f t="shared" si="6"/>
        <v>400</v>
      </c>
      <c r="C147" s="42" t="s">
        <v>3</v>
      </c>
      <c r="D147" s="42">
        <f t="shared" si="7"/>
        <v>360</v>
      </c>
      <c r="E147" s="42" t="s">
        <v>3</v>
      </c>
      <c r="F147" s="90">
        <f t="shared" si="8"/>
        <v>2400</v>
      </c>
      <c r="G147" s="42" t="s">
        <v>3</v>
      </c>
      <c r="H147" s="39">
        <v>8</v>
      </c>
      <c r="I147" s="40" t="s">
        <v>42</v>
      </c>
      <c r="J147" s="149">
        <v>400</v>
      </c>
      <c r="K147" s="66">
        <v>360</v>
      </c>
      <c r="L147" s="66">
        <v>2400</v>
      </c>
      <c r="M147" s="164">
        <v>51.422434864339991</v>
      </c>
      <c r="N147" s="78">
        <v>5158.0245634047196</v>
      </c>
      <c r="O147" s="113">
        <v>71139.056054556742</v>
      </c>
      <c r="P147" s="111">
        <v>84092.74086076321</v>
      </c>
      <c r="Q147" s="254">
        <v>35525.925158659396</v>
      </c>
      <c r="R147" s="263">
        <v>106664.98121321615</v>
      </c>
      <c r="S147" s="259">
        <v>119618.66601942261</v>
      </c>
      <c r="U147" s="7" t="s">
        <v>4225</v>
      </c>
    </row>
    <row r="148" spans="1:21" ht="16.5" thickBot="1">
      <c r="A148" s="41" t="s">
        <v>31</v>
      </c>
      <c r="B148" s="42">
        <f t="shared" si="6"/>
        <v>400</v>
      </c>
      <c r="C148" s="42" t="s">
        <v>3</v>
      </c>
      <c r="D148" s="42">
        <f t="shared" si="7"/>
        <v>360</v>
      </c>
      <c r="E148" s="42" t="s">
        <v>3</v>
      </c>
      <c r="F148" s="90">
        <f t="shared" si="8"/>
        <v>2450</v>
      </c>
      <c r="G148" s="42" t="s">
        <v>3</v>
      </c>
      <c r="H148" s="39">
        <v>8</v>
      </c>
      <c r="I148" s="40" t="s">
        <v>42</v>
      </c>
      <c r="J148" s="149">
        <v>400</v>
      </c>
      <c r="K148" s="66">
        <v>360</v>
      </c>
      <c r="L148" s="66">
        <v>2450</v>
      </c>
      <c r="M148" s="164">
        <v>52.671404552662111</v>
      </c>
      <c r="N148" s="78">
        <v>5283.8300405609325</v>
      </c>
      <c r="O148" s="113">
        <v>73283.016599135721</v>
      </c>
      <c r="P148" s="111">
        <v>86467.813709987284</v>
      </c>
      <c r="Q148" s="254">
        <v>36380.680180681353</v>
      </c>
      <c r="R148" s="263">
        <v>109663.69677981708</v>
      </c>
      <c r="S148" s="259">
        <v>122848.49389066864</v>
      </c>
      <c r="U148" s="7" t="s">
        <v>4226</v>
      </c>
    </row>
    <row r="149" spans="1:21" ht="16.5" thickBot="1">
      <c r="A149" s="41" t="s">
        <v>31</v>
      </c>
      <c r="B149" s="42">
        <f t="shared" si="6"/>
        <v>400</v>
      </c>
      <c r="C149" s="42" t="s">
        <v>3</v>
      </c>
      <c r="D149" s="42">
        <f t="shared" si="7"/>
        <v>360</v>
      </c>
      <c r="E149" s="42" t="s">
        <v>3</v>
      </c>
      <c r="F149" s="90">
        <f t="shared" si="8"/>
        <v>2500</v>
      </c>
      <c r="G149" s="42" t="s">
        <v>3</v>
      </c>
      <c r="H149" s="39">
        <v>8</v>
      </c>
      <c r="I149" s="40" t="s">
        <v>42</v>
      </c>
      <c r="J149" s="149">
        <v>400</v>
      </c>
      <c r="K149" s="66">
        <v>360</v>
      </c>
      <c r="L149" s="66">
        <v>2500</v>
      </c>
      <c r="M149" s="164">
        <v>53.667712947024199</v>
      </c>
      <c r="N149" s="78">
        <v>5409.6355177171454</v>
      </c>
      <c r="O149" s="113">
        <v>74606.785351612634</v>
      </c>
      <c r="P149" s="111">
        <v>88037.776057969881</v>
      </c>
      <c r="Q149" s="254">
        <v>36984.101064919538</v>
      </c>
      <c r="R149" s="263">
        <v>111590.88641653217</v>
      </c>
      <c r="S149" s="259">
        <v>125021.87712288942</v>
      </c>
      <c r="U149" s="7" t="s">
        <v>4227</v>
      </c>
    </row>
    <row r="150" spans="1:21" ht="16.5" thickBot="1">
      <c r="A150" s="41" t="s">
        <v>31</v>
      </c>
      <c r="B150" s="42">
        <f t="shared" si="6"/>
        <v>400</v>
      </c>
      <c r="C150" s="42" t="s">
        <v>3</v>
      </c>
      <c r="D150" s="42">
        <f t="shared" si="7"/>
        <v>360</v>
      </c>
      <c r="E150" s="42" t="s">
        <v>3</v>
      </c>
      <c r="F150" s="90">
        <f t="shared" si="8"/>
        <v>2550</v>
      </c>
      <c r="G150" s="42" t="s">
        <v>3</v>
      </c>
      <c r="H150" s="39">
        <v>8</v>
      </c>
      <c r="I150" s="40" t="s">
        <v>42</v>
      </c>
      <c r="J150" s="149">
        <v>400</v>
      </c>
      <c r="K150" s="66">
        <v>360</v>
      </c>
      <c r="L150" s="66">
        <v>2550</v>
      </c>
      <c r="M150" s="164">
        <v>54.681061341386311</v>
      </c>
      <c r="N150" s="78">
        <v>5535.4409948733582</v>
      </c>
      <c r="O150" s="113">
        <v>75930.554257118318</v>
      </c>
      <c r="P150" s="111">
        <v>89607.738405952492</v>
      </c>
      <c r="Q150" s="254">
        <v>37838.856239970264</v>
      </c>
      <c r="R150" s="263">
        <v>113769.41049708858</v>
      </c>
      <c r="S150" s="259">
        <v>127446.59464592276</v>
      </c>
      <c r="U150" s="7" t="s">
        <v>4228</v>
      </c>
    </row>
    <row r="151" spans="1:21" ht="16.5" thickBot="1">
      <c r="A151" s="38" t="s">
        <v>31</v>
      </c>
      <c r="B151" s="39">
        <f t="shared" si="6"/>
        <v>400</v>
      </c>
      <c r="C151" s="39" t="s">
        <v>3</v>
      </c>
      <c r="D151" s="39">
        <f t="shared" si="7"/>
        <v>360</v>
      </c>
      <c r="E151" s="39" t="s">
        <v>3</v>
      </c>
      <c r="F151" s="90">
        <f t="shared" si="8"/>
        <v>2600</v>
      </c>
      <c r="G151" s="39" t="s">
        <v>3</v>
      </c>
      <c r="H151" s="39">
        <v>8</v>
      </c>
      <c r="I151" s="40" t="s">
        <v>42</v>
      </c>
      <c r="J151" s="149">
        <v>400</v>
      </c>
      <c r="K151" s="66">
        <v>360</v>
      </c>
      <c r="L151" s="66">
        <v>2600</v>
      </c>
      <c r="M151" s="164">
        <v>55.677369735748421</v>
      </c>
      <c r="N151" s="78">
        <v>5661.2464720295711</v>
      </c>
      <c r="O151" s="113">
        <v>77254.323162624001</v>
      </c>
      <c r="P151" s="111">
        <v>91177.700753935089</v>
      </c>
      <c r="Q151" s="254">
        <v>38442.277124208456</v>
      </c>
      <c r="R151" s="263">
        <v>115696.60028683246</v>
      </c>
      <c r="S151" s="259">
        <v>129619.97787814355</v>
      </c>
      <c r="U151" s="7" t="s">
        <v>4229</v>
      </c>
    </row>
    <row r="152" spans="1:21" ht="16.5" thickBot="1">
      <c r="A152" s="41" t="s">
        <v>31</v>
      </c>
      <c r="B152" s="42">
        <f t="shared" si="6"/>
        <v>400</v>
      </c>
      <c r="C152" s="42" t="s">
        <v>3</v>
      </c>
      <c r="D152" s="42">
        <f t="shared" si="7"/>
        <v>360</v>
      </c>
      <c r="E152" s="42" t="s">
        <v>3</v>
      </c>
      <c r="F152" s="90">
        <f t="shared" si="8"/>
        <v>2650</v>
      </c>
      <c r="G152" s="42" t="s">
        <v>3</v>
      </c>
      <c r="H152" s="39">
        <v>8</v>
      </c>
      <c r="I152" s="40" t="s">
        <v>42</v>
      </c>
      <c r="J152" s="149">
        <v>400</v>
      </c>
      <c r="K152" s="66">
        <v>360</v>
      </c>
      <c r="L152" s="66">
        <v>2650</v>
      </c>
      <c r="M152" s="164">
        <v>56.690718130110533</v>
      </c>
      <c r="N152" s="78">
        <v>5787.0519491857831</v>
      </c>
      <c r="O152" s="113">
        <v>78578.0919151009</v>
      </c>
      <c r="P152" s="111">
        <v>92747.663101917686</v>
      </c>
      <c r="Q152" s="254">
        <v>39297.032146230413</v>
      </c>
      <c r="R152" s="263">
        <v>117875.12406133131</v>
      </c>
      <c r="S152" s="259">
        <v>132044.69524814811</v>
      </c>
      <c r="U152" s="7" t="s">
        <v>4230</v>
      </c>
    </row>
    <row r="153" spans="1:21">
      <c r="A153" s="43" t="s">
        <v>31</v>
      </c>
      <c r="B153" s="44">
        <f t="shared" si="6"/>
        <v>400</v>
      </c>
      <c r="C153" s="44" t="s">
        <v>3</v>
      </c>
      <c r="D153" s="44">
        <f t="shared" si="7"/>
        <v>360</v>
      </c>
      <c r="E153" s="44" t="s">
        <v>3</v>
      </c>
      <c r="F153" s="91">
        <f t="shared" si="8"/>
        <v>2700</v>
      </c>
      <c r="G153" s="44" t="s">
        <v>3</v>
      </c>
      <c r="H153" s="46">
        <v>8</v>
      </c>
      <c r="I153" s="45" t="s">
        <v>42</v>
      </c>
      <c r="J153" s="265">
        <v>400</v>
      </c>
      <c r="K153" s="266">
        <v>360</v>
      </c>
      <c r="L153" s="266">
        <v>2700</v>
      </c>
      <c r="M153" s="249">
        <v>57.844026524472639</v>
      </c>
      <c r="N153" s="250">
        <v>5912.857426341996</v>
      </c>
      <c r="O153" s="251">
        <v>80070.057337844482</v>
      </c>
      <c r="P153" s="280">
        <v>94486.848790152188</v>
      </c>
      <c r="Q153" s="267">
        <v>39900.453030468605</v>
      </c>
      <c r="R153" s="268">
        <v>119970.51036831309</v>
      </c>
      <c r="S153" s="269">
        <v>134387.30182062078</v>
      </c>
      <c r="U153" s="7" t="s">
        <v>4231</v>
      </c>
    </row>
    <row r="154" spans="1:21" ht="16.5" thickBot="1">
      <c r="A154" s="289" t="s">
        <v>31</v>
      </c>
      <c r="B154" s="290">
        <f t="shared" si="6"/>
        <v>400</v>
      </c>
      <c r="C154" s="290" t="s">
        <v>3</v>
      </c>
      <c r="D154" s="290">
        <f t="shared" si="7"/>
        <v>360</v>
      </c>
      <c r="E154" s="290" t="s">
        <v>3</v>
      </c>
      <c r="F154" s="291">
        <f t="shared" si="8"/>
        <v>2750</v>
      </c>
      <c r="G154" s="290" t="s">
        <v>3</v>
      </c>
      <c r="H154" s="290">
        <v>8</v>
      </c>
      <c r="I154" s="292" t="s">
        <v>42</v>
      </c>
      <c r="J154" s="149">
        <v>400</v>
      </c>
      <c r="K154" s="66">
        <v>360</v>
      </c>
      <c r="L154" s="66">
        <v>2750</v>
      </c>
      <c r="M154" s="164">
        <v>58.840334918834742</v>
      </c>
      <c r="N154" s="78">
        <v>6038.6629034982088</v>
      </c>
      <c r="O154" s="113">
        <v>81393.826243350151</v>
      </c>
      <c r="P154" s="111">
        <v>96056.811138134784</v>
      </c>
      <c r="Q154" s="254">
        <v>40503.87391470679</v>
      </c>
      <c r="R154" s="263">
        <v>121897.70015805695</v>
      </c>
      <c r="S154" s="259">
        <v>136560.68505284158</v>
      </c>
      <c r="U154" s="7" t="s">
        <v>4232</v>
      </c>
    </row>
    <row r="155" spans="1:21" ht="16.5" thickBot="1">
      <c r="A155" s="41" t="s">
        <v>31</v>
      </c>
      <c r="B155" s="42">
        <f t="shared" si="6"/>
        <v>400</v>
      </c>
      <c r="C155" s="42" t="s">
        <v>3</v>
      </c>
      <c r="D155" s="42">
        <f t="shared" si="7"/>
        <v>360</v>
      </c>
      <c r="E155" s="42" t="s">
        <v>3</v>
      </c>
      <c r="F155" s="90">
        <f t="shared" si="8"/>
        <v>2800</v>
      </c>
      <c r="G155" s="42" t="s">
        <v>3</v>
      </c>
      <c r="H155" s="39">
        <v>8</v>
      </c>
      <c r="I155" s="40" t="s">
        <v>42</v>
      </c>
      <c r="J155" s="149">
        <v>400</v>
      </c>
      <c r="K155" s="66">
        <v>360</v>
      </c>
      <c r="L155" s="66">
        <v>2800</v>
      </c>
      <c r="M155" s="164">
        <v>59.853683313196839</v>
      </c>
      <c r="N155" s="78">
        <v>6164.4683806544217</v>
      </c>
      <c r="O155" s="113">
        <v>82717.595148855835</v>
      </c>
      <c r="P155" s="111">
        <v>97626.773333088611</v>
      </c>
      <c r="Q155" s="254">
        <v>41358.628936728746</v>
      </c>
      <c r="R155" s="263">
        <v>124076.22408558457</v>
      </c>
      <c r="S155" s="259">
        <v>138985.40226981736</v>
      </c>
      <c r="U155" s="7" t="s">
        <v>4233</v>
      </c>
    </row>
    <row r="156" spans="1:21" ht="16.5" thickBot="1">
      <c r="A156" s="41" t="s">
        <v>31</v>
      </c>
      <c r="B156" s="42">
        <f t="shared" si="6"/>
        <v>400</v>
      </c>
      <c r="C156" s="42" t="s">
        <v>3</v>
      </c>
      <c r="D156" s="42">
        <f t="shared" si="7"/>
        <v>360</v>
      </c>
      <c r="E156" s="42" t="s">
        <v>3</v>
      </c>
      <c r="F156" s="90">
        <f t="shared" si="8"/>
        <v>2850</v>
      </c>
      <c r="G156" s="42" t="s">
        <v>3</v>
      </c>
      <c r="H156" s="39">
        <v>8</v>
      </c>
      <c r="I156" s="40" t="s">
        <v>42</v>
      </c>
      <c r="J156" s="149">
        <v>400</v>
      </c>
      <c r="K156" s="66">
        <v>360</v>
      </c>
      <c r="L156" s="66">
        <v>2850</v>
      </c>
      <c r="M156" s="164">
        <v>60.849991707558949</v>
      </c>
      <c r="N156" s="78">
        <v>6290.2738578106346</v>
      </c>
      <c r="O156" s="113">
        <v>84041.363901332734</v>
      </c>
      <c r="P156" s="111">
        <v>99196.735681071237</v>
      </c>
      <c r="Q156" s="254">
        <v>41962.049820966939</v>
      </c>
      <c r="R156" s="263">
        <v>126003.41372229968</v>
      </c>
      <c r="S156" s="259">
        <v>141158.78550203817</v>
      </c>
      <c r="U156" s="7" t="s">
        <v>4234</v>
      </c>
    </row>
    <row r="157" spans="1:21" ht="16.5" thickBot="1">
      <c r="A157" s="41" t="s">
        <v>31</v>
      </c>
      <c r="B157" s="42">
        <f t="shared" si="6"/>
        <v>400</v>
      </c>
      <c r="C157" s="42" t="s">
        <v>3</v>
      </c>
      <c r="D157" s="42">
        <f t="shared" si="7"/>
        <v>360</v>
      </c>
      <c r="E157" s="42" t="s">
        <v>3</v>
      </c>
      <c r="F157" s="90">
        <f t="shared" si="8"/>
        <v>2900</v>
      </c>
      <c r="G157" s="42" t="s">
        <v>3</v>
      </c>
      <c r="H157" s="39">
        <v>8</v>
      </c>
      <c r="I157" s="40" t="s">
        <v>42</v>
      </c>
      <c r="J157" s="149">
        <v>400</v>
      </c>
      <c r="K157" s="66">
        <v>360</v>
      </c>
      <c r="L157" s="66">
        <v>2900</v>
      </c>
      <c r="M157" s="164">
        <v>61.863340101921054</v>
      </c>
      <c r="N157" s="78">
        <v>6416.0793349668465</v>
      </c>
      <c r="O157" s="113">
        <v>85365.132806838417</v>
      </c>
      <c r="P157" s="111">
        <v>100766.69802905382</v>
      </c>
      <c r="Q157" s="254">
        <v>42816.804842988895</v>
      </c>
      <c r="R157" s="263">
        <v>128181.9376498273</v>
      </c>
      <c r="S157" s="259">
        <v>143583.50287204271</v>
      </c>
      <c r="U157" s="7" t="s">
        <v>4235</v>
      </c>
    </row>
    <row r="158" spans="1:21" ht="16.5" thickBot="1">
      <c r="A158" s="41" t="s">
        <v>31</v>
      </c>
      <c r="B158" s="42">
        <f t="shared" si="6"/>
        <v>400</v>
      </c>
      <c r="C158" s="42" t="s">
        <v>3</v>
      </c>
      <c r="D158" s="42">
        <f t="shared" si="7"/>
        <v>360</v>
      </c>
      <c r="E158" s="42" t="s">
        <v>3</v>
      </c>
      <c r="F158" s="90">
        <f t="shared" si="8"/>
        <v>2950</v>
      </c>
      <c r="G158" s="42" t="s">
        <v>3</v>
      </c>
      <c r="H158" s="39">
        <v>8</v>
      </c>
      <c r="I158" s="40" t="s">
        <v>42</v>
      </c>
      <c r="J158" s="149">
        <v>400</v>
      </c>
      <c r="K158" s="66">
        <v>360</v>
      </c>
      <c r="L158" s="66">
        <v>2950</v>
      </c>
      <c r="M158" s="164">
        <v>62.859648496283164</v>
      </c>
      <c r="N158" s="78">
        <v>6541.8848121230594</v>
      </c>
      <c r="O158" s="113">
        <v>86688.901712344086</v>
      </c>
      <c r="P158" s="111">
        <v>102336.66037703643</v>
      </c>
      <c r="Q158" s="254">
        <v>43420.22572722708</v>
      </c>
      <c r="R158" s="263">
        <v>130109.12743957117</v>
      </c>
      <c r="S158" s="259">
        <v>145756.88610426351</v>
      </c>
      <c r="U158" s="7" t="s">
        <v>4236</v>
      </c>
    </row>
    <row r="159" spans="1:21" ht="16.5" thickBot="1">
      <c r="A159" s="41" t="s">
        <v>31</v>
      </c>
      <c r="B159" s="42">
        <f t="shared" si="6"/>
        <v>400</v>
      </c>
      <c r="C159" s="42" t="s">
        <v>3</v>
      </c>
      <c r="D159" s="42">
        <f t="shared" si="7"/>
        <v>360</v>
      </c>
      <c r="E159" s="42" t="s">
        <v>3</v>
      </c>
      <c r="F159" s="90">
        <f t="shared" si="8"/>
        <v>3000</v>
      </c>
      <c r="G159" s="42" t="s">
        <v>3</v>
      </c>
      <c r="H159" s="39">
        <v>8</v>
      </c>
      <c r="I159" s="40" t="s">
        <v>42</v>
      </c>
      <c r="J159" s="151">
        <v>400</v>
      </c>
      <c r="K159" s="126">
        <v>360</v>
      </c>
      <c r="L159" s="126">
        <v>3000</v>
      </c>
      <c r="M159" s="171">
        <v>63.872996890645261</v>
      </c>
      <c r="N159" s="127">
        <v>6667.6902892792723</v>
      </c>
      <c r="O159" s="128">
        <v>89293.592081235518</v>
      </c>
      <c r="P159" s="135">
        <v>103906.62272501903</v>
      </c>
      <c r="Q159" s="255">
        <v>44274.980749249036</v>
      </c>
      <c r="R159" s="264">
        <v>133568.57283048454</v>
      </c>
      <c r="S159" s="261">
        <v>148181.60347426805</v>
      </c>
      <c r="U159" s="7" t="s">
        <v>4237</v>
      </c>
    </row>
    <row r="160" spans="1:21">
      <c r="M160" s="85"/>
      <c r="P160" s="84"/>
      <c r="S160" s="84"/>
    </row>
    <row r="161" spans="13:19">
      <c r="M161" s="85"/>
      <c r="P161" s="84"/>
      <c r="S161" s="84"/>
    </row>
    <row r="162" spans="13:19">
      <c r="M162" s="85"/>
      <c r="P162" s="84"/>
      <c r="S162" s="84"/>
    </row>
    <row r="163" spans="13:19">
      <c r="M163" s="85"/>
      <c r="P163" s="84"/>
      <c r="S163" s="84"/>
    </row>
    <row r="164" spans="13:19">
      <c r="M164" s="85"/>
      <c r="P164" s="84"/>
      <c r="S164" s="84"/>
    </row>
    <row r="165" spans="13:19">
      <c r="M165" s="85"/>
      <c r="P165" s="84"/>
      <c r="S165" s="84"/>
    </row>
    <row r="166" spans="13:19">
      <c r="M166" s="85"/>
      <c r="P166" s="84"/>
      <c r="S166" s="84"/>
    </row>
    <row r="167" spans="13:19">
      <c r="M167" s="85"/>
      <c r="P167" s="84"/>
      <c r="S167" s="84"/>
    </row>
    <row r="168" spans="13:19">
      <c r="M168" s="85"/>
      <c r="P168" s="84"/>
      <c r="S168" s="84"/>
    </row>
    <row r="169" spans="13:19">
      <c r="M169" s="85"/>
      <c r="P169" s="84"/>
      <c r="S169" s="84"/>
    </row>
    <row r="170" spans="13:19">
      <c r="M170" s="85"/>
      <c r="P170" s="84"/>
      <c r="S170" s="84"/>
    </row>
    <row r="171" spans="13:19">
      <c r="M171" s="85"/>
      <c r="P171" s="84"/>
      <c r="S171" s="84"/>
    </row>
    <row r="172" spans="13:19">
      <c r="M172" s="85"/>
      <c r="P172" s="84"/>
      <c r="S172" s="84"/>
    </row>
    <row r="173" spans="13:19">
      <c r="M173" s="85"/>
      <c r="P173" s="84"/>
      <c r="S173" s="84"/>
    </row>
    <row r="174" spans="13:19">
      <c r="M174" s="85"/>
      <c r="P174" s="84"/>
      <c r="S174" s="84"/>
    </row>
    <row r="175" spans="13:19">
      <c r="M175" s="85"/>
      <c r="P175" s="84"/>
      <c r="S175" s="84"/>
    </row>
    <row r="176" spans="13:19">
      <c r="M176" s="85"/>
      <c r="P176" s="84"/>
      <c r="S176" s="84"/>
    </row>
    <row r="177" spans="13:19">
      <c r="M177" s="85"/>
      <c r="P177" s="84"/>
      <c r="S177" s="84"/>
    </row>
    <row r="178" spans="13:19">
      <c r="M178" s="85"/>
      <c r="P178" s="84"/>
      <c r="S178" s="84"/>
    </row>
    <row r="179" spans="13:19">
      <c r="M179" s="85"/>
      <c r="P179" s="84"/>
      <c r="S179" s="84"/>
    </row>
    <row r="180" spans="13:19">
      <c r="M180" s="85"/>
      <c r="P180" s="84"/>
      <c r="S180" s="84"/>
    </row>
    <row r="181" spans="13:19">
      <c r="M181" s="85"/>
      <c r="P181" s="84"/>
      <c r="S181" s="84"/>
    </row>
    <row r="182" spans="13:19">
      <c r="M182" s="85"/>
      <c r="P182" s="84"/>
      <c r="S182" s="84"/>
    </row>
    <row r="183" spans="13:19">
      <c r="M183" s="85"/>
      <c r="P183" s="84"/>
      <c r="S183" s="84"/>
    </row>
    <row r="184" spans="13:19">
      <c r="M184" s="85"/>
      <c r="P184" s="84"/>
      <c r="S184" s="84"/>
    </row>
    <row r="185" spans="13:19">
      <c r="M185" s="85"/>
      <c r="P185" s="84"/>
      <c r="S185" s="84"/>
    </row>
    <row r="186" spans="13:19">
      <c r="M186" s="85"/>
      <c r="P186" s="84"/>
      <c r="S186" s="84"/>
    </row>
    <row r="187" spans="13:19">
      <c r="M187" s="85"/>
      <c r="P187" s="84"/>
      <c r="S187" s="84"/>
    </row>
    <row r="188" spans="13:19">
      <c r="M188" s="85"/>
      <c r="P188" s="84"/>
      <c r="S188" s="84"/>
    </row>
    <row r="189" spans="13:19">
      <c r="M189" s="85"/>
      <c r="P189" s="84"/>
      <c r="S189" s="84"/>
    </row>
    <row r="190" spans="13:19">
      <c r="M190" s="85"/>
      <c r="P190" s="84"/>
      <c r="S190" s="84"/>
    </row>
    <row r="191" spans="13:19">
      <c r="M191" s="85"/>
      <c r="P191" s="84"/>
      <c r="S191" s="84"/>
    </row>
    <row r="192" spans="13:19">
      <c r="M192" s="85"/>
      <c r="P192" s="84"/>
      <c r="S192" s="84"/>
    </row>
    <row r="193" spans="13:19">
      <c r="M193" s="85"/>
      <c r="P193" s="84"/>
      <c r="S193" s="84"/>
    </row>
    <row r="194" spans="13:19">
      <c r="M194" s="85"/>
      <c r="P194" s="84"/>
      <c r="S194" s="84"/>
    </row>
    <row r="195" spans="13:19">
      <c r="M195" s="85"/>
      <c r="P195" s="84"/>
      <c r="S195" s="84"/>
    </row>
    <row r="196" spans="13:19">
      <c r="M196" s="85"/>
      <c r="P196" s="84"/>
      <c r="S196" s="84"/>
    </row>
    <row r="197" spans="13:19">
      <c r="M197" s="85"/>
      <c r="P197" s="84"/>
      <c r="S197" s="84"/>
    </row>
    <row r="198" spans="13:19">
      <c r="M198" s="85"/>
      <c r="P198" s="84"/>
      <c r="S198" s="84"/>
    </row>
    <row r="199" spans="13:19">
      <c r="M199" s="85"/>
      <c r="P199" s="84"/>
      <c r="S199" s="84"/>
    </row>
    <row r="200" spans="13:19">
      <c r="M200" s="85"/>
      <c r="P200" s="84"/>
      <c r="S200" s="84"/>
    </row>
    <row r="201" spans="13:19">
      <c r="M201" s="85"/>
      <c r="P201" s="84"/>
      <c r="S201" s="84"/>
    </row>
    <row r="202" spans="13:19">
      <c r="M202" s="85"/>
      <c r="P202" s="84"/>
      <c r="S202" s="84"/>
    </row>
    <row r="203" spans="13:19">
      <c r="M203" s="85"/>
      <c r="P203" s="84"/>
      <c r="S203" s="84"/>
    </row>
    <row r="204" spans="13:19">
      <c r="M204" s="85"/>
      <c r="P204" s="84"/>
      <c r="S204" s="84"/>
    </row>
    <row r="205" spans="13:19">
      <c r="M205" s="85"/>
      <c r="P205" s="84"/>
      <c r="S205" s="84"/>
    </row>
    <row r="206" spans="13:19">
      <c r="M206" s="85"/>
      <c r="P206" s="84"/>
      <c r="S206" s="84"/>
    </row>
    <row r="207" spans="13:19">
      <c r="M207" s="85"/>
      <c r="P207" s="84"/>
      <c r="S207" s="84"/>
    </row>
    <row r="208" spans="13:19">
      <c r="M208" s="85"/>
      <c r="P208" s="84"/>
      <c r="S208" s="84"/>
    </row>
    <row r="209" spans="13:19">
      <c r="M209" s="85"/>
      <c r="P209" s="84"/>
      <c r="S209" s="84"/>
    </row>
    <row r="210" spans="13:19">
      <c r="M210" s="85"/>
      <c r="P210" s="84"/>
      <c r="S210" s="84"/>
    </row>
    <row r="211" spans="13:19">
      <c r="M211" s="85"/>
      <c r="P211" s="84"/>
      <c r="S211" s="84"/>
    </row>
    <row r="212" spans="13:19">
      <c r="M212" s="85"/>
      <c r="P212" s="84"/>
      <c r="S212" s="84"/>
    </row>
    <row r="213" spans="13:19">
      <c r="M213" s="85"/>
      <c r="P213" s="84"/>
      <c r="S213" s="84"/>
    </row>
    <row r="214" spans="13:19">
      <c r="M214" s="85"/>
      <c r="P214" s="84"/>
      <c r="S214" s="84"/>
    </row>
    <row r="215" spans="13:19">
      <c r="M215" s="85"/>
      <c r="P215" s="84"/>
      <c r="S215" s="84"/>
    </row>
    <row r="216" spans="13:19">
      <c r="M216" s="85"/>
      <c r="P216" s="84"/>
      <c r="S216" s="84"/>
    </row>
    <row r="217" spans="13:19">
      <c r="M217" s="85"/>
      <c r="P217" s="84"/>
      <c r="S217" s="84"/>
    </row>
    <row r="218" spans="13:19">
      <c r="M218" s="85"/>
      <c r="P218" s="84"/>
      <c r="S218" s="84"/>
    </row>
    <row r="219" spans="13:19">
      <c r="M219" s="85"/>
      <c r="P219" s="84"/>
      <c r="S219" s="84"/>
    </row>
    <row r="220" spans="13:19">
      <c r="M220" s="85"/>
      <c r="P220" s="84"/>
      <c r="S220" s="84"/>
    </row>
    <row r="221" spans="13:19">
      <c r="M221" s="85"/>
      <c r="P221" s="84"/>
      <c r="S221" s="84"/>
    </row>
    <row r="222" spans="13:19">
      <c r="M222" s="85"/>
      <c r="P222" s="84"/>
      <c r="S222" s="84"/>
    </row>
    <row r="223" spans="13:19">
      <c r="M223" s="85"/>
      <c r="P223" s="84"/>
      <c r="S223" s="84"/>
    </row>
    <row r="224" spans="13:19">
      <c r="M224" s="85"/>
      <c r="P224" s="84"/>
      <c r="S224" s="84"/>
    </row>
    <row r="225" spans="13:19">
      <c r="M225" s="85"/>
      <c r="P225" s="84"/>
      <c r="S225" s="84"/>
    </row>
    <row r="226" spans="13:19">
      <c r="M226" s="85"/>
      <c r="P226" s="84"/>
      <c r="S226" s="84"/>
    </row>
    <row r="227" spans="13:19">
      <c r="M227" s="85"/>
      <c r="P227" s="84"/>
      <c r="S227" s="84"/>
    </row>
    <row r="228" spans="13:19">
      <c r="M228" s="85"/>
      <c r="P228" s="84"/>
      <c r="S228" s="84"/>
    </row>
    <row r="229" spans="13:19">
      <c r="M229" s="85"/>
      <c r="P229" s="84"/>
      <c r="S229" s="84"/>
    </row>
    <row r="230" spans="13:19">
      <c r="M230" s="85"/>
      <c r="P230" s="84"/>
      <c r="S230" s="84"/>
    </row>
    <row r="231" spans="13:19">
      <c r="M231" s="85"/>
      <c r="P231" s="84"/>
      <c r="S231" s="84"/>
    </row>
    <row r="232" spans="13:19">
      <c r="M232" s="85"/>
      <c r="P232" s="84"/>
      <c r="S232" s="84"/>
    </row>
    <row r="233" spans="13:19">
      <c r="M233" s="85"/>
      <c r="P233" s="84"/>
      <c r="S233" s="84"/>
    </row>
    <row r="234" spans="13:19">
      <c r="M234" s="85"/>
      <c r="P234" s="84"/>
      <c r="S234" s="84"/>
    </row>
    <row r="235" spans="13:19">
      <c r="M235" s="85"/>
      <c r="P235" s="84"/>
      <c r="S235" s="84"/>
    </row>
    <row r="236" spans="13:19">
      <c r="M236" s="85"/>
      <c r="P236" s="84"/>
      <c r="S236" s="84"/>
    </row>
    <row r="237" spans="13:19">
      <c r="M237" s="85"/>
      <c r="P237" s="84"/>
      <c r="S237" s="84"/>
    </row>
    <row r="238" spans="13:19">
      <c r="M238" s="85"/>
      <c r="P238" s="84"/>
      <c r="S238" s="84"/>
    </row>
    <row r="239" spans="13:19">
      <c r="M239" s="85"/>
      <c r="P239" s="84"/>
      <c r="S239" s="84"/>
    </row>
    <row r="240" spans="13:19">
      <c r="M240" s="85"/>
      <c r="P240" s="84"/>
      <c r="S240" s="84"/>
    </row>
    <row r="241" spans="13:19">
      <c r="M241" s="85"/>
      <c r="P241" s="84"/>
      <c r="S241" s="84"/>
    </row>
    <row r="242" spans="13:19">
      <c r="M242" s="85"/>
      <c r="P242" s="84"/>
      <c r="S242" s="84"/>
    </row>
    <row r="243" spans="13:19">
      <c r="M243" s="85"/>
      <c r="P243" s="84"/>
      <c r="S243" s="84"/>
    </row>
    <row r="244" spans="13:19">
      <c r="M244" s="85"/>
      <c r="P244" s="84"/>
      <c r="S244" s="84"/>
    </row>
    <row r="245" spans="13:19">
      <c r="M245" s="85"/>
      <c r="P245" s="84"/>
      <c r="S245" s="84"/>
    </row>
    <row r="246" spans="13:19">
      <c r="M246" s="85"/>
      <c r="P246" s="84"/>
      <c r="S246" s="84"/>
    </row>
    <row r="247" spans="13:19">
      <c r="M247" s="85"/>
      <c r="P247" s="84"/>
      <c r="S247" s="84"/>
    </row>
    <row r="248" spans="13:19">
      <c r="M248" s="85"/>
      <c r="P248" s="84"/>
      <c r="S248" s="84"/>
    </row>
    <row r="249" spans="13:19">
      <c r="M249" s="85"/>
      <c r="P249" s="84"/>
      <c r="S249" s="84"/>
    </row>
    <row r="250" spans="13:19">
      <c r="M250" s="85"/>
      <c r="P250" s="84"/>
      <c r="S250" s="84"/>
    </row>
    <row r="251" spans="13:19">
      <c r="M251" s="85"/>
      <c r="P251" s="84"/>
      <c r="S251" s="84"/>
    </row>
    <row r="252" spans="13:19">
      <c r="M252" s="85"/>
      <c r="P252" s="84"/>
      <c r="S252" s="84"/>
    </row>
    <row r="253" spans="13:19">
      <c r="M253" s="85"/>
      <c r="P253" s="84"/>
      <c r="S253" s="84"/>
    </row>
    <row r="254" spans="13:19">
      <c r="M254" s="85"/>
      <c r="P254" s="84"/>
      <c r="S254" s="84"/>
    </row>
    <row r="255" spans="13:19">
      <c r="M255" s="85"/>
      <c r="P255" s="84"/>
      <c r="S255" s="84"/>
    </row>
    <row r="256" spans="13:19">
      <c r="M256" s="85"/>
      <c r="P256" s="84"/>
      <c r="S256" s="84"/>
    </row>
    <row r="257" spans="13:19">
      <c r="M257" s="85"/>
      <c r="P257" s="84"/>
      <c r="S257" s="84"/>
    </row>
    <row r="258" spans="13:19">
      <c r="M258" s="85"/>
      <c r="P258" s="84"/>
      <c r="S258" s="84"/>
    </row>
    <row r="259" spans="13:19">
      <c r="M259" s="85"/>
      <c r="P259" s="84"/>
      <c r="S259" s="84"/>
    </row>
    <row r="260" spans="13:19">
      <c r="M260" s="85"/>
      <c r="P260" s="84"/>
      <c r="S260" s="84"/>
    </row>
    <row r="261" spans="13:19">
      <c r="M261" s="85"/>
      <c r="P261" s="84"/>
      <c r="S261" s="84"/>
    </row>
    <row r="262" spans="13:19">
      <c r="M262" s="85"/>
      <c r="P262" s="84"/>
      <c r="S262" s="84"/>
    </row>
    <row r="263" spans="13:19">
      <c r="M263" s="85"/>
      <c r="P263" s="84"/>
      <c r="S263" s="84"/>
    </row>
    <row r="264" spans="13:19">
      <c r="M264" s="85"/>
      <c r="P264" s="84"/>
      <c r="S264" s="84"/>
    </row>
    <row r="265" spans="13:19">
      <c r="M265" s="85"/>
      <c r="P265" s="84"/>
      <c r="S265" s="84"/>
    </row>
    <row r="266" spans="13:19">
      <c r="M266" s="85"/>
      <c r="P266" s="84"/>
      <c r="S266" s="84"/>
    </row>
    <row r="267" spans="13:19">
      <c r="M267" s="85"/>
      <c r="P267" s="84"/>
      <c r="S267" s="84"/>
    </row>
    <row r="268" spans="13:19">
      <c r="M268" s="85"/>
      <c r="P268" s="84"/>
      <c r="S268" s="84"/>
    </row>
    <row r="269" spans="13:19">
      <c r="M269" s="85"/>
      <c r="P269" s="84"/>
      <c r="S269" s="84"/>
    </row>
    <row r="270" spans="13:19">
      <c r="M270" s="85"/>
      <c r="P270" s="84"/>
      <c r="S270" s="84"/>
    </row>
    <row r="271" spans="13:19">
      <c r="M271" s="85"/>
      <c r="P271" s="84"/>
      <c r="S271" s="84"/>
    </row>
    <row r="272" spans="13:19">
      <c r="M272" s="85"/>
      <c r="P272" s="84"/>
      <c r="S272" s="84"/>
    </row>
    <row r="273" spans="13:19">
      <c r="M273" s="85"/>
      <c r="P273" s="84"/>
      <c r="S273" s="84"/>
    </row>
    <row r="274" spans="13:19">
      <c r="M274" s="85"/>
      <c r="P274" s="84"/>
      <c r="S274" s="84"/>
    </row>
    <row r="275" spans="13:19">
      <c r="M275" s="85"/>
      <c r="P275" s="84"/>
      <c r="S275" s="84"/>
    </row>
    <row r="276" spans="13:19">
      <c r="M276" s="85"/>
      <c r="P276" s="84"/>
      <c r="S276" s="84"/>
    </row>
    <row r="277" spans="13:19">
      <c r="M277" s="85"/>
      <c r="P277" s="84"/>
      <c r="S277" s="84"/>
    </row>
    <row r="278" spans="13:19">
      <c r="M278" s="85"/>
      <c r="P278" s="84"/>
      <c r="S278" s="84"/>
    </row>
    <row r="279" spans="13:19">
      <c r="M279" s="85"/>
      <c r="P279" s="84"/>
      <c r="S279" s="84"/>
    </row>
    <row r="280" spans="13:19">
      <c r="M280" s="85"/>
      <c r="P280" s="84"/>
      <c r="S280" s="84"/>
    </row>
    <row r="281" spans="13:19">
      <c r="M281" s="85"/>
      <c r="P281" s="84"/>
      <c r="S281" s="84"/>
    </row>
    <row r="282" spans="13:19">
      <c r="M282" s="85"/>
      <c r="P282" s="84"/>
      <c r="S282" s="84"/>
    </row>
    <row r="283" spans="13:19">
      <c r="M283" s="85"/>
      <c r="P283" s="84"/>
      <c r="S283" s="84"/>
    </row>
    <row r="284" spans="13:19">
      <c r="M284" s="85"/>
      <c r="P284" s="84"/>
      <c r="S284" s="84"/>
    </row>
    <row r="285" spans="13:19">
      <c r="M285" s="85"/>
      <c r="P285" s="84"/>
      <c r="S285" s="84"/>
    </row>
    <row r="286" spans="13:19">
      <c r="M286" s="85"/>
      <c r="P286" s="84"/>
      <c r="S286" s="84"/>
    </row>
    <row r="287" spans="13:19">
      <c r="M287" s="85"/>
      <c r="P287" s="84"/>
      <c r="S287" s="84"/>
    </row>
    <row r="288" spans="13:19">
      <c r="M288" s="85"/>
      <c r="P288" s="84"/>
      <c r="S288" s="84"/>
    </row>
    <row r="289" spans="13:19">
      <c r="M289" s="85"/>
      <c r="P289" s="84"/>
      <c r="S289" s="84"/>
    </row>
    <row r="290" spans="13:19">
      <c r="M290" s="85"/>
      <c r="P290" s="84"/>
      <c r="S290" s="84"/>
    </row>
    <row r="291" spans="13:19">
      <c r="M291" s="85"/>
      <c r="P291" s="84"/>
      <c r="S291" s="84"/>
    </row>
    <row r="292" spans="13:19">
      <c r="M292" s="85"/>
      <c r="P292" s="84"/>
      <c r="S292" s="84"/>
    </row>
    <row r="293" spans="13:19">
      <c r="M293" s="85"/>
      <c r="P293" s="84"/>
      <c r="S293" s="84"/>
    </row>
    <row r="294" spans="13:19">
      <c r="M294" s="85"/>
      <c r="P294" s="84"/>
      <c r="S294" s="84"/>
    </row>
    <row r="295" spans="13:19">
      <c r="M295" s="85"/>
      <c r="P295" s="84"/>
      <c r="S295" s="84"/>
    </row>
    <row r="296" spans="13:19">
      <c r="M296" s="85"/>
      <c r="P296" s="84"/>
      <c r="S296" s="84"/>
    </row>
    <row r="297" spans="13:19">
      <c r="M297" s="85"/>
      <c r="P297" s="84"/>
      <c r="S297" s="84"/>
    </row>
    <row r="298" spans="13:19">
      <c r="M298" s="85"/>
      <c r="P298" s="84"/>
      <c r="S298" s="84"/>
    </row>
    <row r="299" spans="13:19">
      <c r="M299" s="85"/>
      <c r="P299" s="84"/>
      <c r="S299" s="84"/>
    </row>
    <row r="300" spans="13:19">
      <c r="M300" s="85"/>
      <c r="P300" s="84"/>
      <c r="S300" s="84"/>
    </row>
    <row r="301" spans="13:19">
      <c r="M301" s="85"/>
      <c r="P301" s="84"/>
      <c r="S301" s="84"/>
    </row>
    <row r="302" spans="13:19">
      <c r="M302" s="85"/>
      <c r="P302" s="84"/>
      <c r="S302" s="84"/>
    </row>
    <row r="303" spans="13:19">
      <c r="M303" s="85"/>
      <c r="P303" s="84"/>
      <c r="S303" s="84"/>
    </row>
    <row r="304" spans="13:19">
      <c r="M304" s="85"/>
      <c r="P304" s="84"/>
      <c r="S304" s="84"/>
    </row>
    <row r="305" spans="13:19">
      <c r="M305" s="85"/>
      <c r="P305" s="84"/>
      <c r="S305" s="84"/>
    </row>
    <row r="306" spans="13:19">
      <c r="M306" s="85"/>
      <c r="P306" s="84"/>
      <c r="S306" s="84"/>
    </row>
    <row r="307" spans="13:19">
      <c r="M307" s="85"/>
      <c r="P307" s="84"/>
      <c r="S307" s="84"/>
    </row>
    <row r="308" spans="13:19">
      <c r="M308" s="85"/>
      <c r="P308" s="84"/>
      <c r="S308" s="84"/>
    </row>
    <row r="309" spans="13:19">
      <c r="M309" s="85"/>
      <c r="P309" s="84"/>
      <c r="S309" s="84"/>
    </row>
    <row r="310" spans="13:19">
      <c r="M310" s="85"/>
      <c r="P310" s="84"/>
      <c r="S310" s="84"/>
    </row>
    <row r="311" spans="13:19">
      <c r="M311" s="85"/>
      <c r="P311" s="84"/>
      <c r="S311" s="84"/>
    </row>
    <row r="312" spans="13:19">
      <c r="M312" s="85"/>
      <c r="P312" s="84"/>
      <c r="S312" s="84"/>
    </row>
    <row r="313" spans="13:19">
      <c r="M313" s="85"/>
      <c r="P313" s="84"/>
      <c r="S313" s="84"/>
    </row>
    <row r="314" spans="13:19">
      <c r="M314" s="85"/>
      <c r="P314" s="84"/>
      <c r="S314" s="84"/>
    </row>
    <row r="315" spans="13:19">
      <c r="M315" s="85"/>
      <c r="P315" s="84"/>
      <c r="S315" s="84"/>
    </row>
    <row r="316" spans="13:19">
      <c r="M316" s="85"/>
      <c r="P316" s="84"/>
      <c r="S316" s="84"/>
    </row>
    <row r="317" spans="13:19">
      <c r="M317" s="85"/>
      <c r="P317" s="84"/>
      <c r="S317" s="84"/>
    </row>
    <row r="318" spans="13:19">
      <c r="M318" s="85"/>
      <c r="P318" s="84"/>
      <c r="S318" s="84"/>
    </row>
    <row r="319" spans="13:19">
      <c r="M319" s="85"/>
      <c r="P319" s="84"/>
      <c r="S319" s="84"/>
    </row>
    <row r="320" spans="13:19">
      <c r="M320" s="85"/>
      <c r="P320" s="84"/>
      <c r="S320" s="84"/>
    </row>
    <row r="321" spans="13:19">
      <c r="M321" s="85"/>
      <c r="P321" s="84"/>
      <c r="S321" s="84"/>
    </row>
    <row r="322" spans="13:19">
      <c r="M322" s="85"/>
      <c r="P322" s="84"/>
      <c r="S322" s="84"/>
    </row>
    <row r="323" spans="13:19">
      <c r="M323" s="85"/>
      <c r="P323" s="84"/>
      <c r="S323" s="84"/>
    </row>
    <row r="324" spans="13:19">
      <c r="M324" s="85"/>
      <c r="P324" s="84"/>
      <c r="S324" s="84"/>
    </row>
    <row r="325" spans="13:19">
      <c r="M325" s="85"/>
      <c r="P325" s="84"/>
      <c r="S325" s="84"/>
    </row>
    <row r="326" spans="13:19">
      <c r="M326" s="85"/>
      <c r="P326" s="84"/>
      <c r="S326" s="84"/>
    </row>
    <row r="327" spans="13:19">
      <c r="M327" s="85"/>
      <c r="P327" s="84"/>
      <c r="S327" s="84"/>
    </row>
    <row r="328" spans="13:19">
      <c r="M328" s="85"/>
      <c r="P328" s="84"/>
      <c r="S328" s="84"/>
    </row>
    <row r="329" spans="13:19">
      <c r="M329" s="85"/>
      <c r="P329" s="84"/>
      <c r="S329" s="84"/>
    </row>
    <row r="330" spans="13:19">
      <c r="M330" s="85"/>
      <c r="P330" s="84"/>
      <c r="S330" s="84"/>
    </row>
    <row r="331" spans="13:19">
      <c r="M331" s="85"/>
      <c r="P331" s="84"/>
      <c r="S331" s="84"/>
    </row>
    <row r="332" spans="13:19">
      <c r="M332" s="85"/>
      <c r="P332" s="84"/>
      <c r="S332" s="84"/>
    </row>
    <row r="333" spans="13:19">
      <c r="M333" s="85"/>
      <c r="P333" s="84"/>
      <c r="S333" s="84"/>
    </row>
    <row r="334" spans="13:19">
      <c r="M334" s="85"/>
      <c r="P334" s="84"/>
      <c r="S334" s="84"/>
    </row>
    <row r="335" spans="13:19">
      <c r="M335" s="85"/>
      <c r="P335" s="84"/>
      <c r="S335" s="84"/>
    </row>
    <row r="336" spans="13:19">
      <c r="M336" s="85"/>
      <c r="P336" s="84"/>
      <c r="S336" s="84"/>
    </row>
    <row r="337" spans="13:19">
      <c r="M337" s="85"/>
      <c r="P337" s="84"/>
      <c r="S337" s="84"/>
    </row>
    <row r="338" spans="13:19">
      <c r="M338" s="85"/>
      <c r="P338" s="84"/>
      <c r="S338" s="84"/>
    </row>
    <row r="339" spans="13:19">
      <c r="M339" s="85"/>
      <c r="P339" s="84"/>
      <c r="S339" s="84"/>
    </row>
    <row r="340" spans="13:19">
      <c r="M340" s="85"/>
      <c r="P340" s="84"/>
      <c r="S340" s="84"/>
    </row>
    <row r="341" spans="13:19">
      <c r="M341" s="85"/>
      <c r="P341" s="84"/>
      <c r="S341" s="84"/>
    </row>
    <row r="342" spans="13:19">
      <c r="M342" s="85"/>
      <c r="P342" s="84"/>
      <c r="S342" s="84"/>
    </row>
    <row r="343" spans="13:19">
      <c r="M343" s="85"/>
      <c r="P343" s="84"/>
      <c r="S343" s="84"/>
    </row>
    <row r="344" spans="13:19">
      <c r="M344" s="85"/>
      <c r="P344" s="84"/>
      <c r="S344" s="84"/>
    </row>
    <row r="345" spans="13:19">
      <c r="M345" s="85"/>
      <c r="P345" s="84"/>
      <c r="S345" s="84"/>
    </row>
    <row r="346" spans="13:19">
      <c r="M346" s="85"/>
      <c r="P346" s="84"/>
      <c r="S346" s="84"/>
    </row>
    <row r="347" spans="13:19">
      <c r="M347" s="85"/>
      <c r="P347" s="84"/>
      <c r="S347" s="84"/>
    </row>
    <row r="348" spans="13:19">
      <c r="M348" s="85"/>
      <c r="P348" s="84"/>
      <c r="S348" s="84"/>
    </row>
    <row r="349" spans="13:19">
      <c r="M349" s="85"/>
      <c r="P349" s="84"/>
      <c r="S349" s="84"/>
    </row>
    <row r="350" spans="13:19">
      <c r="M350" s="85"/>
      <c r="P350" s="84"/>
      <c r="S350" s="84"/>
    </row>
    <row r="351" spans="13:19">
      <c r="M351" s="85"/>
      <c r="P351" s="84"/>
      <c r="S351" s="84"/>
    </row>
    <row r="352" spans="13:19">
      <c r="M352" s="85"/>
      <c r="P352" s="84"/>
      <c r="S352" s="84"/>
    </row>
    <row r="353" spans="13:19">
      <c r="M353" s="85"/>
      <c r="P353" s="84"/>
      <c r="S353" s="84"/>
    </row>
    <row r="354" spans="13:19">
      <c r="M354" s="85"/>
      <c r="P354" s="84"/>
      <c r="S354" s="84"/>
    </row>
    <row r="355" spans="13:19">
      <c r="M355" s="85"/>
      <c r="P355" s="84"/>
      <c r="S355" s="84"/>
    </row>
    <row r="356" spans="13:19">
      <c r="M356" s="85"/>
      <c r="P356" s="84"/>
      <c r="S356" s="84"/>
    </row>
    <row r="357" spans="13:19">
      <c r="M357" s="85"/>
      <c r="P357" s="84"/>
      <c r="S357" s="84"/>
    </row>
    <row r="358" spans="13:19">
      <c r="M358" s="85"/>
      <c r="P358" s="84"/>
      <c r="S358" s="84"/>
    </row>
    <row r="359" spans="13:19">
      <c r="M359" s="85"/>
      <c r="P359" s="84"/>
      <c r="S359" s="84"/>
    </row>
    <row r="360" spans="13:19">
      <c r="M360" s="85"/>
      <c r="P360" s="84"/>
      <c r="S360" s="84"/>
    </row>
    <row r="361" spans="13:19">
      <c r="M361" s="85"/>
      <c r="P361" s="84"/>
      <c r="S361" s="84"/>
    </row>
    <row r="362" spans="13:19">
      <c r="M362" s="85"/>
      <c r="P362" s="84"/>
      <c r="S362" s="84"/>
    </row>
    <row r="363" spans="13:19">
      <c r="M363" s="85"/>
      <c r="P363" s="84"/>
      <c r="S363" s="84"/>
    </row>
    <row r="364" spans="13:19">
      <c r="M364" s="85"/>
      <c r="P364" s="84"/>
      <c r="S364" s="84"/>
    </row>
    <row r="365" spans="13:19">
      <c r="P365" s="84"/>
      <c r="S365" s="84"/>
    </row>
    <row r="366" spans="13:19">
      <c r="P366" s="84"/>
      <c r="S366" s="84"/>
    </row>
    <row r="367" spans="13:19">
      <c r="P367" s="84"/>
      <c r="S367" s="84"/>
    </row>
    <row r="368" spans="13:19">
      <c r="P368" s="84"/>
      <c r="S368" s="84"/>
    </row>
    <row r="369" spans="16:19">
      <c r="P369" s="84"/>
      <c r="S369" s="84"/>
    </row>
    <row r="370" spans="16:19">
      <c r="P370" s="84"/>
      <c r="S370" s="84"/>
    </row>
    <row r="371" spans="16:19">
      <c r="P371" s="84"/>
      <c r="S371" s="84"/>
    </row>
    <row r="372" spans="16:19">
      <c r="P372" s="84"/>
      <c r="S372" s="84"/>
    </row>
    <row r="373" spans="16:19">
      <c r="P373" s="84"/>
      <c r="S373" s="84"/>
    </row>
    <row r="374" spans="16:19">
      <c r="P374" s="84"/>
      <c r="S374" s="84"/>
    </row>
    <row r="375" spans="16:19">
      <c r="P375" s="84"/>
      <c r="S375" s="84"/>
    </row>
    <row r="376" spans="16:19">
      <c r="P376" s="84"/>
      <c r="S376" s="84"/>
    </row>
    <row r="377" spans="16:19">
      <c r="P377" s="84"/>
      <c r="S377" s="84"/>
    </row>
    <row r="378" spans="16:19">
      <c r="P378" s="84"/>
      <c r="S378" s="84"/>
    </row>
    <row r="379" spans="16:19">
      <c r="P379" s="84"/>
      <c r="S379" s="84"/>
    </row>
    <row r="380" spans="16:19">
      <c r="P380" s="84"/>
      <c r="S380" s="84"/>
    </row>
    <row r="381" spans="16:19">
      <c r="P381" s="84"/>
      <c r="S381" s="84"/>
    </row>
    <row r="382" spans="16:19">
      <c r="P382" s="84"/>
      <c r="S382" s="84"/>
    </row>
    <row r="383" spans="16:19">
      <c r="P383" s="84"/>
      <c r="S383" s="84"/>
    </row>
    <row r="384" spans="16:19">
      <c r="P384" s="84"/>
      <c r="S384" s="84"/>
    </row>
    <row r="385" spans="16:19">
      <c r="P385" s="84"/>
      <c r="S385" s="84"/>
    </row>
    <row r="386" spans="16:19">
      <c r="P386" s="84"/>
      <c r="S386" s="84"/>
    </row>
    <row r="387" spans="16:19">
      <c r="P387" s="84"/>
      <c r="S387" s="84"/>
    </row>
    <row r="388" spans="16:19">
      <c r="P388" s="84"/>
      <c r="S388" s="84"/>
    </row>
    <row r="389" spans="16:19">
      <c r="P389" s="84"/>
      <c r="S389" s="84"/>
    </row>
    <row r="390" spans="16:19">
      <c r="P390" s="84"/>
      <c r="S390" s="84"/>
    </row>
    <row r="391" spans="16:19">
      <c r="P391" s="84"/>
      <c r="S391" s="84"/>
    </row>
    <row r="392" spans="16:19">
      <c r="P392" s="84"/>
      <c r="S392" s="84"/>
    </row>
    <row r="393" spans="16:19">
      <c r="P393" s="84"/>
      <c r="S393" s="84"/>
    </row>
    <row r="394" spans="16:19">
      <c r="P394" s="84"/>
      <c r="S394" s="84"/>
    </row>
    <row r="395" spans="16:19">
      <c r="P395" s="84"/>
      <c r="S395" s="84"/>
    </row>
    <row r="396" spans="16:19">
      <c r="P396" s="84"/>
      <c r="S396" s="84"/>
    </row>
    <row r="397" spans="16:19">
      <c r="P397" s="84"/>
      <c r="S397" s="84"/>
    </row>
    <row r="398" spans="16:19">
      <c r="P398" s="84"/>
      <c r="S398" s="84"/>
    </row>
    <row r="399" spans="16:19">
      <c r="P399" s="84"/>
      <c r="S399" s="84"/>
    </row>
    <row r="400" spans="16:19">
      <c r="P400" s="84"/>
      <c r="S400" s="84"/>
    </row>
    <row r="401" spans="16:19">
      <c r="P401" s="84"/>
      <c r="S401" s="84"/>
    </row>
    <row r="402" spans="16:19">
      <c r="P402" s="84"/>
      <c r="S402" s="84"/>
    </row>
    <row r="403" spans="16:19">
      <c r="P403" s="84"/>
      <c r="S403" s="84"/>
    </row>
    <row r="404" spans="16:19">
      <c r="P404" s="84"/>
      <c r="S404" s="84"/>
    </row>
    <row r="405" spans="16:19">
      <c r="P405" s="84"/>
      <c r="S405" s="84"/>
    </row>
    <row r="406" spans="16:19">
      <c r="P406" s="84"/>
      <c r="S406" s="84"/>
    </row>
    <row r="407" spans="16:19">
      <c r="P407" s="84"/>
      <c r="S407" s="84"/>
    </row>
    <row r="408" spans="16:19">
      <c r="P408" s="84"/>
      <c r="S408" s="84"/>
    </row>
    <row r="409" spans="16:19">
      <c r="P409" s="84"/>
      <c r="S409" s="84"/>
    </row>
    <row r="410" spans="16:19">
      <c r="P410" s="84"/>
      <c r="S410" s="84"/>
    </row>
    <row r="411" spans="16:19">
      <c r="P411" s="84"/>
      <c r="S411" s="84"/>
    </row>
    <row r="412" spans="16:19">
      <c r="P412" s="84"/>
      <c r="S412" s="84"/>
    </row>
    <row r="413" spans="16:19">
      <c r="P413" s="84"/>
      <c r="S413" s="84"/>
    </row>
    <row r="414" spans="16:19">
      <c r="P414" s="84"/>
      <c r="S414" s="84"/>
    </row>
    <row r="415" spans="16:19">
      <c r="P415" s="84"/>
      <c r="S415" s="84"/>
    </row>
    <row r="416" spans="16:19">
      <c r="P416" s="84"/>
      <c r="S416" s="84"/>
    </row>
    <row r="417" spans="16:19">
      <c r="P417" s="84"/>
      <c r="S417" s="84"/>
    </row>
    <row r="418" spans="16:19">
      <c r="P418" s="84"/>
      <c r="S418" s="84"/>
    </row>
    <row r="419" spans="16:19">
      <c r="P419" s="84"/>
      <c r="S419" s="84"/>
    </row>
    <row r="420" spans="16:19">
      <c r="P420" s="84"/>
      <c r="S420" s="84"/>
    </row>
    <row r="421" spans="16:19">
      <c r="P421" s="84"/>
      <c r="S421" s="84"/>
    </row>
    <row r="422" spans="16:19">
      <c r="P422" s="84"/>
      <c r="S422" s="84"/>
    </row>
    <row r="423" spans="16:19">
      <c r="P423" s="84"/>
      <c r="S423" s="84"/>
    </row>
    <row r="424" spans="16:19">
      <c r="P424" s="84"/>
      <c r="S424" s="84"/>
    </row>
    <row r="425" spans="16:19">
      <c r="P425" s="84"/>
      <c r="S425" s="84"/>
    </row>
    <row r="426" spans="16:19">
      <c r="P426" s="84"/>
      <c r="S426" s="84"/>
    </row>
    <row r="427" spans="16:19">
      <c r="P427" s="84"/>
      <c r="S427" s="84"/>
    </row>
    <row r="428" spans="16:19">
      <c r="P428" s="84"/>
      <c r="S428" s="84"/>
    </row>
    <row r="429" spans="16:19">
      <c r="P429" s="84"/>
      <c r="S429" s="84"/>
    </row>
    <row r="430" spans="16:19">
      <c r="P430" s="84"/>
      <c r="S430" s="84"/>
    </row>
    <row r="431" spans="16:19">
      <c r="P431" s="84"/>
      <c r="S431" s="84"/>
    </row>
    <row r="432" spans="16:19">
      <c r="P432" s="84"/>
      <c r="S432" s="84"/>
    </row>
    <row r="433" spans="16:19">
      <c r="P433" s="84"/>
      <c r="S433" s="84"/>
    </row>
    <row r="434" spans="16:19">
      <c r="P434" s="84"/>
      <c r="S434" s="84"/>
    </row>
    <row r="435" spans="16:19">
      <c r="P435" s="84"/>
      <c r="S435" s="84"/>
    </row>
    <row r="436" spans="16:19">
      <c r="P436" s="84"/>
      <c r="S436" s="84"/>
    </row>
    <row r="437" spans="16:19">
      <c r="P437" s="84"/>
      <c r="S437" s="84"/>
    </row>
    <row r="438" spans="16:19">
      <c r="P438" s="84"/>
      <c r="S438" s="84"/>
    </row>
    <row r="439" spans="16:19">
      <c r="P439" s="84"/>
      <c r="S439" s="84"/>
    </row>
    <row r="440" spans="16:19">
      <c r="P440" s="84"/>
      <c r="S440" s="84"/>
    </row>
    <row r="441" spans="16:19">
      <c r="P441" s="84"/>
      <c r="S441" s="84"/>
    </row>
    <row r="442" spans="16:19">
      <c r="P442" s="84"/>
      <c r="S442" s="84"/>
    </row>
    <row r="443" spans="16:19">
      <c r="P443" s="84"/>
      <c r="S443" s="84"/>
    </row>
    <row r="444" spans="16:19">
      <c r="P444" s="84"/>
      <c r="S444" s="84"/>
    </row>
    <row r="445" spans="16:19">
      <c r="P445" s="84"/>
      <c r="S445" s="84"/>
    </row>
    <row r="446" spans="16:19">
      <c r="P446" s="84"/>
      <c r="S446" s="84"/>
    </row>
    <row r="447" spans="16:19">
      <c r="P447" s="84"/>
      <c r="S447" s="84"/>
    </row>
    <row r="448" spans="16:19">
      <c r="P448" s="84"/>
      <c r="S448" s="84"/>
    </row>
    <row r="449" spans="16:19">
      <c r="P449" s="84"/>
      <c r="S449" s="84"/>
    </row>
    <row r="450" spans="16:19">
      <c r="P450" s="84"/>
      <c r="S450" s="84"/>
    </row>
    <row r="451" spans="16:19">
      <c r="P451" s="84"/>
      <c r="S451" s="84"/>
    </row>
    <row r="452" spans="16:19">
      <c r="P452" s="84"/>
      <c r="S452" s="84"/>
    </row>
    <row r="453" spans="16:19">
      <c r="P453" s="84"/>
      <c r="S453" s="84"/>
    </row>
    <row r="454" spans="16:19">
      <c r="P454" s="84"/>
      <c r="S454" s="84"/>
    </row>
    <row r="455" spans="16:19">
      <c r="P455" s="84"/>
      <c r="S455" s="84"/>
    </row>
    <row r="456" spans="16:19">
      <c r="P456" s="84"/>
      <c r="S456" s="84"/>
    </row>
    <row r="457" spans="16:19">
      <c r="P457" s="84"/>
      <c r="S457" s="84"/>
    </row>
    <row r="458" spans="16:19">
      <c r="P458" s="84"/>
      <c r="S458" s="84"/>
    </row>
    <row r="459" spans="16:19">
      <c r="P459" s="84"/>
      <c r="S459" s="84"/>
    </row>
    <row r="460" spans="16:19">
      <c r="P460" s="84"/>
      <c r="S460" s="84"/>
    </row>
    <row r="461" spans="16:19">
      <c r="P461" s="84"/>
      <c r="S461" s="84"/>
    </row>
    <row r="462" spans="16:19">
      <c r="P462" s="84"/>
      <c r="S462" s="84"/>
    </row>
    <row r="463" spans="16:19">
      <c r="P463" s="84"/>
      <c r="S463" s="84"/>
    </row>
    <row r="464" spans="16:19">
      <c r="P464" s="84"/>
      <c r="S464" s="84"/>
    </row>
    <row r="465" spans="16:19">
      <c r="P465" s="84"/>
      <c r="S465" s="84"/>
    </row>
    <row r="466" spans="16:19">
      <c r="P466" s="84"/>
      <c r="S466" s="84"/>
    </row>
  </sheetData>
  <mergeCells count="15">
    <mergeCell ref="Q4:Q5"/>
    <mergeCell ref="R4:R5"/>
    <mergeCell ref="S4:S5"/>
    <mergeCell ref="O6:S6"/>
    <mergeCell ref="A58:S58"/>
    <mergeCell ref="A4:I6"/>
    <mergeCell ref="J4:M5"/>
    <mergeCell ref="N4:N6"/>
    <mergeCell ref="O4:O5"/>
    <mergeCell ref="P4:P5"/>
    <mergeCell ref="A109:S109"/>
    <mergeCell ref="A110:S110"/>
    <mergeCell ref="A7:S7"/>
    <mergeCell ref="A8:S8"/>
    <mergeCell ref="A59:S59"/>
  </mergeCells>
  <hyperlinks>
    <hyperlink ref="A1:I1" location="Главная!A1" display="Вернуться на главную страницу" xr:uid="{00000000-0004-0000-1A00-000000000000}"/>
    <hyperlink ref="A2" location="'Калькулятор теплоотдач ВК'!R1C1" display="Вернуться Калькулятор теплоотдач ВК" xr:uid="{00000000-0004-0000-1A00-000001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29">
    <tabColor rgb="FFFFC000"/>
  </sheetPr>
  <dimension ref="A1:U466"/>
  <sheetViews>
    <sheetView zoomScale="70" zoomScaleNormal="70" workbookViewId="0">
      <pane ySplit="6" topLeftCell="A7" activePane="bottomLeft" state="frozen"/>
      <selection pane="bottomLeft" activeCell="Y13" sqref="Y13"/>
    </sheetView>
  </sheetViews>
  <sheetFormatPr defaultRowHeight="15.75"/>
  <cols>
    <col min="1" max="1" width="3.710937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4.5703125" style="7" customWidth="1"/>
    <col min="10" max="10" width="11.28515625" style="7" customWidth="1"/>
    <col min="11" max="12" width="11.28515625" style="87" customWidth="1"/>
    <col min="13" max="13" width="15.5703125" style="1" customWidth="1"/>
    <col min="14" max="14" width="19.140625" style="7" customWidth="1"/>
    <col min="15" max="15" width="27.7109375" style="112" customWidth="1"/>
    <col min="16" max="16" width="27.7109375" style="106" customWidth="1"/>
    <col min="17" max="17" width="26.28515625" style="107" customWidth="1"/>
    <col min="18" max="18" width="27.7109375" style="112" customWidth="1"/>
    <col min="19" max="19" width="27.7109375" style="107" customWidth="1"/>
    <col min="21" max="21" width="22.42578125" customWidth="1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0"/>
      <c r="O1" s="107"/>
      <c r="P1" s="107"/>
      <c r="R1" s="107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s="65" customFormat="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142</v>
      </c>
      <c r="P4" s="3008" t="s">
        <v>138</v>
      </c>
      <c r="Q4" s="3045" t="s">
        <v>143</v>
      </c>
      <c r="R4" s="3020" t="s">
        <v>420</v>
      </c>
      <c r="S4" s="2981" t="s">
        <v>421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s="65" customFormat="1" ht="22.5" customHeight="1" thickBot="1">
      <c r="A7" s="2968" t="s">
        <v>45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s="65" customFormat="1" ht="16.5" thickBot="1">
      <c r="A8" s="2974" t="s">
        <v>117</v>
      </c>
      <c r="B8" s="2975"/>
      <c r="C8" s="2975"/>
      <c r="D8" s="2975"/>
      <c r="E8" s="2975"/>
      <c r="F8" s="2975"/>
      <c r="G8" s="2975"/>
      <c r="H8" s="2975"/>
      <c r="I8" s="2975"/>
      <c r="J8" s="2975"/>
      <c r="K8" s="2975"/>
      <c r="L8" s="2975"/>
      <c r="M8" s="2975"/>
      <c r="N8" s="2975"/>
      <c r="O8" s="2975"/>
      <c r="P8" s="2975"/>
      <c r="Q8" s="2975"/>
      <c r="R8" s="3022"/>
      <c r="S8" s="3023"/>
    </row>
    <row r="9" spans="1:21" s="65" customFormat="1" ht="16.5" thickBot="1">
      <c r="A9" s="38" t="s">
        <v>31</v>
      </c>
      <c r="B9" s="39">
        <f>J9</f>
        <v>500</v>
      </c>
      <c r="C9" s="39" t="s">
        <v>3</v>
      </c>
      <c r="D9" s="39">
        <f>K9</f>
        <v>260</v>
      </c>
      <c r="E9" s="39" t="s">
        <v>3</v>
      </c>
      <c r="F9" s="90">
        <f>L9</f>
        <v>600</v>
      </c>
      <c r="G9" s="39" t="s">
        <v>3</v>
      </c>
      <c r="H9" s="39">
        <v>4</v>
      </c>
      <c r="I9" s="40" t="s">
        <v>41</v>
      </c>
      <c r="J9" s="146">
        <v>500</v>
      </c>
      <c r="K9" s="122">
        <v>260</v>
      </c>
      <c r="L9" s="122">
        <v>600</v>
      </c>
      <c r="M9" s="163">
        <v>13.174266100560526</v>
      </c>
      <c r="N9" s="123">
        <v>401.42848390009317</v>
      </c>
      <c r="O9" s="124">
        <v>16006.950230653978</v>
      </c>
      <c r="P9" s="160">
        <v>19198.172216313586</v>
      </c>
      <c r="Q9" s="253">
        <v>8214.2785134660462</v>
      </c>
      <c r="R9" s="262">
        <v>24221.228744120024</v>
      </c>
      <c r="S9" s="257">
        <v>27412.45072977963</v>
      </c>
      <c r="U9" s="7" t="s">
        <v>4238</v>
      </c>
    </row>
    <row r="10" spans="1:21" s="65" customFormat="1" ht="16.5" thickBot="1">
      <c r="A10" s="41" t="s">
        <v>31</v>
      </c>
      <c r="B10" s="42">
        <f t="shared" ref="B10:B57" si="0">J10</f>
        <v>500</v>
      </c>
      <c r="C10" s="42" t="s">
        <v>3</v>
      </c>
      <c r="D10" s="42">
        <f t="shared" ref="D10:D57" si="1">K10</f>
        <v>260</v>
      </c>
      <c r="E10" s="42" t="s">
        <v>3</v>
      </c>
      <c r="F10" s="90">
        <f t="shared" ref="F10:F57" si="2">L10</f>
        <v>650</v>
      </c>
      <c r="G10" s="42" t="s">
        <v>3</v>
      </c>
      <c r="H10" s="39">
        <v>4</v>
      </c>
      <c r="I10" s="40" t="s">
        <v>41</v>
      </c>
      <c r="J10" s="149">
        <v>500</v>
      </c>
      <c r="K10" s="66">
        <v>260</v>
      </c>
      <c r="L10" s="66">
        <v>650</v>
      </c>
      <c r="M10" s="164">
        <v>14.045420170425789</v>
      </c>
      <c r="N10" s="78">
        <v>481.71418068011178</v>
      </c>
      <c r="O10" s="113">
        <v>16846.314843709784</v>
      </c>
      <c r="P10" s="161">
        <v>20238.549894446835</v>
      </c>
      <c r="Q10" s="254">
        <v>8684.7340809460093</v>
      </c>
      <c r="R10" s="263">
        <v>25531.048924655792</v>
      </c>
      <c r="S10" s="259">
        <v>28923.283975392842</v>
      </c>
      <c r="U10" s="7" t="s">
        <v>4239</v>
      </c>
    </row>
    <row r="11" spans="1:21" s="65" customFormat="1" ht="16.5" thickBot="1">
      <c r="A11" s="41" t="s">
        <v>31</v>
      </c>
      <c r="B11" s="42">
        <f t="shared" si="0"/>
        <v>500</v>
      </c>
      <c r="C11" s="42" t="s">
        <v>3</v>
      </c>
      <c r="D11" s="42">
        <f t="shared" si="1"/>
        <v>260</v>
      </c>
      <c r="E11" s="42" t="s">
        <v>3</v>
      </c>
      <c r="F11" s="90">
        <f t="shared" si="2"/>
        <v>700</v>
      </c>
      <c r="G11" s="42" t="s">
        <v>3</v>
      </c>
      <c r="H11" s="39">
        <v>4</v>
      </c>
      <c r="I11" s="40" t="s">
        <v>41</v>
      </c>
      <c r="J11" s="149">
        <v>500</v>
      </c>
      <c r="K11" s="66">
        <v>260</v>
      </c>
      <c r="L11" s="66">
        <v>700</v>
      </c>
      <c r="M11" s="164">
        <v>14.93361424029105</v>
      </c>
      <c r="N11" s="78">
        <v>561.99987746013051</v>
      </c>
      <c r="O11" s="113">
        <v>17685.679303736826</v>
      </c>
      <c r="P11" s="161">
        <v>21278.927572579934</v>
      </c>
      <c r="Q11" s="254">
        <v>9406.5237862097401</v>
      </c>
      <c r="R11" s="263">
        <v>27092.203089946568</v>
      </c>
      <c r="S11" s="259">
        <v>30685.451358789673</v>
      </c>
      <c r="U11" s="7" t="s">
        <v>4240</v>
      </c>
    </row>
    <row r="12" spans="1:21" s="65" customFormat="1" ht="16.5" thickBot="1">
      <c r="A12" s="41" t="s">
        <v>31</v>
      </c>
      <c r="B12" s="42">
        <f t="shared" si="0"/>
        <v>500</v>
      </c>
      <c r="C12" s="42" t="s">
        <v>3</v>
      </c>
      <c r="D12" s="42">
        <f t="shared" si="1"/>
        <v>260</v>
      </c>
      <c r="E12" s="42" t="s">
        <v>3</v>
      </c>
      <c r="F12" s="90">
        <f t="shared" si="2"/>
        <v>750</v>
      </c>
      <c r="G12" s="42" t="s">
        <v>3</v>
      </c>
      <c r="H12" s="39">
        <v>4</v>
      </c>
      <c r="I12" s="40" t="s">
        <v>41</v>
      </c>
      <c r="J12" s="149">
        <v>500</v>
      </c>
      <c r="K12" s="66">
        <v>260</v>
      </c>
      <c r="L12" s="66">
        <v>750</v>
      </c>
      <c r="M12" s="164">
        <v>15.804768310156314</v>
      </c>
      <c r="N12" s="78">
        <v>642.28557424014912</v>
      </c>
      <c r="O12" s="113">
        <v>18525.043916792634</v>
      </c>
      <c r="P12" s="161">
        <v>22319.305250713031</v>
      </c>
      <c r="Q12" s="254">
        <v>9876.9793536897032</v>
      </c>
      <c r="R12" s="263">
        <v>28402.023270482336</v>
      </c>
      <c r="S12" s="259">
        <v>32196.284604402732</v>
      </c>
      <c r="U12" s="7" t="s">
        <v>4241</v>
      </c>
    </row>
    <row r="13" spans="1:21" s="65" customFormat="1" ht="16.5" thickBot="1">
      <c r="A13" s="41" t="s">
        <v>31</v>
      </c>
      <c r="B13" s="42">
        <f t="shared" si="0"/>
        <v>500</v>
      </c>
      <c r="C13" s="42" t="s">
        <v>3</v>
      </c>
      <c r="D13" s="42">
        <f t="shared" si="1"/>
        <v>260</v>
      </c>
      <c r="E13" s="42" t="s">
        <v>3</v>
      </c>
      <c r="F13" s="90">
        <f t="shared" si="2"/>
        <v>800</v>
      </c>
      <c r="G13" s="42" t="s">
        <v>3</v>
      </c>
      <c r="H13" s="39">
        <v>4</v>
      </c>
      <c r="I13" s="40" t="s">
        <v>41</v>
      </c>
      <c r="J13" s="149">
        <v>500</v>
      </c>
      <c r="K13" s="66">
        <v>260</v>
      </c>
      <c r="L13" s="66">
        <v>800</v>
      </c>
      <c r="M13" s="164">
        <v>16.675922380021582</v>
      </c>
      <c r="N13" s="78">
        <v>722.57127102016773</v>
      </c>
      <c r="O13" s="113">
        <v>19364.408529848442</v>
      </c>
      <c r="P13" s="161">
        <v>23359.682928846134</v>
      </c>
      <c r="Q13" s="254">
        <v>10347.434921169664</v>
      </c>
      <c r="R13" s="263">
        <v>29711.843451018107</v>
      </c>
      <c r="S13" s="259">
        <v>33707.117850015798</v>
      </c>
      <c r="U13" s="7" t="s">
        <v>4242</v>
      </c>
    </row>
    <row r="14" spans="1:21" s="65" customFormat="1" ht="16.5" thickBot="1">
      <c r="A14" s="41" t="s">
        <v>31</v>
      </c>
      <c r="B14" s="42">
        <f t="shared" si="0"/>
        <v>500</v>
      </c>
      <c r="C14" s="42" t="s">
        <v>3</v>
      </c>
      <c r="D14" s="42">
        <f t="shared" si="1"/>
        <v>260</v>
      </c>
      <c r="E14" s="42" t="s">
        <v>3</v>
      </c>
      <c r="F14" s="90">
        <f t="shared" si="2"/>
        <v>850</v>
      </c>
      <c r="G14" s="42" t="s">
        <v>3</v>
      </c>
      <c r="H14" s="39">
        <v>4</v>
      </c>
      <c r="I14" s="40" t="s">
        <v>41</v>
      </c>
      <c r="J14" s="149">
        <v>500</v>
      </c>
      <c r="K14" s="66">
        <v>260</v>
      </c>
      <c r="L14" s="66">
        <v>850</v>
      </c>
      <c r="M14" s="164">
        <v>17.564116449886843</v>
      </c>
      <c r="N14" s="78">
        <v>802.85696780018634</v>
      </c>
      <c r="O14" s="113">
        <v>20203.773142904247</v>
      </c>
      <c r="P14" s="161">
        <v>24400.060606979383</v>
      </c>
      <c r="Q14" s="254">
        <v>11069.224626433395</v>
      </c>
      <c r="R14" s="263">
        <v>31272.997769337642</v>
      </c>
      <c r="S14" s="259">
        <v>35469.285233412782</v>
      </c>
      <c r="U14" s="7" t="s">
        <v>4243</v>
      </c>
    </row>
    <row r="15" spans="1:21" s="65" customFormat="1" ht="16.5" thickBot="1">
      <c r="A15" s="41" t="s">
        <v>31</v>
      </c>
      <c r="B15" s="42">
        <f t="shared" si="0"/>
        <v>500</v>
      </c>
      <c r="C15" s="42" t="s">
        <v>3</v>
      </c>
      <c r="D15" s="42">
        <f t="shared" si="1"/>
        <v>260</v>
      </c>
      <c r="E15" s="42" t="s">
        <v>3</v>
      </c>
      <c r="F15" s="90">
        <f t="shared" si="2"/>
        <v>900</v>
      </c>
      <c r="G15" s="42" t="s">
        <v>3</v>
      </c>
      <c r="H15" s="39">
        <v>4</v>
      </c>
      <c r="I15" s="40" t="s">
        <v>41</v>
      </c>
      <c r="J15" s="149">
        <v>500</v>
      </c>
      <c r="K15" s="66">
        <v>260</v>
      </c>
      <c r="L15" s="66">
        <v>900</v>
      </c>
      <c r="M15" s="164">
        <v>18.435270519752105</v>
      </c>
      <c r="N15" s="78">
        <v>883.14266458020518</v>
      </c>
      <c r="O15" s="113">
        <v>21043.137755960055</v>
      </c>
      <c r="P15" s="161">
        <v>25440.438285112479</v>
      </c>
      <c r="Q15" s="254">
        <v>11539.680193913358</v>
      </c>
      <c r="R15" s="263">
        <v>32582.817949873413</v>
      </c>
      <c r="S15" s="259">
        <v>36980.118479025841</v>
      </c>
      <c r="U15" s="7" t="s">
        <v>4244</v>
      </c>
    </row>
    <row r="16" spans="1:21" s="65" customFormat="1" ht="16.5" thickBot="1">
      <c r="A16" s="41" t="s">
        <v>31</v>
      </c>
      <c r="B16" s="42">
        <f t="shared" si="0"/>
        <v>500</v>
      </c>
      <c r="C16" s="42" t="s">
        <v>3</v>
      </c>
      <c r="D16" s="42">
        <f t="shared" si="1"/>
        <v>260</v>
      </c>
      <c r="E16" s="42" t="s">
        <v>3</v>
      </c>
      <c r="F16" s="90">
        <f t="shared" si="2"/>
        <v>950</v>
      </c>
      <c r="G16" s="42" t="s">
        <v>3</v>
      </c>
      <c r="H16" s="39">
        <v>4</v>
      </c>
      <c r="I16" s="40" t="s">
        <v>41</v>
      </c>
      <c r="J16" s="149">
        <v>500</v>
      </c>
      <c r="K16" s="66">
        <v>260</v>
      </c>
      <c r="L16" s="66">
        <v>950</v>
      </c>
      <c r="M16" s="164">
        <v>19.323464589617366</v>
      </c>
      <c r="N16" s="78">
        <v>963.42836136022356</v>
      </c>
      <c r="O16" s="113">
        <v>21882.502369015863</v>
      </c>
      <c r="P16" s="161">
        <v>26480.815963245579</v>
      </c>
      <c r="Q16" s="254">
        <v>12261.469899177091</v>
      </c>
      <c r="R16" s="263">
        <v>34143.972268192956</v>
      </c>
      <c r="S16" s="259">
        <v>38742.285862422672</v>
      </c>
      <c r="U16" s="7" t="s">
        <v>4245</v>
      </c>
    </row>
    <row r="17" spans="1:21" s="65" customFormat="1" ht="16.5" thickBot="1">
      <c r="A17" s="41" t="s">
        <v>31</v>
      </c>
      <c r="B17" s="42">
        <f t="shared" si="0"/>
        <v>500</v>
      </c>
      <c r="C17" s="42" t="s">
        <v>3</v>
      </c>
      <c r="D17" s="42">
        <f t="shared" si="1"/>
        <v>260</v>
      </c>
      <c r="E17" s="42" t="s">
        <v>3</v>
      </c>
      <c r="F17" s="90">
        <f t="shared" si="2"/>
        <v>1000</v>
      </c>
      <c r="G17" s="42" t="s">
        <v>3</v>
      </c>
      <c r="H17" s="39">
        <v>4</v>
      </c>
      <c r="I17" s="40" t="s">
        <v>41</v>
      </c>
      <c r="J17" s="149">
        <v>500</v>
      </c>
      <c r="K17" s="66">
        <v>260</v>
      </c>
      <c r="L17" s="66">
        <v>1000</v>
      </c>
      <c r="M17" s="164">
        <v>20.194618659482629</v>
      </c>
      <c r="N17" s="78">
        <v>1043.7140581402423</v>
      </c>
      <c r="O17" s="113">
        <v>22721.866982071668</v>
      </c>
      <c r="P17" s="161">
        <v>27521.193641378683</v>
      </c>
      <c r="Q17" s="254">
        <v>12731.925466657052</v>
      </c>
      <c r="R17" s="263">
        <v>35453.792448728724</v>
      </c>
      <c r="S17" s="259">
        <v>40253.119108035738</v>
      </c>
      <c r="U17" s="7" t="s">
        <v>4246</v>
      </c>
    </row>
    <row r="18" spans="1:21" s="65" customFormat="1" ht="16.5" thickBot="1">
      <c r="A18" s="41" t="s">
        <v>31</v>
      </c>
      <c r="B18" s="42">
        <f t="shared" si="0"/>
        <v>500</v>
      </c>
      <c r="C18" s="42" t="s">
        <v>3</v>
      </c>
      <c r="D18" s="42">
        <f t="shared" si="1"/>
        <v>260</v>
      </c>
      <c r="E18" s="42" t="s">
        <v>3</v>
      </c>
      <c r="F18" s="90">
        <f t="shared" si="2"/>
        <v>1050</v>
      </c>
      <c r="G18" s="42" t="s">
        <v>3</v>
      </c>
      <c r="H18" s="39">
        <v>4</v>
      </c>
      <c r="I18" s="40" t="s">
        <v>41</v>
      </c>
      <c r="J18" s="149">
        <v>500</v>
      </c>
      <c r="K18" s="66">
        <v>260</v>
      </c>
      <c r="L18" s="66">
        <v>1050</v>
      </c>
      <c r="M18" s="164">
        <v>21.082812729347893</v>
      </c>
      <c r="N18" s="78">
        <v>1123.999754920261</v>
      </c>
      <c r="O18" s="113">
        <v>23561.231595127476</v>
      </c>
      <c r="P18" s="161">
        <v>28561.571319511932</v>
      </c>
      <c r="Q18" s="254">
        <v>13453.71501889202</v>
      </c>
      <c r="R18" s="263">
        <v>37014.9466140195</v>
      </c>
      <c r="S18" s="259">
        <v>42015.286338403952</v>
      </c>
      <c r="U18" s="7" t="s">
        <v>4247</v>
      </c>
    </row>
    <row r="19" spans="1:21" s="65" customFormat="1" ht="16.5" thickBot="1">
      <c r="A19" s="38" t="s">
        <v>31</v>
      </c>
      <c r="B19" s="39">
        <f t="shared" si="0"/>
        <v>500</v>
      </c>
      <c r="C19" s="39" t="s">
        <v>3</v>
      </c>
      <c r="D19" s="39">
        <f t="shared" si="1"/>
        <v>260</v>
      </c>
      <c r="E19" s="39" t="s">
        <v>3</v>
      </c>
      <c r="F19" s="90">
        <f t="shared" si="2"/>
        <v>1100</v>
      </c>
      <c r="G19" s="39" t="s">
        <v>3</v>
      </c>
      <c r="H19" s="39">
        <v>4</v>
      </c>
      <c r="I19" s="40" t="s">
        <v>41</v>
      </c>
      <c r="J19" s="149">
        <v>500</v>
      </c>
      <c r="K19" s="66">
        <v>260</v>
      </c>
      <c r="L19" s="66">
        <v>1100</v>
      </c>
      <c r="M19" s="164">
        <v>21.953966799213156</v>
      </c>
      <c r="N19" s="78">
        <v>1204.2854517002795</v>
      </c>
      <c r="O19" s="113">
        <v>24400.59620818328</v>
      </c>
      <c r="P19" s="161">
        <v>29601.948997645028</v>
      </c>
      <c r="Q19" s="254">
        <v>13924.170586371982</v>
      </c>
      <c r="R19" s="263">
        <v>38324.76679455526</v>
      </c>
      <c r="S19" s="259">
        <v>43526.119584017011</v>
      </c>
      <c r="U19" s="7" t="s">
        <v>4248</v>
      </c>
    </row>
    <row r="20" spans="1:21" s="65" customFormat="1" ht="16.5" thickBot="1">
      <c r="A20" s="41" t="s">
        <v>31</v>
      </c>
      <c r="B20" s="42">
        <f t="shared" si="0"/>
        <v>500</v>
      </c>
      <c r="C20" s="42" t="s">
        <v>3</v>
      </c>
      <c r="D20" s="42">
        <f t="shared" si="1"/>
        <v>260</v>
      </c>
      <c r="E20" s="42" t="s">
        <v>3</v>
      </c>
      <c r="F20" s="90">
        <f t="shared" si="2"/>
        <v>1150</v>
      </c>
      <c r="G20" s="42" t="s">
        <v>3</v>
      </c>
      <c r="H20" s="39">
        <v>4</v>
      </c>
      <c r="I20" s="40" t="s">
        <v>41</v>
      </c>
      <c r="J20" s="149">
        <v>500</v>
      </c>
      <c r="K20" s="66">
        <v>260</v>
      </c>
      <c r="L20" s="66">
        <v>1150</v>
      </c>
      <c r="M20" s="164">
        <v>22.825120869078418</v>
      </c>
      <c r="N20" s="78">
        <v>1284.5711484802982</v>
      </c>
      <c r="O20" s="113">
        <v>25239.960668210322</v>
      </c>
      <c r="P20" s="161">
        <v>30642.326675778128</v>
      </c>
      <c r="Q20" s="254">
        <v>14394.626153851941</v>
      </c>
      <c r="R20" s="263">
        <v>39634.586822062265</v>
      </c>
      <c r="S20" s="259">
        <v>45036.95282963007</v>
      </c>
      <c r="U20" s="7" t="s">
        <v>4249</v>
      </c>
    </row>
    <row r="21" spans="1:21" s="65" customFormat="1" ht="16.5" thickBot="1">
      <c r="A21" s="41" t="s">
        <v>31</v>
      </c>
      <c r="B21" s="42">
        <f t="shared" si="0"/>
        <v>500</v>
      </c>
      <c r="C21" s="42" t="s">
        <v>3</v>
      </c>
      <c r="D21" s="42">
        <f t="shared" si="1"/>
        <v>260</v>
      </c>
      <c r="E21" s="42" t="s">
        <v>3</v>
      </c>
      <c r="F21" s="90">
        <f t="shared" si="2"/>
        <v>1200</v>
      </c>
      <c r="G21" s="42" t="s">
        <v>3</v>
      </c>
      <c r="H21" s="39">
        <v>4</v>
      </c>
      <c r="I21" s="40" t="s">
        <v>41</v>
      </c>
      <c r="J21" s="149">
        <v>500</v>
      </c>
      <c r="K21" s="66">
        <v>260</v>
      </c>
      <c r="L21" s="66">
        <v>1200</v>
      </c>
      <c r="M21" s="164">
        <v>23.791814938943681</v>
      </c>
      <c r="N21" s="78">
        <v>1364.856845260317</v>
      </c>
      <c r="O21" s="113">
        <v>26163.423616399457</v>
      </c>
      <c r="P21" s="161">
        <v>31767.316059346103</v>
      </c>
      <c r="Q21" s="254">
        <v>15116.415859115676</v>
      </c>
      <c r="R21" s="263">
        <v>41279.839475515131</v>
      </c>
      <c r="S21" s="259">
        <v>46883.731918461781</v>
      </c>
      <c r="U21" s="7" t="s">
        <v>4250</v>
      </c>
    </row>
    <row r="22" spans="1:21" s="65" customFormat="1" ht="16.5" thickBot="1">
      <c r="A22" s="41" t="s">
        <v>31</v>
      </c>
      <c r="B22" s="42">
        <f t="shared" si="0"/>
        <v>500</v>
      </c>
      <c r="C22" s="42" t="s">
        <v>3</v>
      </c>
      <c r="D22" s="42">
        <f t="shared" si="1"/>
        <v>260</v>
      </c>
      <c r="E22" s="42" t="s">
        <v>3</v>
      </c>
      <c r="F22" s="90">
        <f t="shared" si="2"/>
        <v>1250</v>
      </c>
      <c r="G22" s="42" t="s">
        <v>3</v>
      </c>
      <c r="H22" s="39">
        <v>4</v>
      </c>
      <c r="I22" s="40" t="s">
        <v>41</v>
      </c>
      <c r="J22" s="149">
        <v>500</v>
      </c>
      <c r="K22" s="66">
        <v>260</v>
      </c>
      <c r="L22" s="66">
        <v>1250</v>
      </c>
      <c r="M22" s="164">
        <v>24.662969008808947</v>
      </c>
      <c r="N22" s="78">
        <v>1445.1425420403355</v>
      </c>
      <c r="O22" s="113">
        <v>27002.788229455262</v>
      </c>
      <c r="P22" s="161">
        <v>32807.693737479203</v>
      </c>
      <c r="Q22" s="254">
        <v>15586.871426595639</v>
      </c>
      <c r="R22" s="263">
        <v>42589.659656050899</v>
      </c>
      <c r="S22" s="259">
        <v>48394.56516407484</v>
      </c>
      <c r="U22" s="7" t="s">
        <v>4251</v>
      </c>
    </row>
    <row r="23" spans="1:21" s="65" customFormat="1" ht="16.5" thickBot="1">
      <c r="A23" s="41" t="s">
        <v>31</v>
      </c>
      <c r="B23" s="42">
        <f t="shared" si="0"/>
        <v>500</v>
      </c>
      <c r="C23" s="42" t="s">
        <v>3</v>
      </c>
      <c r="D23" s="42">
        <f t="shared" si="1"/>
        <v>260</v>
      </c>
      <c r="E23" s="42" t="s">
        <v>3</v>
      </c>
      <c r="F23" s="90">
        <f t="shared" si="2"/>
        <v>1300</v>
      </c>
      <c r="G23" s="42" t="s">
        <v>3</v>
      </c>
      <c r="H23" s="39">
        <v>4</v>
      </c>
      <c r="I23" s="40" t="s">
        <v>41</v>
      </c>
      <c r="J23" s="149">
        <v>500</v>
      </c>
      <c r="K23" s="66">
        <v>260</v>
      </c>
      <c r="L23" s="66">
        <v>1300</v>
      </c>
      <c r="M23" s="164">
        <v>25.551163078674207</v>
      </c>
      <c r="N23" s="78">
        <v>1525.428238820354</v>
      </c>
      <c r="O23" s="113">
        <v>27842.152842511074</v>
      </c>
      <c r="P23" s="161">
        <v>33848.07141561246</v>
      </c>
      <c r="Q23" s="254">
        <v>16308.66113185937</v>
      </c>
      <c r="R23" s="263">
        <v>44150.813974370445</v>
      </c>
      <c r="S23" s="259">
        <v>50156.732547471831</v>
      </c>
      <c r="U23" s="7" t="s">
        <v>4252</v>
      </c>
    </row>
    <row r="24" spans="1:21" s="65" customFormat="1" ht="16.5" thickBot="1">
      <c r="A24" s="41" t="s">
        <v>31</v>
      </c>
      <c r="B24" s="42">
        <f t="shared" si="0"/>
        <v>500</v>
      </c>
      <c r="C24" s="42" t="s">
        <v>3</v>
      </c>
      <c r="D24" s="42">
        <f t="shared" si="1"/>
        <v>260</v>
      </c>
      <c r="E24" s="42" t="s">
        <v>3</v>
      </c>
      <c r="F24" s="90">
        <f t="shared" si="2"/>
        <v>1350</v>
      </c>
      <c r="G24" s="42" t="s">
        <v>3</v>
      </c>
      <c r="H24" s="39">
        <v>4</v>
      </c>
      <c r="I24" s="40" t="s">
        <v>41</v>
      </c>
      <c r="J24" s="149">
        <v>500</v>
      </c>
      <c r="K24" s="66">
        <v>260</v>
      </c>
      <c r="L24" s="66">
        <v>1350</v>
      </c>
      <c r="M24" s="164">
        <v>26.422317148539477</v>
      </c>
      <c r="N24" s="78">
        <v>1605.7139356003727</v>
      </c>
      <c r="O24" s="113">
        <v>28681.517455566878</v>
      </c>
      <c r="P24" s="161">
        <v>34888.449093745556</v>
      </c>
      <c r="Q24" s="254">
        <v>16779.116699339331</v>
      </c>
      <c r="R24" s="263">
        <v>45460.634154906205</v>
      </c>
      <c r="S24" s="259">
        <v>51667.565793084883</v>
      </c>
      <c r="U24" s="7" t="s">
        <v>4253</v>
      </c>
    </row>
    <row r="25" spans="1:21" s="65" customFormat="1" ht="16.5" thickBot="1">
      <c r="A25" s="41" t="s">
        <v>31</v>
      </c>
      <c r="B25" s="42">
        <f t="shared" si="0"/>
        <v>500</v>
      </c>
      <c r="C25" s="42" t="s">
        <v>3</v>
      </c>
      <c r="D25" s="42">
        <f t="shared" si="1"/>
        <v>260</v>
      </c>
      <c r="E25" s="42" t="s">
        <v>3</v>
      </c>
      <c r="F25" s="90">
        <f t="shared" si="2"/>
        <v>1400</v>
      </c>
      <c r="G25" s="42" t="s">
        <v>3</v>
      </c>
      <c r="H25" s="39">
        <v>4</v>
      </c>
      <c r="I25" s="40" t="s">
        <v>41</v>
      </c>
      <c r="J25" s="149">
        <v>500</v>
      </c>
      <c r="K25" s="66">
        <v>260</v>
      </c>
      <c r="L25" s="66">
        <v>1400</v>
      </c>
      <c r="M25" s="164">
        <v>27.310511218404738</v>
      </c>
      <c r="N25" s="78">
        <v>1685.9996323803914</v>
      </c>
      <c r="O25" s="113">
        <v>29520.882068622683</v>
      </c>
      <c r="P25" s="161">
        <v>35928.826771878652</v>
      </c>
      <c r="Q25" s="254">
        <v>17500.906404603062</v>
      </c>
      <c r="R25" s="263">
        <v>47021.788473225744</v>
      </c>
      <c r="S25" s="259">
        <v>53429.733176481714</v>
      </c>
      <c r="U25" s="7" t="s">
        <v>4254</v>
      </c>
    </row>
    <row r="26" spans="1:21" s="65" customFormat="1" ht="16.5" thickBot="1">
      <c r="A26" s="41" t="s">
        <v>31</v>
      </c>
      <c r="B26" s="42">
        <f t="shared" si="0"/>
        <v>500</v>
      </c>
      <c r="C26" s="42" t="s">
        <v>3</v>
      </c>
      <c r="D26" s="42">
        <f t="shared" si="1"/>
        <v>260</v>
      </c>
      <c r="E26" s="42" t="s">
        <v>3</v>
      </c>
      <c r="F26" s="90">
        <f t="shared" si="2"/>
        <v>1450</v>
      </c>
      <c r="G26" s="42" t="s">
        <v>3</v>
      </c>
      <c r="H26" s="39">
        <v>4</v>
      </c>
      <c r="I26" s="40" t="s">
        <v>41</v>
      </c>
      <c r="J26" s="149">
        <v>500</v>
      </c>
      <c r="K26" s="66">
        <v>260</v>
      </c>
      <c r="L26" s="66">
        <v>1450</v>
      </c>
      <c r="M26" s="164">
        <v>28.181665288270001</v>
      </c>
      <c r="N26" s="78">
        <v>1766.2853291604104</v>
      </c>
      <c r="O26" s="113">
        <v>30360.246528649728</v>
      </c>
      <c r="P26" s="161">
        <v>36969.204450011748</v>
      </c>
      <c r="Q26" s="254">
        <v>17971.361972083025</v>
      </c>
      <c r="R26" s="263">
        <v>48331.608500732749</v>
      </c>
      <c r="S26" s="259">
        <v>54940.566422094773</v>
      </c>
      <c r="U26" s="7" t="s">
        <v>4255</v>
      </c>
    </row>
    <row r="27" spans="1:21" s="65" customFormat="1" ht="16.5" thickBot="1">
      <c r="A27" s="41" t="s">
        <v>31</v>
      </c>
      <c r="B27" s="42">
        <f t="shared" si="0"/>
        <v>500</v>
      </c>
      <c r="C27" s="42" t="s">
        <v>3</v>
      </c>
      <c r="D27" s="42">
        <f t="shared" si="1"/>
        <v>260</v>
      </c>
      <c r="E27" s="42" t="s">
        <v>3</v>
      </c>
      <c r="F27" s="90">
        <f t="shared" si="2"/>
        <v>1500</v>
      </c>
      <c r="G27" s="42" t="s">
        <v>3</v>
      </c>
      <c r="H27" s="39">
        <v>4</v>
      </c>
      <c r="I27" s="40" t="s">
        <v>41</v>
      </c>
      <c r="J27" s="149">
        <v>500</v>
      </c>
      <c r="K27" s="66">
        <v>260</v>
      </c>
      <c r="L27" s="66">
        <v>1500</v>
      </c>
      <c r="M27" s="164">
        <v>29.235770210095264</v>
      </c>
      <c r="N27" s="78">
        <v>1846.5710259404284</v>
      </c>
      <c r="O27" s="113">
        <v>31865.968931320505</v>
      </c>
      <c r="P27" s="161">
        <v>38635.568543228459</v>
      </c>
      <c r="Q27" s="254">
        <v>18693.151677346756</v>
      </c>
      <c r="R27" s="263">
        <v>50559.120608667261</v>
      </c>
      <c r="S27" s="259">
        <v>57328.720220575211</v>
      </c>
      <c r="U27" s="7" t="s">
        <v>4256</v>
      </c>
    </row>
    <row r="28" spans="1:21" s="65" customFormat="1" ht="16.5" thickBot="1">
      <c r="A28" s="41" t="s">
        <v>31</v>
      </c>
      <c r="B28" s="42">
        <f t="shared" si="0"/>
        <v>500</v>
      </c>
      <c r="C28" s="42" t="s">
        <v>3</v>
      </c>
      <c r="D28" s="42">
        <f t="shared" si="1"/>
        <v>260</v>
      </c>
      <c r="E28" s="42" t="s">
        <v>3</v>
      </c>
      <c r="F28" s="90">
        <f t="shared" si="2"/>
        <v>1550</v>
      </c>
      <c r="G28" s="42" t="s">
        <v>3</v>
      </c>
      <c r="H28" s="39">
        <v>4</v>
      </c>
      <c r="I28" s="40" t="s">
        <v>41</v>
      </c>
      <c r="J28" s="149">
        <v>500</v>
      </c>
      <c r="K28" s="66">
        <v>260</v>
      </c>
      <c r="L28" s="66">
        <v>1550</v>
      </c>
      <c r="M28" s="164">
        <v>30.106924279960531</v>
      </c>
      <c r="N28" s="78">
        <v>1926.8567227204471</v>
      </c>
      <c r="O28" s="113">
        <v>32705.33354437631</v>
      </c>
      <c r="P28" s="161">
        <v>39675.946221361562</v>
      </c>
      <c r="Q28" s="254">
        <v>19163.607244826719</v>
      </c>
      <c r="R28" s="263">
        <v>51868.940789203029</v>
      </c>
      <c r="S28" s="259">
        <v>58839.553466188285</v>
      </c>
      <c r="U28" s="7" t="s">
        <v>4257</v>
      </c>
    </row>
    <row r="29" spans="1:21" s="65" customFormat="1" ht="16.5" thickBot="1">
      <c r="A29" s="38" t="s">
        <v>31</v>
      </c>
      <c r="B29" s="39">
        <f t="shared" si="0"/>
        <v>500</v>
      </c>
      <c r="C29" s="39" t="s">
        <v>3</v>
      </c>
      <c r="D29" s="39">
        <f t="shared" si="1"/>
        <v>260</v>
      </c>
      <c r="E29" s="39" t="s">
        <v>3</v>
      </c>
      <c r="F29" s="90">
        <f t="shared" si="2"/>
        <v>1600</v>
      </c>
      <c r="G29" s="39" t="s">
        <v>3</v>
      </c>
      <c r="H29" s="39">
        <v>4</v>
      </c>
      <c r="I29" s="40" t="s">
        <v>41</v>
      </c>
      <c r="J29" s="149">
        <v>500</v>
      </c>
      <c r="K29" s="66">
        <v>260</v>
      </c>
      <c r="L29" s="66">
        <v>1600</v>
      </c>
      <c r="M29" s="164">
        <v>30.978078349825793</v>
      </c>
      <c r="N29" s="78">
        <v>2007.1424195004658</v>
      </c>
      <c r="O29" s="113">
        <v>33544.698157432118</v>
      </c>
      <c r="P29" s="161">
        <v>40716.323899494811</v>
      </c>
      <c r="Q29" s="254">
        <v>19634.062812306682</v>
      </c>
      <c r="R29" s="263">
        <v>53178.760969738796</v>
      </c>
      <c r="S29" s="259">
        <v>60350.38671180149</v>
      </c>
      <c r="U29" s="7" t="s">
        <v>4258</v>
      </c>
    </row>
    <row r="30" spans="1:21" s="65" customFormat="1" ht="16.5" thickBot="1">
      <c r="A30" s="41" t="s">
        <v>31</v>
      </c>
      <c r="B30" s="42">
        <f t="shared" si="0"/>
        <v>500</v>
      </c>
      <c r="C30" s="42" t="s">
        <v>3</v>
      </c>
      <c r="D30" s="42">
        <f t="shared" si="1"/>
        <v>260</v>
      </c>
      <c r="E30" s="42" t="s">
        <v>3</v>
      </c>
      <c r="F30" s="90">
        <f t="shared" si="2"/>
        <v>1650</v>
      </c>
      <c r="G30" s="42" t="s">
        <v>3</v>
      </c>
      <c r="H30" s="39">
        <v>4</v>
      </c>
      <c r="I30" s="40" t="s">
        <v>41</v>
      </c>
      <c r="J30" s="149">
        <v>500</v>
      </c>
      <c r="K30" s="66">
        <v>260</v>
      </c>
      <c r="L30" s="66">
        <v>1650</v>
      </c>
      <c r="M30" s="164">
        <v>31.866272419691057</v>
      </c>
      <c r="N30" s="78">
        <v>2087.4281162804846</v>
      </c>
      <c r="O30" s="113">
        <v>34384.06277048793</v>
      </c>
      <c r="P30" s="161">
        <v>41756.701577627908</v>
      </c>
      <c r="Q30" s="254">
        <v>20355.852364541646</v>
      </c>
      <c r="R30" s="263">
        <v>54739.915135029572</v>
      </c>
      <c r="S30" s="259">
        <v>62112.553942169558</v>
      </c>
      <c r="U30" s="7" t="s">
        <v>4259</v>
      </c>
    </row>
    <row r="31" spans="1:21" s="65" customFormat="1" ht="16.5" thickBot="1">
      <c r="A31" s="41" t="s">
        <v>31</v>
      </c>
      <c r="B31" s="42">
        <f t="shared" si="0"/>
        <v>500</v>
      </c>
      <c r="C31" s="42" t="s">
        <v>3</v>
      </c>
      <c r="D31" s="42">
        <f t="shared" si="1"/>
        <v>260</v>
      </c>
      <c r="E31" s="42" t="s">
        <v>3</v>
      </c>
      <c r="F31" s="90">
        <f t="shared" si="2"/>
        <v>1700</v>
      </c>
      <c r="G31" s="42" t="s">
        <v>3</v>
      </c>
      <c r="H31" s="39">
        <v>4</v>
      </c>
      <c r="I31" s="40" t="s">
        <v>41</v>
      </c>
      <c r="J31" s="149">
        <v>500</v>
      </c>
      <c r="K31" s="66">
        <v>260</v>
      </c>
      <c r="L31" s="66">
        <v>1700</v>
      </c>
      <c r="M31" s="164">
        <v>32.73742648955632</v>
      </c>
      <c r="N31" s="78">
        <v>2167.7138130605031</v>
      </c>
      <c r="O31" s="113">
        <v>35223.427383543734</v>
      </c>
      <c r="P31" s="161">
        <v>42797.079255761011</v>
      </c>
      <c r="Q31" s="254">
        <v>20826.307932021609</v>
      </c>
      <c r="R31" s="263">
        <v>56049.73531556534</v>
      </c>
      <c r="S31" s="259">
        <v>63623.387187782617</v>
      </c>
      <c r="U31" s="7" t="s">
        <v>4260</v>
      </c>
    </row>
    <row r="32" spans="1:21" s="65" customFormat="1" ht="16.5" thickBot="1">
      <c r="A32" s="41" t="s">
        <v>31</v>
      </c>
      <c r="B32" s="42">
        <f t="shared" si="0"/>
        <v>500</v>
      </c>
      <c r="C32" s="42" t="s">
        <v>3</v>
      </c>
      <c r="D32" s="42">
        <f t="shared" si="1"/>
        <v>260</v>
      </c>
      <c r="E32" s="42" t="s">
        <v>3</v>
      </c>
      <c r="F32" s="90">
        <f t="shared" si="2"/>
        <v>1750</v>
      </c>
      <c r="G32" s="42" t="s">
        <v>3</v>
      </c>
      <c r="H32" s="39">
        <v>4</v>
      </c>
      <c r="I32" s="40" t="s">
        <v>41</v>
      </c>
      <c r="J32" s="149">
        <v>500</v>
      </c>
      <c r="K32" s="66">
        <v>260</v>
      </c>
      <c r="L32" s="66">
        <v>1750</v>
      </c>
      <c r="M32" s="164">
        <v>33.625620559421577</v>
      </c>
      <c r="N32" s="78">
        <v>2247.999509840522</v>
      </c>
      <c r="O32" s="113">
        <v>36062.791996599539</v>
      </c>
      <c r="P32" s="161">
        <v>43837.456933894107</v>
      </c>
      <c r="Q32" s="254">
        <v>21548.09763728534</v>
      </c>
      <c r="R32" s="263">
        <v>57610.889633884879</v>
      </c>
      <c r="S32" s="259">
        <v>65385.554571179448</v>
      </c>
      <c r="U32" s="7" t="s">
        <v>4261</v>
      </c>
    </row>
    <row r="33" spans="1:21" s="65" customFormat="1" ht="16.5" thickBot="1">
      <c r="A33" s="41" t="s">
        <v>31</v>
      </c>
      <c r="B33" s="42">
        <f t="shared" si="0"/>
        <v>500</v>
      </c>
      <c r="C33" s="42" t="s">
        <v>3</v>
      </c>
      <c r="D33" s="42">
        <f t="shared" si="1"/>
        <v>260</v>
      </c>
      <c r="E33" s="42" t="s">
        <v>3</v>
      </c>
      <c r="F33" s="90">
        <f t="shared" si="2"/>
        <v>1800</v>
      </c>
      <c r="G33" s="42" t="s">
        <v>3</v>
      </c>
      <c r="H33" s="39">
        <v>4</v>
      </c>
      <c r="I33" s="40" t="s">
        <v>41</v>
      </c>
      <c r="J33" s="149">
        <v>500</v>
      </c>
      <c r="K33" s="66">
        <v>260</v>
      </c>
      <c r="L33" s="66">
        <v>1800</v>
      </c>
      <c r="M33" s="164">
        <v>34.496774629286847</v>
      </c>
      <c r="N33" s="78">
        <v>2328.2852066205405</v>
      </c>
      <c r="O33" s="113">
        <v>36902.156609655343</v>
      </c>
      <c r="P33" s="161">
        <v>44877.834612027356</v>
      </c>
      <c r="Q33" s="254">
        <v>22018.553204765303</v>
      </c>
      <c r="R33" s="263">
        <v>58920.709814420647</v>
      </c>
      <c r="S33" s="259">
        <v>66896.38781679266</v>
      </c>
      <c r="U33" s="7" t="s">
        <v>4262</v>
      </c>
    </row>
    <row r="34" spans="1:21" s="65" customFormat="1" ht="16.5" thickBot="1">
      <c r="A34" s="41" t="s">
        <v>31</v>
      </c>
      <c r="B34" s="42">
        <f t="shared" si="0"/>
        <v>500</v>
      </c>
      <c r="C34" s="42" t="s">
        <v>3</v>
      </c>
      <c r="D34" s="42">
        <f t="shared" si="1"/>
        <v>260</v>
      </c>
      <c r="E34" s="42" t="s">
        <v>3</v>
      </c>
      <c r="F34" s="90">
        <f t="shared" si="2"/>
        <v>1850</v>
      </c>
      <c r="G34" s="42" t="s">
        <v>3</v>
      </c>
      <c r="H34" s="39">
        <v>4</v>
      </c>
      <c r="I34" s="40" t="s">
        <v>41</v>
      </c>
      <c r="J34" s="149">
        <v>500</v>
      </c>
      <c r="K34" s="66">
        <v>260</v>
      </c>
      <c r="L34" s="66">
        <v>1850</v>
      </c>
      <c r="M34" s="164">
        <v>35.384968699152111</v>
      </c>
      <c r="N34" s="78">
        <v>2408.570903400559</v>
      </c>
      <c r="O34" s="113">
        <v>37741.521222711148</v>
      </c>
      <c r="P34" s="161">
        <v>45918.212290160453</v>
      </c>
      <c r="Q34" s="254">
        <v>22740.342910029034</v>
      </c>
      <c r="R34" s="263">
        <v>60481.864132740186</v>
      </c>
      <c r="S34" s="259">
        <v>68658.555200189483</v>
      </c>
      <c r="U34" s="7" t="s">
        <v>4263</v>
      </c>
    </row>
    <row r="35" spans="1:21" s="65" customFormat="1" ht="16.5" thickBot="1">
      <c r="A35" s="41" t="s">
        <v>31</v>
      </c>
      <c r="B35" s="42">
        <f t="shared" si="0"/>
        <v>500</v>
      </c>
      <c r="C35" s="42" t="s">
        <v>3</v>
      </c>
      <c r="D35" s="42">
        <f t="shared" si="1"/>
        <v>260</v>
      </c>
      <c r="E35" s="42" t="s">
        <v>3</v>
      </c>
      <c r="F35" s="90">
        <f t="shared" si="2"/>
        <v>1900</v>
      </c>
      <c r="G35" s="42" t="s">
        <v>3</v>
      </c>
      <c r="H35" s="39">
        <v>4</v>
      </c>
      <c r="I35" s="40" t="s">
        <v>41</v>
      </c>
      <c r="J35" s="149">
        <v>500</v>
      </c>
      <c r="K35" s="66">
        <v>260</v>
      </c>
      <c r="L35" s="66">
        <v>1900</v>
      </c>
      <c r="M35" s="164">
        <v>36.256122769017374</v>
      </c>
      <c r="N35" s="78">
        <v>2488.8566001805775</v>
      </c>
      <c r="O35" s="113">
        <v>38580.88583576696</v>
      </c>
      <c r="P35" s="161">
        <v>46958.589968293556</v>
      </c>
      <c r="Q35" s="254">
        <v>23210.798477508997</v>
      </c>
      <c r="R35" s="263">
        <v>61791.684313275953</v>
      </c>
      <c r="S35" s="259">
        <v>70169.388445802557</v>
      </c>
      <c r="U35" s="7" t="s">
        <v>4264</v>
      </c>
    </row>
    <row r="36" spans="1:21" s="65" customFormat="1" ht="16.5" thickBot="1">
      <c r="A36" s="41" t="s">
        <v>31</v>
      </c>
      <c r="B36" s="42">
        <f t="shared" si="0"/>
        <v>500</v>
      </c>
      <c r="C36" s="42" t="s">
        <v>3</v>
      </c>
      <c r="D36" s="42">
        <f t="shared" si="1"/>
        <v>260</v>
      </c>
      <c r="E36" s="42" t="s">
        <v>3</v>
      </c>
      <c r="F36" s="90">
        <f t="shared" si="2"/>
        <v>1950</v>
      </c>
      <c r="G36" s="42" t="s">
        <v>3</v>
      </c>
      <c r="H36" s="39">
        <v>4</v>
      </c>
      <c r="I36" s="40" t="s">
        <v>41</v>
      </c>
      <c r="J36" s="149">
        <v>500</v>
      </c>
      <c r="K36" s="66">
        <v>260</v>
      </c>
      <c r="L36" s="66">
        <v>1950</v>
      </c>
      <c r="M36" s="164">
        <v>37.205776838882635</v>
      </c>
      <c r="N36" s="78">
        <v>2569.1422969605965</v>
      </c>
      <c r="O36" s="113">
        <v>39504.348630927328</v>
      </c>
      <c r="P36" s="161">
        <v>48083.579351861539</v>
      </c>
      <c r="Q36" s="254">
        <v>23681.25404498896</v>
      </c>
      <c r="R36" s="263">
        <v>63185.602675916292</v>
      </c>
      <c r="S36" s="259">
        <v>71764.833396850503</v>
      </c>
      <c r="U36" s="7" t="s">
        <v>4265</v>
      </c>
    </row>
    <row r="37" spans="1:21" s="65" customFormat="1" ht="16.5" thickBot="1">
      <c r="A37" s="41" t="s">
        <v>31</v>
      </c>
      <c r="B37" s="42">
        <f t="shared" si="0"/>
        <v>500</v>
      </c>
      <c r="C37" s="42" t="s">
        <v>3</v>
      </c>
      <c r="D37" s="42">
        <f t="shared" si="1"/>
        <v>260</v>
      </c>
      <c r="E37" s="42" t="s">
        <v>3</v>
      </c>
      <c r="F37" s="90">
        <f t="shared" si="2"/>
        <v>2000</v>
      </c>
      <c r="G37" s="42" t="s">
        <v>3</v>
      </c>
      <c r="H37" s="39">
        <v>4</v>
      </c>
      <c r="I37" s="40" t="s">
        <v>41</v>
      </c>
      <c r="J37" s="149">
        <v>500</v>
      </c>
      <c r="K37" s="66">
        <v>260</v>
      </c>
      <c r="L37" s="66">
        <v>2000</v>
      </c>
      <c r="M37" s="164">
        <v>38.185533308747893</v>
      </c>
      <c r="N37" s="78">
        <v>2649.427993740615</v>
      </c>
      <c r="O37" s="113">
        <v>40595.00514582773</v>
      </c>
      <c r="P37" s="161">
        <v>49464.779056090636</v>
      </c>
      <c r="Q37" s="254">
        <v>24403.043750252691</v>
      </c>
      <c r="R37" s="263">
        <v>64998.048896080421</v>
      </c>
      <c r="S37" s="259">
        <v>73867.82280634332</v>
      </c>
      <c r="U37" s="7" t="s">
        <v>4266</v>
      </c>
    </row>
    <row r="38" spans="1:21" s="65" customFormat="1" ht="16.5" thickBot="1">
      <c r="A38" s="41" t="s">
        <v>31</v>
      </c>
      <c r="B38" s="42">
        <f t="shared" si="0"/>
        <v>500</v>
      </c>
      <c r="C38" s="42" t="s">
        <v>3</v>
      </c>
      <c r="D38" s="42">
        <f t="shared" si="1"/>
        <v>260</v>
      </c>
      <c r="E38" s="42" t="s">
        <v>3</v>
      </c>
      <c r="F38" s="90">
        <f t="shared" si="2"/>
        <v>2050</v>
      </c>
      <c r="G38" s="42" t="s">
        <v>3</v>
      </c>
      <c r="H38" s="39">
        <v>4</v>
      </c>
      <c r="I38" s="40" t="s">
        <v>41</v>
      </c>
      <c r="J38" s="149">
        <v>500</v>
      </c>
      <c r="K38" s="66">
        <v>260</v>
      </c>
      <c r="L38" s="66">
        <v>2050</v>
      </c>
      <c r="M38" s="164">
        <v>39.056687378613162</v>
      </c>
      <c r="N38" s="78">
        <v>2729.7136905206339</v>
      </c>
      <c r="O38" s="113">
        <v>41434.369758883535</v>
      </c>
      <c r="P38" s="161">
        <v>50505.156734223732</v>
      </c>
      <c r="Q38" s="254">
        <v>24873.499317732651</v>
      </c>
      <c r="R38" s="263">
        <v>66307.869076616189</v>
      </c>
      <c r="S38" s="259">
        <v>75378.656051956379</v>
      </c>
      <c r="U38" s="7" t="s">
        <v>4267</v>
      </c>
    </row>
    <row r="39" spans="1:21" s="65" customFormat="1" ht="16.5" thickBot="1">
      <c r="A39" s="38" t="s">
        <v>31</v>
      </c>
      <c r="B39" s="39">
        <f t="shared" si="0"/>
        <v>500</v>
      </c>
      <c r="C39" s="39" t="s">
        <v>3</v>
      </c>
      <c r="D39" s="39">
        <f t="shared" si="1"/>
        <v>260</v>
      </c>
      <c r="E39" s="39" t="s">
        <v>3</v>
      </c>
      <c r="F39" s="90">
        <f t="shared" si="2"/>
        <v>2100</v>
      </c>
      <c r="G39" s="39" t="s">
        <v>3</v>
      </c>
      <c r="H39" s="39">
        <v>4</v>
      </c>
      <c r="I39" s="40" t="s">
        <v>41</v>
      </c>
      <c r="J39" s="149">
        <v>500</v>
      </c>
      <c r="K39" s="66">
        <v>260</v>
      </c>
      <c r="L39" s="66">
        <v>2100</v>
      </c>
      <c r="M39" s="164">
        <v>39.944881448478426</v>
      </c>
      <c r="N39" s="78">
        <v>2809.9993873006524</v>
      </c>
      <c r="O39" s="113">
        <v>42273.734371939347</v>
      </c>
      <c r="P39" s="161">
        <v>51545.534412356836</v>
      </c>
      <c r="Q39" s="254">
        <v>25595.289022996385</v>
      </c>
      <c r="R39" s="263">
        <v>67869.023394935735</v>
      </c>
      <c r="S39" s="259">
        <v>77140.823435353217</v>
      </c>
      <c r="U39" s="7" t="s">
        <v>4268</v>
      </c>
    </row>
    <row r="40" spans="1:21" s="65" customFormat="1" ht="16.5" thickBot="1">
      <c r="A40" s="41" t="s">
        <v>31</v>
      </c>
      <c r="B40" s="42">
        <f t="shared" si="0"/>
        <v>500</v>
      </c>
      <c r="C40" s="42" t="s">
        <v>3</v>
      </c>
      <c r="D40" s="42">
        <f t="shared" si="1"/>
        <v>260</v>
      </c>
      <c r="E40" s="42" t="s">
        <v>3</v>
      </c>
      <c r="F40" s="90">
        <f t="shared" si="2"/>
        <v>2150</v>
      </c>
      <c r="G40" s="42" t="s">
        <v>3</v>
      </c>
      <c r="H40" s="39">
        <v>4</v>
      </c>
      <c r="I40" s="40" t="s">
        <v>41</v>
      </c>
      <c r="J40" s="149">
        <v>500</v>
      </c>
      <c r="K40" s="66">
        <v>260</v>
      </c>
      <c r="L40" s="66">
        <v>2150</v>
      </c>
      <c r="M40" s="164">
        <v>40.816035518343689</v>
      </c>
      <c r="N40" s="78">
        <v>2890.2850840806709</v>
      </c>
      <c r="O40" s="113">
        <v>43113.098831966388</v>
      </c>
      <c r="P40" s="161">
        <v>52585.912090490085</v>
      </c>
      <c r="Q40" s="254">
        <v>26065.744590476344</v>
      </c>
      <c r="R40" s="263">
        <v>69178.843422442733</v>
      </c>
      <c r="S40" s="259">
        <v>78651.656680966436</v>
      </c>
      <c r="U40" s="7" t="s">
        <v>4269</v>
      </c>
    </row>
    <row r="41" spans="1:21" s="65" customFormat="1" ht="16.5" thickBot="1">
      <c r="A41" s="41" t="s">
        <v>31</v>
      </c>
      <c r="B41" s="42">
        <f t="shared" si="0"/>
        <v>500</v>
      </c>
      <c r="C41" s="42" t="s">
        <v>3</v>
      </c>
      <c r="D41" s="42">
        <f t="shared" si="1"/>
        <v>260</v>
      </c>
      <c r="E41" s="42" t="s">
        <v>3</v>
      </c>
      <c r="F41" s="90">
        <f t="shared" si="2"/>
        <v>2200</v>
      </c>
      <c r="G41" s="42" t="s">
        <v>3</v>
      </c>
      <c r="H41" s="39">
        <v>4</v>
      </c>
      <c r="I41" s="40" t="s">
        <v>41</v>
      </c>
      <c r="J41" s="149">
        <v>500</v>
      </c>
      <c r="K41" s="66">
        <v>260</v>
      </c>
      <c r="L41" s="66">
        <v>2200</v>
      </c>
      <c r="M41" s="164">
        <v>41.704229588208946</v>
      </c>
      <c r="N41" s="78">
        <v>2970.5707808606899</v>
      </c>
      <c r="O41" s="113">
        <v>43952.4634450222</v>
      </c>
      <c r="P41" s="161">
        <v>53626.289768623188</v>
      </c>
      <c r="Q41" s="254">
        <v>26787.534295740079</v>
      </c>
      <c r="R41" s="263">
        <v>70739.997740762279</v>
      </c>
      <c r="S41" s="259">
        <v>80413.82406436326</v>
      </c>
      <c r="U41" s="7" t="s">
        <v>4270</v>
      </c>
    </row>
    <row r="42" spans="1:21" s="65" customFormat="1" ht="16.5" thickBot="1">
      <c r="A42" s="41" t="s">
        <v>31</v>
      </c>
      <c r="B42" s="42">
        <f t="shared" si="0"/>
        <v>500</v>
      </c>
      <c r="C42" s="42" t="s">
        <v>3</v>
      </c>
      <c r="D42" s="42">
        <f t="shared" si="1"/>
        <v>260</v>
      </c>
      <c r="E42" s="42" t="s">
        <v>3</v>
      </c>
      <c r="F42" s="90">
        <f t="shared" si="2"/>
        <v>2250</v>
      </c>
      <c r="G42" s="42" t="s">
        <v>3</v>
      </c>
      <c r="H42" s="39">
        <v>4</v>
      </c>
      <c r="I42" s="40" t="s">
        <v>41</v>
      </c>
      <c r="J42" s="149">
        <v>500</v>
      </c>
      <c r="K42" s="66">
        <v>260</v>
      </c>
      <c r="L42" s="66">
        <v>2250</v>
      </c>
      <c r="M42" s="164">
        <v>42.575383658074209</v>
      </c>
      <c r="N42" s="78">
        <v>3050.8564776407079</v>
      </c>
      <c r="O42" s="113">
        <v>44791.828058078005</v>
      </c>
      <c r="P42" s="161">
        <v>54666.667446756284</v>
      </c>
      <c r="Q42" s="254">
        <v>27257.989710191272</v>
      </c>
      <c r="R42" s="263">
        <v>72049.817768269277</v>
      </c>
      <c r="S42" s="259">
        <v>81924.657156947564</v>
      </c>
      <c r="U42" s="7" t="s">
        <v>4271</v>
      </c>
    </row>
    <row r="43" spans="1:21" s="65" customFormat="1" ht="16.5" thickBot="1">
      <c r="A43" s="41" t="s">
        <v>31</v>
      </c>
      <c r="B43" s="42">
        <f t="shared" si="0"/>
        <v>500</v>
      </c>
      <c r="C43" s="42" t="s">
        <v>3</v>
      </c>
      <c r="D43" s="42">
        <f t="shared" si="1"/>
        <v>260</v>
      </c>
      <c r="E43" s="42" t="s">
        <v>3</v>
      </c>
      <c r="F43" s="90">
        <f t="shared" si="2"/>
        <v>2300</v>
      </c>
      <c r="G43" s="42" t="s">
        <v>3</v>
      </c>
      <c r="H43" s="39">
        <v>4</v>
      </c>
      <c r="I43" s="40" t="s">
        <v>41</v>
      </c>
      <c r="J43" s="149">
        <v>500</v>
      </c>
      <c r="K43" s="66">
        <v>260</v>
      </c>
      <c r="L43" s="66">
        <v>2300</v>
      </c>
      <c r="M43" s="164">
        <v>43.446537727939472</v>
      </c>
      <c r="N43" s="78">
        <v>3131.1421744207269</v>
      </c>
      <c r="O43" s="113">
        <v>45631.192671133809</v>
      </c>
      <c r="P43" s="161">
        <v>55707.045124889381</v>
      </c>
      <c r="Q43" s="254">
        <v>27728.445277671239</v>
      </c>
      <c r="R43" s="263">
        <v>73359.637948805044</v>
      </c>
      <c r="S43" s="259">
        <v>83435.490402560623</v>
      </c>
      <c r="U43" s="7" t="s">
        <v>4272</v>
      </c>
    </row>
    <row r="44" spans="1:21" s="65" customFormat="1" ht="16.5" thickBot="1">
      <c r="A44" s="41" t="s">
        <v>31</v>
      </c>
      <c r="B44" s="42">
        <f t="shared" si="0"/>
        <v>500</v>
      </c>
      <c r="C44" s="42" t="s">
        <v>3</v>
      </c>
      <c r="D44" s="42">
        <f t="shared" si="1"/>
        <v>260</v>
      </c>
      <c r="E44" s="42" t="s">
        <v>3</v>
      </c>
      <c r="F44" s="90">
        <f t="shared" si="2"/>
        <v>2350</v>
      </c>
      <c r="G44" s="42" t="s">
        <v>3</v>
      </c>
      <c r="H44" s="39">
        <v>4</v>
      </c>
      <c r="I44" s="40" t="s">
        <v>41</v>
      </c>
      <c r="J44" s="149">
        <v>500</v>
      </c>
      <c r="K44" s="66">
        <v>260</v>
      </c>
      <c r="L44" s="66">
        <v>2350</v>
      </c>
      <c r="M44" s="164">
        <v>44.334731797804736</v>
      </c>
      <c r="N44" s="78">
        <v>3211.4278712007454</v>
      </c>
      <c r="O44" s="113">
        <v>46470.557284189614</v>
      </c>
      <c r="P44" s="161">
        <v>56747.422803022637</v>
      </c>
      <c r="Q44" s="254">
        <v>28450.234982934966</v>
      </c>
      <c r="R44" s="263">
        <v>74920.792267124576</v>
      </c>
      <c r="S44" s="259">
        <v>85197.657785957606</v>
      </c>
      <c r="U44" s="7" t="s">
        <v>4273</v>
      </c>
    </row>
    <row r="45" spans="1:21" s="65" customFormat="1" ht="16.5" thickBot="1">
      <c r="A45" s="41" t="s">
        <v>31</v>
      </c>
      <c r="B45" s="42">
        <f t="shared" si="0"/>
        <v>500</v>
      </c>
      <c r="C45" s="42" t="s">
        <v>3</v>
      </c>
      <c r="D45" s="42">
        <f t="shared" si="1"/>
        <v>260</v>
      </c>
      <c r="E45" s="42" t="s">
        <v>3</v>
      </c>
      <c r="F45" s="90">
        <f t="shared" si="2"/>
        <v>2400</v>
      </c>
      <c r="G45" s="42" t="s">
        <v>3</v>
      </c>
      <c r="H45" s="39">
        <v>4</v>
      </c>
      <c r="I45" s="40" t="s">
        <v>41</v>
      </c>
      <c r="J45" s="149">
        <v>500</v>
      </c>
      <c r="K45" s="66">
        <v>260</v>
      </c>
      <c r="L45" s="66">
        <v>2400</v>
      </c>
      <c r="M45" s="164">
        <v>45.205885867670005</v>
      </c>
      <c r="N45" s="78">
        <v>3291.7135679807639</v>
      </c>
      <c r="O45" s="113">
        <v>47309.921897245425</v>
      </c>
      <c r="P45" s="161">
        <v>57787.800481155733</v>
      </c>
      <c r="Q45" s="254">
        <v>28920.690550414929</v>
      </c>
      <c r="R45" s="263">
        <v>76230.612447660358</v>
      </c>
      <c r="S45" s="259">
        <v>86708.491031570666</v>
      </c>
      <c r="U45" s="7" t="s">
        <v>4274</v>
      </c>
    </row>
    <row r="46" spans="1:21" s="65" customFormat="1" ht="16.5" thickBot="1">
      <c r="A46" s="41" t="s">
        <v>31</v>
      </c>
      <c r="B46" s="42">
        <f t="shared" si="0"/>
        <v>500</v>
      </c>
      <c r="C46" s="42" t="s">
        <v>3</v>
      </c>
      <c r="D46" s="42">
        <f t="shared" si="1"/>
        <v>260</v>
      </c>
      <c r="E46" s="42" t="s">
        <v>3</v>
      </c>
      <c r="F46" s="90">
        <f t="shared" si="2"/>
        <v>2450</v>
      </c>
      <c r="G46" s="42" t="s">
        <v>3</v>
      </c>
      <c r="H46" s="39">
        <v>4</v>
      </c>
      <c r="I46" s="40" t="s">
        <v>41</v>
      </c>
      <c r="J46" s="149">
        <v>500</v>
      </c>
      <c r="K46" s="66">
        <v>260</v>
      </c>
      <c r="L46" s="66">
        <v>2450</v>
      </c>
      <c r="M46" s="164">
        <v>46.259990789495262</v>
      </c>
      <c r="N46" s="78">
        <v>3371.9992647607828</v>
      </c>
      <c r="O46" s="113">
        <v>48815.644299916203</v>
      </c>
      <c r="P46" s="161">
        <v>59454.164574372444</v>
      </c>
      <c r="Q46" s="254">
        <v>29642.480255678664</v>
      </c>
      <c r="R46" s="263">
        <v>78458.12455559487</v>
      </c>
      <c r="S46" s="259">
        <v>89096.644830051111</v>
      </c>
      <c r="U46" s="7" t="s">
        <v>4275</v>
      </c>
    </row>
    <row r="47" spans="1:21" s="65" customFormat="1" ht="16.5" thickBot="1">
      <c r="A47" s="41" t="s">
        <v>31</v>
      </c>
      <c r="B47" s="42">
        <f t="shared" si="0"/>
        <v>500</v>
      </c>
      <c r="C47" s="42" t="s">
        <v>3</v>
      </c>
      <c r="D47" s="42">
        <f t="shared" si="1"/>
        <v>260</v>
      </c>
      <c r="E47" s="42" t="s">
        <v>3</v>
      </c>
      <c r="F47" s="90">
        <f t="shared" si="2"/>
        <v>2500</v>
      </c>
      <c r="G47" s="42" t="s">
        <v>3</v>
      </c>
      <c r="H47" s="39">
        <v>4</v>
      </c>
      <c r="I47" s="40" t="s">
        <v>41</v>
      </c>
      <c r="J47" s="149">
        <v>500</v>
      </c>
      <c r="K47" s="66">
        <v>260</v>
      </c>
      <c r="L47" s="66">
        <v>2500</v>
      </c>
      <c r="M47" s="164">
        <v>47.131144859360525</v>
      </c>
      <c r="N47" s="78">
        <v>3452.2849615408013</v>
      </c>
      <c r="O47" s="113">
        <v>49655.008912972007</v>
      </c>
      <c r="P47" s="161">
        <v>60494.54225250554</v>
      </c>
      <c r="Q47" s="254">
        <v>30112.935823158623</v>
      </c>
      <c r="R47" s="263">
        <v>79767.944736130623</v>
      </c>
      <c r="S47" s="259">
        <v>90607.47807566417</v>
      </c>
      <c r="U47" s="7" t="s">
        <v>4276</v>
      </c>
    </row>
    <row r="48" spans="1:21" s="65" customFormat="1" ht="16.5" thickBot="1">
      <c r="A48" s="41" t="s">
        <v>31</v>
      </c>
      <c r="B48" s="42">
        <f t="shared" si="0"/>
        <v>500</v>
      </c>
      <c r="C48" s="42" t="s">
        <v>3</v>
      </c>
      <c r="D48" s="42">
        <f t="shared" si="1"/>
        <v>260</v>
      </c>
      <c r="E48" s="42" t="s">
        <v>3</v>
      </c>
      <c r="F48" s="90">
        <f t="shared" si="2"/>
        <v>2550</v>
      </c>
      <c r="G48" s="42" t="s">
        <v>3</v>
      </c>
      <c r="H48" s="39">
        <v>4</v>
      </c>
      <c r="I48" s="40" t="s">
        <v>41</v>
      </c>
      <c r="J48" s="149">
        <v>500</v>
      </c>
      <c r="K48" s="66">
        <v>260</v>
      </c>
      <c r="L48" s="66">
        <v>2550</v>
      </c>
      <c r="M48" s="164">
        <v>48.019338929225789</v>
      </c>
      <c r="N48" s="78">
        <v>3532.5706583208207</v>
      </c>
      <c r="O48" s="113">
        <v>50494.373526027819</v>
      </c>
      <c r="P48" s="161">
        <v>61534.919930638636</v>
      </c>
      <c r="Q48" s="254">
        <v>30834.725528422357</v>
      </c>
      <c r="R48" s="263">
        <v>81329.099054450169</v>
      </c>
      <c r="S48" s="259">
        <v>92369.645459060994</v>
      </c>
      <c r="U48" s="7" t="s">
        <v>4277</v>
      </c>
    </row>
    <row r="49" spans="1:21" s="65" customFormat="1" ht="16.5" thickBot="1">
      <c r="A49" s="38" t="s">
        <v>31</v>
      </c>
      <c r="B49" s="39">
        <f t="shared" si="0"/>
        <v>500</v>
      </c>
      <c r="C49" s="39" t="s">
        <v>3</v>
      </c>
      <c r="D49" s="39">
        <f t="shared" si="1"/>
        <v>260</v>
      </c>
      <c r="E49" s="39" t="s">
        <v>3</v>
      </c>
      <c r="F49" s="90">
        <f t="shared" si="2"/>
        <v>2600</v>
      </c>
      <c r="G49" s="39" t="s">
        <v>3</v>
      </c>
      <c r="H49" s="39">
        <v>4</v>
      </c>
      <c r="I49" s="40" t="s">
        <v>41</v>
      </c>
      <c r="J49" s="149">
        <v>500</v>
      </c>
      <c r="K49" s="66">
        <v>260</v>
      </c>
      <c r="L49" s="66">
        <v>2600</v>
      </c>
      <c r="M49" s="164">
        <v>48.890492999091052</v>
      </c>
      <c r="N49" s="78">
        <v>3612.8563551008388</v>
      </c>
      <c r="O49" s="113">
        <v>51333.737986054861</v>
      </c>
      <c r="P49" s="161">
        <v>62575.297608771893</v>
      </c>
      <c r="Q49" s="254">
        <v>31305.181095902317</v>
      </c>
      <c r="R49" s="263">
        <v>82638.919081957181</v>
      </c>
      <c r="S49" s="259">
        <v>93880.478704674213</v>
      </c>
      <c r="U49" s="7" t="s">
        <v>4278</v>
      </c>
    </row>
    <row r="50" spans="1:21" s="65" customFormat="1" ht="16.5" thickBot="1">
      <c r="A50" s="41" t="s">
        <v>31</v>
      </c>
      <c r="B50" s="42">
        <f t="shared" si="0"/>
        <v>500</v>
      </c>
      <c r="C50" s="42" t="s">
        <v>3</v>
      </c>
      <c r="D50" s="42">
        <f t="shared" si="1"/>
        <v>260</v>
      </c>
      <c r="E50" s="42" t="s">
        <v>3</v>
      </c>
      <c r="F50" s="90">
        <f t="shared" si="2"/>
        <v>2650</v>
      </c>
      <c r="G50" s="42" t="s">
        <v>3</v>
      </c>
      <c r="H50" s="39">
        <v>4</v>
      </c>
      <c r="I50" s="40" t="s">
        <v>41</v>
      </c>
      <c r="J50" s="149">
        <v>500</v>
      </c>
      <c r="K50" s="66">
        <v>260</v>
      </c>
      <c r="L50" s="66">
        <v>2650</v>
      </c>
      <c r="M50" s="164">
        <v>49.778687068956323</v>
      </c>
      <c r="N50" s="78">
        <v>3693.1420518808568</v>
      </c>
      <c r="O50" s="113">
        <v>52173.102599110665</v>
      </c>
      <c r="P50" s="161">
        <v>63615.675286904989</v>
      </c>
      <c r="Q50" s="254">
        <v>32026.970801166051</v>
      </c>
      <c r="R50" s="263">
        <v>84200.073400276713</v>
      </c>
      <c r="S50" s="259">
        <v>95642.646088071037</v>
      </c>
      <c r="U50" s="7" t="s">
        <v>4279</v>
      </c>
    </row>
    <row r="51" spans="1:21" s="65" customFormat="1" ht="16.5" thickBot="1">
      <c r="A51" s="41" t="s">
        <v>31</v>
      </c>
      <c r="B51" s="42">
        <f t="shared" si="0"/>
        <v>500</v>
      </c>
      <c r="C51" s="42" t="s">
        <v>3</v>
      </c>
      <c r="D51" s="42">
        <f t="shared" si="1"/>
        <v>260</v>
      </c>
      <c r="E51" s="42" t="s">
        <v>3</v>
      </c>
      <c r="F51" s="90">
        <f t="shared" si="2"/>
        <v>2700</v>
      </c>
      <c r="G51" s="42" t="s">
        <v>3</v>
      </c>
      <c r="H51" s="39">
        <v>4</v>
      </c>
      <c r="I51" s="40" t="s">
        <v>41</v>
      </c>
      <c r="J51" s="149">
        <v>500</v>
      </c>
      <c r="K51" s="66">
        <v>260</v>
      </c>
      <c r="L51" s="66">
        <v>2700</v>
      </c>
      <c r="M51" s="164">
        <v>50.728341138821584</v>
      </c>
      <c r="N51" s="78">
        <v>3773.4277486608757</v>
      </c>
      <c r="O51" s="113">
        <v>53096.565547299804</v>
      </c>
      <c r="P51" s="161">
        <v>64740.664670472812</v>
      </c>
      <c r="Q51" s="254">
        <v>32497.426368646011</v>
      </c>
      <c r="R51" s="263">
        <v>85593.991915945808</v>
      </c>
      <c r="S51" s="259">
        <v>97238.091039118823</v>
      </c>
      <c r="U51" s="7" t="s">
        <v>4280</v>
      </c>
    </row>
    <row r="52" spans="1:21" s="65" customFormat="1" ht="16.5" thickBot="1">
      <c r="A52" s="41" t="s">
        <v>31</v>
      </c>
      <c r="B52" s="42">
        <f t="shared" si="0"/>
        <v>500</v>
      </c>
      <c r="C52" s="42" t="s">
        <v>3</v>
      </c>
      <c r="D52" s="42">
        <f t="shared" si="1"/>
        <v>260</v>
      </c>
      <c r="E52" s="42" t="s">
        <v>3</v>
      </c>
      <c r="F52" s="90">
        <f t="shared" si="2"/>
        <v>2750</v>
      </c>
      <c r="G52" s="42" t="s">
        <v>3</v>
      </c>
      <c r="H52" s="39">
        <v>4</v>
      </c>
      <c r="I52" s="40" t="s">
        <v>41</v>
      </c>
      <c r="J52" s="149">
        <v>500</v>
      </c>
      <c r="K52" s="66">
        <v>260</v>
      </c>
      <c r="L52" s="66">
        <v>2750</v>
      </c>
      <c r="M52" s="164">
        <v>51.599495208686847</v>
      </c>
      <c r="N52" s="78">
        <v>3853.7134454408942</v>
      </c>
      <c r="O52" s="113">
        <v>53935.930160355609</v>
      </c>
      <c r="P52" s="161">
        <v>65781.042348606075</v>
      </c>
      <c r="Q52" s="254">
        <v>32967.881936125974</v>
      </c>
      <c r="R52" s="263">
        <v>86903.81209648159</v>
      </c>
      <c r="S52" s="259">
        <v>98748.924284732057</v>
      </c>
      <c r="U52" s="7" t="s">
        <v>4281</v>
      </c>
    </row>
    <row r="53" spans="1:21" s="65" customFormat="1" ht="16.5" thickBot="1">
      <c r="A53" s="41" t="s">
        <v>31</v>
      </c>
      <c r="B53" s="42">
        <f t="shared" si="0"/>
        <v>500</v>
      </c>
      <c r="C53" s="42" t="s">
        <v>3</v>
      </c>
      <c r="D53" s="42">
        <f t="shared" si="1"/>
        <v>260</v>
      </c>
      <c r="E53" s="42" t="s">
        <v>3</v>
      </c>
      <c r="F53" s="90">
        <f t="shared" si="2"/>
        <v>2800</v>
      </c>
      <c r="G53" s="42" t="s">
        <v>3</v>
      </c>
      <c r="H53" s="39">
        <v>4</v>
      </c>
      <c r="I53" s="40" t="s">
        <v>41</v>
      </c>
      <c r="J53" s="149">
        <v>500</v>
      </c>
      <c r="K53" s="66">
        <v>260</v>
      </c>
      <c r="L53" s="66">
        <v>2800</v>
      </c>
      <c r="M53" s="164">
        <v>52.487689278552104</v>
      </c>
      <c r="N53" s="78">
        <v>3933.9991422209137</v>
      </c>
      <c r="O53" s="113">
        <v>54775.294773411413</v>
      </c>
      <c r="P53" s="161">
        <v>66821.420026739172</v>
      </c>
      <c r="Q53" s="254">
        <v>33689.671488360938</v>
      </c>
      <c r="R53" s="263">
        <v>88464.966261772352</v>
      </c>
      <c r="S53" s="259">
        <v>100511.09151510011</v>
      </c>
      <c r="U53" s="7" t="s">
        <v>4282</v>
      </c>
    </row>
    <row r="54" spans="1:21" s="65" customFormat="1" ht="16.5" thickBot="1">
      <c r="A54" s="41" t="s">
        <v>31</v>
      </c>
      <c r="B54" s="42">
        <f t="shared" si="0"/>
        <v>500</v>
      </c>
      <c r="C54" s="42" t="s">
        <v>3</v>
      </c>
      <c r="D54" s="42">
        <f t="shared" si="1"/>
        <v>260</v>
      </c>
      <c r="E54" s="42" t="s">
        <v>3</v>
      </c>
      <c r="F54" s="90">
        <f t="shared" si="2"/>
        <v>2850</v>
      </c>
      <c r="G54" s="42" t="s">
        <v>3</v>
      </c>
      <c r="H54" s="39">
        <v>4</v>
      </c>
      <c r="I54" s="40" t="s">
        <v>41</v>
      </c>
      <c r="J54" s="149">
        <v>500</v>
      </c>
      <c r="K54" s="66">
        <v>260</v>
      </c>
      <c r="L54" s="66">
        <v>2850</v>
      </c>
      <c r="M54" s="164">
        <v>53.358843348417381</v>
      </c>
      <c r="N54" s="78">
        <v>4014.2848390009317</v>
      </c>
      <c r="O54" s="113">
        <v>55614.659386467218</v>
      </c>
      <c r="P54" s="161">
        <v>67861.797704872268</v>
      </c>
      <c r="Q54" s="254">
        <v>34160.127055840901</v>
      </c>
      <c r="R54" s="263">
        <v>89774.786442308119</v>
      </c>
      <c r="S54" s="259">
        <v>102021.92476071317</v>
      </c>
      <c r="U54" s="7" t="s">
        <v>4283</v>
      </c>
    </row>
    <row r="55" spans="1:21" s="65" customFormat="1" ht="16.5" thickBot="1">
      <c r="A55" s="41" t="s">
        <v>31</v>
      </c>
      <c r="B55" s="42">
        <f t="shared" si="0"/>
        <v>500</v>
      </c>
      <c r="C55" s="42" t="s">
        <v>3</v>
      </c>
      <c r="D55" s="42">
        <f t="shared" si="1"/>
        <v>260</v>
      </c>
      <c r="E55" s="42" t="s">
        <v>3</v>
      </c>
      <c r="F55" s="90">
        <f t="shared" si="2"/>
        <v>2900</v>
      </c>
      <c r="G55" s="42" t="s">
        <v>3</v>
      </c>
      <c r="H55" s="39">
        <v>4</v>
      </c>
      <c r="I55" s="40" t="s">
        <v>41</v>
      </c>
      <c r="J55" s="149">
        <v>500</v>
      </c>
      <c r="K55" s="66">
        <v>260</v>
      </c>
      <c r="L55" s="66">
        <v>2900</v>
      </c>
      <c r="M55" s="164">
        <v>54.24703741828263</v>
      </c>
      <c r="N55" s="78">
        <v>4094.5705357809506</v>
      </c>
      <c r="O55" s="113">
        <v>56454.023846494259</v>
      </c>
      <c r="P55" s="161">
        <v>68902.175383005364</v>
      </c>
      <c r="Q55" s="254">
        <v>34881.916761104636</v>
      </c>
      <c r="R55" s="263">
        <v>91335.940607598895</v>
      </c>
      <c r="S55" s="259">
        <v>103784.09214411001</v>
      </c>
      <c r="U55" s="7" t="s">
        <v>4284</v>
      </c>
    </row>
    <row r="56" spans="1:21" s="65" customFormat="1" ht="16.5" thickBot="1">
      <c r="A56" s="41" t="s">
        <v>31</v>
      </c>
      <c r="B56" s="42">
        <f t="shared" si="0"/>
        <v>500</v>
      </c>
      <c r="C56" s="42" t="s">
        <v>3</v>
      </c>
      <c r="D56" s="42">
        <f t="shared" si="1"/>
        <v>260</v>
      </c>
      <c r="E56" s="42" t="s">
        <v>3</v>
      </c>
      <c r="F56" s="90">
        <f t="shared" si="2"/>
        <v>2950</v>
      </c>
      <c r="G56" s="42" t="s">
        <v>3</v>
      </c>
      <c r="H56" s="39">
        <v>4</v>
      </c>
      <c r="I56" s="40" t="s">
        <v>41</v>
      </c>
      <c r="J56" s="149">
        <v>500</v>
      </c>
      <c r="K56" s="66">
        <v>260</v>
      </c>
      <c r="L56" s="66">
        <v>2950</v>
      </c>
      <c r="M56" s="164">
        <v>55.118191488147893</v>
      </c>
      <c r="N56" s="78">
        <v>4174.8562325609691</v>
      </c>
      <c r="O56" s="113">
        <v>57293.388459550064</v>
      </c>
      <c r="P56" s="161">
        <v>69942.55306113862</v>
      </c>
      <c r="Q56" s="254">
        <v>35352.372328584599</v>
      </c>
      <c r="R56" s="263">
        <v>92645.760788134663</v>
      </c>
      <c r="S56" s="259">
        <v>105294.92538972321</v>
      </c>
      <c r="U56" s="7" t="s">
        <v>4285</v>
      </c>
    </row>
    <row r="57" spans="1:21" s="65" customFormat="1" ht="16.5" thickBot="1">
      <c r="A57" s="43" t="s">
        <v>31</v>
      </c>
      <c r="B57" s="44">
        <f t="shared" si="0"/>
        <v>500</v>
      </c>
      <c r="C57" s="44" t="s">
        <v>3</v>
      </c>
      <c r="D57" s="44">
        <f t="shared" si="1"/>
        <v>260</v>
      </c>
      <c r="E57" s="44" t="s">
        <v>3</v>
      </c>
      <c r="F57" s="91">
        <f t="shared" si="2"/>
        <v>3000</v>
      </c>
      <c r="G57" s="44" t="s">
        <v>3</v>
      </c>
      <c r="H57" s="46">
        <v>4</v>
      </c>
      <c r="I57" s="45" t="s">
        <v>41</v>
      </c>
      <c r="J57" s="265">
        <v>500</v>
      </c>
      <c r="K57" s="266">
        <v>260</v>
      </c>
      <c r="L57" s="266">
        <v>3000</v>
      </c>
      <c r="M57" s="249">
        <v>56.006385558013164</v>
      </c>
      <c r="N57" s="250">
        <v>4255.1419293409881</v>
      </c>
      <c r="O57" s="251">
        <v>59413.674689020372</v>
      </c>
      <c r="P57" s="283">
        <v>70982.930739271716</v>
      </c>
      <c r="Q57" s="267">
        <v>36074.162033848326</v>
      </c>
      <c r="R57" s="268">
        <v>95487.836722868698</v>
      </c>
      <c r="S57" s="269">
        <v>107057.09277312004</v>
      </c>
      <c r="U57" s="7" t="s">
        <v>4286</v>
      </c>
    </row>
    <row r="58" spans="1:21" ht="22.5" customHeight="1" thickBot="1">
      <c r="A58" s="2968" t="s">
        <v>43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69"/>
      <c r="R58" s="2969"/>
      <c r="S58" s="2970"/>
      <c r="U58" s="7"/>
    </row>
    <row r="59" spans="1:21" ht="16.5" thickBot="1">
      <c r="A59" s="2974" t="s">
        <v>117</v>
      </c>
      <c r="B59" s="2975"/>
      <c r="C59" s="2975"/>
      <c r="D59" s="2975"/>
      <c r="E59" s="2975"/>
      <c r="F59" s="2975"/>
      <c r="G59" s="2975"/>
      <c r="H59" s="2975"/>
      <c r="I59" s="2975"/>
      <c r="J59" s="2975"/>
      <c r="K59" s="2975"/>
      <c r="L59" s="2975"/>
      <c r="M59" s="2975"/>
      <c r="N59" s="2975"/>
      <c r="O59" s="2975"/>
      <c r="P59" s="2975"/>
      <c r="Q59" s="2975"/>
      <c r="R59" s="2975"/>
      <c r="S59" s="2976"/>
      <c r="U59" s="7"/>
    </row>
    <row r="60" spans="1:21" ht="16.5" thickBot="1">
      <c r="A60" s="38" t="s">
        <v>31</v>
      </c>
      <c r="B60" s="39">
        <f>J60</f>
        <v>500</v>
      </c>
      <c r="C60" s="39" t="s">
        <v>3</v>
      </c>
      <c r="D60" s="39">
        <f>K60</f>
        <v>300</v>
      </c>
      <c r="E60" s="39" t="s">
        <v>3</v>
      </c>
      <c r="F60" s="90">
        <f>L60</f>
        <v>600</v>
      </c>
      <c r="G60" s="39" t="s">
        <v>3</v>
      </c>
      <c r="H60" s="39">
        <v>4</v>
      </c>
      <c r="I60" s="40" t="s">
        <v>41</v>
      </c>
      <c r="J60" s="270">
        <v>500</v>
      </c>
      <c r="K60" s="271">
        <v>300</v>
      </c>
      <c r="L60" s="271">
        <v>600</v>
      </c>
      <c r="M60" s="245">
        <v>13.503622753074538</v>
      </c>
      <c r="N60" s="246">
        <v>429.99819390300161</v>
      </c>
      <c r="O60" s="247">
        <v>16807.297711580923</v>
      </c>
      <c r="P60" s="170">
        <v>20350.06254929239</v>
      </c>
      <c r="Q60" s="272">
        <v>8941.6715199935952</v>
      </c>
      <c r="R60" s="273">
        <v>25748.96923157452</v>
      </c>
      <c r="S60" s="274">
        <v>29291.734069285987</v>
      </c>
      <c r="U60" s="7" t="s">
        <v>4287</v>
      </c>
    </row>
    <row r="61" spans="1:21" ht="16.5" thickBot="1">
      <c r="A61" s="41" t="s">
        <v>31</v>
      </c>
      <c r="B61" s="42">
        <f t="shared" ref="B61:B108" si="3">J61</f>
        <v>500</v>
      </c>
      <c r="C61" s="42" t="s">
        <v>3</v>
      </c>
      <c r="D61" s="42">
        <f t="shared" ref="D61:D108" si="4">K61</f>
        <v>300</v>
      </c>
      <c r="E61" s="42" t="s">
        <v>3</v>
      </c>
      <c r="F61" s="90">
        <f t="shared" ref="F61:F108" si="5">L61</f>
        <v>650</v>
      </c>
      <c r="G61" s="42" t="s">
        <v>3</v>
      </c>
      <c r="H61" s="39">
        <v>4</v>
      </c>
      <c r="I61" s="40" t="s">
        <v>41</v>
      </c>
      <c r="J61" s="149">
        <v>500</v>
      </c>
      <c r="K61" s="66">
        <v>300</v>
      </c>
      <c r="L61" s="66">
        <v>650</v>
      </c>
      <c r="M61" s="164">
        <v>14.396555674686432</v>
      </c>
      <c r="N61" s="78">
        <v>515.99783268360193</v>
      </c>
      <c r="O61" s="113">
        <v>17688.630463472262</v>
      </c>
      <c r="P61" s="161">
        <v>21452.862888113639</v>
      </c>
      <c r="Q61" s="254">
        <v>9465.3131529653438</v>
      </c>
      <c r="R61" s="263">
        <v>27153.943616437606</v>
      </c>
      <c r="S61" s="259">
        <v>30918.176041078983</v>
      </c>
      <c r="U61" s="7" t="s">
        <v>4288</v>
      </c>
    </row>
    <row r="62" spans="1:21" ht="16.5" thickBot="1">
      <c r="A62" s="41" t="s">
        <v>31</v>
      </c>
      <c r="B62" s="42">
        <f t="shared" si="3"/>
        <v>500</v>
      </c>
      <c r="C62" s="42" t="s">
        <v>3</v>
      </c>
      <c r="D62" s="42">
        <f t="shared" si="4"/>
        <v>300</v>
      </c>
      <c r="E62" s="42" t="s">
        <v>3</v>
      </c>
      <c r="F62" s="90">
        <f t="shared" si="5"/>
        <v>700</v>
      </c>
      <c r="G62" s="42" t="s">
        <v>3</v>
      </c>
      <c r="H62" s="39">
        <v>4</v>
      </c>
      <c r="I62" s="40" t="s">
        <v>41</v>
      </c>
      <c r="J62" s="149">
        <v>500</v>
      </c>
      <c r="K62" s="66">
        <v>300</v>
      </c>
      <c r="L62" s="66">
        <v>700</v>
      </c>
      <c r="M62" s="164">
        <v>15.306954596298324</v>
      </c>
      <c r="N62" s="78">
        <v>601.99747146420225</v>
      </c>
      <c r="O62" s="113">
        <v>18569.963368392368</v>
      </c>
      <c r="P62" s="161">
        <v>22555.663226934736</v>
      </c>
      <c r="Q62" s="254">
        <v>10240.289076749623</v>
      </c>
      <c r="R62" s="263">
        <v>28810.252445141989</v>
      </c>
      <c r="S62" s="259">
        <v>32795.95230368436</v>
      </c>
      <c r="U62" s="7" t="s">
        <v>4289</v>
      </c>
    </row>
    <row r="63" spans="1:21" ht="16.5" thickBot="1">
      <c r="A63" s="41" t="s">
        <v>31</v>
      </c>
      <c r="B63" s="42">
        <f t="shared" si="3"/>
        <v>500</v>
      </c>
      <c r="C63" s="42" t="s">
        <v>3</v>
      </c>
      <c r="D63" s="42">
        <f t="shared" si="4"/>
        <v>300</v>
      </c>
      <c r="E63" s="42" t="s">
        <v>3</v>
      </c>
      <c r="F63" s="90">
        <f t="shared" si="5"/>
        <v>750</v>
      </c>
      <c r="G63" s="42" t="s">
        <v>3</v>
      </c>
      <c r="H63" s="39">
        <v>4</v>
      </c>
      <c r="I63" s="40" t="s">
        <v>41</v>
      </c>
      <c r="J63" s="149">
        <v>500</v>
      </c>
      <c r="K63" s="66">
        <v>300</v>
      </c>
      <c r="L63" s="66">
        <v>750</v>
      </c>
      <c r="M63" s="164">
        <v>16.19988751791022</v>
      </c>
      <c r="N63" s="78">
        <v>687.99711024480257</v>
      </c>
      <c r="O63" s="113">
        <v>19451.296120283703</v>
      </c>
      <c r="P63" s="161">
        <v>23658.463565755836</v>
      </c>
      <c r="Q63" s="254">
        <v>10763.930709721371</v>
      </c>
      <c r="R63" s="263">
        <v>30215.226830005075</v>
      </c>
      <c r="S63" s="259">
        <v>34422.394275477207</v>
      </c>
      <c r="U63" s="7" t="s">
        <v>4290</v>
      </c>
    </row>
    <row r="64" spans="1:21" ht="16.5" thickBot="1">
      <c r="A64" s="41" t="s">
        <v>31</v>
      </c>
      <c r="B64" s="42">
        <f t="shared" si="3"/>
        <v>500</v>
      </c>
      <c r="C64" s="42" t="s">
        <v>3</v>
      </c>
      <c r="D64" s="42">
        <f t="shared" si="4"/>
        <v>300</v>
      </c>
      <c r="E64" s="42" t="s">
        <v>3</v>
      </c>
      <c r="F64" s="90">
        <f t="shared" si="5"/>
        <v>800</v>
      </c>
      <c r="G64" s="42" t="s">
        <v>3</v>
      </c>
      <c r="H64" s="39">
        <v>4</v>
      </c>
      <c r="I64" s="40" t="s">
        <v>41</v>
      </c>
      <c r="J64" s="149">
        <v>500</v>
      </c>
      <c r="K64" s="66">
        <v>300</v>
      </c>
      <c r="L64" s="66">
        <v>800</v>
      </c>
      <c r="M64" s="164">
        <v>17.092820439522121</v>
      </c>
      <c r="N64" s="78">
        <v>773.99674902540289</v>
      </c>
      <c r="O64" s="113">
        <v>20332.629025203805</v>
      </c>
      <c r="P64" s="161">
        <v>24761.263904576932</v>
      </c>
      <c r="Q64" s="254">
        <v>11287.572342693116</v>
      </c>
      <c r="R64" s="263">
        <v>31620.201367896923</v>
      </c>
      <c r="S64" s="259">
        <v>36048.836247270046</v>
      </c>
      <c r="U64" s="7" t="s">
        <v>4291</v>
      </c>
    </row>
    <row r="65" spans="1:21" ht="16.5" thickBot="1">
      <c r="A65" s="41" t="s">
        <v>31</v>
      </c>
      <c r="B65" s="42">
        <f t="shared" si="3"/>
        <v>500</v>
      </c>
      <c r="C65" s="42" t="s">
        <v>3</v>
      </c>
      <c r="D65" s="42">
        <f t="shared" si="4"/>
        <v>300</v>
      </c>
      <c r="E65" s="42" t="s">
        <v>3</v>
      </c>
      <c r="F65" s="90">
        <f t="shared" si="5"/>
        <v>850</v>
      </c>
      <c r="G65" s="42" t="s">
        <v>3</v>
      </c>
      <c r="H65" s="39">
        <v>4</v>
      </c>
      <c r="I65" s="40" t="s">
        <v>41</v>
      </c>
      <c r="J65" s="149">
        <v>500</v>
      </c>
      <c r="K65" s="66">
        <v>300</v>
      </c>
      <c r="L65" s="66">
        <v>850</v>
      </c>
      <c r="M65" s="164">
        <v>18.003219361134011</v>
      </c>
      <c r="N65" s="78">
        <v>859.99638780600321</v>
      </c>
      <c r="O65" s="113">
        <v>21213.961777095144</v>
      </c>
      <c r="P65" s="161">
        <v>25864.064243398028</v>
      </c>
      <c r="Q65" s="254">
        <v>12062.548266477399</v>
      </c>
      <c r="R65" s="263">
        <v>33276.510043572547</v>
      </c>
      <c r="S65" s="259">
        <v>37926.612509875427</v>
      </c>
      <c r="U65" s="7" t="s">
        <v>4292</v>
      </c>
    </row>
    <row r="66" spans="1:21" ht="16.5" thickBot="1">
      <c r="A66" s="41" t="s">
        <v>31</v>
      </c>
      <c r="B66" s="42">
        <f t="shared" si="3"/>
        <v>500</v>
      </c>
      <c r="C66" s="42" t="s">
        <v>3</v>
      </c>
      <c r="D66" s="42">
        <f t="shared" si="4"/>
        <v>300</v>
      </c>
      <c r="E66" s="42" t="s">
        <v>3</v>
      </c>
      <c r="F66" s="90">
        <f t="shared" si="5"/>
        <v>900</v>
      </c>
      <c r="G66" s="42" t="s">
        <v>3</v>
      </c>
      <c r="H66" s="39">
        <v>4</v>
      </c>
      <c r="I66" s="40" t="s">
        <v>41</v>
      </c>
      <c r="J66" s="149">
        <v>500</v>
      </c>
      <c r="K66" s="66">
        <v>300</v>
      </c>
      <c r="L66" s="66">
        <v>900</v>
      </c>
      <c r="M66" s="164">
        <v>18.896152282745906</v>
      </c>
      <c r="N66" s="78">
        <v>945.99602658660365</v>
      </c>
      <c r="O66" s="113">
        <v>22095.29468201525</v>
      </c>
      <c r="P66" s="161">
        <v>26966.864582219278</v>
      </c>
      <c r="Q66" s="254">
        <v>12586.189899449146</v>
      </c>
      <c r="R66" s="263">
        <v>34681.484581464392</v>
      </c>
      <c r="S66" s="259">
        <v>39553.054481668427</v>
      </c>
      <c r="U66" s="7" t="s">
        <v>4293</v>
      </c>
    </row>
    <row r="67" spans="1:21" ht="16.5" thickBot="1">
      <c r="A67" s="41" t="s">
        <v>31</v>
      </c>
      <c r="B67" s="42">
        <f t="shared" si="3"/>
        <v>500</v>
      </c>
      <c r="C67" s="42" t="s">
        <v>3</v>
      </c>
      <c r="D67" s="42">
        <f t="shared" si="4"/>
        <v>300</v>
      </c>
      <c r="E67" s="42" t="s">
        <v>3</v>
      </c>
      <c r="F67" s="90">
        <f t="shared" si="5"/>
        <v>950</v>
      </c>
      <c r="G67" s="42" t="s">
        <v>3</v>
      </c>
      <c r="H67" s="39">
        <v>4</v>
      </c>
      <c r="I67" s="40" t="s">
        <v>41</v>
      </c>
      <c r="J67" s="149">
        <v>500</v>
      </c>
      <c r="K67" s="66">
        <v>300</v>
      </c>
      <c r="L67" s="66">
        <v>950</v>
      </c>
      <c r="M67" s="164">
        <v>19.806551204357799</v>
      </c>
      <c r="N67" s="78">
        <v>1031.9956653672039</v>
      </c>
      <c r="O67" s="113">
        <v>22976.627433906586</v>
      </c>
      <c r="P67" s="161">
        <v>28069.664921040374</v>
      </c>
      <c r="Q67" s="254">
        <v>13361.165670204662</v>
      </c>
      <c r="R67" s="263">
        <v>36337.793104111246</v>
      </c>
      <c r="S67" s="259">
        <v>41430.830591245038</v>
      </c>
      <c r="U67" s="7" t="s">
        <v>4294</v>
      </c>
    </row>
    <row r="68" spans="1:21" ht="16.5" thickBot="1">
      <c r="A68" s="41" t="s">
        <v>31</v>
      </c>
      <c r="B68" s="42">
        <f t="shared" si="3"/>
        <v>500</v>
      </c>
      <c r="C68" s="42" t="s">
        <v>3</v>
      </c>
      <c r="D68" s="42">
        <f t="shared" si="4"/>
        <v>300</v>
      </c>
      <c r="E68" s="42" t="s">
        <v>3</v>
      </c>
      <c r="F68" s="90">
        <f t="shared" si="5"/>
        <v>1000</v>
      </c>
      <c r="G68" s="42" t="s">
        <v>3</v>
      </c>
      <c r="H68" s="39">
        <v>4</v>
      </c>
      <c r="I68" s="40" t="s">
        <v>41</v>
      </c>
      <c r="J68" s="149">
        <v>500</v>
      </c>
      <c r="K68" s="66">
        <v>300</v>
      </c>
      <c r="L68" s="66">
        <v>1000</v>
      </c>
      <c r="M68" s="164">
        <v>20.699484125969693</v>
      </c>
      <c r="N68" s="78">
        <v>1117.9953041478043</v>
      </c>
      <c r="O68" s="113">
        <v>23857.960338826688</v>
      </c>
      <c r="P68" s="161">
        <v>29172.46525986147</v>
      </c>
      <c r="Q68" s="254">
        <v>13884.807456205173</v>
      </c>
      <c r="R68" s="263">
        <v>37742.767795031861</v>
      </c>
      <c r="S68" s="259">
        <v>43057.27271606664</v>
      </c>
      <c r="U68" s="7" t="s">
        <v>4295</v>
      </c>
    </row>
    <row r="69" spans="1:21" ht="16.5" thickBot="1">
      <c r="A69" s="41" t="s">
        <v>31</v>
      </c>
      <c r="B69" s="42">
        <f t="shared" si="3"/>
        <v>500</v>
      </c>
      <c r="C69" s="42" t="s">
        <v>3</v>
      </c>
      <c r="D69" s="42">
        <f t="shared" si="4"/>
        <v>300</v>
      </c>
      <c r="E69" s="42" t="s">
        <v>3</v>
      </c>
      <c r="F69" s="90">
        <f t="shared" si="5"/>
        <v>1050</v>
      </c>
      <c r="G69" s="42" t="s">
        <v>3</v>
      </c>
      <c r="H69" s="39">
        <v>4</v>
      </c>
      <c r="I69" s="40" t="s">
        <v>41</v>
      </c>
      <c r="J69" s="149">
        <v>500</v>
      </c>
      <c r="K69" s="66">
        <v>300</v>
      </c>
      <c r="L69" s="66">
        <v>1050</v>
      </c>
      <c r="M69" s="164">
        <v>21.609883047581587</v>
      </c>
      <c r="N69" s="78">
        <v>1203.9949429284045</v>
      </c>
      <c r="O69" s="113">
        <v>24739.293090718027</v>
      </c>
      <c r="P69" s="161">
        <v>30275.265598682567</v>
      </c>
      <c r="Q69" s="254">
        <v>14659.78322696069</v>
      </c>
      <c r="R69" s="263">
        <v>39399.076317678715</v>
      </c>
      <c r="S69" s="259">
        <v>44935.048825643258</v>
      </c>
      <c r="U69" s="7" t="s">
        <v>4296</v>
      </c>
    </row>
    <row r="70" spans="1:21" ht="16.5" thickBot="1">
      <c r="A70" s="38" t="s">
        <v>31</v>
      </c>
      <c r="B70" s="39">
        <f t="shared" si="3"/>
        <v>500</v>
      </c>
      <c r="C70" s="39" t="s">
        <v>3</v>
      </c>
      <c r="D70" s="39">
        <f t="shared" si="4"/>
        <v>300</v>
      </c>
      <c r="E70" s="39" t="s">
        <v>3</v>
      </c>
      <c r="F70" s="90">
        <f t="shared" si="5"/>
        <v>1100</v>
      </c>
      <c r="G70" s="39" t="s">
        <v>3</v>
      </c>
      <c r="H70" s="39">
        <v>4</v>
      </c>
      <c r="I70" s="40" t="s">
        <v>41</v>
      </c>
      <c r="J70" s="149">
        <v>500</v>
      </c>
      <c r="K70" s="66">
        <v>300</v>
      </c>
      <c r="L70" s="66">
        <v>1100</v>
      </c>
      <c r="M70" s="164">
        <v>22.502815969193481</v>
      </c>
      <c r="N70" s="78">
        <v>1289.9945817090047</v>
      </c>
      <c r="O70" s="113">
        <v>25620.625995638129</v>
      </c>
      <c r="P70" s="161">
        <v>31378.065937503819</v>
      </c>
      <c r="Q70" s="254">
        <v>15183.425012961201</v>
      </c>
      <c r="R70" s="263">
        <v>40804.05100859933</v>
      </c>
      <c r="S70" s="259">
        <v>46561.49095046502</v>
      </c>
      <c r="U70" s="7" t="s">
        <v>4297</v>
      </c>
    </row>
    <row r="71" spans="1:21" ht="16.5" thickBot="1">
      <c r="A71" s="41" t="s">
        <v>31</v>
      </c>
      <c r="B71" s="42">
        <f t="shared" si="3"/>
        <v>500</v>
      </c>
      <c r="C71" s="42" t="s">
        <v>3</v>
      </c>
      <c r="D71" s="42">
        <f t="shared" si="4"/>
        <v>300</v>
      </c>
      <c r="E71" s="42" t="s">
        <v>3</v>
      </c>
      <c r="F71" s="90">
        <f t="shared" si="5"/>
        <v>1150</v>
      </c>
      <c r="G71" s="42" t="s">
        <v>3</v>
      </c>
      <c r="H71" s="39">
        <v>4</v>
      </c>
      <c r="I71" s="40" t="s">
        <v>41</v>
      </c>
      <c r="J71" s="149">
        <v>500</v>
      </c>
      <c r="K71" s="66">
        <v>300</v>
      </c>
      <c r="L71" s="66">
        <v>1150</v>
      </c>
      <c r="M71" s="164">
        <v>23.395748890805375</v>
      </c>
      <c r="N71" s="78">
        <v>1375.9942204896051</v>
      </c>
      <c r="O71" s="113">
        <v>26501.958747529468</v>
      </c>
      <c r="P71" s="161">
        <v>32480.866276324916</v>
      </c>
      <c r="Q71" s="254">
        <v>15707.066645932946</v>
      </c>
      <c r="R71" s="263">
        <v>42209.025393462412</v>
      </c>
      <c r="S71" s="259">
        <v>48187.93292225786</v>
      </c>
      <c r="U71" s="7" t="s">
        <v>4298</v>
      </c>
    </row>
    <row r="72" spans="1:21" ht="16.5" thickBot="1">
      <c r="A72" s="41" t="s">
        <v>31</v>
      </c>
      <c r="B72" s="42">
        <f t="shared" si="3"/>
        <v>500</v>
      </c>
      <c r="C72" s="42" t="s">
        <v>3</v>
      </c>
      <c r="D72" s="42">
        <f t="shared" si="4"/>
        <v>300</v>
      </c>
      <c r="E72" s="42" t="s">
        <v>3</v>
      </c>
      <c r="F72" s="90">
        <f t="shared" si="5"/>
        <v>1200</v>
      </c>
      <c r="G72" s="42" t="s">
        <v>3</v>
      </c>
      <c r="H72" s="39">
        <v>4</v>
      </c>
      <c r="I72" s="40" t="s">
        <v>41</v>
      </c>
      <c r="J72" s="149">
        <v>500</v>
      </c>
      <c r="K72" s="66">
        <v>300</v>
      </c>
      <c r="L72" s="66">
        <v>1200</v>
      </c>
      <c r="M72" s="164">
        <v>24.386610312417272</v>
      </c>
      <c r="N72" s="78">
        <v>1461.9938592702053</v>
      </c>
      <c r="O72" s="113">
        <v>27471.594758962241</v>
      </c>
      <c r="P72" s="161">
        <v>33673.355022906828</v>
      </c>
      <c r="Q72" s="254">
        <v>16482.042416688462</v>
      </c>
      <c r="R72" s="263">
        <v>43953.6371756507</v>
      </c>
      <c r="S72" s="259">
        <v>50155.39743959529</v>
      </c>
      <c r="U72" s="7" t="s">
        <v>4299</v>
      </c>
    </row>
    <row r="73" spans="1:21" ht="16.5" thickBot="1">
      <c r="A73" s="41" t="s">
        <v>31</v>
      </c>
      <c r="B73" s="42">
        <f t="shared" si="3"/>
        <v>500</v>
      </c>
      <c r="C73" s="42" t="s">
        <v>3</v>
      </c>
      <c r="D73" s="42">
        <f t="shared" si="4"/>
        <v>300</v>
      </c>
      <c r="E73" s="42" t="s">
        <v>3</v>
      </c>
      <c r="F73" s="90">
        <f t="shared" si="5"/>
        <v>1250</v>
      </c>
      <c r="G73" s="42" t="s">
        <v>3</v>
      </c>
      <c r="H73" s="39">
        <v>4</v>
      </c>
      <c r="I73" s="40" t="s">
        <v>41</v>
      </c>
      <c r="J73" s="149">
        <v>500</v>
      </c>
      <c r="K73" s="66">
        <v>300</v>
      </c>
      <c r="L73" s="66">
        <v>1250</v>
      </c>
      <c r="M73" s="164">
        <v>25.27954323402917</v>
      </c>
      <c r="N73" s="78">
        <v>1547.9934980508058</v>
      </c>
      <c r="O73" s="113">
        <v>28352.927663882343</v>
      </c>
      <c r="P73" s="161">
        <v>34776.155361728073</v>
      </c>
      <c r="Q73" s="254">
        <v>17005.684202688975</v>
      </c>
      <c r="R73" s="263">
        <v>45358.611866571315</v>
      </c>
      <c r="S73" s="259">
        <v>51781.839564417052</v>
      </c>
      <c r="U73" s="7" t="s">
        <v>4300</v>
      </c>
    </row>
    <row r="74" spans="1:21" ht="16.5" thickBot="1">
      <c r="A74" s="41" t="s">
        <v>31</v>
      </c>
      <c r="B74" s="42">
        <f t="shared" si="3"/>
        <v>500</v>
      </c>
      <c r="C74" s="42" t="s">
        <v>3</v>
      </c>
      <c r="D74" s="42">
        <f t="shared" si="4"/>
        <v>300</v>
      </c>
      <c r="E74" s="42" t="s">
        <v>3</v>
      </c>
      <c r="F74" s="90">
        <f t="shared" si="5"/>
        <v>1300</v>
      </c>
      <c r="G74" s="42" t="s">
        <v>3</v>
      </c>
      <c r="H74" s="39">
        <v>4</v>
      </c>
      <c r="I74" s="40" t="s">
        <v>41</v>
      </c>
      <c r="J74" s="149">
        <v>500</v>
      </c>
      <c r="K74" s="66">
        <v>300</v>
      </c>
      <c r="L74" s="66">
        <v>1300</v>
      </c>
      <c r="M74" s="164">
        <v>26.189942155641059</v>
      </c>
      <c r="N74" s="78">
        <v>1633.993136831406</v>
      </c>
      <c r="O74" s="113">
        <v>29234.260415773682</v>
      </c>
      <c r="P74" s="161">
        <v>35878.955700549166</v>
      </c>
      <c r="Q74" s="254">
        <v>17780.65997344449</v>
      </c>
      <c r="R74" s="263">
        <v>47014.920389218169</v>
      </c>
      <c r="S74" s="259">
        <v>53659.615673993656</v>
      </c>
      <c r="U74" s="7" t="s">
        <v>4301</v>
      </c>
    </row>
    <row r="75" spans="1:21" ht="16.5" thickBot="1">
      <c r="A75" s="41" t="s">
        <v>31</v>
      </c>
      <c r="B75" s="42">
        <f t="shared" si="3"/>
        <v>500</v>
      </c>
      <c r="C75" s="42" t="s">
        <v>3</v>
      </c>
      <c r="D75" s="42">
        <f t="shared" si="4"/>
        <v>300</v>
      </c>
      <c r="E75" s="42" t="s">
        <v>3</v>
      </c>
      <c r="F75" s="90">
        <f t="shared" si="5"/>
        <v>1350</v>
      </c>
      <c r="G75" s="42" t="s">
        <v>3</v>
      </c>
      <c r="H75" s="39">
        <v>4</v>
      </c>
      <c r="I75" s="40" t="s">
        <v>41</v>
      </c>
      <c r="J75" s="149">
        <v>500</v>
      </c>
      <c r="K75" s="66">
        <v>300</v>
      </c>
      <c r="L75" s="66">
        <v>1350</v>
      </c>
      <c r="M75" s="164">
        <v>27.082875077252961</v>
      </c>
      <c r="N75" s="78">
        <v>1719.9927756120064</v>
      </c>
      <c r="O75" s="113">
        <v>30115.593320693784</v>
      </c>
      <c r="P75" s="161">
        <v>36981.756039370273</v>
      </c>
      <c r="Q75" s="254">
        <v>18304.301606416237</v>
      </c>
      <c r="R75" s="263">
        <v>48419.894927110021</v>
      </c>
      <c r="S75" s="259">
        <v>55286.05764578651</v>
      </c>
      <c r="U75" s="7" t="s">
        <v>4302</v>
      </c>
    </row>
    <row r="76" spans="1:21" ht="16.5" thickBot="1">
      <c r="A76" s="41" t="s">
        <v>31</v>
      </c>
      <c r="B76" s="42">
        <f t="shared" si="3"/>
        <v>500</v>
      </c>
      <c r="C76" s="42" t="s">
        <v>3</v>
      </c>
      <c r="D76" s="42">
        <f t="shared" si="4"/>
        <v>300</v>
      </c>
      <c r="E76" s="42" t="s">
        <v>3</v>
      </c>
      <c r="F76" s="90">
        <f t="shared" si="5"/>
        <v>1400</v>
      </c>
      <c r="G76" s="42" t="s">
        <v>3</v>
      </c>
      <c r="H76" s="39">
        <v>4</v>
      </c>
      <c r="I76" s="40" t="s">
        <v>41</v>
      </c>
      <c r="J76" s="149">
        <v>500</v>
      </c>
      <c r="K76" s="66">
        <v>300</v>
      </c>
      <c r="L76" s="66">
        <v>1400</v>
      </c>
      <c r="M76" s="164">
        <v>27.993273998864854</v>
      </c>
      <c r="N76" s="78">
        <v>1805.9924143926069</v>
      </c>
      <c r="O76" s="113">
        <v>30996.92607258512</v>
      </c>
      <c r="P76" s="161">
        <v>38084.556378191366</v>
      </c>
      <c r="Q76" s="254">
        <v>19079.277530200521</v>
      </c>
      <c r="R76" s="263">
        <v>50076.203602785637</v>
      </c>
      <c r="S76" s="259">
        <v>57163.833908391884</v>
      </c>
      <c r="U76" s="7" t="s">
        <v>4303</v>
      </c>
    </row>
    <row r="77" spans="1:21" ht="16.5" thickBot="1">
      <c r="A77" s="41" t="s">
        <v>31</v>
      </c>
      <c r="B77" s="42">
        <f t="shared" si="3"/>
        <v>500</v>
      </c>
      <c r="C77" s="42" t="s">
        <v>3</v>
      </c>
      <c r="D77" s="42">
        <f t="shared" si="4"/>
        <v>300</v>
      </c>
      <c r="E77" s="42" t="s">
        <v>3</v>
      </c>
      <c r="F77" s="90">
        <f t="shared" si="5"/>
        <v>1450</v>
      </c>
      <c r="G77" s="42" t="s">
        <v>3</v>
      </c>
      <c r="H77" s="39">
        <v>4</v>
      </c>
      <c r="I77" s="40" t="s">
        <v>41</v>
      </c>
      <c r="J77" s="149">
        <v>500</v>
      </c>
      <c r="K77" s="66">
        <v>300</v>
      </c>
      <c r="L77" s="66">
        <v>1450</v>
      </c>
      <c r="M77" s="164">
        <v>28.886206920476749</v>
      </c>
      <c r="N77" s="78">
        <v>1891.9920531732073</v>
      </c>
      <c r="O77" s="113">
        <v>31878.258977505226</v>
      </c>
      <c r="P77" s="161">
        <v>39187.356717012459</v>
      </c>
      <c r="Q77" s="254">
        <v>19602.919163172111</v>
      </c>
      <c r="R77" s="263">
        <v>51481.178140677337</v>
      </c>
      <c r="S77" s="259">
        <v>58790.27588018457</v>
      </c>
      <c r="U77" s="7" t="s">
        <v>4304</v>
      </c>
    </row>
    <row r="78" spans="1:21" ht="16.5" thickBot="1">
      <c r="A78" s="41" t="s">
        <v>31</v>
      </c>
      <c r="B78" s="42">
        <f t="shared" si="3"/>
        <v>500</v>
      </c>
      <c r="C78" s="42" t="s">
        <v>3</v>
      </c>
      <c r="D78" s="42">
        <f t="shared" si="4"/>
        <v>300</v>
      </c>
      <c r="E78" s="42" t="s">
        <v>3</v>
      </c>
      <c r="F78" s="90">
        <f t="shared" si="5"/>
        <v>1500</v>
      </c>
      <c r="G78" s="42" t="s">
        <v>3</v>
      </c>
      <c r="H78" s="39">
        <v>4</v>
      </c>
      <c r="I78" s="40" t="s">
        <v>41</v>
      </c>
      <c r="J78" s="149">
        <v>500</v>
      </c>
      <c r="K78" s="66">
        <v>300</v>
      </c>
      <c r="L78" s="66">
        <v>1500</v>
      </c>
      <c r="M78" s="164">
        <v>29.966664465347645</v>
      </c>
      <c r="N78" s="78">
        <v>1977.9916919538073</v>
      </c>
      <c r="O78" s="113">
        <v>33459.26740084085</v>
      </c>
      <c r="P78" s="161">
        <v>40953.702655822126</v>
      </c>
      <c r="Q78" s="254">
        <v>20377.895086956549</v>
      </c>
      <c r="R78" s="263">
        <v>53837.162487797395</v>
      </c>
      <c r="S78" s="259">
        <v>61331.597742778671</v>
      </c>
      <c r="U78" s="7" t="s">
        <v>4305</v>
      </c>
    </row>
    <row r="79" spans="1:21" ht="16.5" thickBot="1">
      <c r="A79" s="41" t="s">
        <v>31</v>
      </c>
      <c r="B79" s="42">
        <f t="shared" si="3"/>
        <v>500</v>
      </c>
      <c r="C79" s="42" t="s">
        <v>3</v>
      </c>
      <c r="D79" s="42">
        <f t="shared" si="4"/>
        <v>300</v>
      </c>
      <c r="E79" s="42" t="s">
        <v>3</v>
      </c>
      <c r="F79" s="90">
        <f t="shared" si="5"/>
        <v>1550</v>
      </c>
      <c r="G79" s="42" t="s">
        <v>3</v>
      </c>
      <c r="H79" s="39">
        <v>4</v>
      </c>
      <c r="I79" s="40" t="s">
        <v>41</v>
      </c>
      <c r="J79" s="149">
        <v>500</v>
      </c>
      <c r="K79" s="66">
        <v>300</v>
      </c>
      <c r="L79" s="66">
        <v>1550</v>
      </c>
      <c r="M79" s="164">
        <v>30.859597386959543</v>
      </c>
      <c r="N79" s="78">
        <v>2063.9913307344077</v>
      </c>
      <c r="O79" s="113">
        <v>34340.600305760949</v>
      </c>
      <c r="P79" s="161">
        <v>42056.502994643226</v>
      </c>
      <c r="Q79" s="254">
        <v>20901.536719928292</v>
      </c>
      <c r="R79" s="263">
        <v>55242.137025689241</v>
      </c>
      <c r="S79" s="259">
        <v>62958.039714571518</v>
      </c>
      <c r="U79" s="7" t="s">
        <v>4306</v>
      </c>
    </row>
    <row r="80" spans="1:21" ht="16.5" thickBot="1">
      <c r="A80" s="38" t="s">
        <v>31</v>
      </c>
      <c r="B80" s="39">
        <f t="shared" si="3"/>
        <v>500</v>
      </c>
      <c r="C80" s="39" t="s">
        <v>3</v>
      </c>
      <c r="D80" s="39">
        <f t="shared" si="4"/>
        <v>300</v>
      </c>
      <c r="E80" s="39" t="s">
        <v>3</v>
      </c>
      <c r="F80" s="90">
        <f t="shared" si="5"/>
        <v>1600</v>
      </c>
      <c r="G80" s="39" t="s">
        <v>3</v>
      </c>
      <c r="H80" s="39">
        <v>4</v>
      </c>
      <c r="I80" s="40" t="s">
        <v>41</v>
      </c>
      <c r="J80" s="149">
        <v>500</v>
      </c>
      <c r="K80" s="66">
        <v>300</v>
      </c>
      <c r="L80" s="66">
        <v>1600</v>
      </c>
      <c r="M80" s="164">
        <v>31.752530308571437</v>
      </c>
      <c r="N80" s="78">
        <v>2149.9909695150081</v>
      </c>
      <c r="O80" s="113">
        <v>35221.933057652292</v>
      </c>
      <c r="P80" s="161">
        <v>43159.303333464479</v>
      </c>
      <c r="Q80" s="254">
        <v>21425.178352900039</v>
      </c>
      <c r="R80" s="263">
        <v>56647.11141055233</v>
      </c>
      <c r="S80" s="259">
        <v>64584.481686364517</v>
      </c>
      <c r="U80" s="7" t="s">
        <v>4307</v>
      </c>
    </row>
    <row r="81" spans="1:21" ht="16.5" thickBot="1">
      <c r="A81" s="41" t="s">
        <v>31</v>
      </c>
      <c r="B81" s="42">
        <f t="shared" si="3"/>
        <v>500</v>
      </c>
      <c r="C81" s="42" t="s">
        <v>3</v>
      </c>
      <c r="D81" s="42">
        <f t="shared" si="4"/>
        <v>300</v>
      </c>
      <c r="E81" s="42" t="s">
        <v>3</v>
      </c>
      <c r="F81" s="90">
        <f t="shared" si="5"/>
        <v>1650</v>
      </c>
      <c r="G81" s="42" t="s">
        <v>3</v>
      </c>
      <c r="H81" s="39">
        <v>4</v>
      </c>
      <c r="I81" s="40" t="s">
        <v>41</v>
      </c>
      <c r="J81" s="149">
        <v>500</v>
      </c>
      <c r="K81" s="66">
        <v>300</v>
      </c>
      <c r="L81" s="66">
        <v>1650</v>
      </c>
      <c r="M81" s="164">
        <v>32.66292923018333</v>
      </c>
      <c r="N81" s="78">
        <v>2235.9906082956086</v>
      </c>
      <c r="O81" s="113">
        <v>36103.26596257239</v>
      </c>
      <c r="P81" s="161">
        <v>44262.103672285572</v>
      </c>
      <c r="Q81" s="254">
        <v>22200.154276684319</v>
      </c>
      <c r="R81" s="263">
        <v>58303.420239256709</v>
      </c>
      <c r="S81" s="259">
        <v>66462.257948969898</v>
      </c>
      <c r="U81" s="7" t="s">
        <v>4308</v>
      </c>
    </row>
    <row r="82" spans="1:21" ht="16.5" thickBot="1">
      <c r="A82" s="41" t="s">
        <v>31</v>
      </c>
      <c r="B82" s="42">
        <f t="shared" si="3"/>
        <v>500</v>
      </c>
      <c r="C82" s="42" t="s">
        <v>3</v>
      </c>
      <c r="D82" s="42">
        <f t="shared" si="4"/>
        <v>300</v>
      </c>
      <c r="E82" s="42" t="s">
        <v>3</v>
      </c>
      <c r="F82" s="90">
        <f t="shared" si="5"/>
        <v>1700</v>
      </c>
      <c r="G82" s="42" t="s">
        <v>3</v>
      </c>
      <c r="H82" s="39">
        <v>4</v>
      </c>
      <c r="I82" s="40" t="s">
        <v>41</v>
      </c>
      <c r="J82" s="149">
        <v>500</v>
      </c>
      <c r="K82" s="66">
        <v>300</v>
      </c>
      <c r="L82" s="66">
        <v>1700</v>
      </c>
      <c r="M82" s="164">
        <v>33.555862151795225</v>
      </c>
      <c r="N82" s="78">
        <v>2321.990247076209</v>
      </c>
      <c r="O82" s="113">
        <v>36984.598714463726</v>
      </c>
      <c r="P82" s="161">
        <v>45364.904011106664</v>
      </c>
      <c r="Q82" s="254">
        <v>22723.795909656066</v>
      </c>
      <c r="R82" s="263">
        <v>59708.394624119792</v>
      </c>
      <c r="S82" s="259">
        <v>68088.699920762738</v>
      </c>
      <c r="U82" s="7" t="s">
        <v>4309</v>
      </c>
    </row>
    <row r="83" spans="1:21" ht="16.5" thickBot="1">
      <c r="A83" s="41" t="s">
        <v>31</v>
      </c>
      <c r="B83" s="42">
        <f t="shared" si="3"/>
        <v>500</v>
      </c>
      <c r="C83" s="42" t="s">
        <v>3</v>
      </c>
      <c r="D83" s="42">
        <f t="shared" si="4"/>
        <v>300</v>
      </c>
      <c r="E83" s="42" t="s">
        <v>3</v>
      </c>
      <c r="F83" s="90">
        <f t="shared" si="5"/>
        <v>1750</v>
      </c>
      <c r="G83" s="42" t="s">
        <v>3</v>
      </c>
      <c r="H83" s="39">
        <v>4</v>
      </c>
      <c r="I83" s="40" t="s">
        <v>41</v>
      </c>
      <c r="J83" s="149">
        <v>500</v>
      </c>
      <c r="K83" s="66">
        <v>300</v>
      </c>
      <c r="L83" s="66">
        <v>1750</v>
      </c>
      <c r="M83" s="164">
        <v>34.466261073407111</v>
      </c>
      <c r="N83" s="78">
        <v>2407.989885856809</v>
      </c>
      <c r="O83" s="113">
        <v>37865.931619383831</v>
      </c>
      <c r="P83" s="161">
        <v>46467.704349927764</v>
      </c>
      <c r="Q83" s="254">
        <v>23498.771833440347</v>
      </c>
      <c r="R83" s="263">
        <v>61364.703452824178</v>
      </c>
      <c r="S83" s="259">
        <v>69966.476183368111</v>
      </c>
      <c r="U83" s="7" t="s">
        <v>4310</v>
      </c>
    </row>
    <row r="84" spans="1:21" ht="16.5" thickBot="1">
      <c r="A84" s="41" t="s">
        <v>31</v>
      </c>
      <c r="B84" s="42">
        <f t="shared" si="3"/>
        <v>500</v>
      </c>
      <c r="C84" s="42" t="s">
        <v>3</v>
      </c>
      <c r="D84" s="42">
        <f t="shared" si="4"/>
        <v>300</v>
      </c>
      <c r="E84" s="42" t="s">
        <v>3</v>
      </c>
      <c r="F84" s="90">
        <f t="shared" si="5"/>
        <v>1800</v>
      </c>
      <c r="G84" s="42" t="s">
        <v>3</v>
      </c>
      <c r="H84" s="39">
        <v>4</v>
      </c>
      <c r="I84" s="40" t="s">
        <v>41</v>
      </c>
      <c r="J84" s="149">
        <v>500</v>
      </c>
      <c r="K84" s="66">
        <v>300</v>
      </c>
      <c r="L84" s="66">
        <v>1800</v>
      </c>
      <c r="M84" s="164">
        <v>35.359193995019012</v>
      </c>
      <c r="N84" s="78">
        <v>2493.9895246374094</v>
      </c>
      <c r="O84" s="113">
        <v>38747.264371275167</v>
      </c>
      <c r="P84" s="161">
        <v>47570.504688748857</v>
      </c>
      <c r="Q84" s="254">
        <v>24022.413466412094</v>
      </c>
      <c r="R84" s="263">
        <v>62769.677837687261</v>
      </c>
      <c r="S84" s="259">
        <v>71592.918155160951</v>
      </c>
      <c r="U84" s="7" t="s">
        <v>4311</v>
      </c>
    </row>
    <row r="85" spans="1:21" ht="16.5" thickBot="1">
      <c r="A85" s="41" t="s">
        <v>31</v>
      </c>
      <c r="B85" s="42">
        <f t="shared" si="3"/>
        <v>500</v>
      </c>
      <c r="C85" s="42" t="s">
        <v>3</v>
      </c>
      <c r="D85" s="42">
        <f t="shared" si="4"/>
        <v>300</v>
      </c>
      <c r="E85" s="42" t="s">
        <v>3</v>
      </c>
      <c r="F85" s="90">
        <f t="shared" si="5"/>
        <v>1850</v>
      </c>
      <c r="G85" s="42" t="s">
        <v>3</v>
      </c>
      <c r="H85" s="39">
        <v>4</v>
      </c>
      <c r="I85" s="40" t="s">
        <v>41</v>
      </c>
      <c r="J85" s="149">
        <v>500</v>
      </c>
      <c r="K85" s="66">
        <v>300</v>
      </c>
      <c r="L85" s="66">
        <v>1850</v>
      </c>
      <c r="M85" s="164">
        <v>36.269592916630913</v>
      </c>
      <c r="N85" s="78">
        <v>2579.9891634180094</v>
      </c>
      <c r="O85" s="113">
        <v>39628.597276195273</v>
      </c>
      <c r="P85" s="161">
        <v>48673.30502757011</v>
      </c>
      <c r="Q85" s="254">
        <v>24797.389237167612</v>
      </c>
      <c r="R85" s="263">
        <v>64425.986513362885</v>
      </c>
      <c r="S85" s="259">
        <v>73470.694264737715</v>
      </c>
      <c r="U85" s="7" t="s">
        <v>4312</v>
      </c>
    </row>
    <row r="86" spans="1:21" ht="16.5" thickBot="1">
      <c r="A86" s="41" t="s">
        <v>31</v>
      </c>
      <c r="B86" s="42">
        <f t="shared" si="3"/>
        <v>500</v>
      </c>
      <c r="C86" s="42" t="s">
        <v>3</v>
      </c>
      <c r="D86" s="42">
        <f t="shared" si="4"/>
        <v>300</v>
      </c>
      <c r="E86" s="42" t="s">
        <v>3</v>
      </c>
      <c r="F86" s="90">
        <f t="shared" si="5"/>
        <v>1900</v>
      </c>
      <c r="G86" s="42" t="s">
        <v>3</v>
      </c>
      <c r="H86" s="39">
        <v>4</v>
      </c>
      <c r="I86" s="40" t="s">
        <v>41</v>
      </c>
      <c r="J86" s="149">
        <v>500</v>
      </c>
      <c r="K86" s="66">
        <v>300</v>
      </c>
      <c r="L86" s="66">
        <v>1900</v>
      </c>
      <c r="M86" s="164">
        <v>37.162525838242807</v>
      </c>
      <c r="N86" s="78">
        <v>2665.9888021986098</v>
      </c>
      <c r="O86" s="113">
        <v>40509.930028086608</v>
      </c>
      <c r="P86" s="161">
        <v>49776.10536639121</v>
      </c>
      <c r="Q86" s="254">
        <v>25321.031023168125</v>
      </c>
      <c r="R86" s="263">
        <v>65830.961051254737</v>
      </c>
      <c r="S86" s="259">
        <v>75097.136389559339</v>
      </c>
      <c r="U86" s="7" t="s">
        <v>4313</v>
      </c>
    </row>
    <row r="87" spans="1:21" ht="16.5" thickBot="1">
      <c r="A87" s="41" t="s">
        <v>31</v>
      </c>
      <c r="B87" s="42">
        <f t="shared" si="3"/>
        <v>500</v>
      </c>
      <c r="C87" s="42" t="s">
        <v>3</v>
      </c>
      <c r="D87" s="42">
        <f t="shared" si="4"/>
        <v>300</v>
      </c>
      <c r="E87" s="42" t="s">
        <v>3</v>
      </c>
      <c r="F87" s="90">
        <f t="shared" si="5"/>
        <v>1950</v>
      </c>
      <c r="G87" s="42" t="s">
        <v>3</v>
      </c>
      <c r="H87" s="39">
        <v>4</v>
      </c>
      <c r="I87" s="40" t="s">
        <v>41</v>
      </c>
      <c r="J87" s="149">
        <v>500</v>
      </c>
      <c r="K87" s="66">
        <v>300</v>
      </c>
      <c r="L87" s="66">
        <v>1950</v>
      </c>
      <c r="M87" s="164">
        <v>38.135921259854697</v>
      </c>
      <c r="N87" s="78">
        <v>2751.9884409792103</v>
      </c>
      <c r="O87" s="113">
        <v>41479.566039519385</v>
      </c>
      <c r="P87" s="161">
        <v>50968.594112973267</v>
      </c>
      <c r="Q87" s="254">
        <v>25844.672656139872</v>
      </c>
      <c r="R87" s="263">
        <v>67324.238695659253</v>
      </c>
      <c r="S87" s="259">
        <v>76813.266769113136</v>
      </c>
      <c r="U87" s="7" t="s">
        <v>4314</v>
      </c>
    </row>
    <row r="88" spans="1:21" ht="16.5" thickBot="1">
      <c r="A88" s="41" t="s">
        <v>31</v>
      </c>
      <c r="B88" s="42">
        <f t="shared" si="3"/>
        <v>500</v>
      </c>
      <c r="C88" s="42" t="s">
        <v>3</v>
      </c>
      <c r="D88" s="42">
        <f t="shared" si="4"/>
        <v>300</v>
      </c>
      <c r="E88" s="42" t="s">
        <v>3</v>
      </c>
      <c r="F88" s="90">
        <f t="shared" si="5"/>
        <v>2000</v>
      </c>
      <c r="G88" s="42" t="s">
        <v>3</v>
      </c>
      <c r="H88" s="39">
        <v>4</v>
      </c>
      <c r="I88" s="40" t="s">
        <v>41</v>
      </c>
      <c r="J88" s="149">
        <v>500</v>
      </c>
      <c r="K88" s="66">
        <v>300</v>
      </c>
      <c r="L88" s="66">
        <v>2000</v>
      </c>
      <c r="M88" s="164">
        <v>39.140171641466587</v>
      </c>
      <c r="N88" s="78">
        <v>2837.9880797598103</v>
      </c>
      <c r="O88" s="113">
        <v>42624.755426073432</v>
      </c>
      <c r="P88" s="161">
        <v>52432.665799455986</v>
      </c>
      <c r="Q88" s="254">
        <v>26619.648426895383</v>
      </c>
      <c r="R88" s="263">
        <v>69244.403852968811</v>
      </c>
      <c r="S88" s="259">
        <v>79052.314226351373</v>
      </c>
      <c r="U88" s="7" t="s">
        <v>4315</v>
      </c>
    </row>
    <row r="89" spans="1:21" ht="16.5" thickBot="1">
      <c r="A89" s="41" t="s">
        <v>31</v>
      </c>
      <c r="B89" s="42">
        <f t="shared" si="3"/>
        <v>500</v>
      </c>
      <c r="C89" s="42" t="s">
        <v>3</v>
      </c>
      <c r="D89" s="42">
        <f t="shared" si="4"/>
        <v>300</v>
      </c>
      <c r="E89" s="42" t="s">
        <v>3</v>
      </c>
      <c r="F89" s="90">
        <f t="shared" si="5"/>
        <v>2050</v>
      </c>
      <c r="G89" s="42" t="s">
        <v>3</v>
      </c>
      <c r="H89" s="39">
        <v>4</v>
      </c>
      <c r="I89" s="40" t="s">
        <v>41</v>
      </c>
      <c r="J89" s="149">
        <v>500</v>
      </c>
      <c r="K89" s="66">
        <v>300</v>
      </c>
      <c r="L89" s="66">
        <v>2050</v>
      </c>
      <c r="M89" s="164">
        <v>40.033104563078489</v>
      </c>
      <c r="N89" s="78">
        <v>2923.9877185404107</v>
      </c>
      <c r="O89" s="113">
        <v>43506.088177964775</v>
      </c>
      <c r="P89" s="161">
        <v>53535.466138277247</v>
      </c>
      <c r="Q89" s="254">
        <v>27143.290212895896</v>
      </c>
      <c r="R89" s="263">
        <v>70649.378390860671</v>
      </c>
      <c r="S89" s="259">
        <v>80678.756351173142</v>
      </c>
      <c r="U89" s="7" t="s">
        <v>4316</v>
      </c>
    </row>
    <row r="90" spans="1:21" ht="16.5" thickBot="1">
      <c r="A90" s="38" t="s">
        <v>31</v>
      </c>
      <c r="B90" s="39">
        <f t="shared" si="3"/>
        <v>500</v>
      </c>
      <c r="C90" s="39" t="s">
        <v>3</v>
      </c>
      <c r="D90" s="39">
        <f t="shared" si="4"/>
        <v>300</v>
      </c>
      <c r="E90" s="39" t="s">
        <v>3</v>
      </c>
      <c r="F90" s="90">
        <f t="shared" si="5"/>
        <v>2100</v>
      </c>
      <c r="G90" s="39" t="s">
        <v>3</v>
      </c>
      <c r="H90" s="39">
        <v>4</v>
      </c>
      <c r="I90" s="40" t="s">
        <v>41</v>
      </c>
      <c r="J90" s="149">
        <v>500</v>
      </c>
      <c r="K90" s="66">
        <v>300</v>
      </c>
      <c r="L90" s="66">
        <v>2100</v>
      </c>
      <c r="M90" s="164">
        <v>40.943503484690382</v>
      </c>
      <c r="N90" s="78">
        <v>3009.9873573210111</v>
      </c>
      <c r="O90" s="113">
        <v>44387.421082884874</v>
      </c>
      <c r="P90" s="161">
        <v>54638.266477098332</v>
      </c>
      <c r="Q90" s="254">
        <v>27918.265983651414</v>
      </c>
      <c r="R90" s="263">
        <v>72305.68706653628</v>
      </c>
      <c r="S90" s="259">
        <v>82556.532460749746</v>
      </c>
      <c r="U90" s="7" t="s">
        <v>4317</v>
      </c>
    </row>
    <row r="91" spans="1:21" ht="16.5" thickBot="1">
      <c r="A91" s="41" t="s">
        <v>31</v>
      </c>
      <c r="B91" s="42">
        <f t="shared" si="3"/>
        <v>500</v>
      </c>
      <c r="C91" s="42" t="s">
        <v>3</v>
      </c>
      <c r="D91" s="42">
        <f t="shared" si="4"/>
        <v>300</v>
      </c>
      <c r="E91" s="42" t="s">
        <v>3</v>
      </c>
      <c r="F91" s="90">
        <f t="shared" si="5"/>
        <v>2150</v>
      </c>
      <c r="G91" s="42" t="s">
        <v>3</v>
      </c>
      <c r="H91" s="39">
        <v>4</v>
      </c>
      <c r="I91" s="40" t="s">
        <v>41</v>
      </c>
      <c r="J91" s="149">
        <v>500</v>
      </c>
      <c r="K91" s="66">
        <v>300</v>
      </c>
      <c r="L91" s="66">
        <v>2150</v>
      </c>
      <c r="M91" s="164">
        <v>41.836436406302276</v>
      </c>
      <c r="N91" s="78">
        <v>3095.9869961016116</v>
      </c>
      <c r="O91" s="113">
        <v>45268.753834776209</v>
      </c>
      <c r="P91" s="161">
        <v>55741.066815919439</v>
      </c>
      <c r="Q91" s="254">
        <v>28441.907769651927</v>
      </c>
      <c r="R91" s="263">
        <v>73710.66160442814</v>
      </c>
      <c r="S91" s="259">
        <v>84182.97458557137</v>
      </c>
      <c r="U91" s="7" t="s">
        <v>4318</v>
      </c>
    </row>
    <row r="92" spans="1:21" ht="16.5" thickBot="1">
      <c r="A92" s="41" t="s">
        <v>31</v>
      </c>
      <c r="B92" s="42">
        <f t="shared" si="3"/>
        <v>500</v>
      </c>
      <c r="C92" s="42" t="s">
        <v>3</v>
      </c>
      <c r="D92" s="42">
        <f t="shared" si="4"/>
        <v>300</v>
      </c>
      <c r="E92" s="42" t="s">
        <v>3</v>
      </c>
      <c r="F92" s="90">
        <f t="shared" si="5"/>
        <v>2200</v>
      </c>
      <c r="G92" s="42" t="s">
        <v>3</v>
      </c>
      <c r="H92" s="39">
        <v>4</v>
      </c>
      <c r="I92" s="40" t="s">
        <v>41</v>
      </c>
      <c r="J92" s="149">
        <v>500</v>
      </c>
      <c r="K92" s="66">
        <v>300</v>
      </c>
      <c r="L92" s="66">
        <v>2200</v>
      </c>
      <c r="M92" s="164">
        <v>42.74683532791417</v>
      </c>
      <c r="N92" s="78">
        <v>3181.986634882212</v>
      </c>
      <c r="O92" s="113">
        <v>46150.086739696322</v>
      </c>
      <c r="P92" s="161">
        <v>56843.867154740525</v>
      </c>
      <c r="Q92" s="254">
        <v>29216.883540407438</v>
      </c>
      <c r="R92" s="263">
        <v>75366.970280103764</v>
      </c>
      <c r="S92" s="259">
        <v>86060.750695147959</v>
      </c>
      <c r="U92" s="7" t="s">
        <v>4319</v>
      </c>
    </row>
    <row r="93" spans="1:21" ht="16.5" thickBot="1">
      <c r="A93" s="41" t="s">
        <v>31</v>
      </c>
      <c r="B93" s="42">
        <f t="shared" si="3"/>
        <v>500</v>
      </c>
      <c r="C93" s="42" t="s">
        <v>3</v>
      </c>
      <c r="D93" s="42">
        <f t="shared" si="4"/>
        <v>300</v>
      </c>
      <c r="E93" s="42" t="s">
        <v>3</v>
      </c>
      <c r="F93" s="90">
        <f t="shared" si="5"/>
        <v>2250</v>
      </c>
      <c r="G93" s="42" t="s">
        <v>3</v>
      </c>
      <c r="H93" s="39">
        <v>4</v>
      </c>
      <c r="I93" s="40" t="s">
        <v>41</v>
      </c>
      <c r="J93" s="149">
        <v>500</v>
      </c>
      <c r="K93" s="66">
        <v>300</v>
      </c>
      <c r="L93" s="66">
        <v>2250</v>
      </c>
      <c r="M93" s="164">
        <v>43.639768249526057</v>
      </c>
      <c r="N93" s="78">
        <v>3267.986273662812</v>
      </c>
      <c r="O93" s="113">
        <v>47031.419491587658</v>
      </c>
      <c r="P93" s="161">
        <v>57946.667493561625</v>
      </c>
      <c r="Q93" s="254">
        <v>29740.525173379188</v>
      </c>
      <c r="R93" s="263">
        <v>76771.944664966839</v>
      </c>
      <c r="S93" s="259">
        <v>87687.192666940813</v>
      </c>
      <c r="U93" s="7" t="s">
        <v>4320</v>
      </c>
    </row>
    <row r="94" spans="1:21" ht="16.5" thickBot="1">
      <c r="A94" s="41" t="s">
        <v>31</v>
      </c>
      <c r="B94" s="42">
        <f t="shared" si="3"/>
        <v>500</v>
      </c>
      <c r="C94" s="42" t="s">
        <v>3</v>
      </c>
      <c r="D94" s="42">
        <f t="shared" si="4"/>
        <v>300</v>
      </c>
      <c r="E94" s="42" t="s">
        <v>3</v>
      </c>
      <c r="F94" s="90">
        <f t="shared" si="5"/>
        <v>2300</v>
      </c>
      <c r="G94" s="42" t="s">
        <v>3</v>
      </c>
      <c r="H94" s="39">
        <v>4</v>
      </c>
      <c r="I94" s="40" t="s">
        <v>41</v>
      </c>
      <c r="J94" s="149">
        <v>500</v>
      </c>
      <c r="K94" s="66">
        <v>300</v>
      </c>
      <c r="L94" s="66">
        <v>2300</v>
      </c>
      <c r="M94" s="164">
        <v>44.532701171137951</v>
      </c>
      <c r="N94" s="78">
        <v>3353.9859124434124</v>
      </c>
      <c r="O94" s="113">
        <v>47912.752396507756</v>
      </c>
      <c r="P94" s="161">
        <v>59049.467832382878</v>
      </c>
      <c r="Q94" s="254">
        <v>30264.166959379701</v>
      </c>
      <c r="R94" s="263">
        <v>78176.919355887454</v>
      </c>
      <c r="S94" s="259">
        <v>89313.634791762583</v>
      </c>
      <c r="U94" s="7" t="s">
        <v>4321</v>
      </c>
    </row>
    <row r="95" spans="1:21" ht="16.5" thickBot="1">
      <c r="A95" s="41" t="s">
        <v>31</v>
      </c>
      <c r="B95" s="42">
        <f t="shared" si="3"/>
        <v>500</v>
      </c>
      <c r="C95" s="42" t="s">
        <v>3</v>
      </c>
      <c r="D95" s="42">
        <f t="shared" si="4"/>
        <v>300</v>
      </c>
      <c r="E95" s="42" t="s">
        <v>3</v>
      </c>
      <c r="F95" s="90">
        <f t="shared" si="5"/>
        <v>2350</v>
      </c>
      <c r="G95" s="42" t="s">
        <v>3</v>
      </c>
      <c r="H95" s="39">
        <v>4</v>
      </c>
      <c r="I95" s="40" t="s">
        <v>41</v>
      </c>
      <c r="J95" s="149">
        <v>500</v>
      </c>
      <c r="K95" s="66">
        <v>300</v>
      </c>
      <c r="L95" s="66">
        <v>2350</v>
      </c>
      <c r="M95" s="164">
        <v>45.443100092749852</v>
      </c>
      <c r="N95" s="78">
        <v>3439.9855512240129</v>
      </c>
      <c r="O95" s="113">
        <v>48794.085148399099</v>
      </c>
      <c r="P95" s="161">
        <v>60152.268171203978</v>
      </c>
      <c r="Q95" s="254">
        <v>31039.142730135216</v>
      </c>
      <c r="R95" s="263">
        <v>79833.227878534322</v>
      </c>
      <c r="S95" s="259">
        <v>91191.410901339201</v>
      </c>
      <c r="U95" s="7" t="s">
        <v>4322</v>
      </c>
    </row>
    <row r="96" spans="1:21" ht="16.5" thickBot="1">
      <c r="A96" s="41" t="s">
        <v>31</v>
      </c>
      <c r="B96" s="42">
        <f t="shared" si="3"/>
        <v>500</v>
      </c>
      <c r="C96" s="42" t="s">
        <v>3</v>
      </c>
      <c r="D96" s="42">
        <f t="shared" si="4"/>
        <v>300</v>
      </c>
      <c r="E96" s="42" t="s">
        <v>3</v>
      </c>
      <c r="F96" s="90">
        <f t="shared" si="5"/>
        <v>2400</v>
      </c>
      <c r="G96" s="42" t="s">
        <v>3</v>
      </c>
      <c r="H96" s="39">
        <v>4</v>
      </c>
      <c r="I96" s="40" t="s">
        <v>41</v>
      </c>
      <c r="J96" s="149">
        <v>500</v>
      </c>
      <c r="K96" s="66">
        <v>300</v>
      </c>
      <c r="L96" s="66">
        <v>2400</v>
      </c>
      <c r="M96" s="164">
        <v>46.336033014361753</v>
      </c>
      <c r="N96" s="78">
        <v>3525.9851900046128</v>
      </c>
      <c r="O96" s="113">
        <v>49675.417900290435</v>
      </c>
      <c r="P96" s="161">
        <v>61255.068510025063</v>
      </c>
      <c r="Q96" s="254">
        <v>31562.784363106966</v>
      </c>
      <c r="R96" s="263">
        <v>81238.202263397397</v>
      </c>
      <c r="S96" s="259">
        <v>92817.852873132026</v>
      </c>
      <c r="U96" s="7" t="s">
        <v>4323</v>
      </c>
    </row>
    <row r="97" spans="1:21" ht="16.5" thickBot="1">
      <c r="A97" s="41" t="s">
        <v>31</v>
      </c>
      <c r="B97" s="42">
        <f t="shared" si="3"/>
        <v>500</v>
      </c>
      <c r="C97" s="42" t="s">
        <v>3</v>
      </c>
      <c r="D97" s="42">
        <f t="shared" si="4"/>
        <v>300</v>
      </c>
      <c r="E97" s="42" t="s">
        <v>3</v>
      </c>
      <c r="F97" s="90">
        <f t="shared" si="5"/>
        <v>2450</v>
      </c>
      <c r="G97" s="42" t="s">
        <v>3</v>
      </c>
      <c r="H97" s="39">
        <v>4</v>
      </c>
      <c r="I97" s="40" t="s">
        <v>41</v>
      </c>
      <c r="J97" s="149">
        <v>500</v>
      </c>
      <c r="K97" s="66">
        <v>300</v>
      </c>
      <c r="L97" s="66">
        <v>2450</v>
      </c>
      <c r="M97" s="164">
        <v>47.416490559232642</v>
      </c>
      <c r="N97" s="78">
        <v>3611.9848287852137</v>
      </c>
      <c r="O97" s="113">
        <v>51256.426476654822</v>
      </c>
      <c r="P97" s="161">
        <v>63021.414448834737</v>
      </c>
      <c r="Q97" s="254">
        <v>32337.760286891244</v>
      </c>
      <c r="R97" s="263">
        <v>83594.186763546066</v>
      </c>
      <c r="S97" s="259">
        <v>95359.174735725974</v>
      </c>
      <c r="U97" s="7" t="s">
        <v>4324</v>
      </c>
    </row>
    <row r="98" spans="1:21" ht="16.5" thickBot="1">
      <c r="A98" s="41" t="s">
        <v>31</v>
      </c>
      <c r="B98" s="42">
        <f t="shared" si="3"/>
        <v>500</v>
      </c>
      <c r="C98" s="42" t="s">
        <v>3</v>
      </c>
      <c r="D98" s="42">
        <f t="shared" si="4"/>
        <v>300</v>
      </c>
      <c r="E98" s="42" t="s">
        <v>3</v>
      </c>
      <c r="F98" s="90">
        <f t="shared" si="5"/>
        <v>2500</v>
      </c>
      <c r="G98" s="42" t="s">
        <v>3</v>
      </c>
      <c r="H98" s="39">
        <v>4</v>
      </c>
      <c r="I98" s="40" t="s">
        <v>41</v>
      </c>
      <c r="J98" s="149">
        <v>500</v>
      </c>
      <c r="K98" s="66">
        <v>300</v>
      </c>
      <c r="L98" s="66">
        <v>2500</v>
      </c>
      <c r="M98" s="164">
        <v>48.309423480844536</v>
      </c>
      <c r="N98" s="78">
        <v>3697.9844675658137</v>
      </c>
      <c r="O98" s="113">
        <v>52137.759381574921</v>
      </c>
      <c r="P98" s="161">
        <v>64124.214787655837</v>
      </c>
      <c r="Q98" s="254">
        <v>32861.40191986299</v>
      </c>
      <c r="R98" s="263">
        <v>84999.161301437911</v>
      </c>
      <c r="S98" s="259">
        <v>96985.616707518828</v>
      </c>
      <c r="U98" s="7" t="s">
        <v>4325</v>
      </c>
    </row>
    <row r="99" spans="1:21" ht="16.5" thickBot="1">
      <c r="A99" s="41" t="s">
        <v>31</v>
      </c>
      <c r="B99" s="42">
        <f t="shared" si="3"/>
        <v>500</v>
      </c>
      <c r="C99" s="42" t="s">
        <v>3</v>
      </c>
      <c r="D99" s="42">
        <f t="shared" si="4"/>
        <v>300</v>
      </c>
      <c r="E99" s="42" t="s">
        <v>3</v>
      </c>
      <c r="F99" s="90">
        <f t="shared" si="5"/>
        <v>2550</v>
      </c>
      <c r="G99" s="42" t="s">
        <v>3</v>
      </c>
      <c r="H99" s="39">
        <v>4</v>
      </c>
      <c r="I99" s="40" t="s">
        <v>41</v>
      </c>
      <c r="J99" s="149">
        <v>500</v>
      </c>
      <c r="K99" s="66">
        <v>300</v>
      </c>
      <c r="L99" s="66">
        <v>2550</v>
      </c>
      <c r="M99" s="164">
        <v>49.21982240245643</v>
      </c>
      <c r="N99" s="78">
        <v>3783.9841063464146</v>
      </c>
      <c r="O99" s="113">
        <v>53019.092133466263</v>
      </c>
      <c r="P99" s="161">
        <v>65227.01512647693</v>
      </c>
      <c r="Q99" s="254">
        <v>33636.377843647271</v>
      </c>
      <c r="R99" s="263">
        <v>86655.469977113535</v>
      </c>
      <c r="S99" s="259">
        <v>98863.392970124201</v>
      </c>
      <c r="U99" s="7" t="s">
        <v>4326</v>
      </c>
    </row>
    <row r="100" spans="1:21" ht="16.5" thickBot="1">
      <c r="A100" s="38" t="s">
        <v>31</v>
      </c>
      <c r="B100" s="39">
        <f t="shared" si="3"/>
        <v>500</v>
      </c>
      <c r="C100" s="39" t="s">
        <v>3</v>
      </c>
      <c r="D100" s="39">
        <f t="shared" si="4"/>
        <v>300</v>
      </c>
      <c r="E100" s="39" t="s">
        <v>3</v>
      </c>
      <c r="F100" s="90">
        <f t="shared" si="5"/>
        <v>2600</v>
      </c>
      <c r="G100" s="39" t="s">
        <v>3</v>
      </c>
      <c r="H100" s="39">
        <v>4</v>
      </c>
      <c r="I100" s="40" t="s">
        <v>41</v>
      </c>
      <c r="J100" s="149">
        <v>500</v>
      </c>
      <c r="K100" s="66">
        <v>300</v>
      </c>
      <c r="L100" s="66">
        <v>2600</v>
      </c>
      <c r="M100" s="164">
        <v>50.112755324068324</v>
      </c>
      <c r="N100" s="78">
        <v>3869.9837451270146</v>
      </c>
      <c r="O100" s="113">
        <v>53900.425038386362</v>
      </c>
      <c r="P100" s="161">
        <v>66329.81546529819</v>
      </c>
      <c r="Q100" s="254">
        <v>34160.019476619018</v>
      </c>
      <c r="R100" s="263">
        <v>88060.44451500538</v>
      </c>
      <c r="S100" s="259">
        <v>100489.83494191722</v>
      </c>
      <c r="U100" s="7" t="s">
        <v>4327</v>
      </c>
    </row>
    <row r="101" spans="1:21" ht="16.5" thickBot="1">
      <c r="A101" s="41" t="s">
        <v>31</v>
      </c>
      <c r="B101" s="42">
        <f t="shared" si="3"/>
        <v>500</v>
      </c>
      <c r="C101" s="42" t="s">
        <v>3</v>
      </c>
      <c r="D101" s="42">
        <f t="shared" si="4"/>
        <v>300</v>
      </c>
      <c r="E101" s="42" t="s">
        <v>3</v>
      </c>
      <c r="F101" s="90">
        <f t="shared" si="5"/>
        <v>2650</v>
      </c>
      <c r="G101" s="42" t="s">
        <v>3</v>
      </c>
      <c r="H101" s="39">
        <v>4</v>
      </c>
      <c r="I101" s="40" t="s">
        <v>41</v>
      </c>
      <c r="J101" s="149">
        <v>500</v>
      </c>
      <c r="K101" s="66">
        <v>300</v>
      </c>
      <c r="L101" s="66">
        <v>2650</v>
      </c>
      <c r="M101" s="164">
        <v>51.023154245680225</v>
      </c>
      <c r="N101" s="78">
        <v>3955.9833839076146</v>
      </c>
      <c r="O101" s="113">
        <v>54781.757790277705</v>
      </c>
      <c r="P101" s="161">
        <v>67432.615804119283</v>
      </c>
      <c r="Q101" s="254">
        <v>34934.995247374536</v>
      </c>
      <c r="R101" s="263">
        <v>89716.753037652234</v>
      </c>
      <c r="S101" s="259">
        <v>102367.61105149382</v>
      </c>
      <c r="U101" s="7" t="s">
        <v>4328</v>
      </c>
    </row>
    <row r="102" spans="1:21" ht="16.5" thickBot="1">
      <c r="A102" s="41" t="s">
        <v>31</v>
      </c>
      <c r="B102" s="42">
        <f t="shared" si="3"/>
        <v>500</v>
      </c>
      <c r="C102" s="42" t="s">
        <v>3</v>
      </c>
      <c r="D102" s="42">
        <f t="shared" si="4"/>
        <v>300</v>
      </c>
      <c r="E102" s="42" t="s">
        <v>3</v>
      </c>
      <c r="F102" s="90">
        <f t="shared" si="5"/>
        <v>2700</v>
      </c>
      <c r="G102" s="42" t="s">
        <v>3</v>
      </c>
      <c r="H102" s="39">
        <v>4</v>
      </c>
      <c r="I102" s="40" t="s">
        <v>41</v>
      </c>
      <c r="J102" s="149">
        <v>500</v>
      </c>
      <c r="K102" s="66">
        <v>300</v>
      </c>
      <c r="L102" s="66">
        <v>2700</v>
      </c>
      <c r="M102" s="164">
        <v>51.996549667292122</v>
      </c>
      <c r="N102" s="78">
        <v>4041.9830226882154</v>
      </c>
      <c r="O102" s="113">
        <v>55751.393801710474</v>
      </c>
      <c r="P102" s="161">
        <v>68625.104550701188</v>
      </c>
      <c r="Q102" s="254">
        <v>35458.637033375046</v>
      </c>
      <c r="R102" s="263">
        <v>91210.030835085519</v>
      </c>
      <c r="S102" s="259">
        <v>104083.74158407623</v>
      </c>
      <c r="U102" s="7" t="s">
        <v>4329</v>
      </c>
    </row>
    <row r="103" spans="1:21" ht="16.5" thickBot="1">
      <c r="A103" s="41" t="s">
        <v>31</v>
      </c>
      <c r="B103" s="42">
        <f t="shared" si="3"/>
        <v>500</v>
      </c>
      <c r="C103" s="42" t="s">
        <v>3</v>
      </c>
      <c r="D103" s="42">
        <f t="shared" si="4"/>
        <v>300</v>
      </c>
      <c r="E103" s="42" t="s">
        <v>3</v>
      </c>
      <c r="F103" s="90">
        <f t="shared" si="5"/>
        <v>2750</v>
      </c>
      <c r="G103" s="42" t="s">
        <v>3</v>
      </c>
      <c r="H103" s="39">
        <v>4</v>
      </c>
      <c r="I103" s="40" t="s">
        <v>41</v>
      </c>
      <c r="J103" s="149">
        <v>500</v>
      </c>
      <c r="K103" s="66">
        <v>300</v>
      </c>
      <c r="L103" s="66">
        <v>2750</v>
      </c>
      <c r="M103" s="164">
        <v>52.889482588904016</v>
      </c>
      <c r="N103" s="78">
        <v>4127.9826614688154</v>
      </c>
      <c r="O103" s="113">
        <v>56632.726706630579</v>
      </c>
      <c r="P103" s="161">
        <v>69727.90488952228</v>
      </c>
      <c r="Q103" s="254">
        <v>35982.278666346792</v>
      </c>
      <c r="R103" s="263">
        <v>92615.005372977379</v>
      </c>
      <c r="S103" s="259">
        <v>105710.18355586907</v>
      </c>
      <c r="U103" s="7" t="s">
        <v>4330</v>
      </c>
    </row>
    <row r="104" spans="1:21" ht="16.5" thickBot="1">
      <c r="A104" s="41" t="s">
        <v>31</v>
      </c>
      <c r="B104" s="42">
        <f t="shared" si="3"/>
        <v>500</v>
      </c>
      <c r="C104" s="42" t="s">
        <v>3</v>
      </c>
      <c r="D104" s="42">
        <f t="shared" si="4"/>
        <v>300</v>
      </c>
      <c r="E104" s="42" t="s">
        <v>3</v>
      </c>
      <c r="F104" s="90">
        <f t="shared" si="5"/>
        <v>2800</v>
      </c>
      <c r="G104" s="42" t="s">
        <v>3</v>
      </c>
      <c r="H104" s="39">
        <v>4</v>
      </c>
      <c r="I104" s="40" t="s">
        <v>41</v>
      </c>
      <c r="J104" s="149">
        <v>500</v>
      </c>
      <c r="K104" s="66">
        <v>300</v>
      </c>
      <c r="L104" s="66">
        <v>2800</v>
      </c>
      <c r="M104" s="164">
        <v>53.799881510515903</v>
      </c>
      <c r="N104" s="78">
        <v>4213.9823002494159</v>
      </c>
      <c r="O104" s="113">
        <v>57514.059458521915</v>
      </c>
      <c r="P104" s="161">
        <v>70830.705228343548</v>
      </c>
      <c r="Q104" s="254">
        <v>36757.25443710231</v>
      </c>
      <c r="R104" s="263">
        <v>94271.313895624218</v>
      </c>
      <c r="S104" s="259">
        <v>107587.95966544586</v>
      </c>
      <c r="U104" s="7" t="s">
        <v>4331</v>
      </c>
    </row>
    <row r="105" spans="1:21" ht="16.5" thickBot="1">
      <c r="A105" s="41" t="s">
        <v>31</v>
      </c>
      <c r="B105" s="42">
        <f t="shared" si="3"/>
        <v>500</v>
      </c>
      <c r="C105" s="42" t="s">
        <v>3</v>
      </c>
      <c r="D105" s="42">
        <f t="shared" si="4"/>
        <v>300</v>
      </c>
      <c r="E105" s="42" t="s">
        <v>3</v>
      </c>
      <c r="F105" s="90">
        <f t="shared" si="5"/>
        <v>2850</v>
      </c>
      <c r="G105" s="42" t="s">
        <v>3</v>
      </c>
      <c r="H105" s="39">
        <v>4</v>
      </c>
      <c r="I105" s="40" t="s">
        <v>41</v>
      </c>
      <c r="J105" s="149">
        <v>500</v>
      </c>
      <c r="K105" s="66">
        <v>300</v>
      </c>
      <c r="L105" s="66">
        <v>2850</v>
      </c>
      <c r="M105" s="164">
        <v>54.692814432127811</v>
      </c>
      <c r="N105" s="78">
        <v>4299.9819390300163</v>
      </c>
      <c r="O105" s="113">
        <v>58395.392363442021</v>
      </c>
      <c r="P105" s="161">
        <v>71933.505567164626</v>
      </c>
      <c r="Q105" s="254">
        <v>37280.89622310282</v>
      </c>
      <c r="R105" s="263">
        <v>95676.288586544833</v>
      </c>
      <c r="S105" s="259">
        <v>109214.40179026744</v>
      </c>
      <c r="U105" s="7" t="s">
        <v>4332</v>
      </c>
    </row>
    <row r="106" spans="1:21" ht="16.5" thickBot="1">
      <c r="A106" s="41" t="s">
        <v>31</v>
      </c>
      <c r="B106" s="42">
        <f t="shared" si="3"/>
        <v>500</v>
      </c>
      <c r="C106" s="42" t="s">
        <v>3</v>
      </c>
      <c r="D106" s="42">
        <f t="shared" si="4"/>
        <v>300</v>
      </c>
      <c r="E106" s="42" t="s">
        <v>3</v>
      </c>
      <c r="F106" s="90">
        <f t="shared" si="5"/>
        <v>2900</v>
      </c>
      <c r="G106" s="42" t="s">
        <v>3</v>
      </c>
      <c r="H106" s="39">
        <v>4</v>
      </c>
      <c r="I106" s="40" t="s">
        <v>41</v>
      </c>
      <c r="J106" s="149">
        <v>500</v>
      </c>
      <c r="K106" s="66">
        <v>300</v>
      </c>
      <c r="L106" s="66">
        <v>2900</v>
      </c>
      <c r="M106" s="164">
        <v>55.60321335373969</v>
      </c>
      <c r="N106" s="78">
        <v>4385.9815778106158</v>
      </c>
      <c r="O106" s="113">
        <v>59276.725115333364</v>
      </c>
      <c r="P106" s="161">
        <v>73036.305905985733</v>
      </c>
      <c r="Q106" s="254">
        <v>38055.871993858338</v>
      </c>
      <c r="R106" s="263">
        <v>97332.597109191702</v>
      </c>
      <c r="S106" s="259">
        <v>111092.17789984407</v>
      </c>
      <c r="U106" s="7" t="s">
        <v>4333</v>
      </c>
    </row>
    <row r="107" spans="1:21" ht="16.5" thickBot="1">
      <c r="A107" s="41" t="s">
        <v>31</v>
      </c>
      <c r="B107" s="42">
        <f t="shared" si="3"/>
        <v>500</v>
      </c>
      <c r="C107" s="42" t="s">
        <v>3</v>
      </c>
      <c r="D107" s="42">
        <f t="shared" si="4"/>
        <v>300</v>
      </c>
      <c r="E107" s="42" t="s">
        <v>3</v>
      </c>
      <c r="F107" s="90">
        <f t="shared" si="5"/>
        <v>2950</v>
      </c>
      <c r="G107" s="42" t="s">
        <v>3</v>
      </c>
      <c r="H107" s="39">
        <v>4</v>
      </c>
      <c r="I107" s="40" t="s">
        <v>41</v>
      </c>
      <c r="J107" s="149">
        <v>500</v>
      </c>
      <c r="K107" s="66">
        <v>300</v>
      </c>
      <c r="L107" s="66">
        <v>2950</v>
      </c>
      <c r="M107" s="164">
        <v>56.496146275351585</v>
      </c>
      <c r="N107" s="78">
        <v>4471.9812165912172</v>
      </c>
      <c r="O107" s="113">
        <v>60158.058020253462</v>
      </c>
      <c r="P107" s="161">
        <v>74139.106244806826</v>
      </c>
      <c r="Q107" s="254">
        <v>38579.513779858848</v>
      </c>
      <c r="R107" s="263">
        <v>98737.571800112317</v>
      </c>
      <c r="S107" s="259">
        <v>112718.62002466567</v>
      </c>
      <c r="U107" s="7" t="s">
        <v>4334</v>
      </c>
    </row>
    <row r="108" spans="1:21" ht="16.5" thickBot="1">
      <c r="A108" s="43" t="s">
        <v>31</v>
      </c>
      <c r="B108" s="44">
        <f t="shared" si="3"/>
        <v>500</v>
      </c>
      <c r="C108" s="44" t="s">
        <v>3</v>
      </c>
      <c r="D108" s="44">
        <f t="shared" si="4"/>
        <v>300</v>
      </c>
      <c r="E108" s="44" t="s">
        <v>3</v>
      </c>
      <c r="F108" s="91">
        <f t="shared" si="5"/>
        <v>3000</v>
      </c>
      <c r="G108" s="44" t="s">
        <v>3</v>
      </c>
      <c r="H108" s="46">
        <v>4</v>
      </c>
      <c r="I108" s="45" t="s">
        <v>41</v>
      </c>
      <c r="J108" s="265">
        <v>500</v>
      </c>
      <c r="K108" s="266">
        <v>300</v>
      </c>
      <c r="L108" s="266">
        <v>3000</v>
      </c>
      <c r="M108" s="249">
        <v>56.006385558013164</v>
      </c>
      <c r="N108" s="250">
        <v>4557.9808553718167</v>
      </c>
      <c r="O108" s="251">
        <v>62384.358446425707</v>
      </c>
      <c r="P108" s="283">
        <v>75241.906583628064</v>
      </c>
      <c r="Q108" s="267">
        <v>39354.489550614366</v>
      </c>
      <c r="R108" s="268">
        <v>101738.84799704008</v>
      </c>
      <c r="S108" s="269">
        <v>114596.39613424243</v>
      </c>
      <c r="U108" s="7" t="s">
        <v>4335</v>
      </c>
    </row>
    <row r="109" spans="1:21" ht="19.5" thickBot="1">
      <c r="A109" s="2968" t="s">
        <v>44</v>
      </c>
      <c r="B109" s="2969"/>
      <c r="C109" s="2969"/>
      <c r="D109" s="2969"/>
      <c r="E109" s="2969"/>
      <c r="F109" s="2969"/>
      <c r="G109" s="2969"/>
      <c r="H109" s="2969"/>
      <c r="I109" s="2969"/>
      <c r="J109" s="2969"/>
      <c r="K109" s="2969"/>
      <c r="L109" s="2969"/>
      <c r="M109" s="2969"/>
      <c r="N109" s="2969"/>
      <c r="O109" s="2969"/>
      <c r="P109" s="2969"/>
      <c r="Q109" s="2969"/>
      <c r="R109" s="2969"/>
      <c r="S109" s="2970"/>
      <c r="U109" s="7"/>
    </row>
    <row r="110" spans="1:21" ht="16.5" thickBot="1">
      <c r="A110" s="2974" t="s">
        <v>118</v>
      </c>
      <c r="B110" s="2975"/>
      <c r="C110" s="2975"/>
      <c r="D110" s="2975"/>
      <c r="E110" s="2975"/>
      <c r="F110" s="2975"/>
      <c r="G110" s="2975"/>
      <c r="H110" s="2975"/>
      <c r="I110" s="2975"/>
      <c r="J110" s="2975"/>
      <c r="K110" s="2975"/>
      <c r="L110" s="2975"/>
      <c r="M110" s="2975"/>
      <c r="N110" s="2975"/>
      <c r="O110" s="2975"/>
      <c r="P110" s="2975"/>
      <c r="Q110" s="2975"/>
      <c r="R110" s="2975"/>
      <c r="S110" s="2976"/>
      <c r="U110" s="7"/>
    </row>
    <row r="111" spans="1:21" ht="16.5" thickBot="1">
      <c r="A111" s="38" t="s">
        <v>31</v>
      </c>
      <c r="B111" s="39">
        <f>J111</f>
        <v>500</v>
      </c>
      <c r="C111" s="39" t="s">
        <v>3</v>
      </c>
      <c r="D111" s="39">
        <f>K111</f>
        <v>360</v>
      </c>
      <c r="E111" s="39" t="s">
        <v>3</v>
      </c>
      <c r="F111" s="90">
        <f>L111</f>
        <v>600</v>
      </c>
      <c r="G111" s="39" t="s">
        <v>3</v>
      </c>
      <c r="H111" s="39">
        <v>8</v>
      </c>
      <c r="I111" s="40" t="s">
        <v>42</v>
      </c>
      <c r="J111" s="270">
        <v>500</v>
      </c>
      <c r="K111" s="271">
        <v>360</v>
      </c>
      <c r="L111" s="271">
        <v>600</v>
      </c>
      <c r="M111" s="245">
        <v>18.192932973344213</v>
      </c>
      <c r="N111" s="246">
        <v>722.81679302866928</v>
      </c>
      <c r="O111" s="247">
        <v>22314.033539798627</v>
      </c>
      <c r="P111" s="275">
        <v>26329.707121044525</v>
      </c>
      <c r="Q111" s="272">
        <v>10032.760953270536</v>
      </c>
      <c r="R111" s="273">
        <v>32346.794493069163</v>
      </c>
      <c r="S111" s="274">
        <v>36362.46807431506</v>
      </c>
      <c r="U111" s="7" t="s">
        <v>4336</v>
      </c>
    </row>
    <row r="112" spans="1:21" ht="16.5" thickBot="1">
      <c r="A112" s="41" t="s">
        <v>31</v>
      </c>
      <c r="B112" s="42">
        <f t="shared" ref="B112:B159" si="6">J112</f>
        <v>500</v>
      </c>
      <c r="C112" s="42" t="s">
        <v>3</v>
      </c>
      <c r="D112" s="42">
        <f t="shared" ref="D112:D159" si="7">K112</f>
        <v>360</v>
      </c>
      <c r="E112" s="42" t="s">
        <v>3</v>
      </c>
      <c r="F112" s="90">
        <f t="shared" ref="F112:F159" si="8">L112</f>
        <v>650</v>
      </c>
      <c r="G112" s="42" t="s">
        <v>3</v>
      </c>
      <c r="H112" s="39">
        <v>8</v>
      </c>
      <c r="I112" s="40" t="s">
        <v>42</v>
      </c>
      <c r="J112" s="149">
        <v>500</v>
      </c>
      <c r="K112" s="66">
        <v>360</v>
      </c>
      <c r="L112" s="66">
        <v>650</v>
      </c>
      <c r="M112" s="164">
        <v>19.377641367706314</v>
      </c>
      <c r="N112" s="78">
        <v>867.38015163440309</v>
      </c>
      <c r="O112" s="113">
        <v>23657.680116750216</v>
      </c>
      <c r="P112" s="111">
        <v>27919.668492283785</v>
      </c>
      <c r="Q112" s="254">
        <v>10636.181837508726</v>
      </c>
      <c r="R112" s="263">
        <v>34293.861954258944</v>
      </c>
      <c r="S112" s="259">
        <v>38555.850329792513</v>
      </c>
      <c r="U112" s="7" t="s">
        <v>4337</v>
      </c>
    </row>
    <row r="113" spans="1:21" ht="16.5" thickBot="1">
      <c r="A113" s="41" t="s">
        <v>31</v>
      </c>
      <c r="B113" s="42">
        <f t="shared" si="6"/>
        <v>500</v>
      </c>
      <c r="C113" s="42" t="s">
        <v>3</v>
      </c>
      <c r="D113" s="42">
        <f t="shared" si="7"/>
        <v>360</v>
      </c>
      <c r="E113" s="42" t="s">
        <v>3</v>
      </c>
      <c r="F113" s="90">
        <f t="shared" si="8"/>
        <v>700</v>
      </c>
      <c r="G113" s="42" t="s">
        <v>3</v>
      </c>
      <c r="H113" s="39">
        <v>8</v>
      </c>
      <c r="I113" s="40" t="s">
        <v>42</v>
      </c>
      <c r="J113" s="149">
        <v>500</v>
      </c>
      <c r="K113" s="66">
        <v>360</v>
      </c>
      <c r="L113" s="66">
        <v>700</v>
      </c>
      <c r="M113" s="164">
        <v>20.57938976206842</v>
      </c>
      <c r="N113" s="78">
        <v>1011.9435102401369</v>
      </c>
      <c r="O113" s="113">
        <v>25001.326693701809</v>
      </c>
      <c r="P113" s="111">
        <v>29509.629863523045</v>
      </c>
      <c r="Q113" s="254">
        <v>11490.936859530682</v>
      </c>
      <c r="R113" s="263">
        <v>36492.263553232493</v>
      </c>
      <c r="S113" s="259">
        <v>41000.566723053729</v>
      </c>
      <c r="U113" s="7" t="s">
        <v>4338</v>
      </c>
    </row>
    <row r="114" spans="1:21" ht="16.5" thickBot="1">
      <c r="A114" s="41" t="s">
        <v>31</v>
      </c>
      <c r="B114" s="42">
        <f t="shared" si="6"/>
        <v>500</v>
      </c>
      <c r="C114" s="42" t="s">
        <v>3</v>
      </c>
      <c r="D114" s="42">
        <f t="shared" si="7"/>
        <v>360</v>
      </c>
      <c r="E114" s="42" t="s">
        <v>3</v>
      </c>
      <c r="F114" s="90">
        <f t="shared" si="8"/>
        <v>750</v>
      </c>
      <c r="G114" s="42" t="s">
        <v>3</v>
      </c>
      <c r="H114" s="39">
        <v>8</v>
      </c>
      <c r="I114" s="40" t="s">
        <v>42</v>
      </c>
      <c r="J114" s="149">
        <v>500</v>
      </c>
      <c r="K114" s="66">
        <v>360</v>
      </c>
      <c r="L114" s="66">
        <v>750</v>
      </c>
      <c r="M114" s="164">
        <v>21.764098156430528</v>
      </c>
      <c r="N114" s="78">
        <v>1156.5068688458712</v>
      </c>
      <c r="O114" s="113">
        <v>26344.973270653394</v>
      </c>
      <c r="P114" s="111">
        <v>31099.591387791068</v>
      </c>
      <c r="Q114" s="254">
        <v>12094.357743768871</v>
      </c>
      <c r="R114" s="263">
        <v>38439.331014422263</v>
      </c>
      <c r="S114" s="259">
        <v>43193.949131559937</v>
      </c>
      <c r="U114" s="7" t="s">
        <v>4339</v>
      </c>
    </row>
    <row r="115" spans="1:21" ht="16.5" thickBot="1">
      <c r="A115" s="41" t="s">
        <v>31</v>
      </c>
      <c r="B115" s="42">
        <f t="shared" si="6"/>
        <v>500</v>
      </c>
      <c r="C115" s="42" t="s">
        <v>3</v>
      </c>
      <c r="D115" s="42">
        <f t="shared" si="7"/>
        <v>360</v>
      </c>
      <c r="E115" s="42" t="s">
        <v>3</v>
      </c>
      <c r="F115" s="90">
        <f t="shared" si="8"/>
        <v>800</v>
      </c>
      <c r="G115" s="42" t="s">
        <v>3</v>
      </c>
      <c r="H115" s="39">
        <v>8</v>
      </c>
      <c r="I115" s="40" t="s">
        <v>42</v>
      </c>
      <c r="J115" s="149">
        <v>500</v>
      </c>
      <c r="K115" s="66">
        <v>360</v>
      </c>
      <c r="L115" s="66">
        <v>800</v>
      </c>
      <c r="M115" s="164">
        <v>22.948806550792632</v>
      </c>
      <c r="N115" s="78">
        <v>1301.0702274516048</v>
      </c>
      <c r="O115" s="113">
        <v>27688.619847604987</v>
      </c>
      <c r="P115" s="111">
        <v>32689.552759030328</v>
      </c>
      <c r="Q115" s="254">
        <v>12697.77862800706</v>
      </c>
      <c r="R115" s="263">
        <v>40386.398475612048</v>
      </c>
      <c r="S115" s="259">
        <v>45387.33138703739</v>
      </c>
      <c r="U115" s="7" t="s">
        <v>4340</v>
      </c>
    </row>
    <row r="116" spans="1:21" ht="16.5" thickBot="1">
      <c r="A116" s="41" t="s">
        <v>31</v>
      </c>
      <c r="B116" s="42">
        <f t="shared" si="6"/>
        <v>500</v>
      </c>
      <c r="C116" s="42" t="s">
        <v>3</v>
      </c>
      <c r="D116" s="42">
        <f t="shared" si="7"/>
        <v>360</v>
      </c>
      <c r="E116" s="42" t="s">
        <v>3</v>
      </c>
      <c r="F116" s="90">
        <f t="shared" si="8"/>
        <v>850</v>
      </c>
      <c r="G116" s="42" t="s">
        <v>3</v>
      </c>
      <c r="H116" s="39">
        <v>8</v>
      </c>
      <c r="I116" s="40" t="s">
        <v>42</v>
      </c>
      <c r="J116" s="149">
        <v>500</v>
      </c>
      <c r="K116" s="66">
        <v>360</v>
      </c>
      <c r="L116" s="66">
        <v>850</v>
      </c>
      <c r="M116" s="164">
        <v>24.150554945154738</v>
      </c>
      <c r="N116" s="78">
        <v>1445.6335860573386</v>
      </c>
      <c r="O116" s="113">
        <v>29032.266424556576</v>
      </c>
      <c r="P116" s="111">
        <v>34279.514130269592</v>
      </c>
      <c r="Q116" s="254">
        <v>13552.533650029018</v>
      </c>
      <c r="R116" s="263">
        <v>42584.800074585597</v>
      </c>
      <c r="S116" s="259">
        <v>47832.047780298613</v>
      </c>
      <c r="U116" s="7" t="s">
        <v>4341</v>
      </c>
    </row>
    <row r="117" spans="1:21" ht="16.5" thickBot="1">
      <c r="A117" s="41" t="s">
        <v>31</v>
      </c>
      <c r="B117" s="42">
        <f t="shared" si="6"/>
        <v>500</v>
      </c>
      <c r="C117" s="42" t="s">
        <v>3</v>
      </c>
      <c r="D117" s="42">
        <f t="shared" si="7"/>
        <v>360</v>
      </c>
      <c r="E117" s="42" t="s">
        <v>3</v>
      </c>
      <c r="F117" s="90">
        <f t="shared" si="8"/>
        <v>900</v>
      </c>
      <c r="G117" s="42" t="s">
        <v>3</v>
      </c>
      <c r="H117" s="39">
        <v>8</v>
      </c>
      <c r="I117" s="40" t="s">
        <v>42</v>
      </c>
      <c r="J117" s="149">
        <v>500</v>
      </c>
      <c r="K117" s="66">
        <v>360</v>
      </c>
      <c r="L117" s="66">
        <v>900</v>
      </c>
      <c r="M117" s="164">
        <v>25.335263339516843</v>
      </c>
      <c r="N117" s="78">
        <v>1590.1969446630726</v>
      </c>
      <c r="O117" s="113">
        <v>30375.913001508165</v>
      </c>
      <c r="P117" s="111">
        <v>35869.475501508845</v>
      </c>
      <c r="Q117" s="254">
        <v>14155.954534267206</v>
      </c>
      <c r="R117" s="263">
        <v>44531.867535775367</v>
      </c>
      <c r="S117" s="259">
        <v>50025.430035776051</v>
      </c>
      <c r="U117" s="7" t="s">
        <v>4342</v>
      </c>
    </row>
    <row r="118" spans="1:21" ht="16.5" thickBot="1">
      <c r="A118" s="41" t="s">
        <v>31</v>
      </c>
      <c r="B118" s="42">
        <f t="shared" si="6"/>
        <v>500</v>
      </c>
      <c r="C118" s="42" t="s">
        <v>3</v>
      </c>
      <c r="D118" s="42">
        <f t="shared" si="7"/>
        <v>360</v>
      </c>
      <c r="E118" s="42" t="s">
        <v>3</v>
      </c>
      <c r="F118" s="90">
        <f t="shared" si="8"/>
        <v>950</v>
      </c>
      <c r="G118" s="42" t="s">
        <v>3</v>
      </c>
      <c r="H118" s="39">
        <v>8</v>
      </c>
      <c r="I118" s="40" t="s">
        <v>42</v>
      </c>
      <c r="J118" s="149">
        <v>500</v>
      </c>
      <c r="K118" s="66">
        <v>360</v>
      </c>
      <c r="L118" s="66">
        <v>950</v>
      </c>
      <c r="M118" s="164">
        <v>26.537011733878945</v>
      </c>
      <c r="N118" s="78">
        <v>1734.7603032688062</v>
      </c>
      <c r="O118" s="113">
        <v>31719.55973148852</v>
      </c>
      <c r="P118" s="111">
        <v>37459.437025776868</v>
      </c>
      <c r="Q118" s="254">
        <v>15010.709556289165</v>
      </c>
      <c r="R118" s="263">
        <v>46730.269287777686</v>
      </c>
      <c r="S118" s="259">
        <v>52470.146582066031</v>
      </c>
      <c r="U118" s="7" t="s">
        <v>4343</v>
      </c>
    </row>
    <row r="119" spans="1:21" ht="16.5" thickBot="1">
      <c r="A119" s="41" t="s">
        <v>31</v>
      </c>
      <c r="B119" s="42">
        <f t="shared" si="6"/>
        <v>500</v>
      </c>
      <c r="C119" s="42" t="s">
        <v>3</v>
      </c>
      <c r="D119" s="42">
        <f t="shared" si="7"/>
        <v>360</v>
      </c>
      <c r="E119" s="42" t="s">
        <v>3</v>
      </c>
      <c r="F119" s="90">
        <f t="shared" si="8"/>
        <v>1000</v>
      </c>
      <c r="G119" s="42" t="s">
        <v>3</v>
      </c>
      <c r="H119" s="39">
        <v>8</v>
      </c>
      <c r="I119" s="40" t="s">
        <v>42</v>
      </c>
      <c r="J119" s="149">
        <v>500</v>
      </c>
      <c r="K119" s="66">
        <v>360</v>
      </c>
      <c r="L119" s="66">
        <v>1000</v>
      </c>
      <c r="M119" s="164">
        <v>27.721720128241056</v>
      </c>
      <c r="N119" s="78">
        <v>1879.3236618745404</v>
      </c>
      <c r="O119" s="113">
        <v>33063.206308440109</v>
      </c>
      <c r="P119" s="111">
        <v>39049.398397016128</v>
      </c>
      <c r="Q119" s="254">
        <v>15614.130440527351</v>
      </c>
      <c r="R119" s="263">
        <v>48677.336748967457</v>
      </c>
      <c r="S119" s="259">
        <v>54663.528837543476</v>
      </c>
      <c r="U119" s="7" t="s">
        <v>4344</v>
      </c>
    </row>
    <row r="120" spans="1:21" ht="16.5" thickBot="1">
      <c r="A120" s="41" t="s">
        <v>31</v>
      </c>
      <c r="B120" s="42">
        <f t="shared" si="6"/>
        <v>500</v>
      </c>
      <c r="C120" s="42" t="s">
        <v>3</v>
      </c>
      <c r="D120" s="42">
        <f t="shared" si="7"/>
        <v>360</v>
      </c>
      <c r="E120" s="42" t="s">
        <v>3</v>
      </c>
      <c r="F120" s="90">
        <f t="shared" si="8"/>
        <v>1050</v>
      </c>
      <c r="G120" s="42" t="s">
        <v>3</v>
      </c>
      <c r="H120" s="39">
        <v>8</v>
      </c>
      <c r="I120" s="40" t="s">
        <v>42</v>
      </c>
      <c r="J120" s="149">
        <v>500</v>
      </c>
      <c r="K120" s="66">
        <v>360</v>
      </c>
      <c r="L120" s="66">
        <v>1050</v>
      </c>
      <c r="M120" s="164">
        <v>28.923468522603159</v>
      </c>
      <c r="N120" s="78">
        <v>2023.8870204802738</v>
      </c>
      <c r="O120" s="113">
        <v>34406.852885391694</v>
      </c>
      <c r="P120" s="111">
        <v>40639.359768255388</v>
      </c>
      <c r="Q120" s="254">
        <v>16468.885462549311</v>
      </c>
      <c r="R120" s="263">
        <v>50875.738347941005</v>
      </c>
      <c r="S120" s="259">
        <v>57108.2452308047</v>
      </c>
      <c r="U120" s="7" t="s">
        <v>4345</v>
      </c>
    </row>
    <row r="121" spans="1:21" ht="16.5" thickBot="1">
      <c r="A121" s="38" t="s">
        <v>31</v>
      </c>
      <c r="B121" s="39">
        <f t="shared" si="6"/>
        <v>500</v>
      </c>
      <c r="C121" s="39" t="s">
        <v>3</v>
      </c>
      <c r="D121" s="39">
        <f t="shared" si="7"/>
        <v>360</v>
      </c>
      <c r="E121" s="39" t="s">
        <v>3</v>
      </c>
      <c r="F121" s="90">
        <f t="shared" si="8"/>
        <v>1100</v>
      </c>
      <c r="G121" s="39" t="s">
        <v>3</v>
      </c>
      <c r="H121" s="39">
        <v>8</v>
      </c>
      <c r="I121" s="40" t="s">
        <v>42</v>
      </c>
      <c r="J121" s="149">
        <v>500</v>
      </c>
      <c r="K121" s="66">
        <v>360</v>
      </c>
      <c r="L121" s="66">
        <v>1100</v>
      </c>
      <c r="M121" s="164">
        <v>30.10817691696526</v>
      </c>
      <c r="N121" s="78">
        <v>2168.4503790860081</v>
      </c>
      <c r="O121" s="113">
        <v>35750.499462343287</v>
      </c>
      <c r="P121" s="111">
        <v>42229.321139494648</v>
      </c>
      <c r="Q121" s="254">
        <v>17072.3063467875</v>
      </c>
      <c r="R121" s="263">
        <v>52822.80580913079</v>
      </c>
      <c r="S121" s="259">
        <v>59301.627486282145</v>
      </c>
      <c r="U121" s="7" t="s">
        <v>4346</v>
      </c>
    </row>
    <row r="122" spans="1:21" ht="16.5" thickBot="1">
      <c r="A122" s="41" t="s">
        <v>31</v>
      </c>
      <c r="B122" s="42">
        <f t="shared" si="6"/>
        <v>500</v>
      </c>
      <c r="C122" s="42" t="s">
        <v>3</v>
      </c>
      <c r="D122" s="42">
        <f t="shared" si="7"/>
        <v>360</v>
      </c>
      <c r="E122" s="42" t="s">
        <v>3</v>
      </c>
      <c r="F122" s="90">
        <f t="shared" si="8"/>
        <v>1150</v>
      </c>
      <c r="G122" s="42" t="s">
        <v>3</v>
      </c>
      <c r="H122" s="39">
        <v>8</v>
      </c>
      <c r="I122" s="40" t="s">
        <v>42</v>
      </c>
      <c r="J122" s="149">
        <v>500</v>
      </c>
      <c r="K122" s="66">
        <v>360</v>
      </c>
      <c r="L122" s="66">
        <v>1150</v>
      </c>
      <c r="M122" s="164">
        <v>31.292885311327371</v>
      </c>
      <c r="N122" s="78">
        <v>2313.0137376917423</v>
      </c>
      <c r="O122" s="113">
        <v>37094.146039294872</v>
      </c>
      <c r="P122" s="111">
        <v>43819.282663762671</v>
      </c>
      <c r="Q122" s="254">
        <v>17675.727231025689</v>
      </c>
      <c r="R122" s="263">
        <v>54769.873270320561</v>
      </c>
      <c r="S122" s="259">
        <v>61495.00989478836</v>
      </c>
      <c r="U122" s="7" t="s">
        <v>4347</v>
      </c>
    </row>
    <row r="123" spans="1:21" ht="16.5" thickBot="1">
      <c r="A123" s="41" t="s">
        <v>31</v>
      </c>
      <c r="B123" s="42">
        <f t="shared" si="6"/>
        <v>500</v>
      </c>
      <c r="C123" s="42" t="s">
        <v>3</v>
      </c>
      <c r="D123" s="42">
        <f t="shared" si="7"/>
        <v>360</v>
      </c>
      <c r="E123" s="42" t="s">
        <v>3</v>
      </c>
      <c r="F123" s="90">
        <f t="shared" si="8"/>
        <v>1200</v>
      </c>
      <c r="G123" s="42" t="s">
        <v>3</v>
      </c>
      <c r="H123" s="39">
        <v>8</v>
      </c>
      <c r="I123" s="40" t="s">
        <v>42</v>
      </c>
      <c r="J123" s="149">
        <v>500</v>
      </c>
      <c r="K123" s="66">
        <v>360</v>
      </c>
      <c r="L123" s="66">
        <v>1200</v>
      </c>
      <c r="M123" s="164">
        <v>32.651633705689477</v>
      </c>
      <c r="N123" s="78">
        <v>2457.5770962974757</v>
      </c>
      <c r="O123" s="113">
        <v>38605.989286513126</v>
      </c>
      <c r="P123" s="111">
        <v>45578.467375253815</v>
      </c>
      <c r="Q123" s="254">
        <v>18530.482406076411</v>
      </c>
      <c r="R123" s="263">
        <v>57136.471692589534</v>
      </c>
      <c r="S123" s="259">
        <v>64108.94978133023</v>
      </c>
      <c r="U123" s="7" t="s">
        <v>4348</v>
      </c>
    </row>
    <row r="124" spans="1:21" ht="16.5" thickBot="1">
      <c r="A124" s="41" t="s">
        <v>31</v>
      </c>
      <c r="B124" s="42">
        <f t="shared" si="6"/>
        <v>500</v>
      </c>
      <c r="C124" s="42" t="s">
        <v>3</v>
      </c>
      <c r="D124" s="42">
        <f t="shared" si="7"/>
        <v>360</v>
      </c>
      <c r="E124" s="42" t="s">
        <v>3</v>
      </c>
      <c r="F124" s="90">
        <f t="shared" si="8"/>
        <v>1250</v>
      </c>
      <c r="G124" s="42" t="s">
        <v>3</v>
      </c>
      <c r="H124" s="39">
        <v>8</v>
      </c>
      <c r="I124" s="40" t="s">
        <v>42</v>
      </c>
      <c r="J124" s="149">
        <v>500</v>
      </c>
      <c r="K124" s="66">
        <v>360</v>
      </c>
      <c r="L124" s="66">
        <v>1250</v>
      </c>
      <c r="M124" s="164">
        <v>33.836342100051574</v>
      </c>
      <c r="N124" s="78">
        <v>2602.1404549032095</v>
      </c>
      <c r="O124" s="113">
        <v>39949.635863464719</v>
      </c>
      <c r="P124" s="111">
        <v>47168.428899521838</v>
      </c>
      <c r="Q124" s="254">
        <v>19133.9032903146</v>
      </c>
      <c r="R124" s="263">
        <v>59083.539153779318</v>
      </c>
      <c r="S124" s="259">
        <v>66302.332189836437</v>
      </c>
      <c r="U124" s="7" t="s">
        <v>4349</v>
      </c>
    </row>
    <row r="125" spans="1:21" ht="16.5" thickBot="1">
      <c r="A125" s="41" t="s">
        <v>31</v>
      </c>
      <c r="B125" s="42">
        <f t="shared" si="6"/>
        <v>500</v>
      </c>
      <c r="C125" s="42" t="s">
        <v>3</v>
      </c>
      <c r="D125" s="42">
        <f t="shared" si="7"/>
        <v>360</v>
      </c>
      <c r="E125" s="42" t="s">
        <v>3</v>
      </c>
      <c r="F125" s="90">
        <f t="shared" si="8"/>
        <v>1300</v>
      </c>
      <c r="G125" s="42" t="s">
        <v>3</v>
      </c>
      <c r="H125" s="39">
        <v>8</v>
      </c>
      <c r="I125" s="40" t="s">
        <v>42</v>
      </c>
      <c r="J125" s="149">
        <v>500</v>
      </c>
      <c r="K125" s="66">
        <v>360</v>
      </c>
      <c r="L125" s="66">
        <v>1300</v>
      </c>
      <c r="M125" s="164">
        <v>35.03809049441368</v>
      </c>
      <c r="N125" s="78">
        <v>2746.7038135089429</v>
      </c>
      <c r="O125" s="113">
        <v>41293.282440416304</v>
      </c>
      <c r="P125" s="111">
        <v>48758.390270761098</v>
      </c>
      <c r="Q125" s="254">
        <v>19988.658312336556</v>
      </c>
      <c r="R125" s="263">
        <v>61281.94075275286</v>
      </c>
      <c r="S125" s="259">
        <v>68747.048583097654</v>
      </c>
      <c r="U125" s="7" t="s">
        <v>4350</v>
      </c>
    </row>
    <row r="126" spans="1:21" ht="16.5" thickBot="1">
      <c r="A126" s="41" t="s">
        <v>31</v>
      </c>
      <c r="B126" s="42">
        <f t="shared" si="6"/>
        <v>500</v>
      </c>
      <c r="C126" s="42" t="s">
        <v>3</v>
      </c>
      <c r="D126" s="42">
        <f t="shared" si="7"/>
        <v>360</v>
      </c>
      <c r="E126" s="42" t="s">
        <v>3</v>
      </c>
      <c r="F126" s="90">
        <f t="shared" si="8"/>
        <v>1350</v>
      </c>
      <c r="G126" s="42" t="s">
        <v>3</v>
      </c>
      <c r="H126" s="39">
        <v>8</v>
      </c>
      <c r="I126" s="40" t="s">
        <v>42</v>
      </c>
      <c r="J126" s="149">
        <v>500</v>
      </c>
      <c r="K126" s="66">
        <v>360</v>
      </c>
      <c r="L126" s="66">
        <v>1350</v>
      </c>
      <c r="M126" s="164">
        <v>36.222798888775785</v>
      </c>
      <c r="N126" s="78">
        <v>2891.2671721146771</v>
      </c>
      <c r="O126" s="113">
        <v>42636.929017367889</v>
      </c>
      <c r="P126" s="111">
        <v>50348.351642000351</v>
      </c>
      <c r="Q126" s="254">
        <v>20592.079196574745</v>
      </c>
      <c r="R126" s="263">
        <v>63229.008213942638</v>
      </c>
      <c r="S126" s="259">
        <v>70940.430838575092</v>
      </c>
      <c r="U126" s="7" t="s">
        <v>4351</v>
      </c>
    </row>
    <row r="127" spans="1:21" ht="16.5" thickBot="1">
      <c r="A127" s="41" t="s">
        <v>31</v>
      </c>
      <c r="B127" s="42">
        <f t="shared" si="6"/>
        <v>500</v>
      </c>
      <c r="C127" s="42" t="s">
        <v>3</v>
      </c>
      <c r="D127" s="42">
        <f t="shared" si="7"/>
        <v>360</v>
      </c>
      <c r="E127" s="42" t="s">
        <v>3</v>
      </c>
      <c r="F127" s="90">
        <f t="shared" si="8"/>
        <v>1400</v>
      </c>
      <c r="G127" s="42" t="s">
        <v>3</v>
      </c>
      <c r="H127" s="39">
        <v>8</v>
      </c>
      <c r="I127" s="40" t="s">
        <v>42</v>
      </c>
      <c r="J127" s="149">
        <v>500</v>
      </c>
      <c r="K127" s="66">
        <v>360</v>
      </c>
      <c r="L127" s="66">
        <v>1400</v>
      </c>
      <c r="M127" s="164">
        <v>37.424547283137898</v>
      </c>
      <c r="N127" s="78">
        <v>3035.8305307204114</v>
      </c>
      <c r="O127" s="113">
        <v>43980.575594319482</v>
      </c>
      <c r="P127" s="111">
        <v>51938.313166268388</v>
      </c>
      <c r="Q127" s="254">
        <v>21446.834218596705</v>
      </c>
      <c r="R127" s="263">
        <v>65427.409812916187</v>
      </c>
      <c r="S127" s="259">
        <v>73385.147384865093</v>
      </c>
      <c r="U127" s="7" t="s">
        <v>4352</v>
      </c>
    </row>
    <row r="128" spans="1:21" ht="16.5" thickBot="1">
      <c r="A128" s="41" t="s">
        <v>31</v>
      </c>
      <c r="B128" s="42">
        <f t="shared" si="6"/>
        <v>500</v>
      </c>
      <c r="C128" s="42" t="s">
        <v>3</v>
      </c>
      <c r="D128" s="42">
        <f t="shared" si="7"/>
        <v>360</v>
      </c>
      <c r="E128" s="42" t="s">
        <v>3</v>
      </c>
      <c r="F128" s="90">
        <f t="shared" si="8"/>
        <v>1450</v>
      </c>
      <c r="G128" s="42" t="s">
        <v>3</v>
      </c>
      <c r="H128" s="39">
        <v>8</v>
      </c>
      <c r="I128" s="40" t="s">
        <v>42</v>
      </c>
      <c r="J128" s="149">
        <v>500</v>
      </c>
      <c r="K128" s="66">
        <v>360</v>
      </c>
      <c r="L128" s="66">
        <v>1450</v>
      </c>
      <c r="M128" s="164">
        <v>38.609255677500002</v>
      </c>
      <c r="N128" s="78">
        <v>3180.3938893261452</v>
      </c>
      <c r="O128" s="113">
        <v>45324.222171271067</v>
      </c>
      <c r="P128" s="111">
        <v>53528.274537507641</v>
      </c>
      <c r="Q128" s="254">
        <v>22050.255102834893</v>
      </c>
      <c r="R128" s="263">
        <v>67374.477274105957</v>
      </c>
      <c r="S128" s="259">
        <v>75578.529640342531</v>
      </c>
      <c r="U128" s="7" t="s">
        <v>4353</v>
      </c>
    </row>
    <row r="129" spans="1:21" ht="16.5" thickBot="1">
      <c r="A129" s="41" t="s">
        <v>31</v>
      </c>
      <c r="B129" s="42">
        <f t="shared" si="6"/>
        <v>500</v>
      </c>
      <c r="C129" s="42" t="s">
        <v>3</v>
      </c>
      <c r="D129" s="42">
        <f t="shared" si="7"/>
        <v>360</v>
      </c>
      <c r="E129" s="42" t="s">
        <v>3</v>
      </c>
      <c r="F129" s="90">
        <f t="shared" si="8"/>
        <v>1500</v>
      </c>
      <c r="G129" s="42" t="s">
        <v>3</v>
      </c>
      <c r="H129" s="39">
        <v>8</v>
      </c>
      <c r="I129" s="40" t="s">
        <v>42</v>
      </c>
      <c r="J129" s="149">
        <v>500</v>
      </c>
      <c r="K129" s="66">
        <v>360</v>
      </c>
      <c r="L129" s="66">
        <v>1500</v>
      </c>
      <c r="M129" s="164">
        <v>40.046625365822102</v>
      </c>
      <c r="N129" s="78">
        <v>3324.957247931879</v>
      </c>
      <c r="O129" s="113">
        <v>47488.060387295962</v>
      </c>
      <c r="P129" s="111">
        <v>55923.346563017134</v>
      </c>
      <c r="Q129" s="254">
        <v>22905.01012485685</v>
      </c>
      <c r="R129" s="263">
        <v>70393.070512152815</v>
      </c>
      <c r="S129" s="259">
        <v>78828.35668787398</v>
      </c>
      <c r="U129" s="7" t="s">
        <v>4354</v>
      </c>
    </row>
    <row r="130" spans="1:21" ht="16.5" thickBot="1">
      <c r="A130" s="41" t="s">
        <v>31</v>
      </c>
      <c r="B130" s="42">
        <f t="shared" si="6"/>
        <v>500</v>
      </c>
      <c r="C130" s="42" t="s">
        <v>3</v>
      </c>
      <c r="D130" s="42">
        <f t="shared" si="7"/>
        <v>360</v>
      </c>
      <c r="E130" s="42" t="s">
        <v>3</v>
      </c>
      <c r="F130" s="90">
        <f t="shared" si="8"/>
        <v>1550</v>
      </c>
      <c r="G130" s="42" t="s">
        <v>3</v>
      </c>
      <c r="H130" s="39">
        <v>8</v>
      </c>
      <c r="I130" s="40" t="s">
        <v>42</v>
      </c>
      <c r="J130" s="149">
        <v>500</v>
      </c>
      <c r="K130" s="66">
        <v>360</v>
      </c>
      <c r="L130" s="66">
        <v>1550</v>
      </c>
      <c r="M130" s="164">
        <v>41.231333760184214</v>
      </c>
      <c r="N130" s="78">
        <v>3469.5206065376124</v>
      </c>
      <c r="O130" s="113">
        <v>48831.706964247547</v>
      </c>
      <c r="P130" s="111">
        <v>57513.307934256394</v>
      </c>
      <c r="Q130" s="254">
        <v>23508.431009095038</v>
      </c>
      <c r="R130" s="263">
        <v>72340.137973342586</v>
      </c>
      <c r="S130" s="259">
        <v>81021.738943351433</v>
      </c>
      <c r="U130" s="7" t="s">
        <v>4355</v>
      </c>
    </row>
    <row r="131" spans="1:21" ht="16.5" thickBot="1">
      <c r="A131" s="38" t="s">
        <v>31</v>
      </c>
      <c r="B131" s="39">
        <f t="shared" si="6"/>
        <v>500</v>
      </c>
      <c r="C131" s="39" t="s">
        <v>3</v>
      </c>
      <c r="D131" s="39">
        <f t="shared" si="7"/>
        <v>360</v>
      </c>
      <c r="E131" s="39" t="s">
        <v>3</v>
      </c>
      <c r="F131" s="90">
        <f t="shared" si="8"/>
        <v>1600</v>
      </c>
      <c r="G131" s="39" t="s">
        <v>3</v>
      </c>
      <c r="H131" s="39">
        <v>8</v>
      </c>
      <c r="I131" s="40" t="s">
        <v>42</v>
      </c>
      <c r="J131" s="149">
        <v>500</v>
      </c>
      <c r="K131" s="66">
        <v>360</v>
      </c>
      <c r="L131" s="66">
        <v>1600</v>
      </c>
      <c r="M131" s="164">
        <v>42.416042154546318</v>
      </c>
      <c r="N131" s="78">
        <v>3614.0839651433466</v>
      </c>
      <c r="O131" s="113">
        <v>50175.35354119914</v>
      </c>
      <c r="P131" s="111">
        <v>59103.269305495647</v>
      </c>
      <c r="Q131" s="254">
        <v>24111.851893333227</v>
      </c>
      <c r="R131" s="263">
        <v>74287.20543453237</v>
      </c>
      <c r="S131" s="259">
        <v>83215.121198828871</v>
      </c>
      <c r="U131" s="7" t="s">
        <v>4356</v>
      </c>
    </row>
    <row r="132" spans="1:21" ht="16.5" thickBot="1">
      <c r="A132" s="41" t="s">
        <v>31</v>
      </c>
      <c r="B132" s="42">
        <f t="shared" si="6"/>
        <v>500</v>
      </c>
      <c r="C132" s="42" t="s">
        <v>3</v>
      </c>
      <c r="D132" s="42">
        <f t="shared" si="7"/>
        <v>360</v>
      </c>
      <c r="E132" s="42" t="s">
        <v>3</v>
      </c>
      <c r="F132" s="90">
        <f t="shared" si="8"/>
        <v>1650</v>
      </c>
      <c r="G132" s="42" t="s">
        <v>3</v>
      </c>
      <c r="H132" s="39">
        <v>8</v>
      </c>
      <c r="I132" s="40" t="s">
        <v>42</v>
      </c>
      <c r="J132" s="149">
        <v>500</v>
      </c>
      <c r="K132" s="66">
        <v>360</v>
      </c>
      <c r="L132" s="66">
        <v>1650</v>
      </c>
      <c r="M132" s="164">
        <v>43.617790548908417</v>
      </c>
      <c r="N132" s="78">
        <v>3758.6473237490809</v>
      </c>
      <c r="O132" s="113">
        <v>51519.000118150718</v>
      </c>
      <c r="P132" s="111">
        <v>60693.230676734907</v>
      </c>
      <c r="Q132" s="254">
        <v>24966.606915355183</v>
      </c>
      <c r="R132" s="263">
        <v>76485.607033505905</v>
      </c>
      <c r="S132" s="259">
        <v>85659.837592090087</v>
      </c>
      <c r="U132" s="7" t="s">
        <v>4357</v>
      </c>
    </row>
    <row r="133" spans="1:21" ht="16.5" thickBot="1">
      <c r="A133" s="41" t="s">
        <v>31</v>
      </c>
      <c r="B133" s="42">
        <f t="shared" si="6"/>
        <v>500</v>
      </c>
      <c r="C133" s="42" t="s">
        <v>3</v>
      </c>
      <c r="D133" s="42">
        <f t="shared" si="7"/>
        <v>360</v>
      </c>
      <c r="E133" s="42" t="s">
        <v>3</v>
      </c>
      <c r="F133" s="90">
        <f t="shared" si="8"/>
        <v>1700</v>
      </c>
      <c r="G133" s="42" t="s">
        <v>3</v>
      </c>
      <c r="H133" s="39">
        <v>8</v>
      </c>
      <c r="I133" s="40" t="s">
        <v>42</v>
      </c>
      <c r="J133" s="149">
        <v>500</v>
      </c>
      <c r="K133" s="66">
        <v>360</v>
      </c>
      <c r="L133" s="66">
        <v>1700</v>
      </c>
      <c r="M133" s="164">
        <v>44.802498943270528</v>
      </c>
      <c r="N133" s="78">
        <v>3903.2106823548143</v>
      </c>
      <c r="O133" s="113">
        <v>52862.646848131073</v>
      </c>
      <c r="P133" s="111">
        <v>62283.19220100293</v>
      </c>
      <c r="Q133" s="254">
        <v>25570.027799593372</v>
      </c>
      <c r="R133" s="263">
        <v>78432.674647724445</v>
      </c>
      <c r="S133" s="259">
        <v>87853.22000059631</v>
      </c>
      <c r="U133" s="7" t="s">
        <v>4358</v>
      </c>
    </row>
    <row r="134" spans="1:21" ht="16.5" thickBot="1">
      <c r="A134" s="41" t="s">
        <v>31</v>
      </c>
      <c r="B134" s="42">
        <f t="shared" si="6"/>
        <v>500</v>
      </c>
      <c r="C134" s="42" t="s">
        <v>3</v>
      </c>
      <c r="D134" s="42">
        <f t="shared" si="7"/>
        <v>360</v>
      </c>
      <c r="E134" s="42" t="s">
        <v>3</v>
      </c>
      <c r="F134" s="90">
        <f t="shared" si="8"/>
        <v>1750</v>
      </c>
      <c r="G134" s="42" t="s">
        <v>3</v>
      </c>
      <c r="H134" s="39">
        <v>8</v>
      </c>
      <c r="I134" s="40" t="s">
        <v>42</v>
      </c>
      <c r="J134" s="149">
        <v>500</v>
      </c>
      <c r="K134" s="66">
        <v>360</v>
      </c>
      <c r="L134" s="66">
        <v>1750</v>
      </c>
      <c r="M134" s="164">
        <v>46.00424733763262</v>
      </c>
      <c r="N134" s="78">
        <v>4047.7740409605476</v>
      </c>
      <c r="O134" s="113">
        <v>54206.293425082673</v>
      </c>
      <c r="P134" s="111">
        <v>63873.15357224219</v>
      </c>
      <c r="Q134" s="254">
        <v>26424.782821615332</v>
      </c>
      <c r="R134" s="263">
        <v>80631.076246698009</v>
      </c>
      <c r="S134" s="259">
        <v>90297.936393857526</v>
      </c>
      <c r="U134" s="7" t="s">
        <v>4359</v>
      </c>
    </row>
    <row r="135" spans="1:21" ht="16.5" thickBot="1">
      <c r="A135" s="41" t="s">
        <v>31</v>
      </c>
      <c r="B135" s="42">
        <f t="shared" si="6"/>
        <v>500</v>
      </c>
      <c r="C135" s="42" t="s">
        <v>3</v>
      </c>
      <c r="D135" s="42">
        <f t="shared" si="7"/>
        <v>360</v>
      </c>
      <c r="E135" s="42" t="s">
        <v>3</v>
      </c>
      <c r="F135" s="90">
        <f t="shared" si="8"/>
        <v>1800</v>
      </c>
      <c r="G135" s="42" t="s">
        <v>3</v>
      </c>
      <c r="H135" s="39">
        <v>8</v>
      </c>
      <c r="I135" s="40" t="s">
        <v>42</v>
      </c>
      <c r="J135" s="149">
        <v>500</v>
      </c>
      <c r="K135" s="66">
        <v>360</v>
      </c>
      <c r="L135" s="66">
        <v>1800</v>
      </c>
      <c r="M135" s="164">
        <v>47.188955731994739</v>
      </c>
      <c r="N135" s="78">
        <v>4192.3373995662823</v>
      </c>
      <c r="O135" s="113">
        <v>55549.940002034251</v>
      </c>
      <c r="P135" s="111">
        <v>65463.114943481451</v>
      </c>
      <c r="Q135" s="254">
        <v>27028.203705853517</v>
      </c>
      <c r="R135" s="263">
        <v>82578.143707887764</v>
      </c>
      <c r="S135" s="259">
        <v>92491.318649334964</v>
      </c>
      <c r="U135" s="7" t="s">
        <v>4360</v>
      </c>
    </row>
    <row r="136" spans="1:21" ht="16.5" thickBot="1">
      <c r="A136" s="41" t="s">
        <v>31</v>
      </c>
      <c r="B136" s="42">
        <f t="shared" si="6"/>
        <v>500</v>
      </c>
      <c r="C136" s="42" t="s">
        <v>3</v>
      </c>
      <c r="D136" s="42">
        <f t="shared" si="7"/>
        <v>360</v>
      </c>
      <c r="E136" s="42" t="s">
        <v>3</v>
      </c>
      <c r="F136" s="90">
        <f t="shared" si="8"/>
        <v>1850</v>
      </c>
      <c r="G136" s="42" t="s">
        <v>3</v>
      </c>
      <c r="H136" s="39">
        <v>8</v>
      </c>
      <c r="I136" s="40" t="s">
        <v>42</v>
      </c>
      <c r="J136" s="149">
        <v>500</v>
      </c>
      <c r="K136" s="66">
        <v>360</v>
      </c>
      <c r="L136" s="66">
        <v>1850</v>
      </c>
      <c r="M136" s="164">
        <v>48.390704126356844</v>
      </c>
      <c r="N136" s="78">
        <v>4336.9007581720161</v>
      </c>
      <c r="O136" s="113">
        <v>56893.586578985851</v>
      </c>
      <c r="P136" s="111">
        <v>67053.076314720704</v>
      </c>
      <c r="Q136" s="254">
        <v>27882.958880904247</v>
      </c>
      <c r="R136" s="263">
        <v>84776.545459890098</v>
      </c>
      <c r="S136" s="259">
        <v>94936.035195624951</v>
      </c>
      <c r="U136" s="7" t="s">
        <v>4361</v>
      </c>
    </row>
    <row r="137" spans="1:21" ht="16.5" thickBot="1">
      <c r="A137" s="41" t="s">
        <v>31</v>
      </c>
      <c r="B137" s="42">
        <f t="shared" si="6"/>
        <v>500</v>
      </c>
      <c r="C137" s="42" t="s">
        <v>3</v>
      </c>
      <c r="D137" s="42">
        <f t="shared" si="7"/>
        <v>360</v>
      </c>
      <c r="E137" s="42" t="s">
        <v>3</v>
      </c>
      <c r="F137" s="90">
        <f t="shared" si="8"/>
        <v>1900</v>
      </c>
      <c r="G137" s="42" t="s">
        <v>3</v>
      </c>
      <c r="H137" s="39">
        <v>8</v>
      </c>
      <c r="I137" s="40" t="s">
        <v>42</v>
      </c>
      <c r="J137" s="149">
        <v>500</v>
      </c>
      <c r="K137" s="66">
        <v>360</v>
      </c>
      <c r="L137" s="66">
        <v>1900</v>
      </c>
      <c r="M137" s="164">
        <v>49.575412520718942</v>
      </c>
      <c r="N137" s="78">
        <v>4481.46411677775</v>
      </c>
      <c r="O137" s="113">
        <v>58237.233155937443</v>
      </c>
      <c r="P137" s="111">
        <v>68643.037838988734</v>
      </c>
      <c r="Q137" s="254">
        <v>28486.379765142432</v>
      </c>
      <c r="R137" s="263">
        <v>86723.612921079883</v>
      </c>
      <c r="S137" s="259">
        <v>97129.417604131158</v>
      </c>
      <c r="U137" s="7" t="s">
        <v>4362</v>
      </c>
    </row>
    <row r="138" spans="1:21" ht="16.5" thickBot="1">
      <c r="A138" s="41" t="s">
        <v>31</v>
      </c>
      <c r="B138" s="42">
        <f t="shared" si="6"/>
        <v>500</v>
      </c>
      <c r="C138" s="42" t="s">
        <v>3</v>
      </c>
      <c r="D138" s="42">
        <f t="shared" si="7"/>
        <v>360</v>
      </c>
      <c r="E138" s="42" t="s">
        <v>3</v>
      </c>
      <c r="F138" s="90">
        <f t="shared" si="8"/>
        <v>1950</v>
      </c>
      <c r="G138" s="42" t="s">
        <v>3</v>
      </c>
      <c r="H138" s="39">
        <v>8</v>
      </c>
      <c r="I138" s="40" t="s">
        <v>42</v>
      </c>
      <c r="J138" s="149">
        <v>500</v>
      </c>
      <c r="K138" s="66">
        <v>360</v>
      </c>
      <c r="L138" s="66">
        <v>1950</v>
      </c>
      <c r="M138" s="164">
        <v>50.917120915081057</v>
      </c>
      <c r="N138" s="78">
        <v>4626.0274753834847</v>
      </c>
      <c r="O138" s="113">
        <v>59749.07640315569</v>
      </c>
      <c r="P138" s="111">
        <v>70402.22255047987</v>
      </c>
      <c r="Q138" s="254">
        <v>29089.800649380621</v>
      </c>
      <c r="R138" s="263">
        <v>88838.877052536307</v>
      </c>
      <c r="S138" s="259">
        <v>99492.023199860487</v>
      </c>
      <c r="U138" s="7" t="s">
        <v>4363</v>
      </c>
    </row>
    <row r="139" spans="1:21" ht="16.5" thickBot="1">
      <c r="A139" s="41" t="s">
        <v>31</v>
      </c>
      <c r="B139" s="42">
        <f t="shared" si="6"/>
        <v>500</v>
      </c>
      <c r="C139" s="42" t="s">
        <v>3</v>
      </c>
      <c r="D139" s="42">
        <f t="shared" si="7"/>
        <v>360</v>
      </c>
      <c r="E139" s="42" t="s">
        <v>3</v>
      </c>
      <c r="F139" s="90">
        <f t="shared" si="8"/>
        <v>2000</v>
      </c>
      <c r="G139" s="42" t="s">
        <v>3</v>
      </c>
      <c r="H139" s="39">
        <v>8</v>
      </c>
      <c r="I139" s="40" t="s">
        <v>42</v>
      </c>
      <c r="J139" s="149">
        <v>500</v>
      </c>
      <c r="K139" s="66">
        <v>360</v>
      </c>
      <c r="L139" s="66">
        <v>2000</v>
      </c>
      <c r="M139" s="164">
        <v>52.210431709443156</v>
      </c>
      <c r="N139" s="78">
        <v>4770.5908339892167</v>
      </c>
      <c r="O139" s="113">
        <v>61344.014881951865</v>
      </c>
      <c r="P139" s="111">
        <v>72333.006067743932</v>
      </c>
      <c r="Q139" s="254">
        <v>29944.555671402581</v>
      </c>
      <c r="R139" s="263">
        <v>91288.570553354453</v>
      </c>
      <c r="S139" s="259">
        <v>102277.56173914651</v>
      </c>
      <c r="U139" s="7" t="s">
        <v>4364</v>
      </c>
    </row>
    <row r="140" spans="1:21" ht="16.5" thickBot="1">
      <c r="A140" s="41" t="s">
        <v>31</v>
      </c>
      <c r="B140" s="42">
        <f t="shared" si="6"/>
        <v>500</v>
      </c>
      <c r="C140" s="42" t="s">
        <v>3</v>
      </c>
      <c r="D140" s="42">
        <f t="shared" si="7"/>
        <v>360</v>
      </c>
      <c r="E140" s="42" t="s">
        <v>3</v>
      </c>
      <c r="F140" s="90">
        <f t="shared" si="8"/>
        <v>2050</v>
      </c>
      <c r="G140" s="42" t="s">
        <v>3</v>
      </c>
      <c r="H140" s="39">
        <v>8</v>
      </c>
      <c r="I140" s="40" t="s">
        <v>42</v>
      </c>
      <c r="J140" s="149">
        <v>500</v>
      </c>
      <c r="K140" s="66">
        <v>360</v>
      </c>
      <c r="L140" s="66">
        <v>2050</v>
      </c>
      <c r="M140" s="164">
        <v>53.395140103805268</v>
      </c>
      <c r="N140" s="78">
        <v>4915.1541925949514</v>
      </c>
      <c r="O140" s="113">
        <v>62687.661458903465</v>
      </c>
      <c r="P140" s="111">
        <v>73922.967438983193</v>
      </c>
      <c r="Q140" s="254">
        <v>30547.976555640766</v>
      </c>
      <c r="R140" s="263">
        <v>93235.638014544238</v>
      </c>
      <c r="S140" s="259">
        <v>104470.94399462396</v>
      </c>
      <c r="U140" s="7" t="s">
        <v>4365</v>
      </c>
    </row>
    <row r="141" spans="1:21" ht="16.5" thickBot="1">
      <c r="A141" s="38" t="s">
        <v>31</v>
      </c>
      <c r="B141" s="39">
        <f t="shared" si="6"/>
        <v>500</v>
      </c>
      <c r="C141" s="39" t="s">
        <v>3</v>
      </c>
      <c r="D141" s="39">
        <f t="shared" si="7"/>
        <v>360</v>
      </c>
      <c r="E141" s="39" t="s">
        <v>3</v>
      </c>
      <c r="F141" s="90">
        <f t="shared" si="8"/>
        <v>2100</v>
      </c>
      <c r="G141" s="39" t="s">
        <v>3</v>
      </c>
      <c r="H141" s="39">
        <v>8</v>
      </c>
      <c r="I141" s="40" t="s">
        <v>42</v>
      </c>
      <c r="J141" s="149">
        <v>500</v>
      </c>
      <c r="K141" s="66">
        <v>360</v>
      </c>
      <c r="L141" s="66">
        <v>2100</v>
      </c>
      <c r="M141" s="164">
        <v>54.59688849816736</v>
      </c>
      <c r="N141" s="78">
        <v>5059.7175512006861</v>
      </c>
      <c r="O141" s="113">
        <v>64031.308035855043</v>
      </c>
      <c r="P141" s="111">
        <v>75512.928810222453</v>
      </c>
      <c r="Q141" s="254">
        <v>31402.731577662726</v>
      </c>
      <c r="R141" s="263">
        <v>95434.039613517773</v>
      </c>
      <c r="S141" s="259">
        <v>106915.66038788517</v>
      </c>
      <c r="U141" s="7" t="s">
        <v>4366</v>
      </c>
    </row>
    <row r="142" spans="1:21" ht="16.5" thickBot="1">
      <c r="A142" s="41" t="s">
        <v>31</v>
      </c>
      <c r="B142" s="42">
        <f t="shared" si="6"/>
        <v>500</v>
      </c>
      <c r="C142" s="42" t="s">
        <v>3</v>
      </c>
      <c r="D142" s="42">
        <f t="shared" si="7"/>
        <v>360</v>
      </c>
      <c r="E142" s="42" t="s">
        <v>3</v>
      </c>
      <c r="F142" s="90">
        <f t="shared" si="8"/>
        <v>2150</v>
      </c>
      <c r="G142" s="42" t="s">
        <v>3</v>
      </c>
      <c r="H142" s="39">
        <v>8</v>
      </c>
      <c r="I142" s="40" t="s">
        <v>42</v>
      </c>
      <c r="J142" s="149">
        <v>500</v>
      </c>
      <c r="K142" s="66">
        <v>360</v>
      </c>
      <c r="L142" s="66">
        <v>2150</v>
      </c>
      <c r="M142" s="164">
        <v>55.781596892529471</v>
      </c>
      <c r="N142" s="78">
        <v>5204.280909806419</v>
      </c>
      <c r="O142" s="113">
        <v>65374.954612806643</v>
      </c>
      <c r="P142" s="111">
        <v>77102.890334490468</v>
      </c>
      <c r="Q142" s="254">
        <v>32006.152461900914</v>
      </c>
      <c r="R142" s="263">
        <v>97381.107074707557</v>
      </c>
      <c r="S142" s="259">
        <v>109109.04279639138</v>
      </c>
      <c r="U142" s="7" t="s">
        <v>4367</v>
      </c>
    </row>
    <row r="143" spans="1:21" ht="16.5" thickBot="1">
      <c r="A143" s="41" t="s">
        <v>31</v>
      </c>
      <c r="B143" s="42">
        <f t="shared" si="6"/>
        <v>500</v>
      </c>
      <c r="C143" s="42" t="s">
        <v>3</v>
      </c>
      <c r="D143" s="42">
        <f t="shared" si="7"/>
        <v>360</v>
      </c>
      <c r="E143" s="42" t="s">
        <v>3</v>
      </c>
      <c r="F143" s="90">
        <f t="shared" si="8"/>
        <v>2200</v>
      </c>
      <c r="G143" s="42" t="s">
        <v>3</v>
      </c>
      <c r="H143" s="39">
        <v>8</v>
      </c>
      <c r="I143" s="40" t="s">
        <v>42</v>
      </c>
      <c r="J143" s="149">
        <v>500</v>
      </c>
      <c r="K143" s="66">
        <v>360</v>
      </c>
      <c r="L143" s="66">
        <v>2200</v>
      </c>
      <c r="M143" s="164">
        <v>56.983345286891577</v>
      </c>
      <c r="N143" s="78">
        <v>5348.8442684121537</v>
      </c>
      <c r="O143" s="113">
        <v>66718.601189758236</v>
      </c>
      <c r="P143" s="111">
        <v>78692.851705729729</v>
      </c>
      <c r="Q143" s="254">
        <v>32860.907483922878</v>
      </c>
      <c r="R143" s="263">
        <v>99579.508673681121</v>
      </c>
      <c r="S143" s="259">
        <v>111553.7591896526</v>
      </c>
      <c r="U143" s="7" t="s">
        <v>4368</v>
      </c>
    </row>
    <row r="144" spans="1:21" ht="16.5" thickBot="1">
      <c r="A144" s="41" t="s">
        <v>31</v>
      </c>
      <c r="B144" s="42">
        <f t="shared" si="6"/>
        <v>500</v>
      </c>
      <c r="C144" s="42" t="s">
        <v>3</v>
      </c>
      <c r="D144" s="42">
        <f t="shared" si="7"/>
        <v>360</v>
      </c>
      <c r="E144" s="42" t="s">
        <v>3</v>
      </c>
      <c r="F144" s="90">
        <f t="shared" si="8"/>
        <v>2250</v>
      </c>
      <c r="G144" s="42" t="s">
        <v>3</v>
      </c>
      <c r="H144" s="39">
        <v>8</v>
      </c>
      <c r="I144" s="40" t="s">
        <v>42</v>
      </c>
      <c r="J144" s="149">
        <v>500</v>
      </c>
      <c r="K144" s="66">
        <v>360</v>
      </c>
      <c r="L144" s="66">
        <v>2250</v>
      </c>
      <c r="M144" s="164">
        <v>58.168053681253681</v>
      </c>
      <c r="N144" s="78">
        <v>5493.4076270178857</v>
      </c>
      <c r="O144" s="113">
        <v>68062.247766709814</v>
      </c>
      <c r="P144" s="111">
        <v>80282.813076968989</v>
      </c>
      <c r="Q144" s="254">
        <v>33464.328368161063</v>
      </c>
      <c r="R144" s="263">
        <v>101526.57613487088</v>
      </c>
      <c r="S144" s="259">
        <v>113747.14144513005</v>
      </c>
      <c r="U144" s="7" t="s">
        <v>4369</v>
      </c>
    </row>
    <row r="145" spans="1:21" ht="16.5" thickBot="1">
      <c r="A145" s="41" t="s">
        <v>31</v>
      </c>
      <c r="B145" s="42">
        <f t="shared" si="6"/>
        <v>500</v>
      </c>
      <c r="C145" s="42" t="s">
        <v>3</v>
      </c>
      <c r="D145" s="42">
        <f t="shared" si="7"/>
        <v>360</v>
      </c>
      <c r="E145" s="42" t="s">
        <v>3</v>
      </c>
      <c r="F145" s="90">
        <f t="shared" si="8"/>
        <v>2300</v>
      </c>
      <c r="G145" s="42" t="s">
        <v>3</v>
      </c>
      <c r="H145" s="39">
        <v>8</v>
      </c>
      <c r="I145" s="40" t="s">
        <v>42</v>
      </c>
      <c r="J145" s="149">
        <v>500</v>
      </c>
      <c r="K145" s="66">
        <v>360</v>
      </c>
      <c r="L145" s="66">
        <v>2300</v>
      </c>
      <c r="M145" s="164">
        <v>59.352762075615793</v>
      </c>
      <c r="N145" s="78">
        <v>5637.9709856236204</v>
      </c>
      <c r="O145" s="113">
        <v>69405.894343661406</v>
      </c>
      <c r="P145" s="111">
        <v>81872.774601237019</v>
      </c>
      <c r="Q145" s="254">
        <v>34067.749252399248</v>
      </c>
      <c r="R145" s="263">
        <v>103473.64359606066</v>
      </c>
      <c r="S145" s="259">
        <v>115940.52385363626</v>
      </c>
      <c r="U145" s="7" t="s">
        <v>4370</v>
      </c>
    </row>
    <row r="146" spans="1:21" ht="16.5" thickBot="1">
      <c r="A146" s="41" t="s">
        <v>31</v>
      </c>
      <c r="B146" s="42">
        <f t="shared" si="6"/>
        <v>500</v>
      </c>
      <c r="C146" s="42" t="s">
        <v>3</v>
      </c>
      <c r="D146" s="42">
        <f t="shared" si="7"/>
        <v>360</v>
      </c>
      <c r="E146" s="42" t="s">
        <v>3</v>
      </c>
      <c r="F146" s="90">
        <f t="shared" si="8"/>
        <v>2350</v>
      </c>
      <c r="G146" s="42" t="s">
        <v>3</v>
      </c>
      <c r="H146" s="39">
        <v>8</v>
      </c>
      <c r="I146" s="40" t="s">
        <v>42</v>
      </c>
      <c r="J146" s="149">
        <v>500</v>
      </c>
      <c r="K146" s="66">
        <v>360</v>
      </c>
      <c r="L146" s="66">
        <v>2350</v>
      </c>
      <c r="M146" s="164">
        <v>60.554510469977892</v>
      </c>
      <c r="N146" s="78">
        <v>5782.5343442293542</v>
      </c>
      <c r="O146" s="113">
        <v>70749.541073641769</v>
      </c>
      <c r="P146" s="111">
        <v>83462.735972476279</v>
      </c>
      <c r="Q146" s="254">
        <v>34922.504274421211</v>
      </c>
      <c r="R146" s="263">
        <v>105672.04534806298</v>
      </c>
      <c r="S146" s="259">
        <v>118385.24024689749</v>
      </c>
      <c r="U146" s="7" t="s">
        <v>4371</v>
      </c>
    </row>
    <row r="147" spans="1:21" ht="16.5" thickBot="1">
      <c r="A147" s="41" t="s">
        <v>31</v>
      </c>
      <c r="B147" s="42">
        <f t="shared" si="6"/>
        <v>500</v>
      </c>
      <c r="C147" s="42" t="s">
        <v>3</v>
      </c>
      <c r="D147" s="42">
        <f t="shared" si="7"/>
        <v>360</v>
      </c>
      <c r="E147" s="42" t="s">
        <v>3</v>
      </c>
      <c r="F147" s="90">
        <f t="shared" si="8"/>
        <v>2400</v>
      </c>
      <c r="G147" s="42" t="s">
        <v>3</v>
      </c>
      <c r="H147" s="39">
        <v>8</v>
      </c>
      <c r="I147" s="40" t="s">
        <v>42</v>
      </c>
      <c r="J147" s="149">
        <v>500</v>
      </c>
      <c r="K147" s="66">
        <v>360</v>
      </c>
      <c r="L147" s="66">
        <v>2400</v>
      </c>
      <c r="M147" s="164">
        <v>61.739218864339996</v>
      </c>
      <c r="N147" s="78">
        <v>5927.097702835089</v>
      </c>
      <c r="O147" s="113">
        <v>72093.187650593347</v>
      </c>
      <c r="P147" s="111">
        <v>85052.697343715539</v>
      </c>
      <c r="Q147" s="254">
        <v>35525.925158659396</v>
      </c>
      <c r="R147" s="263">
        <v>107619.11280925275</v>
      </c>
      <c r="S147" s="259">
        <v>120578.62250237493</v>
      </c>
      <c r="U147" s="7" t="s">
        <v>4372</v>
      </c>
    </row>
    <row r="148" spans="1:21" ht="16.5" thickBot="1">
      <c r="A148" s="41" t="s">
        <v>31</v>
      </c>
      <c r="B148" s="42">
        <f t="shared" si="6"/>
        <v>500</v>
      </c>
      <c r="C148" s="42" t="s">
        <v>3</v>
      </c>
      <c r="D148" s="42">
        <f t="shared" si="7"/>
        <v>360</v>
      </c>
      <c r="E148" s="42" t="s">
        <v>3</v>
      </c>
      <c r="F148" s="90">
        <f t="shared" si="8"/>
        <v>2450</v>
      </c>
      <c r="G148" s="42" t="s">
        <v>3</v>
      </c>
      <c r="H148" s="39">
        <v>8</v>
      </c>
      <c r="I148" s="40" t="s">
        <v>42</v>
      </c>
      <c r="J148" s="149">
        <v>500</v>
      </c>
      <c r="K148" s="66">
        <v>360</v>
      </c>
      <c r="L148" s="66">
        <v>2450</v>
      </c>
      <c r="M148" s="164">
        <v>63.17658855266211</v>
      </c>
      <c r="N148" s="78">
        <v>6071.6610614408228</v>
      </c>
      <c r="O148" s="113">
        <v>74257.025866618234</v>
      </c>
      <c r="P148" s="111">
        <v>87447.769369225032</v>
      </c>
      <c r="Q148" s="254">
        <v>36380.680180681353</v>
      </c>
      <c r="R148" s="263">
        <v>110637.70604729958</v>
      </c>
      <c r="S148" s="259">
        <v>123828.44954990639</v>
      </c>
      <c r="U148" s="7" t="s">
        <v>4373</v>
      </c>
    </row>
    <row r="149" spans="1:21" ht="16.5" thickBot="1">
      <c r="A149" s="41" t="s">
        <v>31</v>
      </c>
      <c r="B149" s="42">
        <f t="shared" si="6"/>
        <v>500</v>
      </c>
      <c r="C149" s="42" t="s">
        <v>3</v>
      </c>
      <c r="D149" s="42">
        <f t="shared" si="7"/>
        <v>360</v>
      </c>
      <c r="E149" s="42" t="s">
        <v>3</v>
      </c>
      <c r="F149" s="90">
        <f t="shared" si="8"/>
        <v>2500</v>
      </c>
      <c r="G149" s="42" t="s">
        <v>3</v>
      </c>
      <c r="H149" s="39">
        <v>8</v>
      </c>
      <c r="I149" s="40" t="s">
        <v>42</v>
      </c>
      <c r="J149" s="149">
        <v>500</v>
      </c>
      <c r="K149" s="66">
        <v>360</v>
      </c>
      <c r="L149" s="66">
        <v>2500</v>
      </c>
      <c r="M149" s="164">
        <v>64.361296947024201</v>
      </c>
      <c r="N149" s="78">
        <v>6216.2244200465557</v>
      </c>
      <c r="O149" s="113">
        <v>75600.672443569827</v>
      </c>
      <c r="P149" s="111">
        <v>89037.730740464292</v>
      </c>
      <c r="Q149" s="254">
        <v>36984.101064919538</v>
      </c>
      <c r="R149" s="263">
        <v>112584.77350848936</v>
      </c>
      <c r="S149" s="259">
        <v>126021.83180538383</v>
      </c>
      <c r="U149" s="7" t="s">
        <v>4374</v>
      </c>
    </row>
    <row r="150" spans="1:21" ht="16.5" thickBot="1">
      <c r="A150" s="41" t="s">
        <v>31</v>
      </c>
      <c r="B150" s="42">
        <f t="shared" si="6"/>
        <v>500</v>
      </c>
      <c r="C150" s="42" t="s">
        <v>3</v>
      </c>
      <c r="D150" s="42">
        <f t="shared" si="7"/>
        <v>360</v>
      </c>
      <c r="E150" s="42" t="s">
        <v>3</v>
      </c>
      <c r="F150" s="90">
        <f t="shared" si="8"/>
        <v>2550</v>
      </c>
      <c r="G150" s="42" t="s">
        <v>3</v>
      </c>
      <c r="H150" s="39">
        <v>8</v>
      </c>
      <c r="I150" s="40" t="s">
        <v>42</v>
      </c>
      <c r="J150" s="149">
        <v>500</v>
      </c>
      <c r="K150" s="66">
        <v>360</v>
      </c>
      <c r="L150" s="66">
        <v>2550</v>
      </c>
      <c r="M150" s="164">
        <v>65.563045341386299</v>
      </c>
      <c r="N150" s="78">
        <v>6360.7877786522904</v>
      </c>
      <c r="O150" s="113">
        <v>76944.31902052142</v>
      </c>
      <c r="P150" s="111">
        <v>90627.692111703553</v>
      </c>
      <c r="Q150" s="254">
        <v>37838.856239970264</v>
      </c>
      <c r="R150" s="263">
        <v>114783.17526049168</v>
      </c>
      <c r="S150" s="259">
        <v>128466.54835167382</v>
      </c>
      <c r="U150" s="7" t="s">
        <v>4375</v>
      </c>
    </row>
    <row r="151" spans="1:21" ht="16.5" thickBot="1">
      <c r="A151" s="38" t="s">
        <v>31</v>
      </c>
      <c r="B151" s="39">
        <f t="shared" si="6"/>
        <v>500</v>
      </c>
      <c r="C151" s="39" t="s">
        <v>3</v>
      </c>
      <c r="D151" s="39">
        <f t="shared" si="7"/>
        <v>360</v>
      </c>
      <c r="E151" s="39" t="s">
        <v>3</v>
      </c>
      <c r="F151" s="90">
        <f t="shared" si="8"/>
        <v>2600</v>
      </c>
      <c r="G151" s="39" t="s">
        <v>3</v>
      </c>
      <c r="H151" s="39">
        <v>8</v>
      </c>
      <c r="I151" s="40" t="s">
        <v>42</v>
      </c>
      <c r="J151" s="149">
        <v>500</v>
      </c>
      <c r="K151" s="66">
        <v>360</v>
      </c>
      <c r="L151" s="66">
        <v>2600</v>
      </c>
      <c r="M151" s="164">
        <v>66.747753735748418</v>
      </c>
      <c r="N151" s="78">
        <v>6505.3511372580233</v>
      </c>
      <c r="O151" s="113">
        <v>78287.965597473012</v>
      </c>
      <c r="P151" s="111">
        <v>92217.653635971568</v>
      </c>
      <c r="Q151" s="254">
        <v>38442.277124208456</v>
      </c>
      <c r="R151" s="263">
        <v>116730.24272168147</v>
      </c>
      <c r="S151" s="259">
        <v>130659.93076018002</v>
      </c>
      <c r="U151" s="7" t="s">
        <v>4376</v>
      </c>
    </row>
    <row r="152" spans="1:21" ht="16.5" thickBot="1">
      <c r="A152" s="41" t="s">
        <v>31</v>
      </c>
      <c r="B152" s="42">
        <f t="shared" si="6"/>
        <v>500</v>
      </c>
      <c r="C152" s="42" t="s">
        <v>3</v>
      </c>
      <c r="D152" s="42">
        <f t="shared" si="7"/>
        <v>360</v>
      </c>
      <c r="E152" s="42" t="s">
        <v>3</v>
      </c>
      <c r="F152" s="90">
        <f t="shared" si="8"/>
        <v>2650</v>
      </c>
      <c r="G152" s="42" t="s">
        <v>3</v>
      </c>
      <c r="H152" s="39">
        <v>8</v>
      </c>
      <c r="I152" s="40" t="s">
        <v>42</v>
      </c>
      <c r="J152" s="149">
        <v>500</v>
      </c>
      <c r="K152" s="66">
        <v>360</v>
      </c>
      <c r="L152" s="66">
        <v>2650</v>
      </c>
      <c r="M152" s="164">
        <v>67.949502130110517</v>
      </c>
      <c r="N152" s="78">
        <v>6649.914495863758</v>
      </c>
      <c r="O152" s="113">
        <v>79631.61217442459</v>
      </c>
      <c r="P152" s="111">
        <v>93807.615007210828</v>
      </c>
      <c r="Q152" s="254">
        <v>39297.032146230413</v>
      </c>
      <c r="R152" s="263">
        <v>118928.644320655</v>
      </c>
      <c r="S152" s="259">
        <v>133104.64715344124</v>
      </c>
      <c r="U152" s="7" t="s">
        <v>4377</v>
      </c>
    </row>
    <row r="153" spans="1:21" ht="16.5" thickBot="1">
      <c r="A153" s="41" t="s">
        <v>31</v>
      </c>
      <c r="B153" s="42">
        <f t="shared" si="6"/>
        <v>500</v>
      </c>
      <c r="C153" s="42" t="s">
        <v>3</v>
      </c>
      <c r="D153" s="42">
        <f t="shared" si="7"/>
        <v>360</v>
      </c>
      <c r="E153" s="42" t="s">
        <v>3</v>
      </c>
      <c r="F153" s="90">
        <f t="shared" si="8"/>
        <v>2700</v>
      </c>
      <c r="G153" s="42" t="s">
        <v>3</v>
      </c>
      <c r="H153" s="39">
        <v>8</v>
      </c>
      <c r="I153" s="40" t="s">
        <v>42</v>
      </c>
      <c r="J153" s="149">
        <v>500</v>
      </c>
      <c r="K153" s="66">
        <v>360</v>
      </c>
      <c r="L153" s="66">
        <v>2700</v>
      </c>
      <c r="M153" s="164">
        <v>69.291210524472632</v>
      </c>
      <c r="N153" s="78">
        <v>6794.4778544694927</v>
      </c>
      <c r="O153" s="113">
        <v>81143.455421642851</v>
      </c>
      <c r="P153" s="111">
        <v>95566.799871730735</v>
      </c>
      <c r="Q153" s="254">
        <v>39900.453030468605</v>
      </c>
      <c r="R153" s="263">
        <v>121043.90845211146</v>
      </c>
      <c r="S153" s="259">
        <v>135467.25290219934</v>
      </c>
      <c r="U153" s="7" t="s">
        <v>4378</v>
      </c>
    </row>
    <row r="154" spans="1:21" ht="16.5" thickBot="1">
      <c r="A154" s="41" t="s">
        <v>31</v>
      </c>
      <c r="B154" s="42">
        <f t="shared" si="6"/>
        <v>500</v>
      </c>
      <c r="C154" s="42" t="s">
        <v>3</v>
      </c>
      <c r="D154" s="42">
        <f t="shared" si="7"/>
        <v>360</v>
      </c>
      <c r="E154" s="42" t="s">
        <v>3</v>
      </c>
      <c r="F154" s="90">
        <f t="shared" si="8"/>
        <v>2750</v>
      </c>
      <c r="G154" s="42" t="s">
        <v>3</v>
      </c>
      <c r="H154" s="39">
        <v>8</v>
      </c>
      <c r="I154" s="40" t="s">
        <v>42</v>
      </c>
      <c r="J154" s="149">
        <v>500</v>
      </c>
      <c r="K154" s="66">
        <v>360</v>
      </c>
      <c r="L154" s="66">
        <v>2750</v>
      </c>
      <c r="M154" s="164">
        <v>70.475918918834736</v>
      </c>
      <c r="N154" s="78">
        <v>6939.0412130752247</v>
      </c>
      <c r="O154" s="113">
        <v>82487.101998594429</v>
      </c>
      <c r="P154" s="111">
        <v>97156.761242969995</v>
      </c>
      <c r="Q154" s="254">
        <v>40503.87391470679</v>
      </c>
      <c r="R154" s="263">
        <v>122990.97591330123</v>
      </c>
      <c r="S154" s="259">
        <v>137660.63515767679</v>
      </c>
      <c r="U154" s="7" t="s">
        <v>4379</v>
      </c>
    </row>
    <row r="155" spans="1:21" ht="16.5" thickBot="1">
      <c r="A155" s="41" t="s">
        <v>31</v>
      </c>
      <c r="B155" s="42">
        <f t="shared" si="6"/>
        <v>500</v>
      </c>
      <c r="C155" s="42" t="s">
        <v>3</v>
      </c>
      <c r="D155" s="42">
        <f t="shared" si="7"/>
        <v>360</v>
      </c>
      <c r="E155" s="42" t="s">
        <v>3</v>
      </c>
      <c r="F155" s="90">
        <f t="shared" si="8"/>
        <v>2800</v>
      </c>
      <c r="G155" s="42" t="s">
        <v>3</v>
      </c>
      <c r="H155" s="39">
        <v>8</v>
      </c>
      <c r="I155" s="40" t="s">
        <v>42</v>
      </c>
      <c r="J155" s="149">
        <v>500</v>
      </c>
      <c r="K155" s="66">
        <v>360</v>
      </c>
      <c r="L155" s="66">
        <v>2800</v>
      </c>
      <c r="M155" s="164">
        <v>71.677667313196835</v>
      </c>
      <c r="N155" s="78">
        <v>7083.6045716809595</v>
      </c>
      <c r="O155" s="113">
        <v>83830.748575546022</v>
      </c>
      <c r="P155" s="111">
        <v>98746.722614209255</v>
      </c>
      <c r="Q155" s="254">
        <v>41358.628936728746</v>
      </c>
      <c r="R155" s="263">
        <v>125189.37751227478</v>
      </c>
      <c r="S155" s="259">
        <v>140105.35155093801</v>
      </c>
      <c r="U155" s="7" t="s">
        <v>4380</v>
      </c>
    </row>
    <row r="156" spans="1:21" ht="16.5" thickBot="1">
      <c r="A156" s="41" t="s">
        <v>31</v>
      </c>
      <c r="B156" s="42">
        <f t="shared" si="6"/>
        <v>500</v>
      </c>
      <c r="C156" s="42" t="s">
        <v>3</v>
      </c>
      <c r="D156" s="42">
        <f t="shared" si="7"/>
        <v>360</v>
      </c>
      <c r="E156" s="42" t="s">
        <v>3</v>
      </c>
      <c r="F156" s="90">
        <f t="shared" si="8"/>
        <v>2850</v>
      </c>
      <c r="G156" s="42" t="s">
        <v>3</v>
      </c>
      <c r="H156" s="39">
        <v>8</v>
      </c>
      <c r="I156" s="40" t="s">
        <v>42</v>
      </c>
      <c r="J156" s="149">
        <v>500</v>
      </c>
      <c r="K156" s="66">
        <v>360</v>
      </c>
      <c r="L156" s="66">
        <v>2850</v>
      </c>
      <c r="M156" s="164">
        <v>72.86237570755894</v>
      </c>
      <c r="N156" s="78">
        <v>7228.1679302866933</v>
      </c>
      <c r="O156" s="113">
        <v>85174.395152497615</v>
      </c>
      <c r="P156" s="111">
        <v>100336.6839854485</v>
      </c>
      <c r="Q156" s="254">
        <v>41962.049820966939</v>
      </c>
      <c r="R156" s="263">
        <v>127136.44497346456</v>
      </c>
      <c r="S156" s="259">
        <v>142298.73380641543</v>
      </c>
      <c r="U156" s="7" t="s">
        <v>4381</v>
      </c>
    </row>
    <row r="157" spans="1:21" ht="16.5" thickBot="1">
      <c r="A157" s="41" t="s">
        <v>31</v>
      </c>
      <c r="B157" s="42">
        <f t="shared" si="6"/>
        <v>500</v>
      </c>
      <c r="C157" s="42" t="s">
        <v>3</v>
      </c>
      <c r="D157" s="42">
        <f t="shared" si="7"/>
        <v>360</v>
      </c>
      <c r="E157" s="42" t="s">
        <v>3</v>
      </c>
      <c r="F157" s="90">
        <f t="shared" si="8"/>
        <v>2900</v>
      </c>
      <c r="G157" s="42" t="s">
        <v>3</v>
      </c>
      <c r="H157" s="39">
        <v>8</v>
      </c>
      <c r="I157" s="40" t="s">
        <v>42</v>
      </c>
      <c r="J157" s="149">
        <v>500</v>
      </c>
      <c r="K157" s="66">
        <v>360</v>
      </c>
      <c r="L157" s="66">
        <v>2900</v>
      </c>
      <c r="M157" s="164">
        <v>74.064124101921038</v>
      </c>
      <c r="N157" s="78">
        <v>7372.7312888924271</v>
      </c>
      <c r="O157" s="113">
        <v>86518.041729449207</v>
      </c>
      <c r="P157" s="111">
        <v>101926.64550971655</v>
      </c>
      <c r="Q157" s="254">
        <v>42816.804842988895</v>
      </c>
      <c r="R157" s="263">
        <v>129334.84657243811</v>
      </c>
      <c r="S157" s="259">
        <v>144743.45035270543</v>
      </c>
      <c r="U157" s="7" t="s">
        <v>4382</v>
      </c>
    </row>
    <row r="158" spans="1:21" ht="16.5" thickBot="1">
      <c r="A158" s="41" t="s">
        <v>31</v>
      </c>
      <c r="B158" s="42">
        <f t="shared" si="6"/>
        <v>500</v>
      </c>
      <c r="C158" s="42" t="s">
        <v>3</v>
      </c>
      <c r="D158" s="42">
        <f t="shared" si="7"/>
        <v>360</v>
      </c>
      <c r="E158" s="42" t="s">
        <v>3</v>
      </c>
      <c r="F158" s="90">
        <f t="shared" si="8"/>
        <v>2950</v>
      </c>
      <c r="G158" s="42" t="s">
        <v>3</v>
      </c>
      <c r="H158" s="39">
        <v>8</v>
      </c>
      <c r="I158" s="40" t="s">
        <v>42</v>
      </c>
      <c r="J158" s="149">
        <v>500</v>
      </c>
      <c r="K158" s="66">
        <v>360</v>
      </c>
      <c r="L158" s="66">
        <v>2950</v>
      </c>
      <c r="M158" s="164">
        <v>75.248832496283143</v>
      </c>
      <c r="N158" s="78">
        <v>7517.2946474981618</v>
      </c>
      <c r="O158" s="113">
        <v>87861.6883064008</v>
      </c>
      <c r="P158" s="111">
        <v>103516.60688095581</v>
      </c>
      <c r="Q158" s="254">
        <v>43420.22572722708</v>
      </c>
      <c r="R158" s="263">
        <v>131281.91403362789</v>
      </c>
      <c r="S158" s="259">
        <v>146936.83260818289</v>
      </c>
      <c r="U158" s="7" t="s">
        <v>4383</v>
      </c>
    </row>
    <row r="159" spans="1:21" ht="16.5" thickBot="1">
      <c r="A159" s="41" t="s">
        <v>31</v>
      </c>
      <c r="B159" s="42">
        <f t="shared" si="6"/>
        <v>500</v>
      </c>
      <c r="C159" s="42" t="s">
        <v>3</v>
      </c>
      <c r="D159" s="42">
        <f t="shared" si="7"/>
        <v>360</v>
      </c>
      <c r="E159" s="42" t="s">
        <v>3</v>
      </c>
      <c r="F159" s="90">
        <f t="shared" si="8"/>
        <v>3000</v>
      </c>
      <c r="G159" s="42" t="s">
        <v>3</v>
      </c>
      <c r="H159" s="39">
        <v>8</v>
      </c>
      <c r="I159" s="40" t="s">
        <v>42</v>
      </c>
      <c r="J159" s="151">
        <v>500</v>
      </c>
      <c r="K159" s="126">
        <v>360</v>
      </c>
      <c r="L159" s="126">
        <v>3000</v>
      </c>
      <c r="M159" s="171">
        <v>76.450580890645256</v>
      </c>
      <c r="N159" s="127">
        <v>7661.8580061038938</v>
      </c>
      <c r="O159" s="128">
        <v>90486.256499766881</v>
      </c>
      <c r="P159" s="135">
        <v>105106.56825219505</v>
      </c>
      <c r="Q159" s="255">
        <v>44274.980749249036</v>
      </c>
      <c r="R159" s="264">
        <v>134761.23724901592</v>
      </c>
      <c r="S159" s="261">
        <v>149381.54900144407</v>
      </c>
      <c r="U159" s="7" t="s">
        <v>4384</v>
      </c>
    </row>
    <row r="160" spans="1:21">
      <c r="M160" s="85"/>
      <c r="P160" s="84"/>
      <c r="S160" s="84"/>
    </row>
    <row r="161" spans="13:19">
      <c r="M161" s="85"/>
      <c r="P161" s="84"/>
      <c r="S161" s="84"/>
    </row>
    <row r="162" spans="13:19">
      <c r="M162" s="85"/>
      <c r="P162" s="84"/>
      <c r="S162" s="84"/>
    </row>
    <row r="163" spans="13:19">
      <c r="M163" s="85"/>
      <c r="P163" s="84"/>
      <c r="S163" s="84"/>
    </row>
    <row r="164" spans="13:19">
      <c r="M164" s="85"/>
      <c r="P164" s="84"/>
      <c r="S164" s="84"/>
    </row>
    <row r="165" spans="13:19">
      <c r="M165" s="85"/>
      <c r="P165" s="84"/>
      <c r="S165" s="84"/>
    </row>
    <row r="166" spans="13:19">
      <c r="M166" s="85"/>
      <c r="P166" s="84"/>
      <c r="S166" s="84"/>
    </row>
    <row r="167" spans="13:19">
      <c r="M167" s="85"/>
      <c r="P167" s="84"/>
      <c r="S167" s="84"/>
    </row>
    <row r="168" spans="13:19">
      <c r="M168" s="85"/>
      <c r="P168" s="84"/>
      <c r="S168" s="84"/>
    </row>
    <row r="169" spans="13:19">
      <c r="M169" s="85"/>
      <c r="P169" s="84"/>
      <c r="S169" s="84"/>
    </row>
    <row r="170" spans="13:19">
      <c r="M170" s="85"/>
      <c r="P170" s="84"/>
      <c r="S170" s="84"/>
    </row>
    <row r="171" spans="13:19">
      <c r="M171" s="85"/>
      <c r="P171" s="84"/>
      <c r="S171" s="84"/>
    </row>
    <row r="172" spans="13:19">
      <c r="M172" s="85"/>
      <c r="P172" s="84"/>
      <c r="S172" s="84"/>
    </row>
    <row r="173" spans="13:19">
      <c r="M173" s="85"/>
      <c r="P173" s="84"/>
      <c r="S173" s="84"/>
    </row>
    <row r="174" spans="13:19">
      <c r="M174" s="85"/>
      <c r="P174" s="84"/>
      <c r="S174" s="84"/>
    </row>
    <row r="175" spans="13:19">
      <c r="M175" s="85"/>
      <c r="P175" s="84"/>
      <c r="S175" s="84"/>
    </row>
    <row r="176" spans="13:19">
      <c r="M176" s="85"/>
      <c r="P176" s="84"/>
      <c r="S176" s="84"/>
    </row>
    <row r="177" spans="13:19">
      <c r="M177" s="85"/>
      <c r="P177" s="84"/>
      <c r="S177" s="84"/>
    </row>
    <row r="178" spans="13:19">
      <c r="M178" s="85"/>
      <c r="P178" s="84"/>
      <c r="S178" s="84"/>
    </row>
    <row r="179" spans="13:19">
      <c r="M179" s="85"/>
      <c r="P179" s="84"/>
      <c r="S179" s="84"/>
    </row>
    <row r="180" spans="13:19">
      <c r="M180" s="85"/>
      <c r="P180" s="84"/>
      <c r="S180" s="84"/>
    </row>
    <row r="181" spans="13:19">
      <c r="M181" s="85"/>
      <c r="P181" s="84"/>
      <c r="S181" s="84"/>
    </row>
    <row r="182" spans="13:19">
      <c r="M182" s="85"/>
      <c r="P182" s="84"/>
      <c r="S182" s="84"/>
    </row>
    <row r="183" spans="13:19">
      <c r="M183" s="85"/>
      <c r="P183" s="84"/>
      <c r="S183" s="84"/>
    </row>
    <row r="184" spans="13:19">
      <c r="M184" s="85"/>
      <c r="P184" s="84"/>
      <c r="S184" s="84"/>
    </row>
    <row r="185" spans="13:19">
      <c r="M185" s="85"/>
      <c r="P185" s="84"/>
      <c r="S185" s="84"/>
    </row>
    <row r="186" spans="13:19">
      <c r="M186" s="85"/>
      <c r="P186" s="84"/>
      <c r="S186" s="84"/>
    </row>
    <row r="187" spans="13:19">
      <c r="M187" s="85"/>
      <c r="P187" s="84"/>
      <c r="S187" s="84"/>
    </row>
    <row r="188" spans="13:19">
      <c r="M188" s="85"/>
      <c r="P188" s="84"/>
      <c r="S188" s="84"/>
    </row>
    <row r="189" spans="13:19">
      <c r="M189" s="85"/>
      <c r="P189" s="84"/>
      <c r="S189" s="84"/>
    </row>
    <row r="190" spans="13:19">
      <c r="M190" s="85"/>
      <c r="P190" s="84"/>
      <c r="S190" s="84"/>
    </row>
    <row r="191" spans="13:19">
      <c r="M191" s="85"/>
      <c r="P191" s="84"/>
      <c r="S191" s="84"/>
    </row>
    <row r="192" spans="13:19">
      <c r="M192" s="85"/>
      <c r="P192" s="84"/>
      <c r="S192" s="84"/>
    </row>
    <row r="193" spans="13:19">
      <c r="M193" s="85"/>
      <c r="P193" s="84"/>
      <c r="S193" s="84"/>
    </row>
    <row r="194" spans="13:19">
      <c r="M194" s="85"/>
      <c r="P194" s="84"/>
      <c r="S194" s="84"/>
    </row>
    <row r="195" spans="13:19">
      <c r="M195" s="85"/>
      <c r="P195" s="84"/>
      <c r="S195" s="84"/>
    </row>
    <row r="196" spans="13:19">
      <c r="M196" s="85"/>
      <c r="P196" s="84"/>
      <c r="S196" s="84"/>
    </row>
    <row r="197" spans="13:19">
      <c r="M197" s="85"/>
      <c r="P197" s="84"/>
      <c r="S197" s="84"/>
    </row>
    <row r="198" spans="13:19">
      <c r="M198" s="85"/>
      <c r="P198" s="84"/>
      <c r="S198" s="84"/>
    </row>
    <row r="199" spans="13:19">
      <c r="M199" s="85"/>
      <c r="P199" s="84"/>
      <c r="S199" s="84"/>
    </row>
    <row r="200" spans="13:19">
      <c r="M200" s="85"/>
      <c r="P200" s="84"/>
      <c r="S200" s="84"/>
    </row>
    <row r="201" spans="13:19">
      <c r="M201" s="85"/>
      <c r="P201" s="84"/>
      <c r="S201" s="84"/>
    </row>
    <row r="202" spans="13:19">
      <c r="M202" s="85"/>
      <c r="P202" s="84"/>
      <c r="S202" s="84"/>
    </row>
    <row r="203" spans="13:19">
      <c r="M203" s="85"/>
      <c r="P203" s="84"/>
      <c r="S203" s="84"/>
    </row>
    <row r="204" spans="13:19">
      <c r="M204" s="85"/>
      <c r="P204" s="84"/>
      <c r="S204" s="84"/>
    </row>
    <row r="205" spans="13:19">
      <c r="M205" s="85"/>
      <c r="P205" s="84"/>
      <c r="S205" s="84"/>
    </row>
    <row r="206" spans="13:19">
      <c r="M206" s="85"/>
      <c r="P206" s="84"/>
      <c r="S206" s="84"/>
    </row>
    <row r="207" spans="13:19">
      <c r="M207" s="85"/>
      <c r="P207" s="84"/>
      <c r="S207" s="84"/>
    </row>
    <row r="208" spans="13:19">
      <c r="M208" s="85"/>
      <c r="P208" s="84"/>
      <c r="S208" s="84"/>
    </row>
    <row r="209" spans="13:19">
      <c r="M209" s="85"/>
      <c r="P209" s="84"/>
      <c r="S209" s="84"/>
    </row>
    <row r="210" spans="13:19">
      <c r="M210" s="85"/>
      <c r="P210" s="84"/>
      <c r="S210" s="84"/>
    </row>
    <row r="211" spans="13:19">
      <c r="M211" s="85"/>
      <c r="P211" s="84"/>
      <c r="S211" s="84"/>
    </row>
    <row r="212" spans="13:19">
      <c r="M212" s="85"/>
      <c r="P212" s="84"/>
      <c r="S212" s="84"/>
    </row>
    <row r="213" spans="13:19">
      <c r="M213" s="85"/>
      <c r="P213" s="84"/>
      <c r="S213" s="84"/>
    </row>
    <row r="214" spans="13:19">
      <c r="M214" s="85"/>
      <c r="P214" s="84"/>
      <c r="S214" s="84"/>
    </row>
    <row r="215" spans="13:19">
      <c r="M215" s="85"/>
      <c r="P215" s="84"/>
      <c r="S215" s="84"/>
    </row>
    <row r="216" spans="13:19">
      <c r="M216" s="85"/>
      <c r="P216" s="84"/>
      <c r="S216" s="84"/>
    </row>
    <row r="217" spans="13:19">
      <c r="M217" s="85"/>
      <c r="P217" s="84"/>
      <c r="S217" s="84"/>
    </row>
    <row r="218" spans="13:19">
      <c r="M218" s="85"/>
      <c r="P218" s="84"/>
      <c r="S218" s="84"/>
    </row>
    <row r="219" spans="13:19">
      <c r="M219" s="85"/>
      <c r="P219" s="84"/>
      <c r="S219" s="84"/>
    </row>
    <row r="220" spans="13:19">
      <c r="M220" s="85"/>
      <c r="P220" s="84"/>
      <c r="S220" s="84"/>
    </row>
    <row r="221" spans="13:19">
      <c r="M221" s="85"/>
      <c r="P221" s="84"/>
      <c r="S221" s="84"/>
    </row>
    <row r="222" spans="13:19">
      <c r="M222" s="85"/>
      <c r="P222" s="84"/>
      <c r="S222" s="84"/>
    </row>
    <row r="223" spans="13:19">
      <c r="M223" s="85"/>
      <c r="P223" s="84"/>
      <c r="S223" s="84"/>
    </row>
    <row r="224" spans="13:19">
      <c r="M224" s="85"/>
      <c r="P224" s="84"/>
      <c r="S224" s="84"/>
    </row>
    <row r="225" spans="13:19">
      <c r="M225" s="85"/>
      <c r="P225" s="84"/>
      <c r="S225" s="84"/>
    </row>
    <row r="226" spans="13:19">
      <c r="M226" s="85"/>
      <c r="P226" s="84"/>
      <c r="S226" s="84"/>
    </row>
    <row r="227" spans="13:19">
      <c r="M227" s="85"/>
      <c r="P227" s="84"/>
      <c r="S227" s="84"/>
    </row>
    <row r="228" spans="13:19">
      <c r="M228" s="85"/>
      <c r="P228" s="84"/>
      <c r="S228" s="84"/>
    </row>
    <row r="229" spans="13:19">
      <c r="M229" s="85"/>
      <c r="P229" s="84"/>
      <c r="S229" s="84"/>
    </row>
    <row r="230" spans="13:19">
      <c r="M230" s="85"/>
      <c r="P230" s="84"/>
      <c r="S230" s="84"/>
    </row>
    <row r="231" spans="13:19">
      <c r="M231" s="85"/>
      <c r="P231" s="84"/>
      <c r="S231" s="84"/>
    </row>
    <row r="232" spans="13:19">
      <c r="M232" s="85"/>
      <c r="P232" s="84"/>
      <c r="S232" s="84"/>
    </row>
    <row r="233" spans="13:19">
      <c r="M233" s="85"/>
      <c r="P233" s="84"/>
      <c r="S233" s="84"/>
    </row>
    <row r="234" spans="13:19">
      <c r="M234" s="85"/>
      <c r="P234" s="84"/>
      <c r="S234" s="84"/>
    </row>
    <row r="235" spans="13:19">
      <c r="M235" s="85"/>
      <c r="P235" s="84"/>
      <c r="S235" s="84"/>
    </row>
    <row r="236" spans="13:19">
      <c r="M236" s="85"/>
      <c r="P236" s="84"/>
      <c r="S236" s="84"/>
    </row>
    <row r="237" spans="13:19">
      <c r="M237" s="85"/>
      <c r="P237" s="84"/>
      <c r="S237" s="84"/>
    </row>
    <row r="238" spans="13:19">
      <c r="M238" s="85"/>
      <c r="P238" s="84"/>
      <c r="S238" s="84"/>
    </row>
    <row r="239" spans="13:19">
      <c r="M239" s="85"/>
      <c r="P239" s="84"/>
      <c r="S239" s="84"/>
    </row>
    <row r="240" spans="13:19">
      <c r="M240" s="85"/>
      <c r="P240" s="84"/>
      <c r="S240" s="84"/>
    </row>
    <row r="241" spans="13:19">
      <c r="M241" s="85"/>
      <c r="P241" s="84"/>
      <c r="S241" s="84"/>
    </row>
    <row r="242" spans="13:19">
      <c r="M242" s="85"/>
      <c r="P242" s="84"/>
      <c r="S242" s="84"/>
    </row>
    <row r="243" spans="13:19">
      <c r="M243" s="85"/>
      <c r="P243" s="84"/>
      <c r="S243" s="84"/>
    </row>
    <row r="244" spans="13:19">
      <c r="M244" s="85"/>
      <c r="P244" s="84"/>
      <c r="S244" s="84"/>
    </row>
    <row r="245" spans="13:19">
      <c r="M245" s="85"/>
      <c r="P245" s="84"/>
      <c r="S245" s="84"/>
    </row>
    <row r="246" spans="13:19">
      <c r="M246" s="85"/>
      <c r="P246" s="84"/>
      <c r="S246" s="84"/>
    </row>
    <row r="247" spans="13:19">
      <c r="M247" s="85"/>
      <c r="P247" s="84"/>
      <c r="S247" s="84"/>
    </row>
    <row r="248" spans="13:19">
      <c r="M248" s="85"/>
      <c r="P248" s="84"/>
      <c r="S248" s="84"/>
    </row>
    <row r="249" spans="13:19">
      <c r="M249" s="85"/>
      <c r="P249" s="84"/>
      <c r="S249" s="84"/>
    </row>
    <row r="250" spans="13:19">
      <c r="M250" s="85"/>
      <c r="P250" s="84"/>
      <c r="S250" s="84"/>
    </row>
    <row r="251" spans="13:19">
      <c r="M251" s="85"/>
      <c r="P251" s="84"/>
      <c r="S251" s="84"/>
    </row>
    <row r="252" spans="13:19">
      <c r="M252" s="85"/>
      <c r="P252" s="84"/>
      <c r="S252" s="84"/>
    </row>
    <row r="253" spans="13:19">
      <c r="M253" s="85"/>
      <c r="P253" s="84"/>
      <c r="S253" s="84"/>
    </row>
    <row r="254" spans="13:19">
      <c r="M254" s="85"/>
      <c r="P254" s="84"/>
      <c r="S254" s="84"/>
    </row>
    <row r="255" spans="13:19">
      <c r="M255" s="85"/>
      <c r="P255" s="84"/>
      <c r="S255" s="84"/>
    </row>
    <row r="256" spans="13:19">
      <c r="M256" s="85"/>
      <c r="P256" s="84"/>
      <c r="S256" s="84"/>
    </row>
    <row r="257" spans="13:19">
      <c r="M257" s="85"/>
      <c r="P257" s="84"/>
      <c r="S257" s="84"/>
    </row>
    <row r="258" spans="13:19">
      <c r="M258" s="85"/>
      <c r="P258" s="84"/>
      <c r="S258" s="84"/>
    </row>
    <row r="259" spans="13:19">
      <c r="M259" s="85"/>
      <c r="P259" s="84"/>
      <c r="S259" s="84"/>
    </row>
    <row r="260" spans="13:19">
      <c r="M260" s="85"/>
      <c r="P260" s="84"/>
      <c r="S260" s="84"/>
    </row>
    <row r="261" spans="13:19">
      <c r="M261" s="85"/>
      <c r="P261" s="84"/>
      <c r="S261" s="84"/>
    </row>
    <row r="262" spans="13:19">
      <c r="M262" s="85"/>
      <c r="P262" s="84"/>
      <c r="S262" s="84"/>
    </row>
    <row r="263" spans="13:19">
      <c r="M263" s="85"/>
      <c r="P263" s="84"/>
      <c r="S263" s="84"/>
    </row>
    <row r="264" spans="13:19">
      <c r="M264" s="85"/>
      <c r="P264" s="84"/>
      <c r="S264" s="84"/>
    </row>
    <row r="265" spans="13:19">
      <c r="M265" s="85"/>
      <c r="P265" s="84"/>
      <c r="S265" s="84"/>
    </row>
    <row r="266" spans="13:19">
      <c r="M266" s="85"/>
      <c r="P266" s="84"/>
      <c r="S266" s="84"/>
    </row>
    <row r="267" spans="13:19">
      <c r="M267" s="85"/>
      <c r="P267" s="84"/>
      <c r="S267" s="84"/>
    </row>
    <row r="268" spans="13:19">
      <c r="M268" s="85"/>
      <c r="P268" s="84"/>
      <c r="S268" s="84"/>
    </row>
    <row r="269" spans="13:19">
      <c r="M269" s="85"/>
      <c r="P269" s="84"/>
      <c r="S269" s="84"/>
    </row>
    <row r="270" spans="13:19">
      <c r="M270" s="85"/>
      <c r="P270" s="84"/>
      <c r="S270" s="84"/>
    </row>
    <row r="271" spans="13:19">
      <c r="M271" s="85"/>
      <c r="P271" s="84"/>
      <c r="S271" s="84"/>
    </row>
    <row r="272" spans="13:19">
      <c r="M272" s="85"/>
      <c r="P272" s="84"/>
      <c r="S272" s="84"/>
    </row>
    <row r="273" spans="13:19">
      <c r="M273" s="85"/>
      <c r="P273" s="84"/>
      <c r="S273" s="84"/>
    </row>
    <row r="274" spans="13:19">
      <c r="M274" s="85"/>
      <c r="P274" s="84"/>
      <c r="S274" s="84"/>
    </row>
    <row r="275" spans="13:19">
      <c r="M275" s="85"/>
      <c r="P275" s="84"/>
      <c r="S275" s="84"/>
    </row>
    <row r="276" spans="13:19">
      <c r="M276" s="85"/>
      <c r="P276" s="84"/>
      <c r="S276" s="84"/>
    </row>
    <row r="277" spans="13:19">
      <c r="M277" s="85"/>
      <c r="P277" s="84"/>
      <c r="S277" s="84"/>
    </row>
    <row r="278" spans="13:19">
      <c r="M278" s="85"/>
      <c r="P278" s="84"/>
      <c r="S278" s="84"/>
    </row>
    <row r="279" spans="13:19">
      <c r="M279" s="85"/>
      <c r="P279" s="84"/>
      <c r="S279" s="84"/>
    </row>
    <row r="280" spans="13:19">
      <c r="M280" s="85"/>
      <c r="P280" s="84"/>
      <c r="S280" s="84"/>
    </row>
    <row r="281" spans="13:19">
      <c r="M281" s="85"/>
      <c r="P281" s="84"/>
      <c r="S281" s="84"/>
    </row>
    <row r="282" spans="13:19">
      <c r="M282" s="85"/>
      <c r="P282" s="84"/>
      <c r="S282" s="84"/>
    </row>
    <row r="283" spans="13:19">
      <c r="M283" s="85"/>
      <c r="P283" s="84"/>
      <c r="S283" s="84"/>
    </row>
    <row r="284" spans="13:19">
      <c r="M284" s="85"/>
      <c r="P284" s="84"/>
      <c r="S284" s="84"/>
    </row>
    <row r="285" spans="13:19">
      <c r="M285" s="85"/>
      <c r="P285" s="84"/>
      <c r="S285" s="84"/>
    </row>
    <row r="286" spans="13:19">
      <c r="M286" s="85"/>
      <c r="P286" s="84"/>
      <c r="S286" s="84"/>
    </row>
    <row r="287" spans="13:19">
      <c r="M287" s="85"/>
      <c r="P287" s="84"/>
      <c r="S287" s="84"/>
    </row>
    <row r="288" spans="13:19">
      <c r="M288" s="85"/>
      <c r="P288" s="84"/>
      <c r="S288" s="84"/>
    </row>
    <row r="289" spans="13:19">
      <c r="M289" s="85"/>
      <c r="P289" s="84"/>
      <c r="S289" s="84"/>
    </row>
    <row r="290" spans="13:19">
      <c r="M290" s="85"/>
      <c r="P290" s="84"/>
      <c r="S290" s="84"/>
    </row>
    <row r="291" spans="13:19">
      <c r="M291" s="85"/>
      <c r="P291" s="84"/>
      <c r="S291" s="84"/>
    </row>
    <row r="292" spans="13:19">
      <c r="M292" s="85"/>
      <c r="P292" s="84"/>
      <c r="S292" s="84"/>
    </row>
    <row r="293" spans="13:19">
      <c r="M293" s="85"/>
      <c r="P293" s="84"/>
      <c r="S293" s="84"/>
    </row>
    <row r="294" spans="13:19">
      <c r="M294" s="85"/>
      <c r="P294" s="84"/>
      <c r="S294" s="84"/>
    </row>
    <row r="295" spans="13:19">
      <c r="M295" s="85"/>
      <c r="P295" s="84"/>
      <c r="S295" s="84"/>
    </row>
    <row r="296" spans="13:19">
      <c r="M296" s="85"/>
      <c r="P296" s="84"/>
      <c r="S296" s="84"/>
    </row>
    <row r="297" spans="13:19">
      <c r="M297" s="85"/>
      <c r="P297" s="84"/>
      <c r="S297" s="84"/>
    </row>
    <row r="298" spans="13:19">
      <c r="M298" s="85"/>
      <c r="P298" s="84"/>
      <c r="S298" s="84"/>
    </row>
    <row r="299" spans="13:19">
      <c r="M299" s="85"/>
      <c r="P299" s="84"/>
      <c r="S299" s="84"/>
    </row>
    <row r="300" spans="13:19">
      <c r="M300" s="85"/>
      <c r="P300" s="84"/>
      <c r="S300" s="84"/>
    </row>
    <row r="301" spans="13:19">
      <c r="M301" s="85"/>
      <c r="P301" s="84"/>
      <c r="S301" s="84"/>
    </row>
    <row r="302" spans="13:19">
      <c r="M302" s="85"/>
      <c r="P302" s="84"/>
      <c r="S302" s="84"/>
    </row>
    <row r="303" spans="13:19">
      <c r="M303" s="85"/>
      <c r="P303" s="84"/>
      <c r="S303" s="84"/>
    </row>
    <row r="304" spans="13:19">
      <c r="M304" s="85"/>
      <c r="P304" s="84"/>
      <c r="S304" s="84"/>
    </row>
    <row r="305" spans="13:19">
      <c r="M305" s="85"/>
      <c r="P305" s="84"/>
      <c r="S305" s="84"/>
    </row>
    <row r="306" spans="13:19">
      <c r="M306" s="85"/>
      <c r="P306" s="84"/>
      <c r="S306" s="84"/>
    </row>
    <row r="307" spans="13:19">
      <c r="M307" s="85"/>
      <c r="P307" s="84"/>
      <c r="S307" s="84"/>
    </row>
    <row r="308" spans="13:19">
      <c r="M308" s="85"/>
      <c r="P308" s="84"/>
      <c r="S308" s="84"/>
    </row>
    <row r="309" spans="13:19">
      <c r="M309" s="85"/>
      <c r="P309" s="84"/>
      <c r="S309" s="84"/>
    </row>
    <row r="310" spans="13:19">
      <c r="M310" s="85"/>
      <c r="P310" s="84"/>
      <c r="S310" s="84"/>
    </row>
    <row r="311" spans="13:19">
      <c r="M311" s="85"/>
      <c r="P311" s="84"/>
      <c r="S311" s="84"/>
    </row>
    <row r="312" spans="13:19">
      <c r="M312" s="85"/>
      <c r="P312" s="84"/>
      <c r="S312" s="84"/>
    </row>
    <row r="313" spans="13:19">
      <c r="M313" s="85"/>
      <c r="P313" s="84"/>
      <c r="S313" s="84"/>
    </row>
    <row r="314" spans="13:19">
      <c r="M314" s="85"/>
      <c r="P314" s="84"/>
      <c r="S314" s="84"/>
    </row>
    <row r="315" spans="13:19">
      <c r="M315" s="85"/>
      <c r="P315" s="84"/>
      <c r="S315" s="84"/>
    </row>
    <row r="316" spans="13:19">
      <c r="M316" s="85"/>
      <c r="P316" s="84"/>
      <c r="S316" s="84"/>
    </row>
    <row r="317" spans="13:19">
      <c r="M317" s="85"/>
      <c r="P317" s="84"/>
      <c r="S317" s="84"/>
    </row>
    <row r="318" spans="13:19">
      <c r="M318" s="85"/>
      <c r="P318" s="84"/>
      <c r="S318" s="84"/>
    </row>
    <row r="319" spans="13:19">
      <c r="M319" s="85"/>
      <c r="P319" s="84"/>
      <c r="S319" s="84"/>
    </row>
    <row r="320" spans="13:19">
      <c r="M320" s="85"/>
      <c r="P320" s="84"/>
      <c r="S320" s="84"/>
    </row>
    <row r="321" spans="13:19">
      <c r="M321" s="85"/>
      <c r="P321" s="84"/>
      <c r="S321" s="84"/>
    </row>
    <row r="322" spans="13:19">
      <c r="M322" s="85"/>
      <c r="P322" s="84"/>
      <c r="S322" s="84"/>
    </row>
    <row r="323" spans="13:19">
      <c r="M323" s="85"/>
      <c r="P323" s="84"/>
      <c r="S323" s="84"/>
    </row>
    <row r="324" spans="13:19">
      <c r="M324" s="85"/>
      <c r="P324" s="84"/>
      <c r="S324" s="84"/>
    </row>
    <row r="325" spans="13:19">
      <c r="M325" s="85"/>
      <c r="P325" s="84"/>
      <c r="S325" s="84"/>
    </row>
    <row r="326" spans="13:19">
      <c r="M326" s="85"/>
      <c r="P326" s="84"/>
      <c r="S326" s="84"/>
    </row>
    <row r="327" spans="13:19">
      <c r="M327" s="85"/>
      <c r="P327" s="84"/>
      <c r="S327" s="84"/>
    </row>
    <row r="328" spans="13:19">
      <c r="M328" s="85"/>
      <c r="P328" s="84"/>
      <c r="S328" s="84"/>
    </row>
    <row r="329" spans="13:19">
      <c r="M329" s="85"/>
      <c r="P329" s="84"/>
      <c r="S329" s="84"/>
    </row>
    <row r="330" spans="13:19">
      <c r="M330" s="85"/>
      <c r="P330" s="84"/>
      <c r="S330" s="84"/>
    </row>
    <row r="331" spans="13:19">
      <c r="M331" s="85"/>
      <c r="P331" s="84"/>
      <c r="S331" s="84"/>
    </row>
    <row r="332" spans="13:19">
      <c r="M332" s="85"/>
      <c r="P332" s="84"/>
      <c r="S332" s="84"/>
    </row>
    <row r="333" spans="13:19">
      <c r="M333" s="85"/>
      <c r="P333" s="84"/>
      <c r="S333" s="84"/>
    </row>
    <row r="334" spans="13:19">
      <c r="M334" s="85"/>
      <c r="P334" s="84"/>
      <c r="S334" s="84"/>
    </row>
    <row r="335" spans="13:19">
      <c r="M335" s="85"/>
      <c r="P335" s="84"/>
      <c r="S335" s="84"/>
    </row>
    <row r="336" spans="13:19">
      <c r="M336" s="85"/>
      <c r="P336" s="84"/>
      <c r="S336" s="84"/>
    </row>
    <row r="337" spans="13:19">
      <c r="M337" s="85"/>
      <c r="P337" s="84"/>
      <c r="S337" s="84"/>
    </row>
    <row r="338" spans="13:19">
      <c r="M338" s="85"/>
      <c r="P338" s="84"/>
      <c r="S338" s="84"/>
    </row>
    <row r="339" spans="13:19">
      <c r="M339" s="85"/>
      <c r="P339" s="84"/>
      <c r="S339" s="84"/>
    </row>
    <row r="340" spans="13:19">
      <c r="M340" s="85"/>
      <c r="P340" s="84"/>
      <c r="S340" s="84"/>
    </row>
    <row r="341" spans="13:19">
      <c r="M341" s="85"/>
      <c r="P341" s="84"/>
      <c r="S341" s="84"/>
    </row>
    <row r="342" spans="13:19">
      <c r="M342" s="85"/>
      <c r="P342" s="84"/>
      <c r="S342" s="84"/>
    </row>
    <row r="343" spans="13:19">
      <c r="M343" s="85"/>
      <c r="P343" s="84"/>
      <c r="S343" s="84"/>
    </row>
    <row r="344" spans="13:19">
      <c r="M344" s="85"/>
      <c r="P344" s="84"/>
      <c r="S344" s="84"/>
    </row>
    <row r="345" spans="13:19">
      <c r="M345" s="85"/>
      <c r="P345" s="84"/>
      <c r="S345" s="84"/>
    </row>
    <row r="346" spans="13:19">
      <c r="M346" s="85"/>
      <c r="P346" s="84"/>
      <c r="S346" s="84"/>
    </row>
    <row r="347" spans="13:19">
      <c r="M347" s="85"/>
      <c r="P347" s="84"/>
      <c r="S347" s="84"/>
    </row>
    <row r="348" spans="13:19">
      <c r="M348" s="85"/>
      <c r="P348" s="84"/>
      <c r="S348" s="84"/>
    </row>
    <row r="349" spans="13:19">
      <c r="M349" s="85"/>
      <c r="P349" s="84"/>
      <c r="S349" s="84"/>
    </row>
    <row r="350" spans="13:19">
      <c r="M350" s="85"/>
      <c r="P350" s="84"/>
      <c r="S350" s="84"/>
    </row>
    <row r="351" spans="13:19">
      <c r="M351" s="85"/>
      <c r="P351" s="84"/>
      <c r="S351" s="84"/>
    </row>
    <row r="352" spans="13:19">
      <c r="M352" s="85"/>
      <c r="P352" s="84"/>
      <c r="S352" s="84"/>
    </row>
    <row r="353" spans="13:19">
      <c r="M353" s="85"/>
      <c r="P353" s="84"/>
      <c r="S353" s="84"/>
    </row>
    <row r="354" spans="13:19">
      <c r="M354" s="85"/>
      <c r="P354" s="84"/>
      <c r="S354" s="84"/>
    </row>
    <row r="355" spans="13:19">
      <c r="M355" s="85"/>
      <c r="P355" s="84"/>
      <c r="S355" s="84"/>
    </row>
    <row r="356" spans="13:19">
      <c r="M356" s="85"/>
      <c r="P356" s="84"/>
      <c r="S356" s="84"/>
    </row>
    <row r="357" spans="13:19">
      <c r="M357" s="85"/>
      <c r="P357" s="84"/>
      <c r="S357" s="84"/>
    </row>
    <row r="358" spans="13:19">
      <c r="M358" s="85"/>
      <c r="P358" s="84"/>
      <c r="S358" s="84"/>
    </row>
    <row r="359" spans="13:19">
      <c r="M359" s="85"/>
      <c r="P359" s="84"/>
      <c r="S359" s="84"/>
    </row>
    <row r="360" spans="13:19">
      <c r="M360" s="85"/>
      <c r="P360" s="84"/>
      <c r="S360" s="84"/>
    </row>
    <row r="361" spans="13:19">
      <c r="M361" s="85"/>
      <c r="P361" s="84"/>
      <c r="S361" s="84"/>
    </row>
    <row r="362" spans="13:19">
      <c r="M362" s="85"/>
      <c r="P362" s="84"/>
      <c r="S362" s="84"/>
    </row>
    <row r="363" spans="13:19">
      <c r="M363" s="85"/>
      <c r="P363" s="84"/>
      <c r="S363" s="84"/>
    </row>
    <row r="364" spans="13:19">
      <c r="M364" s="85"/>
      <c r="P364" s="84"/>
      <c r="S364" s="84"/>
    </row>
    <row r="365" spans="13:19">
      <c r="P365" s="84"/>
      <c r="S365" s="84"/>
    </row>
    <row r="366" spans="13:19">
      <c r="P366" s="84"/>
      <c r="S366" s="84"/>
    </row>
    <row r="367" spans="13:19">
      <c r="P367" s="84"/>
      <c r="S367" s="84"/>
    </row>
    <row r="368" spans="13:19">
      <c r="P368" s="84"/>
      <c r="S368" s="84"/>
    </row>
    <row r="369" spans="16:19">
      <c r="P369" s="84"/>
      <c r="S369" s="84"/>
    </row>
    <row r="370" spans="16:19">
      <c r="P370" s="84"/>
      <c r="S370" s="84"/>
    </row>
    <row r="371" spans="16:19">
      <c r="P371" s="84"/>
      <c r="S371" s="84"/>
    </row>
    <row r="372" spans="16:19">
      <c r="P372" s="84"/>
      <c r="S372" s="84"/>
    </row>
    <row r="373" spans="16:19">
      <c r="P373" s="84"/>
      <c r="S373" s="84"/>
    </row>
    <row r="374" spans="16:19">
      <c r="P374" s="84"/>
      <c r="S374" s="84"/>
    </row>
    <row r="375" spans="16:19">
      <c r="P375" s="84"/>
      <c r="S375" s="84"/>
    </row>
    <row r="376" spans="16:19">
      <c r="P376" s="84"/>
      <c r="S376" s="84"/>
    </row>
    <row r="377" spans="16:19">
      <c r="P377" s="84"/>
      <c r="S377" s="84"/>
    </row>
    <row r="378" spans="16:19">
      <c r="P378" s="84"/>
      <c r="S378" s="84"/>
    </row>
    <row r="379" spans="16:19">
      <c r="P379" s="84"/>
      <c r="S379" s="84"/>
    </row>
    <row r="380" spans="16:19">
      <c r="P380" s="84"/>
      <c r="S380" s="84"/>
    </row>
    <row r="381" spans="16:19">
      <c r="P381" s="84"/>
      <c r="S381" s="84"/>
    </row>
    <row r="382" spans="16:19">
      <c r="P382" s="84"/>
      <c r="S382" s="84"/>
    </row>
    <row r="383" spans="16:19">
      <c r="P383" s="84"/>
      <c r="S383" s="84"/>
    </row>
    <row r="384" spans="16:19">
      <c r="P384" s="84"/>
      <c r="S384" s="84"/>
    </row>
    <row r="385" spans="16:19">
      <c r="P385" s="84"/>
      <c r="S385" s="84"/>
    </row>
    <row r="386" spans="16:19">
      <c r="P386" s="84"/>
      <c r="S386" s="84"/>
    </row>
    <row r="387" spans="16:19">
      <c r="P387" s="84"/>
      <c r="S387" s="84"/>
    </row>
    <row r="388" spans="16:19">
      <c r="P388" s="84"/>
      <c r="S388" s="84"/>
    </row>
    <row r="389" spans="16:19">
      <c r="P389" s="84"/>
      <c r="S389" s="84"/>
    </row>
    <row r="390" spans="16:19">
      <c r="P390" s="84"/>
      <c r="S390" s="84"/>
    </row>
    <row r="391" spans="16:19">
      <c r="P391" s="84"/>
      <c r="S391" s="84"/>
    </row>
    <row r="392" spans="16:19">
      <c r="P392" s="84"/>
      <c r="S392" s="84"/>
    </row>
    <row r="393" spans="16:19">
      <c r="P393" s="84"/>
      <c r="S393" s="84"/>
    </row>
    <row r="394" spans="16:19">
      <c r="P394" s="84"/>
      <c r="S394" s="84"/>
    </row>
    <row r="395" spans="16:19">
      <c r="P395" s="84"/>
      <c r="S395" s="84"/>
    </row>
    <row r="396" spans="16:19">
      <c r="P396" s="84"/>
      <c r="S396" s="84"/>
    </row>
    <row r="397" spans="16:19">
      <c r="P397" s="84"/>
      <c r="S397" s="84"/>
    </row>
    <row r="398" spans="16:19">
      <c r="P398" s="84"/>
      <c r="S398" s="84"/>
    </row>
    <row r="399" spans="16:19">
      <c r="P399" s="84"/>
      <c r="S399" s="84"/>
    </row>
    <row r="400" spans="16:19">
      <c r="P400" s="84"/>
      <c r="S400" s="84"/>
    </row>
    <row r="401" spans="16:19">
      <c r="P401" s="84"/>
      <c r="S401" s="84"/>
    </row>
    <row r="402" spans="16:19">
      <c r="P402" s="84"/>
      <c r="S402" s="84"/>
    </row>
    <row r="403" spans="16:19">
      <c r="P403" s="84"/>
      <c r="S403" s="84"/>
    </row>
    <row r="404" spans="16:19">
      <c r="P404" s="84"/>
      <c r="S404" s="84"/>
    </row>
    <row r="405" spans="16:19">
      <c r="P405" s="84"/>
      <c r="S405" s="84"/>
    </row>
    <row r="406" spans="16:19">
      <c r="P406" s="84"/>
      <c r="S406" s="84"/>
    </row>
    <row r="407" spans="16:19">
      <c r="P407" s="84"/>
      <c r="S407" s="84"/>
    </row>
    <row r="408" spans="16:19">
      <c r="P408" s="84"/>
      <c r="S408" s="84"/>
    </row>
    <row r="409" spans="16:19">
      <c r="P409" s="84"/>
      <c r="S409" s="84"/>
    </row>
    <row r="410" spans="16:19">
      <c r="P410" s="84"/>
      <c r="S410" s="84"/>
    </row>
    <row r="411" spans="16:19">
      <c r="P411" s="84"/>
      <c r="S411" s="84"/>
    </row>
    <row r="412" spans="16:19">
      <c r="P412" s="84"/>
      <c r="S412" s="84"/>
    </row>
    <row r="413" spans="16:19">
      <c r="P413" s="84"/>
      <c r="S413" s="84"/>
    </row>
    <row r="414" spans="16:19">
      <c r="P414" s="84"/>
      <c r="S414" s="84"/>
    </row>
    <row r="415" spans="16:19">
      <c r="P415" s="84"/>
      <c r="S415" s="84"/>
    </row>
    <row r="416" spans="16:19">
      <c r="P416" s="84"/>
      <c r="S416" s="84"/>
    </row>
    <row r="417" spans="16:19">
      <c r="P417" s="84"/>
      <c r="S417" s="84"/>
    </row>
    <row r="418" spans="16:19">
      <c r="P418" s="84"/>
      <c r="S418" s="84"/>
    </row>
    <row r="419" spans="16:19">
      <c r="P419" s="84"/>
      <c r="S419" s="84"/>
    </row>
    <row r="420" spans="16:19">
      <c r="P420" s="84"/>
      <c r="S420" s="84"/>
    </row>
    <row r="421" spans="16:19">
      <c r="P421" s="84"/>
      <c r="S421" s="84"/>
    </row>
    <row r="422" spans="16:19">
      <c r="P422" s="84"/>
      <c r="S422" s="84"/>
    </row>
    <row r="423" spans="16:19">
      <c r="P423" s="84"/>
      <c r="S423" s="84"/>
    </row>
    <row r="424" spans="16:19">
      <c r="P424" s="84"/>
      <c r="S424" s="84"/>
    </row>
    <row r="425" spans="16:19">
      <c r="P425" s="84"/>
      <c r="S425" s="84"/>
    </row>
    <row r="426" spans="16:19">
      <c r="P426" s="84"/>
      <c r="S426" s="84"/>
    </row>
    <row r="427" spans="16:19">
      <c r="P427" s="84"/>
      <c r="S427" s="84"/>
    </row>
    <row r="428" spans="16:19">
      <c r="P428" s="84"/>
      <c r="S428" s="84"/>
    </row>
    <row r="429" spans="16:19">
      <c r="P429" s="84"/>
      <c r="S429" s="84"/>
    </row>
    <row r="430" spans="16:19">
      <c r="P430" s="84"/>
      <c r="S430" s="84"/>
    </row>
    <row r="431" spans="16:19">
      <c r="P431" s="84"/>
      <c r="S431" s="84"/>
    </row>
    <row r="432" spans="16:19">
      <c r="P432" s="84"/>
      <c r="S432" s="84"/>
    </row>
    <row r="433" spans="16:19">
      <c r="P433" s="84"/>
      <c r="S433" s="84"/>
    </row>
    <row r="434" spans="16:19">
      <c r="P434" s="84"/>
      <c r="S434" s="84"/>
    </row>
    <row r="435" spans="16:19">
      <c r="P435" s="84"/>
      <c r="S435" s="84"/>
    </row>
    <row r="436" spans="16:19">
      <c r="P436" s="84"/>
      <c r="S436" s="84"/>
    </row>
    <row r="437" spans="16:19">
      <c r="P437" s="84"/>
      <c r="S437" s="84"/>
    </row>
    <row r="438" spans="16:19">
      <c r="P438" s="84"/>
      <c r="S438" s="84"/>
    </row>
    <row r="439" spans="16:19">
      <c r="P439" s="84"/>
      <c r="S439" s="84"/>
    </row>
    <row r="440" spans="16:19">
      <c r="P440" s="84"/>
      <c r="S440" s="84"/>
    </row>
    <row r="441" spans="16:19">
      <c r="P441" s="84"/>
      <c r="S441" s="84"/>
    </row>
    <row r="442" spans="16:19">
      <c r="P442" s="84"/>
      <c r="S442" s="84"/>
    </row>
    <row r="443" spans="16:19">
      <c r="P443" s="84"/>
      <c r="S443" s="84"/>
    </row>
    <row r="444" spans="16:19">
      <c r="P444" s="84"/>
      <c r="S444" s="84"/>
    </row>
    <row r="445" spans="16:19">
      <c r="P445" s="84"/>
      <c r="S445" s="84"/>
    </row>
    <row r="446" spans="16:19">
      <c r="P446" s="84"/>
      <c r="S446" s="84"/>
    </row>
    <row r="447" spans="16:19">
      <c r="P447" s="84"/>
      <c r="S447" s="84"/>
    </row>
    <row r="448" spans="16:19">
      <c r="P448" s="84"/>
      <c r="S448" s="84"/>
    </row>
    <row r="449" spans="16:19">
      <c r="P449" s="84"/>
      <c r="S449" s="84"/>
    </row>
    <row r="450" spans="16:19">
      <c r="P450" s="84"/>
      <c r="S450" s="84"/>
    </row>
    <row r="451" spans="16:19">
      <c r="P451" s="84"/>
      <c r="S451" s="84"/>
    </row>
    <row r="452" spans="16:19">
      <c r="P452" s="84"/>
      <c r="S452" s="84"/>
    </row>
    <row r="453" spans="16:19">
      <c r="P453" s="84"/>
      <c r="S453" s="84"/>
    </row>
    <row r="454" spans="16:19">
      <c r="P454" s="84"/>
      <c r="S454" s="84"/>
    </row>
    <row r="455" spans="16:19">
      <c r="P455" s="84"/>
      <c r="S455" s="84"/>
    </row>
    <row r="456" spans="16:19">
      <c r="P456" s="84"/>
      <c r="S456" s="84"/>
    </row>
    <row r="457" spans="16:19">
      <c r="P457" s="84"/>
      <c r="S457" s="84"/>
    </row>
    <row r="458" spans="16:19">
      <c r="P458" s="84"/>
      <c r="S458" s="84"/>
    </row>
    <row r="459" spans="16:19">
      <c r="P459" s="84"/>
      <c r="S459" s="84"/>
    </row>
    <row r="460" spans="16:19">
      <c r="P460" s="84"/>
      <c r="S460" s="84"/>
    </row>
    <row r="461" spans="16:19">
      <c r="P461" s="84"/>
      <c r="S461" s="84"/>
    </row>
    <row r="462" spans="16:19">
      <c r="P462" s="84"/>
      <c r="S462" s="84"/>
    </row>
    <row r="463" spans="16:19">
      <c r="P463" s="84"/>
      <c r="S463" s="84"/>
    </row>
    <row r="464" spans="16:19">
      <c r="P464" s="84"/>
      <c r="S464" s="84"/>
    </row>
    <row r="465" spans="16:19">
      <c r="P465" s="84"/>
      <c r="S465" s="84"/>
    </row>
    <row r="466" spans="16:19">
      <c r="P466" s="84"/>
      <c r="S466" s="84"/>
    </row>
  </sheetData>
  <mergeCells count="15">
    <mergeCell ref="A109:S109"/>
    <mergeCell ref="A110:S110"/>
    <mergeCell ref="A7:S7"/>
    <mergeCell ref="A59:S59"/>
    <mergeCell ref="Q4:Q5"/>
    <mergeCell ref="R4:R5"/>
    <mergeCell ref="S4:S5"/>
    <mergeCell ref="O6:S6"/>
    <mergeCell ref="A58:S58"/>
    <mergeCell ref="A4:I6"/>
    <mergeCell ref="J4:M5"/>
    <mergeCell ref="N4:N6"/>
    <mergeCell ref="O4:O5"/>
    <mergeCell ref="P4:P5"/>
    <mergeCell ref="A8:S8"/>
  </mergeCells>
  <hyperlinks>
    <hyperlink ref="A1:I1" location="Главная!A1" display="Вернуться на главную страницу" xr:uid="{00000000-0004-0000-1B00-000000000000}"/>
    <hyperlink ref="A2" location="'Калькулятор теплоотдач ВК'!R1C1" display="Вернуться Калькулятор теплоотдач ВК" xr:uid="{00000000-0004-0000-1B00-000001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30">
    <tabColor rgb="FFFFC000"/>
  </sheetPr>
  <dimension ref="A1:U466"/>
  <sheetViews>
    <sheetView zoomScale="70" zoomScaleNormal="70" workbookViewId="0">
      <pane ySplit="6" topLeftCell="A7" activePane="bottomLeft" state="frozen"/>
      <selection pane="bottomLeft" activeCell="Z13" sqref="Z13"/>
    </sheetView>
  </sheetViews>
  <sheetFormatPr defaultRowHeight="15.75"/>
  <cols>
    <col min="1" max="1" width="3.710937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4.5703125" style="7" customWidth="1"/>
    <col min="10" max="10" width="11.28515625" style="7" customWidth="1"/>
    <col min="11" max="12" width="11.28515625" style="87" customWidth="1"/>
    <col min="13" max="13" width="15.5703125" style="1" customWidth="1"/>
    <col min="14" max="14" width="19.140625" style="7" customWidth="1"/>
    <col min="15" max="15" width="27.7109375" style="112" customWidth="1"/>
    <col min="16" max="16" width="27.7109375" style="106" customWidth="1"/>
    <col min="17" max="17" width="26.28515625" style="107" customWidth="1"/>
    <col min="18" max="18" width="27.7109375" style="112" customWidth="1"/>
    <col min="19" max="19" width="27.7109375" style="107" customWidth="1"/>
    <col min="21" max="21" width="22.42578125" customWidth="1"/>
  </cols>
  <sheetData>
    <row r="1" spans="1:21" ht="16.5" customHeight="1">
      <c r="A1" s="1121" t="s">
        <v>9</v>
      </c>
      <c r="B1" s="1121"/>
      <c r="C1" s="1121"/>
      <c r="D1" s="1121"/>
      <c r="E1" s="1121"/>
      <c r="F1" s="88"/>
      <c r="G1" s="1121"/>
      <c r="H1" s="1121"/>
      <c r="I1" s="1121"/>
      <c r="M1" s="140"/>
      <c r="O1" s="107"/>
      <c r="P1" s="107"/>
      <c r="R1" s="107"/>
    </row>
    <row r="2" spans="1:21" s="65" customFormat="1" ht="16.5" customHeight="1">
      <c r="A2" s="895" t="s">
        <v>346</v>
      </c>
      <c r="B2" s="1121"/>
      <c r="C2" s="1121"/>
      <c r="D2" s="1121"/>
      <c r="E2" s="1121"/>
      <c r="F2" s="88"/>
      <c r="G2" s="1121"/>
      <c r="H2" s="1121"/>
      <c r="I2" s="1121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s="65" customFormat="1" ht="13.5" customHeight="1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s="65" customFormat="1" ht="69" customHeight="1">
      <c r="A4" s="3033" t="s">
        <v>8</v>
      </c>
      <c r="B4" s="3034"/>
      <c r="C4" s="3034"/>
      <c r="D4" s="3034"/>
      <c r="E4" s="3034"/>
      <c r="F4" s="3034"/>
      <c r="G4" s="3034"/>
      <c r="H4" s="3034"/>
      <c r="I4" s="3035"/>
      <c r="J4" s="3027" t="s">
        <v>78</v>
      </c>
      <c r="K4" s="3028"/>
      <c r="L4" s="3028"/>
      <c r="M4" s="3029"/>
      <c r="N4" s="3042" t="s">
        <v>77</v>
      </c>
      <c r="O4" s="3045" t="s">
        <v>142</v>
      </c>
      <c r="P4" s="3008" t="s">
        <v>138</v>
      </c>
      <c r="Q4" s="3045" t="s">
        <v>143</v>
      </c>
      <c r="R4" s="3020" t="s">
        <v>420</v>
      </c>
      <c r="S4" s="2981" t="s">
        <v>421</v>
      </c>
    </row>
    <row r="5" spans="1:21" s="65" customFormat="1" ht="72.75" customHeight="1" thickBot="1">
      <c r="A5" s="3036"/>
      <c r="B5" s="3037"/>
      <c r="C5" s="3037"/>
      <c r="D5" s="3037"/>
      <c r="E5" s="3037"/>
      <c r="F5" s="3037"/>
      <c r="G5" s="3037"/>
      <c r="H5" s="3037"/>
      <c r="I5" s="3038"/>
      <c r="J5" s="3030"/>
      <c r="K5" s="3031"/>
      <c r="L5" s="3031"/>
      <c r="M5" s="3032"/>
      <c r="N5" s="3043"/>
      <c r="O5" s="3046"/>
      <c r="P5" s="3009"/>
      <c r="Q5" s="3046"/>
      <c r="R5" s="3021"/>
      <c r="S5" s="2982"/>
    </row>
    <row r="6" spans="1:21" s="65" customFormat="1" ht="61.5" customHeight="1" thickBot="1">
      <c r="A6" s="3039"/>
      <c r="B6" s="3040"/>
      <c r="C6" s="3040"/>
      <c r="D6" s="3040"/>
      <c r="E6" s="3040"/>
      <c r="F6" s="3040"/>
      <c r="G6" s="3040"/>
      <c r="H6" s="3040"/>
      <c r="I6" s="3041"/>
      <c r="J6" s="1126" t="s">
        <v>0</v>
      </c>
      <c r="K6" s="105" t="s">
        <v>1</v>
      </c>
      <c r="L6" s="105" t="s">
        <v>2</v>
      </c>
      <c r="M6" s="145" t="s">
        <v>75</v>
      </c>
      <c r="N6" s="3044"/>
      <c r="O6" s="3024" t="s">
        <v>141</v>
      </c>
      <c r="P6" s="3025"/>
      <c r="Q6" s="3025"/>
      <c r="R6" s="3025"/>
      <c r="S6" s="3026"/>
    </row>
    <row r="7" spans="1:21" ht="22.5" customHeight="1" thickBot="1">
      <c r="A7" s="2968" t="s">
        <v>45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ht="16.5" thickBot="1">
      <c r="A8" s="2974" t="s">
        <v>117</v>
      </c>
      <c r="B8" s="2975"/>
      <c r="C8" s="2975"/>
      <c r="D8" s="2975"/>
      <c r="E8" s="2975"/>
      <c r="F8" s="2975"/>
      <c r="G8" s="2975"/>
      <c r="H8" s="2975"/>
      <c r="I8" s="2975"/>
      <c r="J8" s="2975"/>
      <c r="K8" s="2975"/>
      <c r="L8" s="2975"/>
      <c r="M8" s="2975"/>
      <c r="N8" s="2975"/>
      <c r="O8" s="2975"/>
      <c r="P8" s="2975"/>
      <c r="Q8" s="2975"/>
      <c r="R8" s="3022"/>
      <c r="S8" s="3023"/>
    </row>
    <row r="9" spans="1:21" ht="16.5" customHeight="1" thickBot="1">
      <c r="A9" s="38" t="s">
        <v>31</v>
      </c>
      <c r="B9" s="39">
        <f>J9</f>
        <v>600</v>
      </c>
      <c r="C9" s="39" t="s">
        <v>3</v>
      </c>
      <c r="D9" s="39">
        <f>K9</f>
        <v>260</v>
      </c>
      <c r="E9" s="39" t="s">
        <v>3</v>
      </c>
      <c r="F9" s="90">
        <f>L9</f>
        <v>600</v>
      </c>
      <c r="G9" s="39" t="s">
        <v>3</v>
      </c>
      <c r="H9" s="39">
        <v>4</v>
      </c>
      <c r="I9" s="40" t="s">
        <v>41</v>
      </c>
      <c r="J9" s="146">
        <v>600</v>
      </c>
      <c r="K9" s="122">
        <v>260</v>
      </c>
      <c r="L9" s="122">
        <v>600</v>
      </c>
      <c r="M9" s="163">
        <v>14.753058100560526</v>
      </c>
      <c r="N9" s="123">
        <v>453.47914970242942</v>
      </c>
      <c r="O9" s="124">
        <v>16245.483053148746</v>
      </c>
      <c r="P9" s="160">
        <v>19438.161340112238</v>
      </c>
      <c r="Q9" s="253">
        <v>8214.2785134660462</v>
      </c>
      <c r="R9" s="262">
        <v>24459.76156661479</v>
      </c>
      <c r="S9" s="257">
        <v>27652.439853578282</v>
      </c>
      <c r="U9" s="7" t="s">
        <v>4385</v>
      </c>
    </row>
    <row r="10" spans="1:21" ht="16.5" thickBot="1">
      <c r="A10" s="41" t="s">
        <v>31</v>
      </c>
      <c r="B10" s="42">
        <f t="shared" ref="B10:B57" si="0">J10</f>
        <v>600</v>
      </c>
      <c r="C10" s="42" t="s">
        <v>3</v>
      </c>
      <c r="D10" s="42">
        <f t="shared" ref="D10:D57" si="1">K10</f>
        <v>260</v>
      </c>
      <c r="E10" s="42" t="s">
        <v>3</v>
      </c>
      <c r="F10" s="90">
        <f t="shared" ref="F10:F57" si="2">L10</f>
        <v>650</v>
      </c>
      <c r="G10" s="42" t="s">
        <v>3</v>
      </c>
      <c r="H10" s="39">
        <v>4</v>
      </c>
      <c r="I10" s="40" t="s">
        <v>41</v>
      </c>
      <c r="J10" s="149">
        <v>600</v>
      </c>
      <c r="K10" s="66">
        <v>260</v>
      </c>
      <c r="L10" s="66">
        <v>650</v>
      </c>
      <c r="M10" s="164">
        <v>15.718412170425788</v>
      </c>
      <c r="N10" s="78">
        <v>544.17497964291533</v>
      </c>
      <c r="O10" s="113">
        <v>17104.725337650467</v>
      </c>
      <c r="P10" s="161">
        <v>20498.538111895377</v>
      </c>
      <c r="Q10" s="254">
        <v>8684.7340809460093</v>
      </c>
      <c r="R10" s="263">
        <v>25789.459418596474</v>
      </c>
      <c r="S10" s="259">
        <v>29183.272192841388</v>
      </c>
      <c r="U10" s="7" t="s">
        <v>4386</v>
      </c>
    </row>
    <row r="11" spans="1:21" ht="16.5" customHeight="1" thickBot="1">
      <c r="A11" s="41" t="s">
        <v>31</v>
      </c>
      <c r="B11" s="42">
        <f t="shared" si="0"/>
        <v>600</v>
      </c>
      <c r="C11" s="42" t="s">
        <v>3</v>
      </c>
      <c r="D11" s="42">
        <f t="shared" si="1"/>
        <v>260</v>
      </c>
      <c r="E11" s="42" t="s">
        <v>3</v>
      </c>
      <c r="F11" s="90">
        <f t="shared" si="2"/>
        <v>700</v>
      </c>
      <c r="G11" s="42" t="s">
        <v>3</v>
      </c>
      <c r="H11" s="39">
        <v>4</v>
      </c>
      <c r="I11" s="40" t="s">
        <v>41</v>
      </c>
      <c r="J11" s="149">
        <v>600</v>
      </c>
      <c r="K11" s="66">
        <v>260</v>
      </c>
      <c r="L11" s="66">
        <v>700</v>
      </c>
      <c r="M11" s="164">
        <v>16.700806240291051</v>
      </c>
      <c r="N11" s="78">
        <v>634.87080958340118</v>
      </c>
      <c r="O11" s="113">
        <v>17963.967775180947</v>
      </c>
      <c r="P11" s="161">
        <v>21558.914883678364</v>
      </c>
      <c r="Q11" s="254">
        <v>9406.5237862097401</v>
      </c>
      <c r="R11" s="263">
        <v>27370.491561390685</v>
      </c>
      <c r="S11" s="259">
        <v>30965.438669888106</v>
      </c>
      <c r="U11" s="7" t="s">
        <v>4387</v>
      </c>
    </row>
    <row r="12" spans="1:21" ht="16.5" thickBot="1">
      <c r="A12" s="41" t="s">
        <v>31</v>
      </c>
      <c r="B12" s="42">
        <f t="shared" si="0"/>
        <v>600</v>
      </c>
      <c r="C12" s="42" t="s">
        <v>3</v>
      </c>
      <c r="D12" s="42">
        <f t="shared" si="1"/>
        <v>260</v>
      </c>
      <c r="E12" s="42" t="s">
        <v>3</v>
      </c>
      <c r="F12" s="90">
        <f t="shared" si="2"/>
        <v>750</v>
      </c>
      <c r="G12" s="42" t="s">
        <v>3</v>
      </c>
      <c r="H12" s="39">
        <v>4</v>
      </c>
      <c r="I12" s="40" t="s">
        <v>41</v>
      </c>
      <c r="J12" s="149">
        <v>600</v>
      </c>
      <c r="K12" s="66">
        <v>260</v>
      </c>
      <c r="L12" s="66">
        <v>750</v>
      </c>
      <c r="M12" s="164">
        <v>17.666160310156314</v>
      </c>
      <c r="N12" s="78">
        <v>725.56663952388715</v>
      </c>
      <c r="O12" s="113">
        <v>18823.210059682668</v>
      </c>
      <c r="P12" s="161">
        <v>22619.291655461351</v>
      </c>
      <c r="Q12" s="254">
        <v>9876.9793536897032</v>
      </c>
      <c r="R12" s="263">
        <v>28700.189413372369</v>
      </c>
      <c r="S12" s="259">
        <v>32496.271009151053</v>
      </c>
      <c r="U12" s="7" t="s">
        <v>4388</v>
      </c>
    </row>
    <row r="13" spans="1:21" ht="16.5" customHeight="1" thickBot="1">
      <c r="A13" s="41" t="s">
        <v>31</v>
      </c>
      <c r="B13" s="42">
        <f t="shared" si="0"/>
        <v>600</v>
      </c>
      <c r="C13" s="42" t="s">
        <v>3</v>
      </c>
      <c r="D13" s="42">
        <f t="shared" si="1"/>
        <v>260</v>
      </c>
      <c r="E13" s="42" t="s">
        <v>3</v>
      </c>
      <c r="F13" s="90">
        <f t="shared" si="2"/>
        <v>800</v>
      </c>
      <c r="G13" s="42" t="s">
        <v>3</v>
      </c>
      <c r="H13" s="39">
        <v>4</v>
      </c>
      <c r="I13" s="40" t="s">
        <v>41</v>
      </c>
      <c r="J13" s="149">
        <v>600</v>
      </c>
      <c r="K13" s="66">
        <v>260</v>
      </c>
      <c r="L13" s="66">
        <v>800</v>
      </c>
      <c r="M13" s="164">
        <v>18.631514380021578</v>
      </c>
      <c r="N13" s="78">
        <v>816.262469464373</v>
      </c>
      <c r="O13" s="113">
        <v>19682.452344184385</v>
      </c>
      <c r="P13" s="161">
        <v>23679.668427244338</v>
      </c>
      <c r="Q13" s="254">
        <v>10347.434921169664</v>
      </c>
      <c r="R13" s="263">
        <v>30029.887265354049</v>
      </c>
      <c r="S13" s="259">
        <v>34027.103348414006</v>
      </c>
      <c r="U13" s="7" t="s">
        <v>4389</v>
      </c>
    </row>
    <row r="14" spans="1:21" ht="16.5" thickBot="1">
      <c r="A14" s="41" t="s">
        <v>31</v>
      </c>
      <c r="B14" s="42">
        <f t="shared" si="0"/>
        <v>600</v>
      </c>
      <c r="C14" s="42" t="s">
        <v>3</v>
      </c>
      <c r="D14" s="42">
        <f t="shared" si="1"/>
        <v>260</v>
      </c>
      <c r="E14" s="42" t="s">
        <v>3</v>
      </c>
      <c r="F14" s="90">
        <f t="shared" si="2"/>
        <v>850</v>
      </c>
      <c r="G14" s="42" t="s">
        <v>3</v>
      </c>
      <c r="H14" s="39">
        <v>4</v>
      </c>
      <c r="I14" s="40" t="s">
        <v>41</v>
      </c>
      <c r="J14" s="149">
        <v>600</v>
      </c>
      <c r="K14" s="66">
        <v>260</v>
      </c>
      <c r="L14" s="66">
        <v>850</v>
      </c>
      <c r="M14" s="164">
        <v>19.613908449886839</v>
      </c>
      <c r="N14" s="78">
        <v>906.95829940485885</v>
      </c>
      <c r="O14" s="113">
        <v>20541.694781714868</v>
      </c>
      <c r="P14" s="161">
        <v>24740.045199027481</v>
      </c>
      <c r="Q14" s="254">
        <v>11069.224626433395</v>
      </c>
      <c r="R14" s="263">
        <v>31610.919408148264</v>
      </c>
      <c r="S14" s="259">
        <v>35809.269825460877</v>
      </c>
      <c r="U14" s="7" t="s">
        <v>4390</v>
      </c>
    </row>
    <row r="15" spans="1:21" ht="16.5" customHeight="1" thickBot="1">
      <c r="A15" s="41" t="s">
        <v>31</v>
      </c>
      <c r="B15" s="42">
        <f t="shared" si="0"/>
        <v>600</v>
      </c>
      <c r="C15" s="42" t="s">
        <v>3</v>
      </c>
      <c r="D15" s="42">
        <f t="shared" si="1"/>
        <v>260</v>
      </c>
      <c r="E15" s="42" t="s">
        <v>3</v>
      </c>
      <c r="F15" s="90">
        <f t="shared" si="2"/>
        <v>900</v>
      </c>
      <c r="G15" s="42" t="s">
        <v>3</v>
      </c>
      <c r="H15" s="39">
        <v>4</v>
      </c>
      <c r="I15" s="40" t="s">
        <v>41</v>
      </c>
      <c r="J15" s="149">
        <v>600</v>
      </c>
      <c r="K15" s="66">
        <v>260</v>
      </c>
      <c r="L15" s="66">
        <v>900</v>
      </c>
      <c r="M15" s="164">
        <v>20.579262519752099</v>
      </c>
      <c r="N15" s="78">
        <v>997.65412934534493</v>
      </c>
      <c r="O15" s="113">
        <v>21400.937066216589</v>
      </c>
      <c r="P15" s="161">
        <v>25800.421970810465</v>
      </c>
      <c r="Q15" s="254">
        <v>11539.680193913358</v>
      </c>
      <c r="R15" s="263">
        <v>32940.617260129948</v>
      </c>
      <c r="S15" s="259">
        <v>37340.102164723823</v>
      </c>
      <c r="U15" s="7" t="s">
        <v>4391</v>
      </c>
    </row>
    <row r="16" spans="1:21" ht="16.5" thickBot="1">
      <c r="A16" s="41" t="s">
        <v>31</v>
      </c>
      <c r="B16" s="42">
        <f t="shared" si="0"/>
        <v>600</v>
      </c>
      <c r="C16" s="42" t="s">
        <v>3</v>
      </c>
      <c r="D16" s="42">
        <f t="shared" si="1"/>
        <v>260</v>
      </c>
      <c r="E16" s="42" t="s">
        <v>3</v>
      </c>
      <c r="F16" s="90">
        <f t="shared" si="2"/>
        <v>950</v>
      </c>
      <c r="G16" s="42" t="s">
        <v>3</v>
      </c>
      <c r="H16" s="39">
        <v>4</v>
      </c>
      <c r="I16" s="40" t="s">
        <v>41</v>
      </c>
      <c r="J16" s="149">
        <v>600</v>
      </c>
      <c r="K16" s="66">
        <v>260</v>
      </c>
      <c r="L16" s="66">
        <v>950</v>
      </c>
      <c r="M16" s="164">
        <v>21.561656589617364</v>
      </c>
      <c r="N16" s="78">
        <v>1088.3499592858307</v>
      </c>
      <c r="O16" s="113">
        <v>22260.179350718307</v>
      </c>
      <c r="P16" s="161">
        <v>26860.798742593448</v>
      </c>
      <c r="Q16" s="254">
        <v>12261.469899177091</v>
      </c>
      <c r="R16" s="263">
        <v>34521.649249895396</v>
      </c>
      <c r="S16" s="259">
        <v>39122.268641770541</v>
      </c>
      <c r="U16" s="7" t="s">
        <v>4392</v>
      </c>
    </row>
    <row r="17" spans="1:21" ht="16.5" customHeight="1" thickBot="1">
      <c r="A17" s="41" t="s">
        <v>31</v>
      </c>
      <c r="B17" s="42">
        <f t="shared" si="0"/>
        <v>600</v>
      </c>
      <c r="C17" s="42" t="s">
        <v>3</v>
      </c>
      <c r="D17" s="42">
        <f t="shared" si="1"/>
        <v>260</v>
      </c>
      <c r="E17" s="42" t="s">
        <v>3</v>
      </c>
      <c r="F17" s="90">
        <f t="shared" si="2"/>
        <v>1000</v>
      </c>
      <c r="G17" s="42" t="s">
        <v>3</v>
      </c>
      <c r="H17" s="39">
        <v>4</v>
      </c>
      <c r="I17" s="40" t="s">
        <v>41</v>
      </c>
      <c r="J17" s="149">
        <v>600</v>
      </c>
      <c r="K17" s="66">
        <v>260</v>
      </c>
      <c r="L17" s="66">
        <v>1000</v>
      </c>
      <c r="M17" s="164">
        <v>22.527010659482634</v>
      </c>
      <c r="N17" s="78">
        <v>1179.0457892263164</v>
      </c>
      <c r="O17" s="113">
        <v>23119.42178824879</v>
      </c>
      <c r="P17" s="161">
        <v>27921.175514376439</v>
      </c>
      <c r="Q17" s="254">
        <v>12731.925466657052</v>
      </c>
      <c r="R17" s="263">
        <v>35851.347254905842</v>
      </c>
      <c r="S17" s="259">
        <v>40653.100981033494</v>
      </c>
      <c r="U17" s="7" t="s">
        <v>4393</v>
      </c>
    </row>
    <row r="18" spans="1:21" ht="16.5" thickBot="1">
      <c r="A18" s="41" t="s">
        <v>31</v>
      </c>
      <c r="B18" s="42">
        <f t="shared" si="0"/>
        <v>600</v>
      </c>
      <c r="C18" s="42" t="s">
        <v>3</v>
      </c>
      <c r="D18" s="42">
        <f t="shared" si="1"/>
        <v>260</v>
      </c>
      <c r="E18" s="42" t="s">
        <v>3</v>
      </c>
      <c r="F18" s="90">
        <f t="shared" si="2"/>
        <v>1050</v>
      </c>
      <c r="G18" s="42" t="s">
        <v>3</v>
      </c>
      <c r="H18" s="39">
        <v>4</v>
      </c>
      <c r="I18" s="40" t="s">
        <v>41</v>
      </c>
      <c r="J18" s="149">
        <v>600</v>
      </c>
      <c r="K18" s="66">
        <v>260</v>
      </c>
      <c r="L18" s="66">
        <v>1050</v>
      </c>
      <c r="M18" s="164">
        <v>23.509404729347892</v>
      </c>
      <c r="N18" s="78">
        <v>1269.7416191668024</v>
      </c>
      <c r="O18" s="113">
        <v>23978.664072750511</v>
      </c>
      <c r="P18" s="161">
        <v>28981.552286159578</v>
      </c>
      <c r="Q18" s="254">
        <v>13453.71501889202</v>
      </c>
      <c r="R18" s="263">
        <v>37432.379091642535</v>
      </c>
      <c r="S18" s="259">
        <v>42435.267305051602</v>
      </c>
      <c r="U18" s="7" t="s">
        <v>4394</v>
      </c>
    </row>
    <row r="19" spans="1:21" ht="16.5" customHeight="1" thickBot="1">
      <c r="A19" s="38" t="s">
        <v>31</v>
      </c>
      <c r="B19" s="39">
        <f t="shared" si="0"/>
        <v>600</v>
      </c>
      <c r="C19" s="39" t="s">
        <v>3</v>
      </c>
      <c r="D19" s="39">
        <f t="shared" si="1"/>
        <v>260</v>
      </c>
      <c r="E19" s="39" t="s">
        <v>3</v>
      </c>
      <c r="F19" s="90">
        <f t="shared" si="2"/>
        <v>1100</v>
      </c>
      <c r="G19" s="39" t="s">
        <v>3</v>
      </c>
      <c r="H19" s="39">
        <v>4</v>
      </c>
      <c r="I19" s="40" t="s">
        <v>41</v>
      </c>
      <c r="J19" s="149">
        <v>600</v>
      </c>
      <c r="K19" s="66">
        <v>260</v>
      </c>
      <c r="L19" s="66">
        <v>1100</v>
      </c>
      <c r="M19" s="164">
        <v>24.474758799213156</v>
      </c>
      <c r="N19" s="78">
        <v>1360.4374491072883</v>
      </c>
      <c r="O19" s="113">
        <v>24837.906357252228</v>
      </c>
      <c r="P19" s="161">
        <v>30041.929057942561</v>
      </c>
      <c r="Q19" s="254">
        <v>13924.170586371982</v>
      </c>
      <c r="R19" s="263">
        <v>38762.076943624212</v>
      </c>
      <c r="S19" s="259">
        <v>43966.099644314541</v>
      </c>
      <c r="U19" s="7" t="s">
        <v>4395</v>
      </c>
    </row>
    <row r="20" spans="1:21" ht="16.5" thickBot="1">
      <c r="A20" s="41" t="s">
        <v>31</v>
      </c>
      <c r="B20" s="42">
        <f t="shared" si="0"/>
        <v>600</v>
      </c>
      <c r="C20" s="42" t="s">
        <v>3</v>
      </c>
      <c r="D20" s="42">
        <f t="shared" si="1"/>
        <v>260</v>
      </c>
      <c r="E20" s="42" t="s">
        <v>3</v>
      </c>
      <c r="F20" s="90">
        <f t="shared" si="2"/>
        <v>1150</v>
      </c>
      <c r="G20" s="42" t="s">
        <v>3</v>
      </c>
      <c r="H20" s="39">
        <v>4</v>
      </c>
      <c r="I20" s="40" t="s">
        <v>41</v>
      </c>
      <c r="J20" s="149">
        <v>600</v>
      </c>
      <c r="K20" s="66">
        <v>260</v>
      </c>
      <c r="L20" s="66">
        <v>1150</v>
      </c>
      <c r="M20" s="164">
        <v>25.440112869078419</v>
      </c>
      <c r="N20" s="78">
        <v>1451.1332790477743</v>
      </c>
      <c r="O20" s="113">
        <v>25697.148794782715</v>
      </c>
      <c r="P20" s="161">
        <v>31102.305829725552</v>
      </c>
      <c r="Q20" s="254">
        <v>14394.626153851941</v>
      </c>
      <c r="R20" s="263">
        <v>40091.774948634658</v>
      </c>
      <c r="S20" s="259">
        <v>45496.931983577495</v>
      </c>
      <c r="U20" s="7" t="s">
        <v>4396</v>
      </c>
    </row>
    <row r="21" spans="1:21" ht="16.5" customHeight="1" thickBot="1">
      <c r="A21" s="41" t="s">
        <v>31</v>
      </c>
      <c r="B21" s="42">
        <f t="shared" si="0"/>
        <v>600</v>
      </c>
      <c r="C21" s="42" t="s">
        <v>3</v>
      </c>
      <c r="D21" s="42">
        <f t="shared" si="1"/>
        <v>260</v>
      </c>
      <c r="E21" s="42" t="s">
        <v>3</v>
      </c>
      <c r="F21" s="90">
        <f t="shared" si="2"/>
        <v>1200</v>
      </c>
      <c r="G21" s="42" t="s">
        <v>3</v>
      </c>
      <c r="H21" s="39">
        <v>4</v>
      </c>
      <c r="I21" s="40" t="s">
        <v>41</v>
      </c>
      <c r="J21" s="149">
        <v>600</v>
      </c>
      <c r="K21" s="66">
        <v>260</v>
      </c>
      <c r="L21" s="66">
        <v>1200</v>
      </c>
      <c r="M21" s="164">
        <v>26.501006938943679</v>
      </c>
      <c r="N21" s="78">
        <v>1541.82910898826</v>
      </c>
      <c r="O21" s="113">
        <v>26640.489414417763</v>
      </c>
      <c r="P21" s="161">
        <v>32247.294306943422</v>
      </c>
      <c r="Q21" s="254">
        <v>15116.415859115676</v>
      </c>
      <c r="R21" s="263">
        <v>41756.905273533441</v>
      </c>
      <c r="S21" s="259">
        <v>47363.7101660591</v>
      </c>
      <c r="U21" s="7" t="s">
        <v>4397</v>
      </c>
    </row>
    <row r="22" spans="1:21" ht="16.5" thickBot="1">
      <c r="A22" s="41" t="s">
        <v>31</v>
      </c>
      <c r="B22" s="42">
        <f t="shared" si="0"/>
        <v>600</v>
      </c>
      <c r="C22" s="42" t="s">
        <v>3</v>
      </c>
      <c r="D22" s="42">
        <f t="shared" si="1"/>
        <v>260</v>
      </c>
      <c r="E22" s="42" t="s">
        <v>3</v>
      </c>
      <c r="F22" s="90">
        <f t="shared" si="2"/>
        <v>1250</v>
      </c>
      <c r="G22" s="42" t="s">
        <v>3</v>
      </c>
      <c r="H22" s="39">
        <v>4</v>
      </c>
      <c r="I22" s="40" t="s">
        <v>41</v>
      </c>
      <c r="J22" s="149">
        <v>600</v>
      </c>
      <c r="K22" s="66">
        <v>260</v>
      </c>
      <c r="L22" s="66">
        <v>1250</v>
      </c>
      <c r="M22" s="164">
        <v>27.466361008808946</v>
      </c>
      <c r="N22" s="78">
        <v>1632.524938928746</v>
      </c>
      <c r="O22" s="113">
        <v>27499.731698919477</v>
      </c>
      <c r="P22" s="161">
        <v>33307.671078726402</v>
      </c>
      <c r="Q22" s="254">
        <v>15586.871426595639</v>
      </c>
      <c r="R22" s="263">
        <v>43086.603125515117</v>
      </c>
      <c r="S22" s="259">
        <v>48894.542505322039</v>
      </c>
      <c r="U22" s="7" t="s">
        <v>4398</v>
      </c>
    </row>
    <row r="23" spans="1:21" ht="16.5" customHeight="1" thickBot="1">
      <c r="A23" s="41" t="s">
        <v>31</v>
      </c>
      <c r="B23" s="42">
        <f t="shared" si="0"/>
        <v>600</v>
      </c>
      <c r="C23" s="42" t="s">
        <v>3</v>
      </c>
      <c r="D23" s="42">
        <f t="shared" si="1"/>
        <v>260</v>
      </c>
      <c r="E23" s="42" t="s">
        <v>3</v>
      </c>
      <c r="F23" s="90">
        <f t="shared" si="2"/>
        <v>1300</v>
      </c>
      <c r="G23" s="42" t="s">
        <v>3</v>
      </c>
      <c r="H23" s="39">
        <v>4</v>
      </c>
      <c r="I23" s="40" t="s">
        <v>41</v>
      </c>
      <c r="J23" s="149">
        <v>600</v>
      </c>
      <c r="K23" s="66">
        <v>260</v>
      </c>
      <c r="L23" s="66">
        <v>1300</v>
      </c>
      <c r="M23" s="164">
        <v>28.448755078674207</v>
      </c>
      <c r="N23" s="78">
        <v>1723.2207688692317</v>
      </c>
      <c r="O23" s="113">
        <v>28358.973983421198</v>
      </c>
      <c r="P23" s="161">
        <v>34368.047850509545</v>
      </c>
      <c r="Q23" s="254">
        <v>16308.66113185937</v>
      </c>
      <c r="R23" s="263">
        <v>44667.635115280566</v>
      </c>
      <c r="S23" s="259">
        <v>50676.708982368917</v>
      </c>
      <c r="U23" s="7" t="s">
        <v>4399</v>
      </c>
    </row>
    <row r="24" spans="1:21" ht="16.5" thickBot="1">
      <c r="A24" s="41" t="s">
        <v>31</v>
      </c>
      <c r="B24" s="42">
        <f t="shared" si="0"/>
        <v>600</v>
      </c>
      <c r="C24" s="42" t="s">
        <v>3</v>
      </c>
      <c r="D24" s="42">
        <f t="shared" si="1"/>
        <v>260</v>
      </c>
      <c r="E24" s="42" t="s">
        <v>3</v>
      </c>
      <c r="F24" s="90">
        <f t="shared" si="2"/>
        <v>1350</v>
      </c>
      <c r="G24" s="42" t="s">
        <v>3</v>
      </c>
      <c r="H24" s="39">
        <v>4</v>
      </c>
      <c r="I24" s="40" t="s">
        <v>41</v>
      </c>
      <c r="J24" s="149">
        <v>600</v>
      </c>
      <c r="K24" s="66">
        <v>260</v>
      </c>
      <c r="L24" s="66">
        <v>1350</v>
      </c>
      <c r="M24" s="164">
        <v>29.414109148539474</v>
      </c>
      <c r="N24" s="78">
        <v>1813.9165988097177</v>
      </c>
      <c r="O24" s="113">
        <v>29218.216420951681</v>
      </c>
      <c r="P24" s="161">
        <v>35428.424622292536</v>
      </c>
      <c r="Q24" s="254">
        <v>16779.116699339331</v>
      </c>
      <c r="R24" s="263">
        <v>45997.333120291012</v>
      </c>
      <c r="S24" s="259">
        <v>52207.54132163187</v>
      </c>
      <c r="U24" s="7" t="s">
        <v>4400</v>
      </c>
    </row>
    <row r="25" spans="1:21" ht="16.5" customHeight="1" thickBot="1">
      <c r="A25" s="41" t="s">
        <v>31</v>
      </c>
      <c r="B25" s="42">
        <f t="shared" si="0"/>
        <v>600</v>
      </c>
      <c r="C25" s="42" t="s">
        <v>3</v>
      </c>
      <c r="D25" s="42">
        <f t="shared" si="1"/>
        <v>260</v>
      </c>
      <c r="E25" s="42" t="s">
        <v>3</v>
      </c>
      <c r="F25" s="90">
        <f t="shared" si="2"/>
        <v>1400</v>
      </c>
      <c r="G25" s="42" t="s">
        <v>3</v>
      </c>
      <c r="H25" s="39">
        <v>4</v>
      </c>
      <c r="I25" s="40" t="s">
        <v>41</v>
      </c>
      <c r="J25" s="149">
        <v>600</v>
      </c>
      <c r="K25" s="66">
        <v>260</v>
      </c>
      <c r="L25" s="66">
        <v>1400</v>
      </c>
      <c r="M25" s="164">
        <v>30.396503218404735</v>
      </c>
      <c r="N25" s="78">
        <v>1904.6124287502039</v>
      </c>
      <c r="O25" s="113">
        <v>30077.458705453399</v>
      </c>
      <c r="P25" s="161">
        <v>36488.801394075519</v>
      </c>
      <c r="Q25" s="254">
        <v>17500.906404603062</v>
      </c>
      <c r="R25" s="263">
        <v>47578.36511005646</v>
      </c>
      <c r="S25" s="259">
        <v>53989.707798678581</v>
      </c>
      <c r="U25" s="7" t="s">
        <v>4401</v>
      </c>
    </row>
    <row r="26" spans="1:21" ht="16.5" thickBot="1">
      <c r="A26" s="41" t="s">
        <v>31</v>
      </c>
      <c r="B26" s="42">
        <f t="shared" si="0"/>
        <v>600</v>
      </c>
      <c r="C26" s="42" t="s">
        <v>3</v>
      </c>
      <c r="D26" s="42">
        <f t="shared" si="1"/>
        <v>260</v>
      </c>
      <c r="E26" s="42" t="s">
        <v>3</v>
      </c>
      <c r="F26" s="90">
        <f t="shared" si="2"/>
        <v>1450</v>
      </c>
      <c r="G26" s="42" t="s">
        <v>3</v>
      </c>
      <c r="H26" s="39">
        <v>4</v>
      </c>
      <c r="I26" s="40" t="s">
        <v>41</v>
      </c>
      <c r="J26" s="149">
        <v>600</v>
      </c>
      <c r="K26" s="66">
        <v>260</v>
      </c>
      <c r="L26" s="66">
        <v>1450</v>
      </c>
      <c r="M26" s="164">
        <v>31.361857288270002</v>
      </c>
      <c r="N26" s="78">
        <v>1995.3082586906899</v>
      </c>
      <c r="O26" s="113">
        <v>30936.700989955119</v>
      </c>
      <c r="P26" s="161">
        <v>37549.178165858502</v>
      </c>
      <c r="Q26" s="254">
        <v>17971.361972083025</v>
      </c>
      <c r="R26" s="263">
        <v>48908.062962038144</v>
      </c>
      <c r="S26" s="259">
        <v>55520.540137941527</v>
      </c>
      <c r="U26" s="7" t="s">
        <v>4402</v>
      </c>
    </row>
    <row r="27" spans="1:21" ht="16.5" customHeight="1" thickBot="1">
      <c r="A27" s="41" t="s">
        <v>31</v>
      </c>
      <c r="B27" s="42">
        <f t="shared" si="0"/>
        <v>600</v>
      </c>
      <c r="C27" s="42" t="s">
        <v>3</v>
      </c>
      <c r="D27" s="42">
        <f t="shared" si="1"/>
        <v>260</v>
      </c>
      <c r="E27" s="42" t="s">
        <v>3</v>
      </c>
      <c r="F27" s="90">
        <f t="shared" si="2"/>
        <v>1500</v>
      </c>
      <c r="G27" s="42" t="s">
        <v>3</v>
      </c>
      <c r="H27" s="39">
        <v>4</v>
      </c>
      <c r="I27" s="40" t="s">
        <v>41</v>
      </c>
      <c r="J27" s="149">
        <v>600</v>
      </c>
      <c r="K27" s="66">
        <v>260</v>
      </c>
      <c r="L27" s="66">
        <v>1500</v>
      </c>
      <c r="M27" s="164">
        <v>32.510162210095267</v>
      </c>
      <c r="N27" s="78">
        <v>2086.0040886311754</v>
      </c>
      <c r="O27" s="113">
        <v>32462.301217100572</v>
      </c>
      <c r="P27" s="161">
        <v>39235.5413527251</v>
      </c>
      <c r="Q27" s="254">
        <v>18693.151677346756</v>
      </c>
      <c r="R27" s="263">
        <v>51155.452894447328</v>
      </c>
      <c r="S27" s="259">
        <v>57928.693030071852</v>
      </c>
      <c r="U27" s="7" t="s">
        <v>4403</v>
      </c>
    </row>
    <row r="28" spans="1:21" ht="16.5" thickBot="1">
      <c r="A28" s="41" t="s">
        <v>31</v>
      </c>
      <c r="B28" s="42">
        <f t="shared" si="0"/>
        <v>600</v>
      </c>
      <c r="C28" s="42" t="s">
        <v>3</v>
      </c>
      <c r="D28" s="42">
        <f t="shared" si="1"/>
        <v>260</v>
      </c>
      <c r="E28" s="42" t="s">
        <v>3</v>
      </c>
      <c r="F28" s="90">
        <f t="shared" si="2"/>
        <v>1550</v>
      </c>
      <c r="G28" s="42" t="s">
        <v>3</v>
      </c>
      <c r="H28" s="39">
        <v>4</v>
      </c>
      <c r="I28" s="40" t="s">
        <v>41</v>
      </c>
      <c r="J28" s="149">
        <v>600</v>
      </c>
      <c r="K28" s="66">
        <v>260</v>
      </c>
      <c r="L28" s="66">
        <v>1550</v>
      </c>
      <c r="M28" s="164">
        <v>33.47551627996053</v>
      </c>
      <c r="N28" s="78">
        <v>2176.6999185716613</v>
      </c>
      <c r="O28" s="113">
        <v>33321.543501602297</v>
      </c>
      <c r="P28" s="161">
        <v>40295.918124508091</v>
      </c>
      <c r="Q28" s="254">
        <v>19163.607244826719</v>
      </c>
      <c r="R28" s="263">
        <v>52485.150746429019</v>
      </c>
      <c r="S28" s="259">
        <v>59459.525369334806</v>
      </c>
      <c r="U28" s="7" t="s">
        <v>4404</v>
      </c>
    </row>
    <row r="29" spans="1:21" ht="16.5" customHeight="1" thickBot="1">
      <c r="A29" s="38" t="s">
        <v>31</v>
      </c>
      <c r="B29" s="39">
        <f t="shared" si="0"/>
        <v>600</v>
      </c>
      <c r="C29" s="39" t="s">
        <v>3</v>
      </c>
      <c r="D29" s="39">
        <f t="shared" si="1"/>
        <v>260</v>
      </c>
      <c r="E29" s="39" t="s">
        <v>3</v>
      </c>
      <c r="F29" s="90">
        <f t="shared" si="2"/>
        <v>1600</v>
      </c>
      <c r="G29" s="39" t="s">
        <v>3</v>
      </c>
      <c r="H29" s="39">
        <v>4</v>
      </c>
      <c r="I29" s="40" t="s">
        <v>41</v>
      </c>
      <c r="J29" s="149">
        <v>600</v>
      </c>
      <c r="K29" s="66">
        <v>260</v>
      </c>
      <c r="L29" s="66">
        <v>1600</v>
      </c>
      <c r="M29" s="164">
        <v>34.440870349825786</v>
      </c>
      <c r="N29" s="78">
        <v>2267.3957485121473</v>
      </c>
      <c r="O29" s="113">
        <v>34180.78578610401</v>
      </c>
      <c r="P29" s="161">
        <v>41356.294896291227</v>
      </c>
      <c r="Q29" s="254">
        <v>19634.062812306682</v>
      </c>
      <c r="R29" s="263">
        <v>53814.848598410696</v>
      </c>
      <c r="S29" s="259">
        <v>60990.357708597905</v>
      </c>
      <c r="U29" s="7" t="s">
        <v>4405</v>
      </c>
    </row>
    <row r="30" spans="1:21" ht="16.5" thickBot="1">
      <c r="A30" s="41" t="s">
        <v>31</v>
      </c>
      <c r="B30" s="42">
        <f t="shared" si="0"/>
        <v>600</v>
      </c>
      <c r="C30" s="42" t="s">
        <v>3</v>
      </c>
      <c r="D30" s="42">
        <f t="shared" si="1"/>
        <v>260</v>
      </c>
      <c r="E30" s="42" t="s">
        <v>3</v>
      </c>
      <c r="F30" s="90">
        <f t="shared" si="2"/>
        <v>1650</v>
      </c>
      <c r="G30" s="42" t="s">
        <v>3</v>
      </c>
      <c r="H30" s="39">
        <v>4</v>
      </c>
      <c r="I30" s="40" t="s">
        <v>41</v>
      </c>
      <c r="J30" s="149">
        <v>600</v>
      </c>
      <c r="K30" s="66">
        <v>260</v>
      </c>
      <c r="L30" s="66">
        <v>1650</v>
      </c>
      <c r="M30" s="164">
        <v>35.423264419691058</v>
      </c>
      <c r="N30" s="78">
        <v>2358.0915784526328</v>
      </c>
      <c r="O30" s="113">
        <v>35040.028223634494</v>
      </c>
      <c r="P30" s="161">
        <v>42416.67166807421</v>
      </c>
      <c r="Q30" s="254">
        <v>20355.852364541646</v>
      </c>
      <c r="R30" s="263">
        <v>55395.880588176136</v>
      </c>
      <c r="S30" s="259">
        <v>62772.524032615853</v>
      </c>
      <c r="U30" s="7" t="s">
        <v>4406</v>
      </c>
    </row>
    <row r="31" spans="1:21" ht="16.5" customHeight="1" thickBot="1">
      <c r="A31" s="41" t="s">
        <v>31</v>
      </c>
      <c r="B31" s="42">
        <f t="shared" si="0"/>
        <v>600</v>
      </c>
      <c r="C31" s="42" t="s">
        <v>3</v>
      </c>
      <c r="D31" s="42">
        <f t="shared" si="1"/>
        <v>260</v>
      </c>
      <c r="E31" s="42" t="s">
        <v>3</v>
      </c>
      <c r="F31" s="90">
        <f t="shared" si="2"/>
        <v>1700</v>
      </c>
      <c r="G31" s="42" t="s">
        <v>3</v>
      </c>
      <c r="H31" s="39">
        <v>4</v>
      </c>
      <c r="I31" s="40" t="s">
        <v>41</v>
      </c>
      <c r="J31" s="149">
        <v>600</v>
      </c>
      <c r="K31" s="66">
        <v>260</v>
      </c>
      <c r="L31" s="66">
        <v>1700</v>
      </c>
      <c r="M31" s="164">
        <v>36.388618489556322</v>
      </c>
      <c r="N31" s="78">
        <v>2448.7874083931192</v>
      </c>
      <c r="O31" s="113">
        <v>35899.270508136215</v>
      </c>
      <c r="P31" s="161">
        <v>43477.048439857201</v>
      </c>
      <c r="Q31" s="254">
        <v>20826.307932021609</v>
      </c>
      <c r="R31" s="263">
        <v>56725.578440157828</v>
      </c>
      <c r="S31" s="259">
        <v>64303.356371878806</v>
      </c>
      <c r="U31" s="7" t="s">
        <v>4407</v>
      </c>
    </row>
    <row r="32" spans="1:21" ht="16.5" thickBot="1">
      <c r="A32" s="41" t="s">
        <v>31</v>
      </c>
      <c r="B32" s="42">
        <f t="shared" si="0"/>
        <v>600</v>
      </c>
      <c r="C32" s="42" t="s">
        <v>3</v>
      </c>
      <c r="D32" s="42">
        <f t="shared" si="1"/>
        <v>260</v>
      </c>
      <c r="E32" s="42" t="s">
        <v>3</v>
      </c>
      <c r="F32" s="90">
        <f t="shared" si="2"/>
        <v>1750</v>
      </c>
      <c r="G32" s="42" t="s">
        <v>3</v>
      </c>
      <c r="H32" s="39">
        <v>4</v>
      </c>
      <c r="I32" s="40" t="s">
        <v>41</v>
      </c>
      <c r="J32" s="149">
        <v>600</v>
      </c>
      <c r="K32" s="66">
        <v>260</v>
      </c>
      <c r="L32" s="66">
        <v>1750</v>
      </c>
      <c r="M32" s="164">
        <v>37.37101255942158</v>
      </c>
      <c r="N32" s="78">
        <v>2539.4832383336047</v>
      </c>
      <c r="O32" s="113">
        <v>36758.512945666698</v>
      </c>
      <c r="P32" s="161">
        <v>44537.425211640184</v>
      </c>
      <c r="Q32" s="254">
        <v>21548.09763728534</v>
      </c>
      <c r="R32" s="263">
        <v>58306.610582952038</v>
      </c>
      <c r="S32" s="259">
        <v>66085.522848925524</v>
      </c>
      <c r="U32" s="7" t="s">
        <v>4408</v>
      </c>
    </row>
    <row r="33" spans="1:21" ht="16.5" customHeight="1" thickBot="1">
      <c r="A33" s="41" t="s">
        <v>31</v>
      </c>
      <c r="B33" s="42">
        <f t="shared" si="0"/>
        <v>600</v>
      </c>
      <c r="C33" s="42" t="s">
        <v>3</v>
      </c>
      <c r="D33" s="42">
        <f t="shared" si="1"/>
        <v>260</v>
      </c>
      <c r="E33" s="42" t="s">
        <v>3</v>
      </c>
      <c r="F33" s="90">
        <f t="shared" si="2"/>
        <v>1800</v>
      </c>
      <c r="G33" s="42" t="s">
        <v>3</v>
      </c>
      <c r="H33" s="39">
        <v>4</v>
      </c>
      <c r="I33" s="40" t="s">
        <v>41</v>
      </c>
      <c r="J33" s="149">
        <v>600</v>
      </c>
      <c r="K33" s="66">
        <v>260</v>
      </c>
      <c r="L33" s="66">
        <v>1800</v>
      </c>
      <c r="M33" s="164">
        <v>38.336366629286843</v>
      </c>
      <c r="N33" s="78">
        <v>2630.1790682740907</v>
      </c>
      <c r="O33" s="113">
        <v>37617.755230168412</v>
      </c>
      <c r="P33" s="161">
        <v>45597.80198342332</v>
      </c>
      <c r="Q33" s="254">
        <v>22018.553204765303</v>
      </c>
      <c r="R33" s="263">
        <v>59636.308434933715</v>
      </c>
      <c r="S33" s="259">
        <v>67616.355188188623</v>
      </c>
      <c r="U33" s="7" t="s">
        <v>4409</v>
      </c>
    </row>
    <row r="34" spans="1:21" ht="16.5" thickBot="1">
      <c r="A34" s="41" t="s">
        <v>31</v>
      </c>
      <c r="B34" s="42">
        <f t="shared" si="0"/>
        <v>600</v>
      </c>
      <c r="C34" s="42" t="s">
        <v>3</v>
      </c>
      <c r="D34" s="42">
        <f t="shared" si="1"/>
        <v>260</v>
      </c>
      <c r="E34" s="42" t="s">
        <v>3</v>
      </c>
      <c r="F34" s="90">
        <f t="shared" si="2"/>
        <v>1850</v>
      </c>
      <c r="G34" s="42" t="s">
        <v>3</v>
      </c>
      <c r="H34" s="39">
        <v>4</v>
      </c>
      <c r="I34" s="40" t="s">
        <v>41</v>
      </c>
      <c r="J34" s="149">
        <v>600</v>
      </c>
      <c r="K34" s="66">
        <v>260</v>
      </c>
      <c r="L34" s="66">
        <v>1850</v>
      </c>
      <c r="M34" s="164">
        <v>39.318760699152108</v>
      </c>
      <c r="N34" s="78">
        <v>2720.8748982145767</v>
      </c>
      <c r="O34" s="113">
        <v>38476.997514670133</v>
      </c>
      <c r="P34" s="161">
        <v>46658.178755206311</v>
      </c>
      <c r="Q34" s="254">
        <v>22740.342910029034</v>
      </c>
      <c r="R34" s="263">
        <v>61217.34042469917</v>
      </c>
      <c r="S34" s="259">
        <v>69398.521665235341</v>
      </c>
      <c r="U34" s="7" t="s">
        <v>4410</v>
      </c>
    </row>
    <row r="35" spans="1:21" ht="16.5" customHeight="1" thickBot="1">
      <c r="A35" s="41" t="s">
        <v>31</v>
      </c>
      <c r="B35" s="42">
        <f t="shared" si="0"/>
        <v>600</v>
      </c>
      <c r="C35" s="42" t="s">
        <v>3</v>
      </c>
      <c r="D35" s="42">
        <f t="shared" si="1"/>
        <v>260</v>
      </c>
      <c r="E35" s="42" t="s">
        <v>3</v>
      </c>
      <c r="F35" s="90">
        <f t="shared" si="2"/>
        <v>1900</v>
      </c>
      <c r="G35" s="42" t="s">
        <v>3</v>
      </c>
      <c r="H35" s="39">
        <v>4</v>
      </c>
      <c r="I35" s="40" t="s">
        <v>41</v>
      </c>
      <c r="J35" s="149">
        <v>600</v>
      </c>
      <c r="K35" s="66">
        <v>260</v>
      </c>
      <c r="L35" s="66">
        <v>1900</v>
      </c>
      <c r="M35" s="164">
        <v>40.284114769017371</v>
      </c>
      <c r="N35" s="78">
        <v>2811.5707281550622</v>
      </c>
      <c r="O35" s="113">
        <v>39336.239952200616</v>
      </c>
      <c r="P35" s="161">
        <v>47718.555526989294</v>
      </c>
      <c r="Q35" s="254">
        <v>23210.798477508997</v>
      </c>
      <c r="R35" s="263">
        <v>62547.038429709617</v>
      </c>
      <c r="S35" s="259">
        <v>70929.354004498295</v>
      </c>
      <c r="U35" s="7" t="s">
        <v>4411</v>
      </c>
    </row>
    <row r="36" spans="1:21" ht="16.5" thickBot="1">
      <c r="A36" s="41" t="s">
        <v>31</v>
      </c>
      <c r="B36" s="42">
        <f t="shared" si="0"/>
        <v>600</v>
      </c>
      <c r="C36" s="42" t="s">
        <v>3</v>
      </c>
      <c r="D36" s="42">
        <f t="shared" si="1"/>
        <v>260</v>
      </c>
      <c r="E36" s="42" t="s">
        <v>3</v>
      </c>
      <c r="F36" s="90">
        <f t="shared" si="2"/>
        <v>1950</v>
      </c>
      <c r="G36" s="42" t="s">
        <v>3</v>
      </c>
      <c r="H36" s="39">
        <v>4</v>
      </c>
      <c r="I36" s="40" t="s">
        <v>41</v>
      </c>
      <c r="J36" s="149">
        <v>600</v>
      </c>
      <c r="K36" s="66">
        <v>260</v>
      </c>
      <c r="L36" s="66">
        <v>1950</v>
      </c>
      <c r="M36" s="164">
        <v>41.32796883888264</v>
      </c>
      <c r="N36" s="78">
        <v>2902.2665580955486</v>
      </c>
      <c r="O36" s="113">
        <v>40279.580571835664</v>
      </c>
      <c r="P36" s="161">
        <v>48863.544004207164</v>
      </c>
      <c r="Q36" s="254">
        <v>23681.25404498896</v>
      </c>
      <c r="R36" s="263">
        <v>63960.834616824621</v>
      </c>
      <c r="S36" s="259">
        <v>72544.798049196121</v>
      </c>
      <c r="U36" s="7" t="s">
        <v>4412</v>
      </c>
    </row>
    <row r="37" spans="1:21" ht="16.5" customHeight="1" thickBot="1">
      <c r="A37" s="41" t="s">
        <v>31</v>
      </c>
      <c r="B37" s="42">
        <f t="shared" si="0"/>
        <v>600</v>
      </c>
      <c r="C37" s="42" t="s">
        <v>3</v>
      </c>
      <c r="D37" s="42">
        <f t="shared" si="1"/>
        <v>260</v>
      </c>
      <c r="E37" s="42" t="s">
        <v>3</v>
      </c>
      <c r="F37" s="90">
        <f t="shared" si="2"/>
        <v>2000</v>
      </c>
      <c r="G37" s="42" t="s">
        <v>3</v>
      </c>
      <c r="H37" s="39">
        <v>4</v>
      </c>
      <c r="I37" s="40" t="s">
        <v>41</v>
      </c>
      <c r="J37" s="149">
        <v>600</v>
      </c>
      <c r="K37" s="66">
        <v>260</v>
      </c>
      <c r="L37" s="66">
        <v>2000</v>
      </c>
      <c r="M37" s="164">
        <v>42.401925308747899</v>
      </c>
      <c r="N37" s="78">
        <v>2992.9623880360341</v>
      </c>
      <c r="O37" s="113">
        <v>41390.114758181982</v>
      </c>
      <c r="P37" s="161">
        <v>50264.742802086163</v>
      </c>
      <c r="Q37" s="254">
        <v>24403.043750252691</v>
      </c>
      <c r="R37" s="263">
        <v>65793.158508434673</v>
      </c>
      <c r="S37" s="259">
        <v>74667.786552338861</v>
      </c>
      <c r="U37" s="7" t="s">
        <v>4413</v>
      </c>
    </row>
    <row r="38" spans="1:21" ht="16.5" thickBot="1">
      <c r="A38" s="41" t="s">
        <v>31</v>
      </c>
      <c r="B38" s="42">
        <f t="shared" si="0"/>
        <v>600</v>
      </c>
      <c r="C38" s="42" t="s">
        <v>3</v>
      </c>
      <c r="D38" s="42">
        <f t="shared" si="1"/>
        <v>260</v>
      </c>
      <c r="E38" s="42" t="s">
        <v>3</v>
      </c>
      <c r="F38" s="90">
        <f t="shared" si="2"/>
        <v>2050</v>
      </c>
      <c r="G38" s="42" t="s">
        <v>3</v>
      </c>
      <c r="H38" s="39">
        <v>4</v>
      </c>
      <c r="I38" s="40" t="s">
        <v>41</v>
      </c>
      <c r="J38" s="149">
        <v>600</v>
      </c>
      <c r="K38" s="66">
        <v>260</v>
      </c>
      <c r="L38" s="66">
        <v>2050</v>
      </c>
      <c r="M38" s="164">
        <v>43.367279378613162</v>
      </c>
      <c r="N38" s="78">
        <v>3083.6582179765201</v>
      </c>
      <c r="O38" s="113">
        <v>42249.357042683696</v>
      </c>
      <c r="P38" s="161">
        <v>51325.119573869139</v>
      </c>
      <c r="Q38" s="254">
        <v>24873.499317732651</v>
      </c>
      <c r="R38" s="263">
        <v>67122.85636041635</v>
      </c>
      <c r="S38" s="259">
        <v>76198.618891601785</v>
      </c>
      <c r="U38" s="7" t="s">
        <v>4414</v>
      </c>
    </row>
    <row r="39" spans="1:21" ht="16.5" customHeight="1" thickBot="1">
      <c r="A39" s="38" t="s">
        <v>31</v>
      </c>
      <c r="B39" s="39">
        <f t="shared" si="0"/>
        <v>600</v>
      </c>
      <c r="C39" s="39" t="s">
        <v>3</v>
      </c>
      <c r="D39" s="39">
        <f t="shared" si="1"/>
        <v>260</v>
      </c>
      <c r="E39" s="39" t="s">
        <v>3</v>
      </c>
      <c r="F39" s="90">
        <f t="shared" si="2"/>
        <v>2100</v>
      </c>
      <c r="G39" s="39" t="s">
        <v>3</v>
      </c>
      <c r="H39" s="39">
        <v>4</v>
      </c>
      <c r="I39" s="40" t="s">
        <v>41</v>
      </c>
      <c r="J39" s="149">
        <v>600</v>
      </c>
      <c r="K39" s="66">
        <v>260</v>
      </c>
      <c r="L39" s="66">
        <v>2100</v>
      </c>
      <c r="M39" s="164">
        <v>44.349673448478427</v>
      </c>
      <c r="N39" s="78">
        <v>3174.354047917006</v>
      </c>
      <c r="O39" s="113">
        <v>43108.599327185417</v>
      </c>
      <c r="P39" s="161">
        <v>52385.496345652129</v>
      </c>
      <c r="Q39" s="254">
        <v>25595.289022996385</v>
      </c>
      <c r="R39" s="263">
        <v>68703.888350181805</v>
      </c>
      <c r="S39" s="259">
        <v>77980.785368648518</v>
      </c>
      <c r="U39" s="7" t="s">
        <v>4415</v>
      </c>
    </row>
    <row r="40" spans="1:21" ht="16.5" thickBot="1">
      <c r="A40" s="41" t="s">
        <v>31</v>
      </c>
      <c r="B40" s="42">
        <f t="shared" si="0"/>
        <v>600</v>
      </c>
      <c r="C40" s="42" t="s">
        <v>3</v>
      </c>
      <c r="D40" s="42">
        <f t="shared" si="1"/>
        <v>260</v>
      </c>
      <c r="E40" s="42" t="s">
        <v>3</v>
      </c>
      <c r="F40" s="90">
        <f t="shared" si="2"/>
        <v>2150</v>
      </c>
      <c r="G40" s="42" t="s">
        <v>3</v>
      </c>
      <c r="H40" s="39">
        <v>4</v>
      </c>
      <c r="I40" s="40" t="s">
        <v>41</v>
      </c>
      <c r="J40" s="149">
        <v>600</v>
      </c>
      <c r="K40" s="66">
        <v>260</v>
      </c>
      <c r="L40" s="66">
        <v>2150</v>
      </c>
      <c r="M40" s="164">
        <v>45.315027518343683</v>
      </c>
      <c r="N40" s="78">
        <v>3265.049877857492</v>
      </c>
      <c r="O40" s="113">
        <v>43967.8417647159</v>
      </c>
      <c r="P40" s="161">
        <v>53445.873117435272</v>
      </c>
      <c r="Q40" s="254">
        <v>26065.744590476344</v>
      </c>
      <c r="R40" s="263">
        <v>70033.586355192238</v>
      </c>
      <c r="S40" s="259">
        <v>79511.617707911617</v>
      </c>
      <c r="U40" s="7" t="s">
        <v>4416</v>
      </c>
    </row>
    <row r="41" spans="1:21" ht="16.5" customHeight="1" thickBot="1">
      <c r="A41" s="41" t="s">
        <v>31</v>
      </c>
      <c r="B41" s="42">
        <f t="shared" si="0"/>
        <v>600</v>
      </c>
      <c r="C41" s="42" t="s">
        <v>3</v>
      </c>
      <c r="D41" s="42">
        <f t="shared" si="1"/>
        <v>260</v>
      </c>
      <c r="E41" s="42" t="s">
        <v>3</v>
      </c>
      <c r="F41" s="90">
        <f t="shared" si="2"/>
        <v>2200</v>
      </c>
      <c r="G41" s="42" t="s">
        <v>3</v>
      </c>
      <c r="H41" s="39">
        <v>4</v>
      </c>
      <c r="I41" s="40" t="s">
        <v>41</v>
      </c>
      <c r="J41" s="149">
        <v>600</v>
      </c>
      <c r="K41" s="66">
        <v>260</v>
      </c>
      <c r="L41" s="66">
        <v>2200</v>
      </c>
      <c r="M41" s="164">
        <v>46.297421588208948</v>
      </c>
      <c r="N41" s="78">
        <v>3355.745707797978</v>
      </c>
      <c r="O41" s="113">
        <v>44827.084049217621</v>
      </c>
      <c r="P41" s="161">
        <v>54506.249889218256</v>
      </c>
      <c r="Q41" s="254">
        <v>26787.534295740079</v>
      </c>
      <c r="R41" s="263">
        <v>71614.618344957707</v>
      </c>
      <c r="S41" s="259">
        <v>81293.784184958335</v>
      </c>
      <c r="U41" s="7" t="s">
        <v>4417</v>
      </c>
    </row>
    <row r="42" spans="1:21" ht="16.5" thickBot="1">
      <c r="A42" s="41" t="s">
        <v>31</v>
      </c>
      <c r="B42" s="42">
        <f t="shared" si="0"/>
        <v>600</v>
      </c>
      <c r="C42" s="42" t="s">
        <v>3</v>
      </c>
      <c r="D42" s="42">
        <f t="shared" si="1"/>
        <v>260</v>
      </c>
      <c r="E42" s="42" t="s">
        <v>3</v>
      </c>
      <c r="F42" s="90">
        <f t="shared" si="2"/>
        <v>2250</v>
      </c>
      <c r="G42" s="42" t="s">
        <v>3</v>
      </c>
      <c r="H42" s="39">
        <v>4</v>
      </c>
      <c r="I42" s="40" t="s">
        <v>41</v>
      </c>
      <c r="J42" s="149">
        <v>600</v>
      </c>
      <c r="K42" s="66">
        <v>260</v>
      </c>
      <c r="L42" s="66">
        <v>2250</v>
      </c>
      <c r="M42" s="164">
        <v>47.262775658074219</v>
      </c>
      <c r="N42" s="78">
        <v>3446.4415377384635</v>
      </c>
      <c r="O42" s="113">
        <v>45686.326333719342</v>
      </c>
      <c r="P42" s="161">
        <v>55566.626661001239</v>
      </c>
      <c r="Q42" s="254">
        <v>27257.989710191272</v>
      </c>
      <c r="R42" s="263">
        <v>72944.316043910614</v>
      </c>
      <c r="S42" s="259">
        <v>82824.616371192504</v>
      </c>
      <c r="U42" s="7" t="s">
        <v>4418</v>
      </c>
    </row>
    <row r="43" spans="1:21" ht="16.5" customHeight="1" thickBot="1">
      <c r="A43" s="41" t="s">
        <v>31</v>
      </c>
      <c r="B43" s="42">
        <f t="shared" si="0"/>
        <v>600</v>
      </c>
      <c r="C43" s="42" t="s">
        <v>3</v>
      </c>
      <c r="D43" s="42">
        <f t="shared" si="1"/>
        <v>260</v>
      </c>
      <c r="E43" s="42" t="s">
        <v>3</v>
      </c>
      <c r="F43" s="90">
        <f t="shared" si="2"/>
        <v>2300</v>
      </c>
      <c r="G43" s="42" t="s">
        <v>3</v>
      </c>
      <c r="H43" s="39">
        <v>4</v>
      </c>
      <c r="I43" s="40" t="s">
        <v>41</v>
      </c>
      <c r="J43" s="149">
        <v>600</v>
      </c>
      <c r="K43" s="66">
        <v>260</v>
      </c>
      <c r="L43" s="66">
        <v>2300</v>
      </c>
      <c r="M43" s="164">
        <v>48.228129727939475</v>
      </c>
      <c r="N43" s="78">
        <v>3537.1373676789499</v>
      </c>
      <c r="O43" s="113">
        <v>46545.568771249826</v>
      </c>
      <c r="P43" s="161">
        <v>56627.00343278439</v>
      </c>
      <c r="Q43" s="254">
        <v>27728.445277671239</v>
      </c>
      <c r="R43" s="263">
        <v>74274.014048921061</v>
      </c>
      <c r="S43" s="259">
        <v>84355.448710455632</v>
      </c>
      <c r="U43" s="7" t="s">
        <v>4419</v>
      </c>
    </row>
    <row r="44" spans="1:21" ht="16.5" thickBot="1">
      <c r="A44" s="41" t="s">
        <v>31</v>
      </c>
      <c r="B44" s="42">
        <f t="shared" si="0"/>
        <v>600</v>
      </c>
      <c r="C44" s="42" t="s">
        <v>3</v>
      </c>
      <c r="D44" s="42">
        <f t="shared" si="1"/>
        <v>260</v>
      </c>
      <c r="E44" s="42" t="s">
        <v>3</v>
      </c>
      <c r="F44" s="90">
        <f t="shared" si="2"/>
        <v>2350</v>
      </c>
      <c r="G44" s="42" t="s">
        <v>3</v>
      </c>
      <c r="H44" s="39">
        <v>4</v>
      </c>
      <c r="I44" s="40" t="s">
        <v>41</v>
      </c>
      <c r="J44" s="149">
        <v>600</v>
      </c>
      <c r="K44" s="66">
        <v>260</v>
      </c>
      <c r="L44" s="66">
        <v>2350</v>
      </c>
      <c r="M44" s="164">
        <v>49.21052379780474</v>
      </c>
      <c r="N44" s="78">
        <v>3627.8331976194354</v>
      </c>
      <c r="O44" s="113">
        <v>47404.811055751539</v>
      </c>
      <c r="P44" s="161">
        <v>57687.380204567366</v>
      </c>
      <c r="Q44" s="254">
        <v>28450.234982934966</v>
      </c>
      <c r="R44" s="263">
        <v>75855.046038686502</v>
      </c>
      <c r="S44" s="259">
        <v>86137.615187502335</v>
      </c>
      <c r="U44" s="7" t="s">
        <v>4420</v>
      </c>
    </row>
    <row r="45" spans="1:21" ht="16.5" customHeight="1" thickBot="1">
      <c r="A45" s="41" t="s">
        <v>31</v>
      </c>
      <c r="B45" s="42">
        <f t="shared" si="0"/>
        <v>600</v>
      </c>
      <c r="C45" s="42" t="s">
        <v>3</v>
      </c>
      <c r="D45" s="42">
        <f t="shared" si="1"/>
        <v>260</v>
      </c>
      <c r="E45" s="42" t="s">
        <v>3</v>
      </c>
      <c r="F45" s="90">
        <f t="shared" si="2"/>
        <v>2400</v>
      </c>
      <c r="G45" s="42" t="s">
        <v>3</v>
      </c>
      <c r="H45" s="39">
        <v>4</v>
      </c>
      <c r="I45" s="40" t="s">
        <v>41</v>
      </c>
      <c r="J45" s="149">
        <v>600</v>
      </c>
      <c r="K45" s="66">
        <v>260</v>
      </c>
      <c r="L45" s="66">
        <v>2400</v>
      </c>
      <c r="M45" s="164">
        <v>50.17587786767001</v>
      </c>
      <c r="N45" s="78">
        <v>3718.5290275599205</v>
      </c>
      <c r="O45" s="113">
        <v>48264.05334025326</v>
      </c>
      <c r="P45" s="161">
        <v>58747.756976350356</v>
      </c>
      <c r="Q45" s="254">
        <v>28920.690550414929</v>
      </c>
      <c r="R45" s="263">
        <v>77184.743890668193</v>
      </c>
      <c r="S45" s="259">
        <v>87668.447526765289</v>
      </c>
      <c r="U45" s="7" t="s">
        <v>4421</v>
      </c>
    </row>
    <row r="46" spans="1:21" ht="16.5" thickBot="1">
      <c r="A46" s="41" t="s">
        <v>31</v>
      </c>
      <c r="B46" s="42">
        <f t="shared" si="0"/>
        <v>600</v>
      </c>
      <c r="C46" s="42" t="s">
        <v>3</v>
      </c>
      <c r="D46" s="42">
        <f t="shared" si="1"/>
        <v>260</v>
      </c>
      <c r="E46" s="42" t="s">
        <v>3</v>
      </c>
      <c r="F46" s="90">
        <f t="shared" si="2"/>
        <v>2450</v>
      </c>
      <c r="G46" s="42" t="s">
        <v>3</v>
      </c>
      <c r="H46" s="39">
        <v>4</v>
      </c>
      <c r="I46" s="40" t="s">
        <v>41</v>
      </c>
      <c r="J46" s="149">
        <v>600</v>
      </c>
      <c r="K46" s="66">
        <v>260</v>
      </c>
      <c r="L46" s="66">
        <v>2450</v>
      </c>
      <c r="M46" s="164">
        <v>51.324182789495268</v>
      </c>
      <c r="N46" s="78">
        <v>3809.2248575004078</v>
      </c>
      <c r="O46" s="113">
        <v>49789.653567398716</v>
      </c>
      <c r="P46" s="161">
        <v>60434.120163216954</v>
      </c>
      <c r="Q46" s="254">
        <v>29642.480255678664</v>
      </c>
      <c r="R46" s="263">
        <v>79432.133823077384</v>
      </c>
      <c r="S46" s="259">
        <v>90076.600418895614</v>
      </c>
      <c r="U46" s="7" t="s">
        <v>4422</v>
      </c>
    </row>
    <row r="47" spans="1:21" ht="16.5" customHeight="1" thickBot="1">
      <c r="A47" s="41" t="s">
        <v>31</v>
      </c>
      <c r="B47" s="42">
        <f t="shared" si="0"/>
        <v>600</v>
      </c>
      <c r="C47" s="42" t="s">
        <v>3</v>
      </c>
      <c r="D47" s="42">
        <f t="shared" si="1"/>
        <v>260</v>
      </c>
      <c r="E47" s="42" t="s">
        <v>3</v>
      </c>
      <c r="F47" s="90">
        <f t="shared" si="2"/>
        <v>2500</v>
      </c>
      <c r="G47" s="42" t="s">
        <v>3</v>
      </c>
      <c r="H47" s="39">
        <v>4</v>
      </c>
      <c r="I47" s="40" t="s">
        <v>41</v>
      </c>
      <c r="J47" s="149">
        <v>600</v>
      </c>
      <c r="K47" s="66">
        <v>260</v>
      </c>
      <c r="L47" s="66">
        <v>2500</v>
      </c>
      <c r="M47" s="164">
        <v>52.289536859360524</v>
      </c>
      <c r="N47" s="78">
        <v>3899.9206874408924</v>
      </c>
      <c r="O47" s="113">
        <v>50648.89585190043</v>
      </c>
      <c r="P47" s="161">
        <v>61494.496934999945</v>
      </c>
      <c r="Q47" s="254">
        <v>30112.935823158623</v>
      </c>
      <c r="R47" s="263">
        <v>80761.831675059046</v>
      </c>
      <c r="S47" s="259">
        <v>91607.432758158568</v>
      </c>
      <c r="U47" s="7" t="s">
        <v>4423</v>
      </c>
    </row>
    <row r="48" spans="1:21" ht="16.5" thickBot="1">
      <c r="A48" s="41" t="s">
        <v>31</v>
      </c>
      <c r="B48" s="42">
        <f t="shared" si="0"/>
        <v>600</v>
      </c>
      <c r="C48" s="42" t="s">
        <v>3</v>
      </c>
      <c r="D48" s="42">
        <f t="shared" si="1"/>
        <v>260</v>
      </c>
      <c r="E48" s="42" t="s">
        <v>3</v>
      </c>
      <c r="F48" s="90">
        <f t="shared" si="2"/>
        <v>2550</v>
      </c>
      <c r="G48" s="42" t="s">
        <v>3</v>
      </c>
      <c r="H48" s="39">
        <v>4</v>
      </c>
      <c r="I48" s="40" t="s">
        <v>41</v>
      </c>
      <c r="J48" s="149">
        <v>600</v>
      </c>
      <c r="K48" s="66">
        <v>260</v>
      </c>
      <c r="L48" s="66">
        <v>2550</v>
      </c>
      <c r="M48" s="164">
        <v>53.271930929225796</v>
      </c>
      <c r="N48" s="78">
        <v>3990.6165173813797</v>
      </c>
      <c r="O48" s="113">
        <v>51508.138136402151</v>
      </c>
      <c r="P48" s="161">
        <v>62554.873706782921</v>
      </c>
      <c r="Q48" s="254">
        <v>30834.725528422357</v>
      </c>
      <c r="R48" s="263">
        <v>82342.863664824516</v>
      </c>
      <c r="S48" s="259">
        <v>93389.599235205271</v>
      </c>
      <c r="U48" s="7" t="s">
        <v>4424</v>
      </c>
    </row>
    <row r="49" spans="1:21" ht="16.5" customHeight="1" thickBot="1">
      <c r="A49" s="38" t="s">
        <v>31</v>
      </c>
      <c r="B49" s="39">
        <f t="shared" si="0"/>
        <v>600</v>
      </c>
      <c r="C49" s="39" t="s">
        <v>3</v>
      </c>
      <c r="D49" s="39">
        <f t="shared" si="1"/>
        <v>260</v>
      </c>
      <c r="E49" s="39" t="s">
        <v>3</v>
      </c>
      <c r="F49" s="90">
        <f t="shared" si="2"/>
        <v>2600</v>
      </c>
      <c r="G49" s="39" t="s">
        <v>3</v>
      </c>
      <c r="H49" s="39">
        <v>4</v>
      </c>
      <c r="I49" s="40" t="s">
        <v>41</v>
      </c>
      <c r="J49" s="149">
        <v>600</v>
      </c>
      <c r="K49" s="66">
        <v>260</v>
      </c>
      <c r="L49" s="66">
        <v>2600</v>
      </c>
      <c r="M49" s="164">
        <v>54.237284999091052</v>
      </c>
      <c r="N49" s="78">
        <v>4081.3123473218648</v>
      </c>
      <c r="O49" s="113">
        <v>52367.380573932634</v>
      </c>
      <c r="P49" s="161">
        <v>63615.250478565911</v>
      </c>
      <c r="Q49" s="254">
        <v>31305.181095902317</v>
      </c>
      <c r="R49" s="263">
        <v>83672.561669834948</v>
      </c>
      <c r="S49" s="259">
        <v>94920.431574468224</v>
      </c>
      <c r="U49" s="7" t="s">
        <v>4425</v>
      </c>
    </row>
    <row r="50" spans="1:21" ht="16.5" thickBot="1">
      <c r="A50" s="41" t="s">
        <v>31</v>
      </c>
      <c r="B50" s="42">
        <f t="shared" si="0"/>
        <v>600</v>
      </c>
      <c r="C50" s="42" t="s">
        <v>3</v>
      </c>
      <c r="D50" s="42">
        <f t="shared" si="1"/>
        <v>260</v>
      </c>
      <c r="E50" s="42" t="s">
        <v>3</v>
      </c>
      <c r="F50" s="90">
        <f t="shared" si="2"/>
        <v>2650</v>
      </c>
      <c r="G50" s="42" t="s">
        <v>3</v>
      </c>
      <c r="H50" s="39">
        <v>4</v>
      </c>
      <c r="I50" s="40" t="s">
        <v>41</v>
      </c>
      <c r="J50" s="149">
        <v>600</v>
      </c>
      <c r="K50" s="66">
        <v>260</v>
      </c>
      <c r="L50" s="66">
        <v>2650</v>
      </c>
      <c r="M50" s="164">
        <v>55.219679068956317</v>
      </c>
      <c r="N50" s="78">
        <v>4172.0081772623507</v>
      </c>
      <c r="O50" s="113">
        <v>53226.622858434355</v>
      </c>
      <c r="P50" s="161">
        <v>64675.627250349055</v>
      </c>
      <c r="Q50" s="254">
        <v>32026.970801166051</v>
      </c>
      <c r="R50" s="263">
        <v>85253.593659600403</v>
      </c>
      <c r="S50" s="259">
        <v>96702.598051515102</v>
      </c>
      <c r="U50" s="7" t="s">
        <v>4426</v>
      </c>
    </row>
    <row r="51" spans="1:21" ht="16.5" customHeight="1" thickBot="1">
      <c r="A51" s="41" t="s">
        <v>31</v>
      </c>
      <c r="B51" s="42">
        <f t="shared" si="0"/>
        <v>600</v>
      </c>
      <c r="C51" s="42" t="s">
        <v>3</v>
      </c>
      <c r="D51" s="42">
        <f t="shared" si="1"/>
        <v>260</v>
      </c>
      <c r="E51" s="42" t="s">
        <v>3</v>
      </c>
      <c r="F51" s="90">
        <f t="shared" si="2"/>
        <v>2700</v>
      </c>
      <c r="G51" s="42" t="s">
        <v>3</v>
      </c>
      <c r="H51" s="39">
        <v>4</v>
      </c>
      <c r="I51" s="40" t="s">
        <v>41</v>
      </c>
      <c r="J51" s="149">
        <v>600</v>
      </c>
      <c r="K51" s="66">
        <v>260</v>
      </c>
      <c r="L51" s="66">
        <v>2700</v>
      </c>
      <c r="M51" s="164">
        <v>56.263533138821579</v>
      </c>
      <c r="N51" s="78">
        <v>4262.7040072028367</v>
      </c>
      <c r="O51" s="113">
        <v>54169.96347806941</v>
      </c>
      <c r="P51" s="161">
        <v>65820.615727566765</v>
      </c>
      <c r="Q51" s="254">
        <v>32497.426368646011</v>
      </c>
      <c r="R51" s="263">
        <v>86667.389846715421</v>
      </c>
      <c r="S51" s="259">
        <v>98318.042096212768</v>
      </c>
      <c r="U51" s="7" t="s">
        <v>4427</v>
      </c>
    </row>
    <row r="52" spans="1:21" ht="16.5" thickBot="1">
      <c r="A52" s="41" t="s">
        <v>31</v>
      </c>
      <c r="B52" s="42">
        <f t="shared" si="0"/>
        <v>600</v>
      </c>
      <c r="C52" s="42" t="s">
        <v>3</v>
      </c>
      <c r="D52" s="42">
        <f t="shared" si="1"/>
        <v>260</v>
      </c>
      <c r="E52" s="42" t="s">
        <v>3</v>
      </c>
      <c r="F52" s="90">
        <f t="shared" si="2"/>
        <v>2750</v>
      </c>
      <c r="G52" s="42" t="s">
        <v>3</v>
      </c>
      <c r="H52" s="39">
        <v>4</v>
      </c>
      <c r="I52" s="40" t="s">
        <v>41</v>
      </c>
      <c r="J52" s="149">
        <v>600</v>
      </c>
      <c r="K52" s="66">
        <v>260</v>
      </c>
      <c r="L52" s="66">
        <v>2750</v>
      </c>
      <c r="M52" s="164">
        <v>57.228887208686842</v>
      </c>
      <c r="N52" s="78">
        <v>4353.3998371433227</v>
      </c>
      <c r="O52" s="113">
        <v>55029.205762571117</v>
      </c>
      <c r="P52" s="161">
        <v>66880.992499349901</v>
      </c>
      <c r="Q52" s="254">
        <v>32967.881936125974</v>
      </c>
      <c r="R52" s="263">
        <v>87997.087698697083</v>
      </c>
      <c r="S52" s="259">
        <v>99848.874435475882</v>
      </c>
      <c r="U52" s="7" t="s">
        <v>4428</v>
      </c>
    </row>
    <row r="53" spans="1:21" ht="16.5" customHeight="1" thickBot="1">
      <c r="A53" s="41" t="s">
        <v>31</v>
      </c>
      <c r="B53" s="42">
        <f t="shared" si="0"/>
        <v>600</v>
      </c>
      <c r="C53" s="42" t="s">
        <v>3</v>
      </c>
      <c r="D53" s="42">
        <f t="shared" si="1"/>
        <v>260</v>
      </c>
      <c r="E53" s="42" t="s">
        <v>3</v>
      </c>
      <c r="F53" s="90">
        <f t="shared" si="2"/>
        <v>2800</v>
      </c>
      <c r="G53" s="42" t="s">
        <v>3</v>
      </c>
      <c r="H53" s="39">
        <v>4</v>
      </c>
      <c r="I53" s="40" t="s">
        <v>41</v>
      </c>
      <c r="J53" s="149">
        <v>600</v>
      </c>
      <c r="K53" s="66">
        <v>260</v>
      </c>
      <c r="L53" s="66">
        <v>2800</v>
      </c>
      <c r="M53" s="164">
        <v>58.2112812785521</v>
      </c>
      <c r="N53" s="78">
        <v>4444.0956670838086</v>
      </c>
      <c r="O53" s="113">
        <v>55888.4482001016</v>
      </c>
      <c r="P53" s="161">
        <v>67941.369271132891</v>
      </c>
      <c r="Q53" s="254">
        <v>33689.671488360938</v>
      </c>
      <c r="R53" s="263">
        <v>89578.119688462539</v>
      </c>
      <c r="S53" s="259">
        <v>101631.04075949383</v>
      </c>
      <c r="U53" s="7" t="s">
        <v>4429</v>
      </c>
    </row>
    <row r="54" spans="1:21" ht="16.5" thickBot="1">
      <c r="A54" s="41" t="s">
        <v>31</v>
      </c>
      <c r="B54" s="42">
        <f t="shared" si="0"/>
        <v>600</v>
      </c>
      <c r="C54" s="42" t="s">
        <v>3</v>
      </c>
      <c r="D54" s="42">
        <f t="shared" si="1"/>
        <v>260</v>
      </c>
      <c r="E54" s="42" t="s">
        <v>3</v>
      </c>
      <c r="F54" s="90">
        <f t="shared" si="2"/>
        <v>2850</v>
      </c>
      <c r="G54" s="42" t="s">
        <v>3</v>
      </c>
      <c r="H54" s="39">
        <v>4</v>
      </c>
      <c r="I54" s="40" t="s">
        <v>41</v>
      </c>
      <c r="J54" s="149">
        <v>600</v>
      </c>
      <c r="K54" s="66">
        <v>260</v>
      </c>
      <c r="L54" s="66">
        <v>2850</v>
      </c>
      <c r="M54" s="164">
        <v>59.176635348417378</v>
      </c>
      <c r="N54" s="78">
        <v>4534.7914970242946</v>
      </c>
      <c r="O54" s="113">
        <v>56747.690484603321</v>
      </c>
      <c r="P54" s="161">
        <v>69001.746042915882</v>
      </c>
      <c r="Q54" s="254">
        <v>34160.127055840901</v>
      </c>
      <c r="R54" s="263">
        <v>90907.81754044423</v>
      </c>
      <c r="S54" s="259">
        <v>103161.87309875678</v>
      </c>
      <c r="U54" s="7" t="s">
        <v>4430</v>
      </c>
    </row>
    <row r="55" spans="1:21" ht="16.5" customHeight="1" thickBot="1">
      <c r="A55" s="41" t="s">
        <v>31</v>
      </c>
      <c r="B55" s="42">
        <f t="shared" si="0"/>
        <v>600</v>
      </c>
      <c r="C55" s="42" t="s">
        <v>3</v>
      </c>
      <c r="D55" s="42">
        <f t="shared" si="1"/>
        <v>260</v>
      </c>
      <c r="E55" s="42" t="s">
        <v>3</v>
      </c>
      <c r="F55" s="90">
        <f t="shared" si="2"/>
        <v>2900</v>
      </c>
      <c r="G55" s="42" t="s">
        <v>3</v>
      </c>
      <c r="H55" s="39">
        <v>4</v>
      </c>
      <c r="I55" s="40" t="s">
        <v>41</v>
      </c>
      <c r="J55" s="149">
        <v>600</v>
      </c>
      <c r="K55" s="66">
        <v>260</v>
      </c>
      <c r="L55" s="66">
        <v>2900</v>
      </c>
      <c r="M55" s="164">
        <v>60.159029418282621</v>
      </c>
      <c r="N55" s="78">
        <v>4625.4873269647796</v>
      </c>
      <c r="O55" s="113">
        <v>57606.932769105049</v>
      </c>
      <c r="P55" s="161">
        <v>70062.122814698858</v>
      </c>
      <c r="Q55" s="254">
        <v>34881.916761104636</v>
      </c>
      <c r="R55" s="263">
        <v>92488.849530209685</v>
      </c>
      <c r="S55" s="259">
        <v>104944.0395758035</v>
      </c>
      <c r="U55" s="7" t="s">
        <v>4431</v>
      </c>
    </row>
    <row r="56" spans="1:21" ht="16.5" thickBot="1">
      <c r="A56" s="41" t="s">
        <v>31</v>
      </c>
      <c r="B56" s="42">
        <f t="shared" si="0"/>
        <v>600</v>
      </c>
      <c r="C56" s="42" t="s">
        <v>3</v>
      </c>
      <c r="D56" s="42">
        <f t="shared" si="1"/>
        <v>260</v>
      </c>
      <c r="E56" s="42" t="s">
        <v>3</v>
      </c>
      <c r="F56" s="90">
        <f t="shared" si="2"/>
        <v>2950</v>
      </c>
      <c r="G56" s="42" t="s">
        <v>3</v>
      </c>
      <c r="H56" s="39">
        <v>4</v>
      </c>
      <c r="I56" s="40" t="s">
        <v>41</v>
      </c>
      <c r="J56" s="149">
        <v>600</v>
      </c>
      <c r="K56" s="66">
        <v>260</v>
      </c>
      <c r="L56" s="66">
        <v>2950</v>
      </c>
      <c r="M56" s="164">
        <v>61.124383488147892</v>
      </c>
      <c r="N56" s="78">
        <v>4716.1831569052656</v>
      </c>
      <c r="O56" s="113">
        <v>58466.175206635526</v>
      </c>
      <c r="P56" s="161">
        <v>71122.499586482008</v>
      </c>
      <c r="Q56" s="254">
        <v>35352.372328584599</v>
      </c>
      <c r="R56" s="263">
        <v>93818.547535220132</v>
      </c>
      <c r="S56" s="259">
        <v>106474.87191506661</v>
      </c>
      <c r="U56" s="7" t="s">
        <v>4432</v>
      </c>
    </row>
    <row r="57" spans="1:21" ht="16.5" customHeight="1" thickBot="1">
      <c r="A57" s="43" t="s">
        <v>31</v>
      </c>
      <c r="B57" s="44">
        <f t="shared" si="0"/>
        <v>600</v>
      </c>
      <c r="C57" s="44" t="s">
        <v>3</v>
      </c>
      <c r="D57" s="44">
        <f t="shared" si="1"/>
        <v>260</v>
      </c>
      <c r="E57" s="44" t="s">
        <v>3</v>
      </c>
      <c r="F57" s="91">
        <f t="shared" si="2"/>
        <v>3000</v>
      </c>
      <c r="G57" s="44" t="s">
        <v>3</v>
      </c>
      <c r="H57" s="46">
        <v>4</v>
      </c>
      <c r="I57" s="45" t="s">
        <v>41</v>
      </c>
      <c r="J57" s="265">
        <v>600</v>
      </c>
      <c r="K57" s="266">
        <v>260</v>
      </c>
      <c r="L57" s="266">
        <v>3000</v>
      </c>
      <c r="M57" s="249">
        <v>62.10677755801315</v>
      </c>
      <c r="N57" s="250">
        <v>4806.8789868457525</v>
      </c>
      <c r="O57" s="251">
        <v>60606.339107551743</v>
      </c>
      <c r="P57" s="283">
        <v>72182.876358264999</v>
      </c>
      <c r="Q57" s="267">
        <v>36074.162033848326</v>
      </c>
      <c r="R57" s="268">
        <v>96680.501141400076</v>
      </c>
      <c r="S57" s="269">
        <v>108257.03839211332</v>
      </c>
      <c r="U57" s="7" t="s">
        <v>4433</v>
      </c>
    </row>
    <row r="58" spans="1:21" ht="22.5" customHeight="1" thickBot="1">
      <c r="A58" s="2968" t="s">
        <v>43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69"/>
      <c r="R58" s="2969"/>
      <c r="S58" s="2970"/>
      <c r="U58" s="7"/>
    </row>
    <row r="59" spans="1:21" ht="16.5" customHeight="1" thickBot="1">
      <c r="A59" s="2974" t="s">
        <v>117</v>
      </c>
      <c r="B59" s="2975"/>
      <c r="C59" s="2975"/>
      <c r="D59" s="2975"/>
      <c r="E59" s="2975"/>
      <c r="F59" s="2975"/>
      <c r="G59" s="2975"/>
      <c r="H59" s="2975"/>
      <c r="I59" s="2975"/>
      <c r="J59" s="2975"/>
      <c r="K59" s="2975"/>
      <c r="L59" s="2975"/>
      <c r="M59" s="2975"/>
      <c r="N59" s="2975"/>
      <c r="O59" s="2975"/>
      <c r="P59" s="2975"/>
      <c r="Q59" s="2975"/>
      <c r="R59" s="2975"/>
      <c r="S59" s="2976"/>
      <c r="U59" s="7"/>
    </row>
    <row r="60" spans="1:21" ht="16.5" thickBot="1">
      <c r="A60" s="38" t="s">
        <v>31</v>
      </c>
      <c r="B60" s="39">
        <f>J60</f>
        <v>600</v>
      </c>
      <c r="C60" s="39" t="s">
        <v>3</v>
      </c>
      <c r="D60" s="39">
        <f>K60</f>
        <v>300</v>
      </c>
      <c r="E60" s="39" t="s">
        <v>3</v>
      </c>
      <c r="F60" s="90">
        <f>L60</f>
        <v>600</v>
      </c>
      <c r="G60" s="39" t="s">
        <v>3</v>
      </c>
      <c r="H60" s="39">
        <v>4</v>
      </c>
      <c r="I60" s="40" t="s">
        <v>41</v>
      </c>
      <c r="J60" s="270">
        <v>600</v>
      </c>
      <c r="K60" s="271">
        <v>300</v>
      </c>
      <c r="L60" s="271">
        <v>600</v>
      </c>
      <c r="M60" s="245">
        <v>15.121884553074539</v>
      </c>
      <c r="N60" s="246">
        <v>485.68911814448626</v>
      </c>
      <c r="O60" s="247">
        <v>17057.757289972003</v>
      </c>
      <c r="P60" s="170">
        <v>20604.451020518965</v>
      </c>
      <c r="Q60" s="272">
        <v>8941.6715199935952</v>
      </c>
      <c r="R60" s="273">
        <v>25999.428809965597</v>
      </c>
      <c r="S60" s="274">
        <v>29546.122540512559</v>
      </c>
      <c r="U60" s="7" t="s">
        <v>4434</v>
      </c>
    </row>
    <row r="61" spans="1:21" ht="16.5" customHeight="1" thickBot="1">
      <c r="A61" s="41" t="s">
        <v>31</v>
      </c>
      <c r="B61" s="42">
        <f t="shared" ref="B61:B108" si="3">J61</f>
        <v>600</v>
      </c>
      <c r="C61" s="42" t="s">
        <v>3</v>
      </c>
      <c r="D61" s="42">
        <f t="shared" ref="D61:D108" si="4">K61</f>
        <v>300</v>
      </c>
      <c r="E61" s="42" t="s">
        <v>3</v>
      </c>
      <c r="F61" s="90">
        <f t="shared" ref="F61:F108" si="5">L61</f>
        <v>650</v>
      </c>
      <c r="G61" s="42" t="s">
        <v>3</v>
      </c>
      <c r="H61" s="39">
        <v>4</v>
      </c>
      <c r="I61" s="40" t="s">
        <v>41</v>
      </c>
      <c r="J61" s="149">
        <v>600</v>
      </c>
      <c r="K61" s="66">
        <v>300</v>
      </c>
      <c r="L61" s="66">
        <v>650</v>
      </c>
      <c r="M61" s="164">
        <v>16.11137247468643</v>
      </c>
      <c r="N61" s="78">
        <v>582.82694177338351</v>
      </c>
      <c r="O61" s="113">
        <v>17959.961635138741</v>
      </c>
      <c r="P61" s="161">
        <v>21728.450398609097</v>
      </c>
      <c r="Q61" s="254">
        <v>9465.3131529653438</v>
      </c>
      <c r="R61" s="263">
        <v>27425.274788104085</v>
      </c>
      <c r="S61" s="259">
        <v>31193.76355157444</v>
      </c>
      <c r="U61" s="7" t="s">
        <v>4435</v>
      </c>
    </row>
    <row r="62" spans="1:21" ht="16.5" thickBot="1">
      <c r="A62" s="41" t="s">
        <v>31</v>
      </c>
      <c r="B62" s="42">
        <f t="shared" si="3"/>
        <v>600</v>
      </c>
      <c r="C62" s="42" t="s">
        <v>3</v>
      </c>
      <c r="D62" s="42">
        <f t="shared" si="4"/>
        <v>300</v>
      </c>
      <c r="E62" s="42" t="s">
        <v>3</v>
      </c>
      <c r="F62" s="90">
        <f t="shared" si="5"/>
        <v>700</v>
      </c>
      <c r="G62" s="42" t="s">
        <v>3</v>
      </c>
      <c r="H62" s="39">
        <v>4</v>
      </c>
      <c r="I62" s="40" t="s">
        <v>41</v>
      </c>
      <c r="J62" s="149">
        <v>600</v>
      </c>
      <c r="K62" s="66">
        <v>300</v>
      </c>
      <c r="L62" s="66">
        <v>700</v>
      </c>
      <c r="M62" s="164">
        <v>17.118326396298325</v>
      </c>
      <c r="N62" s="78">
        <v>679.9647654022807</v>
      </c>
      <c r="O62" s="113">
        <v>18862.166133334245</v>
      </c>
      <c r="P62" s="161">
        <v>22852.449776699075</v>
      </c>
      <c r="Q62" s="254">
        <v>10240.289076749623</v>
      </c>
      <c r="R62" s="263">
        <v>29102.45521008387</v>
      </c>
      <c r="S62" s="259">
        <v>33092.738853448696</v>
      </c>
      <c r="U62" s="7" t="s">
        <v>4436</v>
      </c>
    </row>
    <row r="63" spans="1:21" ht="16.5" customHeight="1" thickBot="1">
      <c r="A63" s="41" t="s">
        <v>31</v>
      </c>
      <c r="B63" s="42">
        <f t="shared" si="3"/>
        <v>600</v>
      </c>
      <c r="C63" s="42" t="s">
        <v>3</v>
      </c>
      <c r="D63" s="42">
        <f t="shared" si="4"/>
        <v>300</v>
      </c>
      <c r="E63" s="42" t="s">
        <v>3</v>
      </c>
      <c r="F63" s="90">
        <f t="shared" si="5"/>
        <v>750</v>
      </c>
      <c r="G63" s="42" t="s">
        <v>3</v>
      </c>
      <c r="H63" s="39">
        <v>4</v>
      </c>
      <c r="I63" s="40" t="s">
        <v>41</v>
      </c>
      <c r="J63" s="149">
        <v>600</v>
      </c>
      <c r="K63" s="66">
        <v>300</v>
      </c>
      <c r="L63" s="66">
        <v>750</v>
      </c>
      <c r="M63" s="164">
        <v>18.107814317910222</v>
      </c>
      <c r="N63" s="78">
        <v>777.10258903117801</v>
      </c>
      <c r="O63" s="113">
        <v>19764.370631529746</v>
      </c>
      <c r="P63" s="161">
        <v>23976.449154789054</v>
      </c>
      <c r="Q63" s="254">
        <v>10763.930709721371</v>
      </c>
      <c r="R63" s="263">
        <v>30528.301341251117</v>
      </c>
      <c r="S63" s="259">
        <v>34740.379864510425</v>
      </c>
      <c r="U63" s="7" t="s">
        <v>4437</v>
      </c>
    </row>
    <row r="64" spans="1:21" ht="16.5" thickBot="1">
      <c r="A64" s="41" t="s">
        <v>31</v>
      </c>
      <c r="B64" s="42">
        <f t="shared" si="3"/>
        <v>600</v>
      </c>
      <c r="C64" s="42" t="s">
        <v>3</v>
      </c>
      <c r="D64" s="42">
        <f t="shared" si="4"/>
        <v>300</v>
      </c>
      <c r="E64" s="42" t="s">
        <v>3</v>
      </c>
      <c r="F64" s="90">
        <f t="shared" si="5"/>
        <v>800</v>
      </c>
      <c r="G64" s="42" t="s">
        <v>3</v>
      </c>
      <c r="H64" s="39">
        <v>4</v>
      </c>
      <c r="I64" s="40" t="s">
        <v>41</v>
      </c>
      <c r="J64" s="149">
        <v>600</v>
      </c>
      <c r="K64" s="66">
        <v>300</v>
      </c>
      <c r="L64" s="66">
        <v>800</v>
      </c>
      <c r="M64" s="164">
        <v>19.097302239522115</v>
      </c>
      <c r="N64" s="78">
        <v>874.24041266007532</v>
      </c>
      <c r="O64" s="113">
        <v>20666.57497669648</v>
      </c>
      <c r="P64" s="161">
        <v>25100.448532879032</v>
      </c>
      <c r="Q64" s="254">
        <v>11287.572342693116</v>
      </c>
      <c r="R64" s="263">
        <v>31954.147319389594</v>
      </c>
      <c r="S64" s="259">
        <v>36388.020875572147</v>
      </c>
      <c r="U64" s="7" t="s">
        <v>4438</v>
      </c>
    </row>
    <row r="65" spans="1:21" ht="16.5" customHeight="1" thickBot="1">
      <c r="A65" s="41" t="s">
        <v>31</v>
      </c>
      <c r="B65" s="42">
        <f t="shared" si="3"/>
        <v>600</v>
      </c>
      <c r="C65" s="42" t="s">
        <v>3</v>
      </c>
      <c r="D65" s="42">
        <f t="shared" si="4"/>
        <v>300</v>
      </c>
      <c r="E65" s="42" t="s">
        <v>3</v>
      </c>
      <c r="F65" s="90">
        <f t="shared" si="5"/>
        <v>850</v>
      </c>
      <c r="G65" s="42" t="s">
        <v>3</v>
      </c>
      <c r="H65" s="39">
        <v>4</v>
      </c>
      <c r="I65" s="40" t="s">
        <v>41</v>
      </c>
      <c r="J65" s="149">
        <v>600</v>
      </c>
      <c r="K65" s="66">
        <v>300</v>
      </c>
      <c r="L65" s="66">
        <v>850</v>
      </c>
      <c r="M65" s="164">
        <v>20.104256161134007</v>
      </c>
      <c r="N65" s="78">
        <v>971.37823628897252</v>
      </c>
      <c r="O65" s="113">
        <v>21568.779474891984</v>
      </c>
      <c r="P65" s="161">
        <v>26224.447910969004</v>
      </c>
      <c r="Q65" s="254">
        <v>12062.548266477399</v>
      </c>
      <c r="R65" s="263">
        <v>33631.327741369387</v>
      </c>
      <c r="S65" s="259">
        <v>38286.996177446403</v>
      </c>
      <c r="U65" s="7" t="s">
        <v>4439</v>
      </c>
    </row>
    <row r="66" spans="1:21" ht="16.5" thickBot="1">
      <c r="A66" s="41" t="s">
        <v>31</v>
      </c>
      <c r="B66" s="42">
        <f t="shared" si="3"/>
        <v>600</v>
      </c>
      <c r="C66" s="42" t="s">
        <v>3</v>
      </c>
      <c r="D66" s="42">
        <f t="shared" si="4"/>
        <v>300</v>
      </c>
      <c r="E66" s="42" t="s">
        <v>3</v>
      </c>
      <c r="F66" s="90">
        <f t="shared" si="5"/>
        <v>900</v>
      </c>
      <c r="G66" s="42" t="s">
        <v>3</v>
      </c>
      <c r="H66" s="39">
        <v>4</v>
      </c>
      <c r="I66" s="40" t="s">
        <v>41</v>
      </c>
      <c r="J66" s="149">
        <v>600</v>
      </c>
      <c r="K66" s="66">
        <v>300</v>
      </c>
      <c r="L66" s="66">
        <v>900</v>
      </c>
      <c r="M66" s="164">
        <v>21.0937440827459</v>
      </c>
      <c r="N66" s="78">
        <v>1068.5160599178698</v>
      </c>
      <c r="O66" s="113">
        <v>22470.983973087485</v>
      </c>
      <c r="P66" s="161">
        <v>27348.447289059139</v>
      </c>
      <c r="Q66" s="254">
        <v>12586.189899449146</v>
      </c>
      <c r="R66" s="263">
        <v>35057.17387253663</v>
      </c>
      <c r="S66" s="259">
        <v>39934.637188508284</v>
      </c>
      <c r="U66" s="7" t="s">
        <v>4440</v>
      </c>
    </row>
    <row r="67" spans="1:21" ht="16.5" customHeight="1" thickBot="1">
      <c r="A67" s="41" t="s">
        <v>31</v>
      </c>
      <c r="B67" s="42">
        <f t="shared" si="3"/>
        <v>600</v>
      </c>
      <c r="C67" s="42" t="s">
        <v>3</v>
      </c>
      <c r="D67" s="42">
        <f t="shared" si="4"/>
        <v>300</v>
      </c>
      <c r="E67" s="42" t="s">
        <v>3</v>
      </c>
      <c r="F67" s="90">
        <f t="shared" si="5"/>
        <v>950</v>
      </c>
      <c r="G67" s="42" t="s">
        <v>3</v>
      </c>
      <c r="H67" s="39">
        <v>4</v>
      </c>
      <c r="I67" s="40" t="s">
        <v>41</v>
      </c>
      <c r="J67" s="149">
        <v>600</v>
      </c>
      <c r="K67" s="66">
        <v>300</v>
      </c>
      <c r="L67" s="66">
        <v>950</v>
      </c>
      <c r="M67" s="164">
        <v>22.100698004357795</v>
      </c>
      <c r="N67" s="78">
        <v>1165.653883546767</v>
      </c>
      <c r="O67" s="113">
        <v>23373.188318254222</v>
      </c>
      <c r="P67" s="161">
        <v>28472.446667149121</v>
      </c>
      <c r="Q67" s="254">
        <v>13361.165670204662</v>
      </c>
      <c r="R67" s="263">
        <v>36734.353988458883</v>
      </c>
      <c r="S67" s="259">
        <v>41833.612337353785</v>
      </c>
      <c r="U67" s="7" t="s">
        <v>4441</v>
      </c>
    </row>
    <row r="68" spans="1:21" ht="16.5" thickBot="1">
      <c r="A68" s="41" t="s">
        <v>31</v>
      </c>
      <c r="B68" s="42">
        <f t="shared" si="3"/>
        <v>600</v>
      </c>
      <c r="C68" s="42" t="s">
        <v>3</v>
      </c>
      <c r="D68" s="42">
        <f t="shared" si="4"/>
        <v>300</v>
      </c>
      <c r="E68" s="42" t="s">
        <v>3</v>
      </c>
      <c r="F68" s="90">
        <f t="shared" si="5"/>
        <v>1000</v>
      </c>
      <c r="G68" s="42" t="s">
        <v>3</v>
      </c>
      <c r="H68" s="39">
        <v>4</v>
      </c>
      <c r="I68" s="40" t="s">
        <v>41</v>
      </c>
      <c r="J68" s="149">
        <v>600</v>
      </c>
      <c r="K68" s="66">
        <v>300</v>
      </c>
      <c r="L68" s="66">
        <v>1000</v>
      </c>
      <c r="M68" s="164">
        <v>23.090185925969699</v>
      </c>
      <c r="N68" s="78">
        <v>1262.7917071756642</v>
      </c>
      <c r="O68" s="113">
        <v>24275.392816449723</v>
      </c>
      <c r="P68" s="161">
        <v>29596.446045239092</v>
      </c>
      <c r="Q68" s="254">
        <v>13884.807456205173</v>
      </c>
      <c r="R68" s="263">
        <v>38160.200272654896</v>
      </c>
      <c r="S68" s="259">
        <v>43481.253501444269</v>
      </c>
      <c r="U68" s="7" t="s">
        <v>4442</v>
      </c>
    </row>
    <row r="69" spans="1:21" ht="16.5" customHeight="1" thickBot="1">
      <c r="A69" s="41" t="s">
        <v>31</v>
      </c>
      <c r="B69" s="42">
        <f t="shared" si="3"/>
        <v>600</v>
      </c>
      <c r="C69" s="42" t="s">
        <v>3</v>
      </c>
      <c r="D69" s="42">
        <f t="shared" si="4"/>
        <v>300</v>
      </c>
      <c r="E69" s="42" t="s">
        <v>3</v>
      </c>
      <c r="F69" s="90">
        <f t="shared" si="5"/>
        <v>1050</v>
      </c>
      <c r="G69" s="42" t="s">
        <v>3</v>
      </c>
      <c r="H69" s="39">
        <v>4</v>
      </c>
      <c r="I69" s="40" t="s">
        <v>41</v>
      </c>
      <c r="J69" s="149">
        <v>600</v>
      </c>
      <c r="K69" s="66">
        <v>300</v>
      </c>
      <c r="L69" s="66">
        <v>1050</v>
      </c>
      <c r="M69" s="164">
        <v>24.097139847581587</v>
      </c>
      <c r="N69" s="78">
        <v>1359.9295308045614</v>
      </c>
      <c r="O69" s="113">
        <v>25177.597314645227</v>
      </c>
      <c r="P69" s="161">
        <v>30720.445423329071</v>
      </c>
      <c r="Q69" s="254">
        <v>14659.78322696069</v>
      </c>
      <c r="R69" s="263">
        <v>39837.380541605919</v>
      </c>
      <c r="S69" s="259">
        <v>45380.228650289762</v>
      </c>
      <c r="U69" s="7" t="s">
        <v>4443</v>
      </c>
    </row>
    <row r="70" spans="1:21" ht="16.5" thickBot="1">
      <c r="A70" s="38" t="s">
        <v>31</v>
      </c>
      <c r="B70" s="39">
        <f t="shared" si="3"/>
        <v>600</v>
      </c>
      <c r="C70" s="39" t="s">
        <v>3</v>
      </c>
      <c r="D70" s="39">
        <f t="shared" si="4"/>
        <v>300</v>
      </c>
      <c r="E70" s="39" t="s">
        <v>3</v>
      </c>
      <c r="F70" s="90">
        <f t="shared" si="5"/>
        <v>1100</v>
      </c>
      <c r="G70" s="39" t="s">
        <v>3</v>
      </c>
      <c r="H70" s="39">
        <v>4</v>
      </c>
      <c r="I70" s="40" t="s">
        <v>41</v>
      </c>
      <c r="J70" s="149">
        <v>600</v>
      </c>
      <c r="K70" s="66">
        <v>300</v>
      </c>
      <c r="L70" s="66">
        <v>1100</v>
      </c>
      <c r="M70" s="164">
        <v>25.086627769193484</v>
      </c>
      <c r="N70" s="78">
        <v>1457.0673544334588</v>
      </c>
      <c r="O70" s="113">
        <v>26079.801812840731</v>
      </c>
      <c r="P70" s="161">
        <v>31844.444801419053</v>
      </c>
      <c r="Q70" s="254">
        <v>15183.425012961201</v>
      </c>
      <c r="R70" s="263">
        <v>41263.226825801932</v>
      </c>
      <c r="S70" s="259">
        <v>47027.869814380254</v>
      </c>
      <c r="U70" s="7" t="s">
        <v>4444</v>
      </c>
    </row>
    <row r="71" spans="1:21" ht="16.5" customHeight="1" thickBot="1">
      <c r="A71" s="41" t="s">
        <v>31</v>
      </c>
      <c r="B71" s="42">
        <f t="shared" si="3"/>
        <v>600</v>
      </c>
      <c r="C71" s="42" t="s">
        <v>3</v>
      </c>
      <c r="D71" s="42">
        <f t="shared" si="4"/>
        <v>300</v>
      </c>
      <c r="E71" s="42" t="s">
        <v>3</v>
      </c>
      <c r="F71" s="90">
        <f t="shared" si="5"/>
        <v>1150</v>
      </c>
      <c r="G71" s="42" t="s">
        <v>3</v>
      </c>
      <c r="H71" s="39">
        <v>4</v>
      </c>
      <c r="I71" s="40" t="s">
        <v>41</v>
      </c>
      <c r="J71" s="149">
        <v>600</v>
      </c>
      <c r="K71" s="66">
        <v>300</v>
      </c>
      <c r="L71" s="66">
        <v>1150</v>
      </c>
      <c r="M71" s="164">
        <v>26.076115690805377</v>
      </c>
      <c r="N71" s="78">
        <v>1554.205178062356</v>
      </c>
      <c r="O71" s="113">
        <v>26982.006158007462</v>
      </c>
      <c r="P71" s="161">
        <v>32968.444179509184</v>
      </c>
      <c r="Q71" s="254">
        <v>15707.066645932946</v>
      </c>
      <c r="R71" s="263">
        <v>42689.072803940406</v>
      </c>
      <c r="S71" s="259">
        <v>48675.510825442128</v>
      </c>
      <c r="U71" s="7" t="s">
        <v>4445</v>
      </c>
    </row>
    <row r="72" spans="1:21" ht="16.5" thickBot="1">
      <c r="A72" s="41" t="s">
        <v>31</v>
      </c>
      <c r="B72" s="42">
        <f t="shared" si="3"/>
        <v>600</v>
      </c>
      <c r="C72" s="42" t="s">
        <v>3</v>
      </c>
      <c r="D72" s="42">
        <f t="shared" si="4"/>
        <v>300</v>
      </c>
      <c r="E72" s="42" t="s">
        <v>3</v>
      </c>
      <c r="F72" s="90">
        <f t="shared" si="5"/>
        <v>1200</v>
      </c>
      <c r="G72" s="42" t="s">
        <v>3</v>
      </c>
      <c r="H72" s="39">
        <v>4</v>
      </c>
      <c r="I72" s="40" t="s">
        <v>41</v>
      </c>
      <c r="J72" s="149">
        <v>600</v>
      </c>
      <c r="K72" s="66">
        <v>300</v>
      </c>
      <c r="L72" s="66">
        <v>1200</v>
      </c>
      <c r="M72" s="164">
        <v>27.163532112417268</v>
      </c>
      <c r="N72" s="78">
        <v>1651.3430016912532</v>
      </c>
      <c r="O72" s="113">
        <v>27972.513915744399</v>
      </c>
      <c r="P72" s="161">
        <v>34182.131965359971</v>
      </c>
      <c r="Q72" s="254">
        <v>16482.042416688462</v>
      </c>
      <c r="R72" s="263">
        <v>44454.556332432861</v>
      </c>
      <c r="S72" s="259">
        <v>50664.174382048433</v>
      </c>
      <c r="U72" s="7" t="s">
        <v>4446</v>
      </c>
    </row>
    <row r="73" spans="1:21" ht="16.5" customHeight="1" thickBot="1">
      <c r="A73" s="41" t="s">
        <v>31</v>
      </c>
      <c r="B73" s="42">
        <f t="shared" si="3"/>
        <v>600</v>
      </c>
      <c r="C73" s="42" t="s">
        <v>3</v>
      </c>
      <c r="D73" s="42">
        <f t="shared" si="4"/>
        <v>300</v>
      </c>
      <c r="E73" s="42" t="s">
        <v>3</v>
      </c>
      <c r="F73" s="90">
        <f t="shared" si="5"/>
        <v>1250</v>
      </c>
      <c r="G73" s="42" t="s">
        <v>3</v>
      </c>
      <c r="H73" s="39">
        <v>4</v>
      </c>
      <c r="I73" s="40" t="s">
        <v>41</v>
      </c>
      <c r="J73" s="149">
        <v>600</v>
      </c>
      <c r="K73" s="66">
        <v>300</v>
      </c>
      <c r="L73" s="66">
        <v>1250</v>
      </c>
      <c r="M73" s="164">
        <v>28.153020034029169</v>
      </c>
      <c r="N73" s="78">
        <v>1748.4808253201506</v>
      </c>
      <c r="O73" s="113">
        <v>28874.718260911137</v>
      </c>
      <c r="P73" s="161">
        <v>35306.131343450106</v>
      </c>
      <c r="Q73" s="254">
        <v>17005.684202688975</v>
      </c>
      <c r="R73" s="263">
        <v>45880.402463600112</v>
      </c>
      <c r="S73" s="259">
        <v>52311.815546139085</v>
      </c>
      <c r="U73" s="7" t="s">
        <v>4447</v>
      </c>
    </row>
    <row r="74" spans="1:21" ht="16.5" thickBot="1">
      <c r="A74" s="41" t="s">
        <v>31</v>
      </c>
      <c r="B74" s="42">
        <f t="shared" si="3"/>
        <v>600</v>
      </c>
      <c r="C74" s="42" t="s">
        <v>3</v>
      </c>
      <c r="D74" s="42">
        <f t="shared" si="4"/>
        <v>300</v>
      </c>
      <c r="E74" s="42" t="s">
        <v>3</v>
      </c>
      <c r="F74" s="90">
        <f t="shared" si="5"/>
        <v>1300</v>
      </c>
      <c r="G74" s="42" t="s">
        <v>3</v>
      </c>
      <c r="H74" s="39">
        <v>4</v>
      </c>
      <c r="I74" s="40" t="s">
        <v>41</v>
      </c>
      <c r="J74" s="149">
        <v>600</v>
      </c>
      <c r="K74" s="66">
        <v>300</v>
      </c>
      <c r="L74" s="66">
        <v>1300</v>
      </c>
      <c r="M74" s="164">
        <v>29.15997395564106</v>
      </c>
      <c r="N74" s="78">
        <v>1845.6186489490476</v>
      </c>
      <c r="O74" s="113">
        <v>29776.922759106637</v>
      </c>
      <c r="P74" s="161">
        <v>36430.130721540081</v>
      </c>
      <c r="Q74" s="254">
        <v>17780.65997344449</v>
      </c>
      <c r="R74" s="263">
        <v>47557.582732551127</v>
      </c>
      <c r="S74" s="259">
        <v>54210.790694984571</v>
      </c>
      <c r="U74" s="7" t="s">
        <v>4448</v>
      </c>
    </row>
    <row r="75" spans="1:21" ht="16.5" customHeight="1" thickBot="1">
      <c r="A75" s="41" t="s">
        <v>31</v>
      </c>
      <c r="B75" s="42">
        <f t="shared" si="3"/>
        <v>600</v>
      </c>
      <c r="C75" s="42" t="s">
        <v>3</v>
      </c>
      <c r="D75" s="42">
        <f t="shared" si="4"/>
        <v>300</v>
      </c>
      <c r="E75" s="42" t="s">
        <v>3</v>
      </c>
      <c r="F75" s="90">
        <f t="shared" si="5"/>
        <v>1350</v>
      </c>
      <c r="G75" s="42" t="s">
        <v>3</v>
      </c>
      <c r="H75" s="39">
        <v>4</v>
      </c>
      <c r="I75" s="40" t="s">
        <v>41</v>
      </c>
      <c r="J75" s="149">
        <v>600</v>
      </c>
      <c r="K75" s="66">
        <v>300</v>
      </c>
      <c r="L75" s="66">
        <v>1350</v>
      </c>
      <c r="M75" s="164">
        <v>30.149461877252957</v>
      </c>
      <c r="N75" s="78">
        <v>1942.756472577945</v>
      </c>
      <c r="O75" s="113">
        <v>30679.127257302142</v>
      </c>
      <c r="P75" s="161">
        <v>37554.130099630063</v>
      </c>
      <c r="Q75" s="254">
        <v>18304.301606416237</v>
      </c>
      <c r="R75" s="263">
        <v>48983.428863718378</v>
      </c>
      <c r="S75" s="259">
        <v>55858.4317060463</v>
      </c>
      <c r="U75" s="7" t="s">
        <v>4449</v>
      </c>
    </row>
    <row r="76" spans="1:21" ht="16.5" thickBot="1">
      <c r="A76" s="41" t="s">
        <v>31</v>
      </c>
      <c r="B76" s="42">
        <f t="shared" si="3"/>
        <v>600</v>
      </c>
      <c r="C76" s="42" t="s">
        <v>3</v>
      </c>
      <c r="D76" s="42">
        <f t="shared" si="4"/>
        <v>300</v>
      </c>
      <c r="E76" s="42" t="s">
        <v>3</v>
      </c>
      <c r="F76" s="90">
        <f t="shared" si="5"/>
        <v>1400</v>
      </c>
      <c r="G76" s="42" t="s">
        <v>3</v>
      </c>
      <c r="H76" s="39">
        <v>4</v>
      </c>
      <c r="I76" s="40" t="s">
        <v>41</v>
      </c>
      <c r="J76" s="149">
        <v>600</v>
      </c>
      <c r="K76" s="66">
        <v>300</v>
      </c>
      <c r="L76" s="66">
        <v>1400</v>
      </c>
      <c r="M76" s="164">
        <v>31.156415798864852</v>
      </c>
      <c r="N76" s="78">
        <v>2039.8942962068425</v>
      </c>
      <c r="O76" s="113">
        <v>31581.331602468879</v>
      </c>
      <c r="P76" s="161">
        <v>38678.129477720038</v>
      </c>
      <c r="Q76" s="254">
        <v>19079.277530200521</v>
      </c>
      <c r="R76" s="263">
        <v>50660.6091326694</v>
      </c>
      <c r="S76" s="259">
        <v>57757.407007920556</v>
      </c>
      <c r="U76" s="7" t="s">
        <v>4450</v>
      </c>
    </row>
    <row r="77" spans="1:21" ht="16.5" customHeight="1" thickBot="1">
      <c r="A77" s="41" t="s">
        <v>31</v>
      </c>
      <c r="B77" s="42">
        <f t="shared" si="3"/>
        <v>600</v>
      </c>
      <c r="C77" s="42" t="s">
        <v>3</v>
      </c>
      <c r="D77" s="42">
        <f t="shared" si="4"/>
        <v>300</v>
      </c>
      <c r="E77" s="42" t="s">
        <v>3</v>
      </c>
      <c r="F77" s="90">
        <f t="shared" si="5"/>
        <v>1450</v>
      </c>
      <c r="G77" s="42" t="s">
        <v>3</v>
      </c>
      <c r="H77" s="39">
        <v>4</v>
      </c>
      <c r="I77" s="40" t="s">
        <v>41</v>
      </c>
      <c r="J77" s="149">
        <v>600</v>
      </c>
      <c r="K77" s="66">
        <v>300</v>
      </c>
      <c r="L77" s="66">
        <v>1450</v>
      </c>
      <c r="M77" s="164">
        <v>32.145903720476753</v>
      </c>
      <c r="N77" s="78">
        <v>2137.0321198357396</v>
      </c>
      <c r="O77" s="113">
        <v>32483.53610066438</v>
      </c>
      <c r="P77" s="161">
        <v>39802.128855810013</v>
      </c>
      <c r="Q77" s="254">
        <v>19602.919163172111</v>
      </c>
      <c r="R77" s="263">
        <v>52086.455263836491</v>
      </c>
      <c r="S77" s="259">
        <v>59405.048018982125</v>
      </c>
      <c r="U77" s="7" t="s">
        <v>4451</v>
      </c>
    </row>
    <row r="78" spans="1:21" ht="16.5" thickBot="1">
      <c r="A78" s="41" t="s">
        <v>31</v>
      </c>
      <c r="B78" s="42">
        <f t="shared" si="3"/>
        <v>600</v>
      </c>
      <c r="C78" s="42" t="s">
        <v>3</v>
      </c>
      <c r="D78" s="42">
        <f t="shared" si="4"/>
        <v>300</v>
      </c>
      <c r="E78" s="42" t="s">
        <v>3</v>
      </c>
      <c r="F78" s="90">
        <f t="shared" si="5"/>
        <v>1500</v>
      </c>
      <c r="G78" s="42" t="s">
        <v>3</v>
      </c>
      <c r="H78" s="39">
        <v>4</v>
      </c>
      <c r="I78" s="40" t="s">
        <v>41</v>
      </c>
      <c r="J78" s="149">
        <v>600</v>
      </c>
      <c r="K78" s="66">
        <v>300</v>
      </c>
      <c r="L78" s="66">
        <v>1500</v>
      </c>
      <c r="M78" s="164">
        <v>33.322916265347644</v>
      </c>
      <c r="N78" s="78">
        <v>2234.1699434646366</v>
      </c>
      <c r="O78" s="113">
        <v>34085.416270304166</v>
      </c>
      <c r="P78" s="161">
        <v>41589.673833888563</v>
      </c>
      <c r="Q78" s="254">
        <v>20377.895086956549</v>
      </c>
      <c r="R78" s="263">
        <v>54463.311357260711</v>
      </c>
      <c r="S78" s="259">
        <v>61967.568920845108</v>
      </c>
      <c r="U78" s="7" t="s">
        <v>4452</v>
      </c>
    </row>
    <row r="79" spans="1:21" ht="16.5" customHeight="1" thickBot="1">
      <c r="A79" s="41" t="s">
        <v>31</v>
      </c>
      <c r="B79" s="42">
        <f t="shared" si="3"/>
        <v>600</v>
      </c>
      <c r="C79" s="42" t="s">
        <v>3</v>
      </c>
      <c r="D79" s="42">
        <f t="shared" si="4"/>
        <v>300</v>
      </c>
      <c r="E79" s="42" t="s">
        <v>3</v>
      </c>
      <c r="F79" s="90">
        <f t="shared" si="5"/>
        <v>1550</v>
      </c>
      <c r="G79" s="42" t="s">
        <v>3</v>
      </c>
      <c r="H79" s="39">
        <v>4</v>
      </c>
      <c r="I79" s="40" t="s">
        <v>41</v>
      </c>
      <c r="J79" s="149">
        <v>600</v>
      </c>
      <c r="K79" s="66">
        <v>300</v>
      </c>
      <c r="L79" s="66">
        <v>1550</v>
      </c>
      <c r="M79" s="164">
        <v>34.31240418695954</v>
      </c>
      <c r="N79" s="78">
        <v>2331.307767093534</v>
      </c>
      <c r="O79" s="113">
        <v>34987.62076849967</v>
      </c>
      <c r="P79" s="161">
        <v>42713.673211978545</v>
      </c>
      <c r="Q79" s="254">
        <v>20901.536719928292</v>
      </c>
      <c r="R79" s="263">
        <v>55889.157488427962</v>
      </c>
      <c r="S79" s="259">
        <v>63615.209931906837</v>
      </c>
      <c r="U79" s="7" t="s">
        <v>4453</v>
      </c>
    </row>
    <row r="80" spans="1:21" ht="16.5" thickBot="1">
      <c r="A80" s="38" t="s">
        <v>31</v>
      </c>
      <c r="B80" s="39">
        <f t="shared" si="3"/>
        <v>600</v>
      </c>
      <c r="C80" s="39" t="s">
        <v>3</v>
      </c>
      <c r="D80" s="39">
        <f t="shared" si="4"/>
        <v>300</v>
      </c>
      <c r="E80" s="39" t="s">
        <v>3</v>
      </c>
      <c r="F80" s="90">
        <f t="shared" si="5"/>
        <v>1600</v>
      </c>
      <c r="G80" s="39" t="s">
        <v>3</v>
      </c>
      <c r="H80" s="39">
        <v>4</v>
      </c>
      <c r="I80" s="40" t="s">
        <v>41</v>
      </c>
      <c r="J80" s="149">
        <v>600</v>
      </c>
      <c r="K80" s="66">
        <v>300</v>
      </c>
      <c r="L80" s="66">
        <v>1600</v>
      </c>
      <c r="M80" s="164">
        <v>35.30189210857143</v>
      </c>
      <c r="N80" s="78">
        <v>2428.4455907224315</v>
      </c>
      <c r="O80" s="113">
        <v>35889.825113666404</v>
      </c>
      <c r="P80" s="161">
        <v>43837.67259006868</v>
      </c>
      <c r="Q80" s="254">
        <v>21425.178352900039</v>
      </c>
      <c r="R80" s="263">
        <v>57315.003466566443</v>
      </c>
      <c r="S80" s="259">
        <v>65262.850942968718</v>
      </c>
      <c r="U80" s="7" t="s">
        <v>4454</v>
      </c>
    </row>
    <row r="81" spans="1:21" ht="16.5" customHeight="1" thickBot="1">
      <c r="A81" s="41" t="s">
        <v>31</v>
      </c>
      <c r="B81" s="42">
        <f t="shared" si="3"/>
        <v>600</v>
      </c>
      <c r="C81" s="42" t="s">
        <v>3</v>
      </c>
      <c r="D81" s="42">
        <f t="shared" si="4"/>
        <v>300</v>
      </c>
      <c r="E81" s="42" t="s">
        <v>3</v>
      </c>
      <c r="F81" s="90">
        <f t="shared" si="5"/>
        <v>1650</v>
      </c>
      <c r="G81" s="42" t="s">
        <v>3</v>
      </c>
      <c r="H81" s="39">
        <v>4</v>
      </c>
      <c r="I81" s="40" t="s">
        <v>41</v>
      </c>
      <c r="J81" s="149">
        <v>600</v>
      </c>
      <c r="K81" s="66">
        <v>300</v>
      </c>
      <c r="L81" s="66">
        <v>1650</v>
      </c>
      <c r="M81" s="164">
        <v>36.308846030183332</v>
      </c>
      <c r="N81" s="78">
        <v>2525.5834143513284</v>
      </c>
      <c r="O81" s="113">
        <v>36792.029611861908</v>
      </c>
      <c r="P81" s="161">
        <v>44961.671968158655</v>
      </c>
      <c r="Q81" s="254">
        <v>22200.154276684319</v>
      </c>
      <c r="R81" s="263">
        <v>58992.183888546228</v>
      </c>
      <c r="S81" s="259">
        <v>67161.826244842974</v>
      </c>
      <c r="U81" s="7" t="s">
        <v>4455</v>
      </c>
    </row>
    <row r="82" spans="1:21" ht="16.5" thickBot="1">
      <c r="A82" s="41" t="s">
        <v>31</v>
      </c>
      <c r="B82" s="42">
        <f t="shared" si="3"/>
        <v>600</v>
      </c>
      <c r="C82" s="42" t="s">
        <v>3</v>
      </c>
      <c r="D82" s="42">
        <f t="shared" si="4"/>
        <v>300</v>
      </c>
      <c r="E82" s="42" t="s">
        <v>3</v>
      </c>
      <c r="F82" s="90">
        <f t="shared" si="5"/>
        <v>1700</v>
      </c>
      <c r="G82" s="42" t="s">
        <v>3</v>
      </c>
      <c r="H82" s="39">
        <v>4</v>
      </c>
      <c r="I82" s="40" t="s">
        <v>41</v>
      </c>
      <c r="J82" s="149">
        <v>600</v>
      </c>
      <c r="K82" s="66">
        <v>300</v>
      </c>
      <c r="L82" s="66">
        <v>1700</v>
      </c>
      <c r="M82" s="164">
        <v>37.298333951795229</v>
      </c>
      <c r="N82" s="78">
        <v>2622.7212379802259</v>
      </c>
      <c r="O82" s="113">
        <v>37694.234110057405</v>
      </c>
      <c r="P82" s="161">
        <v>46085.67134624863</v>
      </c>
      <c r="Q82" s="254">
        <v>22723.795909656066</v>
      </c>
      <c r="R82" s="263">
        <v>60418.030019713471</v>
      </c>
      <c r="S82" s="259">
        <v>68809.467255904688</v>
      </c>
      <c r="U82" s="7" t="s">
        <v>4456</v>
      </c>
    </row>
    <row r="83" spans="1:21" ht="16.5" customHeight="1" thickBot="1">
      <c r="A83" s="41" t="s">
        <v>31</v>
      </c>
      <c r="B83" s="42">
        <f t="shared" si="3"/>
        <v>600</v>
      </c>
      <c r="C83" s="42" t="s">
        <v>3</v>
      </c>
      <c r="D83" s="42">
        <f t="shared" si="4"/>
        <v>300</v>
      </c>
      <c r="E83" s="42" t="s">
        <v>3</v>
      </c>
      <c r="F83" s="90">
        <f t="shared" si="5"/>
        <v>1750</v>
      </c>
      <c r="G83" s="42" t="s">
        <v>3</v>
      </c>
      <c r="H83" s="39">
        <v>4</v>
      </c>
      <c r="I83" s="40" t="s">
        <v>41</v>
      </c>
      <c r="J83" s="149">
        <v>600</v>
      </c>
      <c r="K83" s="66">
        <v>300</v>
      </c>
      <c r="L83" s="66">
        <v>1750</v>
      </c>
      <c r="M83" s="164">
        <v>38.305287873407117</v>
      </c>
      <c r="N83" s="78">
        <v>2719.8590616091228</v>
      </c>
      <c r="O83" s="113">
        <v>38596.438455224146</v>
      </c>
      <c r="P83" s="161">
        <v>47209.670724338612</v>
      </c>
      <c r="Q83" s="254">
        <v>23498.771833440347</v>
      </c>
      <c r="R83" s="263">
        <v>62095.210288664493</v>
      </c>
      <c r="S83" s="259">
        <v>70708.442557778966</v>
      </c>
      <c r="U83" s="7" t="s">
        <v>4457</v>
      </c>
    </row>
    <row r="84" spans="1:21" ht="16.5" thickBot="1">
      <c r="A84" s="41" t="s">
        <v>31</v>
      </c>
      <c r="B84" s="42">
        <f t="shared" si="3"/>
        <v>600</v>
      </c>
      <c r="C84" s="42" t="s">
        <v>3</v>
      </c>
      <c r="D84" s="42">
        <f t="shared" si="4"/>
        <v>300</v>
      </c>
      <c r="E84" s="42" t="s">
        <v>3</v>
      </c>
      <c r="F84" s="90">
        <f t="shared" si="5"/>
        <v>1800</v>
      </c>
      <c r="G84" s="42" t="s">
        <v>3</v>
      </c>
      <c r="H84" s="39">
        <v>4</v>
      </c>
      <c r="I84" s="40" t="s">
        <v>41</v>
      </c>
      <c r="J84" s="149">
        <v>600</v>
      </c>
      <c r="K84" s="66">
        <v>300</v>
      </c>
      <c r="L84" s="66">
        <v>1800</v>
      </c>
      <c r="M84" s="164">
        <v>39.294775795019014</v>
      </c>
      <c r="N84" s="78">
        <v>2816.9968852380202</v>
      </c>
      <c r="O84" s="113">
        <v>39498.642953419643</v>
      </c>
      <c r="P84" s="161">
        <v>48333.670102428587</v>
      </c>
      <c r="Q84" s="254">
        <v>24022.413466412094</v>
      </c>
      <c r="R84" s="263">
        <v>63521.056419831737</v>
      </c>
      <c r="S84" s="259">
        <v>72356.083568840681</v>
      </c>
      <c r="U84" s="7" t="s">
        <v>4458</v>
      </c>
    </row>
    <row r="85" spans="1:21" ht="16.5" customHeight="1" thickBot="1">
      <c r="A85" s="41" t="s">
        <v>31</v>
      </c>
      <c r="B85" s="42">
        <f t="shared" si="3"/>
        <v>600</v>
      </c>
      <c r="C85" s="42" t="s">
        <v>3</v>
      </c>
      <c r="D85" s="42">
        <f t="shared" si="4"/>
        <v>300</v>
      </c>
      <c r="E85" s="42" t="s">
        <v>3</v>
      </c>
      <c r="F85" s="90">
        <f t="shared" si="5"/>
        <v>1850</v>
      </c>
      <c r="G85" s="42" t="s">
        <v>3</v>
      </c>
      <c r="H85" s="39">
        <v>4</v>
      </c>
      <c r="I85" s="40" t="s">
        <v>41</v>
      </c>
      <c r="J85" s="149">
        <v>600</v>
      </c>
      <c r="K85" s="66">
        <v>300</v>
      </c>
      <c r="L85" s="66">
        <v>1850</v>
      </c>
      <c r="M85" s="164">
        <v>40.301729716630909</v>
      </c>
      <c r="N85" s="78">
        <v>2914.1347088669177</v>
      </c>
      <c r="O85" s="113">
        <v>40400.847451615147</v>
      </c>
      <c r="P85" s="161">
        <v>49457.669480518714</v>
      </c>
      <c r="Q85" s="254">
        <v>24797.389237167612</v>
      </c>
      <c r="R85" s="263">
        <v>65198.236688782759</v>
      </c>
      <c r="S85" s="259">
        <v>74255.058717686334</v>
      </c>
      <c r="U85" s="7" t="s">
        <v>4459</v>
      </c>
    </row>
    <row r="86" spans="1:21" ht="16.5" thickBot="1">
      <c r="A86" s="41" t="s">
        <v>31</v>
      </c>
      <c r="B86" s="42">
        <f t="shared" si="3"/>
        <v>600</v>
      </c>
      <c r="C86" s="42" t="s">
        <v>3</v>
      </c>
      <c r="D86" s="42">
        <f t="shared" si="4"/>
        <v>300</v>
      </c>
      <c r="E86" s="42" t="s">
        <v>3</v>
      </c>
      <c r="F86" s="90">
        <f t="shared" si="5"/>
        <v>1900</v>
      </c>
      <c r="G86" s="42" t="s">
        <v>3</v>
      </c>
      <c r="H86" s="39">
        <v>4</v>
      </c>
      <c r="I86" s="40" t="s">
        <v>41</v>
      </c>
      <c r="J86" s="149">
        <v>600</v>
      </c>
      <c r="K86" s="66">
        <v>300</v>
      </c>
      <c r="L86" s="66">
        <v>1900</v>
      </c>
      <c r="M86" s="164">
        <v>41.291217638242799</v>
      </c>
      <c r="N86" s="78">
        <v>3011.2725324958151</v>
      </c>
      <c r="O86" s="113">
        <v>41303.051796781889</v>
      </c>
      <c r="P86" s="161">
        <v>50581.668858608697</v>
      </c>
      <c r="Q86" s="254">
        <v>25321.031023168125</v>
      </c>
      <c r="R86" s="263">
        <v>66624.08281995001</v>
      </c>
      <c r="S86" s="259">
        <v>75902.699881776818</v>
      </c>
      <c r="U86" s="7" t="s">
        <v>4460</v>
      </c>
    </row>
    <row r="87" spans="1:21" ht="16.5" customHeight="1" thickBot="1">
      <c r="A87" s="41" t="s">
        <v>31</v>
      </c>
      <c r="B87" s="42">
        <f t="shared" si="3"/>
        <v>600</v>
      </c>
      <c r="C87" s="42" t="s">
        <v>3</v>
      </c>
      <c r="D87" s="42">
        <f t="shared" si="4"/>
        <v>300</v>
      </c>
      <c r="E87" s="42" t="s">
        <v>3</v>
      </c>
      <c r="F87" s="90">
        <f t="shared" si="5"/>
        <v>1950</v>
      </c>
      <c r="G87" s="42" t="s">
        <v>3</v>
      </c>
      <c r="H87" s="39">
        <v>4</v>
      </c>
      <c r="I87" s="40" t="s">
        <v>41</v>
      </c>
      <c r="J87" s="149">
        <v>600</v>
      </c>
      <c r="K87" s="66">
        <v>300</v>
      </c>
      <c r="L87" s="66">
        <v>1950</v>
      </c>
      <c r="M87" s="164">
        <v>42.361168059854705</v>
      </c>
      <c r="N87" s="78">
        <v>3108.4103561247121</v>
      </c>
      <c r="O87" s="113">
        <v>42293.559554518826</v>
      </c>
      <c r="P87" s="161">
        <v>51795.356644459644</v>
      </c>
      <c r="Q87" s="254">
        <v>25844.672656139872</v>
      </c>
      <c r="R87" s="263">
        <v>68138.232210658694</v>
      </c>
      <c r="S87" s="259">
        <v>77640.029300599519</v>
      </c>
      <c r="U87" s="7" t="s">
        <v>4461</v>
      </c>
    </row>
    <row r="88" spans="1:21" ht="16.5" thickBot="1">
      <c r="A88" s="41" t="s">
        <v>31</v>
      </c>
      <c r="B88" s="42">
        <f t="shared" si="3"/>
        <v>600</v>
      </c>
      <c r="C88" s="42" t="s">
        <v>3</v>
      </c>
      <c r="D88" s="42">
        <f t="shared" si="4"/>
        <v>300</v>
      </c>
      <c r="E88" s="42" t="s">
        <v>3</v>
      </c>
      <c r="F88" s="90">
        <f t="shared" si="5"/>
        <v>2000</v>
      </c>
      <c r="G88" s="42" t="s">
        <v>3</v>
      </c>
      <c r="H88" s="39">
        <v>4</v>
      </c>
      <c r="I88" s="40" t="s">
        <v>41</v>
      </c>
      <c r="J88" s="149">
        <v>600</v>
      </c>
      <c r="K88" s="66">
        <v>300</v>
      </c>
      <c r="L88" s="66">
        <v>2000</v>
      </c>
      <c r="M88" s="164">
        <v>43.46197344146659</v>
      </c>
      <c r="N88" s="78">
        <v>3205.548179753609</v>
      </c>
      <c r="O88" s="113">
        <v>43459.620381319502</v>
      </c>
      <c r="P88" s="161">
        <v>53280.627370211245</v>
      </c>
      <c r="Q88" s="254">
        <v>26619.648426895383</v>
      </c>
      <c r="R88" s="263">
        <v>70079.268808214882</v>
      </c>
      <c r="S88" s="259">
        <v>79900.275797106631</v>
      </c>
      <c r="U88" s="7" t="s">
        <v>4462</v>
      </c>
    </row>
    <row r="89" spans="1:21" ht="16.5" customHeight="1" thickBot="1">
      <c r="A89" s="41" t="s">
        <v>31</v>
      </c>
      <c r="B89" s="42">
        <f t="shared" si="3"/>
        <v>600</v>
      </c>
      <c r="C89" s="42" t="s">
        <v>3</v>
      </c>
      <c r="D89" s="42">
        <f t="shared" si="4"/>
        <v>300</v>
      </c>
      <c r="E89" s="42" t="s">
        <v>3</v>
      </c>
      <c r="F89" s="90">
        <f t="shared" si="5"/>
        <v>2050</v>
      </c>
      <c r="G89" s="42" t="s">
        <v>3</v>
      </c>
      <c r="H89" s="39">
        <v>4</v>
      </c>
      <c r="I89" s="40" t="s">
        <v>41</v>
      </c>
      <c r="J89" s="149">
        <v>600</v>
      </c>
      <c r="K89" s="66">
        <v>300</v>
      </c>
      <c r="L89" s="66">
        <v>2050</v>
      </c>
      <c r="M89" s="164">
        <v>44.451461363078486</v>
      </c>
      <c r="N89" s="78">
        <v>3302.6860033825064</v>
      </c>
      <c r="O89" s="113">
        <v>44361.824879515007</v>
      </c>
      <c r="P89" s="161">
        <v>54404.62674830138</v>
      </c>
      <c r="Q89" s="254">
        <v>27143.290212895896</v>
      </c>
      <c r="R89" s="263">
        <v>71505.11509241091</v>
      </c>
      <c r="S89" s="259">
        <v>81547.916961197276</v>
      </c>
      <c r="U89" s="7" t="s">
        <v>4463</v>
      </c>
    </row>
    <row r="90" spans="1:21" ht="16.5" thickBot="1">
      <c r="A90" s="38" t="s">
        <v>31</v>
      </c>
      <c r="B90" s="39">
        <f t="shared" si="3"/>
        <v>600</v>
      </c>
      <c r="C90" s="39" t="s">
        <v>3</v>
      </c>
      <c r="D90" s="39">
        <f t="shared" si="4"/>
        <v>300</v>
      </c>
      <c r="E90" s="39" t="s">
        <v>3</v>
      </c>
      <c r="F90" s="90">
        <f t="shared" si="5"/>
        <v>2100</v>
      </c>
      <c r="G90" s="39" t="s">
        <v>3</v>
      </c>
      <c r="H90" s="39">
        <v>4</v>
      </c>
      <c r="I90" s="40" t="s">
        <v>41</v>
      </c>
      <c r="J90" s="149">
        <v>600</v>
      </c>
      <c r="K90" s="66">
        <v>300</v>
      </c>
      <c r="L90" s="66">
        <v>2100</v>
      </c>
      <c r="M90" s="164">
        <v>45.458415284690382</v>
      </c>
      <c r="N90" s="78">
        <v>3399.8238270114039</v>
      </c>
      <c r="O90" s="113">
        <v>45264.029377710511</v>
      </c>
      <c r="P90" s="161">
        <v>55528.626126391355</v>
      </c>
      <c r="Q90" s="254">
        <v>27918.265983651414</v>
      </c>
      <c r="R90" s="263">
        <v>73182.295361361932</v>
      </c>
      <c r="S90" s="259">
        <v>83446.892110042769</v>
      </c>
      <c r="U90" s="7" t="s">
        <v>4464</v>
      </c>
    </row>
    <row r="91" spans="1:21" ht="16.5" customHeight="1" thickBot="1">
      <c r="A91" s="41" t="s">
        <v>31</v>
      </c>
      <c r="B91" s="42">
        <f t="shared" si="3"/>
        <v>600</v>
      </c>
      <c r="C91" s="42" t="s">
        <v>3</v>
      </c>
      <c r="D91" s="42">
        <f t="shared" si="4"/>
        <v>300</v>
      </c>
      <c r="E91" s="42" t="s">
        <v>3</v>
      </c>
      <c r="F91" s="90">
        <f t="shared" si="5"/>
        <v>2150</v>
      </c>
      <c r="G91" s="42" t="s">
        <v>3</v>
      </c>
      <c r="H91" s="39">
        <v>4</v>
      </c>
      <c r="I91" s="40" t="s">
        <v>41</v>
      </c>
      <c r="J91" s="149">
        <v>600</v>
      </c>
      <c r="K91" s="66">
        <v>300</v>
      </c>
      <c r="L91" s="66">
        <v>2150</v>
      </c>
      <c r="M91" s="164">
        <v>46.447903206302271</v>
      </c>
      <c r="N91" s="78">
        <v>3496.9616506403013</v>
      </c>
      <c r="O91" s="113">
        <v>46166.233875906015</v>
      </c>
      <c r="P91" s="161">
        <v>56652.625504481322</v>
      </c>
      <c r="Q91" s="254">
        <v>28441.907769651927</v>
      </c>
      <c r="R91" s="263">
        <v>74608.141645557946</v>
      </c>
      <c r="S91" s="259">
        <v>85094.533274133253</v>
      </c>
      <c r="U91" s="7" t="s">
        <v>4465</v>
      </c>
    </row>
    <row r="92" spans="1:21" ht="16.5" thickBot="1">
      <c r="A92" s="41" t="s">
        <v>31</v>
      </c>
      <c r="B92" s="42">
        <f t="shared" si="3"/>
        <v>600</v>
      </c>
      <c r="C92" s="42" t="s">
        <v>3</v>
      </c>
      <c r="D92" s="42">
        <f t="shared" si="4"/>
        <v>300</v>
      </c>
      <c r="E92" s="42" t="s">
        <v>3</v>
      </c>
      <c r="F92" s="90">
        <f t="shared" si="5"/>
        <v>2200</v>
      </c>
      <c r="G92" s="42" t="s">
        <v>3</v>
      </c>
      <c r="H92" s="39">
        <v>4</v>
      </c>
      <c r="I92" s="40" t="s">
        <v>41</v>
      </c>
      <c r="J92" s="149">
        <v>600</v>
      </c>
      <c r="K92" s="66">
        <v>300</v>
      </c>
      <c r="L92" s="66">
        <v>2200</v>
      </c>
      <c r="M92" s="164">
        <v>47.454857127914167</v>
      </c>
      <c r="N92" s="78">
        <v>3594.0994742691987</v>
      </c>
      <c r="O92" s="113">
        <v>47068.438221072749</v>
      </c>
      <c r="P92" s="161">
        <v>57776.624882571305</v>
      </c>
      <c r="Q92" s="254">
        <v>29216.883540407438</v>
      </c>
      <c r="R92" s="263">
        <v>76285.321761480183</v>
      </c>
      <c r="S92" s="259">
        <v>86993.508422978746</v>
      </c>
      <c r="U92" s="7" t="s">
        <v>4466</v>
      </c>
    </row>
    <row r="93" spans="1:21" ht="16.5" customHeight="1" thickBot="1">
      <c r="A93" s="41" t="s">
        <v>31</v>
      </c>
      <c r="B93" s="42">
        <f t="shared" si="3"/>
        <v>600</v>
      </c>
      <c r="C93" s="42" t="s">
        <v>3</v>
      </c>
      <c r="D93" s="42">
        <f t="shared" si="4"/>
        <v>300</v>
      </c>
      <c r="E93" s="42" t="s">
        <v>3</v>
      </c>
      <c r="F93" s="90">
        <f t="shared" si="5"/>
        <v>2250</v>
      </c>
      <c r="G93" s="42" t="s">
        <v>3</v>
      </c>
      <c r="H93" s="39">
        <v>4</v>
      </c>
      <c r="I93" s="40" t="s">
        <v>41</v>
      </c>
      <c r="J93" s="149">
        <v>600</v>
      </c>
      <c r="K93" s="66">
        <v>300</v>
      </c>
      <c r="L93" s="66">
        <v>2250</v>
      </c>
      <c r="M93" s="164">
        <v>48.444345049526071</v>
      </c>
      <c r="N93" s="78">
        <v>3691.2372978980952</v>
      </c>
      <c r="O93" s="113">
        <v>47970.642719268253</v>
      </c>
      <c r="P93" s="161">
        <v>58900.62426066128</v>
      </c>
      <c r="Q93" s="254">
        <v>29740.525173379188</v>
      </c>
      <c r="R93" s="263">
        <v>77711.167892647441</v>
      </c>
      <c r="S93" s="259">
        <v>88641.149434040475</v>
      </c>
      <c r="U93" s="7" t="s">
        <v>4467</v>
      </c>
    </row>
    <row r="94" spans="1:21" ht="16.5" thickBot="1">
      <c r="A94" s="41" t="s">
        <v>31</v>
      </c>
      <c r="B94" s="42">
        <f t="shared" si="3"/>
        <v>600</v>
      </c>
      <c r="C94" s="42" t="s">
        <v>3</v>
      </c>
      <c r="D94" s="42">
        <f t="shared" si="4"/>
        <v>300</v>
      </c>
      <c r="E94" s="42" t="s">
        <v>3</v>
      </c>
      <c r="F94" s="90">
        <f t="shared" si="5"/>
        <v>2300</v>
      </c>
      <c r="G94" s="42" t="s">
        <v>3</v>
      </c>
      <c r="H94" s="39">
        <v>4</v>
      </c>
      <c r="I94" s="40" t="s">
        <v>41</v>
      </c>
      <c r="J94" s="149">
        <v>600</v>
      </c>
      <c r="K94" s="66">
        <v>300</v>
      </c>
      <c r="L94" s="66">
        <v>2300</v>
      </c>
      <c r="M94" s="164">
        <v>49.43383297113796</v>
      </c>
      <c r="N94" s="78">
        <v>3788.3751215269926</v>
      </c>
      <c r="O94" s="113">
        <v>48872.84721746375</v>
      </c>
      <c r="P94" s="161">
        <v>60024.623638751415</v>
      </c>
      <c r="Q94" s="254">
        <v>30264.166959379701</v>
      </c>
      <c r="R94" s="263">
        <v>79137.014176843455</v>
      </c>
      <c r="S94" s="259">
        <v>90288.79059813112</v>
      </c>
      <c r="U94" s="7" t="s">
        <v>4468</v>
      </c>
    </row>
    <row r="95" spans="1:21" ht="16.5" customHeight="1" thickBot="1">
      <c r="A95" s="41" t="s">
        <v>31</v>
      </c>
      <c r="B95" s="42">
        <f t="shared" si="3"/>
        <v>600</v>
      </c>
      <c r="C95" s="42" t="s">
        <v>3</v>
      </c>
      <c r="D95" s="42">
        <f t="shared" si="4"/>
        <v>300</v>
      </c>
      <c r="E95" s="42" t="s">
        <v>3</v>
      </c>
      <c r="F95" s="90">
        <f t="shared" si="5"/>
        <v>2350</v>
      </c>
      <c r="G95" s="42" t="s">
        <v>3</v>
      </c>
      <c r="H95" s="39">
        <v>4</v>
      </c>
      <c r="I95" s="40" t="s">
        <v>41</v>
      </c>
      <c r="J95" s="149">
        <v>600</v>
      </c>
      <c r="K95" s="66">
        <v>300</v>
      </c>
      <c r="L95" s="66">
        <v>2350</v>
      </c>
      <c r="M95" s="164">
        <v>50.440786892749855</v>
      </c>
      <c r="N95" s="78">
        <v>3885.5129451558901</v>
      </c>
      <c r="O95" s="113">
        <v>49775.051562630491</v>
      </c>
      <c r="P95" s="161">
        <v>61148.623016841397</v>
      </c>
      <c r="Q95" s="254">
        <v>31039.142730135216</v>
      </c>
      <c r="R95" s="263">
        <v>80814.194292765707</v>
      </c>
      <c r="S95" s="259">
        <v>92187.765746976613</v>
      </c>
      <c r="U95" s="7" t="s">
        <v>4469</v>
      </c>
    </row>
    <row r="96" spans="1:21" ht="16.5" thickBot="1">
      <c r="A96" s="41" t="s">
        <v>31</v>
      </c>
      <c r="B96" s="42">
        <f t="shared" si="3"/>
        <v>600</v>
      </c>
      <c r="C96" s="42" t="s">
        <v>3</v>
      </c>
      <c r="D96" s="42">
        <f t="shared" si="4"/>
        <v>300</v>
      </c>
      <c r="E96" s="42" t="s">
        <v>3</v>
      </c>
      <c r="F96" s="90">
        <f t="shared" si="5"/>
        <v>2400</v>
      </c>
      <c r="G96" s="42" t="s">
        <v>3</v>
      </c>
      <c r="H96" s="39">
        <v>4</v>
      </c>
      <c r="I96" s="40" t="s">
        <v>41</v>
      </c>
      <c r="J96" s="149">
        <v>600</v>
      </c>
      <c r="K96" s="66">
        <v>300</v>
      </c>
      <c r="L96" s="66">
        <v>2400</v>
      </c>
      <c r="M96" s="164">
        <v>51.430274814361759</v>
      </c>
      <c r="N96" s="78">
        <v>3982.650768784787</v>
      </c>
      <c r="O96" s="113">
        <v>50677.256060825996</v>
      </c>
      <c r="P96" s="161">
        <v>62272.622394931372</v>
      </c>
      <c r="Q96" s="254">
        <v>31562.784363106966</v>
      </c>
      <c r="R96" s="263">
        <v>82240.040423932965</v>
      </c>
      <c r="S96" s="259">
        <v>93835.406758038342</v>
      </c>
      <c r="U96" s="7" t="s">
        <v>4470</v>
      </c>
    </row>
    <row r="97" spans="1:21" ht="16.5" customHeight="1" thickBot="1">
      <c r="A97" s="41" t="s">
        <v>31</v>
      </c>
      <c r="B97" s="42">
        <f t="shared" si="3"/>
        <v>600</v>
      </c>
      <c r="C97" s="42" t="s">
        <v>3</v>
      </c>
      <c r="D97" s="42">
        <f t="shared" si="4"/>
        <v>300</v>
      </c>
      <c r="E97" s="42" t="s">
        <v>3</v>
      </c>
      <c r="F97" s="90">
        <f t="shared" si="5"/>
        <v>2450</v>
      </c>
      <c r="G97" s="42" t="s">
        <v>3</v>
      </c>
      <c r="H97" s="39">
        <v>4</v>
      </c>
      <c r="I97" s="40" t="s">
        <v>41</v>
      </c>
      <c r="J97" s="149">
        <v>600</v>
      </c>
      <c r="K97" s="66">
        <v>300</v>
      </c>
      <c r="L97" s="66">
        <v>2450</v>
      </c>
      <c r="M97" s="164">
        <v>52.607287359232643</v>
      </c>
      <c r="N97" s="78">
        <v>4079.7885924136849</v>
      </c>
      <c r="O97" s="113">
        <v>52279.136230465781</v>
      </c>
      <c r="P97" s="161">
        <v>64060.167373009921</v>
      </c>
      <c r="Q97" s="254">
        <v>32337.760286891244</v>
      </c>
      <c r="R97" s="263">
        <v>84616.896517357032</v>
      </c>
      <c r="S97" s="259">
        <v>96397.927659901165</v>
      </c>
      <c r="U97" s="7" t="s">
        <v>4471</v>
      </c>
    </row>
    <row r="98" spans="1:21" ht="16.5" thickBot="1">
      <c r="A98" s="41" t="s">
        <v>31</v>
      </c>
      <c r="B98" s="42">
        <f t="shared" si="3"/>
        <v>600</v>
      </c>
      <c r="C98" s="42" t="s">
        <v>3</v>
      </c>
      <c r="D98" s="42">
        <f t="shared" si="4"/>
        <v>300</v>
      </c>
      <c r="E98" s="42" t="s">
        <v>3</v>
      </c>
      <c r="F98" s="90">
        <f t="shared" si="5"/>
        <v>2500</v>
      </c>
      <c r="G98" s="42" t="s">
        <v>3</v>
      </c>
      <c r="H98" s="39">
        <v>4</v>
      </c>
      <c r="I98" s="40" t="s">
        <v>41</v>
      </c>
      <c r="J98" s="149">
        <v>600</v>
      </c>
      <c r="K98" s="66">
        <v>300</v>
      </c>
      <c r="L98" s="66">
        <v>2500</v>
      </c>
      <c r="M98" s="164">
        <v>53.596775280844533</v>
      </c>
      <c r="N98" s="78">
        <v>4176.9264160425819</v>
      </c>
      <c r="O98" s="113">
        <v>53181.340728661271</v>
      </c>
      <c r="P98" s="161">
        <v>65184.166751099903</v>
      </c>
      <c r="Q98" s="254">
        <v>32861.40191986299</v>
      </c>
      <c r="R98" s="263">
        <v>86042.742648524261</v>
      </c>
      <c r="S98" s="259">
        <v>98045.568670962894</v>
      </c>
      <c r="U98" s="7" t="s">
        <v>4472</v>
      </c>
    </row>
    <row r="99" spans="1:21" ht="16.5" customHeight="1" thickBot="1">
      <c r="A99" s="41" t="s">
        <v>31</v>
      </c>
      <c r="B99" s="42">
        <f t="shared" si="3"/>
        <v>600</v>
      </c>
      <c r="C99" s="42" t="s">
        <v>3</v>
      </c>
      <c r="D99" s="42">
        <f t="shared" si="4"/>
        <v>300</v>
      </c>
      <c r="E99" s="42" t="s">
        <v>3</v>
      </c>
      <c r="F99" s="90">
        <f t="shared" si="5"/>
        <v>2550</v>
      </c>
      <c r="G99" s="42" t="s">
        <v>3</v>
      </c>
      <c r="H99" s="39">
        <v>4</v>
      </c>
      <c r="I99" s="40" t="s">
        <v>41</v>
      </c>
      <c r="J99" s="149">
        <v>600</v>
      </c>
      <c r="K99" s="66">
        <v>300</v>
      </c>
      <c r="L99" s="66">
        <v>2550</v>
      </c>
      <c r="M99" s="164">
        <v>54.603729202456435</v>
      </c>
      <c r="N99" s="78">
        <v>4274.0642396714793</v>
      </c>
      <c r="O99" s="113">
        <v>54083.54507382802</v>
      </c>
      <c r="P99" s="161">
        <v>66308.166129189864</v>
      </c>
      <c r="Q99" s="254">
        <v>33636.377843647271</v>
      </c>
      <c r="R99" s="263">
        <v>87719.922917475284</v>
      </c>
      <c r="S99" s="259">
        <v>99944.543972837128</v>
      </c>
      <c r="U99" s="7" t="s">
        <v>4473</v>
      </c>
    </row>
    <row r="100" spans="1:21" ht="16.5" thickBot="1">
      <c r="A100" s="38" t="s">
        <v>31</v>
      </c>
      <c r="B100" s="39">
        <f t="shared" si="3"/>
        <v>600</v>
      </c>
      <c r="C100" s="39" t="s">
        <v>3</v>
      </c>
      <c r="D100" s="39">
        <f t="shared" si="4"/>
        <v>300</v>
      </c>
      <c r="E100" s="39" t="s">
        <v>3</v>
      </c>
      <c r="F100" s="90">
        <f t="shared" si="5"/>
        <v>2600</v>
      </c>
      <c r="G100" s="39" t="s">
        <v>3</v>
      </c>
      <c r="H100" s="39">
        <v>4</v>
      </c>
      <c r="I100" s="40" t="s">
        <v>41</v>
      </c>
      <c r="J100" s="149">
        <v>600</v>
      </c>
      <c r="K100" s="66">
        <v>300</v>
      </c>
      <c r="L100" s="66">
        <v>2600</v>
      </c>
      <c r="M100" s="164">
        <v>55.593217124068325</v>
      </c>
      <c r="N100" s="78">
        <v>4371.2020633003767</v>
      </c>
      <c r="O100" s="113">
        <v>54985.749572023509</v>
      </c>
      <c r="P100" s="161">
        <v>67432.165507280006</v>
      </c>
      <c r="Q100" s="254">
        <v>34160.019476619018</v>
      </c>
      <c r="R100" s="263">
        <v>89145.769048642527</v>
      </c>
      <c r="S100" s="259">
        <v>101592.18498389903</v>
      </c>
      <c r="U100" s="7" t="s">
        <v>4474</v>
      </c>
    </row>
    <row r="101" spans="1:21" ht="16.5" customHeight="1" thickBot="1">
      <c r="A101" s="41" t="s">
        <v>31</v>
      </c>
      <c r="B101" s="42">
        <f t="shared" si="3"/>
        <v>600</v>
      </c>
      <c r="C101" s="42" t="s">
        <v>3</v>
      </c>
      <c r="D101" s="42">
        <f t="shared" si="4"/>
        <v>300</v>
      </c>
      <c r="E101" s="42" t="s">
        <v>3</v>
      </c>
      <c r="F101" s="90">
        <f t="shared" si="5"/>
        <v>2650</v>
      </c>
      <c r="G101" s="42" t="s">
        <v>3</v>
      </c>
      <c r="H101" s="39">
        <v>4</v>
      </c>
      <c r="I101" s="40" t="s">
        <v>41</v>
      </c>
      <c r="J101" s="149">
        <v>600</v>
      </c>
      <c r="K101" s="66">
        <v>300</v>
      </c>
      <c r="L101" s="66">
        <v>2650</v>
      </c>
      <c r="M101" s="164">
        <v>56.60017104568022</v>
      </c>
      <c r="N101" s="78">
        <v>4468.3398869292732</v>
      </c>
      <c r="O101" s="113">
        <v>55887.954070219013</v>
      </c>
      <c r="P101" s="161">
        <v>68556.164885369988</v>
      </c>
      <c r="Q101" s="254">
        <v>34934.995247374536</v>
      </c>
      <c r="R101" s="263">
        <v>90822.949317593549</v>
      </c>
      <c r="S101" s="259">
        <v>103491.16013274452</v>
      </c>
      <c r="U101" s="7" t="s">
        <v>4475</v>
      </c>
    </row>
    <row r="102" spans="1:21" ht="16.5" thickBot="1">
      <c r="A102" s="41" t="s">
        <v>31</v>
      </c>
      <c r="B102" s="42">
        <f t="shared" si="3"/>
        <v>600</v>
      </c>
      <c r="C102" s="42" t="s">
        <v>3</v>
      </c>
      <c r="D102" s="42">
        <f t="shared" si="4"/>
        <v>300</v>
      </c>
      <c r="E102" s="42" t="s">
        <v>3</v>
      </c>
      <c r="F102" s="90">
        <f t="shared" si="5"/>
        <v>2700</v>
      </c>
      <c r="G102" s="42" t="s">
        <v>3</v>
      </c>
      <c r="H102" s="39">
        <v>4</v>
      </c>
      <c r="I102" s="40" t="s">
        <v>41</v>
      </c>
      <c r="J102" s="149">
        <v>600</v>
      </c>
      <c r="K102" s="66">
        <v>300</v>
      </c>
      <c r="L102" s="66">
        <v>2700</v>
      </c>
      <c r="M102" s="164">
        <v>57.670121467292113</v>
      </c>
      <c r="N102" s="78">
        <v>4565.4777105581707</v>
      </c>
      <c r="O102" s="113">
        <v>56878.461674927188</v>
      </c>
      <c r="P102" s="161">
        <v>69769.852671220782</v>
      </c>
      <c r="Q102" s="254">
        <v>35458.637033375046</v>
      </c>
      <c r="R102" s="263">
        <v>92337.098708302234</v>
      </c>
      <c r="S102" s="259">
        <v>105228.48970459582</v>
      </c>
      <c r="U102" s="7" t="s">
        <v>4476</v>
      </c>
    </row>
    <row r="103" spans="1:21" ht="16.5" customHeight="1" thickBot="1">
      <c r="A103" s="41" t="s">
        <v>31</v>
      </c>
      <c r="B103" s="42">
        <f t="shared" si="3"/>
        <v>600</v>
      </c>
      <c r="C103" s="42" t="s">
        <v>3</v>
      </c>
      <c r="D103" s="42">
        <f t="shared" si="4"/>
        <v>300</v>
      </c>
      <c r="E103" s="42" t="s">
        <v>3</v>
      </c>
      <c r="F103" s="90">
        <f t="shared" si="5"/>
        <v>2750</v>
      </c>
      <c r="G103" s="42" t="s">
        <v>3</v>
      </c>
      <c r="H103" s="39">
        <v>4</v>
      </c>
      <c r="I103" s="40" t="s">
        <v>41</v>
      </c>
      <c r="J103" s="149">
        <v>600</v>
      </c>
      <c r="K103" s="66">
        <v>300</v>
      </c>
      <c r="L103" s="66">
        <v>2750</v>
      </c>
      <c r="M103" s="164">
        <v>58.659609388904009</v>
      </c>
      <c r="N103" s="78">
        <v>4662.6155341870681</v>
      </c>
      <c r="O103" s="113">
        <v>57780.666173122692</v>
      </c>
      <c r="P103" s="161">
        <v>70893.85204931091</v>
      </c>
      <c r="Q103" s="254">
        <v>35982.278666346792</v>
      </c>
      <c r="R103" s="263">
        <v>93762.944839469477</v>
      </c>
      <c r="S103" s="259">
        <v>106876.13071565769</v>
      </c>
      <c r="U103" s="7" t="s">
        <v>4477</v>
      </c>
    </row>
    <row r="104" spans="1:21" ht="16.5" thickBot="1">
      <c r="A104" s="41" t="s">
        <v>31</v>
      </c>
      <c r="B104" s="42">
        <f t="shared" si="3"/>
        <v>600</v>
      </c>
      <c r="C104" s="42" t="s">
        <v>3</v>
      </c>
      <c r="D104" s="42">
        <f t="shared" si="4"/>
        <v>300</v>
      </c>
      <c r="E104" s="42" t="s">
        <v>3</v>
      </c>
      <c r="F104" s="90">
        <f t="shared" si="5"/>
        <v>2800</v>
      </c>
      <c r="G104" s="42" t="s">
        <v>3</v>
      </c>
      <c r="H104" s="39">
        <v>4</v>
      </c>
      <c r="I104" s="40" t="s">
        <v>41</v>
      </c>
      <c r="J104" s="149">
        <v>600</v>
      </c>
      <c r="K104" s="66">
        <v>300</v>
      </c>
      <c r="L104" s="66">
        <v>2800</v>
      </c>
      <c r="M104" s="164">
        <v>59.666563310515897</v>
      </c>
      <c r="N104" s="78">
        <v>4759.7533578159655</v>
      </c>
      <c r="O104" s="113">
        <v>58682.870518289426</v>
      </c>
      <c r="P104" s="161">
        <v>72017.851427400878</v>
      </c>
      <c r="Q104" s="254">
        <v>36757.25443710231</v>
      </c>
      <c r="R104" s="263">
        <v>95440.124955391744</v>
      </c>
      <c r="S104" s="259">
        <v>108775.10586450319</v>
      </c>
      <c r="U104" s="7" t="s">
        <v>4478</v>
      </c>
    </row>
    <row r="105" spans="1:21" ht="16.5" customHeight="1" thickBot="1">
      <c r="A105" s="41" t="s">
        <v>31</v>
      </c>
      <c r="B105" s="42">
        <f t="shared" si="3"/>
        <v>600</v>
      </c>
      <c r="C105" s="42" t="s">
        <v>3</v>
      </c>
      <c r="D105" s="42">
        <f t="shared" si="4"/>
        <v>300</v>
      </c>
      <c r="E105" s="42" t="s">
        <v>3</v>
      </c>
      <c r="F105" s="90">
        <f t="shared" si="5"/>
        <v>2850</v>
      </c>
      <c r="G105" s="42" t="s">
        <v>3</v>
      </c>
      <c r="H105" s="39">
        <v>4</v>
      </c>
      <c r="I105" s="40" t="s">
        <v>41</v>
      </c>
      <c r="J105" s="149">
        <v>600</v>
      </c>
      <c r="K105" s="66">
        <v>300</v>
      </c>
      <c r="L105" s="66">
        <v>2850</v>
      </c>
      <c r="M105" s="164">
        <v>60.656051232127808</v>
      </c>
      <c r="N105" s="78">
        <v>4856.8911814448629</v>
      </c>
      <c r="O105" s="113">
        <v>59585.075016484931</v>
      </c>
      <c r="P105" s="161">
        <v>73141.85080549086</v>
      </c>
      <c r="Q105" s="254">
        <v>37280.89622310282</v>
      </c>
      <c r="R105" s="263">
        <v>96865.971239587758</v>
      </c>
      <c r="S105" s="259">
        <v>110422.74702859367</v>
      </c>
      <c r="U105" s="7" t="s">
        <v>4479</v>
      </c>
    </row>
    <row r="106" spans="1:21" ht="16.5" thickBot="1">
      <c r="A106" s="41" t="s">
        <v>31</v>
      </c>
      <c r="B106" s="42">
        <f t="shared" si="3"/>
        <v>600</v>
      </c>
      <c r="C106" s="42" t="s">
        <v>3</v>
      </c>
      <c r="D106" s="42">
        <f t="shared" si="4"/>
        <v>300</v>
      </c>
      <c r="E106" s="42" t="s">
        <v>3</v>
      </c>
      <c r="F106" s="90">
        <f t="shared" si="5"/>
        <v>2900</v>
      </c>
      <c r="G106" s="42" t="s">
        <v>3</v>
      </c>
      <c r="H106" s="39">
        <v>4</v>
      </c>
      <c r="I106" s="40" t="s">
        <v>41</v>
      </c>
      <c r="J106" s="149">
        <v>600</v>
      </c>
      <c r="K106" s="66">
        <v>300</v>
      </c>
      <c r="L106" s="66">
        <v>2900</v>
      </c>
      <c r="M106" s="164">
        <v>61.663005153739682</v>
      </c>
      <c r="N106" s="78">
        <v>4954.0290050737594</v>
      </c>
      <c r="O106" s="113">
        <v>60487.279514680427</v>
      </c>
      <c r="P106" s="161">
        <v>74265.850183580842</v>
      </c>
      <c r="Q106" s="254">
        <v>38055.871993858338</v>
      </c>
      <c r="R106" s="263">
        <v>98543.151508538765</v>
      </c>
      <c r="S106" s="259">
        <v>112321.72217743918</v>
      </c>
      <c r="U106" s="7" t="s">
        <v>4480</v>
      </c>
    </row>
    <row r="107" spans="1:21" ht="16.5" customHeight="1" thickBot="1">
      <c r="A107" s="41" t="s">
        <v>31</v>
      </c>
      <c r="B107" s="42">
        <f t="shared" si="3"/>
        <v>600</v>
      </c>
      <c r="C107" s="42" t="s">
        <v>3</v>
      </c>
      <c r="D107" s="42">
        <f t="shared" si="4"/>
        <v>300</v>
      </c>
      <c r="E107" s="42" t="s">
        <v>3</v>
      </c>
      <c r="F107" s="90">
        <f t="shared" si="5"/>
        <v>2950</v>
      </c>
      <c r="G107" s="42" t="s">
        <v>3</v>
      </c>
      <c r="H107" s="39">
        <v>4</v>
      </c>
      <c r="I107" s="40" t="s">
        <v>41</v>
      </c>
      <c r="J107" s="149">
        <v>600</v>
      </c>
      <c r="K107" s="66">
        <v>300</v>
      </c>
      <c r="L107" s="66">
        <v>2950</v>
      </c>
      <c r="M107" s="164">
        <v>62.652493075351586</v>
      </c>
      <c r="N107" s="78">
        <v>5051.1668287026569</v>
      </c>
      <c r="O107" s="113">
        <v>61389.483859847169</v>
      </c>
      <c r="P107" s="161">
        <v>75389.84956167097</v>
      </c>
      <c r="Q107" s="254">
        <v>38579.513779858848</v>
      </c>
      <c r="R107" s="263">
        <v>99968.997639706009</v>
      </c>
      <c r="S107" s="259">
        <v>113969.36334152982</v>
      </c>
      <c r="U107" s="7" t="s">
        <v>4481</v>
      </c>
    </row>
    <row r="108" spans="1:21" ht="16.5" thickBot="1">
      <c r="A108" s="43" t="s">
        <v>31</v>
      </c>
      <c r="B108" s="44">
        <f t="shared" si="3"/>
        <v>600</v>
      </c>
      <c r="C108" s="44" t="s">
        <v>3</v>
      </c>
      <c r="D108" s="44">
        <f t="shared" si="4"/>
        <v>300</v>
      </c>
      <c r="E108" s="44" t="s">
        <v>3</v>
      </c>
      <c r="F108" s="91">
        <f t="shared" si="5"/>
        <v>3000</v>
      </c>
      <c r="G108" s="44" t="s">
        <v>3</v>
      </c>
      <c r="H108" s="46">
        <v>4</v>
      </c>
      <c r="I108" s="45" t="s">
        <v>41</v>
      </c>
      <c r="J108" s="265">
        <v>600</v>
      </c>
      <c r="K108" s="266">
        <v>300</v>
      </c>
      <c r="L108" s="266">
        <v>3000</v>
      </c>
      <c r="M108" s="249">
        <v>62.10677755801315</v>
      </c>
      <c r="N108" s="250">
        <v>5148.3046523315543</v>
      </c>
      <c r="O108" s="251">
        <v>63636.656032323575</v>
      </c>
      <c r="P108" s="283">
        <v>76513.848939760952</v>
      </c>
      <c r="Q108" s="267">
        <v>39354.489550614366</v>
      </c>
      <c r="R108" s="268">
        <v>102991.14558293794</v>
      </c>
      <c r="S108" s="269">
        <v>115868.33849037532</v>
      </c>
      <c r="U108" s="7" t="s">
        <v>4482</v>
      </c>
    </row>
    <row r="109" spans="1:21" ht="19.5" thickBot="1">
      <c r="A109" s="2968" t="s">
        <v>44</v>
      </c>
      <c r="B109" s="2969"/>
      <c r="C109" s="2969"/>
      <c r="D109" s="2969"/>
      <c r="E109" s="2969"/>
      <c r="F109" s="2969"/>
      <c r="G109" s="2969"/>
      <c r="H109" s="2969"/>
      <c r="I109" s="2969"/>
      <c r="J109" s="2969"/>
      <c r="K109" s="2969"/>
      <c r="L109" s="2969"/>
      <c r="M109" s="2969"/>
      <c r="N109" s="2969"/>
      <c r="O109" s="2969"/>
      <c r="P109" s="2969"/>
      <c r="Q109" s="2969"/>
      <c r="R109" s="2969"/>
      <c r="S109" s="2970"/>
      <c r="U109" s="7"/>
    </row>
    <row r="110" spans="1:21" ht="16.5" thickBot="1">
      <c r="A110" s="2974" t="s">
        <v>118</v>
      </c>
      <c r="B110" s="2975"/>
      <c r="C110" s="2975"/>
      <c r="D110" s="2975"/>
      <c r="E110" s="2975"/>
      <c r="F110" s="2975"/>
      <c r="G110" s="2975"/>
      <c r="H110" s="2975"/>
      <c r="I110" s="2975"/>
      <c r="J110" s="2975"/>
      <c r="K110" s="2975"/>
      <c r="L110" s="2975"/>
      <c r="M110" s="2975"/>
      <c r="N110" s="2975"/>
      <c r="O110" s="2975"/>
      <c r="P110" s="2975"/>
      <c r="Q110" s="2975"/>
      <c r="R110" s="2975"/>
      <c r="S110" s="2976"/>
      <c r="U110" s="7"/>
    </row>
    <row r="111" spans="1:21" ht="16.5" thickBot="1">
      <c r="A111" s="38" t="s">
        <v>31</v>
      </c>
      <c r="B111" s="39">
        <f>J111</f>
        <v>600</v>
      </c>
      <c r="C111" s="39" t="s">
        <v>3</v>
      </c>
      <c r="D111" s="39">
        <f>K111</f>
        <v>360</v>
      </c>
      <c r="E111" s="39" t="s">
        <v>3</v>
      </c>
      <c r="F111" s="90">
        <f>L111</f>
        <v>600</v>
      </c>
      <c r="G111" s="39" t="s">
        <v>3</v>
      </c>
      <c r="H111" s="39">
        <v>8</v>
      </c>
      <c r="I111" s="40" t="s">
        <v>42</v>
      </c>
      <c r="J111" s="270">
        <v>600</v>
      </c>
      <c r="K111" s="271">
        <v>360</v>
      </c>
      <c r="L111" s="271">
        <v>600</v>
      </c>
      <c r="M111" s="245">
        <v>22.559236886946824</v>
      </c>
      <c r="N111" s="246">
        <v>823.97186053132282</v>
      </c>
      <c r="O111" s="247">
        <v>22552.566362293393</v>
      </c>
      <c r="P111" s="275">
        <v>26569.696165268226</v>
      </c>
      <c r="Q111" s="272">
        <v>10032.760953270536</v>
      </c>
      <c r="R111" s="273">
        <v>32585.327315563929</v>
      </c>
      <c r="S111" s="274">
        <v>36602.457118538761</v>
      </c>
      <c r="U111" s="7" t="s">
        <v>4483</v>
      </c>
    </row>
    <row r="112" spans="1:21" ht="16.5" thickBot="1">
      <c r="A112" s="41" t="s">
        <v>31</v>
      </c>
      <c r="B112" s="42">
        <f t="shared" ref="B112:B159" si="6">J112</f>
        <v>600</v>
      </c>
      <c r="C112" s="42" t="s">
        <v>3</v>
      </c>
      <c r="D112" s="42">
        <f t="shared" ref="D112:D159" si="7">K112</f>
        <v>360</v>
      </c>
      <c r="E112" s="42" t="s">
        <v>3</v>
      </c>
      <c r="F112" s="90">
        <f t="shared" ref="F112:F159" si="8">L112</f>
        <v>650</v>
      </c>
      <c r="G112" s="42" t="s">
        <v>3</v>
      </c>
      <c r="H112" s="39">
        <v>8</v>
      </c>
      <c r="I112" s="40" t="s">
        <v>42</v>
      </c>
      <c r="J112" s="149">
        <v>600</v>
      </c>
      <c r="K112" s="66">
        <v>360</v>
      </c>
      <c r="L112" s="66">
        <v>650</v>
      </c>
      <c r="M112" s="164">
        <v>24.028275295955829</v>
      </c>
      <c r="N112" s="78">
        <v>988.76623263758722</v>
      </c>
      <c r="O112" s="113">
        <v>23916.090763719661</v>
      </c>
      <c r="P112" s="111">
        <v>28179.656712792905</v>
      </c>
      <c r="Q112" s="254">
        <v>10636.181837508726</v>
      </c>
      <c r="R112" s="263">
        <v>34552.272601228389</v>
      </c>
      <c r="S112" s="259">
        <v>38815.838550301632</v>
      </c>
      <c r="U112" s="7" t="s">
        <v>4484</v>
      </c>
    </row>
    <row r="113" spans="1:21" ht="16.5" thickBot="1">
      <c r="A113" s="41" t="s">
        <v>31</v>
      </c>
      <c r="B113" s="42">
        <f t="shared" si="6"/>
        <v>600</v>
      </c>
      <c r="C113" s="42" t="s">
        <v>3</v>
      </c>
      <c r="D113" s="42">
        <f t="shared" si="7"/>
        <v>360</v>
      </c>
      <c r="E113" s="42" t="s">
        <v>3</v>
      </c>
      <c r="F113" s="90">
        <f t="shared" si="8"/>
        <v>700</v>
      </c>
      <c r="G113" s="42" t="s">
        <v>3</v>
      </c>
      <c r="H113" s="39">
        <v>8</v>
      </c>
      <c r="I113" s="40" t="s">
        <v>42</v>
      </c>
      <c r="J113" s="149">
        <v>600</v>
      </c>
      <c r="K113" s="66">
        <v>360</v>
      </c>
      <c r="L113" s="66">
        <v>700</v>
      </c>
      <c r="M113" s="164">
        <v>25.51844330496484</v>
      </c>
      <c r="N113" s="78">
        <v>1153.5606047438519</v>
      </c>
      <c r="O113" s="113">
        <v>25279.615012117163</v>
      </c>
      <c r="P113" s="111">
        <v>29789.61726031758</v>
      </c>
      <c r="Q113" s="254">
        <v>11490.936859530682</v>
      </c>
      <c r="R113" s="263">
        <v>36770.551871647847</v>
      </c>
      <c r="S113" s="259">
        <v>41280.554119848261</v>
      </c>
      <c r="U113" s="7" t="s">
        <v>4485</v>
      </c>
    </row>
    <row r="114" spans="1:21" ht="16.5" thickBot="1">
      <c r="A114" s="41" t="s">
        <v>31</v>
      </c>
      <c r="B114" s="42">
        <f t="shared" si="6"/>
        <v>600</v>
      </c>
      <c r="C114" s="42" t="s">
        <v>3</v>
      </c>
      <c r="D114" s="42">
        <f t="shared" si="7"/>
        <v>360</v>
      </c>
      <c r="E114" s="42" t="s">
        <v>3</v>
      </c>
      <c r="F114" s="90">
        <f t="shared" si="8"/>
        <v>750</v>
      </c>
      <c r="G114" s="42" t="s">
        <v>3</v>
      </c>
      <c r="H114" s="39">
        <v>8</v>
      </c>
      <c r="I114" s="40" t="s">
        <v>42</v>
      </c>
      <c r="J114" s="149">
        <v>600</v>
      </c>
      <c r="K114" s="66">
        <v>360</v>
      </c>
      <c r="L114" s="66">
        <v>750</v>
      </c>
      <c r="M114" s="164">
        <v>26.987481713973853</v>
      </c>
      <c r="N114" s="78">
        <v>1318.3549768501164</v>
      </c>
      <c r="O114" s="113">
        <v>26643.139413543431</v>
      </c>
      <c r="P114" s="111">
        <v>31399.5776548135</v>
      </c>
      <c r="Q114" s="254">
        <v>12094.357743768871</v>
      </c>
      <c r="R114" s="263">
        <v>38737.497157312304</v>
      </c>
      <c r="S114" s="259">
        <v>43493.935398582369</v>
      </c>
      <c r="U114" s="7" t="s">
        <v>4486</v>
      </c>
    </row>
    <row r="115" spans="1:21" ht="16.5" thickBot="1">
      <c r="A115" s="41" t="s">
        <v>31</v>
      </c>
      <c r="B115" s="42">
        <f t="shared" si="6"/>
        <v>600</v>
      </c>
      <c r="C115" s="42" t="s">
        <v>3</v>
      </c>
      <c r="D115" s="42">
        <f t="shared" si="7"/>
        <v>360</v>
      </c>
      <c r="E115" s="42" t="s">
        <v>3</v>
      </c>
      <c r="F115" s="90">
        <f t="shared" si="8"/>
        <v>800</v>
      </c>
      <c r="G115" s="42" t="s">
        <v>3</v>
      </c>
      <c r="H115" s="39">
        <v>8</v>
      </c>
      <c r="I115" s="40" t="s">
        <v>42</v>
      </c>
      <c r="J115" s="149">
        <v>600</v>
      </c>
      <c r="K115" s="66">
        <v>360</v>
      </c>
      <c r="L115" s="66">
        <v>800</v>
      </c>
      <c r="M115" s="164">
        <v>28.456520122982862</v>
      </c>
      <c r="N115" s="78">
        <v>1483.1493489563811</v>
      </c>
      <c r="O115" s="113">
        <v>28006.663661940933</v>
      </c>
      <c r="P115" s="111">
        <v>33009.538202338183</v>
      </c>
      <c r="Q115" s="254">
        <v>12697.77862800706</v>
      </c>
      <c r="R115" s="263">
        <v>40704.442289947991</v>
      </c>
      <c r="S115" s="259">
        <v>45707.31683034524</v>
      </c>
      <c r="U115" s="7" t="s">
        <v>4487</v>
      </c>
    </row>
    <row r="116" spans="1:21" ht="16.5" thickBot="1">
      <c r="A116" s="41" t="s">
        <v>31</v>
      </c>
      <c r="B116" s="42">
        <f t="shared" si="6"/>
        <v>600</v>
      </c>
      <c r="C116" s="42" t="s">
        <v>3</v>
      </c>
      <c r="D116" s="42">
        <f t="shared" si="7"/>
        <v>360</v>
      </c>
      <c r="E116" s="42" t="s">
        <v>3</v>
      </c>
      <c r="F116" s="90">
        <f t="shared" si="8"/>
        <v>850</v>
      </c>
      <c r="G116" s="42" t="s">
        <v>3</v>
      </c>
      <c r="H116" s="39">
        <v>8</v>
      </c>
      <c r="I116" s="40" t="s">
        <v>42</v>
      </c>
      <c r="J116" s="149">
        <v>600</v>
      </c>
      <c r="K116" s="66">
        <v>360</v>
      </c>
      <c r="L116" s="66">
        <v>850</v>
      </c>
      <c r="M116" s="164">
        <v>29.946688131991873</v>
      </c>
      <c r="N116" s="78">
        <v>1647.9437210626456</v>
      </c>
      <c r="O116" s="113">
        <v>29370.188063367197</v>
      </c>
      <c r="P116" s="111">
        <v>34619.498749862862</v>
      </c>
      <c r="Q116" s="254">
        <v>13552.533650029018</v>
      </c>
      <c r="R116" s="263">
        <v>42922.721713396211</v>
      </c>
      <c r="S116" s="259">
        <v>48172.032399891876</v>
      </c>
      <c r="U116" s="7" t="s">
        <v>4488</v>
      </c>
    </row>
    <row r="117" spans="1:21" ht="16.5" thickBot="1">
      <c r="A117" s="41" t="s">
        <v>31</v>
      </c>
      <c r="B117" s="42">
        <f t="shared" si="6"/>
        <v>600</v>
      </c>
      <c r="C117" s="42" t="s">
        <v>3</v>
      </c>
      <c r="D117" s="42">
        <f t="shared" si="7"/>
        <v>360</v>
      </c>
      <c r="E117" s="42" t="s">
        <v>3</v>
      </c>
      <c r="F117" s="90">
        <f t="shared" si="8"/>
        <v>900</v>
      </c>
      <c r="G117" s="42" t="s">
        <v>3</v>
      </c>
      <c r="H117" s="39">
        <v>8</v>
      </c>
      <c r="I117" s="40" t="s">
        <v>42</v>
      </c>
      <c r="J117" s="149">
        <v>600</v>
      </c>
      <c r="K117" s="66">
        <v>360</v>
      </c>
      <c r="L117" s="66">
        <v>900</v>
      </c>
      <c r="M117" s="164">
        <v>31.415726541000886</v>
      </c>
      <c r="N117" s="78">
        <v>1812.7380931689102</v>
      </c>
      <c r="O117" s="113">
        <v>30733.712311764699</v>
      </c>
      <c r="P117" s="111">
        <v>36229.459297387541</v>
      </c>
      <c r="Q117" s="254">
        <v>14155.954534267206</v>
      </c>
      <c r="R117" s="263">
        <v>44889.666846031905</v>
      </c>
      <c r="S117" s="259">
        <v>50385.413831654747</v>
      </c>
      <c r="U117" s="7" t="s">
        <v>4489</v>
      </c>
    </row>
    <row r="118" spans="1:21" ht="16.5" thickBot="1">
      <c r="A118" s="41" t="s">
        <v>31</v>
      </c>
      <c r="B118" s="42">
        <f t="shared" si="6"/>
        <v>600</v>
      </c>
      <c r="C118" s="42" t="s">
        <v>3</v>
      </c>
      <c r="D118" s="42">
        <f t="shared" si="7"/>
        <v>360</v>
      </c>
      <c r="E118" s="42" t="s">
        <v>3</v>
      </c>
      <c r="F118" s="90">
        <f t="shared" si="8"/>
        <v>950</v>
      </c>
      <c r="G118" s="42" t="s">
        <v>3</v>
      </c>
      <c r="H118" s="39">
        <v>8</v>
      </c>
      <c r="I118" s="40" t="s">
        <v>42</v>
      </c>
      <c r="J118" s="149">
        <v>600</v>
      </c>
      <c r="K118" s="66">
        <v>360</v>
      </c>
      <c r="L118" s="66">
        <v>950</v>
      </c>
      <c r="M118" s="164">
        <v>32.90589455000989</v>
      </c>
      <c r="N118" s="78">
        <v>1977.5324652751744</v>
      </c>
      <c r="O118" s="113">
        <v>32097.236713190967</v>
      </c>
      <c r="P118" s="111">
        <v>37839.419691883457</v>
      </c>
      <c r="Q118" s="254">
        <v>15010.709556289165</v>
      </c>
      <c r="R118" s="263">
        <v>47107.946269480133</v>
      </c>
      <c r="S118" s="259">
        <v>52850.12924817262</v>
      </c>
      <c r="U118" s="7" t="s">
        <v>4490</v>
      </c>
    </row>
    <row r="119" spans="1:21" ht="16.5" thickBot="1">
      <c r="A119" s="41" t="s">
        <v>31</v>
      </c>
      <c r="B119" s="42">
        <f t="shared" si="6"/>
        <v>600</v>
      </c>
      <c r="C119" s="42" t="s">
        <v>3</v>
      </c>
      <c r="D119" s="42">
        <f t="shared" si="7"/>
        <v>360</v>
      </c>
      <c r="E119" s="42" t="s">
        <v>3</v>
      </c>
      <c r="F119" s="90">
        <f t="shared" si="8"/>
        <v>1000</v>
      </c>
      <c r="G119" s="42" t="s">
        <v>3</v>
      </c>
      <c r="H119" s="39">
        <v>8</v>
      </c>
      <c r="I119" s="40" t="s">
        <v>42</v>
      </c>
      <c r="J119" s="149">
        <v>600</v>
      </c>
      <c r="K119" s="66">
        <v>360</v>
      </c>
      <c r="L119" s="66">
        <v>1000</v>
      </c>
      <c r="M119" s="164">
        <v>34.374932959018906</v>
      </c>
      <c r="N119" s="78">
        <v>2142.3268373814394</v>
      </c>
      <c r="O119" s="113">
        <v>33460.761114617235</v>
      </c>
      <c r="P119" s="111">
        <v>39449.380239408136</v>
      </c>
      <c r="Q119" s="254">
        <v>15614.130440527351</v>
      </c>
      <c r="R119" s="263">
        <v>49074.891555144583</v>
      </c>
      <c r="S119" s="259">
        <v>55063.510679935483</v>
      </c>
      <c r="U119" s="7" t="s">
        <v>4491</v>
      </c>
    </row>
    <row r="120" spans="1:21" ht="16.5" thickBot="1">
      <c r="A120" s="41" t="s">
        <v>31</v>
      </c>
      <c r="B120" s="42">
        <f t="shared" si="6"/>
        <v>600</v>
      </c>
      <c r="C120" s="42" t="s">
        <v>3</v>
      </c>
      <c r="D120" s="42">
        <f t="shared" si="7"/>
        <v>360</v>
      </c>
      <c r="E120" s="42" t="s">
        <v>3</v>
      </c>
      <c r="F120" s="90">
        <f t="shared" si="8"/>
        <v>1050</v>
      </c>
      <c r="G120" s="42" t="s">
        <v>3</v>
      </c>
      <c r="H120" s="39">
        <v>8</v>
      </c>
      <c r="I120" s="40" t="s">
        <v>42</v>
      </c>
      <c r="J120" s="149">
        <v>600</v>
      </c>
      <c r="K120" s="66">
        <v>360</v>
      </c>
      <c r="L120" s="66">
        <v>1050</v>
      </c>
      <c r="M120" s="164">
        <v>35.865100968027917</v>
      </c>
      <c r="N120" s="78">
        <v>2307.1212094877037</v>
      </c>
      <c r="O120" s="113">
        <v>34824.285363014729</v>
      </c>
      <c r="P120" s="111">
        <v>41059.340786932815</v>
      </c>
      <c r="Q120" s="254">
        <v>16468.885462549311</v>
      </c>
      <c r="R120" s="263">
        <v>51293.170825564041</v>
      </c>
      <c r="S120" s="259">
        <v>57528.226249482126</v>
      </c>
      <c r="U120" s="7" t="s">
        <v>4492</v>
      </c>
    </row>
    <row r="121" spans="1:21" ht="16.5" thickBot="1">
      <c r="A121" s="38" t="s">
        <v>31</v>
      </c>
      <c r="B121" s="39">
        <f t="shared" si="6"/>
        <v>600</v>
      </c>
      <c r="C121" s="39" t="s">
        <v>3</v>
      </c>
      <c r="D121" s="39">
        <f t="shared" si="7"/>
        <v>360</v>
      </c>
      <c r="E121" s="39" t="s">
        <v>3</v>
      </c>
      <c r="F121" s="90">
        <f t="shared" si="8"/>
        <v>1100</v>
      </c>
      <c r="G121" s="39" t="s">
        <v>3</v>
      </c>
      <c r="H121" s="39">
        <v>8</v>
      </c>
      <c r="I121" s="40" t="s">
        <v>42</v>
      </c>
      <c r="J121" s="149">
        <v>600</v>
      </c>
      <c r="K121" s="66">
        <v>360</v>
      </c>
      <c r="L121" s="66">
        <v>1100</v>
      </c>
      <c r="M121" s="164">
        <v>37.334139377036919</v>
      </c>
      <c r="N121" s="78">
        <v>2471.9155815939685</v>
      </c>
      <c r="O121" s="113">
        <v>36187.809764441001</v>
      </c>
      <c r="P121" s="111">
        <v>42669.301334457494</v>
      </c>
      <c r="Q121" s="254">
        <v>17072.3063467875</v>
      </c>
      <c r="R121" s="263">
        <v>53260.116111228504</v>
      </c>
      <c r="S121" s="259">
        <v>59741.60768124499</v>
      </c>
      <c r="U121" s="7" t="s">
        <v>4493</v>
      </c>
    </row>
    <row r="122" spans="1:21" ht="16.5" thickBot="1">
      <c r="A122" s="41" t="s">
        <v>31</v>
      </c>
      <c r="B122" s="42">
        <f t="shared" si="6"/>
        <v>600</v>
      </c>
      <c r="C122" s="42" t="s">
        <v>3</v>
      </c>
      <c r="D122" s="42">
        <f t="shared" si="7"/>
        <v>360</v>
      </c>
      <c r="E122" s="42" t="s">
        <v>3</v>
      </c>
      <c r="F122" s="90">
        <f t="shared" si="8"/>
        <v>1150</v>
      </c>
      <c r="G122" s="42" t="s">
        <v>3</v>
      </c>
      <c r="H122" s="39">
        <v>8</v>
      </c>
      <c r="I122" s="40" t="s">
        <v>42</v>
      </c>
      <c r="J122" s="149">
        <v>600</v>
      </c>
      <c r="K122" s="66">
        <v>360</v>
      </c>
      <c r="L122" s="66">
        <v>1150</v>
      </c>
      <c r="M122" s="164">
        <v>38.803177786045943</v>
      </c>
      <c r="N122" s="78">
        <v>2636.7099537002327</v>
      </c>
      <c r="O122" s="113">
        <v>37551.334012838503</v>
      </c>
      <c r="P122" s="111">
        <v>44279.26172895341</v>
      </c>
      <c r="Q122" s="254">
        <v>17675.727231025689</v>
      </c>
      <c r="R122" s="263">
        <v>55227.061243864191</v>
      </c>
      <c r="S122" s="259">
        <v>61954.988959979099</v>
      </c>
      <c r="U122" s="7" t="s">
        <v>4494</v>
      </c>
    </row>
    <row r="123" spans="1:21" ht="16.5" thickBot="1">
      <c r="A123" s="41" t="s">
        <v>31</v>
      </c>
      <c r="B123" s="42">
        <f t="shared" si="6"/>
        <v>600</v>
      </c>
      <c r="C123" s="42" t="s">
        <v>3</v>
      </c>
      <c r="D123" s="42">
        <f t="shared" si="7"/>
        <v>360</v>
      </c>
      <c r="E123" s="42" t="s">
        <v>3</v>
      </c>
      <c r="F123" s="90">
        <f t="shared" si="8"/>
        <v>1200</v>
      </c>
      <c r="G123" s="42" t="s">
        <v>3</v>
      </c>
      <c r="H123" s="39">
        <v>8</v>
      </c>
      <c r="I123" s="40" t="s">
        <v>42</v>
      </c>
      <c r="J123" s="149">
        <v>600</v>
      </c>
      <c r="K123" s="66">
        <v>360</v>
      </c>
      <c r="L123" s="66">
        <v>1200</v>
      </c>
      <c r="M123" s="164">
        <v>40.488025795054952</v>
      </c>
      <c r="N123" s="78">
        <v>2801.5043258064975</v>
      </c>
      <c r="O123" s="113">
        <v>39083.054931502666</v>
      </c>
      <c r="P123" s="111">
        <v>46058.445769758735</v>
      </c>
      <c r="Q123" s="254">
        <v>18530.482406076411</v>
      </c>
      <c r="R123" s="263">
        <v>57613.53733757908</v>
      </c>
      <c r="S123" s="259">
        <v>64588.928175835143</v>
      </c>
      <c r="U123" s="7" t="s">
        <v>4495</v>
      </c>
    </row>
    <row r="124" spans="1:21" ht="16.5" thickBot="1">
      <c r="A124" s="41" t="s">
        <v>31</v>
      </c>
      <c r="B124" s="42">
        <f t="shared" si="6"/>
        <v>600</v>
      </c>
      <c r="C124" s="42" t="s">
        <v>3</v>
      </c>
      <c r="D124" s="42">
        <f t="shared" si="7"/>
        <v>360</v>
      </c>
      <c r="E124" s="42" t="s">
        <v>3</v>
      </c>
      <c r="F124" s="90">
        <f t="shared" si="8"/>
        <v>1250</v>
      </c>
      <c r="G124" s="42" t="s">
        <v>3</v>
      </c>
      <c r="H124" s="39">
        <v>8</v>
      </c>
      <c r="I124" s="40" t="s">
        <v>42</v>
      </c>
      <c r="J124" s="149">
        <v>600</v>
      </c>
      <c r="K124" s="66">
        <v>360</v>
      </c>
      <c r="L124" s="66">
        <v>1250</v>
      </c>
      <c r="M124" s="164">
        <v>41.957064204063954</v>
      </c>
      <c r="N124" s="78">
        <v>2966.2986979127622</v>
      </c>
      <c r="O124" s="113">
        <v>40446.57933292893</v>
      </c>
      <c r="P124" s="111">
        <v>47668.406164254651</v>
      </c>
      <c r="Q124" s="254">
        <v>19133.9032903146</v>
      </c>
      <c r="R124" s="263">
        <v>59580.48262324353</v>
      </c>
      <c r="S124" s="259">
        <v>66802.309454569244</v>
      </c>
      <c r="U124" s="7" t="s">
        <v>4496</v>
      </c>
    </row>
    <row r="125" spans="1:21" ht="16.5" thickBot="1">
      <c r="A125" s="41" t="s">
        <v>31</v>
      </c>
      <c r="B125" s="42">
        <f t="shared" si="6"/>
        <v>600</v>
      </c>
      <c r="C125" s="42" t="s">
        <v>3</v>
      </c>
      <c r="D125" s="42">
        <f t="shared" si="7"/>
        <v>360</v>
      </c>
      <c r="E125" s="42" t="s">
        <v>3</v>
      </c>
      <c r="F125" s="90">
        <f t="shared" si="8"/>
        <v>1300</v>
      </c>
      <c r="G125" s="42" t="s">
        <v>3</v>
      </c>
      <c r="H125" s="39">
        <v>8</v>
      </c>
      <c r="I125" s="40" t="s">
        <v>42</v>
      </c>
      <c r="J125" s="149">
        <v>600</v>
      </c>
      <c r="K125" s="66">
        <v>360</v>
      </c>
      <c r="L125" s="66">
        <v>1300</v>
      </c>
      <c r="M125" s="164">
        <v>43.447232213072965</v>
      </c>
      <c r="N125" s="78">
        <v>3131.0930700190265</v>
      </c>
      <c r="O125" s="113">
        <v>41810.103581326432</v>
      </c>
      <c r="P125" s="111">
        <v>49278.366711779337</v>
      </c>
      <c r="Q125" s="254">
        <v>19988.658312336556</v>
      </c>
      <c r="R125" s="263">
        <v>61798.761893662988</v>
      </c>
      <c r="S125" s="259">
        <v>69267.025024115894</v>
      </c>
      <c r="U125" s="7" t="s">
        <v>4497</v>
      </c>
    </row>
    <row r="126" spans="1:21" ht="16.5" thickBot="1">
      <c r="A126" s="41" t="s">
        <v>31</v>
      </c>
      <c r="B126" s="42">
        <f t="shared" si="6"/>
        <v>600</v>
      </c>
      <c r="C126" s="42" t="s">
        <v>3</v>
      </c>
      <c r="D126" s="42">
        <f t="shared" si="7"/>
        <v>360</v>
      </c>
      <c r="E126" s="42" t="s">
        <v>3</v>
      </c>
      <c r="F126" s="90">
        <f t="shared" si="8"/>
        <v>1350</v>
      </c>
      <c r="G126" s="42" t="s">
        <v>3</v>
      </c>
      <c r="H126" s="39">
        <v>8</v>
      </c>
      <c r="I126" s="40" t="s">
        <v>42</v>
      </c>
      <c r="J126" s="149">
        <v>600</v>
      </c>
      <c r="K126" s="66">
        <v>360</v>
      </c>
      <c r="L126" s="66">
        <v>1350</v>
      </c>
      <c r="M126" s="164">
        <v>44.916270622081974</v>
      </c>
      <c r="N126" s="78">
        <v>3295.8874421252913</v>
      </c>
      <c r="O126" s="113">
        <v>43173.627982752696</v>
      </c>
      <c r="P126" s="111">
        <v>50888.327259304024</v>
      </c>
      <c r="Q126" s="254">
        <v>20592.079196574745</v>
      </c>
      <c r="R126" s="263">
        <v>63765.707179327437</v>
      </c>
      <c r="S126" s="259">
        <v>71480.406455878765</v>
      </c>
      <c r="U126" s="7" t="s">
        <v>4498</v>
      </c>
    </row>
    <row r="127" spans="1:21" ht="16.5" thickBot="1">
      <c r="A127" s="41" t="s">
        <v>31</v>
      </c>
      <c r="B127" s="42">
        <f t="shared" si="6"/>
        <v>600</v>
      </c>
      <c r="C127" s="42" t="s">
        <v>3</v>
      </c>
      <c r="D127" s="42">
        <f t="shared" si="7"/>
        <v>360</v>
      </c>
      <c r="E127" s="42" t="s">
        <v>3</v>
      </c>
      <c r="F127" s="90">
        <f t="shared" si="8"/>
        <v>1400</v>
      </c>
      <c r="G127" s="42" t="s">
        <v>3</v>
      </c>
      <c r="H127" s="39">
        <v>8</v>
      </c>
      <c r="I127" s="40" t="s">
        <v>42</v>
      </c>
      <c r="J127" s="149">
        <v>600</v>
      </c>
      <c r="K127" s="66">
        <v>360</v>
      </c>
      <c r="L127" s="66">
        <v>1400</v>
      </c>
      <c r="M127" s="164">
        <v>46.406438631090992</v>
      </c>
      <c r="N127" s="78">
        <v>3460.6818142315556</v>
      </c>
      <c r="O127" s="113">
        <v>44537.15238417896</v>
      </c>
      <c r="P127" s="111">
        <v>52498.287653799925</v>
      </c>
      <c r="Q127" s="254">
        <v>21446.834218596705</v>
      </c>
      <c r="R127" s="263">
        <v>65983.986602775665</v>
      </c>
      <c r="S127" s="259">
        <v>73945.12187239663</v>
      </c>
      <c r="U127" s="7" t="s">
        <v>4499</v>
      </c>
    </row>
    <row r="128" spans="1:21" ht="16.5" thickBot="1">
      <c r="A128" s="41" t="s">
        <v>31</v>
      </c>
      <c r="B128" s="42">
        <f t="shared" si="6"/>
        <v>600</v>
      </c>
      <c r="C128" s="42" t="s">
        <v>3</v>
      </c>
      <c r="D128" s="42">
        <f t="shared" si="7"/>
        <v>360</v>
      </c>
      <c r="E128" s="42" t="s">
        <v>3</v>
      </c>
      <c r="F128" s="90">
        <f t="shared" si="8"/>
        <v>1450</v>
      </c>
      <c r="G128" s="42" t="s">
        <v>3</v>
      </c>
      <c r="H128" s="39">
        <v>8</v>
      </c>
      <c r="I128" s="40" t="s">
        <v>42</v>
      </c>
      <c r="J128" s="149">
        <v>600</v>
      </c>
      <c r="K128" s="66">
        <v>360</v>
      </c>
      <c r="L128" s="66">
        <v>1450</v>
      </c>
      <c r="M128" s="164">
        <v>47.875477040100002</v>
      </c>
      <c r="N128" s="78">
        <v>3625.4761863378203</v>
      </c>
      <c r="O128" s="113">
        <v>45900.676632576462</v>
      </c>
      <c r="P128" s="111">
        <v>54108.248201324619</v>
      </c>
      <c r="Q128" s="254">
        <v>22050.255102834893</v>
      </c>
      <c r="R128" s="263">
        <v>67950.931735411359</v>
      </c>
      <c r="S128" s="259">
        <v>76158.503304159516</v>
      </c>
      <c r="U128" s="7" t="s">
        <v>4500</v>
      </c>
    </row>
    <row r="129" spans="1:21" ht="16.5" thickBot="1">
      <c r="A129" s="41" t="s">
        <v>31</v>
      </c>
      <c r="B129" s="42">
        <f t="shared" si="6"/>
        <v>600</v>
      </c>
      <c r="C129" s="42" t="s">
        <v>3</v>
      </c>
      <c r="D129" s="42">
        <f t="shared" si="7"/>
        <v>360</v>
      </c>
      <c r="E129" s="42" t="s">
        <v>3</v>
      </c>
      <c r="F129" s="90">
        <f t="shared" si="8"/>
        <v>1500</v>
      </c>
      <c r="G129" s="42" t="s">
        <v>3</v>
      </c>
      <c r="H129" s="39">
        <v>8</v>
      </c>
      <c r="I129" s="40" t="s">
        <v>42</v>
      </c>
      <c r="J129" s="149">
        <v>600</v>
      </c>
      <c r="K129" s="66">
        <v>360</v>
      </c>
      <c r="L129" s="66">
        <v>1500</v>
      </c>
      <c r="M129" s="164">
        <v>49.657815453619406</v>
      </c>
      <c r="N129" s="78">
        <v>3790.2705584440841</v>
      </c>
      <c r="O129" s="113">
        <v>48084.392520047259</v>
      </c>
      <c r="P129" s="111">
        <v>56523.319250090753</v>
      </c>
      <c r="Q129" s="254">
        <v>22905.01012485685</v>
      </c>
      <c r="R129" s="263">
        <v>70989.402644904112</v>
      </c>
      <c r="S129" s="259">
        <v>79428.3293749476</v>
      </c>
      <c r="U129" s="7" t="s">
        <v>4501</v>
      </c>
    </row>
    <row r="130" spans="1:21" ht="16.5" thickBot="1">
      <c r="A130" s="41" t="s">
        <v>31</v>
      </c>
      <c r="B130" s="42">
        <f t="shared" si="6"/>
        <v>600</v>
      </c>
      <c r="C130" s="42" t="s">
        <v>3</v>
      </c>
      <c r="D130" s="42">
        <f t="shared" si="7"/>
        <v>360</v>
      </c>
      <c r="E130" s="42" t="s">
        <v>3</v>
      </c>
      <c r="F130" s="90">
        <f t="shared" si="8"/>
        <v>1550</v>
      </c>
      <c r="G130" s="42" t="s">
        <v>3</v>
      </c>
      <c r="H130" s="39">
        <v>8</v>
      </c>
      <c r="I130" s="40" t="s">
        <v>42</v>
      </c>
      <c r="J130" s="149">
        <v>600</v>
      </c>
      <c r="K130" s="66">
        <v>360</v>
      </c>
      <c r="L130" s="66">
        <v>1550</v>
      </c>
      <c r="M130" s="164">
        <v>51.126853862628423</v>
      </c>
      <c r="N130" s="78">
        <v>3955.0649305503489</v>
      </c>
      <c r="O130" s="113">
        <v>49447.916921473523</v>
      </c>
      <c r="P130" s="111">
        <v>58133.27979761544</v>
      </c>
      <c r="Q130" s="254">
        <v>23508.431009095038</v>
      </c>
      <c r="R130" s="263">
        <v>72956.347930568561</v>
      </c>
      <c r="S130" s="259">
        <v>81641.710806710471</v>
      </c>
      <c r="U130" s="7" t="s">
        <v>4502</v>
      </c>
    </row>
    <row r="131" spans="1:21" ht="16.5" thickBot="1">
      <c r="A131" s="38" t="s">
        <v>31</v>
      </c>
      <c r="B131" s="39">
        <f t="shared" si="6"/>
        <v>600</v>
      </c>
      <c r="C131" s="39" t="s">
        <v>3</v>
      </c>
      <c r="D131" s="39">
        <f t="shared" si="7"/>
        <v>360</v>
      </c>
      <c r="E131" s="39" t="s">
        <v>3</v>
      </c>
      <c r="F131" s="90">
        <f t="shared" si="8"/>
        <v>1600</v>
      </c>
      <c r="G131" s="39" t="s">
        <v>3</v>
      </c>
      <c r="H131" s="39">
        <v>8</v>
      </c>
      <c r="I131" s="40" t="s">
        <v>42</v>
      </c>
      <c r="J131" s="149">
        <v>600</v>
      </c>
      <c r="K131" s="66">
        <v>360</v>
      </c>
      <c r="L131" s="66">
        <v>1600</v>
      </c>
      <c r="M131" s="164">
        <v>52.595892271637432</v>
      </c>
      <c r="N131" s="78">
        <v>4119.8593026566141</v>
      </c>
      <c r="O131" s="113">
        <v>50811.441322899802</v>
      </c>
      <c r="P131" s="111">
        <v>59743.240345140119</v>
      </c>
      <c r="Q131" s="254">
        <v>24111.851893333227</v>
      </c>
      <c r="R131" s="263">
        <v>74923.293216233025</v>
      </c>
      <c r="S131" s="259">
        <v>83855.092238473342</v>
      </c>
      <c r="U131" s="7" t="s">
        <v>4503</v>
      </c>
    </row>
    <row r="132" spans="1:21" ht="16.5" thickBot="1">
      <c r="A132" s="41" t="s">
        <v>31</v>
      </c>
      <c r="B132" s="42">
        <f t="shared" si="6"/>
        <v>600</v>
      </c>
      <c r="C132" s="42" t="s">
        <v>3</v>
      </c>
      <c r="D132" s="42">
        <f t="shared" si="7"/>
        <v>360</v>
      </c>
      <c r="E132" s="42" t="s">
        <v>3</v>
      </c>
      <c r="F132" s="90">
        <f t="shared" si="8"/>
        <v>1650</v>
      </c>
      <c r="G132" s="42" t="s">
        <v>3</v>
      </c>
      <c r="H132" s="39">
        <v>8</v>
      </c>
      <c r="I132" s="40" t="s">
        <v>42</v>
      </c>
      <c r="J132" s="149">
        <v>600</v>
      </c>
      <c r="K132" s="66">
        <v>360</v>
      </c>
      <c r="L132" s="66">
        <v>1650</v>
      </c>
      <c r="M132" s="164">
        <v>54.086060280646436</v>
      </c>
      <c r="N132" s="78">
        <v>4284.6536747628788</v>
      </c>
      <c r="O132" s="113">
        <v>52174.965571297296</v>
      </c>
      <c r="P132" s="111">
        <v>61353.200892664798</v>
      </c>
      <c r="Q132" s="254">
        <v>24966.606915355183</v>
      </c>
      <c r="R132" s="263">
        <v>77141.572486652483</v>
      </c>
      <c r="S132" s="259">
        <v>86319.807808019978</v>
      </c>
      <c r="U132" s="7" t="s">
        <v>4504</v>
      </c>
    </row>
    <row r="133" spans="1:21" ht="16.5" thickBot="1">
      <c r="A133" s="41" t="s">
        <v>31</v>
      </c>
      <c r="B133" s="42">
        <f t="shared" si="6"/>
        <v>600</v>
      </c>
      <c r="C133" s="42" t="s">
        <v>3</v>
      </c>
      <c r="D133" s="42">
        <f t="shared" si="7"/>
        <v>360</v>
      </c>
      <c r="E133" s="42" t="s">
        <v>3</v>
      </c>
      <c r="F133" s="90">
        <f t="shared" si="8"/>
        <v>1700</v>
      </c>
      <c r="G133" s="42" t="s">
        <v>3</v>
      </c>
      <c r="H133" s="39">
        <v>8</v>
      </c>
      <c r="I133" s="40" t="s">
        <v>42</v>
      </c>
      <c r="J133" s="149">
        <v>600</v>
      </c>
      <c r="K133" s="66">
        <v>360</v>
      </c>
      <c r="L133" s="66">
        <v>1700</v>
      </c>
      <c r="M133" s="164">
        <v>55.555098689655452</v>
      </c>
      <c r="N133" s="78">
        <v>4449.4480468691427</v>
      </c>
      <c r="O133" s="113">
        <v>53538.489972723561</v>
      </c>
      <c r="P133" s="111">
        <v>62963.161287160714</v>
      </c>
      <c r="Q133" s="254">
        <v>25570.027799593372</v>
      </c>
      <c r="R133" s="263">
        <v>79108.517772316933</v>
      </c>
      <c r="S133" s="259">
        <v>88533.189086754079</v>
      </c>
      <c r="U133" s="7" t="s">
        <v>4505</v>
      </c>
    </row>
    <row r="134" spans="1:21" ht="16.5" thickBot="1">
      <c r="A134" s="41" t="s">
        <v>31</v>
      </c>
      <c r="B134" s="42">
        <f t="shared" si="6"/>
        <v>600</v>
      </c>
      <c r="C134" s="42" t="s">
        <v>3</v>
      </c>
      <c r="D134" s="42">
        <f t="shared" si="7"/>
        <v>360</v>
      </c>
      <c r="E134" s="42" t="s">
        <v>3</v>
      </c>
      <c r="F134" s="90">
        <f t="shared" si="8"/>
        <v>1750</v>
      </c>
      <c r="G134" s="42" t="s">
        <v>3</v>
      </c>
      <c r="H134" s="39">
        <v>8</v>
      </c>
      <c r="I134" s="40" t="s">
        <v>42</v>
      </c>
      <c r="J134" s="149">
        <v>600</v>
      </c>
      <c r="K134" s="66">
        <v>360</v>
      </c>
      <c r="L134" s="66">
        <v>1750</v>
      </c>
      <c r="M134" s="164">
        <v>57.045266698664449</v>
      </c>
      <c r="N134" s="78">
        <v>4614.2424189754074</v>
      </c>
      <c r="O134" s="113">
        <v>54902.014221121062</v>
      </c>
      <c r="P134" s="111">
        <v>64573.121834685393</v>
      </c>
      <c r="Q134" s="254">
        <v>26424.782821615332</v>
      </c>
      <c r="R134" s="263">
        <v>81326.797042736391</v>
      </c>
      <c r="S134" s="259">
        <v>90997.904656300729</v>
      </c>
      <c r="U134" s="7" t="s">
        <v>4506</v>
      </c>
    </row>
    <row r="135" spans="1:21" ht="16.5" thickBot="1">
      <c r="A135" s="41" t="s">
        <v>31</v>
      </c>
      <c r="B135" s="42">
        <f t="shared" si="6"/>
        <v>600</v>
      </c>
      <c r="C135" s="42" t="s">
        <v>3</v>
      </c>
      <c r="D135" s="42">
        <f t="shared" si="7"/>
        <v>360</v>
      </c>
      <c r="E135" s="42" t="s">
        <v>3</v>
      </c>
      <c r="F135" s="90">
        <f t="shared" si="8"/>
        <v>1800</v>
      </c>
      <c r="G135" s="42" t="s">
        <v>3</v>
      </c>
      <c r="H135" s="39">
        <v>8</v>
      </c>
      <c r="I135" s="40" t="s">
        <v>42</v>
      </c>
      <c r="J135" s="149">
        <v>600</v>
      </c>
      <c r="K135" s="66">
        <v>360</v>
      </c>
      <c r="L135" s="66">
        <v>1800</v>
      </c>
      <c r="M135" s="164">
        <v>58.514305107673472</v>
      </c>
      <c r="N135" s="78">
        <v>4779.0367910816713</v>
      </c>
      <c r="O135" s="113">
        <v>56265.538622547334</v>
      </c>
      <c r="P135" s="111">
        <v>66183.082382209919</v>
      </c>
      <c r="Q135" s="254">
        <v>27028.203705853517</v>
      </c>
      <c r="R135" s="263">
        <v>83293.742328400855</v>
      </c>
      <c r="S135" s="259">
        <v>93211.28608806344</v>
      </c>
      <c r="U135" s="7" t="s">
        <v>4507</v>
      </c>
    </row>
    <row r="136" spans="1:21" ht="16.5" thickBot="1">
      <c r="A136" s="41" t="s">
        <v>31</v>
      </c>
      <c r="B136" s="42">
        <f t="shared" si="6"/>
        <v>600</v>
      </c>
      <c r="C136" s="42" t="s">
        <v>3</v>
      </c>
      <c r="D136" s="42">
        <f t="shared" si="7"/>
        <v>360</v>
      </c>
      <c r="E136" s="42" t="s">
        <v>3</v>
      </c>
      <c r="F136" s="90">
        <f t="shared" si="8"/>
        <v>1850</v>
      </c>
      <c r="G136" s="42" t="s">
        <v>3</v>
      </c>
      <c r="H136" s="39">
        <v>8</v>
      </c>
      <c r="I136" s="40" t="s">
        <v>42</v>
      </c>
      <c r="J136" s="149">
        <v>600</v>
      </c>
      <c r="K136" s="66">
        <v>360</v>
      </c>
      <c r="L136" s="66">
        <v>1850</v>
      </c>
      <c r="M136" s="164">
        <v>60.004473116682483</v>
      </c>
      <c r="N136" s="78">
        <v>4943.8311631879369</v>
      </c>
      <c r="O136" s="113">
        <v>57629.063023973591</v>
      </c>
      <c r="P136" s="111">
        <v>67793.042776705988</v>
      </c>
      <c r="Q136" s="254">
        <v>27882.958880904247</v>
      </c>
      <c r="R136" s="263">
        <v>85512.021904877838</v>
      </c>
      <c r="S136" s="259">
        <v>95676.001657610235</v>
      </c>
      <c r="U136" s="7" t="s">
        <v>4508</v>
      </c>
    </row>
    <row r="137" spans="1:21" ht="16.5" thickBot="1">
      <c r="A137" s="41" t="s">
        <v>31</v>
      </c>
      <c r="B137" s="42">
        <f t="shared" si="6"/>
        <v>600</v>
      </c>
      <c r="C137" s="42" t="s">
        <v>3</v>
      </c>
      <c r="D137" s="42">
        <f t="shared" si="7"/>
        <v>360</v>
      </c>
      <c r="E137" s="42" t="s">
        <v>3</v>
      </c>
      <c r="F137" s="90">
        <f t="shared" si="8"/>
        <v>1900</v>
      </c>
      <c r="G137" s="42" t="s">
        <v>3</v>
      </c>
      <c r="H137" s="39">
        <v>8</v>
      </c>
      <c r="I137" s="40" t="s">
        <v>42</v>
      </c>
      <c r="J137" s="149">
        <v>600</v>
      </c>
      <c r="K137" s="66">
        <v>360</v>
      </c>
      <c r="L137" s="66">
        <v>1900</v>
      </c>
      <c r="M137" s="164">
        <v>61.473511525691485</v>
      </c>
      <c r="N137" s="78">
        <v>5108.6255352942017</v>
      </c>
      <c r="O137" s="113">
        <v>58992.587272371093</v>
      </c>
      <c r="P137" s="111">
        <v>69403.003324230667</v>
      </c>
      <c r="Q137" s="254">
        <v>28486.379765142432</v>
      </c>
      <c r="R137" s="263">
        <v>87478.967037513532</v>
      </c>
      <c r="S137" s="259">
        <v>97889.383089373092</v>
      </c>
      <c r="U137" s="7" t="s">
        <v>4509</v>
      </c>
    </row>
    <row r="138" spans="1:21" ht="16.5" thickBot="1">
      <c r="A138" s="41" t="s">
        <v>31</v>
      </c>
      <c r="B138" s="42">
        <f t="shared" si="6"/>
        <v>600</v>
      </c>
      <c r="C138" s="42" t="s">
        <v>3</v>
      </c>
      <c r="D138" s="42">
        <f t="shared" si="7"/>
        <v>360</v>
      </c>
      <c r="E138" s="42" t="s">
        <v>3</v>
      </c>
      <c r="F138" s="90">
        <f t="shared" si="8"/>
        <v>1950</v>
      </c>
      <c r="G138" s="42" t="s">
        <v>3</v>
      </c>
      <c r="H138" s="39">
        <v>8</v>
      </c>
      <c r="I138" s="40" t="s">
        <v>42</v>
      </c>
      <c r="J138" s="149">
        <v>600</v>
      </c>
      <c r="K138" s="66">
        <v>360</v>
      </c>
      <c r="L138" s="66">
        <v>1950</v>
      </c>
      <c r="M138" s="164">
        <v>63.137229934700507</v>
      </c>
      <c r="N138" s="78">
        <v>5273.4199074004655</v>
      </c>
      <c r="O138" s="113">
        <v>60524.308191035256</v>
      </c>
      <c r="P138" s="111">
        <v>71182.187212007237</v>
      </c>
      <c r="Q138" s="254">
        <v>29089.800649380621</v>
      </c>
      <c r="R138" s="263">
        <v>89614.10884041588</v>
      </c>
      <c r="S138" s="259">
        <v>100271.98786138785</v>
      </c>
      <c r="U138" s="7" t="s">
        <v>4510</v>
      </c>
    </row>
    <row r="139" spans="1:21" ht="16.5" thickBot="1">
      <c r="A139" s="41" t="s">
        <v>31</v>
      </c>
      <c r="B139" s="42">
        <f t="shared" si="6"/>
        <v>600</v>
      </c>
      <c r="C139" s="42" t="s">
        <v>3</v>
      </c>
      <c r="D139" s="42">
        <f t="shared" si="7"/>
        <v>360</v>
      </c>
      <c r="E139" s="42" t="s">
        <v>3</v>
      </c>
      <c r="F139" s="90">
        <f t="shared" si="8"/>
        <v>2000</v>
      </c>
      <c r="G139" s="42" t="s">
        <v>3</v>
      </c>
      <c r="H139" s="39">
        <v>8</v>
      </c>
      <c r="I139" s="40" t="s">
        <v>42</v>
      </c>
      <c r="J139" s="149">
        <v>600</v>
      </c>
      <c r="K139" s="66">
        <v>360</v>
      </c>
      <c r="L139" s="66">
        <v>2000</v>
      </c>
      <c r="M139" s="164">
        <v>64.740935319709507</v>
      </c>
      <c r="N139" s="78">
        <v>5438.2142795067302</v>
      </c>
      <c r="O139" s="113">
        <v>62139.124494306117</v>
      </c>
      <c r="P139" s="111">
        <v>73132.969752527948</v>
      </c>
      <c r="Q139" s="254">
        <v>29944.555671402581</v>
      </c>
      <c r="R139" s="263">
        <v>92083.680165708705</v>
      </c>
      <c r="S139" s="259">
        <v>103077.52542393052</v>
      </c>
      <c r="U139" s="7" t="s">
        <v>4511</v>
      </c>
    </row>
    <row r="140" spans="1:21" ht="16.5" thickBot="1">
      <c r="A140" s="41" t="s">
        <v>31</v>
      </c>
      <c r="B140" s="42">
        <f t="shared" si="6"/>
        <v>600</v>
      </c>
      <c r="C140" s="42" t="s">
        <v>3</v>
      </c>
      <c r="D140" s="42">
        <f t="shared" si="7"/>
        <v>360</v>
      </c>
      <c r="E140" s="42" t="s">
        <v>3</v>
      </c>
      <c r="F140" s="90">
        <f t="shared" si="8"/>
        <v>2050</v>
      </c>
      <c r="G140" s="42" t="s">
        <v>3</v>
      </c>
      <c r="H140" s="39">
        <v>8</v>
      </c>
      <c r="I140" s="40" t="s">
        <v>42</v>
      </c>
      <c r="J140" s="149">
        <v>600</v>
      </c>
      <c r="K140" s="66">
        <v>360</v>
      </c>
      <c r="L140" s="66">
        <v>2050</v>
      </c>
      <c r="M140" s="164">
        <v>66.209973728718538</v>
      </c>
      <c r="N140" s="78">
        <v>5603.008651612995</v>
      </c>
      <c r="O140" s="113">
        <v>63502.648742703619</v>
      </c>
      <c r="P140" s="111">
        <v>74742.930300052627</v>
      </c>
      <c r="Q140" s="254">
        <v>30547.976555640766</v>
      </c>
      <c r="R140" s="263">
        <v>94050.625298344385</v>
      </c>
      <c r="S140" s="259">
        <v>105290.90685569339</v>
      </c>
      <c r="U140" s="7" t="s">
        <v>4512</v>
      </c>
    </row>
    <row r="141" spans="1:21" ht="16.5" thickBot="1">
      <c r="A141" s="38" t="s">
        <v>31</v>
      </c>
      <c r="B141" s="39">
        <f t="shared" si="6"/>
        <v>600</v>
      </c>
      <c r="C141" s="39" t="s">
        <v>3</v>
      </c>
      <c r="D141" s="39">
        <f t="shared" si="7"/>
        <v>360</v>
      </c>
      <c r="E141" s="39" t="s">
        <v>3</v>
      </c>
      <c r="F141" s="90">
        <f t="shared" si="8"/>
        <v>2100</v>
      </c>
      <c r="G141" s="39" t="s">
        <v>3</v>
      </c>
      <c r="H141" s="39">
        <v>8</v>
      </c>
      <c r="I141" s="40" t="s">
        <v>42</v>
      </c>
      <c r="J141" s="149">
        <v>600</v>
      </c>
      <c r="K141" s="66">
        <v>360</v>
      </c>
      <c r="L141" s="66">
        <v>2100</v>
      </c>
      <c r="M141" s="164">
        <v>67.70014173772752</v>
      </c>
      <c r="N141" s="78">
        <v>5767.8030237192597</v>
      </c>
      <c r="O141" s="113">
        <v>64866.173144129891</v>
      </c>
      <c r="P141" s="111">
        <v>76352.890847577306</v>
      </c>
      <c r="Q141" s="254">
        <v>31402.731577662726</v>
      </c>
      <c r="R141" s="263">
        <v>96268.904721792613</v>
      </c>
      <c r="S141" s="259">
        <v>107755.62242524003</v>
      </c>
      <c r="U141" s="7" t="s">
        <v>4513</v>
      </c>
    </row>
    <row r="142" spans="1:21" ht="16.5" thickBot="1">
      <c r="A142" s="41" t="s">
        <v>31</v>
      </c>
      <c r="B142" s="42">
        <f t="shared" si="6"/>
        <v>600</v>
      </c>
      <c r="C142" s="42" t="s">
        <v>3</v>
      </c>
      <c r="D142" s="42">
        <f t="shared" si="7"/>
        <v>360</v>
      </c>
      <c r="E142" s="42" t="s">
        <v>3</v>
      </c>
      <c r="F142" s="90">
        <f t="shared" si="8"/>
        <v>2150</v>
      </c>
      <c r="G142" s="42" t="s">
        <v>3</v>
      </c>
      <c r="H142" s="39">
        <v>8</v>
      </c>
      <c r="I142" s="40" t="s">
        <v>42</v>
      </c>
      <c r="J142" s="149">
        <v>600</v>
      </c>
      <c r="K142" s="66">
        <v>360</v>
      </c>
      <c r="L142" s="66">
        <v>2150</v>
      </c>
      <c r="M142" s="164">
        <v>69.169180146736551</v>
      </c>
      <c r="N142" s="78">
        <v>5932.5973958255245</v>
      </c>
      <c r="O142" s="113">
        <v>66229.697392527392</v>
      </c>
      <c r="P142" s="111">
        <v>77962.851395101985</v>
      </c>
      <c r="Q142" s="254">
        <v>32006.152461900914</v>
      </c>
      <c r="R142" s="263">
        <v>98235.849854428307</v>
      </c>
      <c r="S142" s="259">
        <v>109969.0038570029</v>
      </c>
      <c r="U142" s="7" t="s">
        <v>4514</v>
      </c>
    </row>
    <row r="143" spans="1:21" ht="16.5" thickBot="1">
      <c r="A143" s="41" t="s">
        <v>31</v>
      </c>
      <c r="B143" s="42">
        <f t="shared" si="6"/>
        <v>600</v>
      </c>
      <c r="C143" s="42" t="s">
        <v>3</v>
      </c>
      <c r="D143" s="42">
        <f t="shared" si="7"/>
        <v>360</v>
      </c>
      <c r="E143" s="42" t="s">
        <v>3</v>
      </c>
      <c r="F143" s="90">
        <f t="shared" si="8"/>
        <v>2200</v>
      </c>
      <c r="G143" s="42" t="s">
        <v>3</v>
      </c>
      <c r="H143" s="39">
        <v>8</v>
      </c>
      <c r="I143" s="40" t="s">
        <v>42</v>
      </c>
      <c r="J143" s="149">
        <v>600</v>
      </c>
      <c r="K143" s="66">
        <v>360</v>
      </c>
      <c r="L143" s="66">
        <v>2200</v>
      </c>
      <c r="M143" s="164">
        <v>70.659348155745562</v>
      </c>
      <c r="N143" s="78">
        <v>6097.3917679317883</v>
      </c>
      <c r="O143" s="113">
        <v>67593.221793953649</v>
      </c>
      <c r="P143" s="111">
        <v>79572.811789597909</v>
      </c>
      <c r="Q143" s="254">
        <v>32860.907483922878</v>
      </c>
      <c r="R143" s="263">
        <v>100454.12927787652</v>
      </c>
      <c r="S143" s="259">
        <v>112433.71927352078</v>
      </c>
      <c r="U143" s="7" t="s">
        <v>4515</v>
      </c>
    </row>
    <row r="144" spans="1:21" ht="16.5" thickBot="1">
      <c r="A144" s="41" t="s">
        <v>31</v>
      </c>
      <c r="B144" s="42">
        <f t="shared" si="6"/>
        <v>600</v>
      </c>
      <c r="C144" s="42" t="s">
        <v>3</v>
      </c>
      <c r="D144" s="42">
        <f t="shared" si="7"/>
        <v>360</v>
      </c>
      <c r="E144" s="42" t="s">
        <v>3</v>
      </c>
      <c r="F144" s="90">
        <f t="shared" si="8"/>
        <v>2250</v>
      </c>
      <c r="G144" s="42" t="s">
        <v>3</v>
      </c>
      <c r="H144" s="39">
        <v>8</v>
      </c>
      <c r="I144" s="40" t="s">
        <v>42</v>
      </c>
      <c r="J144" s="149">
        <v>600</v>
      </c>
      <c r="K144" s="66">
        <v>360</v>
      </c>
      <c r="L144" s="66">
        <v>2250</v>
      </c>
      <c r="M144" s="164">
        <v>72.128386564754564</v>
      </c>
      <c r="N144" s="78">
        <v>6262.1861400380531</v>
      </c>
      <c r="O144" s="113">
        <v>68956.746042351151</v>
      </c>
      <c r="P144" s="111">
        <v>81182.772337122587</v>
      </c>
      <c r="Q144" s="254">
        <v>33464.328368161063</v>
      </c>
      <c r="R144" s="263">
        <v>102421.07441051221</v>
      </c>
      <c r="S144" s="259">
        <v>114647.10070528365</v>
      </c>
      <c r="U144" s="7" t="s">
        <v>4516</v>
      </c>
    </row>
    <row r="145" spans="1:21" ht="16.5" thickBot="1">
      <c r="A145" s="41" t="s">
        <v>31</v>
      </c>
      <c r="B145" s="42">
        <f t="shared" si="6"/>
        <v>600</v>
      </c>
      <c r="C145" s="42" t="s">
        <v>3</v>
      </c>
      <c r="D145" s="42">
        <f t="shared" si="7"/>
        <v>360</v>
      </c>
      <c r="E145" s="42" t="s">
        <v>3</v>
      </c>
      <c r="F145" s="90">
        <f t="shared" si="8"/>
        <v>2300</v>
      </c>
      <c r="G145" s="42" t="s">
        <v>3</v>
      </c>
      <c r="H145" s="39">
        <v>8</v>
      </c>
      <c r="I145" s="40" t="s">
        <v>42</v>
      </c>
      <c r="J145" s="149">
        <v>600</v>
      </c>
      <c r="K145" s="66">
        <v>360</v>
      </c>
      <c r="L145" s="66">
        <v>2300</v>
      </c>
      <c r="M145" s="164">
        <v>73.59742497376358</v>
      </c>
      <c r="N145" s="78">
        <v>6426.9805121443178</v>
      </c>
      <c r="O145" s="113">
        <v>70320.270443777423</v>
      </c>
      <c r="P145" s="111">
        <v>82792.732884647266</v>
      </c>
      <c r="Q145" s="254">
        <v>34067.749252399248</v>
      </c>
      <c r="R145" s="263">
        <v>104388.01969617666</v>
      </c>
      <c r="S145" s="259">
        <v>116860.48213704652</v>
      </c>
      <c r="U145" s="7" t="s">
        <v>4517</v>
      </c>
    </row>
    <row r="146" spans="1:21" ht="16.5" thickBot="1">
      <c r="A146" s="41" t="s">
        <v>31</v>
      </c>
      <c r="B146" s="42">
        <f t="shared" si="6"/>
        <v>600</v>
      </c>
      <c r="C146" s="42" t="s">
        <v>3</v>
      </c>
      <c r="D146" s="42">
        <f t="shared" si="7"/>
        <v>360</v>
      </c>
      <c r="E146" s="42" t="s">
        <v>3</v>
      </c>
      <c r="F146" s="90">
        <f t="shared" si="8"/>
        <v>2350</v>
      </c>
      <c r="G146" s="42" t="s">
        <v>3</v>
      </c>
      <c r="H146" s="39">
        <v>8</v>
      </c>
      <c r="I146" s="40" t="s">
        <v>42</v>
      </c>
      <c r="J146" s="149">
        <v>600</v>
      </c>
      <c r="K146" s="66">
        <v>360</v>
      </c>
      <c r="L146" s="66">
        <v>2350</v>
      </c>
      <c r="M146" s="164">
        <v>75.087592982772591</v>
      </c>
      <c r="N146" s="78">
        <v>6591.7748842505825</v>
      </c>
      <c r="O146" s="113">
        <v>71683.79484520368</v>
      </c>
      <c r="P146" s="111">
        <v>84402.693279143175</v>
      </c>
      <c r="Q146" s="254">
        <v>34922.504274421211</v>
      </c>
      <c r="R146" s="263">
        <v>106606.29911962489</v>
      </c>
      <c r="S146" s="259">
        <v>119325.19755356439</v>
      </c>
      <c r="U146" s="7" t="s">
        <v>4518</v>
      </c>
    </row>
    <row r="147" spans="1:21" ht="16.5" thickBot="1">
      <c r="A147" s="41" t="s">
        <v>31</v>
      </c>
      <c r="B147" s="42">
        <f t="shared" si="6"/>
        <v>600</v>
      </c>
      <c r="C147" s="42" t="s">
        <v>3</v>
      </c>
      <c r="D147" s="42">
        <f t="shared" si="7"/>
        <v>360</v>
      </c>
      <c r="E147" s="42" t="s">
        <v>3</v>
      </c>
      <c r="F147" s="90">
        <f t="shared" si="8"/>
        <v>2400</v>
      </c>
      <c r="G147" s="42" t="s">
        <v>3</v>
      </c>
      <c r="H147" s="39">
        <v>8</v>
      </c>
      <c r="I147" s="40" t="s">
        <v>42</v>
      </c>
      <c r="J147" s="149">
        <v>600</v>
      </c>
      <c r="K147" s="66">
        <v>360</v>
      </c>
      <c r="L147" s="66">
        <v>2400</v>
      </c>
      <c r="M147" s="164">
        <v>76.556631391781593</v>
      </c>
      <c r="N147" s="78">
        <v>6756.5692563568455</v>
      </c>
      <c r="O147" s="113">
        <v>73047.319093601196</v>
      </c>
      <c r="P147" s="111">
        <v>86012.653826667854</v>
      </c>
      <c r="Q147" s="254">
        <v>35525.925158659396</v>
      </c>
      <c r="R147" s="263">
        <v>108573.2442522606</v>
      </c>
      <c r="S147" s="259">
        <v>121538.57898532724</v>
      </c>
      <c r="U147" s="7" t="s">
        <v>4519</v>
      </c>
    </row>
    <row r="148" spans="1:21" ht="16.5" thickBot="1">
      <c r="A148" s="41" t="s">
        <v>31</v>
      </c>
      <c r="B148" s="42">
        <f t="shared" si="6"/>
        <v>600</v>
      </c>
      <c r="C148" s="42" t="s">
        <v>3</v>
      </c>
      <c r="D148" s="42">
        <f t="shared" si="7"/>
        <v>360</v>
      </c>
      <c r="E148" s="42" t="s">
        <v>3</v>
      </c>
      <c r="F148" s="90">
        <f t="shared" si="8"/>
        <v>2450</v>
      </c>
      <c r="G148" s="42" t="s">
        <v>3</v>
      </c>
      <c r="H148" s="39">
        <v>8</v>
      </c>
      <c r="I148" s="40" t="s">
        <v>42</v>
      </c>
      <c r="J148" s="149">
        <v>600</v>
      </c>
      <c r="K148" s="66">
        <v>360</v>
      </c>
      <c r="L148" s="66">
        <v>2450</v>
      </c>
      <c r="M148" s="164">
        <v>78.338969805301019</v>
      </c>
      <c r="N148" s="78">
        <v>6921.3636284631111</v>
      </c>
      <c r="O148" s="113">
        <v>75231.034981071993</v>
      </c>
      <c r="P148" s="111">
        <v>88427.724875433996</v>
      </c>
      <c r="Q148" s="254">
        <v>36380.680180681353</v>
      </c>
      <c r="R148" s="263">
        <v>111611.71516175335</v>
      </c>
      <c r="S148" s="259">
        <v>124808.40505611536</v>
      </c>
      <c r="U148" s="7" t="s">
        <v>4520</v>
      </c>
    </row>
    <row r="149" spans="1:21" ht="16.5" thickBot="1">
      <c r="A149" s="41" t="s">
        <v>31</v>
      </c>
      <c r="B149" s="42">
        <f t="shared" si="6"/>
        <v>600</v>
      </c>
      <c r="C149" s="42" t="s">
        <v>3</v>
      </c>
      <c r="D149" s="42">
        <f t="shared" si="7"/>
        <v>360</v>
      </c>
      <c r="E149" s="42" t="s">
        <v>3</v>
      </c>
      <c r="F149" s="90">
        <f t="shared" si="8"/>
        <v>2500</v>
      </c>
      <c r="G149" s="42" t="s">
        <v>3</v>
      </c>
      <c r="H149" s="39">
        <v>8</v>
      </c>
      <c r="I149" s="40" t="s">
        <v>42</v>
      </c>
      <c r="J149" s="149">
        <v>600</v>
      </c>
      <c r="K149" s="66">
        <v>360</v>
      </c>
      <c r="L149" s="66">
        <v>2500</v>
      </c>
      <c r="M149" s="164">
        <v>79.808008214310007</v>
      </c>
      <c r="N149" s="78">
        <v>7086.158000569375</v>
      </c>
      <c r="O149" s="113">
        <v>76594.559382498264</v>
      </c>
      <c r="P149" s="111">
        <v>90037.685422958675</v>
      </c>
      <c r="Q149" s="254">
        <v>36984.101064919538</v>
      </c>
      <c r="R149" s="263">
        <v>113578.6604474178</v>
      </c>
      <c r="S149" s="259">
        <v>127021.78648787821</v>
      </c>
      <c r="U149" s="7" t="s">
        <v>4521</v>
      </c>
    </row>
    <row r="150" spans="1:21" ht="16.5" thickBot="1">
      <c r="A150" s="41" t="s">
        <v>31</v>
      </c>
      <c r="B150" s="42">
        <f t="shared" si="6"/>
        <v>600</v>
      </c>
      <c r="C150" s="42" t="s">
        <v>3</v>
      </c>
      <c r="D150" s="42">
        <f t="shared" si="7"/>
        <v>360</v>
      </c>
      <c r="E150" s="42" t="s">
        <v>3</v>
      </c>
      <c r="F150" s="90">
        <f t="shared" si="8"/>
        <v>2550</v>
      </c>
      <c r="G150" s="42" t="s">
        <v>3</v>
      </c>
      <c r="H150" s="39">
        <v>8</v>
      </c>
      <c r="I150" s="40" t="s">
        <v>42</v>
      </c>
      <c r="J150" s="149">
        <v>600</v>
      </c>
      <c r="K150" s="66">
        <v>360</v>
      </c>
      <c r="L150" s="66">
        <v>2550</v>
      </c>
      <c r="M150" s="164">
        <v>81.298176223319004</v>
      </c>
      <c r="N150" s="78">
        <v>7250.9523726756406</v>
      </c>
      <c r="O150" s="113">
        <v>77958.083783924521</v>
      </c>
      <c r="P150" s="111">
        <v>91647.645970483369</v>
      </c>
      <c r="Q150" s="254">
        <v>37838.856239970264</v>
      </c>
      <c r="R150" s="263">
        <v>115796.94002389479</v>
      </c>
      <c r="S150" s="259">
        <v>129486.50221045363</v>
      </c>
      <c r="U150" s="7" t="s">
        <v>4522</v>
      </c>
    </row>
    <row r="151" spans="1:21" ht="16.5" thickBot="1">
      <c r="A151" s="38" t="s">
        <v>31</v>
      </c>
      <c r="B151" s="39">
        <f t="shared" si="6"/>
        <v>600</v>
      </c>
      <c r="C151" s="39" t="s">
        <v>3</v>
      </c>
      <c r="D151" s="39">
        <f t="shared" si="7"/>
        <v>360</v>
      </c>
      <c r="E151" s="39" t="s">
        <v>3</v>
      </c>
      <c r="F151" s="90">
        <f t="shared" si="8"/>
        <v>2600</v>
      </c>
      <c r="G151" s="39" t="s">
        <v>3</v>
      </c>
      <c r="H151" s="39">
        <v>8</v>
      </c>
      <c r="I151" s="40" t="s">
        <v>42</v>
      </c>
      <c r="J151" s="149">
        <v>600</v>
      </c>
      <c r="K151" s="66">
        <v>360</v>
      </c>
      <c r="L151" s="66">
        <v>2600</v>
      </c>
      <c r="M151" s="164">
        <v>82.767214632328034</v>
      </c>
      <c r="N151" s="78">
        <v>7415.7467447819054</v>
      </c>
      <c r="O151" s="113">
        <v>79321.608032322023</v>
      </c>
      <c r="P151" s="111">
        <v>93257.606518008048</v>
      </c>
      <c r="Q151" s="254">
        <v>38442.277124208456</v>
      </c>
      <c r="R151" s="263">
        <v>117763.88515653048</v>
      </c>
      <c r="S151" s="259">
        <v>131699.8836422165</v>
      </c>
      <c r="U151" s="7" t="s">
        <v>4523</v>
      </c>
    </row>
    <row r="152" spans="1:21" ht="16.5" thickBot="1">
      <c r="A152" s="41" t="s">
        <v>31</v>
      </c>
      <c r="B152" s="42">
        <f t="shared" si="6"/>
        <v>600</v>
      </c>
      <c r="C152" s="42" t="s">
        <v>3</v>
      </c>
      <c r="D152" s="42">
        <f t="shared" si="7"/>
        <v>360</v>
      </c>
      <c r="E152" s="42" t="s">
        <v>3</v>
      </c>
      <c r="F152" s="90">
        <f t="shared" si="8"/>
        <v>2650</v>
      </c>
      <c r="G152" s="42" t="s">
        <v>3</v>
      </c>
      <c r="H152" s="39">
        <v>8</v>
      </c>
      <c r="I152" s="40" t="s">
        <v>42</v>
      </c>
      <c r="J152" s="149">
        <v>600</v>
      </c>
      <c r="K152" s="66">
        <v>360</v>
      </c>
      <c r="L152" s="66">
        <v>2650</v>
      </c>
      <c r="M152" s="164">
        <v>84.257382641337045</v>
      </c>
      <c r="N152" s="78">
        <v>7580.5411168881683</v>
      </c>
      <c r="O152" s="113">
        <v>80685.132433748295</v>
      </c>
      <c r="P152" s="111">
        <v>94867.566912503957</v>
      </c>
      <c r="Q152" s="254">
        <v>39297.032146230413</v>
      </c>
      <c r="R152" s="263">
        <v>119982.16457997871</v>
      </c>
      <c r="S152" s="259">
        <v>134164.59905873437</v>
      </c>
      <c r="U152" s="7" t="s">
        <v>4524</v>
      </c>
    </row>
    <row r="153" spans="1:21" ht="16.5" thickBot="1">
      <c r="A153" s="41" t="s">
        <v>31</v>
      </c>
      <c r="B153" s="42">
        <f t="shared" si="6"/>
        <v>600</v>
      </c>
      <c r="C153" s="42" t="s">
        <v>3</v>
      </c>
      <c r="D153" s="42">
        <f t="shared" si="7"/>
        <v>360</v>
      </c>
      <c r="E153" s="42" t="s">
        <v>3</v>
      </c>
      <c r="F153" s="90">
        <f t="shared" si="8"/>
        <v>2700</v>
      </c>
      <c r="G153" s="42" t="s">
        <v>3</v>
      </c>
      <c r="H153" s="39">
        <v>8</v>
      </c>
      <c r="I153" s="40" t="s">
        <v>42</v>
      </c>
      <c r="J153" s="149">
        <v>600</v>
      </c>
      <c r="K153" s="66">
        <v>360</v>
      </c>
      <c r="L153" s="66">
        <v>2700</v>
      </c>
      <c r="M153" s="164">
        <v>85.921101050346067</v>
      </c>
      <c r="N153" s="78">
        <v>7745.3354889944339</v>
      </c>
      <c r="O153" s="113">
        <v>82216.85335241245</v>
      </c>
      <c r="P153" s="111">
        <v>96646.750800280526</v>
      </c>
      <c r="Q153" s="254">
        <v>39900.453030468605</v>
      </c>
      <c r="R153" s="263">
        <v>122117.30638288106</v>
      </c>
      <c r="S153" s="259">
        <v>136547.20383074915</v>
      </c>
      <c r="U153" s="7" t="s">
        <v>4525</v>
      </c>
    </row>
    <row r="154" spans="1:21" ht="16.5" thickBot="1">
      <c r="A154" s="41" t="s">
        <v>31</v>
      </c>
      <c r="B154" s="42">
        <f t="shared" si="6"/>
        <v>600</v>
      </c>
      <c r="C154" s="42" t="s">
        <v>3</v>
      </c>
      <c r="D154" s="42">
        <f t="shared" si="7"/>
        <v>360</v>
      </c>
      <c r="E154" s="42" t="s">
        <v>3</v>
      </c>
      <c r="F154" s="90">
        <f t="shared" si="8"/>
        <v>2750</v>
      </c>
      <c r="G154" s="42" t="s">
        <v>3</v>
      </c>
      <c r="H154" s="39">
        <v>8</v>
      </c>
      <c r="I154" s="40" t="s">
        <v>42</v>
      </c>
      <c r="J154" s="149">
        <v>600</v>
      </c>
      <c r="K154" s="66">
        <v>360</v>
      </c>
      <c r="L154" s="66">
        <v>2750</v>
      </c>
      <c r="M154" s="164">
        <v>87.390139459355069</v>
      </c>
      <c r="N154" s="78">
        <v>7910.1298611006978</v>
      </c>
      <c r="O154" s="113">
        <v>83580.377600809952</v>
      </c>
      <c r="P154" s="111">
        <v>98256.711347805205</v>
      </c>
      <c r="Q154" s="254">
        <v>40503.87391470679</v>
      </c>
      <c r="R154" s="263">
        <v>124084.25151551675</v>
      </c>
      <c r="S154" s="259">
        <v>138760.585262512</v>
      </c>
      <c r="U154" s="7" t="s">
        <v>4526</v>
      </c>
    </row>
    <row r="155" spans="1:21" ht="16.5" thickBot="1">
      <c r="A155" s="41" t="s">
        <v>31</v>
      </c>
      <c r="B155" s="42">
        <f t="shared" si="6"/>
        <v>600</v>
      </c>
      <c r="C155" s="42" t="s">
        <v>3</v>
      </c>
      <c r="D155" s="42">
        <f t="shared" si="7"/>
        <v>360</v>
      </c>
      <c r="E155" s="42" t="s">
        <v>3</v>
      </c>
      <c r="F155" s="90">
        <f t="shared" si="8"/>
        <v>2800</v>
      </c>
      <c r="G155" s="42" t="s">
        <v>3</v>
      </c>
      <c r="H155" s="39">
        <v>8</v>
      </c>
      <c r="I155" s="40" t="s">
        <v>42</v>
      </c>
      <c r="J155" s="149">
        <v>600</v>
      </c>
      <c r="K155" s="66">
        <v>360</v>
      </c>
      <c r="L155" s="66">
        <v>2800</v>
      </c>
      <c r="M155" s="164">
        <v>88.88030746836408</v>
      </c>
      <c r="N155" s="78">
        <v>8074.9242332069634</v>
      </c>
      <c r="O155" s="113">
        <v>84943.902002236209</v>
      </c>
      <c r="P155" s="111">
        <v>99866.671895329884</v>
      </c>
      <c r="Q155" s="254">
        <v>41358.628936728746</v>
      </c>
      <c r="R155" s="263">
        <v>126302.53093896495</v>
      </c>
      <c r="S155" s="259">
        <v>141225.30083205862</v>
      </c>
      <c r="U155" s="7" t="s">
        <v>4527</v>
      </c>
    </row>
    <row r="156" spans="1:21" ht="16.5" thickBot="1">
      <c r="A156" s="41" t="s">
        <v>31</v>
      </c>
      <c r="B156" s="42">
        <f t="shared" si="6"/>
        <v>600</v>
      </c>
      <c r="C156" s="42" t="s">
        <v>3</v>
      </c>
      <c r="D156" s="42">
        <f t="shared" si="7"/>
        <v>360</v>
      </c>
      <c r="E156" s="42" t="s">
        <v>3</v>
      </c>
      <c r="F156" s="90">
        <f t="shared" si="8"/>
        <v>2850</v>
      </c>
      <c r="G156" s="42" t="s">
        <v>3</v>
      </c>
      <c r="H156" s="39">
        <v>8</v>
      </c>
      <c r="I156" s="40" t="s">
        <v>42</v>
      </c>
      <c r="J156" s="149">
        <v>600</v>
      </c>
      <c r="K156" s="66">
        <v>360</v>
      </c>
      <c r="L156" s="66">
        <v>2850</v>
      </c>
      <c r="M156" s="164">
        <v>90.349345877373082</v>
      </c>
      <c r="N156" s="78">
        <v>8239.7186053132282</v>
      </c>
      <c r="O156" s="113">
        <v>86307.426250633711</v>
      </c>
      <c r="P156" s="111">
        <v>101476.63244285456</v>
      </c>
      <c r="Q156" s="254">
        <v>41962.049820966939</v>
      </c>
      <c r="R156" s="263">
        <v>128269.47607160066</v>
      </c>
      <c r="S156" s="259">
        <v>143438.68226382151</v>
      </c>
      <c r="U156" s="7" t="s">
        <v>4528</v>
      </c>
    </row>
    <row r="157" spans="1:21" ht="16.5" thickBot="1">
      <c r="A157" s="41" t="s">
        <v>31</v>
      </c>
      <c r="B157" s="42">
        <f t="shared" si="6"/>
        <v>600</v>
      </c>
      <c r="C157" s="42" t="s">
        <v>3</v>
      </c>
      <c r="D157" s="42">
        <f t="shared" si="7"/>
        <v>360</v>
      </c>
      <c r="E157" s="42" t="s">
        <v>3</v>
      </c>
      <c r="F157" s="90">
        <f t="shared" si="8"/>
        <v>2900</v>
      </c>
      <c r="G157" s="42" t="s">
        <v>3</v>
      </c>
      <c r="H157" s="39">
        <v>8</v>
      </c>
      <c r="I157" s="40" t="s">
        <v>42</v>
      </c>
      <c r="J157" s="149">
        <v>600</v>
      </c>
      <c r="K157" s="66">
        <v>360</v>
      </c>
      <c r="L157" s="66">
        <v>2900</v>
      </c>
      <c r="M157" s="164">
        <v>91.839513886382093</v>
      </c>
      <c r="N157" s="78">
        <v>8404.512977419492</v>
      </c>
      <c r="O157" s="113">
        <v>87670.950652059983</v>
      </c>
      <c r="P157" s="111">
        <v>103086.59283735049</v>
      </c>
      <c r="Q157" s="254">
        <v>42816.804842988895</v>
      </c>
      <c r="R157" s="263">
        <v>130487.75549504888</v>
      </c>
      <c r="S157" s="259">
        <v>145903.39768033937</v>
      </c>
      <c r="U157" s="7" t="s">
        <v>4529</v>
      </c>
    </row>
    <row r="158" spans="1:21" ht="16.5" thickBot="1">
      <c r="A158" s="41" t="s">
        <v>31</v>
      </c>
      <c r="B158" s="42">
        <f t="shared" si="6"/>
        <v>600</v>
      </c>
      <c r="C158" s="42" t="s">
        <v>3</v>
      </c>
      <c r="D158" s="42">
        <f t="shared" si="7"/>
        <v>360</v>
      </c>
      <c r="E158" s="42" t="s">
        <v>3</v>
      </c>
      <c r="F158" s="90">
        <f t="shared" si="8"/>
        <v>2950</v>
      </c>
      <c r="G158" s="42" t="s">
        <v>3</v>
      </c>
      <c r="H158" s="39">
        <v>8</v>
      </c>
      <c r="I158" s="40" t="s">
        <v>42</v>
      </c>
      <c r="J158" s="149">
        <v>600</v>
      </c>
      <c r="K158" s="66">
        <v>360</v>
      </c>
      <c r="L158" s="66">
        <v>2950</v>
      </c>
      <c r="M158" s="164">
        <v>93.308552295391095</v>
      </c>
      <c r="N158" s="78">
        <v>8569.3073495257577</v>
      </c>
      <c r="O158" s="113">
        <v>89034.475053486254</v>
      </c>
      <c r="P158" s="111">
        <v>104696.55338487517</v>
      </c>
      <c r="Q158" s="254">
        <v>43420.22572722708</v>
      </c>
      <c r="R158" s="263">
        <v>132454.70078071335</v>
      </c>
      <c r="S158" s="259">
        <v>148116.77911210223</v>
      </c>
      <c r="U158" s="7" t="s">
        <v>4530</v>
      </c>
    </row>
    <row r="159" spans="1:21" ht="16.5" thickBot="1">
      <c r="A159" s="41" t="s">
        <v>31</v>
      </c>
      <c r="B159" s="42">
        <f t="shared" si="6"/>
        <v>600</v>
      </c>
      <c r="C159" s="42" t="s">
        <v>3</v>
      </c>
      <c r="D159" s="42">
        <f t="shared" si="7"/>
        <v>360</v>
      </c>
      <c r="E159" s="42" t="s">
        <v>3</v>
      </c>
      <c r="F159" s="90">
        <f t="shared" si="8"/>
        <v>3000</v>
      </c>
      <c r="G159" s="42" t="s">
        <v>3</v>
      </c>
      <c r="H159" s="39">
        <v>8</v>
      </c>
      <c r="I159" s="40" t="s">
        <v>42</v>
      </c>
      <c r="J159" s="151">
        <v>600</v>
      </c>
      <c r="K159" s="126">
        <v>360</v>
      </c>
      <c r="L159" s="126">
        <v>3000</v>
      </c>
      <c r="M159" s="171">
        <v>94.798720304400121</v>
      </c>
      <c r="N159" s="127">
        <v>8734.1017216320197</v>
      </c>
      <c r="O159" s="128">
        <v>91678.920918298259</v>
      </c>
      <c r="P159" s="135">
        <v>106306.51393239984</v>
      </c>
      <c r="Q159" s="255">
        <v>44274.980749249036</v>
      </c>
      <c r="R159" s="264">
        <v>135953.9016675473</v>
      </c>
      <c r="S159" s="261">
        <v>150581.49468164888</v>
      </c>
      <c r="U159" s="7" t="s">
        <v>4531</v>
      </c>
    </row>
    <row r="160" spans="1:21">
      <c r="M160" s="85"/>
      <c r="P160" s="84"/>
      <c r="S160" s="84"/>
    </row>
    <row r="161" spans="13:19">
      <c r="M161" s="85"/>
      <c r="P161" s="84"/>
      <c r="S161" s="84"/>
    </row>
    <row r="162" spans="13:19">
      <c r="M162" s="85"/>
      <c r="P162" s="84"/>
      <c r="S162" s="84"/>
    </row>
    <row r="163" spans="13:19">
      <c r="M163" s="85"/>
      <c r="P163" s="84"/>
      <c r="S163" s="84"/>
    </row>
    <row r="164" spans="13:19">
      <c r="M164" s="85"/>
      <c r="P164" s="84"/>
      <c r="S164" s="84"/>
    </row>
    <row r="165" spans="13:19">
      <c r="M165" s="85"/>
      <c r="P165" s="84"/>
      <c r="S165" s="84"/>
    </row>
    <row r="166" spans="13:19">
      <c r="M166" s="85"/>
      <c r="P166" s="84"/>
      <c r="S166" s="84"/>
    </row>
    <row r="167" spans="13:19">
      <c r="M167" s="85"/>
      <c r="P167" s="84"/>
      <c r="S167" s="84"/>
    </row>
    <row r="168" spans="13:19">
      <c r="M168" s="85"/>
      <c r="P168" s="84"/>
      <c r="S168" s="84"/>
    </row>
    <row r="169" spans="13:19">
      <c r="M169" s="85"/>
      <c r="P169" s="84"/>
      <c r="S169" s="84"/>
    </row>
    <row r="170" spans="13:19">
      <c r="M170" s="85"/>
      <c r="P170" s="84"/>
      <c r="S170" s="84"/>
    </row>
    <row r="171" spans="13:19">
      <c r="M171" s="85"/>
      <c r="P171" s="84"/>
      <c r="S171" s="84"/>
    </row>
    <row r="172" spans="13:19">
      <c r="M172" s="85"/>
      <c r="P172" s="84"/>
      <c r="S172" s="84"/>
    </row>
    <row r="173" spans="13:19">
      <c r="M173" s="85"/>
      <c r="P173" s="84"/>
      <c r="S173" s="84"/>
    </row>
    <row r="174" spans="13:19">
      <c r="M174" s="85"/>
      <c r="P174" s="84"/>
      <c r="S174" s="84"/>
    </row>
    <row r="175" spans="13:19">
      <c r="M175" s="85"/>
      <c r="P175" s="84"/>
      <c r="S175" s="84"/>
    </row>
    <row r="176" spans="13:19">
      <c r="M176" s="85"/>
      <c r="P176" s="84"/>
      <c r="S176" s="84"/>
    </row>
    <row r="177" spans="13:19">
      <c r="M177" s="85"/>
      <c r="P177" s="84"/>
      <c r="S177" s="84"/>
    </row>
    <row r="178" spans="13:19">
      <c r="M178" s="85"/>
      <c r="P178" s="84"/>
      <c r="S178" s="84"/>
    </row>
    <row r="179" spans="13:19">
      <c r="M179" s="85"/>
      <c r="P179" s="84"/>
      <c r="S179" s="84"/>
    </row>
    <row r="180" spans="13:19">
      <c r="M180" s="85"/>
      <c r="P180" s="84"/>
      <c r="S180" s="84"/>
    </row>
    <row r="181" spans="13:19">
      <c r="M181" s="85"/>
      <c r="P181" s="84"/>
      <c r="S181" s="84"/>
    </row>
    <row r="182" spans="13:19">
      <c r="M182" s="85"/>
      <c r="P182" s="84"/>
      <c r="S182" s="84"/>
    </row>
    <row r="183" spans="13:19">
      <c r="M183" s="85"/>
      <c r="P183" s="84"/>
      <c r="S183" s="84"/>
    </row>
    <row r="184" spans="13:19">
      <c r="M184" s="85"/>
      <c r="P184" s="84"/>
      <c r="S184" s="84"/>
    </row>
    <row r="185" spans="13:19">
      <c r="M185" s="85"/>
      <c r="P185" s="84"/>
      <c r="S185" s="84"/>
    </row>
    <row r="186" spans="13:19">
      <c r="M186" s="85"/>
      <c r="P186" s="84"/>
      <c r="S186" s="84"/>
    </row>
    <row r="187" spans="13:19">
      <c r="M187" s="85"/>
      <c r="P187" s="84"/>
      <c r="S187" s="84"/>
    </row>
    <row r="188" spans="13:19">
      <c r="M188" s="85"/>
      <c r="P188" s="84"/>
      <c r="S188" s="84"/>
    </row>
    <row r="189" spans="13:19">
      <c r="M189" s="85"/>
      <c r="P189" s="84"/>
      <c r="S189" s="84"/>
    </row>
    <row r="190" spans="13:19">
      <c r="M190" s="85"/>
      <c r="P190" s="84"/>
      <c r="S190" s="84"/>
    </row>
    <row r="191" spans="13:19">
      <c r="M191" s="85"/>
      <c r="P191" s="84"/>
      <c r="S191" s="84"/>
    </row>
    <row r="192" spans="13:19">
      <c r="M192" s="85"/>
      <c r="P192" s="84"/>
      <c r="S192" s="84"/>
    </row>
    <row r="193" spans="13:19">
      <c r="M193" s="85"/>
      <c r="P193" s="84"/>
      <c r="S193" s="84"/>
    </row>
    <row r="194" spans="13:19">
      <c r="M194" s="85"/>
      <c r="P194" s="84"/>
      <c r="S194" s="84"/>
    </row>
    <row r="195" spans="13:19">
      <c r="M195" s="85"/>
      <c r="P195" s="84"/>
      <c r="S195" s="84"/>
    </row>
    <row r="196" spans="13:19">
      <c r="M196" s="85"/>
      <c r="P196" s="84"/>
      <c r="S196" s="84"/>
    </row>
    <row r="197" spans="13:19">
      <c r="M197" s="85"/>
      <c r="P197" s="84"/>
      <c r="S197" s="84"/>
    </row>
    <row r="198" spans="13:19">
      <c r="M198" s="85"/>
      <c r="P198" s="84"/>
      <c r="S198" s="84"/>
    </row>
    <row r="199" spans="13:19">
      <c r="M199" s="85"/>
      <c r="P199" s="84"/>
      <c r="S199" s="84"/>
    </row>
    <row r="200" spans="13:19">
      <c r="M200" s="85"/>
      <c r="P200" s="84"/>
      <c r="S200" s="84"/>
    </row>
    <row r="201" spans="13:19">
      <c r="M201" s="85"/>
      <c r="P201" s="84"/>
      <c r="S201" s="84"/>
    </row>
    <row r="202" spans="13:19">
      <c r="M202" s="85"/>
      <c r="P202" s="84"/>
      <c r="S202" s="84"/>
    </row>
    <row r="203" spans="13:19">
      <c r="M203" s="85"/>
      <c r="P203" s="84"/>
      <c r="S203" s="84"/>
    </row>
    <row r="204" spans="13:19">
      <c r="M204" s="85"/>
      <c r="P204" s="84"/>
      <c r="S204" s="84"/>
    </row>
    <row r="205" spans="13:19">
      <c r="M205" s="85"/>
      <c r="P205" s="84"/>
      <c r="S205" s="84"/>
    </row>
    <row r="206" spans="13:19">
      <c r="M206" s="85"/>
      <c r="P206" s="84"/>
      <c r="S206" s="84"/>
    </row>
    <row r="207" spans="13:19">
      <c r="M207" s="85"/>
      <c r="P207" s="84"/>
      <c r="S207" s="84"/>
    </row>
    <row r="208" spans="13:19">
      <c r="M208" s="85"/>
      <c r="P208" s="84"/>
      <c r="S208" s="84"/>
    </row>
    <row r="209" spans="13:19">
      <c r="M209" s="85"/>
      <c r="P209" s="84"/>
      <c r="S209" s="84"/>
    </row>
    <row r="210" spans="13:19">
      <c r="M210" s="85"/>
      <c r="P210" s="84"/>
      <c r="S210" s="84"/>
    </row>
    <row r="211" spans="13:19">
      <c r="M211" s="85"/>
      <c r="P211" s="84"/>
      <c r="S211" s="84"/>
    </row>
    <row r="212" spans="13:19">
      <c r="M212" s="85"/>
      <c r="P212" s="84"/>
      <c r="S212" s="84"/>
    </row>
    <row r="213" spans="13:19">
      <c r="M213" s="85"/>
      <c r="P213" s="84"/>
      <c r="S213" s="84"/>
    </row>
    <row r="214" spans="13:19">
      <c r="M214" s="85"/>
      <c r="P214" s="84"/>
      <c r="S214" s="84"/>
    </row>
    <row r="215" spans="13:19">
      <c r="M215" s="85"/>
      <c r="P215" s="84"/>
      <c r="S215" s="84"/>
    </row>
    <row r="216" spans="13:19">
      <c r="M216" s="85"/>
      <c r="P216" s="84"/>
      <c r="S216" s="84"/>
    </row>
    <row r="217" spans="13:19">
      <c r="M217" s="85"/>
      <c r="P217" s="84"/>
      <c r="S217" s="84"/>
    </row>
    <row r="218" spans="13:19">
      <c r="M218" s="85"/>
      <c r="P218" s="84"/>
      <c r="S218" s="84"/>
    </row>
    <row r="219" spans="13:19">
      <c r="M219" s="85"/>
      <c r="P219" s="84"/>
      <c r="S219" s="84"/>
    </row>
    <row r="220" spans="13:19">
      <c r="M220" s="85"/>
      <c r="P220" s="84"/>
      <c r="S220" s="84"/>
    </row>
    <row r="221" spans="13:19">
      <c r="M221" s="85"/>
      <c r="P221" s="84"/>
      <c r="S221" s="84"/>
    </row>
    <row r="222" spans="13:19">
      <c r="M222" s="85"/>
      <c r="P222" s="84"/>
      <c r="S222" s="84"/>
    </row>
    <row r="223" spans="13:19">
      <c r="M223" s="85"/>
      <c r="P223" s="84"/>
      <c r="S223" s="84"/>
    </row>
    <row r="224" spans="13:19">
      <c r="M224" s="85"/>
      <c r="P224" s="84"/>
      <c r="S224" s="84"/>
    </row>
    <row r="225" spans="13:19">
      <c r="M225" s="85"/>
      <c r="P225" s="84"/>
      <c r="S225" s="84"/>
    </row>
    <row r="226" spans="13:19">
      <c r="M226" s="85"/>
      <c r="P226" s="84"/>
      <c r="S226" s="84"/>
    </row>
    <row r="227" spans="13:19">
      <c r="M227" s="85"/>
      <c r="P227" s="84"/>
      <c r="S227" s="84"/>
    </row>
    <row r="228" spans="13:19">
      <c r="M228" s="85"/>
      <c r="P228" s="84"/>
      <c r="S228" s="84"/>
    </row>
    <row r="229" spans="13:19">
      <c r="M229" s="85"/>
      <c r="P229" s="84"/>
      <c r="S229" s="84"/>
    </row>
    <row r="230" spans="13:19">
      <c r="M230" s="85"/>
      <c r="P230" s="84"/>
      <c r="S230" s="84"/>
    </row>
    <row r="231" spans="13:19">
      <c r="M231" s="85"/>
      <c r="P231" s="84"/>
      <c r="S231" s="84"/>
    </row>
    <row r="232" spans="13:19">
      <c r="M232" s="85"/>
      <c r="P232" s="84"/>
      <c r="S232" s="84"/>
    </row>
    <row r="233" spans="13:19">
      <c r="M233" s="85"/>
      <c r="P233" s="84"/>
      <c r="S233" s="84"/>
    </row>
    <row r="234" spans="13:19">
      <c r="M234" s="85"/>
      <c r="P234" s="84"/>
      <c r="S234" s="84"/>
    </row>
    <row r="235" spans="13:19">
      <c r="M235" s="85"/>
      <c r="P235" s="84"/>
      <c r="S235" s="84"/>
    </row>
    <row r="236" spans="13:19">
      <c r="M236" s="85"/>
      <c r="P236" s="84"/>
      <c r="S236" s="84"/>
    </row>
    <row r="237" spans="13:19">
      <c r="M237" s="85"/>
      <c r="P237" s="84"/>
      <c r="S237" s="84"/>
    </row>
    <row r="238" spans="13:19">
      <c r="M238" s="85"/>
      <c r="P238" s="84"/>
      <c r="S238" s="84"/>
    </row>
    <row r="239" spans="13:19">
      <c r="M239" s="85"/>
      <c r="P239" s="84"/>
      <c r="S239" s="84"/>
    </row>
    <row r="240" spans="13:19">
      <c r="M240" s="85"/>
      <c r="P240" s="84"/>
      <c r="S240" s="84"/>
    </row>
    <row r="241" spans="13:19">
      <c r="M241" s="85"/>
      <c r="P241" s="84"/>
      <c r="S241" s="84"/>
    </row>
    <row r="242" spans="13:19">
      <c r="M242" s="85"/>
      <c r="P242" s="84"/>
      <c r="S242" s="84"/>
    </row>
    <row r="243" spans="13:19">
      <c r="M243" s="85"/>
      <c r="P243" s="84"/>
      <c r="S243" s="84"/>
    </row>
    <row r="244" spans="13:19">
      <c r="M244" s="85"/>
      <c r="P244" s="84"/>
      <c r="S244" s="84"/>
    </row>
    <row r="245" spans="13:19">
      <c r="M245" s="85"/>
      <c r="P245" s="84"/>
      <c r="S245" s="84"/>
    </row>
    <row r="246" spans="13:19">
      <c r="M246" s="85"/>
      <c r="P246" s="84"/>
      <c r="S246" s="84"/>
    </row>
    <row r="247" spans="13:19">
      <c r="M247" s="85"/>
      <c r="P247" s="84"/>
      <c r="S247" s="84"/>
    </row>
    <row r="248" spans="13:19">
      <c r="M248" s="85"/>
      <c r="P248" s="84"/>
      <c r="S248" s="84"/>
    </row>
    <row r="249" spans="13:19">
      <c r="M249" s="85"/>
      <c r="P249" s="84"/>
      <c r="S249" s="84"/>
    </row>
    <row r="250" spans="13:19">
      <c r="M250" s="85"/>
      <c r="P250" s="84"/>
      <c r="S250" s="84"/>
    </row>
    <row r="251" spans="13:19">
      <c r="M251" s="85"/>
      <c r="P251" s="84"/>
      <c r="S251" s="84"/>
    </row>
    <row r="252" spans="13:19">
      <c r="M252" s="85"/>
      <c r="P252" s="84"/>
      <c r="S252" s="84"/>
    </row>
    <row r="253" spans="13:19">
      <c r="M253" s="85"/>
      <c r="P253" s="84"/>
      <c r="S253" s="84"/>
    </row>
    <row r="254" spans="13:19">
      <c r="M254" s="85"/>
      <c r="P254" s="84"/>
      <c r="S254" s="84"/>
    </row>
    <row r="255" spans="13:19">
      <c r="M255" s="85"/>
      <c r="P255" s="84"/>
      <c r="S255" s="84"/>
    </row>
    <row r="256" spans="13:19">
      <c r="M256" s="85"/>
      <c r="P256" s="84"/>
      <c r="S256" s="84"/>
    </row>
    <row r="257" spans="13:19">
      <c r="M257" s="85"/>
      <c r="P257" s="84"/>
      <c r="S257" s="84"/>
    </row>
    <row r="258" spans="13:19">
      <c r="M258" s="85"/>
      <c r="P258" s="84"/>
      <c r="S258" s="84"/>
    </row>
    <row r="259" spans="13:19">
      <c r="M259" s="85"/>
      <c r="P259" s="84"/>
      <c r="S259" s="84"/>
    </row>
    <row r="260" spans="13:19">
      <c r="M260" s="85"/>
      <c r="P260" s="84"/>
      <c r="S260" s="84"/>
    </row>
    <row r="261" spans="13:19">
      <c r="M261" s="85"/>
      <c r="P261" s="84"/>
      <c r="S261" s="84"/>
    </row>
    <row r="262" spans="13:19">
      <c r="M262" s="85"/>
      <c r="P262" s="84"/>
      <c r="S262" s="84"/>
    </row>
    <row r="263" spans="13:19">
      <c r="M263" s="85"/>
      <c r="P263" s="84"/>
      <c r="S263" s="84"/>
    </row>
    <row r="264" spans="13:19">
      <c r="M264" s="85"/>
      <c r="P264" s="84"/>
      <c r="S264" s="84"/>
    </row>
    <row r="265" spans="13:19">
      <c r="M265" s="85"/>
      <c r="P265" s="84"/>
      <c r="S265" s="84"/>
    </row>
    <row r="266" spans="13:19">
      <c r="M266" s="85"/>
      <c r="P266" s="84"/>
      <c r="S266" s="84"/>
    </row>
    <row r="267" spans="13:19">
      <c r="M267" s="85"/>
      <c r="P267" s="84"/>
      <c r="S267" s="84"/>
    </row>
    <row r="268" spans="13:19">
      <c r="M268" s="85"/>
      <c r="P268" s="84"/>
      <c r="S268" s="84"/>
    </row>
    <row r="269" spans="13:19">
      <c r="M269" s="85"/>
      <c r="P269" s="84"/>
      <c r="S269" s="84"/>
    </row>
    <row r="270" spans="13:19">
      <c r="M270" s="85"/>
      <c r="P270" s="84"/>
      <c r="S270" s="84"/>
    </row>
    <row r="271" spans="13:19">
      <c r="M271" s="85"/>
      <c r="P271" s="84"/>
      <c r="S271" s="84"/>
    </row>
    <row r="272" spans="13:19">
      <c r="M272" s="85"/>
      <c r="P272" s="84"/>
      <c r="S272" s="84"/>
    </row>
    <row r="273" spans="13:19">
      <c r="M273" s="85"/>
      <c r="P273" s="84"/>
      <c r="S273" s="84"/>
    </row>
    <row r="274" spans="13:19">
      <c r="M274" s="85"/>
      <c r="P274" s="84"/>
      <c r="S274" s="84"/>
    </row>
    <row r="275" spans="13:19">
      <c r="M275" s="85"/>
      <c r="P275" s="84"/>
      <c r="S275" s="84"/>
    </row>
    <row r="276" spans="13:19">
      <c r="M276" s="85"/>
      <c r="P276" s="84"/>
      <c r="S276" s="84"/>
    </row>
    <row r="277" spans="13:19">
      <c r="M277" s="85"/>
      <c r="P277" s="84"/>
      <c r="S277" s="84"/>
    </row>
    <row r="278" spans="13:19">
      <c r="M278" s="85"/>
      <c r="P278" s="84"/>
      <c r="S278" s="84"/>
    </row>
    <row r="279" spans="13:19">
      <c r="M279" s="85"/>
      <c r="P279" s="84"/>
      <c r="S279" s="84"/>
    </row>
    <row r="280" spans="13:19">
      <c r="M280" s="85"/>
      <c r="P280" s="84"/>
      <c r="S280" s="84"/>
    </row>
    <row r="281" spans="13:19">
      <c r="M281" s="85"/>
      <c r="P281" s="84"/>
      <c r="S281" s="84"/>
    </row>
    <row r="282" spans="13:19">
      <c r="M282" s="85"/>
      <c r="P282" s="84"/>
      <c r="S282" s="84"/>
    </row>
    <row r="283" spans="13:19">
      <c r="M283" s="85"/>
      <c r="P283" s="84"/>
      <c r="S283" s="84"/>
    </row>
    <row r="284" spans="13:19">
      <c r="M284" s="85"/>
      <c r="P284" s="84"/>
      <c r="S284" s="84"/>
    </row>
    <row r="285" spans="13:19">
      <c r="M285" s="85"/>
      <c r="P285" s="84"/>
      <c r="S285" s="84"/>
    </row>
    <row r="286" spans="13:19">
      <c r="M286" s="85"/>
      <c r="P286" s="84"/>
      <c r="S286" s="84"/>
    </row>
    <row r="287" spans="13:19">
      <c r="M287" s="85"/>
      <c r="P287" s="84"/>
      <c r="S287" s="84"/>
    </row>
    <row r="288" spans="13:19">
      <c r="M288" s="85"/>
      <c r="P288" s="84"/>
      <c r="S288" s="84"/>
    </row>
    <row r="289" spans="13:19">
      <c r="M289" s="85"/>
      <c r="P289" s="84"/>
      <c r="S289" s="84"/>
    </row>
    <row r="290" spans="13:19">
      <c r="M290" s="85"/>
      <c r="P290" s="84"/>
      <c r="S290" s="84"/>
    </row>
    <row r="291" spans="13:19">
      <c r="M291" s="85"/>
      <c r="P291" s="84"/>
      <c r="S291" s="84"/>
    </row>
    <row r="292" spans="13:19">
      <c r="M292" s="85"/>
      <c r="P292" s="84"/>
      <c r="S292" s="84"/>
    </row>
    <row r="293" spans="13:19">
      <c r="M293" s="85"/>
      <c r="P293" s="84"/>
      <c r="S293" s="84"/>
    </row>
    <row r="294" spans="13:19">
      <c r="M294" s="85"/>
      <c r="P294" s="84"/>
      <c r="S294" s="84"/>
    </row>
    <row r="295" spans="13:19">
      <c r="M295" s="85"/>
      <c r="P295" s="84"/>
      <c r="S295" s="84"/>
    </row>
    <row r="296" spans="13:19">
      <c r="M296" s="85"/>
      <c r="P296" s="84"/>
      <c r="S296" s="84"/>
    </row>
    <row r="297" spans="13:19">
      <c r="M297" s="85"/>
      <c r="P297" s="84"/>
      <c r="S297" s="84"/>
    </row>
    <row r="298" spans="13:19">
      <c r="M298" s="85"/>
      <c r="P298" s="84"/>
      <c r="S298" s="84"/>
    </row>
    <row r="299" spans="13:19">
      <c r="M299" s="85"/>
      <c r="P299" s="84"/>
      <c r="S299" s="84"/>
    </row>
    <row r="300" spans="13:19">
      <c r="M300" s="85"/>
      <c r="P300" s="84"/>
      <c r="S300" s="84"/>
    </row>
    <row r="301" spans="13:19">
      <c r="M301" s="85"/>
      <c r="P301" s="84"/>
      <c r="S301" s="84"/>
    </row>
    <row r="302" spans="13:19">
      <c r="M302" s="85"/>
      <c r="P302" s="84"/>
      <c r="S302" s="84"/>
    </row>
    <row r="303" spans="13:19">
      <c r="M303" s="85"/>
      <c r="P303" s="84"/>
      <c r="S303" s="84"/>
    </row>
    <row r="304" spans="13:19">
      <c r="M304" s="85"/>
      <c r="P304" s="84"/>
      <c r="S304" s="84"/>
    </row>
    <row r="305" spans="13:19">
      <c r="M305" s="85"/>
      <c r="P305" s="84"/>
      <c r="S305" s="84"/>
    </row>
    <row r="306" spans="13:19">
      <c r="M306" s="85"/>
      <c r="P306" s="84"/>
      <c r="S306" s="84"/>
    </row>
    <row r="307" spans="13:19">
      <c r="M307" s="85"/>
      <c r="P307" s="84"/>
      <c r="S307" s="84"/>
    </row>
    <row r="308" spans="13:19">
      <c r="M308" s="85"/>
      <c r="P308" s="84"/>
      <c r="S308" s="84"/>
    </row>
    <row r="309" spans="13:19">
      <c r="M309" s="85"/>
      <c r="P309" s="84"/>
      <c r="S309" s="84"/>
    </row>
    <row r="310" spans="13:19">
      <c r="M310" s="85"/>
      <c r="P310" s="84"/>
      <c r="S310" s="84"/>
    </row>
    <row r="311" spans="13:19">
      <c r="M311" s="85"/>
      <c r="P311" s="84"/>
      <c r="S311" s="84"/>
    </row>
    <row r="312" spans="13:19">
      <c r="M312" s="85"/>
      <c r="P312" s="84"/>
      <c r="S312" s="84"/>
    </row>
    <row r="313" spans="13:19">
      <c r="M313" s="85"/>
      <c r="P313" s="84"/>
      <c r="S313" s="84"/>
    </row>
    <row r="314" spans="13:19">
      <c r="M314" s="85"/>
      <c r="P314" s="84"/>
      <c r="S314" s="84"/>
    </row>
    <row r="315" spans="13:19">
      <c r="M315" s="85"/>
      <c r="P315" s="84"/>
      <c r="S315" s="84"/>
    </row>
    <row r="316" spans="13:19">
      <c r="M316" s="85"/>
      <c r="P316" s="84"/>
      <c r="S316" s="84"/>
    </row>
    <row r="317" spans="13:19">
      <c r="M317" s="85"/>
      <c r="P317" s="84"/>
      <c r="S317" s="84"/>
    </row>
    <row r="318" spans="13:19">
      <c r="M318" s="85"/>
      <c r="P318" s="84"/>
      <c r="S318" s="84"/>
    </row>
    <row r="319" spans="13:19">
      <c r="M319" s="85"/>
      <c r="P319" s="84"/>
      <c r="S319" s="84"/>
    </row>
    <row r="320" spans="13:19">
      <c r="M320" s="85"/>
      <c r="P320" s="84"/>
      <c r="S320" s="84"/>
    </row>
    <row r="321" spans="13:19">
      <c r="M321" s="85"/>
      <c r="P321" s="84"/>
      <c r="S321" s="84"/>
    </row>
    <row r="322" spans="13:19">
      <c r="M322" s="85"/>
      <c r="P322" s="84"/>
      <c r="S322" s="84"/>
    </row>
    <row r="323" spans="13:19">
      <c r="M323" s="85"/>
      <c r="P323" s="84"/>
      <c r="S323" s="84"/>
    </row>
    <row r="324" spans="13:19">
      <c r="M324" s="85"/>
      <c r="P324" s="84"/>
      <c r="S324" s="84"/>
    </row>
    <row r="325" spans="13:19">
      <c r="M325" s="85"/>
      <c r="P325" s="84"/>
      <c r="S325" s="84"/>
    </row>
    <row r="326" spans="13:19">
      <c r="M326" s="85"/>
      <c r="P326" s="84"/>
      <c r="S326" s="84"/>
    </row>
    <row r="327" spans="13:19">
      <c r="M327" s="85"/>
      <c r="P327" s="84"/>
      <c r="S327" s="84"/>
    </row>
    <row r="328" spans="13:19">
      <c r="M328" s="85"/>
      <c r="P328" s="84"/>
      <c r="S328" s="84"/>
    </row>
    <row r="329" spans="13:19">
      <c r="M329" s="85"/>
      <c r="P329" s="84"/>
      <c r="S329" s="84"/>
    </row>
    <row r="330" spans="13:19">
      <c r="M330" s="85"/>
      <c r="P330" s="84"/>
      <c r="S330" s="84"/>
    </row>
    <row r="331" spans="13:19">
      <c r="M331" s="85"/>
      <c r="P331" s="84"/>
      <c r="S331" s="84"/>
    </row>
    <row r="332" spans="13:19">
      <c r="M332" s="85"/>
      <c r="P332" s="84"/>
      <c r="S332" s="84"/>
    </row>
    <row r="333" spans="13:19">
      <c r="M333" s="85"/>
      <c r="P333" s="84"/>
      <c r="S333" s="84"/>
    </row>
    <row r="334" spans="13:19">
      <c r="M334" s="85"/>
      <c r="P334" s="84"/>
      <c r="S334" s="84"/>
    </row>
    <row r="335" spans="13:19">
      <c r="M335" s="85"/>
      <c r="P335" s="84"/>
      <c r="S335" s="84"/>
    </row>
    <row r="336" spans="13:19">
      <c r="M336" s="85"/>
      <c r="P336" s="84"/>
      <c r="S336" s="84"/>
    </row>
    <row r="337" spans="13:19">
      <c r="M337" s="85"/>
      <c r="P337" s="84"/>
      <c r="S337" s="84"/>
    </row>
    <row r="338" spans="13:19">
      <c r="M338" s="85"/>
      <c r="P338" s="84"/>
      <c r="S338" s="84"/>
    </row>
    <row r="339" spans="13:19">
      <c r="M339" s="85"/>
      <c r="P339" s="84"/>
      <c r="S339" s="84"/>
    </row>
    <row r="340" spans="13:19">
      <c r="M340" s="85"/>
      <c r="P340" s="84"/>
      <c r="S340" s="84"/>
    </row>
    <row r="341" spans="13:19">
      <c r="M341" s="85"/>
      <c r="P341" s="84"/>
      <c r="S341" s="84"/>
    </row>
    <row r="342" spans="13:19">
      <c r="M342" s="85"/>
      <c r="P342" s="84"/>
      <c r="S342" s="84"/>
    </row>
    <row r="343" spans="13:19">
      <c r="M343" s="85"/>
      <c r="P343" s="84"/>
      <c r="S343" s="84"/>
    </row>
    <row r="344" spans="13:19">
      <c r="M344" s="85"/>
      <c r="P344" s="84"/>
      <c r="S344" s="84"/>
    </row>
    <row r="345" spans="13:19">
      <c r="M345" s="85"/>
      <c r="P345" s="84"/>
      <c r="S345" s="84"/>
    </row>
    <row r="346" spans="13:19">
      <c r="M346" s="85"/>
      <c r="P346" s="84"/>
      <c r="S346" s="84"/>
    </row>
    <row r="347" spans="13:19">
      <c r="M347" s="85"/>
      <c r="P347" s="84"/>
      <c r="S347" s="84"/>
    </row>
    <row r="348" spans="13:19">
      <c r="M348" s="85"/>
      <c r="P348" s="84"/>
      <c r="S348" s="84"/>
    </row>
    <row r="349" spans="13:19">
      <c r="M349" s="85"/>
      <c r="P349" s="84"/>
      <c r="S349" s="84"/>
    </row>
    <row r="350" spans="13:19">
      <c r="M350" s="85"/>
      <c r="P350" s="84"/>
      <c r="S350" s="84"/>
    </row>
    <row r="351" spans="13:19">
      <c r="M351" s="85"/>
      <c r="P351" s="84"/>
      <c r="S351" s="84"/>
    </row>
    <row r="352" spans="13:19">
      <c r="M352" s="85"/>
      <c r="P352" s="84"/>
      <c r="S352" s="84"/>
    </row>
    <row r="353" spans="13:19">
      <c r="M353" s="85"/>
      <c r="P353" s="84"/>
      <c r="S353" s="84"/>
    </row>
    <row r="354" spans="13:19">
      <c r="M354" s="85"/>
      <c r="P354" s="84"/>
      <c r="S354" s="84"/>
    </row>
    <row r="355" spans="13:19">
      <c r="M355" s="85"/>
      <c r="P355" s="84"/>
      <c r="S355" s="84"/>
    </row>
    <row r="356" spans="13:19">
      <c r="M356" s="85"/>
      <c r="P356" s="84"/>
      <c r="S356" s="84"/>
    </row>
    <row r="357" spans="13:19">
      <c r="M357" s="85"/>
      <c r="P357" s="84"/>
      <c r="S357" s="84"/>
    </row>
    <row r="358" spans="13:19">
      <c r="M358" s="85"/>
      <c r="P358" s="84"/>
      <c r="S358" s="84"/>
    </row>
    <row r="359" spans="13:19">
      <c r="M359" s="85"/>
      <c r="P359" s="84"/>
      <c r="S359" s="84"/>
    </row>
    <row r="360" spans="13:19">
      <c r="M360" s="85"/>
      <c r="P360" s="84"/>
      <c r="S360" s="84"/>
    </row>
    <row r="361" spans="13:19">
      <c r="M361" s="85"/>
      <c r="P361" s="84"/>
      <c r="S361" s="84"/>
    </row>
    <row r="362" spans="13:19">
      <c r="M362" s="85"/>
      <c r="P362" s="84"/>
      <c r="S362" s="84"/>
    </row>
    <row r="363" spans="13:19">
      <c r="M363" s="85"/>
      <c r="P363" s="84"/>
      <c r="S363" s="84"/>
    </row>
    <row r="364" spans="13:19">
      <c r="M364" s="85"/>
      <c r="P364" s="84"/>
      <c r="S364" s="84"/>
    </row>
    <row r="365" spans="13:19">
      <c r="P365" s="84"/>
      <c r="S365" s="84"/>
    </row>
    <row r="366" spans="13:19">
      <c r="P366" s="84"/>
      <c r="S366" s="84"/>
    </row>
    <row r="367" spans="13:19">
      <c r="P367" s="84"/>
      <c r="S367" s="84"/>
    </row>
    <row r="368" spans="13:19">
      <c r="P368" s="84"/>
      <c r="S368" s="84"/>
    </row>
    <row r="369" spans="16:19">
      <c r="P369" s="84"/>
      <c r="S369" s="84"/>
    </row>
    <row r="370" spans="16:19">
      <c r="P370" s="84"/>
      <c r="S370" s="84"/>
    </row>
    <row r="371" spans="16:19">
      <c r="P371" s="84"/>
      <c r="S371" s="84"/>
    </row>
    <row r="372" spans="16:19">
      <c r="P372" s="84"/>
      <c r="S372" s="84"/>
    </row>
    <row r="373" spans="16:19">
      <c r="P373" s="84"/>
      <c r="S373" s="84"/>
    </row>
    <row r="374" spans="16:19">
      <c r="P374" s="84"/>
      <c r="S374" s="84"/>
    </row>
    <row r="375" spans="16:19">
      <c r="P375" s="84"/>
      <c r="S375" s="84"/>
    </row>
    <row r="376" spans="16:19">
      <c r="P376" s="84"/>
      <c r="S376" s="84"/>
    </row>
    <row r="377" spans="16:19">
      <c r="P377" s="84"/>
      <c r="S377" s="84"/>
    </row>
    <row r="378" spans="16:19">
      <c r="P378" s="84"/>
      <c r="S378" s="84"/>
    </row>
    <row r="379" spans="16:19">
      <c r="P379" s="84"/>
      <c r="S379" s="84"/>
    </row>
    <row r="380" spans="16:19">
      <c r="P380" s="84"/>
      <c r="S380" s="84"/>
    </row>
    <row r="381" spans="16:19">
      <c r="P381" s="84"/>
      <c r="S381" s="84"/>
    </row>
    <row r="382" spans="16:19">
      <c r="P382" s="84"/>
      <c r="S382" s="84"/>
    </row>
    <row r="383" spans="16:19">
      <c r="P383" s="84"/>
      <c r="S383" s="84"/>
    </row>
    <row r="384" spans="16:19">
      <c r="P384" s="84"/>
      <c r="S384" s="84"/>
    </row>
    <row r="385" spans="16:19">
      <c r="P385" s="84"/>
      <c r="S385" s="84"/>
    </row>
    <row r="386" spans="16:19">
      <c r="P386" s="84"/>
      <c r="S386" s="84"/>
    </row>
    <row r="387" spans="16:19">
      <c r="P387" s="84"/>
      <c r="S387" s="84"/>
    </row>
    <row r="388" spans="16:19">
      <c r="P388" s="84"/>
      <c r="S388" s="84"/>
    </row>
    <row r="389" spans="16:19">
      <c r="P389" s="84"/>
      <c r="S389" s="84"/>
    </row>
    <row r="390" spans="16:19">
      <c r="P390" s="84"/>
      <c r="S390" s="84"/>
    </row>
    <row r="391" spans="16:19">
      <c r="P391" s="84"/>
      <c r="S391" s="84"/>
    </row>
    <row r="392" spans="16:19">
      <c r="P392" s="84"/>
      <c r="S392" s="84"/>
    </row>
    <row r="393" spans="16:19">
      <c r="P393" s="84"/>
      <c r="S393" s="84"/>
    </row>
    <row r="394" spans="16:19">
      <c r="P394" s="84"/>
      <c r="S394" s="84"/>
    </row>
    <row r="395" spans="16:19">
      <c r="P395" s="84"/>
      <c r="S395" s="84"/>
    </row>
    <row r="396" spans="16:19">
      <c r="P396" s="84"/>
      <c r="S396" s="84"/>
    </row>
    <row r="397" spans="16:19">
      <c r="P397" s="84"/>
      <c r="S397" s="84"/>
    </row>
    <row r="398" spans="16:19">
      <c r="P398" s="84"/>
      <c r="S398" s="84"/>
    </row>
    <row r="399" spans="16:19">
      <c r="P399" s="84"/>
      <c r="S399" s="84"/>
    </row>
    <row r="400" spans="16:19">
      <c r="P400" s="84"/>
      <c r="S400" s="84"/>
    </row>
    <row r="401" spans="16:19">
      <c r="P401" s="84"/>
      <c r="S401" s="84"/>
    </row>
    <row r="402" spans="16:19">
      <c r="P402" s="84"/>
      <c r="S402" s="84"/>
    </row>
    <row r="403" spans="16:19">
      <c r="P403" s="84"/>
      <c r="S403" s="84"/>
    </row>
    <row r="404" spans="16:19">
      <c r="P404" s="84"/>
      <c r="S404" s="84"/>
    </row>
    <row r="405" spans="16:19">
      <c r="P405" s="84"/>
      <c r="S405" s="84"/>
    </row>
    <row r="406" spans="16:19">
      <c r="P406" s="84"/>
      <c r="S406" s="84"/>
    </row>
    <row r="407" spans="16:19">
      <c r="P407" s="84"/>
      <c r="S407" s="84"/>
    </row>
    <row r="408" spans="16:19">
      <c r="P408" s="84"/>
      <c r="S408" s="84"/>
    </row>
    <row r="409" spans="16:19">
      <c r="P409" s="84"/>
      <c r="S409" s="84"/>
    </row>
    <row r="410" spans="16:19">
      <c r="P410" s="84"/>
      <c r="S410" s="84"/>
    </row>
    <row r="411" spans="16:19">
      <c r="P411" s="84"/>
      <c r="S411" s="84"/>
    </row>
    <row r="412" spans="16:19">
      <c r="P412" s="84"/>
      <c r="S412" s="84"/>
    </row>
    <row r="413" spans="16:19">
      <c r="P413" s="84"/>
      <c r="S413" s="84"/>
    </row>
    <row r="414" spans="16:19">
      <c r="P414" s="84"/>
      <c r="S414" s="84"/>
    </row>
    <row r="415" spans="16:19">
      <c r="P415" s="84"/>
      <c r="S415" s="84"/>
    </row>
    <row r="416" spans="16:19">
      <c r="P416" s="84"/>
      <c r="S416" s="84"/>
    </row>
    <row r="417" spans="16:19">
      <c r="P417" s="84"/>
      <c r="S417" s="84"/>
    </row>
    <row r="418" spans="16:19">
      <c r="P418" s="84"/>
      <c r="S418" s="84"/>
    </row>
    <row r="419" spans="16:19">
      <c r="P419" s="84"/>
      <c r="S419" s="84"/>
    </row>
    <row r="420" spans="16:19">
      <c r="P420" s="84"/>
      <c r="S420" s="84"/>
    </row>
    <row r="421" spans="16:19">
      <c r="P421" s="84"/>
      <c r="S421" s="84"/>
    </row>
    <row r="422" spans="16:19">
      <c r="P422" s="84"/>
      <c r="S422" s="84"/>
    </row>
    <row r="423" spans="16:19">
      <c r="P423" s="84"/>
      <c r="S423" s="84"/>
    </row>
    <row r="424" spans="16:19">
      <c r="P424" s="84"/>
      <c r="S424" s="84"/>
    </row>
    <row r="425" spans="16:19">
      <c r="P425" s="84"/>
      <c r="S425" s="84"/>
    </row>
    <row r="426" spans="16:19">
      <c r="P426" s="84"/>
      <c r="S426" s="84"/>
    </row>
    <row r="427" spans="16:19">
      <c r="P427" s="84"/>
      <c r="S427" s="84"/>
    </row>
    <row r="428" spans="16:19">
      <c r="P428" s="84"/>
      <c r="S428" s="84"/>
    </row>
    <row r="429" spans="16:19">
      <c r="P429" s="84"/>
      <c r="S429" s="84"/>
    </row>
    <row r="430" spans="16:19">
      <c r="P430" s="84"/>
      <c r="S430" s="84"/>
    </row>
    <row r="431" spans="16:19">
      <c r="P431" s="84"/>
      <c r="S431" s="84"/>
    </row>
    <row r="432" spans="16:19">
      <c r="P432" s="84"/>
      <c r="S432" s="84"/>
    </row>
    <row r="433" spans="16:19">
      <c r="P433" s="84"/>
      <c r="S433" s="84"/>
    </row>
    <row r="434" spans="16:19">
      <c r="P434" s="84"/>
      <c r="S434" s="84"/>
    </row>
    <row r="435" spans="16:19">
      <c r="P435" s="84"/>
      <c r="S435" s="84"/>
    </row>
    <row r="436" spans="16:19">
      <c r="P436" s="84"/>
      <c r="S436" s="84"/>
    </row>
    <row r="437" spans="16:19">
      <c r="P437" s="84"/>
      <c r="S437" s="84"/>
    </row>
    <row r="438" spans="16:19">
      <c r="P438" s="84"/>
      <c r="S438" s="84"/>
    </row>
    <row r="439" spans="16:19">
      <c r="P439" s="84"/>
      <c r="S439" s="84"/>
    </row>
    <row r="440" spans="16:19">
      <c r="P440" s="84"/>
      <c r="S440" s="84"/>
    </row>
    <row r="441" spans="16:19">
      <c r="P441" s="84"/>
      <c r="S441" s="84"/>
    </row>
    <row r="442" spans="16:19">
      <c r="P442" s="84"/>
      <c r="S442" s="84"/>
    </row>
    <row r="443" spans="16:19">
      <c r="P443" s="84"/>
      <c r="S443" s="84"/>
    </row>
    <row r="444" spans="16:19">
      <c r="P444" s="84"/>
      <c r="S444" s="84"/>
    </row>
    <row r="445" spans="16:19">
      <c r="P445" s="84"/>
      <c r="S445" s="84"/>
    </row>
    <row r="446" spans="16:19">
      <c r="P446" s="84"/>
      <c r="S446" s="84"/>
    </row>
    <row r="447" spans="16:19">
      <c r="P447" s="84"/>
      <c r="S447" s="84"/>
    </row>
    <row r="448" spans="16:19">
      <c r="P448" s="84"/>
      <c r="S448" s="84"/>
    </row>
    <row r="449" spans="16:19">
      <c r="P449" s="84"/>
      <c r="S449" s="84"/>
    </row>
    <row r="450" spans="16:19">
      <c r="P450" s="84"/>
      <c r="S450" s="84"/>
    </row>
    <row r="451" spans="16:19">
      <c r="P451" s="84"/>
      <c r="S451" s="84"/>
    </row>
    <row r="452" spans="16:19">
      <c r="P452" s="84"/>
      <c r="S452" s="84"/>
    </row>
    <row r="453" spans="16:19">
      <c r="P453" s="84"/>
      <c r="S453" s="84"/>
    </row>
    <row r="454" spans="16:19">
      <c r="P454" s="84"/>
      <c r="S454" s="84"/>
    </row>
    <row r="455" spans="16:19">
      <c r="P455" s="84"/>
      <c r="S455" s="84"/>
    </row>
    <row r="456" spans="16:19">
      <c r="P456" s="84"/>
      <c r="S456" s="84"/>
    </row>
    <row r="457" spans="16:19">
      <c r="P457" s="84"/>
      <c r="S457" s="84"/>
    </row>
    <row r="458" spans="16:19">
      <c r="P458" s="84"/>
      <c r="S458" s="84"/>
    </row>
    <row r="459" spans="16:19">
      <c r="P459" s="84"/>
      <c r="S459" s="84"/>
    </row>
    <row r="460" spans="16:19">
      <c r="P460" s="84"/>
      <c r="S460" s="84"/>
    </row>
    <row r="461" spans="16:19">
      <c r="P461" s="84"/>
      <c r="S461" s="84"/>
    </row>
    <row r="462" spans="16:19">
      <c r="P462" s="84"/>
      <c r="S462" s="84"/>
    </row>
    <row r="463" spans="16:19">
      <c r="P463" s="84"/>
      <c r="S463" s="84"/>
    </row>
    <row r="464" spans="16:19">
      <c r="P464" s="84"/>
      <c r="S464" s="84"/>
    </row>
    <row r="465" spans="16:19">
      <c r="P465" s="84"/>
      <c r="S465" s="84"/>
    </row>
    <row r="466" spans="16:19">
      <c r="P466" s="84"/>
      <c r="S466" s="84"/>
    </row>
  </sheetData>
  <mergeCells count="15">
    <mergeCell ref="A109:S109"/>
    <mergeCell ref="A110:S110"/>
    <mergeCell ref="A7:S7"/>
    <mergeCell ref="A59:S59"/>
    <mergeCell ref="Q4:Q5"/>
    <mergeCell ref="R4:R5"/>
    <mergeCell ref="S4:S5"/>
    <mergeCell ref="O6:S6"/>
    <mergeCell ref="A58:S58"/>
    <mergeCell ref="A4:I6"/>
    <mergeCell ref="J4:M5"/>
    <mergeCell ref="N4:N6"/>
    <mergeCell ref="O4:O5"/>
    <mergeCell ref="P4:P5"/>
    <mergeCell ref="A8:S8"/>
  </mergeCells>
  <hyperlinks>
    <hyperlink ref="A1:I1" location="Главная!A1" display="Вернуться на главную страницу" xr:uid="{00000000-0004-0000-1C00-000000000000}"/>
    <hyperlink ref="A2" location="'Калькулятор теплоотдач ВК'!R1C1" display="Вернуться Калькулятор теплоотдач ВК" xr:uid="{00000000-0004-0000-1C00-000001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2B539-C298-4E5B-A5EF-83E79DC42F6C}">
  <sheetPr>
    <tabColor rgb="FFFF9900"/>
  </sheetPr>
  <dimension ref="A1:U312"/>
  <sheetViews>
    <sheetView zoomScale="70" zoomScaleNormal="70" workbookViewId="0">
      <pane ySplit="6" topLeftCell="A7" activePane="bottomLeft" state="frozen"/>
      <selection pane="bottomLeft" activeCell="AS16" sqref="AS15:AS16"/>
    </sheetView>
  </sheetViews>
  <sheetFormatPr defaultRowHeight="15"/>
  <cols>
    <col min="1" max="1" width="10" customWidth="1"/>
    <col min="2" max="2" width="6" customWidth="1"/>
    <col min="3" max="3" width="3" customWidth="1"/>
    <col min="4" max="4" width="6" customWidth="1"/>
    <col min="5" max="5" width="3" customWidth="1"/>
    <col min="6" max="6" width="7.7109375" customWidth="1"/>
    <col min="7" max="7" width="3" customWidth="1"/>
    <col min="8" max="8" width="6" customWidth="1"/>
    <col min="9" max="9" width="4.5703125" customWidth="1"/>
    <col min="10" max="12" width="11.28515625" customWidth="1"/>
    <col min="13" max="13" width="15.5703125" customWidth="1"/>
    <col min="14" max="14" width="19.140625" customWidth="1"/>
    <col min="15" max="16" width="27.7109375" customWidth="1"/>
    <col min="17" max="17" width="26.28515625" customWidth="1"/>
    <col min="18" max="19" width="27.7109375" customWidth="1"/>
    <col min="21" max="21" width="27.140625" customWidth="1"/>
  </cols>
  <sheetData>
    <row r="1" spans="1:21" ht="15.75">
      <c r="A1" s="1183" t="s">
        <v>9</v>
      </c>
      <c r="B1" s="1183"/>
      <c r="C1" s="1183"/>
      <c r="D1" s="1183"/>
      <c r="E1" s="1183"/>
      <c r="F1" s="88"/>
      <c r="G1" s="1183"/>
      <c r="H1" s="1183"/>
      <c r="I1" s="1183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ht="15.75">
      <c r="A2" s="895" t="s">
        <v>346</v>
      </c>
      <c r="B2" s="1183"/>
      <c r="C2" s="1183"/>
      <c r="D2" s="1183"/>
      <c r="E2" s="1183"/>
      <c r="F2" s="88"/>
      <c r="G2" s="1183"/>
      <c r="H2" s="1183"/>
      <c r="I2" s="1183"/>
      <c r="J2" s="7"/>
      <c r="K2" s="87"/>
      <c r="L2" s="87"/>
      <c r="M2" s="140"/>
      <c r="N2" s="7"/>
      <c r="O2" s="107"/>
      <c r="P2" s="107"/>
      <c r="Q2" s="107"/>
      <c r="R2" s="107"/>
      <c r="S2" s="107"/>
      <c r="U2" s="65"/>
    </row>
    <row r="3" spans="1:21" ht="16.5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ht="69.75" customHeight="1">
      <c r="A4" s="3053" t="s">
        <v>8</v>
      </c>
      <c r="B4" s="3054"/>
      <c r="C4" s="3054"/>
      <c r="D4" s="3054"/>
      <c r="E4" s="3054"/>
      <c r="F4" s="3054"/>
      <c r="G4" s="3054"/>
      <c r="H4" s="3054"/>
      <c r="I4" s="3055"/>
      <c r="J4" s="3062" t="s">
        <v>78</v>
      </c>
      <c r="K4" s="3063"/>
      <c r="L4" s="3063"/>
      <c r="M4" s="3064"/>
      <c r="N4" s="3068" t="s">
        <v>77</v>
      </c>
      <c r="O4" s="3071" t="s">
        <v>142</v>
      </c>
      <c r="P4" s="3008" t="s">
        <v>138</v>
      </c>
      <c r="Q4" s="3071" t="s">
        <v>143</v>
      </c>
      <c r="R4" s="3073" t="s">
        <v>420</v>
      </c>
      <c r="S4" s="2981" t="s">
        <v>421</v>
      </c>
    </row>
    <row r="5" spans="1:21" ht="69.75" customHeight="1" thickBot="1">
      <c r="A5" s="3056"/>
      <c r="B5" s="3057"/>
      <c r="C5" s="3057"/>
      <c r="D5" s="3057"/>
      <c r="E5" s="3057"/>
      <c r="F5" s="3057"/>
      <c r="G5" s="3057"/>
      <c r="H5" s="3057"/>
      <c r="I5" s="3058"/>
      <c r="J5" s="3065"/>
      <c r="K5" s="3066"/>
      <c r="L5" s="3066"/>
      <c r="M5" s="3067"/>
      <c r="N5" s="3069"/>
      <c r="O5" s="3072"/>
      <c r="P5" s="3009"/>
      <c r="Q5" s="3072"/>
      <c r="R5" s="3074"/>
      <c r="S5" s="2982"/>
    </row>
    <row r="6" spans="1:21" ht="61.5" customHeight="1" thickBot="1">
      <c r="A6" s="3059"/>
      <c r="B6" s="3060"/>
      <c r="C6" s="3060"/>
      <c r="D6" s="3060"/>
      <c r="E6" s="3060"/>
      <c r="F6" s="3060"/>
      <c r="G6" s="3060"/>
      <c r="H6" s="3060"/>
      <c r="I6" s="3061"/>
      <c r="J6" s="1185" t="s">
        <v>0</v>
      </c>
      <c r="K6" s="1186" t="s">
        <v>1</v>
      </c>
      <c r="L6" s="1186" t="s">
        <v>2</v>
      </c>
      <c r="M6" s="1187" t="s">
        <v>75</v>
      </c>
      <c r="N6" s="3070"/>
      <c r="O6" s="3075" t="s">
        <v>141</v>
      </c>
      <c r="P6" s="3076"/>
      <c r="Q6" s="3076"/>
      <c r="R6" s="3076"/>
      <c r="S6" s="3077"/>
    </row>
    <row r="7" spans="1:21" ht="21.75" thickBot="1">
      <c r="A7" s="2968" t="s">
        <v>473</v>
      </c>
      <c r="B7" s="2969"/>
      <c r="C7" s="2969"/>
      <c r="D7" s="2969"/>
      <c r="E7" s="2969"/>
      <c r="F7" s="2969"/>
      <c r="G7" s="2969"/>
      <c r="H7" s="2969"/>
      <c r="I7" s="2969"/>
      <c r="J7" s="3018"/>
      <c r="K7" s="3018"/>
      <c r="L7" s="3018"/>
      <c r="M7" s="3018"/>
      <c r="N7" s="3018"/>
      <c r="O7" s="3018"/>
      <c r="P7" s="3018"/>
      <c r="Q7" s="3018"/>
      <c r="R7" s="3018"/>
      <c r="S7" s="3019"/>
    </row>
    <row r="8" spans="1:21" ht="16.5" thickBot="1">
      <c r="A8" s="2974" t="s">
        <v>4532</v>
      </c>
      <c r="B8" s="2975"/>
      <c r="C8" s="2975"/>
      <c r="D8" s="2975"/>
      <c r="E8" s="2975"/>
      <c r="F8" s="2975"/>
      <c r="G8" s="2975"/>
      <c r="H8" s="2975"/>
      <c r="I8" s="2975"/>
      <c r="J8" s="2975"/>
      <c r="K8" s="2975"/>
      <c r="L8" s="2975"/>
      <c r="M8" s="2975"/>
      <c r="N8" s="2975"/>
      <c r="O8" s="2975"/>
      <c r="P8" s="2975"/>
      <c r="Q8" s="2975"/>
      <c r="R8" s="3022"/>
      <c r="S8" s="3023"/>
    </row>
    <row r="9" spans="1:21" ht="16.5" thickBot="1">
      <c r="A9" s="1188" t="s">
        <v>4533</v>
      </c>
      <c r="B9" s="1189">
        <f>J9</f>
        <v>90</v>
      </c>
      <c r="C9" s="1189" t="s">
        <v>3</v>
      </c>
      <c r="D9" s="1189">
        <f>K9</f>
        <v>200</v>
      </c>
      <c r="E9" s="1189" t="s">
        <v>3</v>
      </c>
      <c r="F9" s="1190">
        <f>L9</f>
        <v>600</v>
      </c>
      <c r="G9" s="1189" t="s">
        <v>3</v>
      </c>
      <c r="H9" s="1189">
        <v>2</v>
      </c>
      <c r="I9" s="1191" t="s">
        <v>40</v>
      </c>
      <c r="J9" s="146">
        <v>90</v>
      </c>
      <c r="K9" s="122">
        <v>200</v>
      </c>
      <c r="L9" s="122">
        <v>600</v>
      </c>
      <c r="M9" s="147">
        <v>6.353469893680507</v>
      </c>
      <c r="N9" s="123">
        <v>120.6</v>
      </c>
      <c r="O9" s="139">
        <v>14601.834447211919</v>
      </c>
      <c r="P9" s="153">
        <v>17349.736479888037</v>
      </c>
      <c r="Q9" s="253">
        <v>7123.1890801891068</v>
      </c>
      <c r="R9" s="256">
        <v>21725.023527401027</v>
      </c>
      <c r="S9" s="257">
        <v>24472.925560077143</v>
      </c>
      <c r="U9" s="7" t="s">
        <v>4536</v>
      </c>
    </row>
    <row r="10" spans="1:21" ht="16.5" thickBot="1">
      <c r="A10" s="1188" t="s">
        <v>4533</v>
      </c>
      <c r="B10" s="1192">
        <f t="shared" ref="B10:B57" si="0">J10</f>
        <v>90</v>
      </c>
      <c r="C10" s="1192" t="s">
        <v>3</v>
      </c>
      <c r="D10" s="1192">
        <f t="shared" ref="D10:D57" si="1">K10</f>
        <v>200</v>
      </c>
      <c r="E10" s="1192" t="s">
        <v>3</v>
      </c>
      <c r="F10" s="1190">
        <f t="shared" ref="F10:F57" si="2">L10</f>
        <v>650</v>
      </c>
      <c r="G10" s="1192" t="s">
        <v>3</v>
      </c>
      <c r="H10" s="1189">
        <v>2</v>
      </c>
      <c r="I10" s="1191" t="s">
        <v>40</v>
      </c>
      <c r="J10" s="149">
        <v>90</v>
      </c>
      <c r="K10" s="66">
        <v>200</v>
      </c>
      <c r="L10" s="66">
        <v>650</v>
      </c>
      <c r="M10" s="150">
        <v>6.8189045284159349</v>
      </c>
      <c r="N10" s="78">
        <v>144.72</v>
      </c>
      <c r="O10" s="110">
        <v>15266.168737465645</v>
      </c>
      <c r="P10" s="109">
        <v>18155.762552231241</v>
      </c>
      <c r="Q10" s="254">
        <v>7513.8655494313916</v>
      </c>
      <c r="R10" s="258">
        <v>22780.034286897037</v>
      </c>
      <c r="S10" s="259">
        <v>25669.628101662631</v>
      </c>
      <c r="U10" s="7" t="s">
        <v>4537</v>
      </c>
    </row>
    <row r="11" spans="1:21" ht="16.5" thickBot="1">
      <c r="A11" s="1188" t="s">
        <v>4533</v>
      </c>
      <c r="B11" s="1192">
        <f t="shared" si="0"/>
        <v>90</v>
      </c>
      <c r="C11" s="1192" t="s">
        <v>3</v>
      </c>
      <c r="D11" s="1192">
        <f t="shared" si="1"/>
        <v>200</v>
      </c>
      <c r="E11" s="1192" t="s">
        <v>3</v>
      </c>
      <c r="F11" s="1190">
        <f t="shared" si="2"/>
        <v>700</v>
      </c>
      <c r="G11" s="1192" t="s">
        <v>3</v>
      </c>
      <c r="H11" s="1189">
        <v>2</v>
      </c>
      <c r="I11" s="1191" t="s">
        <v>40</v>
      </c>
      <c r="J11" s="149">
        <v>90</v>
      </c>
      <c r="K11" s="66">
        <v>200</v>
      </c>
      <c r="L11" s="66">
        <v>700</v>
      </c>
      <c r="M11" s="150">
        <v>7.2843391631513628</v>
      </c>
      <c r="N11" s="78">
        <v>168.83999999999997</v>
      </c>
      <c r="O11" s="110">
        <v>15930.503027719369</v>
      </c>
      <c r="P11" s="109">
        <v>18961.788471545678</v>
      </c>
      <c r="Q11" s="254">
        <v>8155.8760034286815</v>
      </c>
      <c r="R11" s="258">
        <v>24086.379031148052</v>
      </c>
      <c r="S11" s="259">
        <v>27117.664474974361</v>
      </c>
      <c r="U11" s="7" t="s">
        <v>4538</v>
      </c>
    </row>
    <row r="12" spans="1:21" ht="16.5" thickBot="1">
      <c r="A12" s="1188" t="s">
        <v>4533</v>
      </c>
      <c r="B12" s="1192">
        <f t="shared" si="0"/>
        <v>90</v>
      </c>
      <c r="C12" s="1192" t="s">
        <v>3</v>
      </c>
      <c r="D12" s="1192">
        <f t="shared" si="1"/>
        <v>200</v>
      </c>
      <c r="E12" s="1192" t="s">
        <v>3</v>
      </c>
      <c r="F12" s="1190">
        <f t="shared" si="2"/>
        <v>750</v>
      </c>
      <c r="G12" s="1192" t="s">
        <v>3</v>
      </c>
      <c r="H12" s="1189">
        <v>2</v>
      </c>
      <c r="I12" s="1191" t="s">
        <v>40</v>
      </c>
      <c r="J12" s="149">
        <v>90</v>
      </c>
      <c r="K12" s="66">
        <v>200</v>
      </c>
      <c r="L12" s="66">
        <v>750</v>
      </c>
      <c r="M12" s="150">
        <v>7.7497737978867898</v>
      </c>
      <c r="N12" s="78">
        <v>192.96</v>
      </c>
      <c r="O12" s="110">
        <v>16594.837471001858</v>
      </c>
      <c r="P12" s="109">
        <v>19767.814543888886</v>
      </c>
      <c r="Q12" s="254">
        <v>8546.5523196422018</v>
      </c>
      <c r="R12" s="258">
        <v>25141.389790644062</v>
      </c>
      <c r="S12" s="259">
        <v>28314.36686353109</v>
      </c>
      <c r="U12" s="7" t="s">
        <v>4539</v>
      </c>
    </row>
    <row r="13" spans="1:21" ht="16.5" thickBot="1">
      <c r="A13" s="1188" t="s">
        <v>4533</v>
      </c>
      <c r="B13" s="1192">
        <f t="shared" si="0"/>
        <v>90</v>
      </c>
      <c r="C13" s="1192" t="s">
        <v>3</v>
      </c>
      <c r="D13" s="1192">
        <f t="shared" si="1"/>
        <v>200</v>
      </c>
      <c r="E13" s="1192" t="s">
        <v>3</v>
      </c>
      <c r="F13" s="1190">
        <f t="shared" si="2"/>
        <v>800</v>
      </c>
      <c r="G13" s="1192" t="s">
        <v>3</v>
      </c>
      <c r="H13" s="1189">
        <v>2</v>
      </c>
      <c r="I13" s="1191" t="s">
        <v>40</v>
      </c>
      <c r="J13" s="149">
        <v>90</v>
      </c>
      <c r="K13" s="66">
        <v>200</v>
      </c>
      <c r="L13" s="66">
        <v>800</v>
      </c>
      <c r="M13" s="150">
        <v>8.2152084326222177</v>
      </c>
      <c r="N13" s="78">
        <v>217.07999999999998</v>
      </c>
      <c r="O13" s="110">
        <v>17649.022487281254</v>
      </c>
      <c r="P13" s="109">
        <v>20589.143492744588</v>
      </c>
      <c r="Q13" s="254">
        <v>8937.2286358557212</v>
      </c>
      <c r="R13" s="258">
        <v>26586.251123136975</v>
      </c>
      <c r="S13" s="259">
        <v>29526.372128600309</v>
      </c>
      <c r="U13" s="7" t="s">
        <v>4540</v>
      </c>
    </row>
    <row r="14" spans="1:21" ht="16.5" thickBot="1">
      <c r="A14" s="1188" t="s">
        <v>4533</v>
      </c>
      <c r="B14" s="1192">
        <f t="shared" si="0"/>
        <v>90</v>
      </c>
      <c r="C14" s="1192" t="s">
        <v>3</v>
      </c>
      <c r="D14" s="1192">
        <f t="shared" si="1"/>
        <v>200</v>
      </c>
      <c r="E14" s="1192" t="s">
        <v>3</v>
      </c>
      <c r="F14" s="1190">
        <f t="shared" si="2"/>
        <v>850</v>
      </c>
      <c r="G14" s="1192" t="s">
        <v>3</v>
      </c>
      <c r="H14" s="1189">
        <v>2</v>
      </c>
      <c r="I14" s="1191" t="s">
        <v>40</v>
      </c>
      <c r="J14" s="149">
        <v>90</v>
      </c>
      <c r="K14" s="66">
        <v>200</v>
      </c>
      <c r="L14" s="66">
        <v>850</v>
      </c>
      <c r="M14" s="150">
        <v>8.6806430673576447</v>
      </c>
      <c r="N14" s="78">
        <v>241.2</v>
      </c>
      <c r="O14" s="110">
        <v>18313.356930563743</v>
      </c>
      <c r="P14" s="109">
        <v>21395.169412059025</v>
      </c>
      <c r="Q14" s="254">
        <v>9579.239089853012</v>
      </c>
      <c r="R14" s="258">
        <v>27892.596020416757</v>
      </c>
      <c r="S14" s="259">
        <v>30974.408501912039</v>
      </c>
      <c r="U14" s="7" t="s">
        <v>4541</v>
      </c>
    </row>
    <row r="15" spans="1:21" ht="16.5" thickBot="1">
      <c r="A15" s="1188" t="s">
        <v>4533</v>
      </c>
      <c r="B15" s="1192">
        <f t="shared" si="0"/>
        <v>90</v>
      </c>
      <c r="C15" s="1192" t="s">
        <v>3</v>
      </c>
      <c r="D15" s="1192">
        <f t="shared" si="1"/>
        <v>200</v>
      </c>
      <c r="E15" s="1192" t="s">
        <v>3</v>
      </c>
      <c r="F15" s="1190">
        <f t="shared" si="2"/>
        <v>900</v>
      </c>
      <c r="G15" s="1192" t="s">
        <v>3</v>
      </c>
      <c r="H15" s="1189">
        <v>2</v>
      </c>
      <c r="I15" s="1191" t="s">
        <v>40</v>
      </c>
      <c r="J15" s="149">
        <v>90</v>
      </c>
      <c r="K15" s="66">
        <v>200</v>
      </c>
      <c r="L15" s="66">
        <v>900</v>
      </c>
      <c r="M15" s="150">
        <v>9.1460777020930735</v>
      </c>
      <c r="N15" s="78">
        <v>265.32</v>
      </c>
      <c r="O15" s="110">
        <v>18977.691220817469</v>
      </c>
      <c r="P15" s="109">
        <v>22201.195484402233</v>
      </c>
      <c r="Q15" s="254">
        <v>9969.915559095296</v>
      </c>
      <c r="R15" s="258">
        <v>28947.606779912763</v>
      </c>
      <c r="S15" s="259">
        <v>32171.111043497527</v>
      </c>
      <c r="U15" s="7" t="s">
        <v>4542</v>
      </c>
    </row>
    <row r="16" spans="1:21" ht="16.5" thickBot="1">
      <c r="A16" s="1188" t="s">
        <v>4533</v>
      </c>
      <c r="B16" s="1192">
        <f t="shared" si="0"/>
        <v>90</v>
      </c>
      <c r="C16" s="1192" t="s">
        <v>3</v>
      </c>
      <c r="D16" s="1192">
        <f t="shared" si="1"/>
        <v>200</v>
      </c>
      <c r="E16" s="1192" t="s">
        <v>3</v>
      </c>
      <c r="F16" s="1190">
        <f t="shared" si="2"/>
        <v>950</v>
      </c>
      <c r="G16" s="1192" t="s">
        <v>3</v>
      </c>
      <c r="H16" s="1189">
        <v>2</v>
      </c>
      <c r="I16" s="1191" t="s">
        <v>40</v>
      </c>
      <c r="J16" s="149">
        <v>90</v>
      </c>
      <c r="K16" s="66">
        <v>200</v>
      </c>
      <c r="L16" s="66">
        <v>950</v>
      </c>
      <c r="M16" s="150">
        <v>9.6115123368285005</v>
      </c>
      <c r="N16" s="78">
        <v>289.44</v>
      </c>
      <c r="O16" s="110">
        <v>19642.025511071195</v>
      </c>
      <c r="P16" s="109">
        <v>23007.221556745437</v>
      </c>
      <c r="Q16" s="254">
        <v>10611.926013092587</v>
      </c>
      <c r="R16" s="258">
        <v>30253.951524163782</v>
      </c>
      <c r="S16" s="259">
        <v>33619.147569838024</v>
      </c>
      <c r="U16" s="7" t="s">
        <v>4543</v>
      </c>
    </row>
    <row r="17" spans="1:21" ht="16.5" thickBot="1">
      <c r="A17" s="1188" t="s">
        <v>4533</v>
      </c>
      <c r="B17" s="1192">
        <f t="shared" si="0"/>
        <v>90</v>
      </c>
      <c r="C17" s="1192" t="s">
        <v>3</v>
      </c>
      <c r="D17" s="1192">
        <f t="shared" si="1"/>
        <v>200</v>
      </c>
      <c r="E17" s="1192" t="s">
        <v>3</v>
      </c>
      <c r="F17" s="1190">
        <f t="shared" si="2"/>
        <v>1000</v>
      </c>
      <c r="G17" s="1192" t="s">
        <v>3</v>
      </c>
      <c r="H17" s="1189">
        <v>2</v>
      </c>
      <c r="I17" s="1191" t="s">
        <v>40</v>
      </c>
      <c r="J17" s="149">
        <v>90</v>
      </c>
      <c r="K17" s="66">
        <v>200</v>
      </c>
      <c r="L17" s="66">
        <v>1000</v>
      </c>
      <c r="M17" s="150">
        <v>10.154982971563928</v>
      </c>
      <c r="N17" s="78">
        <v>313.56</v>
      </c>
      <c r="O17" s="110">
        <v>20345.167896160619</v>
      </c>
      <c r="P17" s="109">
        <v>23852.055723924339</v>
      </c>
      <c r="Q17" s="254">
        <v>11002.602329306106</v>
      </c>
      <c r="R17" s="258">
        <v>31347.770225466724</v>
      </c>
      <c r="S17" s="259">
        <v>34854.658053230443</v>
      </c>
      <c r="U17" s="7" t="s">
        <v>4544</v>
      </c>
    </row>
    <row r="18" spans="1:21" ht="16.5" thickBot="1">
      <c r="A18" s="1188" t="s">
        <v>4533</v>
      </c>
      <c r="B18" s="1192">
        <f t="shared" si="0"/>
        <v>90</v>
      </c>
      <c r="C18" s="1192" t="s">
        <v>3</v>
      </c>
      <c r="D18" s="1192">
        <f t="shared" si="1"/>
        <v>200</v>
      </c>
      <c r="E18" s="1192" t="s">
        <v>3</v>
      </c>
      <c r="F18" s="1190">
        <f t="shared" si="2"/>
        <v>1050</v>
      </c>
      <c r="G18" s="1192" t="s">
        <v>3</v>
      </c>
      <c r="H18" s="1189">
        <v>2</v>
      </c>
      <c r="I18" s="1191" t="s">
        <v>40</v>
      </c>
      <c r="J18" s="149">
        <v>90</v>
      </c>
      <c r="K18" s="66">
        <v>200</v>
      </c>
      <c r="L18" s="66">
        <v>1050</v>
      </c>
      <c r="M18" s="150">
        <v>10.620417606299357</v>
      </c>
      <c r="N18" s="78">
        <v>337.67999999999995</v>
      </c>
      <c r="O18" s="110">
        <v>21009.502186414345</v>
      </c>
      <c r="P18" s="109">
        <v>24658.08164323878</v>
      </c>
      <c r="Q18" s="254">
        <v>11644.612783303395</v>
      </c>
      <c r="R18" s="258">
        <v>32654.114969717739</v>
      </c>
      <c r="S18" s="259">
        <v>36302.694426542177</v>
      </c>
      <c r="U18" s="7" t="s">
        <v>4545</v>
      </c>
    </row>
    <row r="19" spans="1:21" ht="16.5" thickBot="1">
      <c r="A19" s="1188" t="s">
        <v>4533</v>
      </c>
      <c r="B19" s="1189">
        <f t="shared" si="0"/>
        <v>90</v>
      </c>
      <c r="C19" s="1189" t="s">
        <v>3</v>
      </c>
      <c r="D19" s="1189">
        <f t="shared" si="1"/>
        <v>200</v>
      </c>
      <c r="E19" s="1189" t="s">
        <v>3</v>
      </c>
      <c r="F19" s="1190">
        <f t="shared" si="2"/>
        <v>1100</v>
      </c>
      <c r="G19" s="1189" t="s">
        <v>3</v>
      </c>
      <c r="H19" s="1189">
        <v>2</v>
      </c>
      <c r="I19" s="1191" t="s">
        <v>40</v>
      </c>
      <c r="J19" s="149">
        <v>90</v>
      </c>
      <c r="K19" s="66">
        <v>200</v>
      </c>
      <c r="L19" s="66">
        <v>1100</v>
      </c>
      <c r="M19" s="150">
        <v>11.085852241034782</v>
      </c>
      <c r="N19" s="78">
        <v>361.79999999999995</v>
      </c>
      <c r="O19" s="110">
        <v>21673.836476668068</v>
      </c>
      <c r="P19" s="109">
        <v>25464.107715581984</v>
      </c>
      <c r="Q19" s="254">
        <v>12035.289252545683</v>
      </c>
      <c r="R19" s="258">
        <v>33709.125729213752</v>
      </c>
      <c r="S19" s="259">
        <v>37499.396968127665</v>
      </c>
      <c r="U19" s="7" t="s">
        <v>4546</v>
      </c>
    </row>
    <row r="20" spans="1:21" ht="16.5" thickBot="1">
      <c r="A20" s="1188" t="s">
        <v>4533</v>
      </c>
      <c r="B20" s="1192">
        <f t="shared" si="0"/>
        <v>90</v>
      </c>
      <c r="C20" s="1192" t="s">
        <v>3</v>
      </c>
      <c r="D20" s="1192">
        <f t="shared" si="1"/>
        <v>200</v>
      </c>
      <c r="E20" s="1192" t="s">
        <v>3</v>
      </c>
      <c r="F20" s="1190">
        <f t="shared" si="2"/>
        <v>1150</v>
      </c>
      <c r="G20" s="1192" t="s">
        <v>3</v>
      </c>
      <c r="H20" s="1189">
        <v>2</v>
      </c>
      <c r="I20" s="1191" t="s">
        <v>40</v>
      </c>
      <c r="J20" s="149">
        <v>90</v>
      </c>
      <c r="K20" s="66">
        <v>200</v>
      </c>
      <c r="L20" s="66">
        <v>1150</v>
      </c>
      <c r="M20" s="150">
        <v>11.551286875770209</v>
      </c>
      <c r="N20" s="78">
        <v>385.92</v>
      </c>
      <c r="O20" s="110">
        <v>22338.17091995056</v>
      </c>
      <c r="P20" s="109">
        <v>26270.133787925191</v>
      </c>
      <c r="Q20" s="254">
        <v>12425.965568759202</v>
      </c>
      <c r="R20" s="258">
        <v>34764.136488709759</v>
      </c>
      <c r="S20" s="259">
        <v>38696.099356684397</v>
      </c>
      <c r="U20" s="7" t="s">
        <v>4547</v>
      </c>
    </row>
    <row r="21" spans="1:21" ht="16.5" thickBot="1">
      <c r="A21" s="1188" t="s">
        <v>4533</v>
      </c>
      <c r="B21" s="1192">
        <f t="shared" si="0"/>
        <v>90</v>
      </c>
      <c r="C21" s="1192" t="s">
        <v>3</v>
      </c>
      <c r="D21" s="1192">
        <f t="shared" si="1"/>
        <v>200</v>
      </c>
      <c r="E21" s="1192" t="s">
        <v>3</v>
      </c>
      <c r="F21" s="1190">
        <f t="shared" si="2"/>
        <v>1200</v>
      </c>
      <c r="G21" s="1192" t="s">
        <v>3</v>
      </c>
      <c r="H21" s="1189">
        <v>2</v>
      </c>
      <c r="I21" s="1191" t="s">
        <v>40</v>
      </c>
      <c r="J21" s="149">
        <v>90</v>
      </c>
      <c r="K21" s="66">
        <v>200</v>
      </c>
      <c r="L21" s="66">
        <v>1200</v>
      </c>
      <c r="M21" s="150">
        <v>12.01672151050564</v>
      </c>
      <c r="N21" s="78">
        <v>410.03999999999996</v>
      </c>
      <c r="O21" s="110">
        <v>23002.505210204283</v>
      </c>
      <c r="P21" s="109">
        <v>27076.159707239629</v>
      </c>
      <c r="Q21" s="254">
        <v>13067.976022756491</v>
      </c>
      <c r="R21" s="258">
        <v>36070.481232960774</v>
      </c>
      <c r="S21" s="259">
        <v>40144.135729996124</v>
      </c>
      <c r="U21" s="7" t="s">
        <v>4548</v>
      </c>
    </row>
    <row r="22" spans="1:21" ht="16.5" thickBot="1">
      <c r="A22" s="1188" t="s">
        <v>4533</v>
      </c>
      <c r="B22" s="1192">
        <f t="shared" si="0"/>
        <v>90</v>
      </c>
      <c r="C22" s="1192" t="s">
        <v>3</v>
      </c>
      <c r="D22" s="1192">
        <f t="shared" si="1"/>
        <v>200</v>
      </c>
      <c r="E22" s="1192" t="s">
        <v>3</v>
      </c>
      <c r="F22" s="1190">
        <f t="shared" si="2"/>
        <v>1250</v>
      </c>
      <c r="G22" s="1192" t="s">
        <v>3</v>
      </c>
      <c r="H22" s="1189">
        <v>2</v>
      </c>
      <c r="I22" s="1191" t="s">
        <v>40</v>
      </c>
      <c r="J22" s="149">
        <v>90</v>
      </c>
      <c r="K22" s="66">
        <v>200</v>
      </c>
      <c r="L22" s="66">
        <v>1250</v>
      </c>
      <c r="M22" s="150">
        <v>12.482156145241067</v>
      </c>
      <c r="N22" s="78">
        <v>434.15999999999997</v>
      </c>
      <c r="O22" s="110">
        <v>23666.839500458009</v>
      </c>
      <c r="P22" s="109">
        <v>27882.185779582829</v>
      </c>
      <c r="Q22" s="254">
        <v>13458.652338970012</v>
      </c>
      <c r="R22" s="258">
        <v>37125.491839428025</v>
      </c>
      <c r="S22" s="259">
        <v>41340.838118552841</v>
      </c>
      <c r="U22" s="7" t="s">
        <v>4549</v>
      </c>
    </row>
    <row r="23" spans="1:21" ht="16.5" thickBot="1">
      <c r="A23" s="1188" t="s">
        <v>4533</v>
      </c>
      <c r="B23" s="1192">
        <f t="shared" si="0"/>
        <v>90</v>
      </c>
      <c r="C23" s="1192" t="s">
        <v>3</v>
      </c>
      <c r="D23" s="1192">
        <f t="shared" si="1"/>
        <v>200</v>
      </c>
      <c r="E23" s="1192" t="s">
        <v>3</v>
      </c>
      <c r="F23" s="1190">
        <f t="shared" si="2"/>
        <v>1300</v>
      </c>
      <c r="G23" s="1192" t="s">
        <v>3</v>
      </c>
      <c r="H23" s="1189">
        <v>2</v>
      </c>
      <c r="I23" s="1191" t="s">
        <v>40</v>
      </c>
      <c r="J23" s="149">
        <v>90</v>
      </c>
      <c r="K23" s="66">
        <v>200</v>
      </c>
      <c r="L23" s="66">
        <v>1300</v>
      </c>
      <c r="M23" s="150">
        <v>12.947590779976496</v>
      </c>
      <c r="N23" s="78">
        <v>458.28</v>
      </c>
      <c r="O23" s="110">
        <v>24331.173790711735</v>
      </c>
      <c r="P23" s="109">
        <v>28688.211851926037</v>
      </c>
      <c r="Q23" s="254">
        <v>14100.662792967301</v>
      </c>
      <c r="R23" s="258">
        <v>38431.836583679033</v>
      </c>
      <c r="S23" s="259">
        <v>42788.874644893338</v>
      </c>
      <c r="U23" s="7" t="s">
        <v>4550</v>
      </c>
    </row>
    <row r="24" spans="1:21" ht="16.5" thickBot="1">
      <c r="A24" s="1188" t="s">
        <v>4533</v>
      </c>
      <c r="B24" s="1192">
        <f t="shared" si="0"/>
        <v>90</v>
      </c>
      <c r="C24" s="1192" t="s">
        <v>3</v>
      </c>
      <c r="D24" s="1192">
        <f t="shared" si="1"/>
        <v>200</v>
      </c>
      <c r="E24" s="1192" t="s">
        <v>3</v>
      </c>
      <c r="F24" s="1190">
        <f t="shared" si="2"/>
        <v>1350</v>
      </c>
      <c r="G24" s="1192" t="s">
        <v>3</v>
      </c>
      <c r="H24" s="1189">
        <v>2</v>
      </c>
      <c r="I24" s="1191" t="s">
        <v>40</v>
      </c>
      <c r="J24" s="149">
        <v>90</v>
      </c>
      <c r="K24" s="66">
        <v>200</v>
      </c>
      <c r="L24" s="66">
        <v>1350</v>
      </c>
      <c r="M24" s="150">
        <v>13.413025414711923</v>
      </c>
      <c r="N24" s="78">
        <v>482.4</v>
      </c>
      <c r="O24" s="110">
        <v>24995.508080965457</v>
      </c>
      <c r="P24" s="109">
        <v>29494.23792426924</v>
      </c>
      <c r="Q24" s="254">
        <v>14491.339262209587</v>
      </c>
      <c r="R24" s="258">
        <v>39486.847343175046</v>
      </c>
      <c r="S24" s="259">
        <v>43985.577186478826</v>
      </c>
      <c r="U24" s="7" t="s">
        <v>4551</v>
      </c>
    </row>
    <row r="25" spans="1:21" ht="16.5" thickBot="1">
      <c r="A25" s="1188" t="s">
        <v>4533</v>
      </c>
      <c r="B25" s="1192">
        <f t="shared" si="0"/>
        <v>90</v>
      </c>
      <c r="C25" s="1192" t="s">
        <v>3</v>
      </c>
      <c r="D25" s="1192">
        <f t="shared" si="1"/>
        <v>200</v>
      </c>
      <c r="E25" s="1192" t="s">
        <v>3</v>
      </c>
      <c r="F25" s="1190">
        <f t="shared" si="2"/>
        <v>1400</v>
      </c>
      <c r="G25" s="1192" t="s">
        <v>3</v>
      </c>
      <c r="H25" s="1189">
        <v>2</v>
      </c>
      <c r="I25" s="1191" t="s">
        <v>40</v>
      </c>
      <c r="J25" s="149">
        <v>90</v>
      </c>
      <c r="K25" s="66">
        <v>200</v>
      </c>
      <c r="L25" s="66">
        <v>1400</v>
      </c>
      <c r="M25" s="150">
        <v>13.87846004944735</v>
      </c>
      <c r="N25" s="78">
        <v>506.52</v>
      </c>
      <c r="O25" s="110">
        <v>25659.84252424795</v>
      </c>
      <c r="P25" s="109">
        <v>30300.263843583682</v>
      </c>
      <c r="Q25" s="254">
        <v>15133.349716206876</v>
      </c>
      <c r="R25" s="258">
        <v>40793.192240454824</v>
      </c>
      <c r="S25" s="259">
        <v>45433.61355979056</v>
      </c>
      <c r="U25" s="7" t="s">
        <v>4552</v>
      </c>
    </row>
    <row r="26" spans="1:21" ht="16.5" thickBot="1">
      <c r="A26" s="1188" t="s">
        <v>4533</v>
      </c>
      <c r="B26" s="1192">
        <f t="shared" si="0"/>
        <v>90</v>
      </c>
      <c r="C26" s="1192" t="s">
        <v>3</v>
      </c>
      <c r="D26" s="1192">
        <f t="shared" si="1"/>
        <v>200</v>
      </c>
      <c r="E26" s="1192" t="s">
        <v>3</v>
      </c>
      <c r="F26" s="1190">
        <f t="shared" si="2"/>
        <v>1450</v>
      </c>
      <c r="G26" s="1192" t="s">
        <v>3</v>
      </c>
      <c r="H26" s="1189">
        <v>2</v>
      </c>
      <c r="I26" s="1191" t="s">
        <v>40</v>
      </c>
      <c r="J26" s="149">
        <v>90</v>
      </c>
      <c r="K26" s="66">
        <v>200</v>
      </c>
      <c r="L26" s="66">
        <v>1450</v>
      </c>
      <c r="M26" s="150">
        <v>14.343894684182779</v>
      </c>
      <c r="N26" s="78">
        <v>530.64</v>
      </c>
      <c r="O26" s="110">
        <v>26324.176814501672</v>
      </c>
      <c r="P26" s="109">
        <v>31106.289915926885</v>
      </c>
      <c r="Q26" s="254">
        <v>15524.026032420395</v>
      </c>
      <c r="R26" s="258">
        <v>41848.202846922068</v>
      </c>
      <c r="S26" s="259">
        <v>46630.315948347285</v>
      </c>
      <c r="U26" s="7" t="s">
        <v>4553</v>
      </c>
    </row>
    <row r="27" spans="1:21" ht="16.5" thickBot="1">
      <c r="A27" s="1188" t="s">
        <v>4533</v>
      </c>
      <c r="B27" s="1192">
        <f t="shared" si="0"/>
        <v>90</v>
      </c>
      <c r="C27" s="1192" t="s">
        <v>3</v>
      </c>
      <c r="D27" s="1192">
        <f t="shared" si="1"/>
        <v>200</v>
      </c>
      <c r="E27" s="1192" t="s">
        <v>3</v>
      </c>
      <c r="F27" s="1190">
        <f t="shared" si="2"/>
        <v>1500</v>
      </c>
      <c r="G27" s="1192" t="s">
        <v>3</v>
      </c>
      <c r="H27" s="1189">
        <v>2</v>
      </c>
      <c r="I27" s="1191" t="s">
        <v>40</v>
      </c>
      <c r="J27" s="149">
        <v>90</v>
      </c>
      <c r="K27" s="66">
        <v>200</v>
      </c>
      <c r="L27" s="66">
        <v>1500</v>
      </c>
      <c r="M27" s="150">
        <v>15.007376118918206</v>
      </c>
      <c r="N27" s="78">
        <v>554.75999999999988</v>
      </c>
      <c r="O27" s="110">
        <v>27605.254214199074</v>
      </c>
      <c r="P27" s="109">
        <v>32643.068741335959</v>
      </c>
      <c r="Q27" s="254">
        <v>16166.036486417688</v>
      </c>
      <c r="R27" s="258">
        <v>43771.290700616766</v>
      </c>
      <c r="S27" s="259">
        <v>48809.105227753651</v>
      </c>
      <c r="U27" s="7" t="s">
        <v>4554</v>
      </c>
    </row>
    <row r="28" spans="1:21" ht="16.5" thickBot="1">
      <c r="A28" s="1188" t="s">
        <v>4533</v>
      </c>
      <c r="B28" s="1192">
        <f t="shared" si="0"/>
        <v>90</v>
      </c>
      <c r="C28" s="1192" t="s">
        <v>3</v>
      </c>
      <c r="D28" s="1192">
        <f t="shared" si="1"/>
        <v>200</v>
      </c>
      <c r="E28" s="1192" t="s">
        <v>3</v>
      </c>
      <c r="F28" s="1190">
        <f t="shared" si="2"/>
        <v>1550</v>
      </c>
      <c r="G28" s="1192" t="s">
        <v>3</v>
      </c>
      <c r="H28" s="1189">
        <v>2</v>
      </c>
      <c r="I28" s="1191" t="s">
        <v>40</v>
      </c>
      <c r="J28" s="149">
        <v>90</v>
      </c>
      <c r="K28" s="66">
        <v>200</v>
      </c>
      <c r="L28" s="66">
        <v>1550</v>
      </c>
      <c r="M28" s="150">
        <v>15.472810753653633</v>
      </c>
      <c r="N28" s="78">
        <v>578.88</v>
      </c>
      <c r="O28" s="110">
        <v>28269.588657481563</v>
      </c>
      <c r="P28" s="109">
        <v>33449.094813679163</v>
      </c>
      <c r="Q28" s="254">
        <v>16556.712955659972</v>
      </c>
      <c r="R28" s="258">
        <v>44826.301613141535</v>
      </c>
      <c r="S28" s="259">
        <v>50005.807769339139</v>
      </c>
      <c r="U28" s="7" t="s">
        <v>4555</v>
      </c>
    </row>
    <row r="29" spans="1:21" ht="16.5" thickBot="1">
      <c r="A29" s="1188" t="s">
        <v>4533</v>
      </c>
      <c r="B29" s="1189">
        <f t="shared" si="0"/>
        <v>90</v>
      </c>
      <c r="C29" s="1189" t="s">
        <v>3</v>
      </c>
      <c r="D29" s="1189">
        <f t="shared" si="1"/>
        <v>200</v>
      </c>
      <c r="E29" s="1189" t="s">
        <v>3</v>
      </c>
      <c r="F29" s="1190">
        <f t="shared" si="2"/>
        <v>1600</v>
      </c>
      <c r="G29" s="1189" t="s">
        <v>3</v>
      </c>
      <c r="H29" s="1189">
        <v>2</v>
      </c>
      <c r="I29" s="1191" t="s">
        <v>40</v>
      </c>
      <c r="J29" s="149">
        <v>90</v>
      </c>
      <c r="K29" s="66">
        <v>200</v>
      </c>
      <c r="L29" s="66">
        <v>1600</v>
      </c>
      <c r="M29" s="150">
        <v>15.938245388389063</v>
      </c>
      <c r="N29" s="78">
        <v>603</v>
      </c>
      <c r="O29" s="110">
        <v>28933.922947735289</v>
      </c>
      <c r="P29" s="109">
        <v>34255.120732993601</v>
      </c>
      <c r="Q29" s="254">
        <v>16947.389271873493</v>
      </c>
      <c r="R29" s="258">
        <v>45881.312219608779</v>
      </c>
      <c r="S29" s="259">
        <v>51202.510004867094</v>
      </c>
      <c r="U29" s="7" t="s">
        <v>4556</v>
      </c>
    </row>
    <row r="30" spans="1:21" ht="16.5" thickBot="1">
      <c r="A30" s="1188" t="s">
        <v>4533</v>
      </c>
      <c r="B30" s="1192">
        <f t="shared" si="0"/>
        <v>90</v>
      </c>
      <c r="C30" s="1192" t="s">
        <v>3</v>
      </c>
      <c r="D30" s="1192">
        <f t="shared" si="1"/>
        <v>200</v>
      </c>
      <c r="E30" s="1192" t="s">
        <v>3</v>
      </c>
      <c r="F30" s="1190">
        <f t="shared" si="2"/>
        <v>1650</v>
      </c>
      <c r="G30" s="1192" t="s">
        <v>3</v>
      </c>
      <c r="H30" s="1189">
        <v>2</v>
      </c>
      <c r="I30" s="1191" t="s">
        <v>40</v>
      </c>
      <c r="J30" s="149">
        <v>90</v>
      </c>
      <c r="K30" s="66">
        <v>200</v>
      </c>
      <c r="L30" s="66">
        <v>1650</v>
      </c>
      <c r="M30" s="150">
        <v>16.40368002312449</v>
      </c>
      <c r="N30" s="78">
        <v>627.12</v>
      </c>
      <c r="O30" s="110">
        <v>29598.257237989012</v>
      </c>
      <c r="P30" s="109">
        <v>35061.146805336801</v>
      </c>
      <c r="Q30" s="254">
        <v>17589.399725870782</v>
      </c>
      <c r="R30" s="258">
        <v>47187.656963859794</v>
      </c>
      <c r="S30" s="259">
        <v>52650.546531207583</v>
      </c>
      <c r="U30" s="7" t="s">
        <v>4557</v>
      </c>
    </row>
    <row r="31" spans="1:21" ht="16.5" thickBot="1">
      <c r="A31" s="1188" t="s">
        <v>4533</v>
      </c>
      <c r="B31" s="1192">
        <f t="shared" si="0"/>
        <v>90</v>
      </c>
      <c r="C31" s="1192" t="s">
        <v>3</v>
      </c>
      <c r="D31" s="1192">
        <f t="shared" si="1"/>
        <v>200</v>
      </c>
      <c r="E31" s="1192" t="s">
        <v>3</v>
      </c>
      <c r="F31" s="1190">
        <f t="shared" si="2"/>
        <v>1700</v>
      </c>
      <c r="G31" s="1192" t="s">
        <v>3</v>
      </c>
      <c r="H31" s="1189">
        <v>2</v>
      </c>
      <c r="I31" s="1191" t="s">
        <v>40</v>
      </c>
      <c r="J31" s="149">
        <v>90</v>
      </c>
      <c r="K31" s="66">
        <v>200</v>
      </c>
      <c r="L31" s="66">
        <v>1700</v>
      </c>
      <c r="M31" s="150">
        <v>16.869114657859917</v>
      </c>
      <c r="N31" s="78">
        <v>651.24</v>
      </c>
      <c r="O31" s="110">
        <v>30262.591528242738</v>
      </c>
      <c r="P31" s="109">
        <v>35867.172877680008</v>
      </c>
      <c r="Q31" s="254">
        <v>17980.076042084303</v>
      </c>
      <c r="R31" s="258">
        <v>48242.667570327045</v>
      </c>
      <c r="S31" s="259">
        <v>53847.248919764315</v>
      </c>
      <c r="U31" s="7" t="s">
        <v>4558</v>
      </c>
    </row>
    <row r="32" spans="1:21" ht="16.5" thickBot="1">
      <c r="A32" s="1188" t="s">
        <v>4533</v>
      </c>
      <c r="B32" s="1192">
        <f t="shared" si="0"/>
        <v>90</v>
      </c>
      <c r="C32" s="1192" t="s">
        <v>3</v>
      </c>
      <c r="D32" s="1192">
        <f t="shared" si="1"/>
        <v>200</v>
      </c>
      <c r="E32" s="1192" t="s">
        <v>3</v>
      </c>
      <c r="F32" s="1190">
        <f t="shared" si="2"/>
        <v>1750</v>
      </c>
      <c r="G32" s="1192" t="s">
        <v>3</v>
      </c>
      <c r="H32" s="1189">
        <v>2</v>
      </c>
      <c r="I32" s="1191" t="s">
        <v>40</v>
      </c>
      <c r="J32" s="149">
        <v>90</v>
      </c>
      <c r="K32" s="66">
        <v>200</v>
      </c>
      <c r="L32" s="66">
        <v>1750</v>
      </c>
      <c r="M32" s="150">
        <v>17.334549292595344</v>
      </c>
      <c r="N32" s="78">
        <v>675.3599999999999</v>
      </c>
      <c r="O32" s="110">
        <v>30926.925818496464</v>
      </c>
      <c r="P32" s="109">
        <v>36673.198950023216</v>
      </c>
      <c r="Q32" s="254">
        <v>18622.086496081592</v>
      </c>
      <c r="R32" s="258">
        <v>49549.012314578053</v>
      </c>
      <c r="S32" s="259">
        <v>55295.285446104812</v>
      </c>
      <c r="U32" s="7" t="s">
        <v>4559</v>
      </c>
    </row>
    <row r="33" spans="1:21" ht="16.5" thickBot="1">
      <c r="A33" s="1188" t="s">
        <v>4533</v>
      </c>
      <c r="B33" s="1192">
        <f t="shared" si="0"/>
        <v>90</v>
      </c>
      <c r="C33" s="1192" t="s">
        <v>3</v>
      </c>
      <c r="D33" s="1192">
        <f t="shared" si="1"/>
        <v>200</v>
      </c>
      <c r="E33" s="1192" t="s">
        <v>3</v>
      </c>
      <c r="F33" s="1190">
        <f t="shared" si="2"/>
        <v>1800</v>
      </c>
      <c r="G33" s="1192" t="s">
        <v>3</v>
      </c>
      <c r="H33" s="1189">
        <v>2</v>
      </c>
      <c r="I33" s="1191" t="s">
        <v>40</v>
      </c>
      <c r="J33" s="149">
        <v>90</v>
      </c>
      <c r="K33" s="66">
        <v>200</v>
      </c>
      <c r="L33" s="66">
        <v>1800</v>
      </c>
      <c r="M33" s="150">
        <v>17.799983927330775</v>
      </c>
      <c r="N33" s="78">
        <v>699.4799999999999</v>
      </c>
      <c r="O33" s="110">
        <v>31591.260261778953</v>
      </c>
      <c r="P33" s="109">
        <v>37479.224869337653</v>
      </c>
      <c r="Q33" s="254">
        <v>19012.762965323876</v>
      </c>
      <c r="R33" s="258">
        <v>50604.023227102829</v>
      </c>
      <c r="S33" s="259">
        <v>56491.98783466153</v>
      </c>
      <c r="U33" s="7" t="s">
        <v>4560</v>
      </c>
    </row>
    <row r="34" spans="1:21" ht="16.5" thickBot="1">
      <c r="A34" s="1188" t="s">
        <v>4533</v>
      </c>
      <c r="B34" s="1192">
        <f t="shared" si="0"/>
        <v>90</v>
      </c>
      <c r="C34" s="1192" t="s">
        <v>3</v>
      </c>
      <c r="D34" s="1192">
        <f t="shared" si="1"/>
        <v>200</v>
      </c>
      <c r="E34" s="1192" t="s">
        <v>3</v>
      </c>
      <c r="F34" s="1190">
        <f t="shared" si="2"/>
        <v>1850</v>
      </c>
      <c r="G34" s="1192" t="s">
        <v>3</v>
      </c>
      <c r="H34" s="1189">
        <v>2</v>
      </c>
      <c r="I34" s="1191" t="s">
        <v>40</v>
      </c>
      <c r="J34" s="149">
        <v>90</v>
      </c>
      <c r="K34" s="66">
        <v>200</v>
      </c>
      <c r="L34" s="66">
        <v>1850</v>
      </c>
      <c r="M34" s="150">
        <v>18.265418562066198</v>
      </c>
      <c r="N34" s="78">
        <v>723.59999999999991</v>
      </c>
      <c r="O34" s="110">
        <v>32255.594552032679</v>
      </c>
      <c r="P34" s="109">
        <v>38285.250941680861</v>
      </c>
      <c r="Q34" s="254">
        <v>19654.773419321165</v>
      </c>
      <c r="R34" s="258">
        <v>51910.367971353844</v>
      </c>
      <c r="S34" s="259">
        <v>57940.024361002026</v>
      </c>
      <c r="U34" s="7" t="s">
        <v>4561</v>
      </c>
    </row>
    <row r="35" spans="1:21" ht="16.5" thickBot="1">
      <c r="A35" s="1188" t="s">
        <v>4533</v>
      </c>
      <c r="B35" s="1192">
        <f t="shared" si="0"/>
        <v>90</v>
      </c>
      <c r="C35" s="1192" t="s">
        <v>3</v>
      </c>
      <c r="D35" s="1192">
        <f t="shared" si="1"/>
        <v>200</v>
      </c>
      <c r="E35" s="1192" t="s">
        <v>3</v>
      </c>
      <c r="F35" s="1190">
        <f t="shared" si="2"/>
        <v>1900</v>
      </c>
      <c r="G35" s="1192" t="s">
        <v>3</v>
      </c>
      <c r="H35" s="1189">
        <v>2</v>
      </c>
      <c r="I35" s="1191" t="s">
        <v>40</v>
      </c>
      <c r="J35" s="149">
        <v>90</v>
      </c>
      <c r="K35" s="66">
        <v>200</v>
      </c>
      <c r="L35" s="66">
        <v>1900</v>
      </c>
      <c r="M35" s="150">
        <v>18.730853196801625</v>
      </c>
      <c r="N35" s="78">
        <v>747.72</v>
      </c>
      <c r="O35" s="110">
        <v>32919.928842286405</v>
      </c>
      <c r="P35" s="109">
        <v>39091.277014024061</v>
      </c>
      <c r="Q35" s="254">
        <v>20045.449735534687</v>
      </c>
      <c r="R35" s="258">
        <v>52965.378577821088</v>
      </c>
      <c r="S35" s="259">
        <v>59136.726749558744</v>
      </c>
      <c r="U35" s="7" t="s">
        <v>4562</v>
      </c>
    </row>
    <row r="36" spans="1:21" ht="16.5" thickBot="1">
      <c r="A36" s="1188" t="s">
        <v>4533</v>
      </c>
      <c r="B36" s="1192">
        <f t="shared" si="0"/>
        <v>90</v>
      </c>
      <c r="C36" s="1192" t="s">
        <v>3</v>
      </c>
      <c r="D36" s="1192">
        <f t="shared" si="1"/>
        <v>200</v>
      </c>
      <c r="E36" s="1192" t="s">
        <v>3</v>
      </c>
      <c r="F36" s="1190">
        <f t="shared" si="2"/>
        <v>1950</v>
      </c>
      <c r="G36" s="1192" t="s">
        <v>3</v>
      </c>
      <c r="H36" s="1189">
        <v>2</v>
      </c>
      <c r="I36" s="1191" t="s">
        <v>40</v>
      </c>
      <c r="J36" s="149">
        <v>90</v>
      </c>
      <c r="K36" s="66">
        <v>200</v>
      </c>
      <c r="L36" s="66">
        <v>1950</v>
      </c>
      <c r="M36" s="150">
        <v>19.196287831537056</v>
      </c>
      <c r="N36" s="78">
        <v>771.84</v>
      </c>
      <c r="O36" s="110">
        <v>33584.263132540131</v>
      </c>
      <c r="P36" s="109">
        <v>39897.302933338498</v>
      </c>
      <c r="Q36" s="254">
        <v>20436.126051748208</v>
      </c>
      <c r="R36" s="258">
        <v>54020.389184288339</v>
      </c>
      <c r="S36" s="259">
        <v>60333.428985086706</v>
      </c>
      <c r="U36" s="7" t="s">
        <v>4563</v>
      </c>
    </row>
    <row r="37" spans="1:21" ht="16.5" thickBot="1">
      <c r="A37" s="1188" t="s">
        <v>4533</v>
      </c>
      <c r="B37" s="1192">
        <f t="shared" si="0"/>
        <v>90</v>
      </c>
      <c r="C37" s="1192" t="s">
        <v>3</v>
      </c>
      <c r="D37" s="1192">
        <f t="shared" si="1"/>
        <v>200</v>
      </c>
      <c r="E37" s="1192" t="s">
        <v>3</v>
      </c>
      <c r="F37" s="1190">
        <f t="shared" si="2"/>
        <v>2000</v>
      </c>
      <c r="G37" s="1192" t="s">
        <v>3</v>
      </c>
      <c r="H37" s="1189">
        <v>2</v>
      </c>
      <c r="I37" s="1191" t="s">
        <v>40</v>
      </c>
      <c r="J37" s="149">
        <v>90</v>
      </c>
      <c r="K37" s="66">
        <v>200</v>
      </c>
      <c r="L37" s="66">
        <v>2000</v>
      </c>
      <c r="M37" s="150">
        <v>19.73975846627248</v>
      </c>
      <c r="N37" s="78">
        <v>795.95999999999992</v>
      </c>
      <c r="O37" s="110">
        <v>34719.492335858493</v>
      </c>
      <c r="P37" s="109">
        <v>40854.766271649401</v>
      </c>
      <c r="Q37" s="254">
        <v>21078.136658774263</v>
      </c>
      <c r="R37" s="258">
        <v>55797.62899463276</v>
      </c>
      <c r="S37" s="259">
        <v>61932.902930423661</v>
      </c>
      <c r="U37" s="7" t="s">
        <v>4564</v>
      </c>
    </row>
    <row r="38" spans="1:21" ht="16.5" thickBot="1">
      <c r="A38" s="1188" t="s">
        <v>4533</v>
      </c>
      <c r="B38" s="1192">
        <f t="shared" si="0"/>
        <v>90</v>
      </c>
      <c r="C38" s="1192" t="s">
        <v>3</v>
      </c>
      <c r="D38" s="1192">
        <f t="shared" si="1"/>
        <v>200</v>
      </c>
      <c r="E38" s="1192" t="s">
        <v>3</v>
      </c>
      <c r="F38" s="1190">
        <f t="shared" si="2"/>
        <v>2050</v>
      </c>
      <c r="G38" s="1192" t="s">
        <v>3</v>
      </c>
      <c r="H38" s="1189">
        <v>2</v>
      </c>
      <c r="I38" s="1191" t="s">
        <v>40</v>
      </c>
      <c r="J38" s="149">
        <v>90</v>
      </c>
      <c r="K38" s="66">
        <v>200</v>
      </c>
      <c r="L38" s="66">
        <v>2050</v>
      </c>
      <c r="M38" s="150">
        <v>20.205193101007911</v>
      </c>
      <c r="N38" s="78">
        <v>820.07999999999993</v>
      </c>
      <c r="O38" s="110">
        <v>35383.826626112212</v>
      </c>
      <c r="P38" s="109">
        <v>41660.792343992609</v>
      </c>
      <c r="Q38" s="254">
        <v>21468.812974987781</v>
      </c>
      <c r="R38" s="258">
        <v>56852.639601099989</v>
      </c>
      <c r="S38" s="259">
        <v>63129.605318980393</v>
      </c>
      <c r="U38" s="7" t="s">
        <v>4565</v>
      </c>
    </row>
    <row r="39" spans="1:21" ht="16.5" thickBot="1">
      <c r="A39" s="1188" t="s">
        <v>4533</v>
      </c>
      <c r="B39" s="1189">
        <f t="shared" si="0"/>
        <v>90</v>
      </c>
      <c r="C39" s="1189" t="s">
        <v>3</v>
      </c>
      <c r="D39" s="1189">
        <f t="shared" si="1"/>
        <v>200</v>
      </c>
      <c r="E39" s="1189" t="s">
        <v>3</v>
      </c>
      <c r="F39" s="1190">
        <f t="shared" si="2"/>
        <v>2100</v>
      </c>
      <c r="G39" s="1189" t="s">
        <v>3</v>
      </c>
      <c r="H39" s="1189">
        <v>2</v>
      </c>
      <c r="I39" s="1191" t="s">
        <v>40</v>
      </c>
      <c r="J39" s="149">
        <v>90</v>
      </c>
      <c r="K39" s="66">
        <v>200</v>
      </c>
      <c r="L39" s="66">
        <v>2100</v>
      </c>
      <c r="M39" s="150">
        <v>20.670627735743338</v>
      </c>
      <c r="N39" s="78">
        <v>844.19999999999993</v>
      </c>
      <c r="O39" s="110">
        <v>36048.160916365938</v>
      </c>
      <c r="P39" s="109">
        <v>42466.818416335816</v>
      </c>
      <c r="Q39" s="254">
        <v>22110.823428985073</v>
      </c>
      <c r="R39" s="258">
        <v>58158.984345351011</v>
      </c>
      <c r="S39" s="259">
        <v>64577.64184532089</v>
      </c>
      <c r="U39" s="7" t="s">
        <v>4566</v>
      </c>
    </row>
    <row r="40" spans="1:21" ht="16.5" thickBot="1">
      <c r="A40" s="1188" t="s">
        <v>4533</v>
      </c>
      <c r="B40" s="1192">
        <f t="shared" si="0"/>
        <v>90</v>
      </c>
      <c r="C40" s="1192" t="s">
        <v>3</v>
      </c>
      <c r="D40" s="1192">
        <f t="shared" si="1"/>
        <v>200</v>
      </c>
      <c r="E40" s="1192" t="s">
        <v>3</v>
      </c>
      <c r="F40" s="1190">
        <f t="shared" si="2"/>
        <v>2150</v>
      </c>
      <c r="G40" s="1192" t="s">
        <v>3</v>
      </c>
      <c r="H40" s="1189">
        <v>2</v>
      </c>
      <c r="I40" s="1191" t="s">
        <v>40</v>
      </c>
      <c r="J40" s="149">
        <v>90</v>
      </c>
      <c r="K40" s="66">
        <v>200</v>
      </c>
      <c r="L40" s="66">
        <v>2150</v>
      </c>
      <c r="M40" s="150">
        <v>21.136062370478765</v>
      </c>
      <c r="N40" s="78">
        <v>868.31999999999994</v>
      </c>
      <c r="O40" s="110">
        <v>36712.495359648427</v>
      </c>
      <c r="P40" s="109">
        <v>43272.844335650254</v>
      </c>
      <c r="Q40" s="254">
        <v>22501.499745198591</v>
      </c>
      <c r="R40" s="258">
        <v>59213.995104847018</v>
      </c>
      <c r="S40" s="259">
        <v>65774.344080848852</v>
      </c>
      <c r="U40" s="7" t="s">
        <v>4567</v>
      </c>
    </row>
    <row r="41" spans="1:21" ht="16.5" thickBot="1">
      <c r="A41" s="1188" t="s">
        <v>4533</v>
      </c>
      <c r="B41" s="1192">
        <f t="shared" si="0"/>
        <v>90</v>
      </c>
      <c r="C41" s="1192" t="s">
        <v>3</v>
      </c>
      <c r="D41" s="1192">
        <f t="shared" si="1"/>
        <v>200</v>
      </c>
      <c r="E41" s="1192" t="s">
        <v>3</v>
      </c>
      <c r="F41" s="1190">
        <f t="shared" si="2"/>
        <v>2200</v>
      </c>
      <c r="G41" s="1192" t="s">
        <v>3</v>
      </c>
      <c r="H41" s="1189">
        <v>2</v>
      </c>
      <c r="I41" s="1191" t="s">
        <v>40</v>
      </c>
      <c r="J41" s="149">
        <v>90</v>
      </c>
      <c r="K41" s="66">
        <v>200</v>
      </c>
      <c r="L41" s="66">
        <v>2200</v>
      </c>
      <c r="M41" s="150">
        <v>21.601497005214195</v>
      </c>
      <c r="N41" s="78">
        <v>892.44</v>
      </c>
      <c r="O41" s="110">
        <v>37376.829649902153</v>
      </c>
      <c r="P41" s="109">
        <v>44078.870407993461</v>
      </c>
      <c r="Q41" s="254">
        <v>23143.510199195884</v>
      </c>
      <c r="R41" s="258">
        <v>60520.339849098033</v>
      </c>
      <c r="S41" s="259">
        <v>67222.380607189349</v>
      </c>
      <c r="U41" s="7" t="s">
        <v>4568</v>
      </c>
    </row>
    <row r="42" spans="1:21" ht="16.5" thickBot="1">
      <c r="A42" s="1188" t="s">
        <v>4533</v>
      </c>
      <c r="B42" s="1192">
        <f t="shared" si="0"/>
        <v>90</v>
      </c>
      <c r="C42" s="1192" t="s">
        <v>3</v>
      </c>
      <c r="D42" s="1192">
        <f t="shared" si="1"/>
        <v>200</v>
      </c>
      <c r="E42" s="1192" t="s">
        <v>3</v>
      </c>
      <c r="F42" s="1190">
        <f t="shared" si="2"/>
        <v>2250</v>
      </c>
      <c r="G42" s="1192" t="s">
        <v>3</v>
      </c>
      <c r="H42" s="1189">
        <v>2</v>
      </c>
      <c r="I42" s="1191" t="s">
        <v>40</v>
      </c>
      <c r="J42" s="149">
        <v>90</v>
      </c>
      <c r="K42" s="66">
        <v>200</v>
      </c>
      <c r="L42" s="66">
        <v>2250</v>
      </c>
      <c r="M42" s="150">
        <v>22.066931639949622</v>
      </c>
      <c r="N42" s="78">
        <v>916.56</v>
      </c>
      <c r="O42" s="110">
        <v>38041.163940155879</v>
      </c>
      <c r="P42" s="109">
        <v>44884.896480336662</v>
      </c>
      <c r="Q42" s="254">
        <v>23534.186668438168</v>
      </c>
      <c r="R42" s="258">
        <v>61575.350608594046</v>
      </c>
      <c r="S42" s="259">
        <v>68419.083148774836</v>
      </c>
      <c r="U42" s="7" t="s">
        <v>4569</v>
      </c>
    </row>
    <row r="43" spans="1:21" ht="16.5" thickBot="1">
      <c r="A43" s="1188" t="s">
        <v>4533</v>
      </c>
      <c r="B43" s="1192">
        <f t="shared" si="0"/>
        <v>90</v>
      </c>
      <c r="C43" s="1192" t="s">
        <v>3</v>
      </c>
      <c r="D43" s="1192">
        <f t="shared" si="1"/>
        <v>200</v>
      </c>
      <c r="E43" s="1192" t="s">
        <v>3</v>
      </c>
      <c r="F43" s="1190">
        <f t="shared" si="2"/>
        <v>2300</v>
      </c>
      <c r="G43" s="1192" t="s">
        <v>3</v>
      </c>
      <c r="H43" s="1189">
        <v>2</v>
      </c>
      <c r="I43" s="1191" t="s">
        <v>40</v>
      </c>
      <c r="J43" s="149">
        <v>90</v>
      </c>
      <c r="K43" s="66">
        <v>200</v>
      </c>
      <c r="L43" s="66">
        <v>2300</v>
      </c>
      <c r="M43" s="150">
        <v>22.532366274685046</v>
      </c>
      <c r="N43" s="78">
        <v>940.68</v>
      </c>
      <c r="O43" s="110">
        <v>38705.498230409597</v>
      </c>
      <c r="P43" s="109">
        <v>45690.922399651099</v>
      </c>
      <c r="Q43" s="254">
        <v>23924.862984651689</v>
      </c>
      <c r="R43" s="258">
        <v>62630.36121506129</v>
      </c>
      <c r="S43" s="259">
        <v>69615.785384302784</v>
      </c>
      <c r="U43" s="7" t="s">
        <v>4570</v>
      </c>
    </row>
    <row r="44" spans="1:21" ht="16.5" thickBot="1">
      <c r="A44" s="1188" t="s">
        <v>4533</v>
      </c>
      <c r="B44" s="1192">
        <f t="shared" si="0"/>
        <v>90</v>
      </c>
      <c r="C44" s="1192" t="s">
        <v>3</v>
      </c>
      <c r="D44" s="1192">
        <f t="shared" si="1"/>
        <v>200</v>
      </c>
      <c r="E44" s="1192" t="s">
        <v>3</v>
      </c>
      <c r="F44" s="1190">
        <f t="shared" si="2"/>
        <v>2350</v>
      </c>
      <c r="G44" s="1192" t="s">
        <v>3</v>
      </c>
      <c r="H44" s="1189">
        <v>2</v>
      </c>
      <c r="I44" s="1191" t="s">
        <v>40</v>
      </c>
      <c r="J44" s="149">
        <v>90</v>
      </c>
      <c r="K44" s="66">
        <v>200</v>
      </c>
      <c r="L44" s="66">
        <v>2350</v>
      </c>
      <c r="M44" s="150">
        <v>22.997800909420477</v>
      </c>
      <c r="N44" s="78">
        <v>964.8</v>
      </c>
      <c r="O44" s="110">
        <v>39369.832520663331</v>
      </c>
      <c r="P44" s="109">
        <v>46496.948471994307</v>
      </c>
      <c r="Q44" s="254">
        <v>24566.873438648978</v>
      </c>
      <c r="R44" s="258">
        <v>63936.705959312312</v>
      </c>
      <c r="S44" s="259">
        <v>71063.821910643281</v>
      </c>
      <c r="U44" s="7" t="s">
        <v>4571</v>
      </c>
    </row>
    <row r="45" spans="1:21" ht="16.5" thickBot="1">
      <c r="A45" s="1188" t="s">
        <v>4533</v>
      </c>
      <c r="B45" s="1192">
        <f t="shared" si="0"/>
        <v>90</v>
      </c>
      <c r="C45" s="1192" t="s">
        <v>3</v>
      </c>
      <c r="D45" s="1192">
        <f t="shared" si="1"/>
        <v>200</v>
      </c>
      <c r="E45" s="1192" t="s">
        <v>3</v>
      </c>
      <c r="F45" s="1190">
        <f t="shared" si="2"/>
        <v>2400</v>
      </c>
      <c r="G45" s="1192" t="s">
        <v>3</v>
      </c>
      <c r="H45" s="1189">
        <v>2</v>
      </c>
      <c r="I45" s="1191" t="s">
        <v>40</v>
      </c>
      <c r="J45" s="149">
        <v>90</v>
      </c>
      <c r="K45" s="66">
        <v>200</v>
      </c>
      <c r="L45" s="66">
        <v>2400</v>
      </c>
      <c r="M45" s="150">
        <v>23.4632355441559</v>
      </c>
      <c r="N45" s="78">
        <v>988.91999999999985</v>
      </c>
      <c r="O45" s="110">
        <v>40034.166810917057</v>
      </c>
      <c r="P45" s="109">
        <v>47302.974544337514</v>
      </c>
      <c r="Q45" s="254">
        <v>24957.549754862499</v>
      </c>
      <c r="R45" s="258">
        <v>64991.716565779556</v>
      </c>
      <c r="S45" s="259">
        <v>72260.524299200013</v>
      </c>
      <c r="U45" s="7" t="s">
        <v>4572</v>
      </c>
    </row>
    <row r="46" spans="1:21" ht="16.5" thickBot="1">
      <c r="A46" s="1188" t="s">
        <v>4533</v>
      </c>
      <c r="B46" s="1192">
        <f t="shared" si="0"/>
        <v>90</v>
      </c>
      <c r="C46" s="1192" t="s">
        <v>3</v>
      </c>
      <c r="D46" s="1192">
        <f t="shared" si="1"/>
        <v>200</v>
      </c>
      <c r="E46" s="1192" t="s">
        <v>3</v>
      </c>
      <c r="F46" s="1190">
        <f t="shared" si="2"/>
        <v>2450</v>
      </c>
      <c r="G46" s="1192" t="s">
        <v>3</v>
      </c>
      <c r="H46" s="1189">
        <v>2</v>
      </c>
      <c r="I46" s="1191" t="s">
        <v>40</v>
      </c>
      <c r="J46" s="149">
        <v>90</v>
      </c>
      <c r="K46" s="66">
        <v>200</v>
      </c>
      <c r="L46" s="66">
        <v>2450</v>
      </c>
      <c r="M46" s="150">
        <v>23.928670178891331</v>
      </c>
      <c r="N46" s="78">
        <v>1013.04</v>
      </c>
      <c r="O46" s="110">
        <v>40698.501254199546</v>
      </c>
      <c r="P46" s="109">
        <v>48109.000616680722</v>
      </c>
      <c r="Q46" s="254">
        <v>25599.560361888554</v>
      </c>
      <c r="R46" s="258">
        <v>66298.061616088104</v>
      </c>
      <c r="S46" s="259">
        <v>73708.56097856928</v>
      </c>
      <c r="U46" s="7" t="s">
        <v>4573</v>
      </c>
    </row>
    <row r="47" spans="1:21" ht="16.5" thickBot="1">
      <c r="A47" s="1188" t="s">
        <v>4533</v>
      </c>
      <c r="B47" s="1192">
        <f t="shared" si="0"/>
        <v>90</v>
      </c>
      <c r="C47" s="1192" t="s">
        <v>3</v>
      </c>
      <c r="D47" s="1192">
        <f t="shared" si="1"/>
        <v>200</v>
      </c>
      <c r="E47" s="1192" t="s">
        <v>3</v>
      </c>
      <c r="F47" s="1190">
        <f t="shared" si="2"/>
        <v>2500</v>
      </c>
      <c r="G47" s="1192" t="s">
        <v>3</v>
      </c>
      <c r="H47" s="1189">
        <v>2</v>
      </c>
      <c r="I47" s="1191" t="s">
        <v>40</v>
      </c>
      <c r="J47" s="149">
        <v>90</v>
      </c>
      <c r="K47" s="66">
        <v>200</v>
      </c>
      <c r="L47" s="66">
        <v>2500</v>
      </c>
      <c r="M47" s="150">
        <v>24.592151613626761</v>
      </c>
      <c r="N47" s="78">
        <v>1037.1599999999999</v>
      </c>
      <c r="O47" s="110">
        <v>41979.578653896948</v>
      </c>
      <c r="P47" s="109">
        <v>49645.779442089792</v>
      </c>
      <c r="Q47" s="254">
        <v>25990.236678102072</v>
      </c>
      <c r="R47" s="258">
        <v>67969.815331999023</v>
      </c>
      <c r="S47" s="259">
        <v>75636.016120191867</v>
      </c>
      <c r="U47" s="7" t="s">
        <v>4574</v>
      </c>
    </row>
    <row r="48" spans="1:21" ht="16.5" thickBot="1">
      <c r="A48" s="1188" t="s">
        <v>4533</v>
      </c>
      <c r="B48" s="1192">
        <f t="shared" si="0"/>
        <v>90</v>
      </c>
      <c r="C48" s="1192" t="s">
        <v>3</v>
      </c>
      <c r="D48" s="1192">
        <f t="shared" si="1"/>
        <v>200</v>
      </c>
      <c r="E48" s="1192" t="s">
        <v>3</v>
      </c>
      <c r="F48" s="1190">
        <f t="shared" si="2"/>
        <v>2550</v>
      </c>
      <c r="G48" s="1192" t="s">
        <v>3</v>
      </c>
      <c r="H48" s="1189">
        <v>2</v>
      </c>
      <c r="I48" s="1191" t="s">
        <v>40</v>
      </c>
      <c r="J48" s="149">
        <v>90</v>
      </c>
      <c r="K48" s="66">
        <v>200</v>
      </c>
      <c r="L48" s="66">
        <v>2550</v>
      </c>
      <c r="M48" s="150">
        <v>25.057586248362192</v>
      </c>
      <c r="N48" s="78">
        <v>1061.28</v>
      </c>
      <c r="O48" s="110">
        <v>43033.763823205103</v>
      </c>
      <c r="P48" s="109">
        <v>50467.108237916727</v>
      </c>
      <c r="Q48" s="254">
        <v>26632.247132099365</v>
      </c>
      <c r="R48" s="258">
        <v>69666.01095530446</v>
      </c>
      <c r="S48" s="259">
        <v>77099.355370016099</v>
      </c>
      <c r="U48" s="7" t="s">
        <v>4575</v>
      </c>
    </row>
    <row r="49" spans="1:21" ht="16.5" thickBot="1">
      <c r="A49" s="1188" t="s">
        <v>4533</v>
      </c>
      <c r="B49" s="1189">
        <f t="shared" si="0"/>
        <v>90</v>
      </c>
      <c r="C49" s="1189" t="s">
        <v>3</v>
      </c>
      <c r="D49" s="1189">
        <f t="shared" si="1"/>
        <v>200</v>
      </c>
      <c r="E49" s="1189" t="s">
        <v>3</v>
      </c>
      <c r="F49" s="1190">
        <f t="shared" si="2"/>
        <v>2600</v>
      </c>
      <c r="G49" s="1189" t="s">
        <v>3</v>
      </c>
      <c r="H49" s="1189">
        <v>2</v>
      </c>
      <c r="I49" s="1191" t="s">
        <v>40</v>
      </c>
      <c r="J49" s="149">
        <v>90</v>
      </c>
      <c r="K49" s="66">
        <v>200</v>
      </c>
      <c r="L49" s="66">
        <v>2600</v>
      </c>
      <c r="M49" s="150">
        <v>25.523020883097619</v>
      </c>
      <c r="N49" s="78">
        <v>1085.3999999999999</v>
      </c>
      <c r="O49" s="110">
        <v>43698.098113458829</v>
      </c>
      <c r="P49" s="109">
        <v>51273.134310259935</v>
      </c>
      <c r="Q49" s="254">
        <v>27022.923448312882</v>
      </c>
      <c r="R49" s="258">
        <v>70721.021561771719</v>
      </c>
      <c r="S49" s="259">
        <v>78296.057758572817</v>
      </c>
      <c r="U49" s="7" t="s">
        <v>4576</v>
      </c>
    </row>
    <row r="50" spans="1:21" ht="16.5" thickBot="1">
      <c r="A50" s="1188" t="s">
        <v>4533</v>
      </c>
      <c r="B50" s="1192">
        <f t="shared" si="0"/>
        <v>90</v>
      </c>
      <c r="C50" s="1192" t="s">
        <v>3</v>
      </c>
      <c r="D50" s="1192">
        <f t="shared" si="1"/>
        <v>200</v>
      </c>
      <c r="E50" s="1192" t="s">
        <v>3</v>
      </c>
      <c r="F50" s="1190">
        <f t="shared" si="2"/>
        <v>2650</v>
      </c>
      <c r="G50" s="1192" t="s">
        <v>3</v>
      </c>
      <c r="H50" s="1189">
        <v>2</v>
      </c>
      <c r="I50" s="1191" t="s">
        <v>40</v>
      </c>
      <c r="J50" s="149">
        <v>90</v>
      </c>
      <c r="K50" s="66">
        <v>200</v>
      </c>
      <c r="L50" s="66">
        <v>2650</v>
      </c>
      <c r="M50" s="150">
        <v>25.988455517833046</v>
      </c>
      <c r="N50" s="78">
        <v>1109.5199999999998</v>
      </c>
      <c r="O50" s="110">
        <v>44362.432403712555</v>
      </c>
      <c r="P50" s="109">
        <v>52079.160382603142</v>
      </c>
      <c r="Q50" s="254">
        <v>27664.933902310175</v>
      </c>
      <c r="R50" s="258">
        <v>72027.366306022726</v>
      </c>
      <c r="S50" s="259">
        <v>79744.094284913313</v>
      </c>
      <c r="U50" s="7" t="s">
        <v>4577</v>
      </c>
    </row>
    <row r="51" spans="1:21" ht="16.5" thickBot="1">
      <c r="A51" s="1188" t="s">
        <v>4533</v>
      </c>
      <c r="B51" s="1192">
        <f t="shared" si="0"/>
        <v>90</v>
      </c>
      <c r="C51" s="1192" t="s">
        <v>3</v>
      </c>
      <c r="D51" s="1192">
        <f t="shared" si="1"/>
        <v>200</v>
      </c>
      <c r="E51" s="1192" t="s">
        <v>3</v>
      </c>
      <c r="F51" s="1190">
        <f t="shared" si="2"/>
        <v>2700</v>
      </c>
      <c r="G51" s="1192" t="s">
        <v>3</v>
      </c>
      <c r="H51" s="1189">
        <v>2</v>
      </c>
      <c r="I51" s="1191" t="s">
        <v>40</v>
      </c>
      <c r="J51" s="149">
        <v>90</v>
      </c>
      <c r="K51" s="66">
        <v>200</v>
      </c>
      <c r="L51" s="66">
        <v>2700</v>
      </c>
      <c r="M51" s="150">
        <v>26.453890152568473</v>
      </c>
      <c r="N51" s="78">
        <v>1133.6400000000001</v>
      </c>
      <c r="O51" s="110">
        <v>45026.766846995044</v>
      </c>
      <c r="P51" s="109">
        <v>52885.186454946335</v>
      </c>
      <c r="Q51" s="254">
        <v>28055.610371552459</v>
      </c>
      <c r="R51" s="258">
        <v>73082.37721854751</v>
      </c>
      <c r="S51" s="259">
        <v>80940.796826498787</v>
      </c>
      <c r="U51" s="7" t="s">
        <v>4578</v>
      </c>
    </row>
    <row r="52" spans="1:21" ht="16.5" thickBot="1">
      <c r="A52" s="1188" t="s">
        <v>4533</v>
      </c>
      <c r="B52" s="1192">
        <f t="shared" si="0"/>
        <v>90</v>
      </c>
      <c r="C52" s="1192" t="s">
        <v>3</v>
      </c>
      <c r="D52" s="1192">
        <f t="shared" si="1"/>
        <v>200</v>
      </c>
      <c r="E52" s="1192" t="s">
        <v>3</v>
      </c>
      <c r="F52" s="1190">
        <f t="shared" si="2"/>
        <v>2750</v>
      </c>
      <c r="G52" s="1192" t="s">
        <v>3</v>
      </c>
      <c r="H52" s="1189">
        <v>2</v>
      </c>
      <c r="I52" s="1191" t="s">
        <v>40</v>
      </c>
      <c r="J52" s="149">
        <v>90</v>
      </c>
      <c r="K52" s="66">
        <v>200</v>
      </c>
      <c r="L52" s="66">
        <v>2750</v>
      </c>
      <c r="M52" s="150">
        <v>26.9193247873039</v>
      </c>
      <c r="N52" s="78">
        <v>1157.76</v>
      </c>
      <c r="O52" s="110">
        <v>45691.101137248763</v>
      </c>
      <c r="P52" s="109">
        <v>53691.21237426078</v>
      </c>
      <c r="Q52" s="254">
        <v>28446.286687765976</v>
      </c>
      <c r="R52" s="258">
        <v>74137.387825014739</v>
      </c>
      <c r="S52" s="259">
        <v>82137.499062026764</v>
      </c>
      <c r="U52" s="7" t="s">
        <v>4579</v>
      </c>
    </row>
    <row r="53" spans="1:21" ht="16.5" thickBot="1">
      <c r="A53" s="1188" t="s">
        <v>4533</v>
      </c>
      <c r="B53" s="1192">
        <f t="shared" si="0"/>
        <v>90</v>
      </c>
      <c r="C53" s="1192" t="s">
        <v>3</v>
      </c>
      <c r="D53" s="1192">
        <f t="shared" si="1"/>
        <v>200</v>
      </c>
      <c r="E53" s="1192" t="s">
        <v>3</v>
      </c>
      <c r="F53" s="1190">
        <f t="shared" si="2"/>
        <v>2800</v>
      </c>
      <c r="G53" s="1192" t="s">
        <v>3</v>
      </c>
      <c r="H53" s="1189">
        <v>2</v>
      </c>
      <c r="I53" s="1191" t="s">
        <v>40</v>
      </c>
      <c r="J53" s="149">
        <v>90</v>
      </c>
      <c r="K53" s="66">
        <v>200</v>
      </c>
      <c r="L53" s="66">
        <v>2800</v>
      </c>
      <c r="M53" s="150">
        <v>27.38475942203933</v>
      </c>
      <c r="N53" s="78">
        <v>1181.8800000000001</v>
      </c>
      <c r="O53" s="110">
        <v>46355.435427502496</v>
      </c>
      <c r="P53" s="109">
        <v>54497.238446603988</v>
      </c>
      <c r="Q53" s="254">
        <v>29088.297141763269</v>
      </c>
      <c r="R53" s="258">
        <v>75443.732569265761</v>
      </c>
      <c r="S53" s="259">
        <v>83585.53558836726</v>
      </c>
      <c r="U53" s="7" t="s">
        <v>4580</v>
      </c>
    </row>
    <row r="54" spans="1:21" ht="16.5" thickBot="1">
      <c r="A54" s="1188" t="s">
        <v>4533</v>
      </c>
      <c r="B54" s="1192">
        <f t="shared" si="0"/>
        <v>90</v>
      </c>
      <c r="C54" s="1192" t="s">
        <v>3</v>
      </c>
      <c r="D54" s="1192">
        <f t="shared" si="1"/>
        <v>200</v>
      </c>
      <c r="E54" s="1192" t="s">
        <v>3</v>
      </c>
      <c r="F54" s="1190">
        <f t="shared" si="2"/>
        <v>2850</v>
      </c>
      <c r="G54" s="1192" t="s">
        <v>3</v>
      </c>
      <c r="H54" s="1189">
        <v>2</v>
      </c>
      <c r="I54" s="1191" t="s">
        <v>40</v>
      </c>
      <c r="J54" s="149">
        <v>90</v>
      </c>
      <c r="K54" s="66">
        <v>200</v>
      </c>
      <c r="L54" s="66">
        <v>2850</v>
      </c>
      <c r="M54" s="150">
        <v>27.850194056774754</v>
      </c>
      <c r="N54" s="78">
        <v>1206</v>
      </c>
      <c r="O54" s="110">
        <v>47019.769717756222</v>
      </c>
      <c r="P54" s="109">
        <v>55303.264518947195</v>
      </c>
      <c r="Q54" s="254">
        <v>29478.973457976786</v>
      </c>
      <c r="R54" s="258">
        <v>76498.743175733005</v>
      </c>
      <c r="S54" s="259">
        <v>84782.237976923978</v>
      </c>
      <c r="U54" s="7" t="s">
        <v>4581</v>
      </c>
    </row>
    <row r="55" spans="1:21" ht="16.5" thickBot="1">
      <c r="A55" s="1188" t="s">
        <v>4533</v>
      </c>
      <c r="B55" s="1192">
        <f t="shared" si="0"/>
        <v>90</v>
      </c>
      <c r="C55" s="1192" t="s">
        <v>3</v>
      </c>
      <c r="D55" s="1192">
        <f t="shared" si="1"/>
        <v>200</v>
      </c>
      <c r="E55" s="1192" t="s">
        <v>3</v>
      </c>
      <c r="F55" s="1190">
        <f t="shared" si="2"/>
        <v>2900</v>
      </c>
      <c r="G55" s="1192" t="s">
        <v>3</v>
      </c>
      <c r="H55" s="1189">
        <v>2</v>
      </c>
      <c r="I55" s="1191" t="s">
        <v>40</v>
      </c>
      <c r="J55" s="149">
        <v>90</v>
      </c>
      <c r="K55" s="66">
        <v>200</v>
      </c>
      <c r="L55" s="66">
        <v>2900</v>
      </c>
      <c r="M55" s="150">
        <v>28.315628691510184</v>
      </c>
      <c r="N55" s="78">
        <v>1230.1199999999999</v>
      </c>
      <c r="O55" s="110">
        <v>47684.104008009941</v>
      </c>
      <c r="P55" s="109">
        <v>56109.290438261625</v>
      </c>
      <c r="Q55" s="254">
        <v>30120.983911974079</v>
      </c>
      <c r="R55" s="258">
        <v>77805.087919984013</v>
      </c>
      <c r="S55" s="259">
        <v>86230.274350235704</v>
      </c>
      <c r="U55" s="7" t="s">
        <v>4582</v>
      </c>
    </row>
    <row r="56" spans="1:21" ht="16.5" thickBot="1">
      <c r="A56" s="1188" t="s">
        <v>4533</v>
      </c>
      <c r="B56" s="1192">
        <f t="shared" si="0"/>
        <v>90</v>
      </c>
      <c r="C56" s="1192" t="s">
        <v>3</v>
      </c>
      <c r="D56" s="1192">
        <f t="shared" si="1"/>
        <v>200</v>
      </c>
      <c r="E56" s="1192" t="s">
        <v>3</v>
      </c>
      <c r="F56" s="1190">
        <f t="shared" si="2"/>
        <v>2950</v>
      </c>
      <c r="G56" s="1192" t="s">
        <v>3</v>
      </c>
      <c r="H56" s="1189">
        <v>2</v>
      </c>
      <c r="I56" s="1191" t="s">
        <v>40</v>
      </c>
      <c r="J56" s="149">
        <v>90</v>
      </c>
      <c r="K56" s="66">
        <v>200</v>
      </c>
      <c r="L56" s="66">
        <v>2950</v>
      </c>
      <c r="M56" s="150">
        <v>28.781063326245615</v>
      </c>
      <c r="N56" s="78">
        <v>1254.24</v>
      </c>
      <c r="O56" s="110">
        <v>48348.438451292437</v>
      </c>
      <c r="P56" s="109">
        <v>56915.316510604833</v>
      </c>
      <c r="Q56" s="254">
        <v>30511.660381216363</v>
      </c>
      <c r="R56" s="258">
        <v>78860.098832508796</v>
      </c>
      <c r="S56" s="259">
        <v>87426.976891821192</v>
      </c>
      <c r="U56" s="7" t="s">
        <v>4583</v>
      </c>
    </row>
    <row r="57" spans="1:21" ht="16.5" thickBot="1">
      <c r="A57" s="1193" t="s">
        <v>4533</v>
      </c>
      <c r="B57" s="1194">
        <f t="shared" si="0"/>
        <v>90</v>
      </c>
      <c r="C57" s="1194" t="s">
        <v>3</v>
      </c>
      <c r="D57" s="1194">
        <f t="shared" si="1"/>
        <v>200</v>
      </c>
      <c r="E57" s="1194" t="s">
        <v>3</v>
      </c>
      <c r="F57" s="1195">
        <f t="shared" si="2"/>
        <v>3000</v>
      </c>
      <c r="G57" s="1194" t="s">
        <v>3</v>
      </c>
      <c r="H57" s="1196">
        <v>2</v>
      </c>
      <c r="I57" s="1197" t="s">
        <v>40</v>
      </c>
      <c r="J57" s="265">
        <v>90</v>
      </c>
      <c r="K57" s="266">
        <v>200</v>
      </c>
      <c r="L57" s="266">
        <v>3000</v>
      </c>
      <c r="M57" s="276">
        <v>29.40256996098104</v>
      </c>
      <c r="N57" s="250">
        <v>1278.3599999999999</v>
      </c>
      <c r="O57" s="252">
        <v>49238.031083810158</v>
      </c>
      <c r="P57" s="277">
        <v>57946.600925212035</v>
      </c>
      <c r="Q57" s="267">
        <v>31153.670835213656</v>
      </c>
      <c r="R57" s="1198">
        <v>80391.701919023821</v>
      </c>
      <c r="S57" s="269">
        <v>89100.27176042569</v>
      </c>
      <c r="U57" s="7" t="s">
        <v>4584</v>
      </c>
    </row>
    <row r="58" spans="1:21" ht="19.5" thickBot="1">
      <c r="A58" s="2968" t="s">
        <v>45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69"/>
      <c r="R58" s="2969"/>
      <c r="S58" s="2970"/>
      <c r="U58" s="7"/>
    </row>
    <row r="59" spans="1:21" ht="16.5" thickBot="1">
      <c r="A59" s="2974" t="s">
        <v>4532</v>
      </c>
      <c r="B59" s="2975"/>
      <c r="C59" s="2975"/>
      <c r="D59" s="2975"/>
      <c r="E59" s="2975"/>
      <c r="F59" s="2975"/>
      <c r="G59" s="2975"/>
      <c r="H59" s="2975"/>
      <c r="I59" s="2975"/>
      <c r="J59" s="2975"/>
      <c r="K59" s="2975"/>
      <c r="L59" s="2975"/>
      <c r="M59" s="2975"/>
      <c r="N59" s="2975"/>
      <c r="O59" s="2975"/>
      <c r="P59" s="2975"/>
      <c r="Q59" s="2975"/>
      <c r="R59" s="2975"/>
      <c r="S59" s="2976"/>
      <c r="U59" s="7"/>
    </row>
    <row r="60" spans="1:21" ht="16.5" thickBot="1">
      <c r="A60" s="1188" t="s">
        <v>4533</v>
      </c>
      <c r="B60" s="1189">
        <f>J60</f>
        <v>90</v>
      </c>
      <c r="C60" s="1189" t="s">
        <v>3</v>
      </c>
      <c r="D60" s="1189">
        <f>K60</f>
        <v>260</v>
      </c>
      <c r="E60" s="1189" t="s">
        <v>3</v>
      </c>
      <c r="F60" s="1190">
        <f>L60</f>
        <v>600</v>
      </c>
      <c r="G60" s="1189" t="s">
        <v>3</v>
      </c>
      <c r="H60" s="1189">
        <v>2</v>
      </c>
      <c r="I60" s="1191" t="s">
        <v>40</v>
      </c>
      <c r="J60" s="270">
        <v>90</v>
      </c>
      <c r="K60" s="271">
        <v>260</v>
      </c>
      <c r="L60" s="271">
        <v>600</v>
      </c>
      <c r="M60" s="278">
        <v>7.4931830317857697</v>
      </c>
      <c r="N60" s="246">
        <v>159.83999999999997</v>
      </c>
      <c r="O60" s="248">
        <v>15470.808596031762</v>
      </c>
      <c r="P60" s="279">
        <v>18786.074110163489</v>
      </c>
      <c r="Q60" s="272">
        <v>8214.2785134660462</v>
      </c>
      <c r="R60" s="1199">
        <v>23685.087109497807</v>
      </c>
      <c r="S60" s="274">
        <v>27000.352623629537</v>
      </c>
      <c r="U60" s="7" t="s">
        <v>4585</v>
      </c>
    </row>
    <row r="61" spans="1:21" ht="16.5" thickBot="1">
      <c r="A61" s="1188" t="s">
        <v>4533</v>
      </c>
      <c r="B61" s="1192">
        <f t="shared" ref="B61:B108" si="3">J61</f>
        <v>90</v>
      </c>
      <c r="C61" s="1192" t="s">
        <v>3</v>
      </c>
      <c r="D61" s="1192">
        <f t="shared" ref="D61:D108" si="4">K61</f>
        <v>260</v>
      </c>
      <c r="E61" s="1192" t="s">
        <v>3</v>
      </c>
      <c r="F61" s="1190">
        <f t="shared" ref="F61:F108" si="5">L61</f>
        <v>650</v>
      </c>
      <c r="G61" s="1192" t="s">
        <v>3</v>
      </c>
      <c r="H61" s="1189">
        <v>2</v>
      </c>
      <c r="I61" s="1191" t="s">
        <v>40</v>
      </c>
      <c r="J61" s="149">
        <v>90</v>
      </c>
      <c r="K61" s="66">
        <v>260</v>
      </c>
      <c r="L61" s="66">
        <v>650</v>
      </c>
      <c r="M61" s="150">
        <v>8.0184807613633033</v>
      </c>
      <c r="N61" s="78">
        <v>191.80799999999996</v>
      </c>
      <c r="O61" s="110">
        <v>16167.170582596029</v>
      </c>
      <c r="P61" s="109">
        <v>19646.50007216345</v>
      </c>
      <c r="Q61" s="254">
        <v>8684.7340809460093</v>
      </c>
      <c r="R61" s="258">
        <v>24851.904663542038</v>
      </c>
      <c r="S61" s="259">
        <v>28331.234153109457</v>
      </c>
      <c r="U61" s="7" t="s">
        <v>4586</v>
      </c>
    </row>
    <row r="62" spans="1:21" ht="16.5" thickBot="1">
      <c r="A62" s="1188" t="s">
        <v>4533</v>
      </c>
      <c r="B62" s="1192">
        <f t="shared" si="3"/>
        <v>90</v>
      </c>
      <c r="C62" s="1192" t="s">
        <v>3</v>
      </c>
      <c r="D62" s="1192">
        <f t="shared" si="4"/>
        <v>260</v>
      </c>
      <c r="E62" s="1192" t="s">
        <v>3</v>
      </c>
      <c r="F62" s="1190">
        <f t="shared" si="5"/>
        <v>700</v>
      </c>
      <c r="G62" s="1192" t="s">
        <v>3</v>
      </c>
      <c r="H62" s="1189">
        <v>2</v>
      </c>
      <c r="I62" s="1191" t="s">
        <v>40</v>
      </c>
      <c r="J62" s="149">
        <v>90</v>
      </c>
      <c r="K62" s="66">
        <v>260</v>
      </c>
      <c r="L62" s="66">
        <v>700</v>
      </c>
      <c r="M62" s="150">
        <v>8.5437784909408361</v>
      </c>
      <c r="N62" s="78">
        <v>223.77599999999995</v>
      </c>
      <c r="O62" s="110">
        <v>16863.532416131529</v>
      </c>
      <c r="P62" s="109">
        <v>20506.926034163407</v>
      </c>
      <c r="Q62" s="254">
        <v>9406.5237862097401</v>
      </c>
      <c r="R62" s="258">
        <v>26270.056202341271</v>
      </c>
      <c r="S62" s="259">
        <v>29913.449820373149</v>
      </c>
      <c r="U62" s="7" t="s">
        <v>4587</v>
      </c>
    </row>
    <row r="63" spans="1:21" ht="16.5" thickBot="1">
      <c r="A63" s="1188" t="s">
        <v>4533</v>
      </c>
      <c r="B63" s="1192">
        <f t="shared" si="3"/>
        <v>90</v>
      </c>
      <c r="C63" s="1192" t="s">
        <v>3</v>
      </c>
      <c r="D63" s="1192">
        <f t="shared" si="4"/>
        <v>260</v>
      </c>
      <c r="E63" s="1192" t="s">
        <v>3</v>
      </c>
      <c r="F63" s="1190">
        <f t="shared" si="5"/>
        <v>750</v>
      </c>
      <c r="G63" s="1192" t="s">
        <v>3</v>
      </c>
      <c r="H63" s="1189">
        <v>2</v>
      </c>
      <c r="I63" s="1191" t="s">
        <v>40</v>
      </c>
      <c r="J63" s="149">
        <v>90</v>
      </c>
      <c r="K63" s="66">
        <v>260</v>
      </c>
      <c r="L63" s="66">
        <v>750</v>
      </c>
      <c r="M63" s="150">
        <v>9.0690762205183688</v>
      </c>
      <c r="N63" s="78">
        <v>255.74399999999997</v>
      </c>
      <c r="O63" s="110">
        <v>17559.894249667032</v>
      </c>
      <c r="P63" s="109">
        <v>21367.351996163372</v>
      </c>
      <c r="Q63" s="254">
        <v>9876.9793536897032</v>
      </c>
      <c r="R63" s="258">
        <v>27436.873603356733</v>
      </c>
      <c r="S63" s="259">
        <v>31244.331349853077</v>
      </c>
      <c r="U63" s="7" t="s">
        <v>4588</v>
      </c>
    </row>
    <row r="64" spans="1:21" ht="16.5" thickBot="1">
      <c r="A64" s="1188" t="s">
        <v>4533</v>
      </c>
      <c r="B64" s="1192">
        <f t="shared" si="3"/>
        <v>90</v>
      </c>
      <c r="C64" s="1192" t="s">
        <v>3</v>
      </c>
      <c r="D64" s="1192">
        <f t="shared" si="4"/>
        <v>260</v>
      </c>
      <c r="E64" s="1192" t="s">
        <v>3</v>
      </c>
      <c r="F64" s="1190">
        <f t="shared" si="5"/>
        <v>800</v>
      </c>
      <c r="G64" s="1192" t="s">
        <v>3</v>
      </c>
      <c r="H64" s="1189">
        <v>2</v>
      </c>
      <c r="I64" s="1191" t="s">
        <v>40</v>
      </c>
      <c r="J64" s="149">
        <v>90</v>
      </c>
      <c r="K64" s="66">
        <v>260</v>
      </c>
      <c r="L64" s="66">
        <v>800</v>
      </c>
      <c r="M64" s="150">
        <v>9.5943739500959015</v>
      </c>
      <c r="N64" s="78">
        <v>287.71199999999999</v>
      </c>
      <c r="O64" s="110">
        <v>18648.369798606873</v>
      </c>
      <c r="P64" s="109">
        <v>22243.080834675831</v>
      </c>
      <c r="Q64" s="254">
        <v>10347.434921169664</v>
      </c>
      <c r="R64" s="258">
        <v>28995.804719776537</v>
      </c>
      <c r="S64" s="259">
        <v>32590.515755845496</v>
      </c>
      <c r="U64" s="7" t="s">
        <v>4589</v>
      </c>
    </row>
    <row r="65" spans="1:21" ht="16.5" thickBot="1">
      <c r="A65" s="1188" t="s">
        <v>4533</v>
      </c>
      <c r="B65" s="1192">
        <f t="shared" si="3"/>
        <v>90</v>
      </c>
      <c r="C65" s="1192" t="s">
        <v>3</v>
      </c>
      <c r="D65" s="1192">
        <f t="shared" si="4"/>
        <v>260</v>
      </c>
      <c r="E65" s="1192" t="s">
        <v>3</v>
      </c>
      <c r="F65" s="1190">
        <f t="shared" si="5"/>
        <v>850</v>
      </c>
      <c r="G65" s="1192" t="s">
        <v>3</v>
      </c>
      <c r="H65" s="1189">
        <v>2</v>
      </c>
      <c r="I65" s="1191" t="s">
        <v>40</v>
      </c>
      <c r="J65" s="149">
        <v>90</v>
      </c>
      <c r="K65" s="66">
        <v>260</v>
      </c>
      <c r="L65" s="66">
        <v>850</v>
      </c>
      <c r="M65" s="150">
        <v>10.119671679673434</v>
      </c>
      <c r="N65" s="78">
        <v>319.67999999999995</v>
      </c>
      <c r="O65" s="110">
        <v>19344.731785171138</v>
      </c>
      <c r="P65" s="109">
        <v>23103.506796675792</v>
      </c>
      <c r="Q65" s="254">
        <v>11069.224626433395</v>
      </c>
      <c r="R65" s="258">
        <v>30413.956411604533</v>
      </c>
      <c r="S65" s="259">
        <v>34172.731423109188</v>
      </c>
      <c r="U65" s="7" t="s">
        <v>4590</v>
      </c>
    </row>
    <row r="66" spans="1:21" ht="16.5" thickBot="1">
      <c r="A66" s="1188" t="s">
        <v>4533</v>
      </c>
      <c r="B66" s="1192">
        <f t="shared" si="3"/>
        <v>90</v>
      </c>
      <c r="C66" s="1192" t="s">
        <v>3</v>
      </c>
      <c r="D66" s="1192">
        <f t="shared" si="4"/>
        <v>260</v>
      </c>
      <c r="E66" s="1192" t="s">
        <v>3</v>
      </c>
      <c r="F66" s="1190">
        <f t="shared" si="5"/>
        <v>900</v>
      </c>
      <c r="G66" s="1192" t="s">
        <v>3</v>
      </c>
      <c r="H66" s="1189">
        <v>2</v>
      </c>
      <c r="I66" s="1191" t="s">
        <v>40</v>
      </c>
      <c r="J66" s="149">
        <v>90</v>
      </c>
      <c r="K66" s="66">
        <v>260</v>
      </c>
      <c r="L66" s="66">
        <v>900</v>
      </c>
      <c r="M66" s="150">
        <v>10.644969409250969</v>
      </c>
      <c r="N66" s="78">
        <v>351.64799999999997</v>
      </c>
      <c r="O66" s="110">
        <v>20041.09361870664</v>
      </c>
      <c r="P66" s="109">
        <v>23963.93275867575</v>
      </c>
      <c r="Q66" s="254">
        <v>11539.680193913358</v>
      </c>
      <c r="R66" s="258">
        <v>31580.773812619998</v>
      </c>
      <c r="S66" s="259">
        <v>35503.612952589108</v>
      </c>
      <c r="U66" s="7" t="s">
        <v>4591</v>
      </c>
    </row>
    <row r="67" spans="1:21" ht="16.5" thickBot="1">
      <c r="A67" s="1188" t="s">
        <v>4533</v>
      </c>
      <c r="B67" s="1192">
        <f t="shared" si="3"/>
        <v>90</v>
      </c>
      <c r="C67" s="1192" t="s">
        <v>3</v>
      </c>
      <c r="D67" s="1192">
        <f t="shared" si="4"/>
        <v>260</v>
      </c>
      <c r="E67" s="1192" t="s">
        <v>3</v>
      </c>
      <c r="F67" s="1190">
        <f t="shared" si="5"/>
        <v>950</v>
      </c>
      <c r="G67" s="1192" t="s">
        <v>3</v>
      </c>
      <c r="H67" s="1189">
        <v>2</v>
      </c>
      <c r="I67" s="1191" t="s">
        <v>40</v>
      </c>
      <c r="J67" s="149">
        <v>90</v>
      </c>
      <c r="K67" s="66">
        <v>260</v>
      </c>
      <c r="L67" s="66">
        <v>950</v>
      </c>
      <c r="M67" s="150">
        <v>11.170267138828502</v>
      </c>
      <c r="N67" s="78">
        <v>383.61599999999993</v>
      </c>
      <c r="O67" s="110">
        <v>20737.455452242139</v>
      </c>
      <c r="P67" s="109">
        <v>24824.358720675711</v>
      </c>
      <c r="Q67" s="254">
        <v>12261.469899177091</v>
      </c>
      <c r="R67" s="258">
        <v>32998.925351419231</v>
      </c>
      <c r="S67" s="259">
        <v>37085.8286198528</v>
      </c>
      <c r="U67" s="7" t="s">
        <v>4592</v>
      </c>
    </row>
    <row r="68" spans="1:21" ht="16.5" thickBot="1">
      <c r="A68" s="1188" t="s">
        <v>4533</v>
      </c>
      <c r="B68" s="1192">
        <f t="shared" si="3"/>
        <v>90</v>
      </c>
      <c r="C68" s="1192" t="s">
        <v>3</v>
      </c>
      <c r="D68" s="1192">
        <f t="shared" si="4"/>
        <v>260</v>
      </c>
      <c r="E68" s="1192" t="s">
        <v>3</v>
      </c>
      <c r="F68" s="1190">
        <f t="shared" si="5"/>
        <v>1000</v>
      </c>
      <c r="G68" s="1192" t="s">
        <v>3</v>
      </c>
      <c r="H68" s="1189">
        <v>2</v>
      </c>
      <c r="I68" s="1191" t="s">
        <v>40</v>
      </c>
      <c r="J68" s="149">
        <v>90</v>
      </c>
      <c r="K68" s="66">
        <v>260</v>
      </c>
      <c r="L68" s="66">
        <v>1000</v>
      </c>
      <c r="M68" s="150">
        <v>11.797011668406036</v>
      </c>
      <c r="N68" s="78">
        <v>415.58399999999995</v>
      </c>
      <c r="O68" s="110">
        <v>21484.267809064051</v>
      </c>
      <c r="P68" s="109">
        <v>25735.235205962086</v>
      </c>
      <c r="Q68" s="254">
        <v>12731.925466657052</v>
      </c>
      <c r="R68" s="258">
        <v>34216.193275721103</v>
      </c>
      <c r="S68" s="259">
        <v>38467.160672619138</v>
      </c>
      <c r="U68" s="7" t="s">
        <v>4593</v>
      </c>
    </row>
    <row r="69" spans="1:21" ht="16.5" thickBot="1">
      <c r="A69" s="1188" t="s">
        <v>4533</v>
      </c>
      <c r="B69" s="1192">
        <f t="shared" si="3"/>
        <v>90</v>
      </c>
      <c r="C69" s="1192" t="s">
        <v>3</v>
      </c>
      <c r="D69" s="1192">
        <f t="shared" si="4"/>
        <v>260</v>
      </c>
      <c r="E69" s="1192" t="s">
        <v>3</v>
      </c>
      <c r="F69" s="1190">
        <f t="shared" si="5"/>
        <v>1050</v>
      </c>
      <c r="G69" s="1192" t="s">
        <v>3</v>
      </c>
      <c r="H69" s="1189">
        <v>2</v>
      </c>
      <c r="I69" s="1191" t="s">
        <v>40</v>
      </c>
      <c r="J69" s="149">
        <v>90</v>
      </c>
      <c r="K69" s="66">
        <v>260</v>
      </c>
      <c r="L69" s="66">
        <v>1050</v>
      </c>
      <c r="M69" s="150">
        <v>12.322309397983569</v>
      </c>
      <c r="N69" s="78">
        <v>447.55199999999991</v>
      </c>
      <c r="O69" s="110">
        <v>22180.62979562832</v>
      </c>
      <c r="P69" s="109">
        <v>26595.66116796204</v>
      </c>
      <c r="Q69" s="254">
        <v>13453.71501889202</v>
      </c>
      <c r="R69" s="258">
        <v>35634.344814520344</v>
      </c>
      <c r="S69" s="259">
        <v>40049.376186854061</v>
      </c>
      <c r="U69" s="7" t="s">
        <v>4594</v>
      </c>
    </row>
    <row r="70" spans="1:21" ht="16.5" thickBot="1">
      <c r="A70" s="1188" t="s">
        <v>4533</v>
      </c>
      <c r="B70" s="1189">
        <f t="shared" si="3"/>
        <v>90</v>
      </c>
      <c r="C70" s="1189" t="s">
        <v>3</v>
      </c>
      <c r="D70" s="1189">
        <f t="shared" si="4"/>
        <v>260</v>
      </c>
      <c r="E70" s="1189" t="s">
        <v>3</v>
      </c>
      <c r="F70" s="1190">
        <f t="shared" si="5"/>
        <v>1100</v>
      </c>
      <c r="G70" s="1189" t="s">
        <v>3</v>
      </c>
      <c r="H70" s="1189">
        <v>2</v>
      </c>
      <c r="I70" s="1191" t="s">
        <v>40</v>
      </c>
      <c r="J70" s="149">
        <v>90</v>
      </c>
      <c r="K70" s="66">
        <v>260</v>
      </c>
      <c r="L70" s="66">
        <v>1100</v>
      </c>
      <c r="M70" s="150">
        <v>12.847607127561099</v>
      </c>
      <c r="N70" s="78">
        <v>479.51999999999992</v>
      </c>
      <c r="O70" s="110">
        <v>22876.991629163818</v>
      </c>
      <c r="P70" s="109">
        <v>27456.087129962005</v>
      </c>
      <c r="Q70" s="254">
        <v>13924.170586371982</v>
      </c>
      <c r="R70" s="258">
        <v>36801.162215535798</v>
      </c>
      <c r="S70" s="259">
        <v>41380.257716333988</v>
      </c>
      <c r="U70" s="7" t="s">
        <v>4595</v>
      </c>
    </row>
    <row r="71" spans="1:21" ht="16.5" thickBot="1">
      <c r="A71" s="1188" t="s">
        <v>4533</v>
      </c>
      <c r="B71" s="1192">
        <f t="shared" si="3"/>
        <v>90</v>
      </c>
      <c r="C71" s="1192" t="s">
        <v>3</v>
      </c>
      <c r="D71" s="1192">
        <f t="shared" si="4"/>
        <v>260</v>
      </c>
      <c r="E71" s="1192" t="s">
        <v>3</v>
      </c>
      <c r="F71" s="1190">
        <f t="shared" si="5"/>
        <v>1150</v>
      </c>
      <c r="G71" s="1192" t="s">
        <v>3</v>
      </c>
      <c r="H71" s="1189">
        <v>2</v>
      </c>
      <c r="I71" s="1191" t="s">
        <v>40</v>
      </c>
      <c r="J71" s="149">
        <v>90</v>
      </c>
      <c r="K71" s="66">
        <v>260</v>
      </c>
      <c r="L71" s="66">
        <v>1150</v>
      </c>
      <c r="M71" s="150">
        <v>13.372904857138632</v>
      </c>
      <c r="N71" s="78">
        <v>511.48799999999994</v>
      </c>
      <c r="O71" s="110">
        <v>23573.353462699321</v>
      </c>
      <c r="P71" s="109">
        <v>28316.513091961962</v>
      </c>
      <c r="Q71" s="254">
        <v>14394.626153851941</v>
      </c>
      <c r="R71" s="258">
        <v>37967.97961655126</v>
      </c>
      <c r="S71" s="259">
        <v>42711.139245813902</v>
      </c>
      <c r="U71" s="7" t="s">
        <v>4596</v>
      </c>
    </row>
    <row r="72" spans="1:21" ht="16.5" thickBot="1">
      <c r="A72" s="1188" t="s">
        <v>4533</v>
      </c>
      <c r="B72" s="1192">
        <f t="shared" si="3"/>
        <v>90</v>
      </c>
      <c r="C72" s="1192" t="s">
        <v>3</v>
      </c>
      <c r="D72" s="1192">
        <f t="shared" si="4"/>
        <v>260</v>
      </c>
      <c r="E72" s="1192" t="s">
        <v>3</v>
      </c>
      <c r="F72" s="1190">
        <f t="shared" si="5"/>
        <v>1200</v>
      </c>
      <c r="G72" s="1192" t="s">
        <v>3</v>
      </c>
      <c r="H72" s="1189">
        <v>2</v>
      </c>
      <c r="I72" s="1191" t="s">
        <v>40</v>
      </c>
      <c r="J72" s="149">
        <v>90</v>
      </c>
      <c r="K72" s="66">
        <v>260</v>
      </c>
      <c r="L72" s="66">
        <v>1200</v>
      </c>
      <c r="M72" s="150">
        <v>13.898202586716163</v>
      </c>
      <c r="N72" s="78">
        <v>543.4559999999999</v>
      </c>
      <c r="O72" s="110">
        <v>24269.715449263585</v>
      </c>
      <c r="P72" s="109">
        <v>29176.939053961923</v>
      </c>
      <c r="Q72" s="254">
        <v>15116.415859115676</v>
      </c>
      <c r="R72" s="258">
        <v>39386.131308379263</v>
      </c>
      <c r="S72" s="259">
        <v>44293.354913077601</v>
      </c>
      <c r="U72" s="7" t="s">
        <v>4597</v>
      </c>
    </row>
    <row r="73" spans="1:21" ht="16.5" thickBot="1">
      <c r="A73" s="1188" t="s">
        <v>4533</v>
      </c>
      <c r="B73" s="1192">
        <f t="shared" si="3"/>
        <v>90</v>
      </c>
      <c r="C73" s="1192" t="s">
        <v>3</v>
      </c>
      <c r="D73" s="1192">
        <f t="shared" si="4"/>
        <v>260</v>
      </c>
      <c r="E73" s="1192" t="s">
        <v>3</v>
      </c>
      <c r="F73" s="1190">
        <f t="shared" si="5"/>
        <v>1250</v>
      </c>
      <c r="G73" s="1192" t="s">
        <v>3</v>
      </c>
      <c r="H73" s="1189">
        <v>2</v>
      </c>
      <c r="I73" s="1191" t="s">
        <v>40</v>
      </c>
      <c r="J73" s="149">
        <v>90</v>
      </c>
      <c r="K73" s="66">
        <v>260</v>
      </c>
      <c r="L73" s="66">
        <v>1250</v>
      </c>
      <c r="M73" s="150">
        <v>14.423500316293699</v>
      </c>
      <c r="N73" s="78">
        <v>575.42399999999998</v>
      </c>
      <c r="O73" s="110">
        <v>24966.077282799088</v>
      </c>
      <c r="P73" s="109">
        <v>30037.365015961885</v>
      </c>
      <c r="Q73" s="254">
        <v>15586.871426595639</v>
      </c>
      <c r="R73" s="258">
        <v>40552.948709394725</v>
      </c>
      <c r="S73" s="259">
        <v>45624.236442557522</v>
      </c>
      <c r="U73" s="7" t="s">
        <v>4598</v>
      </c>
    </row>
    <row r="74" spans="1:21" ht="16.5" thickBot="1">
      <c r="A74" s="1188" t="s">
        <v>4533</v>
      </c>
      <c r="B74" s="1192">
        <f t="shared" si="3"/>
        <v>90</v>
      </c>
      <c r="C74" s="1192" t="s">
        <v>3</v>
      </c>
      <c r="D74" s="1192">
        <f t="shared" si="4"/>
        <v>260</v>
      </c>
      <c r="E74" s="1192" t="s">
        <v>3</v>
      </c>
      <c r="F74" s="1190">
        <f t="shared" si="5"/>
        <v>1300</v>
      </c>
      <c r="G74" s="1192" t="s">
        <v>3</v>
      </c>
      <c r="H74" s="1189">
        <v>2</v>
      </c>
      <c r="I74" s="1191" t="s">
        <v>40</v>
      </c>
      <c r="J74" s="149">
        <v>90</v>
      </c>
      <c r="K74" s="66">
        <v>260</v>
      </c>
      <c r="L74" s="66">
        <v>1300</v>
      </c>
      <c r="M74" s="150">
        <v>14.948798045871232</v>
      </c>
      <c r="N74" s="78">
        <v>607.39199999999983</v>
      </c>
      <c r="O74" s="110">
        <v>25662.43911633459</v>
      </c>
      <c r="P74" s="109">
        <v>30897.790977961842</v>
      </c>
      <c r="Q74" s="254">
        <v>16308.66113185937</v>
      </c>
      <c r="R74" s="258">
        <v>41971.100248193958</v>
      </c>
      <c r="S74" s="259">
        <v>47206.452109821214</v>
      </c>
      <c r="U74" s="7" t="s">
        <v>4599</v>
      </c>
    </row>
    <row r="75" spans="1:21" ht="16.5" thickBot="1">
      <c r="A75" s="1188" t="s">
        <v>4533</v>
      </c>
      <c r="B75" s="1192">
        <f t="shared" si="3"/>
        <v>90</v>
      </c>
      <c r="C75" s="1192" t="s">
        <v>3</v>
      </c>
      <c r="D75" s="1192">
        <f t="shared" si="4"/>
        <v>260</v>
      </c>
      <c r="E75" s="1192" t="s">
        <v>3</v>
      </c>
      <c r="F75" s="1190">
        <f t="shared" si="5"/>
        <v>1350</v>
      </c>
      <c r="G75" s="1192" t="s">
        <v>3</v>
      </c>
      <c r="H75" s="1189">
        <v>2</v>
      </c>
      <c r="I75" s="1191" t="s">
        <v>40</v>
      </c>
      <c r="J75" s="149">
        <v>90</v>
      </c>
      <c r="K75" s="66">
        <v>260</v>
      </c>
      <c r="L75" s="66">
        <v>1350</v>
      </c>
      <c r="M75" s="150">
        <v>15.474095775448761</v>
      </c>
      <c r="N75" s="78">
        <v>639.3599999999999</v>
      </c>
      <c r="O75" s="110">
        <v>26358.800949870089</v>
      </c>
      <c r="P75" s="109">
        <v>31758.216939961807</v>
      </c>
      <c r="Q75" s="254">
        <v>16779.116699339331</v>
      </c>
      <c r="R75" s="258">
        <v>43137.917649209419</v>
      </c>
      <c r="S75" s="259">
        <v>48537.333639301141</v>
      </c>
      <c r="U75" s="7" t="s">
        <v>4600</v>
      </c>
    </row>
    <row r="76" spans="1:21" ht="16.5" thickBot="1">
      <c r="A76" s="1188" t="s">
        <v>4533</v>
      </c>
      <c r="B76" s="1192">
        <f t="shared" si="3"/>
        <v>90</v>
      </c>
      <c r="C76" s="1192" t="s">
        <v>3</v>
      </c>
      <c r="D76" s="1192">
        <f t="shared" si="4"/>
        <v>260</v>
      </c>
      <c r="E76" s="1192" t="s">
        <v>3</v>
      </c>
      <c r="F76" s="1190">
        <f t="shared" si="5"/>
        <v>1400</v>
      </c>
      <c r="G76" s="1192" t="s">
        <v>3</v>
      </c>
      <c r="H76" s="1189">
        <v>2</v>
      </c>
      <c r="I76" s="1191" t="s">
        <v>40</v>
      </c>
      <c r="J76" s="149">
        <v>90</v>
      </c>
      <c r="K76" s="66">
        <v>260</v>
      </c>
      <c r="L76" s="66">
        <v>1400</v>
      </c>
      <c r="M76" s="150">
        <v>15.999393505026298</v>
      </c>
      <c r="N76" s="78">
        <v>671.32799999999997</v>
      </c>
      <c r="O76" s="110">
        <v>27055.162936434361</v>
      </c>
      <c r="P76" s="109">
        <v>32618.642901961764</v>
      </c>
      <c r="Q76" s="254">
        <v>17500.906404603062</v>
      </c>
      <c r="R76" s="258">
        <v>44556.069341037422</v>
      </c>
      <c r="S76" s="259">
        <v>50119.549306564826</v>
      </c>
      <c r="U76" s="7" t="s">
        <v>4601</v>
      </c>
    </row>
    <row r="77" spans="1:21" ht="16.5" thickBot="1">
      <c r="A77" s="1188" t="s">
        <v>4533</v>
      </c>
      <c r="B77" s="1192">
        <f t="shared" si="3"/>
        <v>90</v>
      </c>
      <c r="C77" s="1192" t="s">
        <v>3</v>
      </c>
      <c r="D77" s="1192">
        <f t="shared" si="4"/>
        <v>260</v>
      </c>
      <c r="E77" s="1192" t="s">
        <v>3</v>
      </c>
      <c r="F77" s="1190">
        <f t="shared" si="5"/>
        <v>1450</v>
      </c>
      <c r="G77" s="1192" t="s">
        <v>3</v>
      </c>
      <c r="H77" s="1189">
        <v>2</v>
      </c>
      <c r="I77" s="1191" t="s">
        <v>40</v>
      </c>
      <c r="J77" s="149">
        <v>90</v>
      </c>
      <c r="K77" s="66">
        <v>260</v>
      </c>
      <c r="L77" s="66">
        <v>1450</v>
      </c>
      <c r="M77" s="150">
        <v>16.524691234603832</v>
      </c>
      <c r="N77" s="78">
        <v>703.29599999999994</v>
      </c>
      <c r="O77" s="110">
        <v>27751.524769969859</v>
      </c>
      <c r="P77" s="109">
        <v>33479.068863961729</v>
      </c>
      <c r="Q77" s="254">
        <v>17971.361972083025</v>
      </c>
      <c r="R77" s="258">
        <v>45722.886742052884</v>
      </c>
      <c r="S77" s="259">
        <v>51450.430836044754</v>
      </c>
      <c r="U77" s="7" t="s">
        <v>4602</v>
      </c>
    </row>
    <row r="78" spans="1:21" ht="16.5" thickBot="1">
      <c r="A78" s="1188" t="s">
        <v>4533</v>
      </c>
      <c r="B78" s="1192">
        <f t="shared" si="3"/>
        <v>90</v>
      </c>
      <c r="C78" s="1192" t="s">
        <v>3</v>
      </c>
      <c r="D78" s="1192">
        <f t="shared" si="4"/>
        <v>260</v>
      </c>
      <c r="E78" s="1192" t="s">
        <v>3</v>
      </c>
      <c r="F78" s="1190">
        <f t="shared" si="5"/>
        <v>1500</v>
      </c>
      <c r="G78" s="1192" t="s">
        <v>3</v>
      </c>
      <c r="H78" s="1189">
        <v>2</v>
      </c>
      <c r="I78" s="1191" t="s">
        <v>40</v>
      </c>
      <c r="J78" s="149">
        <v>90</v>
      </c>
      <c r="K78" s="66">
        <v>260</v>
      </c>
      <c r="L78" s="66">
        <v>1500</v>
      </c>
      <c r="M78" s="150">
        <v>17.308184564181364</v>
      </c>
      <c r="N78" s="78">
        <v>735.26399999999978</v>
      </c>
      <c r="O78" s="110">
        <v>29135.808747615454</v>
      </c>
      <c r="P78" s="109">
        <v>35176.327425069736</v>
      </c>
      <c r="Q78" s="254">
        <v>18693.151677346756</v>
      </c>
      <c r="R78" s="258">
        <v>47828.960424962206</v>
      </c>
      <c r="S78" s="259">
        <v>53869.479102416488</v>
      </c>
      <c r="U78" s="7" t="s">
        <v>4603</v>
      </c>
    </row>
    <row r="79" spans="1:21" ht="16.5" thickBot="1">
      <c r="A79" s="1188" t="s">
        <v>4533</v>
      </c>
      <c r="B79" s="1192">
        <f t="shared" si="3"/>
        <v>90</v>
      </c>
      <c r="C79" s="1192" t="s">
        <v>3</v>
      </c>
      <c r="D79" s="1192">
        <f t="shared" si="4"/>
        <v>260</v>
      </c>
      <c r="E79" s="1192" t="s">
        <v>3</v>
      </c>
      <c r="F79" s="1190">
        <f t="shared" si="5"/>
        <v>1550</v>
      </c>
      <c r="G79" s="1192" t="s">
        <v>3</v>
      </c>
      <c r="H79" s="1189">
        <v>2</v>
      </c>
      <c r="I79" s="1191" t="s">
        <v>40</v>
      </c>
      <c r="J79" s="149">
        <v>90</v>
      </c>
      <c r="K79" s="66">
        <v>260</v>
      </c>
      <c r="L79" s="66">
        <v>1550</v>
      </c>
      <c r="M79" s="150">
        <v>17.833482293758898</v>
      </c>
      <c r="N79" s="78">
        <v>767.23199999999986</v>
      </c>
      <c r="O79" s="110">
        <v>29832.170581150953</v>
      </c>
      <c r="P79" s="109">
        <v>36036.753387069693</v>
      </c>
      <c r="Q79" s="254">
        <v>19163.607244826719</v>
      </c>
      <c r="R79" s="258">
        <v>48995.777825977668</v>
      </c>
      <c r="S79" s="259">
        <v>55200.360631896416</v>
      </c>
      <c r="U79" s="7" t="s">
        <v>4604</v>
      </c>
    </row>
    <row r="80" spans="1:21" ht="16.5" thickBot="1">
      <c r="A80" s="1188" t="s">
        <v>4533</v>
      </c>
      <c r="B80" s="1189">
        <f t="shared" si="3"/>
        <v>90</v>
      </c>
      <c r="C80" s="1189" t="s">
        <v>3</v>
      </c>
      <c r="D80" s="1189">
        <f t="shared" si="4"/>
        <v>260</v>
      </c>
      <c r="E80" s="1189" t="s">
        <v>3</v>
      </c>
      <c r="F80" s="1190">
        <f t="shared" si="5"/>
        <v>1600</v>
      </c>
      <c r="G80" s="1189" t="s">
        <v>3</v>
      </c>
      <c r="H80" s="1189">
        <v>2</v>
      </c>
      <c r="I80" s="1191" t="s">
        <v>40</v>
      </c>
      <c r="J80" s="149">
        <v>90</v>
      </c>
      <c r="K80" s="66">
        <v>260</v>
      </c>
      <c r="L80" s="66">
        <v>1600</v>
      </c>
      <c r="M80" s="150">
        <v>18.358780023336429</v>
      </c>
      <c r="N80" s="78">
        <v>799.19999999999982</v>
      </c>
      <c r="O80" s="110">
        <v>30528.532414686451</v>
      </c>
      <c r="P80" s="109">
        <v>36897.179349069658</v>
      </c>
      <c r="Q80" s="254">
        <v>19634.062812306682</v>
      </c>
      <c r="R80" s="258">
        <v>50162.595226993129</v>
      </c>
      <c r="S80" s="259">
        <v>56531.242161376344</v>
      </c>
      <c r="U80" s="7" t="s">
        <v>4605</v>
      </c>
    </row>
    <row r="81" spans="1:21" ht="16.5" thickBot="1">
      <c r="A81" s="1188" t="s">
        <v>4533</v>
      </c>
      <c r="B81" s="1192">
        <f t="shared" si="3"/>
        <v>90</v>
      </c>
      <c r="C81" s="1192" t="s">
        <v>3</v>
      </c>
      <c r="D81" s="1192">
        <f t="shared" si="4"/>
        <v>260</v>
      </c>
      <c r="E81" s="1192" t="s">
        <v>3</v>
      </c>
      <c r="F81" s="1190">
        <f t="shared" si="5"/>
        <v>1650</v>
      </c>
      <c r="G81" s="1192" t="s">
        <v>3</v>
      </c>
      <c r="H81" s="1189">
        <v>2</v>
      </c>
      <c r="I81" s="1191" t="s">
        <v>40</v>
      </c>
      <c r="J81" s="149">
        <v>90</v>
      </c>
      <c r="K81" s="66">
        <v>260</v>
      </c>
      <c r="L81" s="66">
        <v>1650</v>
      </c>
      <c r="M81" s="150">
        <v>18.88407775291396</v>
      </c>
      <c r="N81" s="78">
        <v>831.16799999999989</v>
      </c>
      <c r="O81" s="110">
        <v>31224.89440125072</v>
      </c>
      <c r="P81" s="109">
        <v>37757.605311069616</v>
      </c>
      <c r="Q81" s="254">
        <v>20355.852364541646</v>
      </c>
      <c r="R81" s="258">
        <v>51580.74676579237</v>
      </c>
      <c r="S81" s="259">
        <v>58113.457675611266</v>
      </c>
      <c r="U81" s="7" t="s">
        <v>4606</v>
      </c>
    </row>
    <row r="82" spans="1:21" ht="16.5" thickBot="1">
      <c r="A82" s="1188" t="s">
        <v>4533</v>
      </c>
      <c r="B82" s="1192">
        <f t="shared" si="3"/>
        <v>90</v>
      </c>
      <c r="C82" s="1192" t="s">
        <v>3</v>
      </c>
      <c r="D82" s="1192">
        <f t="shared" si="4"/>
        <v>260</v>
      </c>
      <c r="E82" s="1192" t="s">
        <v>3</v>
      </c>
      <c r="F82" s="1190">
        <f t="shared" si="5"/>
        <v>1700</v>
      </c>
      <c r="G82" s="1192" t="s">
        <v>3</v>
      </c>
      <c r="H82" s="1189">
        <v>2</v>
      </c>
      <c r="I82" s="1191" t="s">
        <v>40</v>
      </c>
      <c r="J82" s="149">
        <v>90</v>
      </c>
      <c r="K82" s="66">
        <v>260</v>
      </c>
      <c r="L82" s="66">
        <v>1700</v>
      </c>
      <c r="M82" s="150">
        <v>19.409375482491495</v>
      </c>
      <c r="N82" s="78">
        <v>863.13599999999997</v>
      </c>
      <c r="O82" s="110">
        <v>31921.256234786222</v>
      </c>
      <c r="P82" s="109">
        <v>38618.03127306958</v>
      </c>
      <c r="Q82" s="254">
        <v>20826.307932021609</v>
      </c>
      <c r="R82" s="258">
        <v>52747.564166807831</v>
      </c>
      <c r="S82" s="259">
        <v>59444.339205091193</v>
      </c>
      <c r="U82" s="7" t="s">
        <v>4607</v>
      </c>
    </row>
    <row r="83" spans="1:21" ht="16.5" thickBot="1">
      <c r="A83" s="1188" t="s">
        <v>4533</v>
      </c>
      <c r="B83" s="1192">
        <f t="shared" si="3"/>
        <v>90</v>
      </c>
      <c r="C83" s="1192" t="s">
        <v>3</v>
      </c>
      <c r="D83" s="1192">
        <f t="shared" si="4"/>
        <v>260</v>
      </c>
      <c r="E83" s="1192" t="s">
        <v>3</v>
      </c>
      <c r="F83" s="1190">
        <f t="shared" si="5"/>
        <v>1750</v>
      </c>
      <c r="G83" s="1192" t="s">
        <v>3</v>
      </c>
      <c r="H83" s="1189">
        <v>2</v>
      </c>
      <c r="I83" s="1191" t="s">
        <v>40</v>
      </c>
      <c r="J83" s="149">
        <v>90</v>
      </c>
      <c r="K83" s="66">
        <v>260</v>
      </c>
      <c r="L83" s="66">
        <v>1750</v>
      </c>
      <c r="M83" s="150">
        <v>19.934673212069026</v>
      </c>
      <c r="N83" s="78">
        <v>895.10399999999981</v>
      </c>
      <c r="O83" s="110">
        <v>32617.618068321724</v>
      </c>
      <c r="P83" s="109">
        <v>39478.457235069538</v>
      </c>
      <c r="Q83" s="254">
        <v>21548.09763728534</v>
      </c>
      <c r="R83" s="258">
        <v>54165.715705607065</v>
      </c>
      <c r="S83" s="259">
        <v>61026.554872354878</v>
      </c>
      <c r="U83" s="7" t="s">
        <v>4608</v>
      </c>
    </row>
    <row r="84" spans="1:21" ht="16.5" thickBot="1">
      <c r="A84" s="1188" t="s">
        <v>4533</v>
      </c>
      <c r="B84" s="1192">
        <f t="shared" si="3"/>
        <v>90</v>
      </c>
      <c r="C84" s="1192" t="s">
        <v>3</v>
      </c>
      <c r="D84" s="1192">
        <f t="shared" si="4"/>
        <v>260</v>
      </c>
      <c r="E84" s="1192" t="s">
        <v>3</v>
      </c>
      <c r="F84" s="1190">
        <f t="shared" si="5"/>
        <v>1800</v>
      </c>
      <c r="G84" s="1192" t="s">
        <v>3</v>
      </c>
      <c r="H84" s="1189">
        <v>2</v>
      </c>
      <c r="I84" s="1191" t="s">
        <v>40</v>
      </c>
      <c r="J84" s="149">
        <v>90</v>
      </c>
      <c r="K84" s="66">
        <v>260</v>
      </c>
      <c r="L84" s="66">
        <v>1800</v>
      </c>
      <c r="M84" s="150">
        <v>20.459970941646564</v>
      </c>
      <c r="N84" s="78">
        <v>927.07199999999978</v>
      </c>
      <c r="O84" s="110">
        <v>33313.980054885993</v>
      </c>
      <c r="P84" s="109">
        <v>40338.883197069496</v>
      </c>
      <c r="Q84" s="254">
        <v>22018.553204765303</v>
      </c>
      <c r="R84" s="258">
        <v>55332.533259651296</v>
      </c>
      <c r="S84" s="259">
        <v>62357.436401834799</v>
      </c>
      <c r="U84" s="7" t="s">
        <v>4609</v>
      </c>
    </row>
    <row r="85" spans="1:21" ht="16.5" thickBot="1">
      <c r="A85" s="1188" t="s">
        <v>4533</v>
      </c>
      <c r="B85" s="1192">
        <f t="shared" si="3"/>
        <v>90</v>
      </c>
      <c r="C85" s="1192" t="s">
        <v>3</v>
      </c>
      <c r="D85" s="1192">
        <f t="shared" si="4"/>
        <v>260</v>
      </c>
      <c r="E85" s="1192" t="s">
        <v>3</v>
      </c>
      <c r="F85" s="1190">
        <f t="shared" si="5"/>
        <v>1850</v>
      </c>
      <c r="G85" s="1192" t="s">
        <v>3</v>
      </c>
      <c r="H85" s="1189">
        <v>2</v>
      </c>
      <c r="I85" s="1191" t="s">
        <v>40</v>
      </c>
      <c r="J85" s="149">
        <v>90</v>
      </c>
      <c r="K85" s="66">
        <v>260</v>
      </c>
      <c r="L85" s="66">
        <v>1850</v>
      </c>
      <c r="M85" s="150">
        <v>20.985268671224091</v>
      </c>
      <c r="N85" s="78">
        <v>959.03999999999985</v>
      </c>
      <c r="O85" s="110">
        <v>34010.341888421492</v>
      </c>
      <c r="P85" s="109">
        <v>41199.30915906946</v>
      </c>
      <c r="Q85" s="254">
        <v>22740.342910029034</v>
      </c>
      <c r="R85" s="258">
        <v>56750.684798450529</v>
      </c>
      <c r="S85" s="259">
        <v>63939.652069098491</v>
      </c>
      <c r="U85" s="7" t="s">
        <v>4610</v>
      </c>
    </row>
    <row r="86" spans="1:21" ht="16.5" thickBot="1">
      <c r="A86" s="1188" t="s">
        <v>4533</v>
      </c>
      <c r="B86" s="1192">
        <f t="shared" si="3"/>
        <v>90</v>
      </c>
      <c r="C86" s="1192" t="s">
        <v>3</v>
      </c>
      <c r="D86" s="1192">
        <f t="shared" si="4"/>
        <v>260</v>
      </c>
      <c r="E86" s="1192" t="s">
        <v>3</v>
      </c>
      <c r="F86" s="1190">
        <f t="shared" si="5"/>
        <v>1900</v>
      </c>
      <c r="G86" s="1192" t="s">
        <v>3</v>
      </c>
      <c r="H86" s="1189">
        <v>2</v>
      </c>
      <c r="I86" s="1191" t="s">
        <v>40</v>
      </c>
      <c r="J86" s="149">
        <v>90</v>
      </c>
      <c r="K86" s="66">
        <v>260</v>
      </c>
      <c r="L86" s="66">
        <v>1900</v>
      </c>
      <c r="M86" s="150">
        <v>21.510566400801626</v>
      </c>
      <c r="N86" s="78">
        <v>991.00799999999992</v>
      </c>
      <c r="O86" s="110">
        <v>34706.703721956997</v>
      </c>
      <c r="P86" s="109">
        <v>42059.735121069418</v>
      </c>
      <c r="Q86" s="254">
        <v>23210.798477508997</v>
      </c>
      <c r="R86" s="258">
        <v>57917.502199465991</v>
      </c>
      <c r="S86" s="259">
        <v>65270.533598578419</v>
      </c>
      <c r="U86" s="7" t="s">
        <v>4611</v>
      </c>
    </row>
    <row r="87" spans="1:21" ht="16.5" thickBot="1">
      <c r="A87" s="1188" t="s">
        <v>4533</v>
      </c>
      <c r="B87" s="1192">
        <f t="shared" si="3"/>
        <v>90</v>
      </c>
      <c r="C87" s="1192" t="s">
        <v>3</v>
      </c>
      <c r="D87" s="1192">
        <f t="shared" si="4"/>
        <v>260</v>
      </c>
      <c r="E87" s="1192" t="s">
        <v>3</v>
      </c>
      <c r="F87" s="1190">
        <f t="shared" si="5"/>
        <v>1950</v>
      </c>
      <c r="G87" s="1192" t="s">
        <v>3</v>
      </c>
      <c r="H87" s="1189">
        <v>2</v>
      </c>
      <c r="I87" s="1191" t="s">
        <v>40</v>
      </c>
      <c r="J87" s="149">
        <v>90</v>
      </c>
      <c r="K87" s="66">
        <v>260</v>
      </c>
      <c r="L87" s="66">
        <v>1950</v>
      </c>
      <c r="M87" s="150">
        <v>22.03586413037916</v>
      </c>
      <c r="N87" s="78">
        <v>1022.9759999999999</v>
      </c>
      <c r="O87" s="110">
        <v>35403.065708521259</v>
      </c>
      <c r="P87" s="109">
        <v>42920.161083069383</v>
      </c>
      <c r="Q87" s="254">
        <v>23681.25404498896</v>
      </c>
      <c r="R87" s="258">
        <v>59084.319753510223</v>
      </c>
      <c r="S87" s="259">
        <v>66601.415128058346</v>
      </c>
      <c r="U87" s="7" t="s">
        <v>4612</v>
      </c>
    </row>
    <row r="88" spans="1:21" ht="16.5" thickBot="1">
      <c r="A88" s="1188" t="s">
        <v>4533</v>
      </c>
      <c r="B88" s="1192">
        <f t="shared" si="3"/>
        <v>90</v>
      </c>
      <c r="C88" s="1192" t="s">
        <v>3</v>
      </c>
      <c r="D88" s="1192">
        <f t="shared" si="4"/>
        <v>260</v>
      </c>
      <c r="E88" s="1192" t="s">
        <v>3</v>
      </c>
      <c r="F88" s="1190">
        <f t="shared" si="5"/>
        <v>2000</v>
      </c>
      <c r="G88" s="1192" t="s">
        <v>3</v>
      </c>
      <c r="H88" s="1189">
        <v>2</v>
      </c>
      <c r="I88" s="1191" t="s">
        <v>40</v>
      </c>
      <c r="J88" s="149">
        <v>90</v>
      </c>
      <c r="K88" s="66">
        <v>260</v>
      </c>
      <c r="L88" s="66">
        <v>2000</v>
      </c>
      <c r="M88" s="150">
        <v>22.662608659956689</v>
      </c>
      <c r="N88" s="78">
        <v>1054.9439999999997</v>
      </c>
      <c r="O88" s="110">
        <v>36584.227719922012</v>
      </c>
      <c r="P88" s="109">
        <v>43943.666739487751</v>
      </c>
      <c r="Q88" s="254">
        <v>24403.043750252691</v>
      </c>
      <c r="R88" s="258">
        <v>60987.271470174703</v>
      </c>
      <c r="S88" s="259">
        <v>68346.71048974045</v>
      </c>
      <c r="U88" s="7" t="s">
        <v>4613</v>
      </c>
    </row>
    <row r="89" spans="1:21" ht="16.5" thickBot="1">
      <c r="A89" s="1188" t="s">
        <v>4533</v>
      </c>
      <c r="B89" s="1192">
        <f t="shared" si="3"/>
        <v>90</v>
      </c>
      <c r="C89" s="1192" t="s">
        <v>3</v>
      </c>
      <c r="D89" s="1192">
        <f t="shared" si="4"/>
        <v>260</v>
      </c>
      <c r="E89" s="1192" t="s">
        <v>3</v>
      </c>
      <c r="F89" s="1190">
        <f t="shared" si="5"/>
        <v>2050</v>
      </c>
      <c r="G89" s="1192" t="s">
        <v>3</v>
      </c>
      <c r="H89" s="1189">
        <v>2</v>
      </c>
      <c r="I89" s="1191" t="s">
        <v>40</v>
      </c>
      <c r="J89" s="149">
        <v>90</v>
      </c>
      <c r="K89" s="66">
        <v>260</v>
      </c>
      <c r="L89" s="66">
        <v>2050</v>
      </c>
      <c r="M89" s="150">
        <v>23.187906389534227</v>
      </c>
      <c r="N89" s="78">
        <v>1086.9119999999998</v>
      </c>
      <c r="O89" s="110">
        <v>37280.58955345751</v>
      </c>
      <c r="P89" s="109">
        <v>44804.092701487709</v>
      </c>
      <c r="Q89" s="254">
        <v>24873.499317732651</v>
      </c>
      <c r="R89" s="258">
        <v>62154.088871190164</v>
      </c>
      <c r="S89" s="259">
        <v>69677.592019220363</v>
      </c>
      <c r="U89" s="7" t="s">
        <v>4614</v>
      </c>
    </row>
    <row r="90" spans="1:21" ht="16.5" thickBot="1">
      <c r="A90" s="1188" t="s">
        <v>4533</v>
      </c>
      <c r="B90" s="1189">
        <f t="shared" si="3"/>
        <v>90</v>
      </c>
      <c r="C90" s="1189" t="s">
        <v>3</v>
      </c>
      <c r="D90" s="1189">
        <f t="shared" si="4"/>
        <v>260</v>
      </c>
      <c r="E90" s="1189" t="s">
        <v>3</v>
      </c>
      <c r="F90" s="1190">
        <f t="shared" si="5"/>
        <v>2100</v>
      </c>
      <c r="G90" s="1189" t="s">
        <v>3</v>
      </c>
      <c r="H90" s="1189">
        <v>2</v>
      </c>
      <c r="I90" s="1191" t="s">
        <v>40</v>
      </c>
      <c r="J90" s="149">
        <v>90</v>
      </c>
      <c r="K90" s="66">
        <v>260</v>
      </c>
      <c r="L90" s="66">
        <v>2100</v>
      </c>
      <c r="M90" s="150">
        <v>23.713204119111758</v>
      </c>
      <c r="N90" s="78">
        <v>1118.8799999999999</v>
      </c>
      <c r="O90" s="110">
        <v>37976.951386993009</v>
      </c>
      <c r="P90" s="109">
        <v>45664.518663487674</v>
      </c>
      <c r="Q90" s="254">
        <v>25595.289022996385</v>
      </c>
      <c r="R90" s="258">
        <v>63572.24040998939</v>
      </c>
      <c r="S90" s="259">
        <v>71259.807686484055</v>
      </c>
      <c r="U90" s="7" t="s">
        <v>4615</v>
      </c>
    </row>
    <row r="91" spans="1:21" ht="16.5" thickBot="1">
      <c r="A91" s="1188" t="s">
        <v>4533</v>
      </c>
      <c r="B91" s="1192">
        <f t="shared" si="3"/>
        <v>90</v>
      </c>
      <c r="C91" s="1192" t="s">
        <v>3</v>
      </c>
      <c r="D91" s="1192">
        <f t="shared" si="4"/>
        <v>260</v>
      </c>
      <c r="E91" s="1192" t="s">
        <v>3</v>
      </c>
      <c r="F91" s="1190">
        <f t="shared" si="5"/>
        <v>2150</v>
      </c>
      <c r="G91" s="1192" t="s">
        <v>3</v>
      </c>
      <c r="H91" s="1189">
        <v>2</v>
      </c>
      <c r="I91" s="1191" t="s">
        <v>40</v>
      </c>
      <c r="J91" s="149">
        <v>90</v>
      </c>
      <c r="K91" s="66">
        <v>260</v>
      </c>
      <c r="L91" s="66">
        <v>2150</v>
      </c>
      <c r="M91" s="150">
        <v>24.238501848689289</v>
      </c>
      <c r="N91" s="78">
        <v>1150.848</v>
      </c>
      <c r="O91" s="110">
        <v>38673.313373557277</v>
      </c>
      <c r="P91" s="109">
        <v>46524.944625487631</v>
      </c>
      <c r="Q91" s="254">
        <v>26065.744590476344</v>
      </c>
      <c r="R91" s="258">
        <v>64739.057964033622</v>
      </c>
      <c r="S91" s="259">
        <v>72590.689215963968</v>
      </c>
      <c r="U91" s="7" t="s">
        <v>4616</v>
      </c>
    </row>
    <row r="92" spans="1:21" ht="16.5" thickBot="1">
      <c r="A92" s="1188" t="s">
        <v>4533</v>
      </c>
      <c r="B92" s="1192">
        <f t="shared" si="3"/>
        <v>90</v>
      </c>
      <c r="C92" s="1192" t="s">
        <v>3</v>
      </c>
      <c r="D92" s="1192">
        <f t="shared" si="4"/>
        <v>260</v>
      </c>
      <c r="E92" s="1192" t="s">
        <v>3</v>
      </c>
      <c r="F92" s="1190">
        <f t="shared" si="5"/>
        <v>2200</v>
      </c>
      <c r="G92" s="1192" t="s">
        <v>3</v>
      </c>
      <c r="H92" s="1189">
        <v>2</v>
      </c>
      <c r="I92" s="1191" t="s">
        <v>40</v>
      </c>
      <c r="J92" s="149">
        <v>90</v>
      </c>
      <c r="K92" s="66">
        <v>260</v>
      </c>
      <c r="L92" s="66">
        <v>2200</v>
      </c>
      <c r="M92" s="150">
        <v>24.763799578266823</v>
      </c>
      <c r="N92" s="78">
        <v>1182.8159999999998</v>
      </c>
      <c r="O92" s="110">
        <v>39369.675207092776</v>
      </c>
      <c r="P92" s="109">
        <v>47385.370587487589</v>
      </c>
      <c r="Q92" s="254">
        <v>26787.534295740079</v>
      </c>
      <c r="R92" s="258">
        <v>66157.209502832848</v>
      </c>
      <c r="S92" s="259">
        <v>74172.90488322766</v>
      </c>
      <c r="U92" s="7" t="s">
        <v>4617</v>
      </c>
    </row>
    <row r="93" spans="1:21" ht="16.5" thickBot="1">
      <c r="A93" s="1188" t="s">
        <v>4533</v>
      </c>
      <c r="B93" s="1192">
        <f t="shared" si="3"/>
        <v>90</v>
      </c>
      <c r="C93" s="1192" t="s">
        <v>3</v>
      </c>
      <c r="D93" s="1192">
        <f t="shared" si="4"/>
        <v>260</v>
      </c>
      <c r="E93" s="1192" t="s">
        <v>3</v>
      </c>
      <c r="F93" s="1190">
        <f t="shared" si="5"/>
        <v>2250</v>
      </c>
      <c r="G93" s="1192" t="s">
        <v>3</v>
      </c>
      <c r="H93" s="1189">
        <v>2</v>
      </c>
      <c r="I93" s="1191" t="s">
        <v>40</v>
      </c>
      <c r="J93" s="149">
        <v>90</v>
      </c>
      <c r="K93" s="66">
        <v>260</v>
      </c>
      <c r="L93" s="66">
        <v>2250</v>
      </c>
      <c r="M93" s="150">
        <v>25.289097307844358</v>
      </c>
      <c r="N93" s="78">
        <v>1214.7839999999997</v>
      </c>
      <c r="O93" s="110">
        <v>40066.037040628282</v>
      </c>
      <c r="P93" s="109">
        <v>48245.796549487553</v>
      </c>
      <c r="Q93" s="254">
        <v>27257.989710191272</v>
      </c>
      <c r="R93" s="258">
        <v>67324.026750819554</v>
      </c>
      <c r="S93" s="259">
        <v>75503.786259678833</v>
      </c>
      <c r="U93" s="7" t="s">
        <v>4618</v>
      </c>
    </row>
    <row r="94" spans="1:21" ht="16.5" thickBot="1">
      <c r="A94" s="1188" t="s">
        <v>4533</v>
      </c>
      <c r="B94" s="1192">
        <f t="shared" si="3"/>
        <v>90</v>
      </c>
      <c r="C94" s="1192" t="s">
        <v>3</v>
      </c>
      <c r="D94" s="1192">
        <f t="shared" si="4"/>
        <v>260</v>
      </c>
      <c r="E94" s="1192" t="s">
        <v>3</v>
      </c>
      <c r="F94" s="1190">
        <f t="shared" si="5"/>
        <v>2300</v>
      </c>
      <c r="G94" s="1192" t="s">
        <v>3</v>
      </c>
      <c r="H94" s="1189">
        <v>2</v>
      </c>
      <c r="I94" s="1191" t="s">
        <v>40</v>
      </c>
      <c r="J94" s="149">
        <v>90</v>
      </c>
      <c r="K94" s="66">
        <v>260</v>
      </c>
      <c r="L94" s="66">
        <v>2300</v>
      </c>
      <c r="M94" s="150">
        <v>25.814395037421892</v>
      </c>
      <c r="N94" s="78">
        <v>1246.7519999999997</v>
      </c>
      <c r="O94" s="110">
        <v>40762.39887416378</v>
      </c>
      <c r="P94" s="109">
        <v>49106.222511487511</v>
      </c>
      <c r="Q94" s="254">
        <v>27728.445277671239</v>
      </c>
      <c r="R94" s="258">
        <v>68490.844151835016</v>
      </c>
      <c r="S94" s="259">
        <v>76834.667789158746</v>
      </c>
      <c r="U94" s="7" t="s">
        <v>4619</v>
      </c>
    </row>
    <row r="95" spans="1:21" ht="16.5" thickBot="1">
      <c r="A95" s="1188" t="s">
        <v>4533</v>
      </c>
      <c r="B95" s="1192">
        <f t="shared" si="3"/>
        <v>90</v>
      </c>
      <c r="C95" s="1192" t="s">
        <v>3</v>
      </c>
      <c r="D95" s="1192">
        <f t="shared" si="4"/>
        <v>260</v>
      </c>
      <c r="E95" s="1192" t="s">
        <v>3</v>
      </c>
      <c r="F95" s="1190">
        <f t="shared" si="5"/>
        <v>2350</v>
      </c>
      <c r="G95" s="1192" t="s">
        <v>3</v>
      </c>
      <c r="H95" s="1189">
        <v>2</v>
      </c>
      <c r="I95" s="1191" t="s">
        <v>40</v>
      </c>
      <c r="J95" s="149">
        <v>90</v>
      </c>
      <c r="K95" s="66">
        <v>260</v>
      </c>
      <c r="L95" s="66">
        <v>2350</v>
      </c>
      <c r="M95" s="150">
        <v>26.339692766999427</v>
      </c>
      <c r="N95" s="78">
        <v>1278.7199999999998</v>
      </c>
      <c r="O95" s="110">
        <v>41458.760860728049</v>
      </c>
      <c r="P95" s="109">
        <v>49966.648473487476</v>
      </c>
      <c r="Q95" s="254">
        <v>28450.234982934966</v>
      </c>
      <c r="R95" s="258">
        <v>69908.995843663011</v>
      </c>
      <c r="S95" s="259">
        <v>78416.883456422438</v>
      </c>
      <c r="U95" s="7" t="s">
        <v>4620</v>
      </c>
    </row>
    <row r="96" spans="1:21" ht="16.5" thickBot="1">
      <c r="A96" s="1188" t="s">
        <v>4533</v>
      </c>
      <c r="B96" s="1192">
        <f t="shared" si="3"/>
        <v>90</v>
      </c>
      <c r="C96" s="1192" t="s">
        <v>3</v>
      </c>
      <c r="D96" s="1192">
        <f t="shared" si="4"/>
        <v>260</v>
      </c>
      <c r="E96" s="1192" t="s">
        <v>3</v>
      </c>
      <c r="F96" s="1190">
        <f t="shared" si="5"/>
        <v>2400</v>
      </c>
      <c r="G96" s="1192" t="s">
        <v>3</v>
      </c>
      <c r="H96" s="1189">
        <v>2</v>
      </c>
      <c r="I96" s="1191" t="s">
        <v>40</v>
      </c>
      <c r="J96" s="149">
        <v>90</v>
      </c>
      <c r="K96" s="66">
        <v>260</v>
      </c>
      <c r="L96" s="66">
        <v>2400</v>
      </c>
      <c r="M96" s="150">
        <v>26.864990496576951</v>
      </c>
      <c r="N96" s="78">
        <v>1310.6879999999996</v>
      </c>
      <c r="O96" s="110">
        <v>42155.122694263548</v>
      </c>
      <c r="P96" s="109">
        <v>50827.074435487433</v>
      </c>
      <c r="Q96" s="254">
        <v>28920.690550414929</v>
      </c>
      <c r="R96" s="258">
        <v>71075.813244678473</v>
      </c>
      <c r="S96" s="259">
        <v>79747.764985902366</v>
      </c>
      <c r="U96" s="7" t="s">
        <v>4621</v>
      </c>
    </row>
    <row r="97" spans="1:21" ht="16.5" thickBot="1">
      <c r="A97" s="1188" t="s">
        <v>4533</v>
      </c>
      <c r="B97" s="1192">
        <f t="shared" si="3"/>
        <v>90</v>
      </c>
      <c r="C97" s="1192" t="s">
        <v>3</v>
      </c>
      <c r="D97" s="1192">
        <f t="shared" si="4"/>
        <v>260</v>
      </c>
      <c r="E97" s="1192" t="s">
        <v>3</v>
      </c>
      <c r="F97" s="1190">
        <f t="shared" si="5"/>
        <v>2450</v>
      </c>
      <c r="G97" s="1192" t="s">
        <v>3</v>
      </c>
      <c r="H97" s="1189">
        <v>2</v>
      </c>
      <c r="I97" s="1191" t="s">
        <v>40</v>
      </c>
      <c r="J97" s="149">
        <v>90</v>
      </c>
      <c r="K97" s="66">
        <v>260</v>
      </c>
      <c r="L97" s="66">
        <v>2450</v>
      </c>
      <c r="M97" s="150">
        <v>27.390288226154496</v>
      </c>
      <c r="N97" s="78">
        <v>1342.6559999999999</v>
      </c>
      <c r="O97" s="110">
        <v>42851.484527799053</v>
      </c>
      <c r="P97" s="109">
        <v>51687.500397487391</v>
      </c>
      <c r="Q97" s="254">
        <v>29642.480255678664</v>
      </c>
      <c r="R97" s="258">
        <v>72493.964783477713</v>
      </c>
      <c r="S97" s="259">
        <v>81329.980653166058</v>
      </c>
      <c r="U97" s="7" t="s">
        <v>4622</v>
      </c>
    </row>
    <row r="98" spans="1:21" ht="16.5" thickBot="1">
      <c r="A98" s="1188" t="s">
        <v>4533</v>
      </c>
      <c r="B98" s="1192">
        <f t="shared" si="3"/>
        <v>90</v>
      </c>
      <c r="C98" s="1192" t="s">
        <v>3</v>
      </c>
      <c r="D98" s="1192">
        <f t="shared" si="4"/>
        <v>260</v>
      </c>
      <c r="E98" s="1192" t="s">
        <v>3</v>
      </c>
      <c r="F98" s="1190">
        <f t="shared" si="5"/>
        <v>2500</v>
      </c>
      <c r="G98" s="1192" t="s">
        <v>3</v>
      </c>
      <c r="H98" s="1189">
        <v>2</v>
      </c>
      <c r="I98" s="1191" t="s">
        <v>40</v>
      </c>
      <c r="J98" s="149">
        <v>90</v>
      </c>
      <c r="K98" s="66">
        <v>260</v>
      </c>
      <c r="L98" s="66">
        <v>2500</v>
      </c>
      <c r="M98" s="150">
        <v>28.173781555732024</v>
      </c>
      <c r="N98" s="78">
        <v>1374.6239999999998</v>
      </c>
      <c r="O98" s="110">
        <v>44235.768505444641</v>
      </c>
      <c r="P98" s="109">
        <v>53384.758958595405</v>
      </c>
      <c r="Q98" s="254">
        <v>30112.935823158623</v>
      </c>
      <c r="R98" s="258">
        <v>74348.704328603257</v>
      </c>
      <c r="S98" s="259">
        <v>83497.69478175402</v>
      </c>
      <c r="U98" s="7" t="s">
        <v>4623</v>
      </c>
    </row>
    <row r="99" spans="1:21" ht="16.5" thickBot="1">
      <c r="A99" s="1188" t="s">
        <v>4533</v>
      </c>
      <c r="B99" s="1192">
        <f t="shared" si="3"/>
        <v>90</v>
      </c>
      <c r="C99" s="1192" t="s">
        <v>3</v>
      </c>
      <c r="D99" s="1192">
        <f t="shared" si="4"/>
        <v>260</v>
      </c>
      <c r="E99" s="1192" t="s">
        <v>3</v>
      </c>
      <c r="F99" s="1190">
        <f t="shared" si="5"/>
        <v>2550</v>
      </c>
      <c r="G99" s="1192" t="s">
        <v>3</v>
      </c>
      <c r="H99" s="1189">
        <v>2</v>
      </c>
      <c r="I99" s="1191" t="s">
        <v>40</v>
      </c>
      <c r="J99" s="149">
        <v>90</v>
      </c>
      <c r="K99" s="66">
        <v>260</v>
      </c>
      <c r="L99" s="66">
        <v>2550</v>
      </c>
      <c r="M99" s="150">
        <v>28.699079285309558</v>
      </c>
      <c r="N99" s="78">
        <v>1406.5919999999999</v>
      </c>
      <c r="O99" s="110">
        <v>45324.244054384486</v>
      </c>
      <c r="P99" s="109">
        <v>54260.48779710786</v>
      </c>
      <c r="Q99" s="254">
        <v>30834.725528422357</v>
      </c>
      <c r="R99" s="258">
        <v>76158.969582806836</v>
      </c>
      <c r="S99" s="259">
        <v>85095.213325530218</v>
      </c>
      <c r="U99" s="7" t="s">
        <v>4624</v>
      </c>
    </row>
    <row r="100" spans="1:21" ht="16.5" thickBot="1">
      <c r="A100" s="1188" t="s">
        <v>4533</v>
      </c>
      <c r="B100" s="1189">
        <f t="shared" si="3"/>
        <v>90</v>
      </c>
      <c r="C100" s="1189" t="s">
        <v>3</v>
      </c>
      <c r="D100" s="1189">
        <f t="shared" si="4"/>
        <v>260</v>
      </c>
      <c r="E100" s="1189" t="s">
        <v>3</v>
      </c>
      <c r="F100" s="1190">
        <f t="shared" si="5"/>
        <v>2600</v>
      </c>
      <c r="G100" s="1189" t="s">
        <v>3</v>
      </c>
      <c r="H100" s="1189">
        <v>2</v>
      </c>
      <c r="I100" s="1191" t="s">
        <v>40</v>
      </c>
      <c r="J100" s="149">
        <v>90</v>
      </c>
      <c r="K100" s="66">
        <v>260</v>
      </c>
      <c r="L100" s="66">
        <v>2600</v>
      </c>
      <c r="M100" s="150">
        <v>29.224377014887089</v>
      </c>
      <c r="N100" s="78">
        <v>1438.5599999999997</v>
      </c>
      <c r="O100" s="110">
        <v>46020.606040948755</v>
      </c>
      <c r="P100" s="109">
        <v>55120.913759107818</v>
      </c>
      <c r="Q100" s="254">
        <v>31305.181095902317</v>
      </c>
      <c r="R100" s="258">
        <v>77325.787136851068</v>
      </c>
      <c r="S100" s="259">
        <v>86426.094855010131</v>
      </c>
      <c r="U100" s="7" t="s">
        <v>4625</v>
      </c>
    </row>
    <row r="101" spans="1:21" ht="16.5" thickBot="1">
      <c r="A101" s="1188" t="s">
        <v>4533</v>
      </c>
      <c r="B101" s="1192">
        <f t="shared" si="3"/>
        <v>90</v>
      </c>
      <c r="C101" s="1192" t="s">
        <v>3</v>
      </c>
      <c r="D101" s="1192">
        <f t="shared" si="4"/>
        <v>260</v>
      </c>
      <c r="E101" s="1192" t="s">
        <v>3</v>
      </c>
      <c r="F101" s="1190">
        <f t="shared" si="5"/>
        <v>2650</v>
      </c>
      <c r="G101" s="1192" t="s">
        <v>3</v>
      </c>
      <c r="H101" s="1189">
        <v>2</v>
      </c>
      <c r="I101" s="1191" t="s">
        <v>40</v>
      </c>
      <c r="J101" s="149">
        <v>90</v>
      </c>
      <c r="K101" s="66">
        <v>260</v>
      </c>
      <c r="L101" s="66">
        <v>2650</v>
      </c>
      <c r="M101" s="150">
        <v>29.74967474446462</v>
      </c>
      <c r="N101" s="78">
        <v>1470.5279999999996</v>
      </c>
      <c r="O101" s="110">
        <v>46716.967874484253</v>
      </c>
      <c r="P101" s="109">
        <v>55981.33972110779</v>
      </c>
      <c r="Q101" s="254">
        <v>32026.970801166051</v>
      </c>
      <c r="R101" s="258">
        <v>78743.938675650308</v>
      </c>
      <c r="S101" s="259">
        <v>88008.310522273838</v>
      </c>
      <c r="U101" s="7" t="s">
        <v>4626</v>
      </c>
    </row>
    <row r="102" spans="1:21" ht="16.5" thickBot="1">
      <c r="A102" s="1188" t="s">
        <v>4533</v>
      </c>
      <c r="B102" s="1192">
        <f t="shared" si="3"/>
        <v>90</v>
      </c>
      <c r="C102" s="1192" t="s">
        <v>3</v>
      </c>
      <c r="D102" s="1192">
        <f t="shared" si="4"/>
        <v>260</v>
      </c>
      <c r="E102" s="1192" t="s">
        <v>3</v>
      </c>
      <c r="F102" s="1190">
        <f t="shared" si="5"/>
        <v>2700</v>
      </c>
      <c r="G102" s="1192" t="s">
        <v>3</v>
      </c>
      <c r="H102" s="1189">
        <v>2</v>
      </c>
      <c r="I102" s="1191" t="s">
        <v>40</v>
      </c>
      <c r="J102" s="149">
        <v>90</v>
      </c>
      <c r="K102" s="66">
        <v>260</v>
      </c>
      <c r="L102" s="66">
        <v>2700</v>
      </c>
      <c r="M102" s="150">
        <v>30.274972474042151</v>
      </c>
      <c r="N102" s="78">
        <v>1502.4959999999999</v>
      </c>
      <c r="O102" s="110">
        <v>47413.329708019752</v>
      </c>
      <c r="P102" s="109">
        <v>56841.765683107747</v>
      </c>
      <c r="Q102" s="254">
        <v>32497.426368646011</v>
      </c>
      <c r="R102" s="258">
        <v>79910.75607666577</v>
      </c>
      <c r="S102" s="259">
        <v>89339.192051753751</v>
      </c>
      <c r="U102" s="7" t="s">
        <v>4627</v>
      </c>
    </row>
    <row r="103" spans="1:21" ht="16.5" thickBot="1">
      <c r="A103" s="1188" t="s">
        <v>4533</v>
      </c>
      <c r="B103" s="1192">
        <f t="shared" si="3"/>
        <v>90</v>
      </c>
      <c r="C103" s="1192" t="s">
        <v>3</v>
      </c>
      <c r="D103" s="1192">
        <f t="shared" si="4"/>
        <v>260</v>
      </c>
      <c r="E103" s="1192" t="s">
        <v>3</v>
      </c>
      <c r="F103" s="1190">
        <f t="shared" si="5"/>
        <v>2750</v>
      </c>
      <c r="G103" s="1192" t="s">
        <v>3</v>
      </c>
      <c r="H103" s="1189">
        <v>2</v>
      </c>
      <c r="I103" s="1191" t="s">
        <v>40</v>
      </c>
      <c r="J103" s="149">
        <v>90</v>
      </c>
      <c r="K103" s="66">
        <v>260</v>
      </c>
      <c r="L103" s="66">
        <v>2750</v>
      </c>
      <c r="M103" s="150">
        <v>30.800270203619682</v>
      </c>
      <c r="N103" s="78">
        <v>1534.4639999999997</v>
      </c>
      <c r="O103" s="110">
        <v>48109.691541555258</v>
      </c>
      <c r="P103" s="109">
        <v>57702.191645107698</v>
      </c>
      <c r="Q103" s="254">
        <v>32967.881936125974</v>
      </c>
      <c r="R103" s="258">
        <v>81077.573477681231</v>
      </c>
      <c r="S103" s="259">
        <v>90670.073581233679</v>
      </c>
      <c r="U103" s="7" t="s">
        <v>4628</v>
      </c>
    </row>
    <row r="104" spans="1:21" ht="16.5" thickBot="1">
      <c r="A104" s="1188" t="s">
        <v>4533</v>
      </c>
      <c r="B104" s="1192">
        <f t="shared" si="3"/>
        <v>90</v>
      </c>
      <c r="C104" s="1192" t="s">
        <v>3</v>
      </c>
      <c r="D104" s="1192">
        <f t="shared" si="4"/>
        <v>260</v>
      </c>
      <c r="E104" s="1192" t="s">
        <v>3</v>
      </c>
      <c r="F104" s="1190">
        <f t="shared" si="5"/>
        <v>2800</v>
      </c>
      <c r="G104" s="1192" t="s">
        <v>3</v>
      </c>
      <c r="H104" s="1189">
        <v>2</v>
      </c>
      <c r="I104" s="1191" t="s">
        <v>40</v>
      </c>
      <c r="J104" s="149">
        <v>90</v>
      </c>
      <c r="K104" s="66">
        <v>260</v>
      </c>
      <c r="L104" s="66">
        <v>2800</v>
      </c>
      <c r="M104" s="150">
        <v>31.325567933197224</v>
      </c>
      <c r="N104" s="78">
        <v>1566.4319999999998</v>
      </c>
      <c r="O104" s="110">
        <v>48806.053528119526</v>
      </c>
      <c r="P104" s="109">
        <v>58562.61760710767</v>
      </c>
      <c r="Q104" s="254">
        <v>33689.671488360938</v>
      </c>
      <c r="R104" s="258">
        <v>82495.725016480457</v>
      </c>
      <c r="S104" s="259">
        <v>92252.289095468615</v>
      </c>
      <c r="U104" s="7" t="s">
        <v>4629</v>
      </c>
    </row>
    <row r="105" spans="1:21" ht="16.5" thickBot="1">
      <c r="A105" s="1188" t="s">
        <v>4533</v>
      </c>
      <c r="B105" s="1192">
        <f t="shared" si="3"/>
        <v>90</v>
      </c>
      <c r="C105" s="1192" t="s">
        <v>3</v>
      </c>
      <c r="D105" s="1192">
        <f t="shared" si="4"/>
        <v>260</v>
      </c>
      <c r="E105" s="1192" t="s">
        <v>3</v>
      </c>
      <c r="F105" s="1190">
        <f t="shared" si="5"/>
        <v>2850</v>
      </c>
      <c r="G105" s="1192" t="s">
        <v>3</v>
      </c>
      <c r="H105" s="1189">
        <v>2</v>
      </c>
      <c r="I105" s="1191" t="s">
        <v>40</v>
      </c>
      <c r="J105" s="149">
        <v>90</v>
      </c>
      <c r="K105" s="66">
        <v>260</v>
      </c>
      <c r="L105" s="66">
        <v>2850</v>
      </c>
      <c r="M105" s="150">
        <v>31.850865662774751</v>
      </c>
      <c r="N105" s="78">
        <v>1598.3999999999996</v>
      </c>
      <c r="O105" s="110">
        <v>49502.415361655025</v>
      </c>
      <c r="P105" s="109">
        <v>59423.043569107627</v>
      </c>
      <c r="Q105" s="254">
        <v>34160.127055840901</v>
      </c>
      <c r="R105" s="258">
        <v>83662.542417495919</v>
      </c>
      <c r="S105" s="259">
        <v>93583.170624948529</v>
      </c>
      <c r="U105" s="7" t="s">
        <v>4630</v>
      </c>
    </row>
    <row r="106" spans="1:21" ht="16.5" thickBot="1">
      <c r="A106" s="1188" t="s">
        <v>4533</v>
      </c>
      <c r="B106" s="1192">
        <f t="shared" si="3"/>
        <v>90</v>
      </c>
      <c r="C106" s="1192" t="s">
        <v>3</v>
      </c>
      <c r="D106" s="1192">
        <f t="shared" si="4"/>
        <v>260</v>
      </c>
      <c r="E106" s="1192" t="s">
        <v>3</v>
      </c>
      <c r="F106" s="1190">
        <f t="shared" si="5"/>
        <v>2900</v>
      </c>
      <c r="G106" s="1192" t="s">
        <v>3</v>
      </c>
      <c r="H106" s="1189">
        <v>2</v>
      </c>
      <c r="I106" s="1191" t="s">
        <v>40</v>
      </c>
      <c r="J106" s="149">
        <v>90</v>
      </c>
      <c r="K106" s="66">
        <v>260</v>
      </c>
      <c r="L106" s="66">
        <v>2900</v>
      </c>
      <c r="M106" s="150">
        <v>32.376163392352289</v>
      </c>
      <c r="N106" s="78">
        <v>1630.3679999999997</v>
      </c>
      <c r="O106" s="110">
        <v>50198.777195190531</v>
      </c>
      <c r="P106" s="109">
        <v>60283.469531107585</v>
      </c>
      <c r="Q106" s="254">
        <v>34881.916761104636</v>
      </c>
      <c r="R106" s="258">
        <v>85080.693956295174</v>
      </c>
      <c r="S106" s="259">
        <v>95165.386292212221</v>
      </c>
      <c r="U106" s="7" t="s">
        <v>4631</v>
      </c>
    </row>
    <row r="107" spans="1:21" ht="16.5" thickBot="1">
      <c r="A107" s="1188" t="s">
        <v>4533</v>
      </c>
      <c r="B107" s="1192">
        <f t="shared" si="3"/>
        <v>90</v>
      </c>
      <c r="C107" s="1192" t="s">
        <v>3</v>
      </c>
      <c r="D107" s="1192">
        <f t="shared" si="4"/>
        <v>260</v>
      </c>
      <c r="E107" s="1192" t="s">
        <v>3</v>
      </c>
      <c r="F107" s="1190">
        <f t="shared" si="5"/>
        <v>2950</v>
      </c>
      <c r="G107" s="1192" t="s">
        <v>3</v>
      </c>
      <c r="H107" s="1189">
        <v>2</v>
      </c>
      <c r="I107" s="1191" t="s">
        <v>40</v>
      </c>
      <c r="J107" s="149">
        <v>90</v>
      </c>
      <c r="K107" s="66">
        <v>260</v>
      </c>
      <c r="L107" s="66">
        <v>2950</v>
      </c>
      <c r="M107" s="150">
        <v>32.90146112192982</v>
      </c>
      <c r="N107" s="78">
        <v>1662.3359999999998</v>
      </c>
      <c r="O107" s="110">
        <v>50895.139181754792</v>
      </c>
      <c r="P107" s="109">
        <v>61143.895493107542</v>
      </c>
      <c r="Q107" s="254">
        <v>35352.372328584599</v>
      </c>
      <c r="R107" s="258">
        <v>86247.511510339391</v>
      </c>
      <c r="S107" s="259">
        <v>96496.267821692134</v>
      </c>
      <c r="U107" s="7" t="s">
        <v>4632</v>
      </c>
    </row>
    <row r="108" spans="1:21" ht="16.5" thickBot="1">
      <c r="A108" s="1193" t="s">
        <v>4533</v>
      </c>
      <c r="B108" s="1194">
        <f t="shared" si="3"/>
        <v>90</v>
      </c>
      <c r="C108" s="1194" t="s">
        <v>3</v>
      </c>
      <c r="D108" s="1194">
        <f t="shared" si="4"/>
        <v>260</v>
      </c>
      <c r="E108" s="1194" t="s">
        <v>3</v>
      </c>
      <c r="F108" s="1195">
        <f t="shared" si="5"/>
        <v>3000</v>
      </c>
      <c r="G108" s="1194" t="s">
        <v>3</v>
      </c>
      <c r="H108" s="1196">
        <v>2</v>
      </c>
      <c r="I108" s="1197" t="s">
        <v>40</v>
      </c>
      <c r="J108" s="265">
        <v>90</v>
      </c>
      <c r="K108" s="266">
        <v>260</v>
      </c>
      <c r="L108" s="266">
        <v>3000</v>
      </c>
      <c r="M108" s="276">
        <v>33.629652451507354</v>
      </c>
      <c r="N108" s="250">
        <v>1694.3039999999996</v>
      </c>
      <c r="O108" s="252">
        <v>51840.044214455716</v>
      </c>
      <c r="P108" s="277">
        <v>62252.864654272926</v>
      </c>
      <c r="Q108" s="267">
        <v>36074.162033848326</v>
      </c>
      <c r="R108" s="1198">
        <v>87914.20624830405</v>
      </c>
      <c r="S108" s="269">
        <v>98327.026688121259</v>
      </c>
      <c r="U108" s="7" t="s">
        <v>4633</v>
      </c>
    </row>
    <row r="109" spans="1:21" ht="19.5" thickBot="1">
      <c r="A109" s="2968" t="s">
        <v>43</v>
      </c>
      <c r="B109" s="2969"/>
      <c r="C109" s="2969"/>
      <c r="D109" s="2969"/>
      <c r="E109" s="2969"/>
      <c r="F109" s="2969"/>
      <c r="G109" s="2969"/>
      <c r="H109" s="2969"/>
      <c r="I109" s="2969"/>
      <c r="J109" s="2969"/>
      <c r="K109" s="2969"/>
      <c r="L109" s="2969"/>
      <c r="M109" s="2969"/>
      <c r="N109" s="2969"/>
      <c r="O109" s="2969"/>
      <c r="P109" s="2969"/>
      <c r="Q109" s="2969"/>
      <c r="R109" s="2969"/>
      <c r="S109" s="2970"/>
      <c r="U109" s="7"/>
    </row>
    <row r="110" spans="1:21" ht="16.5" thickBot="1">
      <c r="A110" s="2974" t="s">
        <v>4532</v>
      </c>
      <c r="B110" s="2975"/>
      <c r="C110" s="2975"/>
      <c r="D110" s="2975"/>
      <c r="E110" s="2975"/>
      <c r="F110" s="2975"/>
      <c r="G110" s="2975"/>
      <c r="H110" s="2975"/>
      <c r="I110" s="2975"/>
      <c r="J110" s="2975"/>
      <c r="K110" s="2975"/>
      <c r="L110" s="2975"/>
      <c r="M110" s="2975"/>
      <c r="N110" s="2975"/>
      <c r="O110" s="2975"/>
      <c r="P110" s="2975"/>
      <c r="Q110" s="2975"/>
      <c r="R110" s="2975"/>
      <c r="S110" s="2976"/>
      <c r="U110" s="7"/>
    </row>
    <row r="111" spans="1:21" ht="16.5" thickBot="1">
      <c r="A111" s="1188" t="s">
        <v>4533</v>
      </c>
      <c r="B111" s="1189">
        <f>J111</f>
        <v>90</v>
      </c>
      <c r="C111" s="1189" t="s">
        <v>3</v>
      </c>
      <c r="D111" s="1189">
        <f>K111</f>
        <v>300</v>
      </c>
      <c r="E111" s="1189" t="s">
        <v>3</v>
      </c>
      <c r="F111" s="1190">
        <f>L111</f>
        <v>600</v>
      </c>
      <c r="G111" s="1189" t="s">
        <v>3</v>
      </c>
      <c r="H111" s="1189">
        <v>2</v>
      </c>
      <c r="I111" s="1191" t="s">
        <v>40</v>
      </c>
      <c r="J111" s="270">
        <v>90</v>
      </c>
      <c r="K111" s="271">
        <v>300</v>
      </c>
      <c r="L111" s="271">
        <v>600</v>
      </c>
      <c r="M111" s="278">
        <v>8.2529917905226107</v>
      </c>
      <c r="N111" s="246">
        <v>179.53509958559999</v>
      </c>
      <c r="O111" s="248">
        <v>16029.72091090458</v>
      </c>
      <c r="P111" s="275">
        <v>19723.228694997124</v>
      </c>
      <c r="Q111" s="272">
        <v>8941.6715199935952</v>
      </c>
      <c r="R111" s="1199">
        <v>24971.392430898173</v>
      </c>
      <c r="S111" s="274">
        <v>28664.900214990717</v>
      </c>
      <c r="U111" s="7" t="s">
        <v>4634</v>
      </c>
    </row>
    <row r="112" spans="1:21" ht="16.5" thickBot="1">
      <c r="A112" s="1188" t="s">
        <v>4533</v>
      </c>
      <c r="B112" s="1192">
        <f t="shared" ref="B112:B159" si="6">J112</f>
        <v>90</v>
      </c>
      <c r="C112" s="1192" t="s">
        <v>3</v>
      </c>
      <c r="D112" s="1192">
        <f t="shared" ref="D112:D159" si="7">K112</f>
        <v>300</v>
      </c>
      <c r="E112" s="1192" t="s">
        <v>3</v>
      </c>
      <c r="F112" s="1190">
        <f t="shared" ref="F112:F159" si="8">L112</f>
        <v>650</v>
      </c>
      <c r="G112" s="1192" t="s">
        <v>3</v>
      </c>
      <c r="H112" s="1189">
        <v>2</v>
      </c>
      <c r="I112" s="1191" t="s">
        <v>40</v>
      </c>
      <c r="J112" s="149">
        <v>90</v>
      </c>
      <c r="K112" s="66">
        <v>300</v>
      </c>
      <c r="L112" s="66">
        <v>650</v>
      </c>
      <c r="M112" s="150">
        <v>8.8181982499948823</v>
      </c>
      <c r="N112" s="78">
        <v>215.44211950271998</v>
      </c>
      <c r="O112" s="110">
        <v>16747.434541980441</v>
      </c>
      <c r="P112" s="111">
        <v>20619.921250101586</v>
      </c>
      <c r="Q112" s="254">
        <v>9465.3131529653438</v>
      </c>
      <c r="R112" s="258">
        <v>26212.747694945785</v>
      </c>
      <c r="S112" s="259">
        <v>30085.23440306693</v>
      </c>
      <c r="U112" s="7" t="s">
        <v>4635</v>
      </c>
    </row>
    <row r="113" spans="1:21" ht="16.5" thickBot="1">
      <c r="A113" s="1188" t="s">
        <v>4533</v>
      </c>
      <c r="B113" s="1192">
        <f t="shared" si="6"/>
        <v>90</v>
      </c>
      <c r="C113" s="1192" t="s">
        <v>3</v>
      </c>
      <c r="D113" s="1192">
        <f t="shared" si="7"/>
        <v>300</v>
      </c>
      <c r="E113" s="1192" t="s">
        <v>3</v>
      </c>
      <c r="F113" s="1190">
        <f t="shared" si="8"/>
        <v>700</v>
      </c>
      <c r="G113" s="1192" t="s">
        <v>3</v>
      </c>
      <c r="H113" s="1189">
        <v>2</v>
      </c>
      <c r="I113" s="1191" t="s">
        <v>40</v>
      </c>
      <c r="J113" s="149">
        <v>90</v>
      </c>
      <c r="K113" s="66">
        <v>300</v>
      </c>
      <c r="L113" s="66">
        <v>700</v>
      </c>
      <c r="M113" s="150">
        <v>9.3834047094671522</v>
      </c>
      <c r="N113" s="78">
        <v>251.34913941983999</v>
      </c>
      <c r="O113" s="110">
        <v>17465.148173056303</v>
      </c>
      <c r="P113" s="111">
        <v>21516.613805206052</v>
      </c>
      <c r="Q113" s="254">
        <v>10240.289076749623</v>
      </c>
      <c r="R113" s="258">
        <v>27705.437249805924</v>
      </c>
      <c r="S113" s="259">
        <v>31756.902881955677</v>
      </c>
      <c r="U113" s="7" t="s">
        <v>4636</v>
      </c>
    </row>
    <row r="114" spans="1:21" ht="16.5" thickBot="1">
      <c r="A114" s="1188" t="s">
        <v>4533</v>
      </c>
      <c r="B114" s="1192">
        <f t="shared" si="6"/>
        <v>90</v>
      </c>
      <c r="C114" s="1192" t="s">
        <v>3</v>
      </c>
      <c r="D114" s="1192">
        <f t="shared" si="7"/>
        <v>300</v>
      </c>
      <c r="E114" s="1192" t="s">
        <v>3</v>
      </c>
      <c r="F114" s="1190">
        <f t="shared" si="8"/>
        <v>750</v>
      </c>
      <c r="G114" s="1192" t="s">
        <v>3</v>
      </c>
      <c r="H114" s="1189">
        <v>2</v>
      </c>
      <c r="I114" s="1191" t="s">
        <v>40</v>
      </c>
      <c r="J114" s="149">
        <v>90</v>
      </c>
      <c r="K114" s="66">
        <v>300</v>
      </c>
      <c r="L114" s="66">
        <v>750</v>
      </c>
      <c r="M114" s="150">
        <v>9.9486111689394221</v>
      </c>
      <c r="N114" s="78">
        <v>287.25615933696002</v>
      </c>
      <c r="O114" s="110">
        <v>18182.861651103402</v>
      </c>
      <c r="P114" s="111">
        <v>22413.306360310518</v>
      </c>
      <c r="Q114" s="254">
        <v>10763.930709721371</v>
      </c>
      <c r="R114" s="258">
        <v>28946.792360824773</v>
      </c>
      <c r="S114" s="259">
        <v>33177.237070031886</v>
      </c>
      <c r="U114" s="7" t="s">
        <v>4637</v>
      </c>
    </row>
    <row r="115" spans="1:21" ht="16.5" thickBot="1">
      <c r="A115" s="1188" t="s">
        <v>4533</v>
      </c>
      <c r="B115" s="1192">
        <f t="shared" si="6"/>
        <v>90</v>
      </c>
      <c r="C115" s="1192" t="s">
        <v>3</v>
      </c>
      <c r="D115" s="1192">
        <f t="shared" si="7"/>
        <v>300</v>
      </c>
      <c r="E115" s="1192" t="s">
        <v>3</v>
      </c>
      <c r="F115" s="1190">
        <f t="shared" si="8"/>
        <v>800</v>
      </c>
      <c r="G115" s="1192" t="s">
        <v>3</v>
      </c>
      <c r="H115" s="1189">
        <v>2</v>
      </c>
      <c r="I115" s="1191" t="s">
        <v>40</v>
      </c>
      <c r="J115" s="149">
        <v>90</v>
      </c>
      <c r="K115" s="66">
        <v>300</v>
      </c>
      <c r="L115" s="66">
        <v>800</v>
      </c>
      <c r="M115" s="150">
        <v>10.51381762841169</v>
      </c>
      <c r="N115" s="78">
        <v>323.16317925407998</v>
      </c>
      <c r="O115" s="110">
        <v>19294.197555150204</v>
      </c>
      <c r="P115" s="111">
        <v>23325.301944956249</v>
      </c>
      <c r="Q115" s="254">
        <v>11287.572342693116</v>
      </c>
      <c r="R115" s="258">
        <v>30581.769897843318</v>
      </c>
      <c r="S115" s="259">
        <v>34612.874287649363</v>
      </c>
      <c r="U115" s="7" t="s">
        <v>4638</v>
      </c>
    </row>
    <row r="116" spans="1:21" ht="16.5" thickBot="1">
      <c r="A116" s="1188" t="s">
        <v>4533</v>
      </c>
      <c r="B116" s="1192">
        <f t="shared" si="6"/>
        <v>90</v>
      </c>
      <c r="C116" s="1192" t="s">
        <v>3</v>
      </c>
      <c r="D116" s="1192">
        <f t="shared" si="7"/>
        <v>300</v>
      </c>
      <c r="E116" s="1192" t="s">
        <v>3</v>
      </c>
      <c r="F116" s="1190">
        <f t="shared" si="8"/>
        <v>850</v>
      </c>
      <c r="G116" s="1192" t="s">
        <v>3</v>
      </c>
      <c r="H116" s="1189">
        <v>2</v>
      </c>
      <c r="I116" s="1191" t="s">
        <v>40</v>
      </c>
      <c r="J116" s="149">
        <v>90</v>
      </c>
      <c r="K116" s="66">
        <v>300</v>
      </c>
      <c r="L116" s="66">
        <v>850</v>
      </c>
      <c r="M116" s="150">
        <v>11.079024087883962</v>
      </c>
      <c r="N116" s="78">
        <v>359.07019917119999</v>
      </c>
      <c r="O116" s="110">
        <v>20011.911186226069</v>
      </c>
      <c r="P116" s="111">
        <v>24221.994500060711</v>
      </c>
      <c r="Q116" s="254">
        <v>12062.548266477399</v>
      </c>
      <c r="R116" s="258">
        <v>32074.459452703468</v>
      </c>
      <c r="S116" s="259">
        <v>36284.542766538114</v>
      </c>
      <c r="U116" s="7" t="s">
        <v>4639</v>
      </c>
    </row>
    <row r="117" spans="1:21" ht="16.5" thickBot="1">
      <c r="A117" s="1188" t="s">
        <v>4533</v>
      </c>
      <c r="B117" s="1192">
        <f t="shared" si="6"/>
        <v>90</v>
      </c>
      <c r="C117" s="1192" t="s">
        <v>3</v>
      </c>
      <c r="D117" s="1192">
        <f t="shared" si="7"/>
        <v>300</v>
      </c>
      <c r="E117" s="1192" t="s">
        <v>3</v>
      </c>
      <c r="F117" s="1190">
        <f t="shared" si="8"/>
        <v>900</v>
      </c>
      <c r="G117" s="1192" t="s">
        <v>3</v>
      </c>
      <c r="H117" s="1189">
        <v>2</v>
      </c>
      <c r="I117" s="1191" t="s">
        <v>40</v>
      </c>
      <c r="J117" s="149">
        <v>90</v>
      </c>
      <c r="K117" s="66">
        <v>300</v>
      </c>
      <c r="L117" s="66">
        <v>900</v>
      </c>
      <c r="M117" s="150">
        <v>11.64423054735623</v>
      </c>
      <c r="N117" s="78">
        <v>394.97721908832</v>
      </c>
      <c r="O117" s="110">
        <v>20729.624664273164</v>
      </c>
      <c r="P117" s="111">
        <v>25118.687055165177</v>
      </c>
      <c r="Q117" s="254">
        <v>12586.189899449146</v>
      </c>
      <c r="R117" s="258">
        <v>33315.814563722306</v>
      </c>
      <c r="S117" s="259">
        <v>37704.876954614323</v>
      </c>
      <c r="U117" s="7" t="s">
        <v>4640</v>
      </c>
    </row>
    <row r="118" spans="1:21" ht="16.5" thickBot="1">
      <c r="A118" s="1188" t="s">
        <v>4533</v>
      </c>
      <c r="B118" s="1192">
        <f t="shared" si="6"/>
        <v>90</v>
      </c>
      <c r="C118" s="1192" t="s">
        <v>3</v>
      </c>
      <c r="D118" s="1192">
        <f t="shared" si="7"/>
        <v>300</v>
      </c>
      <c r="E118" s="1192" t="s">
        <v>3</v>
      </c>
      <c r="F118" s="1190">
        <f t="shared" si="8"/>
        <v>950</v>
      </c>
      <c r="G118" s="1192" t="s">
        <v>3</v>
      </c>
      <c r="H118" s="1189">
        <v>2</v>
      </c>
      <c r="I118" s="1191" t="s">
        <v>40</v>
      </c>
      <c r="J118" s="149">
        <v>90</v>
      </c>
      <c r="K118" s="66">
        <v>300</v>
      </c>
      <c r="L118" s="66">
        <v>950</v>
      </c>
      <c r="M118" s="150">
        <v>12.209437006828502</v>
      </c>
      <c r="N118" s="78">
        <v>430.88423900543995</v>
      </c>
      <c r="O118" s="110">
        <v>21447.338295349025</v>
      </c>
      <c r="P118" s="111">
        <v>26015.37961026964</v>
      </c>
      <c r="Q118" s="254">
        <v>13361.165670204662</v>
      </c>
      <c r="R118" s="258">
        <v>34808.503965553689</v>
      </c>
      <c r="S118" s="259">
        <v>39376.545280474304</v>
      </c>
      <c r="U118" s="7" t="s">
        <v>4641</v>
      </c>
    </row>
    <row r="119" spans="1:21" ht="16.5" thickBot="1">
      <c r="A119" s="1188" t="s">
        <v>4533</v>
      </c>
      <c r="B119" s="1192">
        <f t="shared" si="6"/>
        <v>90</v>
      </c>
      <c r="C119" s="1192" t="s">
        <v>3</v>
      </c>
      <c r="D119" s="1192">
        <f t="shared" si="7"/>
        <v>300</v>
      </c>
      <c r="E119" s="1192" t="s">
        <v>3</v>
      </c>
      <c r="F119" s="1190">
        <f t="shared" si="8"/>
        <v>1000</v>
      </c>
      <c r="G119" s="1192" t="s">
        <v>3</v>
      </c>
      <c r="H119" s="1189">
        <v>2</v>
      </c>
      <c r="I119" s="1191" t="s">
        <v>40</v>
      </c>
      <c r="J119" s="149">
        <v>90</v>
      </c>
      <c r="K119" s="66">
        <v>300</v>
      </c>
      <c r="L119" s="66">
        <v>1000</v>
      </c>
      <c r="M119" s="150">
        <v>12.891697466300769</v>
      </c>
      <c r="N119" s="78">
        <v>466.79125892256002</v>
      </c>
      <c r="O119" s="110">
        <v>22223.264068678436</v>
      </c>
      <c r="P119" s="111">
        <v>26970.284307627655</v>
      </c>
      <c r="Q119" s="254">
        <v>13884.807456205173</v>
      </c>
      <c r="R119" s="258">
        <v>36108.071524883606</v>
      </c>
      <c r="S119" s="259">
        <v>40855.091763832825</v>
      </c>
      <c r="U119" s="7" t="s">
        <v>4642</v>
      </c>
    </row>
    <row r="120" spans="1:21" ht="16.5" thickBot="1">
      <c r="A120" s="1188" t="s">
        <v>4533</v>
      </c>
      <c r="B120" s="1192">
        <f t="shared" si="6"/>
        <v>90</v>
      </c>
      <c r="C120" s="1192" t="s">
        <v>3</v>
      </c>
      <c r="D120" s="1192">
        <f t="shared" si="7"/>
        <v>300</v>
      </c>
      <c r="E120" s="1192" t="s">
        <v>3</v>
      </c>
      <c r="F120" s="1190">
        <f t="shared" si="8"/>
        <v>1050</v>
      </c>
      <c r="G120" s="1192" t="s">
        <v>3</v>
      </c>
      <c r="H120" s="1189">
        <v>2</v>
      </c>
      <c r="I120" s="1191" t="s">
        <v>40</v>
      </c>
      <c r="J120" s="149">
        <v>90</v>
      </c>
      <c r="K120" s="66">
        <v>300</v>
      </c>
      <c r="L120" s="66">
        <v>1050</v>
      </c>
      <c r="M120" s="150">
        <v>13.456903925773041</v>
      </c>
      <c r="N120" s="78">
        <v>502.69827883967997</v>
      </c>
      <c r="O120" s="110">
        <v>22940.977546725535</v>
      </c>
      <c r="P120" s="111">
        <v>27866.977015760887</v>
      </c>
      <c r="Q120" s="254">
        <v>14659.78322696069</v>
      </c>
      <c r="R120" s="258">
        <v>37600.760773686226</v>
      </c>
      <c r="S120" s="259">
        <v>42526.760242721575</v>
      </c>
      <c r="U120" s="7" t="s">
        <v>4643</v>
      </c>
    </row>
    <row r="121" spans="1:21" ht="16.5" thickBot="1">
      <c r="A121" s="1188" t="s">
        <v>4533</v>
      </c>
      <c r="B121" s="1189">
        <f t="shared" si="6"/>
        <v>90</v>
      </c>
      <c r="C121" s="1189" t="s">
        <v>3</v>
      </c>
      <c r="D121" s="1189">
        <f t="shared" si="7"/>
        <v>300</v>
      </c>
      <c r="E121" s="1189" t="s">
        <v>3</v>
      </c>
      <c r="F121" s="1190">
        <f t="shared" si="8"/>
        <v>1100</v>
      </c>
      <c r="G121" s="1189" t="s">
        <v>3</v>
      </c>
      <c r="H121" s="1189">
        <v>2</v>
      </c>
      <c r="I121" s="1191" t="s">
        <v>40</v>
      </c>
      <c r="J121" s="149">
        <v>90</v>
      </c>
      <c r="K121" s="66">
        <v>300</v>
      </c>
      <c r="L121" s="66">
        <v>1100</v>
      </c>
      <c r="M121" s="150">
        <v>14.022110385245309</v>
      </c>
      <c r="N121" s="78">
        <v>538.60529875680004</v>
      </c>
      <c r="O121" s="110">
        <v>23658.691177801396</v>
      </c>
      <c r="P121" s="111">
        <v>28763.669570865346</v>
      </c>
      <c r="Q121" s="254">
        <v>15183.425012961201</v>
      </c>
      <c r="R121" s="258">
        <v>38842.116190762594</v>
      </c>
      <c r="S121" s="259">
        <v>43947.094583826547</v>
      </c>
      <c r="U121" s="7" t="s">
        <v>4644</v>
      </c>
    </row>
    <row r="122" spans="1:21" ht="16.5" thickBot="1">
      <c r="A122" s="1188" t="s">
        <v>4533</v>
      </c>
      <c r="B122" s="1192">
        <f t="shared" si="6"/>
        <v>90</v>
      </c>
      <c r="C122" s="1192" t="s">
        <v>3</v>
      </c>
      <c r="D122" s="1192">
        <f t="shared" si="7"/>
        <v>300</v>
      </c>
      <c r="E122" s="1192" t="s">
        <v>3</v>
      </c>
      <c r="F122" s="1190">
        <f t="shared" si="8"/>
        <v>1150</v>
      </c>
      <c r="G122" s="1192" t="s">
        <v>3</v>
      </c>
      <c r="H122" s="1189">
        <v>2</v>
      </c>
      <c r="I122" s="1191" t="s">
        <v>40</v>
      </c>
      <c r="J122" s="149">
        <v>90</v>
      </c>
      <c r="K122" s="66">
        <v>300</v>
      </c>
      <c r="L122" s="66">
        <v>1150</v>
      </c>
      <c r="M122" s="150">
        <v>14.587316844717581</v>
      </c>
      <c r="N122" s="78">
        <v>574.51231867392005</v>
      </c>
      <c r="O122" s="110">
        <v>24376.404808877258</v>
      </c>
      <c r="P122" s="111">
        <v>29660.362125969812</v>
      </c>
      <c r="Q122" s="254">
        <v>15707.066645932946</v>
      </c>
      <c r="R122" s="258">
        <v>40083.471454810206</v>
      </c>
      <c r="S122" s="259">
        <v>45367.428771902756</v>
      </c>
      <c r="U122" s="7" t="s">
        <v>4645</v>
      </c>
    </row>
    <row r="123" spans="1:21" ht="16.5" thickBot="1">
      <c r="A123" s="1188" t="s">
        <v>4533</v>
      </c>
      <c r="B123" s="1192">
        <f t="shared" si="6"/>
        <v>90</v>
      </c>
      <c r="C123" s="1192" t="s">
        <v>3</v>
      </c>
      <c r="D123" s="1192">
        <f t="shared" si="7"/>
        <v>300</v>
      </c>
      <c r="E123" s="1192" t="s">
        <v>3</v>
      </c>
      <c r="F123" s="1190">
        <f t="shared" si="8"/>
        <v>1200</v>
      </c>
      <c r="G123" s="1192" t="s">
        <v>3</v>
      </c>
      <c r="H123" s="1189">
        <v>2</v>
      </c>
      <c r="I123" s="1191" t="s">
        <v>40</v>
      </c>
      <c r="J123" s="149">
        <v>90</v>
      </c>
      <c r="K123" s="66">
        <v>300</v>
      </c>
      <c r="L123" s="66">
        <v>1200</v>
      </c>
      <c r="M123" s="150">
        <v>15.152523304189849</v>
      </c>
      <c r="N123" s="78">
        <v>610.41933859103995</v>
      </c>
      <c r="O123" s="110">
        <v>25094.11828692436</v>
      </c>
      <c r="P123" s="111">
        <v>30557.054681074278</v>
      </c>
      <c r="Q123" s="254">
        <v>16482.042416688462</v>
      </c>
      <c r="R123" s="258">
        <v>41576.160703612826</v>
      </c>
      <c r="S123" s="259">
        <v>47039.097097762744</v>
      </c>
      <c r="U123" s="7" t="s">
        <v>4646</v>
      </c>
    </row>
    <row r="124" spans="1:21" ht="16.5" thickBot="1">
      <c r="A124" s="1188" t="s">
        <v>4533</v>
      </c>
      <c r="B124" s="1192">
        <f t="shared" si="6"/>
        <v>90</v>
      </c>
      <c r="C124" s="1192" t="s">
        <v>3</v>
      </c>
      <c r="D124" s="1192">
        <f t="shared" si="7"/>
        <v>300</v>
      </c>
      <c r="E124" s="1192" t="s">
        <v>3</v>
      </c>
      <c r="F124" s="1190">
        <f t="shared" si="8"/>
        <v>1250</v>
      </c>
      <c r="G124" s="1192" t="s">
        <v>3</v>
      </c>
      <c r="H124" s="1189">
        <v>2</v>
      </c>
      <c r="I124" s="1191" t="s">
        <v>40</v>
      </c>
      <c r="J124" s="149">
        <v>90</v>
      </c>
      <c r="K124" s="66">
        <v>300</v>
      </c>
      <c r="L124" s="66">
        <v>1250</v>
      </c>
      <c r="M124" s="150">
        <v>15.71772976366212</v>
      </c>
      <c r="N124" s="78">
        <v>646.32635850815996</v>
      </c>
      <c r="O124" s="110">
        <v>25811.831918000218</v>
      </c>
      <c r="P124" s="111">
        <v>31453.747236178744</v>
      </c>
      <c r="Q124" s="254">
        <v>17005.684202688975</v>
      </c>
      <c r="R124" s="258">
        <v>42817.516120689193</v>
      </c>
      <c r="S124" s="259">
        <v>48459.431438867716</v>
      </c>
      <c r="U124" s="7" t="s">
        <v>4647</v>
      </c>
    </row>
    <row r="125" spans="1:21" ht="16.5" thickBot="1">
      <c r="A125" s="1188" t="s">
        <v>4533</v>
      </c>
      <c r="B125" s="1192">
        <f t="shared" si="6"/>
        <v>90</v>
      </c>
      <c r="C125" s="1192" t="s">
        <v>3</v>
      </c>
      <c r="D125" s="1192">
        <f t="shared" si="7"/>
        <v>300</v>
      </c>
      <c r="E125" s="1192" t="s">
        <v>3</v>
      </c>
      <c r="F125" s="1190">
        <f t="shared" si="8"/>
        <v>1300</v>
      </c>
      <c r="G125" s="1192" t="s">
        <v>3</v>
      </c>
      <c r="H125" s="1189">
        <v>2</v>
      </c>
      <c r="I125" s="1191" t="s">
        <v>40</v>
      </c>
      <c r="J125" s="149">
        <v>90</v>
      </c>
      <c r="K125" s="66">
        <v>300</v>
      </c>
      <c r="L125" s="66">
        <v>1300</v>
      </c>
      <c r="M125" s="150">
        <v>16.282936223134389</v>
      </c>
      <c r="N125" s="78">
        <v>682.23337842527997</v>
      </c>
      <c r="O125" s="110">
        <v>26529.545549076083</v>
      </c>
      <c r="P125" s="111">
        <v>32350.439944311969</v>
      </c>
      <c r="Q125" s="254">
        <v>17780.65997344449</v>
      </c>
      <c r="R125" s="258">
        <v>44310.20552252057</v>
      </c>
      <c r="S125" s="259">
        <v>50131.099917756459</v>
      </c>
      <c r="U125" s="7" t="s">
        <v>4648</v>
      </c>
    </row>
    <row r="126" spans="1:21" ht="16.5" thickBot="1">
      <c r="A126" s="1188" t="s">
        <v>4533</v>
      </c>
      <c r="B126" s="1192">
        <f t="shared" si="6"/>
        <v>90</v>
      </c>
      <c r="C126" s="1192" t="s">
        <v>3</v>
      </c>
      <c r="D126" s="1192">
        <f t="shared" si="7"/>
        <v>300</v>
      </c>
      <c r="E126" s="1192" t="s">
        <v>3</v>
      </c>
      <c r="F126" s="1190">
        <f t="shared" si="8"/>
        <v>1350</v>
      </c>
      <c r="G126" s="1192" t="s">
        <v>3</v>
      </c>
      <c r="H126" s="1189">
        <v>2</v>
      </c>
      <c r="I126" s="1191" t="s">
        <v>40</v>
      </c>
      <c r="J126" s="149">
        <v>90</v>
      </c>
      <c r="K126" s="66">
        <v>300</v>
      </c>
      <c r="L126" s="66">
        <v>1350</v>
      </c>
      <c r="M126" s="150">
        <v>16.848142682606657</v>
      </c>
      <c r="N126" s="78">
        <v>718.14039834239998</v>
      </c>
      <c r="O126" s="110">
        <v>27247.259027123182</v>
      </c>
      <c r="P126" s="111">
        <v>33247.132499416432</v>
      </c>
      <c r="Q126" s="254">
        <v>18304.301606416237</v>
      </c>
      <c r="R126" s="258">
        <v>45551.560633539419</v>
      </c>
      <c r="S126" s="259">
        <v>51551.434105832668</v>
      </c>
      <c r="U126" s="7" t="s">
        <v>4649</v>
      </c>
    </row>
    <row r="127" spans="1:21" ht="16.5" thickBot="1">
      <c r="A127" s="1188" t="s">
        <v>4533</v>
      </c>
      <c r="B127" s="1192">
        <f t="shared" si="6"/>
        <v>90</v>
      </c>
      <c r="C127" s="1192" t="s">
        <v>3</v>
      </c>
      <c r="D127" s="1192">
        <f t="shared" si="7"/>
        <v>300</v>
      </c>
      <c r="E127" s="1192" t="s">
        <v>3</v>
      </c>
      <c r="F127" s="1190">
        <f t="shared" si="8"/>
        <v>1400</v>
      </c>
      <c r="G127" s="1192" t="s">
        <v>3</v>
      </c>
      <c r="H127" s="1189">
        <v>2</v>
      </c>
      <c r="I127" s="1191" t="s">
        <v>40</v>
      </c>
      <c r="J127" s="149">
        <v>90</v>
      </c>
      <c r="K127" s="66">
        <v>300</v>
      </c>
      <c r="L127" s="66">
        <v>1400</v>
      </c>
      <c r="M127" s="150">
        <v>17.413349142078928</v>
      </c>
      <c r="N127" s="78">
        <v>754.04741825951999</v>
      </c>
      <c r="O127" s="110">
        <v>27964.97265819904</v>
      </c>
      <c r="P127" s="111">
        <v>34143.825054520901</v>
      </c>
      <c r="Q127" s="254">
        <v>19079.277530200521</v>
      </c>
      <c r="R127" s="258">
        <v>47044.250188399557</v>
      </c>
      <c r="S127" s="259">
        <v>53223.102584721419</v>
      </c>
      <c r="U127" s="7" t="s">
        <v>4650</v>
      </c>
    </row>
    <row r="128" spans="1:21" ht="16.5" thickBot="1">
      <c r="A128" s="1188" t="s">
        <v>4533</v>
      </c>
      <c r="B128" s="1192">
        <f t="shared" si="6"/>
        <v>90</v>
      </c>
      <c r="C128" s="1192" t="s">
        <v>3</v>
      </c>
      <c r="D128" s="1192">
        <f t="shared" si="7"/>
        <v>300</v>
      </c>
      <c r="E128" s="1192" t="s">
        <v>3</v>
      </c>
      <c r="F128" s="1190">
        <f t="shared" si="8"/>
        <v>1450</v>
      </c>
      <c r="G128" s="1192" t="s">
        <v>3</v>
      </c>
      <c r="H128" s="1189">
        <v>2</v>
      </c>
      <c r="I128" s="1191" t="s">
        <v>40</v>
      </c>
      <c r="J128" s="149">
        <v>90</v>
      </c>
      <c r="K128" s="66">
        <v>300</v>
      </c>
      <c r="L128" s="66">
        <v>1450</v>
      </c>
      <c r="M128" s="150">
        <v>17.9785556015512</v>
      </c>
      <c r="N128" s="78">
        <v>789.95443817664</v>
      </c>
      <c r="O128" s="110">
        <v>28682.686289274905</v>
      </c>
      <c r="P128" s="111">
        <v>35040.517609625364</v>
      </c>
      <c r="Q128" s="254">
        <v>19602.919163172111</v>
      </c>
      <c r="R128" s="258">
        <v>48285.605452447016</v>
      </c>
      <c r="S128" s="259">
        <v>54643.436772797475</v>
      </c>
      <c r="U128" s="7" t="s">
        <v>4651</v>
      </c>
    </row>
    <row r="129" spans="1:21" ht="16.5" thickBot="1">
      <c r="A129" s="1188" t="s">
        <v>4533</v>
      </c>
      <c r="B129" s="1192">
        <f t="shared" si="6"/>
        <v>90</v>
      </c>
      <c r="C129" s="1192" t="s">
        <v>3</v>
      </c>
      <c r="D129" s="1192">
        <f t="shared" si="7"/>
        <v>300</v>
      </c>
      <c r="E129" s="1192" t="s">
        <v>3</v>
      </c>
      <c r="F129" s="1190">
        <f t="shared" si="8"/>
        <v>1500</v>
      </c>
      <c r="G129" s="1192" t="s">
        <v>3</v>
      </c>
      <c r="H129" s="1189">
        <v>2</v>
      </c>
      <c r="I129" s="1191" t="s">
        <v>40</v>
      </c>
      <c r="J129" s="149">
        <v>90</v>
      </c>
      <c r="K129" s="66">
        <v>300</v>
      </c>
      <c r="L129" s="66">
        <v>1500</v>
      </c>
      <c r="M129" s="150">
        <v>18.842056861023469</v>
      </c>
      <c r="N129" s="78">
        <v>825.86145809375989</v>
      </c>
      <c r="O129" s="110">
        <v>30125.572632525116</v>
      </c>
      <c r="P129" s="111">
        <v>36834.560743524336</v>
      </c>
      <c r="Q129" s="254">
        <v>20377.895086956549</v>
      </c>
      <c r="R129" s="258">
        <v>50503.467719481661</v>
      </c>
      <c r="S129" s="259">
        <v>57212.455830480889</v>
      </c>
      <c r="U129" s="7" t="s">
        <v>4652</v>
      </c>
    </row>
    <row r="130" spans="1:21" ht="16.5" thickBot="1">
      <c r="A130" s="1188" t="s">
        <v>4533</v>
      </c>
      <c r="B130" s="1192">
        <f t="shared" si="6"/>
        <v>90</v>
      </c>
      <c r="C130" s="1192" t="s">
        <v>3</v>
      </c>
      <c r="D130" s="1192">
        <f t="shared" si="7"/>
        <v>300</v>
      </c>
      <c r="E130" s="1192" t="s">
        <v>3</v>
      </c>
      <c r="F130" s="1190">
        <f t="shared" si="8"/>
        <v>1550</v>
      </c>
      <c r="G130" s="1192" t="s">
        <v>3</v>
      </c>
      <c r="H130" s="1189">
        <v>2</v>
      </c>
      <c r="I130" s="1191" t="s">
        <v>40</v>
      </c>
      <c r="J130" s="149">
        <v>90</v>
      </c>
      <c r="K130" s="66">
        <v>300</v>
      </c>
      <c r="L130" s="66">
        <v>1550</v>
      </c>
      <c r="M130" s="150">
        <v>19.407263320495741</v>
      </c>
      <c r="N130" s="78">
        <v>861.7684780108799</v>
      </c>
      <c r="O130" s="110">
        <v>30843.286263600981</v>
      </c>
      <c r="P130" s="111">
        <v>37731.253298628792</v>
      </c>
      <c r="Q130" s="254">
        <v>20901.536719928292</v>
      </c>
      <c r="R130" s="258">
        <v>51744.822983529273</v>
      </c>
      <c r="S130" s="259">
        <v>58632.790018557083</v>
      </c>
      <c r="U130" s="7" t="s">
        <v>4653</v>
      </c>
    </row>
    <row r="131" spans="1:21" ht="16.5" thickBot="1">
      <c r="A131" s="1188" t="s">
        <v>4533</v>
      </c>
      <c r="B131" s="1189">
        <f t="shared" si="6"/>
        <v>90</v>
      </c>
      <c r="C131" s="1189" t="s">
        <v>3</v>
      </c>
      <c r="D131" s="1189">
        <f t="shared" si="7"/>
        <v>300</v>
      </c>
      <c r="E131" s="1189" t="s">
        <v>3</v>
      </c>
      <c r="F131" s="1190">
        <f t="shared" si="8"/>
        <v>1600</v>
      </c>
      <c r="G131" s="1189" t="s">
        <v>3</v>
      </c>
      <c r="H131" s="1189">
        <v>2</v>
      </c>
      <c r="I131" s="1191" t="s">
        <v>40</v>
      </c>
      <c r="J131" s="149">
        <v>90</v>
      </c>
      <c r="K131" s="66">
        <v>300</v>
      </c>
      <c r="L131" s="66">
        <v>1600</v>
      </c>
      <c r="M131" s="150">
        <v>19.972469779968009</v>
      </c>
      <c r="N131" s="78">
        <v>897.67549792799991</v>
      </c>
      <c r="O131" s="110">
        <v>31560.999741648076</v>
      </c>
      <c r="P131" s="111">
        <v>38627.946006762024</v>
      </c>
      <c r="Q131" s="254">
        <v>21425.178352900039</v>
      </c>
      <c r="R131" s="258">
        <v>52986.178094548115</v>
      </c>
      <c r="S131" s="259">
        <v>60053.124359662062</v>
      </c>
      <c r="U131" s="7" t="s">
        <v>4654</v>
      </c>
    </row>
    <row r="132" spans="1:21" ht="16.5" thickBot="1">
      <c r="A132" s="1188" t="s">
        <v>4533</v>
      </c>
      <c r="B132" s="1192">
        <f t="shared" si="6"/>
        <v>90</v>
      </c>
      <c r="C132" s="1192" t="s">
        <v>3</v>
      </c>
      <c r="D132" s="1192">
        <f t="shared" si="7"/>
        <v>300</v>
      </c>
      <c r="E132" s="1192" t="s">
        <v>3</v>
      </c>
      <c r="F132" s="1190">
        <f t="shared" si="8"/>
        <v>1650</v>
      </c>
      <c r="G132" s="1192" t="s">
        <v>3</v>
      </c>
      <c r="H132" s="1189">
        <v>2</v>
      </c>
      <c r="I132" s="1191" t="s">
        <v>40</v>
      </c>
      <c r="J132" s="149">
        <v>90</v>
      </c>
      <c r="K132" s="66">
        <v>300</v>
      </c>
      <c r="L132" s="66">
        <v>1650</v>
      </c>
      <c r="M132" s="150">
        <v>20.537676239440277</v>
      </c>
      <c r="N132" s="78">
        <v>933.58251784512004</v>
      </c>
      <c r="O132" s="110">
        <v>32278.713372723938</v>
      </c>
      <c r="P132" s="111">
        <v>39524.638561866494</v>
      </c>
      <c r="Q132" s="254">
        <v>22200.154276684319</v>
      </c>
      <c r="R132" s="258">
        <v>54478.867649408261</v>
      </c>
      <c r="S132" s="259">
        <v>61724.792838550813</v>
      </c>
      <c r="U132" s="7" t="s">
        <v>4655</v>
      </c>
    </row>
    <row r="133" spans="1:21" ht="16.5" thickBot="1">
      <c r="A133" s="1188" t="s">
        <v>4533</v>
      </c>
      <c r="B133" s="1192">
        <f t="shared" si="6"/>
        <v>90</v>
      </c>
      <c r="C133" s="1192" t="s">
        <v>3</v>
      </c>
      <c r="D133" s="1192">
        <f t="shared" si="7"/>
        <v>300</v>
      </c>
      <c r="E133" s="1192" t="s">
        <v>3</v>
      </c>
      <c r="F133" s="1190">
        <f t="shared" si="8"/>
        <v>1700</v>
      </c>
      <c r="G133" s="1192" t="s">
        <v>3</v>
      </c>
      <c r="H133" s="1189">
        <v>2</v>
      </c>
      <c r="I133" s="1191" t="s">
        <v>40</v>
      </c>
      <c r="J133" s="149">
        <v>90</v>
      </c>
      <c r="K133" s="66">
        <v>300</v>
      </c>
      <c r="L133" s="66">
        <v>1700</v>
      </c>
      <c r="M133" s="150">
        <v>21.102882698912548</v>
      </c>
      <c r="N133" s="78">
        <v>969.48953776224005</v>
      </c>
      <c r="O133" s="110">
        <v>32996.427003799799</v>
      </c>
      <c r="P133" s="111">
        <v>40421.331116970956</v>
      </c>
      <c r="Q133" s="254">
        <v>22723.795909656066</v>
      </c>
      <c r="R133" s="258">
        <v>55720.222913455866</v>
      </c>
      <c r="S133" s="259">
        <v>63145.127026627022</v>
      </c>
      <c r="U133" s="7" t="s">
        <v>4656</v>
      </c>
    </row>
    <row r="134" spans="1:21" ht="16.5" thickBot="1">
      <c r="A134" s="1188" t="s">
        <v>4533</v>
      </c>
      <c r="B134" s="1192">
        <f t="shared" si="6"/>
        <v>90</v>
      </c>
      <c r="C134" s="1192" t="s">
        <v>3</v>
      </c>
      <c r="D134" s="1192">
        <f t="shared" si="7"/>
        <v>300</v>
      </c>
      <c r="E134" s="1192" t="s">
        <v>3</v>
      </c>
      <c r="F134" s="1190">
        <f t="shared" si="8"/>
        <v>1750</v>
      </c>
      <c r="G134" s="1192" t="s">
        <v>3</v>
      </c>
      <c r="H134" s="1189">
        <v>2</v>
      </c>
      <c r="I134" s="1191" t="s">
        <v>40</v>
      </c>
      <c r="J134" s="149">
        <v>90</v>
      </c>
      <c r="K134" s="66">
        <v>300</v>
      </c>
      <c r="L134" s="66">
        <v>1750</v>
      </c>
      <c r="M134" s="150">
        <v>21.668089158384817</v>
      </c>
      <c r="N134" s="78">
        <v>1005.3965576793599</v>
      </c>
      <c r="O134" s="110">
        <v>33714.140481846902</v>
      </c>
      <c r="P134" s="111">
        <v>41318.023672075418</v>
      </c>
      <c r="Q134" s="254">
        <v>23498.771833440347</v>
      </c>
      <c r="R134" s="258">
        <v>57212.912315287249</v>
      </c>
      <c r="S134" s="259">
        <v>64816.795505515765</v>
      </c>
      <c r="U134" s="7" t="s">
        <v>4657</v>
      </c>
    </row>
    <row r="135" spans="1:21" ht="16.5" thickBot="1">
      <c r="A135" s="1188" t="s">
        <v>4533</v>
      </c>
      <c r="B135" s="1192">
        <f t="shared" si="6"/>
        <v>90</v>
      </c>
      <c r="C135" s="1192" t="s">
        <v>3</v>
      </c>
      <c r="D135" s="1192">
        <f t="shared" si="7"/>
        <v>300</v>
      </c>
      <c r="E135" s="1192" t="s">
        <v>3</v>
      </c>
      <c r="F135" s="1190">
        <f t="shared" si="8"/>
        <v>1800</v>
      </c>
      <c r="G135" s="1192" t="s">
        <v>3</v>
      </c>
      <c r="H135" s="1189">
        <v>2</v>
      </c>
      <c r="I135" s="1191" t="s">
        <v>40</v>
      </c>
      <c r="J135" s="149">
        <v>90</v>
      </c>
      <c r="K135" s="66">
        <v>300</v>
      </c>
      <c r="L135" s="66">
        <v>1800</v>
      </c>
      <c r="M135" s="150">
        <v>22.233295617857088</v>
      </c>
      <c r="N135" s="78">
        <v>1041.30357759648</v>
      </c>
      <c r="O135" s="110">
        <v>34431.85411292276</v>
      </c>
      <c r="P135" s="111">
        <v>42214.716227179881</v>
      </c>
      <c r="Q135" s="254">
        <v>24022.413466412094</v>
      </c>
      <c r="R135" s="258">
        <v>58454.267579334854</v>
      </c>
      <c r="S135" s="259">
        <v>66237.129693591967</v>
      </c>
      <c r="U135" s="7" t="s">
        <v>4658</v>
      </c>
    </row>
    <row r="136" spans="1:21" ht="16.5" thickBot="1">
      <c r="A136" s="1188" t="s">
        <v>4533</v>
      </c>
      <c r="B136" s="1192">
        <f t="shared" si="6"/>
        <v>90</v>
      </c>
      <c r="C136" s="1192" t="s">
        <v>3</v>
      </c>
      <c r="D136" s="1192">
        <f t="shared" si="7"/>
        <v>300</v>
      </c>
      <c r="E136" s="1192" t="s">
        <v>3</v>
      </c>
      <c r="F136" s="1190">
        <f t="shared" si="8"/>
        <v>1850</v>
      </c>
      <c r="G136" s="1192" t="s">
        <v>3</v>
      </c>
      <c r="H136" s="1189">
        <v>2</v>
      </c>
      <c r="I136" s="1191" t="s">
        <v>40</v>
      </c>
      <c r="J136" s="149">
        <v>90</v>
      </c>
      <c r="K136" s="66">
        <v>300</v>
      </c>
      <c r="L136" s="66">
        <v>1850</v>
      </c>
      <c r="M136" s="150">
        <v>22.79850207732936</v>
      </c>
      <c r="N136" s="78">
        <v>1077.2105975136001</v>
      </c>
      <c r="O136" s="110">
        <v>35149.567743998625</v>
      </c>
      <c r="P136" s="111">
        <v>43111.408935313113</v>
      </c>
      <c r="Q136" s="254">
        <v>24797.389237167612</v>
      </c>
      <c r="R136" s="258">
        <v>59946.956981166237</v>
      </c>
      <c r="S136" s="259">
        <v>67908.798172480718</v>
      </c>
      <c r="U136" s="7" t="s">
        <v>4659</v>
      </c>
    </row>
    <row r="137" spans="1:21" ht="16.5" thickBot="1">
      <c r="A137" s="1188" t="s">
        <v>4533</v>
      </c>
      <c r="B137" s="1192">
        <f t="shared" si="6"/>
        <v>90</v>
      </c>
      <c r="C137" s="1192" t="s">
        <v>3</v>
      </c>
      <c r="D137" s="1192">
        <f t="shared" si="7"/>
        <v>300</v>
      </c>
      <c r="E137" s="1192" t="s">
        <v>3</v>
      </c>
      <c r="F137" s="1190">
        <f t="shared" si="8"/>
        <v>1900</v>
      </c>
      <c r="G137" s="1192" t="s">
        <v>3</v>
      </c>
      <c r="H137" s="1189">
        <v>2</v>
      </c>
      <c r="I137" s="1191" t="s">
        <v>40</v>
      </c>
      <c r="J137" s="149">
        <v>90</v>
      </c>
      <c r="K137" s="66">
        <v>300</v>
      </c>
      <c r="L137" s="66">
        <v>1900</v>
      </c>
      <c r="M137" s="150">
        <v>23.363708536801624</v>
      </c>
      <c r="N137" s="78">
        <v>1113.11761743072</v>
      </c>
      <c r="O137" s="110">
        <v>35867.28122204572</v>
      </c>
      <c r="P137" s="111">
        <v>44008.101490417575</v>
      </c>
      <c r="Q137" s="254">
        <v>25321.031023168125</v>
      </c>
      <c r="R137" s="258">
        <v>61188.312245213849</v>
      </c>
      <c r="S137" s="259">
        <v>69329.132513585704</v>
      </c>
      <c r="U137" s="7" t="s">
        <v>4660</v>
      </c>
    </row>
    <row r="138" spans="1:21" ht="16.5" thickBot="1">
      <c r="A138" s="1188" t="s">
        <v>4533</v>
      </c>
      <c r="B138" s="1192">
        <f t="shared" si="6"/>
        <v>90</v>
      </c>
      <c r="C138" s="1192" t="s">
        <v>3</v>
      </c>
      <c r="D138" s="1192">
        <f t="shared" si="7"/>
        <v>300</v>
      </c>
      <c r="E138" s="1192" t="s">
        <v>3</v>
      </c>
      <c r="F138" s="1190">
        <f t="shared" si="8"/>
        <v>1950</v>
      </c>
      <c r="G138" s="1192" t="s">
        <v>3</v>
      </c>
      <c r="H138" s="1189">
        <v>2</v>
      </c>
      <c r="I138" s="1191" t="s">
        <v>40</v>
      </c>
      <c r="J138" s="149">
        <v>90</v>
      </c>
      <c r="K138" s="66">
        <v>300</v>
      </c>
      <c r="L138" s="66">
        <v>1950</v>
      </c>
      <c r="M138" s="150">
        <v>23.928914996273903</v>
      </c>
      <c r="N138" s="78">
        <v>1149.0246373478401</v>
      </c>
      <c r="O138" s="110">
        <v>36584.994853121578</v>
      </c>
      <c r="P138" s="111">
        <v>44904.794045522045</v>
      </c>
      <c r="Q138" s="254">
        <v>25844.672656139872</v>
      </c>
      <c r="R138" s="258">
        <v>62429.667509261446</v>
      </c>
      <c r="S138" s="259">
        <v>70749.466701661921</v>
      </c>
      <c r="U138" s="7" t="s">
        <v>4661</v>
      </c>
    </row>
    <row r="139" spans="1:21" ht="16.5" thickBot="1">
      <c r="A139" s="1188" t="s">
        <v>4533</v>
      </c>
      <c r="B139" s="1192">
        <f t="shared" si="6"/>
        <v>90</v>
      </c>
      <c r="C139" s="1192" t="s">
        <v>3</v>
      </c>
      <c r="D139" s="1192">
        <f t="shared" si="7"/>
        <v>300</v>
      </c>
      <c r="E139" s="1192" t="s">
        <v>3</v>
      </c>
      <c r="F139" s="1190">
        <f t="shared" si="8"/>
        <v>2000</v>
      </c>
      <c r="G139" s="1192" t="s">
        <v>3</v>
      </c>
      <c r="H139" s="1189">
        <v>2</v>
      </c>
      <c r="I139" s="1191" t="s">
        <v>40</v>
      </c>
      <c r="J139" s="149">
        <v>90</v>
      </c>
      <c r="K139" s="66">
        <v>300</v>
      </c>
      <c r="L139" s="66">
        <v>2000</v>
      </c>
      <c r="M139" s="150">
        <v>24.611175455746164</v>
      </c>
      <c r="N139" s="78">
        <v>1184.93165726496</v>
      </c>
      <c r="O139" s="110">
        <v>37796.77883859643</v>
      </c>
      <c r="P139" s="111">
        <v>45972.327914012058</v>
      </c>
      <c r="Q139" s="254">
        <v>26619.648426895383</v>
      </c>
      <c r="R139" s="258">
        <v>64416.427265491817</v>
      </c>
      <c r="S139" s="259">
        <v>72591.976340907437</v>
      </c>
      <c r="U139" s="7" t="s">
        <v>4662</v>
      </c>
    </row>
    <row r="140" spans="1:21" ht="16.5" thickBot="1">
      <c r="A140" s="1188" t="s">
        <v>4533</v>
      </c>
      <c r="B140" s="1192">
        <f t="shared" si="6"/>
        <v>90</v>
      </c>
      <c r="C140" s="1192" t="s">
        <v>3</v>
      </c>
      <c r="D140" s="1192">
        <f t="shared" si="7"/>
        <v>300</v>
      </c>
      <c r="E140" s="1192" t="s">
        <v>3</v>
      </c>
      <c r="F140" s="1190">
        <f t="shared" si="8"/>
        <v>2050</v>
      </c>
      <c r="G140" s="1192" t="s">
        <v>3</v>
      </c>
      <c r="H140" s="1189">
        <v>2</v>
      </c>
      <c r="I140" s="1191" t="s">
        <v>40</v>
      </c>
      <c r="J140" s="149">
        <v>90</v>
      </c>
      <c r="K140" s="66">
        <v>300</v>
      </c>
      <c r="L140" s="66">
        <v>2050</v>
      </c>
      <c r="M140" s="150">
        <v>25.176381915218435</v>
      </c>
      <c r="N140" s="78">
        <v>1220.8386771820799</v>
      </c>
      <c r="O140" s="110">
        <v>38514.492316643533</v>
      </c>
      <c r="P140" s="111">
        <v>46869.02046911652</v>
      </c>
      <c r="Q140" s="254">
        <v>27143.290212895896</v>
      </c>
      <c r="R140" s="258">
        <v>65657.782529539429</v>
      </c>
      <c r="S140" s="259">
        <v>74012.310682012409</v>
      </c>
      <c r="U140" s="7" t="s">
        <v>4663</v>
      </c>
    </row>
    <row r="141" spans="1:21" ht="16.5" thickBot="1">
      <c r="A141" s="1188" t="s">
        <v>4533</v>
      </c>
      <c r="B141" s="1189">
        <f t="shared" si="6"/>
        <v>90</v>
      </c>
      <c r="C141" s="1189" t="s">
        <v>3</v>
      </c>
      <c r="D141" s="1189">
        <f t="shared" si="7"/>
        <v>300</v>
      </c>
      <c r="E141" s="1189" t="s">
        <v>3</v>
      </c>
      <c r="F141" s="1190">
        <f t="shared" si="8"/>
        <v>2100</v>
      </c>
      <c r="G141" s="1189" t="s">
        <v>3</v>
      </c>
      <c r="H141" s="1189">
        <v>2</v>
      </c>
      <c r="I141" s="1191" t="s">
        <v>40</v>
      </c>
      <c r="J141" s="149">
        <v>90</v>
      </c>
      <c r="K141" s="66">
        <v>300</v>
      </c>
      <c r="L141" s="66">
        <v>2100</v>
      </c>
      <c r="M141" s="150">
        <v>25.741588374690703</v>
      </c>
      <c r="N141" s="78">
        <v>1256.7456970992</v>
      </c>
      <c r="O141" s="110">
        <v>39232.205947719398</v>
      </c>
      <c r="P141" s="111">
        <v>47765.713177249752</v>
      </c>
      <c r="Q141" s="254">
        <v>27918.265983651414</v>
      </c>
      <c r="R141" s="258">
        <v>67150.471931370819</v>
      </c>
      <c r="S141" s="259">
        <v>75683.979160901159</v>
      </c>
      <c r="U141" s="7" t="s">
        <v>4664</v>
      </c>
    </row>
    <row r="142" spans="1:21" ht="16.5" thickBot="1">
      <c r="A142" s="1188" t="s">
        <v>4533</v>
      </c>
      <c r="B142" s="1192">
        <f t="shared" si="6"/>
        <v>90</v>
      </c>
      <c r="C142" s="1192" t="s">
        <v>3</v>
      </c>
      <c r="D142" s="1192">
        <f t="shared" si="7"/>
        <v>300</v>
      </c>
      <c r="E142" s="1192" t="s">
        <v>3</v>
      </c>
      <c r="F142" s="1190">
        <f t="shared" si="8"/>
        <v>2150</v>
      </c>
      <c r="G142" s="1192" t="s">
        <v>3</v>
      </c>
      <c r="H142" s="1189">
        <v>2</v>
      </c>
      <c r="I142" s="1191" t="s">
        <v>40</v>
      </c>
      <c r="J142" s="149">
        <v>90</v>
      </c>
      <c r="K142" s="66">
        <v>300</v>
      </c>
      <c r="L142" s="66">
        <v>2150</v>
      </c>
      <c r="M142" s="150">
        <v>26.306794834162972</v>
      </c>
      <c r="N142" s="78">
        <v>1292.6527170163199</v>
      </c>
      <c r="O142" s="110">
        <v>39949.919578795256</v>
      </c>
      <c r="P142" s="111">
        <v>48662.405732354215</v>
      </c>
      <c r="Q142" s="254">
        <v>28441.907769651927</v>
      </c>
      <c r="R142" s="258">
        <v>68391.827348447187</v>
      </c>
      <c r="S142" s="259">
        <v>77104.313502006145</v>
      </c>
      <c r="U142" s="7" t="s">
        <v>4665</v>
      </c>
    </row>
    <row r="143" spans="1:21" ht="16.5" thickBot="1">
      <c r="A143" s="1188" t="s">
        <v>4533</v>
      </c>
      <c r="B143" s="1192">
        <f t="shared" si="6"/>
        <v>90</v>
      </c>
      <c r="C143" s="1192" t="s">
        <v>3</v>
      </c>
      <c r="D143" s="1192">
        <f t="shared" si="7"/>
        <v>300</v>
      </c>
      <c r="E143" s="1192" t="s">
        <v>3</v>
      </c>
      <c r="F143" s="1190">
        <f t="shared" si="8"/>
        <v>2200</v>
      </c>
      <c r="G143" s="1192" t="s">
        <v>3</v>
      </c>
      <c r="H143" s="1189">
        <v>2</v>
      </c>
      <c r="I143" s="1191" t="s">
        <v>40</v>
      </c>
      <c r="J143" s="149">
        <v>90</v>
      </c>
      <c r="K143" s="66">
        <v>300</v>
      </c>
      <c r="L143" s="66">
        <v>2200</v>
      </c>
      <c r="M143" s="150">
        <v>26.87200129363525</v>
      </c>
      <c r="N143" s="78">
        <v>1328.55973693344</v>
      </c>
      <c r="O143" s="110">
        <v>40667.633209871121</v>
      </c>
      <c r="P143" s="111">
        <v>49559.098287458677</v>
      </c>
      <c r="Q143" s="254">
        <v>29216.883540407438</v>
      </c>
      <c r="R143" s="258">
        <v>69884.516750278563</v>
      </c>
      <c r="S143" s="259">
        <v>78775.981827866111</v>
      </c>
      <c r="U143" s="7" t="s">
        <v>4666</v>
      </c>
    </row>
    <row r="144" spans="1:21" ht="16.5" thickBot="1">
      <c r="A144" s="1188" t="s">
        <v>4533</v>
      </c>
      <c r="B144" s="1192">
        <f t="shared" si="6"/>
        <v>90</v>
      </c>
      <c r="C144" s="1192" t="s">
        <v>3</v>
      </c>
      <c r="D144" s="1192">
        <f t="shared" si="7"/>
        <v>300</v>
      </c>
      <c r="E144" s="1192" t="s">
        <v>3</v>
      </c>
      <c r="F144" s="1190">
        <f t="shared" si="8"/>
        <v>2250</v>
      </c>
      <c r="G144" s="1192" t="s">
        <v>3</v>
      </c>
      <c r="H144" s="1189">
        <v>2</v>
      </c>
      <c r="I144" s="1191" t="s">
        <v>40</v>
      </c>
      <c r="J144" s="149">
        <v>90</v>
      </c>
      <c r="K144" s="66">
        <v>300</v>
      </c>
      <c r="L144" s="66">
        <v>2250</v>
      </c>
      <c r="M144" s="150">
        <v>27.437207753107511</v>
      </c>
      <c r="N144" s="78">
        <v>1364.4667568505599</v>
      </c>
      <c r="O144" s="110">
        <v>41385.346687918216</v>
      </c>
      <c r="P144" s="111">
        <v>50455.790842563139</v>
      </c>
      <c r="Q144" s="254">
        <v>29740.525173379188</v>
      </c>
      <c r="R144" s="258">
        <v>71125.871861297404</v>
      </c>
      <c r="S144" s="259">
        <v>80196.316015942328</v>
      </c>
      <c r="U144" s="7" t="s">
        <v>4667</v>
      </c>
    </row>
    <row r="145" spans="1:21" ht="16.5" thickBot="1">
      <c r="A145" s="1188" t="s">
        <v>4533</v>
      </c>
      <c r="B145" s="1192">
        <f t="shared" si="6"/>
        <v>90</v>
      </c>
      <c r="C145" s="1192" t="s">
        <v>3</v>
      </c>
      <c r="D145" s="1192">
        <f t="shared" si="7"/>
        <v>300</v>
      </c>
      <c r="E145" s="1192" t="s">
        <v>3</v>
      </c>
      <c r="F145" s="1190">
        <f t="shared" si="8"/>
        <v>2300</v>
      </c>
      <c r="G145" s="1192" t="s">
        <v>3</v>
      </c>
      <c r="H145" s="1189">
        <v>2</v>
      </c>
      <c r="I145" s="1191" t="s">
        <v>40</v>
      </c>
      <c r="J145" s="149">
        <v>90</v>
      </c>
      <c r="K145" s="66">
        <v>300</v>
      </c>
      <c r="L145" s="66">
        <v>2300</v>
      </c>
      <c r="M145" s="150">
        <v>28.002414212579787</v>
      </c>
      <c r="N145" s="78">
        <v>1400.3737767676798</v>
      </c>
      <c r="O145" s="110">
        <v>42103.060318994074</v>
      </c>
      <c r="P145" s="111">
        <v>51352.483397667602</v>
      </c>
      <c r="Q145" s="254">
        <v>30264.166959379701</v>
      </c>
      <c r="R145" s="258">
        <v>72367.227278373772</v>
      </c>
      <c r="S145" s="259">
        <v>81616.6503570473</v>
      </c>
      <c r="U145" s="7" t="s">
        <v>4668</v>
      </c>
    </row>
    <row r="146" spans="1:21" ht="16.5" thickBot="1">
      <c r="A146" s="1188" t="s">
        <v>4533</v>
      </c>
      <c r="B146" s="1192">
        <f t="shared" si="6"/>
        <v>90</v>
      </c>
      <c r="C146" s="1192" t="s">
        <v>3</v>
      </c>
      <c r="D146" s="1192">
        <f t="shared" si="7"/>
        <v>300</v>
      </c>
      <c r="E146" s="1192" t="s">
        <v>3</v>
      </c>
      <c r="F146" s="1190">
        <f t="shared" si="8"/>
        <v>2350</v>
      </c>
      <c r="G146" s="1192" t="s">
        <v>3</v>
      </c>
      <c r="H146" s="1189">
        <v>2</v>
      </c>
      <c r="I146" s="1191" t="s">
        <v>40</v>
      </c>
      <c r="J146" s="149">
        <v>90</v>
      </c>
      <c r="K146" s="66">
        <v>300</v>
      </c>
      <c r="L146" s="66">
        <v>2350</v>
      </c>
      <c r="M146" s="150">
        <v>28.567620672052058</v>
      </c>
      <c r="N146" s="78">
        <v>1436.2807966848</v>
      </c>
      <c r="O146" s="110">
        <v>42820.773950069939</v>
      </c>
      <c r="P146" s="111">
        <v>52249.176105800841</v>
      </c>
      <c r="Q146" s="254">
        <v>31039.142730135216</v>
      </c>
      <c r="R146" s="258">
        <v>73859.916680205148</v>
      </c>
      <c r="S146" s="259">
        <v>83288.31883593605</v>
      </c>
      <c r="U146" s="7" t="s">
        <v>4669</v>
      </c>
    </row>
    <row r="147" spans="1:21" ht="16.5" thickBot="1">
      <c r="A147" s="1188" t="s">
        <v>4533</v>
      </c>
      <c r="B147" s="1192">
        <f t="shared" si="6"/>
        <v>90</v>
      </c>
      <c r="C147" s="1192" t="s">
        <v>3</v>
      </c>
      <c r="D147" s="1192">
        <f t="shared" si="7"/>
        <v>300</v>
      </c>
      <c r="E147" s="1192" t="s">
        <v>3</v>
      </c>
      <c r="F147" s="1190">
        <f t="shared" si="8"/>
        <v>2400</v>
      </c>
      <c r="G147" s="1192" t="s">
        <v>3</v>
      </c>
      <c r="H147" s="1189">
        <v>2</v>
      </c>
      <c r="I147" s="1191" t="s">
        <v>40</v>
      </c>
      <c r="J147" s="149">
        <v>90</v>
      </c>
      <c r="K147" s="66">
        <v>300</v>
      </c>
      <c r="L147" s="66">
        <v>2400</v>
      </c>
      <c r="M147" s="150">
        <v>29.132827131524316</v>
      </c>
      <c r="N147" s="78">
        <v>1472.1878166019198</v>
      </c>
      <c r="O147" s="110">
        <v>43538.487428117041</v>
      </c>
      <c r="P147" s="111">
        <v>53145.868660905297</v>
      </c>
      <c r="Q147" s="254">
        <v>31562.784363106966</v>
      </c>
      <c r="R147" s="258">
        <v>75101.271791224004</v>
      </c>
      <c r="S147" s="259">
        <v>84708.653024012267</v>
      </c>
      <c r="U147" s="7" t="s">
        <v>4670</v>
      </c>
    </row>
    <row r="148" spans="1:21" ht="16.5" thickBot="1">
      <c r="A148" s="1188" t="s">
        <v>4533</v>
      </c>
      <c r="B148" s="1192">
        <f t="shared" si="6"/>
        <v>90</v>
      </c>
      <c r="C148" s="1192" t="s">
        <v>3</v>
      </c>
      <c r="D148" s="1192">
        <f t="shared" si="7"/>
        <v>300</v>
      </c>
      <c r="E148" s="1192" t="s">
        <v>3</v>
      </c>
      <c r="F148" s="1190">
        <f t="shared" si="8"/>
        <v>2450</v>
      </c>
      <c r="G148" s="1192" t="s">
        <v>3</v>
      </c>
      <c r="H148" s="1189">
        <v>2</v>
      </c>
      <c r="I148" s="1191" t="s">
        <v>40</v>
      </c>
      <c r="J148" s="149">
        <v>90</v>
      </c>
      <c r="K148" s="66">
        <v>300</v>
      </c>
      <c r="L148" s="66">
        <v>2450</v>
      </c>
      <c r="M148" s="150">
        <v>29.698033590996594</v>
      </c>
      <c r="N148" s="78">
        <v>1508.09483651904</v>
      </c>
      <c r="O148" s="110">
        <v>44256.201059192899</v>
      </c>
      <c r="P148" s="111">
        <v>54042.561216009759</v>
      </c>
      <c r="Q148" s="254">
        <v>32337.760286891244</v>
      </c>
      <c r="R148" s="258">
        <v>76593.961346084136</v>
      </c>
      <c r="S148" s="259">
        <v>86380.321502901003</v>
      </c>
      <c r="U148" s="7" t="s">
        <v>4671</v>
      </c>
    </row>
    <row r="149" spans="1:21" ht="16.5" thickBot="1">
      <c r="A149" s="1188" t="s">
        <v>4533</v>
      </c>
      <c r="B149" s="1192">
        <f t="shared" si="6"/>
        <v>90</v>
      </c>
      <c r="C149" s="1192" t="s">
        <v>3</v>
      </c>
      <c r="D149" s="1192">
        <f t="shared" si="7"/>
        <v>300</v>
      </c>
      <c r="E149" s="1192" t="s">
        <v>3</v>
      </c>
      <c r="F149" s="1190">
        <f t="shared" si="8"/>
        <v>2500</v>
      </c>
      <c r="G149" s="1192" t="s">
        <v>3</v>
      </c>
      <c r="H149" s="1189">
        <v>2</v>
      </c>
      <c r="I149" s="1191" t="s">
        <v>40</v>
      </c>
      <c r="J149" s="149">
        <v>90</v>
      </c>
      <c r="K149" s="66">
        <v>300</v>
      </c>
      <c r="L149" s="66">
        <v>2500</v>
      </c>
      <c r="M149" s="150">
        <v>30.56153485046886</v>
      </c>
      <c r="N149" s="78">
        <v>1544.0018564361599</v>
      </c>
      <c r="O149" s="110">
        <v>45699.08740244311</v>
      </c>
      <c r="P149" s="111">
        <v>55836.604349908732</v>
      </c>
      <c r="Q149" s="254">
        <v>32861.40191986299</v>
      </c>
      <c r="R149" s="258">
        <v>78560.489322306094</v>
      </c>
      <c r="S149" s="259">
        <v>88698.006269771722</v>
      </c>
      <c r="U149" s="7" t="s">
        <v>4672</v>
      </c>
    </row>
    <row r="150" spans="1:21" ht="16.5" thickBot="1">
      <c r="A150" s="1188" t="s">
        <v>4533</v>
      </c>
      <c r="B150" s="1192">
        <f t="shared" si="6"/>
        <v>90</v>
      </c>
      <c r="C150" s="1192" t="s">
        <v>3</v>
      </c>
      <c r="D150" s="1192">
        <f t="shared" si="7"/>
        <v>300</v>
      </c>
      <c r="E150" s="1192" t="s">
        <v>3</v>
      </c>
      <c r="F150" s="1190">
        <f t="shared" si="8"/>
        <v>2550</v>
      </c>
      <c r="G150" s="1192" t="s">
        <v>3</v>
      </c>
      <c r="H150" s="1189">
        <v>2</v>
      </c>
      <c r="I150" s="1191" t="s">
        <v>40</v>
      </c>
      <c r="J150" s="149">
        <v>90</v>
      </c>
      <c r="K150" s="66">
        <v>300</v>
      </c>
      <c r="L150" s="66">
        <v>2550</v>
      </c>
      <c r="M150" s="150">
        <v>31.126741309941135</v>
      </c>
      <c r="N150" s="78">
        <v>1579.90887635328</v>
      </c>
      <c r="O150" s="110">
        <v>46810.423306489916</v>
      </c>
      <c r="P150" s="111">
        <v>56748.5997815257</v>
      </c>
      <c r="Q150" s="254">
        <v>33636.377843647271</v>
      </c>
      <c r="R150" s="258">
        <v>80446.80115013718</v>
      </c>
      <c r="S150" s="259">
        <v>90384.977625172964</v>
      </c>
      <c r="U150" s="7" t="s">
        <v>4673</v>
      </c>
    </row>
    <row r="151" spans="1:21" ht="16.5" thickBot="1">
      <c r="A151" s="1188" t="s">
        <v>4533</v>
      </c>
      <c r="B151" s="1189">
        <f t="shared" si="6"/>
        <v>90</v>
      </c>
      <c r="C151" s="1189" t="s">
        <v>3</v>
      </c>
      <c r="D151" s="1189">
        <f t="shared" si="7"/>
        <v>300</v>
      </c>
      <c r="E151" s="1189" t="s">
        <v>3</v>
      </c>
      <c r="F151" s="1190">
        <f t="shared" si="8"/>
        <v>2600</v>
      </c>
      <c r="G151" s="1189" t="s">
        <v>3</v>
      </c>
      <c r="H151" s="1189">
        <v>2</v>
      </c>
      <c r="I151" s="1191" t="s">
        <v>40</v>
      </c>
      <c r="J151" s="149">
        <v>90</v>
      </c>
      <c r="K151" s="66">
        <v>300</v>
      </c>
      <c r="L151" s="66">
        <v>2600</v>
      </c>
      <c r="M151" s="150">
        <v>31.691947769413403</v>
      </c>
      <c r="N151" s="78">
        <v>1615.8158962703999</v>
      </c>
      <c r="O151" s="110">
        <v>47528.136784537019</v>
      </c>
      <c r="P151" s="111">
        <v>57645.292336630162</v>
      </c>
      <c r="Q151" s="254">
        <v>34160.019476619018</v>
      </c>
      <c r="R151" s="258">
        <v>81688.156261156037</v>
      </c>
      <c r="S151" s="259">
        <v>91805.31181324918</v>
      </c>
      <c r="U151" s="7" t="s">
        <v>4674</v>
      </c>
    </row>
    <row r="152" spans="1:21" ht="16.5" thickBot="1">
      <c r="A152" s="1188" t="s">
        <v>4533</v>
      </c>
      <c r="B152" s="1192">
        <f t="shared" si="6"/>
        <v>90</v>
      </c>
      <c r="C152" s="1192" t="s">
        <v>3</v>
      </c>
      <c r="D152" s="1192">
        <f t="shared" si="7"/>
        <v>300</v>
      </c>
      <c r="E152" s="1192" t="s">
        <v>3</v>
      </c>
      <c r="F152" s="1190">
        <f t="shared" si="8"/>
        <v>2650</v>
      </c>
      <c r="G152" s="1192" t="s">
        <v>3</v>
      </c>
      <c r="H152" s="1189">
        <v>2</v>
      </c>
      <c r="I152" s="1191" t="s">
        <v>40</v>
      </c>
      <c r="J152" s="149">
        <v>90</v>
      </c>
      <c r="K152" s="66">
        <v>300</v>
      </c>
      <c r="L152" s="66">
        <v>2650</v>
      </c>
      <c r="M152" s="150">
        <v>32.257154228885675</v>
      </c>
      <c r="N152" s="78">
        <v>1651.7229161875198</v>
      </c>
      <c r="O152" s="110">
        <v>48245.850415612877</v>
      </c>
      <c r="P152" s="111">
        <v>58541.985044763387</v>
      </c>
      <c r="Q152" s="254">
        <v>34934.995247374536</v>
      </c>
      <c r="R152" s="258">
        <v>83180.845662987413</v>
      </c>
      <c r="S152" s="259">
        <v>93476.980292137916</v>
      </c>
      <c r="U152" s="7" t="s">
        <v>4675</v>
      </c>
    </row>
    <row r="153" spans="1:21" ht="16.5" thickBot="1">
      <c r="A153" s="1188" t="s">
        <v>4533</v>
      </c>
      <c r="B153" s="1192">
        <f t="shared" si="6"/>
        <v>90</v>
      </c>
      <c r="C153" s="1192" t="s">
        <v>3</v>
      </c>
      <c r="D153" s="1192">
        <f t="shared" si="7"/>
        <v>300</v>
      </c>
      <c r="E153" s="1192" t="s">
        <v>3</v>
      </c>
      <c r="F153" s="1190">
        <f t="shared" si="8"/>
        <v>2700</v>
      </c>
      <c r="G153" s="1192" t="s">
        <v>3</v>
      </c>
      <c r="H153" s="1189">
        <v>2</v>
      </c>
      <c r="I153" s="1191" t="s">
        <v>40</v>
      </c>
      <c r="J153" s="149">
        <v>90</v>
      </c>
      <c r="K153" s="66">
        <v>300</v>
      </c>
      <c r="L153" s="66">
        <v>2700</v>
      </c>
      <c r="M153" s="150">
        <v>32.822360688357946</v>
      </c>
      <c r="N153" s="78">
        <v>1687.6299361046399</v>
      </c>
      <c r="O153" s="110">
        <v>48963.564046688742</v>
      </c>
      <c r="P153" s="111">
        <v>59438.677599867857</v>
      </c>
      <c r="Q153" s="254">
        <v>35458.637033375046</v>
      </c>
      <c r="R153" s="258">
        <v>84422.201080063795</v>
      </c>
      <c r="S153" s="259">
        <v>94897.314633242902</v>
      </c>
      <c r="U153" s="7" t="s">
        <v>4676</v>
      </c>
    </row>
    <row r="154" spans="1:21" ht="16.5" thickBot="1">
      <c r="A154" s="1188" t="s">
        <v>4533</v>
      </c>
      <c r="B154" s="1192">
        <f t="shared" si="6"/>
        <v>90</v>
      </c>
      <c r="C154" s="1192" t="s">
        <v>3</v>
      </c>
      <c r="D154" s="1192">
        <f t="shared" si="7"/>
        <v>300</v>
      </c>
      <c r="E154" s="1192" t="s">
        <v>3</v>
      </c>
      <c r="F154" s="1190">
        <f t="shared" si="8"/>
        <v>2750</v>
      </c>
      <c r="G154" s="1192" t="s">
        <v>3</v>
      </c>
      <c r="H154" s="1189">
        <v>2</v>
      </c>
      <c r="I154" s="1191" t="s">
        <v>40</v>
      </c>
      <c r="J154" s="149">
        <v>90</v>
      </c>
      <c r="K154" s="66">
        <v>300</v>
      </c>
      <c r="L154" s="66">
        <v>2750</v>
      </c>
      <c r="M154" s="150">
        <v>33.387567147830218</v>
      </c>
      <c r="N154" s="78">
        <v>1723.5369560217598</v>
      </c>
      <c r="O154" s="110">
        <v>49681.277524735837</v>
      </c>
      <c r="P154" s="111">
        <v>60335.370154972319</v>
      </c>
      <c r="Q154" s="254">
        <v>35982.278666346792</v>
      </c>
      <c r="R154" s="258">
        <v>85663.556191082636</v>
      </c>
      <c r="S154" s="259">
        <v>96317.648821319104</v>
      </c>
      <c r="U154" s="7" t="s">
        <v>4677</v>
      </c>
    </row>
    <row r="155" spans="1:21" ht="16.5" thickBot="1">
      <c r="A155" s="1188" t="s">
        <v>4533</v>
      </c>
      <c r="B155" s="1192">
        <f t="shared" si="6"/>
        <v>90</v>
      </c>
      <c r="C155" s="1192" t="s">
        <v>3</v>
      </c>
      <c r="D155" s="1192">
        <f t="shared" si="7"/>
        <v>300</v>
      </c>
      <c r="E155" s="1192" t="s">
        <v>3</v>
      </c>
      <c r="F155" s="1190">
        <f t="shared" si="8"/>
        <v>2800</v>
      </c>
      <c r="G155" s="1192" t="s">
        <v>3</v>
      </c>
      <c r="H155" s="1189">
        <v>2</v>
      </c>
      <c r="I155" s="1191" t="s">
        <v>40</v>
      </c>
      <c r="J155" s="149">
        <v>90</v>
      </c>
      <c r="K155" s="66">
        <v>300</v>
      </c>
      <c r="L155" s="66">
        <v>2800</v>
      </c>
      <c r="M155" s="150">
        <v>33.95277360730249</v>
      </c>
      <c r="N155" s="78">
        <v>1759.4439759388802</v>
      </c>
      <c r="O155" s="110">
        <v>50398.991155811695</v>
      </c>
      <c r="P155" s="111">
        <v>61232.062710076782</v>
      </c>
      <c r="Q155" s="254">
        <v>36757.25443710231</v>
      </c>
      <c r="R155" s="258">
        <v>87156.245592913998</v>
      </c>
      <c r="S155" s="259">
        <v>97989.317147179099</v>
      </c>
      <c r="U155" s="7" t="s">
        <v>4678</v>
      </c>
    </row>
    <row r="156" spans="1:21" ht="16.5" thickBot="1">
      <c r="A156" s="1188" t="s">
        <v>4533</v>
      </c>
      <c r="B156" s="1192">
        <f t="shared" si="6"/>
        <v>90</v>
      </c>
      <c r="C156" s="1192" t="s">
        <v>3</v>
      </c>
      <c r="D156" s="1192">
        <f t="shared" si="7"/>
        <v>300</v>
      </c>
      <c r="E156" s="1192" t="s">
        <v>3</v>
      </c>
      <c r="F156" s="1190">
        <f t="shared" si="8"/>
        <v>2850</v>
      </c>
      <c r="G156" s="1192" t="s">
        <v>3</v>
      </c>
      <c r="H156" s="1189">
        <v>2</v>
      </c>
      <c r="I156" s="1191" t="s">
        <v>40</v>
      </c>
      <c r="J156" s="149">
        <v>90</v>
      </c>
      <c r="K156" s="66">
        <v>300</v>
      </c>
      <c r="L156" s="66">
        <v>2850</v>
      </c>
      <c r="M156" s="150">
        <v>34.517980066774754</v>
      </c>
      <c r="N156" s="78">
        <v>1795.3509958559998</v>
      </c>
      <c r="O156" s="110">
        <v>51116.70478688756</v>
      </c>
      <c r="P156" s="111">
        <v>62128.755265181251</v>
      </c>
      <c r="Q156" s="254">
        <v>37280.89622310282</v>
      </c>
      <c r="R156" s="258">
        <v>88397.60100999038</v>
      </c>
      <c r="S156" s="259">
        <v>99409.651488284071</v>
      </c>
      <c r="U156" s="7" t="s">
        <v>4679</v>
      </c>
    </row>
    <row r="157" spans="1:21" ht="16.5" thickBot="1">
      <c r="A157" s="1188" t="s">
        <v>4533</v>
      </c>
      <c r="B157" s="1192">
        <f t="shared" si="6"/>
        <v>90</v>
      </c>
      <c r="C157" s="1192" t="s">
        <v>3</v>
      </c>
      <c r="D157" s="1192">
        <f t="shared" si="7"/>
        <v>300</v>
      </c>
      <c r="E157" s="1192" t="s">
        <v>3</v>
      </c>
      <c r="F157" s="1190">
        <f t="shared" si="8"/>
        <v>2900</v>
      </c>
      <c r="G157" s="1192" t="s">
        <v>3</v>
      </c>
      <c r="H157" s="1189">
        <v>2</v>
      </c>
      <c r="I157" s="1191" t="s">
        <v>40</v>
      </c>
      <c r="J157" s="149">
        <v>90</v>
      </c>
      <c r="K157" s="66">
        <v>300</v>
      </c>
      <c r="L157" s="66">
        <v>2900</v>
      </c>
      <c r="M157" s="150">
        <v>35.083186526247026</v>
      </c>
      <c r="N157" s="78">
        <v>1831.2580157731197</v>
      </c>
      <c r="O157" s="110">
        <v>51834.418264934655</v>
      </c>
      <c r="P157" s="111">
        <v>63025.447973314476</v>
      </c>
      <c r="Q157" s="254">
        <v>38055.871993858338</v>
      </c>
      <c r="R157" s="258">
        <v>89890.290258792986</v>
      </c>
      <c r="S157" s="259">
        <v>101081.31996717281</v>
      </c>
      <c r="U157" s="7" t="s">
        <v>4680</v>
      </c>
    </row>
    <row r="158" spans="1:21" ht="16.5" thickBot="1">
      <c r="A158" s="1188" t="s">
        <v>4533</v>
      </c>
      <c r="B158" s="1192">
        <f t="shared" si="6"/>
        <v>90</v>
      </c>
      <c r="C158" s="1192" t="s">
        <v>3</v>
      </c>
      <c r="D158" s="1192">
        <f t="shared" si="7"/>
        <v>300</v>
      </c>
      <c r="E158" s="1192" t="s">
        <v>3</v>
      </c>
      <c r="F158" s="1190">
        <f t="shared" si="8"/>
        <v>2950</v>
      </c>
      <c r="G158" s="1192" t="s">
        <v>3</v>
      </c>
      <c r="H158" s="1189">
        <v>2</v>
      </c>
      <c r="I158" s="1191" t="s">
        <v>40</v>
      </c>
      <c r="J158" s="149">
        <v>90</v>
      </c>
      <c r="K158" s="66">
        <v>300</v>
      </c>
      <c r="L158" s="66">
        <v>2950</v>
      </c>
      <c r="M158" s="150">
        <v>35.64839298571929</v>
      </c>
      <c r="N158" s="78">
        <v>1867.1650356902401</v>
      </c>
      <c r="O158" s="110">
        <v>52552.13189601052</v>
      </c>
      <c r="P158" s="111">
        <v>63922.140528418939</v>
      </c>
      <c r="Q158" s="254">
        <v>38579.513779858848</v>
      </c>
      <c r="R158" s="258">
        <v>91131.645675869368</v>
      </c>
      <c r="S158" s="259">
        <v>102501.65430827779</v>
      </c>
      <c r="U158" s="7" t="s">
        <v>4681</v>
      </c>
    </row>
    <row r="159" spans="1:21" ht="16.5" thickBot="1">
      <c r="A159" s="1193" t="s">
        <v>4533</v>
      </c>
      <c r="B159" s="1194">
        <f t="shared" si="6"/>
        <v>90</v>
      </c>
      <c r="C159" s="1194" t="s">
        <v>3</v>
      </c>
      <c r="D159" s="1194">
        <f t="shared" si="7"/>
        <v>300</v>
      </c>
      <c r="E159" s="1194" t="s">
        <v>3</v>
      </c>
      <c r="F159" s="1195">
        <f t="shared" si="8"/>
        <v>3000</v>
      </c>
      <c r="G159" s="1194" t="s">
        <v>3</v>
      </c>
      <c r="H159" s="1196">
        <v>2</v>
      </c>
      <c r="I159" s="1197" t="s">
        <v>40</v>
      </c>
      <c r="J159" s="265">
        <v>90</v>
      </c>
      <c r="K159" s="266">
        <v>300</v>
      </c>
      <c r="L159" s="266">
        <v>3000</v>
      </c>
      <c r="M159" s="276">
        <v>36.447707445191561</v>
      </c>
      <c r="N159" s="250">
        <v>1903.07205560736</v>
      </c>
      <c r="O159" s="252">
        <v>53533.911964186082</v>
      </c>
      <c r="P159" s="280">
        <v>65082.899520623105</v>
      </c>
      <c r="Q159" s="267">
        <v>39354.489550614366</v>
      </c>
      <c r="R159" s="1198">
        <v>92888.40151480044</v>
      </c>
      <c r="S159" s="269">
        <v>104437.38907123747</v>
      </c>
      <c r="U159" s="7" t="s">
        <v>4682</v>
      </c>
    </row>
    <row r="160" spans="1:21" ht="19.5" thickBot="1">
      <c r="A160" s="2968" t="s">
        <v>44</v>
      </c>
      <c r="B160" s="2969"/>
      <c r="C160" s="2969"/>
      <c r="D160" s="2969"/>
      <c r="E160" s="2969"/>
      <c r="F160" s="2969"/>
      <c r="G160" s="2969"/>
      <c r="H160" s="2969"/>
      <c r="I160" s="2969"/>
      <c r="J160" s="2969"/>
      <c r="K160" s="2969"/>
      <c r="L160" s="2969"/>
      <c r="M160" s="2969"/>
      <c r="N160" s="2969"/>
      <c r="O160" s="2969"/>
      <c r="P160" s="2969"/>
      <c r="Q160" s="2969"/>
      <c r="R160" s="2969"/>
      <c r="S160" s="2970"/>
      <c r="U160" s="7"/>
    </row>
    <row r="161" spans="1:21" ht="16.5" thickBot="1">
      <c r="A161" s="2974" t="s">
        <v>4532</v>
      </c>
      <c r="B161" s="2975"/>
      <c r="C161" s="2975"/>
      <c r="D161" s="2975"/>
      <c r="E161" s="2975"/>
      <c r="F161" s="2975"/>
      <c r="G161" s="2975"/>
      <c r="H161" s="2975"/>
      <c r="I161" s="2975"/>
      <c r="J161" s="2975"/>
      <c r="K161" s="2975"/>
      <c r="L161" s="2975"/>
      <c r="M161" s="2975"/>
      <c r="N161" s="2975"/>
      <c r="O161" s="2975"/>
      <c r="P161" s="2975"/>
      <c r="Q161" s="2975"/>
      <c r="R161" s="2975"/>
      <c r="S161" s="2976"/>
      <c r="U161" s="7"/>
    </row>
    <row r="162" spans="1:21" ht="16.5" thickBot="1">
      <c r="A162" s="1188" t="s">
        <v>4533</v>
      </c>
      <c r="B162" s="1189">
        <f>J162</f>
        <v>90</v>
      </c>
      <c r="C162" s="1189" t="s">
        <v>3</v>
      </c>
      <c r="D162" s="1189">
        <f>K162</f>
        <v>360</v>
      </c>
      <c r="E162" s="1189" t="s">
        <v>3</v>
      </c>
      <c r="F162" s="1190">
        <f>L162</f>
        <v>600</v>
      </c>
      <c r="G162" s="1189" t="s">
        <v>3</v>
      </c>
      <c r="H162" s="1189">
        <v>2</v>
      </c>
      <c r="I162" s="1191" t="s">
        <v>40</v>
      </c>
      <c r="J162" s="270">
        <v>90</v>
      </c>
      <c r="K162" s="271">
        <v>360</v>
      </c>
      <c r="L162" s="271">
        <v>600</v>
      </c>
      <c r="M162" s="278">
        <v>9.4894673075752429</v>
      </c>
      <c r="N162" s="246">
        <v>209.61485999999999</v>
      </c>
      <c r="O162" s="248">
        <v>16898.695059724421</v>
      </c>
      <c r="P162" s="275">
        <v>21159.566325272579</v>
      </c>
      <c r="Q162" s="272">
        <v>10032.760953270536</v>
      </c>
      <c r="R162" s="1199">
        <v>26931.456012994957</v>
      </c>
      <c r="S162" s="274">
        <v>31192.327278543115</v>
      </c>
      <c r="U162" s="7" t="s">
        <v>4683</v>
      </c>
    </row>
    <row r="163" spans="1:21" ht="16.5" thickBot="1">
      <c r="A163" s="1188" t="s">
        <v>4533</v>
      </c>
      <c r="B163" s="1192">
        <f t="shared" ref="B163:B210" si="9">J163</f>
        <v>90</v>
      </c>
      <c r="C163" s="1192" t="s">
        <v>3</v>
      </c>
      <c r="D163" s="1192">
        <f t="shared" ref="D163:D210" si="10">K163</f>
        <v>360</v>
      </c>
      <c r="E163" s="1192" t="s">
        <v>3</v>
      </c>
      <c r="F163" s="1190">
        <f t="shared" ref="F163:F210" si="11">L163</f>
        <v>650</v>
      </c>
      <c r="G163" s="1192" t="s">
        <v>3</v>
      </c>
      <c r="H163" s="1189">
        <v>2</v>
      </c>
      <c r="I163" s="1191" t="s">
        <v>40</v>
      </c>
      <c r="J163" s="149">
        <v>90</v>
      </c>
      <c r="K163" s="66">
        <v>360</v>
      </c>
      <c r="L163" s="66">
        <v>650</v>
      </c>
      <c r="M163" s="150">
        <v>10.122600393468568</v>
      </c>
      <c r="N163" s="78">
        <v>251.53783199999998</v>
      </c>
      <c r="O163" s="110">
        <v>17648.436234082063</v>
      </c>
      <c r="P163" s="111">
        <v>22110.658770033799</v>
      </c>
      <c r="Q163" s="254">
        <v>10636.181837508726</v>
      </c>
      <c r="R163" s="258">
        <v>28284.61807159079</v>
      </c>
      <c r="S163" s="259">
        <v>32746.840607542523</v>
      </c>
      <c r="U163" s="7" t="s">
        <v>4684</v>
      </c>
    </row>
    <row r="164" spans="1:21" ht="16.5" thickBot="1">
      <c r="A164" s="1188" t="s">
        <v>4533</v>
      </c>
      <c r="B164" s="1192">
        <f t="shared" si="9"/>
        <v>90</v>
      </c>
      <c r="C164" s="1192" t="s">
        <v>3</v>
      </c>
      <c r="D164" s="1192">
        <f t="shared" si="10"/>
        <v>360</v>
      </c>
      <c r="E164" s="1192" t="s">
        <v>3</v>
      </c>
      <c r="F164" s="1190">
        <f t="shared" si="11"/>
        <v>700</v>
      </c>
      <c r="G164" s="1192" t="s">
        <v>3</v>
      </c>
      <c r="H164" s="1189">
        <v>2</v>
      </c>
      <c r="I164" s="1191" t="s">
        <v>40</v>
      </c>
      <c r="J164" s="149">
        <v>90</v>
      </c>
      <c r="K164" s="66">
        <v>360</v>
      </c>
      <c r="L164" s="66">
        <v>700</v>
      </c>
      <c r="M164" s="150">
        <v>10.75573347936189</v>
      </c>
      <c r="N164" s="78">
        <v>293.460804</v>
      </c>
      <c r="O164" s="110">
        <v>18398.177408439697</v>
      </c>
      <c r="P164" s="111">
        <v>23061.751367823785</v>
      </c>
      <c r="Q164" s="254">
        <v>11490.936859530682</v>
      </c>
      <c r="R164" s="258">
        <v>29889.114267970377</v>
      </c>
      <c r="S164" s="259">
        <v>34552.688227354469</v>
      </c>
      <c r="U164" s="7" t="s">
        <v>4685</v>
      </c>
    </row>
    <row r="165" spans="1:21" ht="16.5" thickBot="1">
      <c r="A165" s="1188" t="s">
        <v>4533</v>
      </c>
      <c r="B165" s="1192">
        <f t="shared" si="9"/>
        <v>90</v>
      </c>
      <c r="C165" s="1192" t="s">
        <v>3</v>
      </c>
      <c r="D165" s="1192">
        <f t="shared" si="10"/>
        <v>360</v>
      </c>
      <c r="E165" s="1192" t="s">
        <v>3</v>
      </c>
      <c r="F165" s="1190">
        <f t="shared" si="11"/>
        <v>750</v>
      </c>
      <c r="G165" s="1192" t="s">
        <v>3</v>
      </c>
      <c r="H165" s="1189">
        <v>2</v>
      </c>
      <c r="I165" s="1191" t="s">
        <v>40</v>
      </c>
      <c r="J165" s="149">
        <v>90</v>
      </c>
      <c r="K165" s="66">
        <v>360</v>
      </c>
      <c r="L165" s="66">
        <v>750</v>
      </c>
      <c r="M165" s="150">
        <v>11.388866565255212</v>
      </c>
      <c r="N165" s="78">
        <v>335.38377600000001</v>
      </c>
      <c r="O165" s="110">
        <v>19147.918582797338</v>
      </c>
      <c r="P165" s="111">
        <v>24012.843812585004</v>
      </c>
      <c r="Q165" s="254">
        <v>12094.357743768871</v>
      </c>
      <c r="R165" s="258">
        <v>31242.276326566207</v>
      </c>
      <c r="S165" s="259">
        <v>36107.201556353873</v>
      </c>
      <c r="U165" s="7" t="s">
        <v>4686</v>
      </c>
    </row>
    <row r="166" spans="1:21" ht="16.5" thickBot="1">
      <c r="A166" s="1188" t="s">
        <v>4533</v>
      </c>
      <c r="B166" s="1192">
        <f t="shared" si="9"/>
        <v>90</v>
      </c>
      <c r="C166" s="1192" t="s">
        <v>3</v>
      </c>
      <c r="D166" s="1192">
        <f t="shared" si="10"/>
        <v>360</v>
      </c>
      <c r="E166" s="1192" t="s">
        <v>3</v>
      </c>
      <c r="F166" s="1190">
        <f t="shared" si="11"/>
        <v>800</v>
      </c>
      <c r="G166" s="1192" t="s">
        <v>3</v>
      </c>
      <c r="H166" s="1189">
        <v>2</v>
      </c>
      <c r="I166" s="1191" t="s">
        <v>40</v>
      </c>
      <c r="J166" s="149">
        <v>90</v>
      </c>
      <c r="K166" s="66">
        <v>360</v>
      </c>
      <c r="L166" s="66">
        <v>800</v>
      </c>
      <c r="M166" s="150">
        <v>12.021999651148535</v>
      </c>
      <c r="N166" s="78">
        <v>377.30674799999997</v>
      </c>
      <c r="O166" s="110">
        <v>20293.544866475822</v>
      </c>
      <c r="P166" s="111">
        <v>24979.239286887489</v>
      </c>
      <c r="Q166" s="254">
        <v>12697.77862800706</v>
      </c>
      <c r="R166" s="258">
        <v>32991.32349448288</v>
      </c>
      <c r="S166" s="259">
        <v>37677.017914894546</v>
      </c>
      <c r="U166" s="7" t="s">
        <v>4687</v>
      </c>
    </row>
    <row r="167" spans="1:21" ht="16.5" thickBot="1">
      <c r="A167" s="1188" t="s">
        <v>4533</v>
      </c>
      <c r="B167" s="1192">
        <f t="shared" si="9"/>
        <v>90</v>
      </c>
      <c r="C167" s="1192" t="s">
        <v>3</v>
      </c>
      <c r="D167" s="1192">
        <f t="shared" si="10"/>
        <v>360</v>
      </c>
      <c r="E167" s="1192" t="s">
        <v>3</v>
      </c>
      <c r="F167" s="1190">
        <f t="shared" si="11"/>
        <v>850</v>
      </c>
      <c r="G167" s="1192" t="s">
        <v>3</v>
      </c>
      <c r="H167" s="1189">
        <v>2</v>
      </c>
      <c r="I167" s="1191" t="s">
        <v>40</v>
      </c>
      <c r="J167" s="149">
        <v>90</v>
      </c>
      <c r="K167" s="66">
        <v>360</v>
      </c>
      <c r="L167" s="66">
        <v>850</v>
      </c>
      <c r="M167" s="150">
        <v>12.655132737041857</v>
      </c>
      <c r="N167" s="78">
        <v>419.22971999999999</v>
      </c>
      <c r="O167" s="110">
        <v>21043.28604083346</v>
      </c>
      <c r="P167" s="111">
        <v>25930.331731648712</v>
      </c>
      <c r="Q167" s="254">
        <v>13552.533650029018</v>
      </c>
      <c r="R167" s="258">
        <v>34595.819690862481</v>
      </c>
      <c r="S167" s="259">
        <v>39482.86538167773</v>
      </c>
      <c r="U167" s="7" t="s">
        <v>4688</v>
      </c>
    </row>
    <row r="168" spans="1:21" ht="16.5" thickBot="1">
      <c r="A168" s="1188" t="s">
        <v>4533</v>
      </c>
      <c r="B168" s="1192">
        <f t="shared" si="9"/>
        <v>90</v>
      </c>
      <c r="C168" s="1192" t="s">
        <v>3</v>
      </c>
      <c r="D168" s="1192">
        <f t="shared" si="10"/>
        <v>360</v>
      </c>
      <c r="E168" s="1192" t="s">
        <v>3</v>
      </c>
      <c r="F168" s="1190">
        <f t="shared" si="11"/>
        <v>900</v>
      </c>
      <c r="G168" s="1192" t="s">
        <v>3</v>
      </c>
      <c r="H168" s="1189">
        <v>2</v>
      </c>
      <c r="I168" s="1191" t="s">
        <v>40</v>
      </c>
      <c r="J168" s="149">
        <v>90</v>
      </c>
      <c r="K168" s="66">
        <v>360</v>
      </c>
      <c r="L168" s="66">
        <v>900</v>
      </c>
      <c r="M168" s="150">
        <v>13.28826582293518</v>
      </c>
      <c r="N168" s="78">
        <v>461.152692</v>
      </c>
      <c r="O168" s="110">
        <v>21793.027062162335</v>
      </c>
      <c r="P168" s="111">
        <v>26881.424329438694</v>
      </c>
      <c r="Q168" s="254">
        <v>14155.954534267206</v>
      </c>
      <c r="R168" s="258">
        <v>35948.981596429541</v>
      </c>
      <c r="S168" s="259">
        <v>41037.378863705904</v>
      </c>
      <c r="U168" s="7" t="s">
        <v>4689</v>
      </c>
    </row>
    <row r="169" spans="1:21" ht="16.5" thickBot="1">
      <c r="A169" s="1188" t="s">
        <v>4533</v>
      </c>
      <c r="B169" s="1192">
        <f t="shared" si="9"/>
        <v>90</v>
      </c>
      <c r="C169" s="1192" t="s">
        <v>3</v>
      </c>
      <c r="D169" s="1192">
        <f t="shared" si="10"/>
        <v>360</v>
      </c>
      <c r="E169" s="1192" t="s">
        <v>3</v>
      </c>
      <c r="F169" s="1190">
        <f t="shared" si="11"/>
        <v>950</v>
      </c>
      <c r="G169" s="1192" t="s">
        <v>3</v>
      </c>
      <c r="H169" s="1189">
        <v>2</v>
      </c>
      <c r="I169" s="1191" t="s">
        <v>40</v>
      </c>
      <c r="J169" s="149">
        <v>90</v>
      </c>
      <c r="K169" s="66">
        <v>360</v>
      </c>
      <c r="L169" s="66">
        <v>950</v>
      </c>
      <c r="M169" s="150">
        <v>13.9213989088285</v>
      </c>
      <c r="N169" s="78">
        <v>503.07566399999996</v>
      </c>
      <c r="O169" s="110">
        <v>22542.768236519973</v>
      </c>
      <c r="P169" s="111">
        <v>27832.516774199918</v>
      </c>
      <c r="Q169" s="254">
        <v>15010.709556289165</v>
      </c>
      <c r="R169" s="258">
        <v>37553.477792809135</v>
      </c>
      <c r="S169" s="259">
        <v>42843.22633048908</v>
      </c>
      <c r="U169" s="7" t="s">
        <v>4690</v>
      </c>
    </row>
    <row r="170" spans="1:21" ht="16.5" thickBot="1">
      <c r="A170" s="1188" t="s">
        <v>4533</v>
      </c>
      <c r="B170" s="1192">
        <f t="shared" si="9"/>
        <v>90</v>
      </c>
      <c r="C170" s="1192" t="s">
        <v>3</v>
      </c>
      <c r="D170" s="1192">
        <f t="shared" si="10"/>
        <v>360</v>
      </c>
      <c r="E170" s="1192" t="s">
        <v>3</v>
      </c>
      <c r="F170" s="1190">
        <f t="shared" si="11"/>
        <v>1000</v>
      </c>
      <c r="G170" s="1192" t="s">
        <v>3</v>
      </c>
      <c r="H170" s="1189">
        <v>2</v>
      </c>
      <c r="I170" s="1191" t="s">
        <v>40</v>
      </c>
      <c r="J170" s="149">
        <v>90</v>
      </c>
      <c r="K170" s="66">
        <v>360</v>
      </c>
      <c r="L170" s="66">
        <v>1000</v>
      </c>
      <c r="M170" s="150">
        <v>14.694996794721824</v>
      </c>
      <c r="N170" s="78">
        <v>544.99863600000003</v>
      </c>
      <c r="O170" s="110">
        <v>23362.363981581871</v>
      </c>
      <c r="P170" s="111">
        <v>28853.463942694161</v>
      </c>
      <c r="Q170" s="254">
        <v>15614.130440527351</v>
      </c>
      <c r="R170" s="258">
        <v>38976.494422109223</v>
      </c>
      <c r="S170" s="259">
        <v>44467.594383221513</v>
      </c>
      <c r="U170" s="7" t="s">
        <v>4691</v>
      </c>
    </row>
    <row r="171" spans="1:21" ht="16.5" thickBot="1">
      <c r="A171" s="1188" t="s">
        <v>4533</v>
      </c>
      <c r="B171" s="1192">
        <f t="shared" si="9"/>
        <v>90</v>
      </c>
      <c r="C171" s="1192" t="s">
        <v>3</v>
      </c>
      <c r="D171" s="1192">
        <f t="shared" si="10"/>
        <v>360</v>
      </c>
      <c r="E171" s="1192" t="s">
        <v>3</v>
      </c>
      <c r="F171" s="1190">
        <f t="shared" si="11"/>
        <v>1050</v>
      </c>
      <c r="G171" s="1192" t="s">
        <v>3</v>
      </c>
      <c r="H171" s="1189">
        <v>2</v>
      </c>
      <c r="I171" s="1191" t="s">
        <v>40</v>
      </c>
      <c r="J171" s="149">
        <v>90</v>
      </c>
      <c r="K171" s="66">
        <v>360</v>
      </c>
      <c r="L171" s="66">
        <v>1050</v>
      </c>
      <c r="M171" s="150">
        <v>15.328129880615148</v>
      </c>
      <c r="N171" s="78">
        <v>586.92160799999999</v>
      </c>
      <c r="O171" s="110">
        <v>24112.105155939509</v>
      </c>
      <c r="P171" s="111">
        <v>29804.556387455385</v>
      </c>
      <c r="Q171" s="254">
        <v>16468.885462549311</v>
      </c>
      <c r="R171" s="258">
        <v>40580.990618488824</v>
      </c>
      <c r="S171" s="259">
        <v>46273.441850004696</v>
      </c>
      <c r="U171" s="7" t="s">
        <v>4692</v>
      </c>
    </row>
    <row r="172" spans="1:21" ht="16.5" thickBot="1">
      <c r="A172" s="1188" t="s">
        <v>4533</v>
      </c>
      <c r="B172" s="1189">
        <f t="shared" si="9"/>
        <v>90</v>
      </c>
      <c r="C172" s="1189" t="s">
        <v>3</v>
      </c>
      <c r="D172" s="1189">
        <f t="shared" si="10"/>
        <v>360</v>
      </c>
      <c r="E172" s="1189" t="s">
        <v>3</v>
      </c>
      <c r="F172" s="1190">
        <f t="shared" si="11"/>
        <v>1100</v>
      </c>
      <c r="G172" s="1189" t="s">
        <v>3</v>
      </c>
      <c r="H172" s="1189">
        <v>2</v>
      </c>
      <c r="I172" s="1191" t="s">
        <v>40</v>
      </c>
      <c r="J172" s="149">
        <v>90</v>
      </c>
      <c r="K172" s="66">
        <v>360</v>
      </c>
      <c r="L172" s="66">
        <v>1100</v>
      </c>
      <c r="M172" s="150">
        <v>15.961262966508468</v>
      </c>
      <c r="N172" s="78">
        <v>628.84457999999995</v>
      </c>
      <c r="O172" s="110">
        <v>24861.846330297147</v>
      </c>
      <c r="P172" s="111">
        <v>30755.648985245367</v>
      </c>
      <c r="Q172" s="254">
        <v>17072.3063467875</v>
      </c>
      <c r="R172" s="258">
        <v>41934.152677084647</v>
      </c>
      <c r="S172" s="259">
        <v>47827.955332032871</v>
      </c>
      <c r="U172" s="7" t="s">
        <v>4693</v>
      </c>
    </row>
    <row r="173" spans="1:21" ht="16.5" thickBot="1">
      <c r="A173" s="1188" t="s">
        <v>4533</v>
      </c>
      <c r="B173" s="1192">
        <f t="shared" si="9"/>
        <v>90</v>
      </c>
      <c r="C173" s="1192" t="s">
        <v>3</v>
      </c>
      <c r="D173" s="1192">
        <f t="shared" si="10"/>
        <v>360</v>
      </c>
      <c r="E173" s="1192" t="s">
        <v>3</v>
      </c>
      <c r="F173" s="1190">
        <f t="shared" si="11"/>
        <v>1150</v>
      </c>
      <c r="G173" s="1192" t="s">
        <v>3</v>
      </c>
      <c r="H173" s="1189">
        <v>2</v>
      </c>
      <c r="I173" s="1191" t="s">
        <v>40</v>
      </c>
      <c r="J173" s="149">
        <v>90</v>
      </c>
      <c r="K173" s="66">
        <v>360</v>
      </c>
      <c r="L173" s="66">
        <v>1150</v>
      </c>
      <c r="M173" s="150">
        <v>16.594396052401791</v>
      </c>
      <c r="N173" s="78">
        <v>670.76755200000002</v>
      </c>
      <c r="O173" s="110">
        <v>25611.587351626025</v>
      </c>
      <c r="P173" s="111">
        <v>31706.741430006587</v>
      </c>
      <c r="Q173" s="254">
        <v>17675.727231025689</v>
      </c>
      <c r="R173" s="258">
        <v>43287.314582651714</v>
      </c>
      <c r="S173" s="259">
        <v>49382.468661032275</v>
      </c>
      <c r="U173" s="7" t="s">
        <v>4694</v>
      </c>
    </row>
    <row r="174" spans="1:21" ht="16.5" thickBot="1">
      <c r="A174" s="1188" t="s">
        <v>4533</v>
      </c>
      <c r="B174" s="1192">
        <f t="shared" si="9"/>
        <v>90</v>
      </c>
      <c r="C174" s="1192" t="s">
        <v>3</v>
      </c>
      <c r="D174" s="1192">
        <f t="shared" si="10"/>
        <v>360</v>
      </c>
      <c r="E174" s="1192" t="s">
        <v>3</v>
      </c>
      <c r="F174" s="1190">
        <f t="shared" si="11"/>
        <v>1200</v>
      </c>
      <c r="G174" s="1192" t="s">
        <v>3</v>
      </c>
      <c r="H174" s="1189">
        <v>2</v>
      </c>
      <c r="I174" s="1191" t="s">
        <v>40</v>
      </c>
      <c r="J174" s="149">
        <v>90</v>
      </c>
      <c r="K174" s="66">
        <v>360</v>
      </c>
      <c r="L174" s="66">
        <v>1200</v>
      </c>
      <c r="M174" s="150">
        <v>17.227529138295111</v>
      </c>
      <c r="N174" s="78">
        <v>712.69052399999998</v>
      </c>
      <c r="O174" s="110">
        <v>26361.328525983659</v>
      </c>
      <c r="P174" s="111">
        <v>32657.834027796573</v>
      </c>
      <c r="Q174" s="254">
        <v>18530.482406076411</v>
      </c>
      <c r="R174" s="258">
        <v>44891.810932060071</v>
      </c>
      <c r="S174" s="259">
        <v>51188.316433872984</v>
      </c>
      <c r="U174" s="7" t="s">
        <v>4695</v>
      </c>
    </row>
    <row r="175" spans="1:21" ht="16.5" thickBot="1">
      <c r="A175" s="1188" t="s">
        <v>4533</v>
      </c>
      <c r="B175" s="1192">
        <f t="shared" si="9"/>
        <v>90</v>
      </c>
      <c r="C175" s="1192" t="s">
        <v>3</v>
      </c>
      <c r="D175" s="1192">
        <f t="shared" si="10"/>
        <v>360</v>
      </c>
      <c r="E175" s="1192" t="s">
        <v>3</v>
      </c>
      <c r="F175" s="1190">
        <f t="shared" si="11"/>
        <v>1250</v>
      </c>
      <c r="G175" s="1192" t="s">
        <v>3</v>
      </c>
      <c r="H175" s="1189">
        <v>2</v>
      </c>
      <c r="I175" s="1191" t="s">
        <v>40</v>
      </c>
      <c r="J175" s="149">
        <v>90</v>
      </c>
      <c r="K175" s="66">
        <v>360</v>
      </c>
      <c r="L175" s="66">
        <v>1250</v>
      </c>
      <c r="M175" s="150">
        <v>17.860662224188438</v>
      </c>
      <c r="N175" s="78">
        <v>754.61349599999994</v>
      </c>
      <c r="O175" s="110">
        <v>27111.069700341297</v>
      </c>
      <c r="P175" s="111">
        <v>33608.926472557796</v>
      </c>
      <c r="Q175" s="254">
        <v>19133.9032903146</v>
      </c>
      <c r="R175" s="258">
        <v>46244.972990655893</v>
      </c>
      <c r="S175" s="259">
        <v>52742.829762872396</v>
      </c>
      <c r="U175" s="7" t="s">
        <v>4696</v>
      </c>
    </row>
    <row r="176" spans="1:21" ht="16.5" thickBot="1">
      <c r="A176" s="1188" t="s">
        <v>4533</v>
      </c>
      <c r="B176" s="1192">
        <f t="shared" si="9"/>
        <v>90</v>
      </c>
      <c r="C176" s="1192" t="s">
        <v>3</v>
      </c>
      <c r="D176" s="1192">
        <f t="shared" si="10"/>
        <v>360</v>
      </c>
      <c r="E176" s="1192" t="s">
        <v>3</v>
      </c>
      <c r="F176" s="1190">
        <f t="shared" si="11"/>
        <v>1300</v>
      </c>
      <c r="G176" s="1192" t="s">
        <v>3</v>
      </c>
      <c r="H176" s="1189">
        <v>2</v>
      </c>
      <c r="I176" s="1191" t="s">
        <v>40</v>
      </c>
      <c r="J176" s="149">
        <v>90</v>
      </c>
      <c r="K176" s="66">
        <v>360</v>
      </c>
      <c r="L176" s="66">
        <v>1300</v>
      </c>
      <c r="M176" s="150">
        <v>18.493795310081758</v>
      </c>
      <c r="N176" s="78">
        <v>796.5364679999999</v>
      </c>
      <c r="O176" s="110">
        <v>27860.810874698935</v>
      </c>
      <c r="P176" s="111">
        <v>34560.019070347778</v>
      </c>
      <c r="Q176" s="254">
        <v>19988.658312336556</v>
      </c>
      <c r="R176" s="258">
        <v>47849.469187035487</v>
      </c>
      <c r="S176" s="259">
        <v>54548.677382684335</v>
      </c>
      <c r="U176" s="7" t="s">
        <v>4697</v>
      </c>
    </row>
    <row r="177" spans="1:21" ht="16.5" thickBot="1">
      <c r="A177" s="1188" t="s">
        <v>4533</v>
      </c>
      <c r="B177" s="1192">
        <f t="shared" si="9"/>
        <v>90</v>
      </c>
      <c r="C177" s="1192" t="s">
        <v>3</v>
      </c>
      <c r="D177" s="1192">
        <f t="shared" si="10"/>
        <v>360</v>
      </c>
      <c r="E177" s="1192" t="s">
        <v>3</v>
      </c>
      <c r="F177" s="1190">
        <f t="shared" si="11"/>
        <v>1350</v>
      </c>
      <c r="G177" s="1192" t="s">
        <v>3</v>
      </c>
      <c r="H177" s="1189">
        <v>2</v>
      </c>
      <c r="I177" s="1191" t="s">
        <v>40</v>
      </c>
      <c r="J177" s="149">
        <v>90</v>
      </c>
      <c r="K177" s="66">
        <v>360</v>
      </c>
      <c r="L177" s="66">
        <v>1350</v>
      </c>
      <c r="M177" s="150">
        <v>19.126928395975078</v>
      </c>
      <c r="N177" s="78">
        <v>838.45943999999997</v>
      </c>
      <c r="O177" s="110">
        <v>28610.55204905658</v>
      </c>
      <c r="P177" s="111">
        <v>35511.111515108998</v>
      </c>
      <c r="Q177" s="254">
        <v>20592.079196574745</v>
      </c>
      <c r="R177" s="258">
        <v>49202.631245631324</v>
      </c>
      <c r="S177" s="259">
        <v>56103.190711683739</v>
      </c>
      <c r="U177" s="7" t="s">
        <v>4698</v>
      </c>
    </row>
    <row r="178" spans="1:21" ht="16.5" thickBot="1">
      <c r="A178" s="1188" t="s">
        <v>4533</v>
      </c>
      <c r="B178" s="1192">
        <f t="shared" si="9"/>
        <v>90</v>
      </c>
      <c r="C178" s="1192" t="s">
        <v>3</v>
      </c>
      <c r="D178" s="1192">
        <f t="shared" si="10"/>
        <v>360</v>
      </c>
      <c r="E178" s="1192" t="s">
        <v>3</v>
      </c>
      <c r="F178" s="1190">
        <f t="shared" si="11"/>
        <v>1400</v>
      </c>
      <c r="G178" s="1192" t="s">
        <v>3</v>
      </c>
      <c r="H178" s="1189">
        <v>2</v>
      </c>
      <c r="I178" s="1191" t="s">
        <v>40</v>
      </c>
      <c r="J178" s="149">
        <v>90</v>
      </c>
      <c r="K178" s="66">
        <v>360</v>
      </c>
      <c r="L178" s="66">
        <v>1400</v>
      </c>
      <c r="M178" s="150">
        <v>19.760061481868405</v>
      </c>
      <c r="N178" s="78">
        <v>880.38241200000004</v>
      </c>
      <c r="O178" s="110">
        <v>29360.293070385447</v>
      </c>
      <c r="P178" s="111">
        <v>36462.204112898988</v>
      </c>
      <c r="Q178" s="254">
        <v>21446.834218596705</v>
      </c>
      <c r="R178" s="258">
        <v>50807.127288982156</v>
      </c>
      <c r="S178" s="259">
        <v>57909.038331495693</v>
      </c>
      <c r="U178" s="7" t="s">
        <v>4699</v>
      </c>
    </row>
    <row r="179" spans="1:21" ht="16.5" thickBot="1">
      <c r="A179" s="1188" t="s">
        <v>4533</v>
      </c>
      <c r="B179" s="1192">
        <f t="shared" si="9"/>
        <v>90</v>
      </c>
      <c r="C179" s="1192" t="s">
        <v>3</v>
      </c>
      <c r="D179" s="1192">
        <f t="shared" si="10"/>
        <v>360</v>
      </c>
      <c r="E179" s="1192" t="s">
        <v>3</v>
      </c>
      <c r="F179" s="1190">
        <f t="shared" si="11"/>
        <v>1450</v>
      </c>
      <c r="G179" s="1192" t="s">
        <v>3</v>
      </c>
      <c r="H179" s="1189">
        <v>2</v>
      </c>
      <c r="I179" s="1191" t="s">
        <v>40</v>
      </c>
      <c r="J179" s="149">
        <v>90</v>
      </c>
      <c r="K179" s="66">
        <v>360</v>
      </c>
      <c r="L179" s="66">
        <v>1450</v>
      </c>
      <c r="M179" s="150">
        <v>20.393194567761725</v>
      </c>
      <c r="N179" s="78">
        <v>922.305384</v>
      </c>
      <c r="O179" s="110">
        <v>30110.034244743085</v>
      </c>
      <c r="P179" s="111">
        <v>37413.296557660207</v>
      </c>
      <c r="Q179" s="254">
        <v>22050.255102834893</v>
      </c>
      <c r="R179" s="258">
        <v>52160.289347577978</v>
      </c>
      <c r="S179" s="259">
        <v>59463.551660495097</v>
      </c>
      <c r="U179" s="7" t="s">
        <v>4700</v>
      </c>
    </row>
    <row r="180" spans="1:21" ht="16.5" thickBot="1">
      <c r="A180" s="1188" t="s">
        <v>4533</v>
      </c>
      <c r="B180" s="1192">
        <f t="shared" si="9"/>
        <v>90</v>
      </c>
      <c r="C180" s="1192" t="s">
        <v>3</v>
      </c>
      <c r="D180" s="1192">
        <f t="shared" si="10"/>
        <v>360</v>
      </c>
      <c r="E180" s="1192" t="s">
        <v>3</v>
      </c>
      <c r="F180" s="1190">
        <f t="shared" si="11"/>
        <v>1500</v>
      </c>
      <c r="G180" s="1192" t="s">
        <v>3</v>
      </c>
      <c r="H180" s="1189">
        <v>2</v>
      </c>
      <c r="I180" s="1191" t="s">
        <v>40</v>
      </c>
      <c r="J180" s="149">
        <v>90</v>
      </c>
      <c r="K180" s="66">
        <v>360</v>
      </c>
      <c r="L180" s="66">
        <v>1500</v>
      </c>
      <c r="M180" s="150">
        <v>21.38477125365505</v>
      </c>
      <c r="N180" s="78">
        <v>964.22835599999985</v>
      </c>
      <c r="O180" s="110">
        <v>31656.127012912726</v>
      </c>
      <c r="P180" s="111">
        <v>39367.819427258109</v>
      </c>
      <c r="Q180" s="254">
        <v>22905.01012485685</v>
      </c>
      <c r="R180" s="258">
        <v>54561.137137769576</v>
      </c>
      <c r="S180" s="259">
        <v>62272.829552114956</v>
      </c>
      <c r="U180" s="7" t="s">
        <v>4701</v>
      </c>
    </row>
    <row r="181" spans="1:21" ht="16.5" thickBot="1">
      <c r="A181" s="1188" t="s">
        <v>4533</v>
      </c>
      <c r="B181" s="1192">
        <f t="shared" si="9"/>
        <v>90</v>
      </c>
      <c r="C181" s="1192" t="s">
        <v>3</v>
      </c>
      <c r="D181" s="1192">
        <f t="shared" si="10"/>
        <v>360</v>
      </c>
      <c r="E181" s="1192" t="s">
        <v>3</v>
      </c>
      <c r="F181" s="1190">
        <f t="shared" si="11"/>
        <v>1550</v>
      </c>
      <c r="G181" s="1192" t="s">
        <v>3</v>
      </c>
      <c r="H181" s="1189">
        <v>2</v>
      </c>
      <c r="I181" s="1191" t="s">
        <v>40</v>
      </c>
      <c r="J181" s="149">
        <v>90</v>
      </c>
      <c r="K181" s="66">
        <v>360</v>
      </c>
      <c r="L181" s="66">
        <v>1550</v>
      </c>
      <c r="M181" s="150">
        <v>22.017904339548373</v>
      </c>
      <c r="N181" s="78">
        <v>1006.1513279999999</v>
      </c>
      <c r="O181" s="110">
        <v>32405.868187270371</v>
      </c>
      <c r="P181" s="111">
        <v>40318.912025048099</v>
      </c>
      <c r="Q181" s="254">
        <v>23508.431009095038</v>
      </c>
      <c r="R181" s="258">
        <v>55914.299196365406</v>
      </c>
      <c r="S181" s="259">
        <v>63827.343034143138</v>
      </c>
      <c r="U181" s="7" t="s">
        <v>4702</v>
      </c>
    </row>
    <row r="182" spans="1:21" ht="16.5" thickBot="1">
      <c r="A182" s="1188" t="s">
        <v>4533</v>
      </c>
      <c r="B182" s="1189">
        <f t="shared" si="9"/>
        <v>90</v>
      </c>
      <c r="C182" s="1189" t="s">
        <v>3</v>
      </c>
      <c r="D182" s="1189">
        <f t="shared" si="10"/>
        <v>360</v>
      </c>
      <c r="E182" s="1189" t="s">
        <v>3</v>
      </c>
      <c r="F182" s="1190">
        <f t="shared" si="11"/>
        <v>1600</v>
      </c>
      <c r="G182" s="1189" t="s">
        <v>3</v>
      </c>
      <c r="H182" s="1189">
        <v>2</v>
      </c>
      <c r="I182" s="1191" t="s">
        <v>40</v>
      </c>
      <c r="J182" s="149">
        <v>90</v>
      </c>
      <c r="K182" s="66">
        <v>360</v>
      </c>
      <c r="L182" s="66">
        <v>1600</v>
      </c>
      <c r="M182" s="150">
        <v>22.651037425441693</v>
      </c>
      <c r="N182" s="78">
        <v>1048.0743</v>
      </c>
      <c r="O182" s="110">
        <v>33155.609361628005</v>
      </c>
      <c r="P182" s="111">
        <v>41270.004469809312</v>
      </c>
      <c r="Q182" s="254">
        <v>24111.851893333227</v>
      </c>
      <c r="R182" s="258">
        <v>57267.461254961236</v>
      </c>
      <c r="S182" s="259">
        <v>65381.856363142535</v>
      </c>
      <c r="U182" s="7" t="s">
        <v>4703</v>
      </c>
    </row>
    <row r="183" spans="1:21" ht="16.5" thickBot="1">
      <c r="A183" s="1188" t="s">
        <v>4533</v>
      </c>
      <c r="B183" s="1192">
        <f t="shared" si="9"/>
        <v>90</v>
      </c>
      <c r="C183" s="1192" t="s">
        <v>3</v>
      </c>
      <c r="D183" s="1192">
        <f t="shared" si="10"/>
        <v>360</v>
      </c>
      <c r="E183" s="1192" t="s">
        <v>3</v>
      </c>
      <c r="F183" s="1190">
        <f t="shared" si="11"/>
        <v>1650</v>
      </c>
      <c r="G183" s="1192" t="s">
        <v>3</v>
      </c>
      <c r="H183" s="1189">
        <v>2</v>
      </c>
      <c r="I183" s="1191" t="s">
        <v>40</v>
      </c>
      <c r="J183" s="149">
        <v>90</v>
      </c>
      <c r="K183" s="66">
        <v>360</v>
      </c>
      <c r="L183" s="66">
        <v>1650</v>
      </c>
      <c r="M183" s="150">
        <v>23.284170511335017</v>
      </c>
      <c r="N183" s="78">
        <v>1089.9972720000001</v>
      </c>
      <c r="O183" s="110">
        <v>33905.350535985643</v>
      </c>
      <c r="P183" s="111">
        <v>42221.097067599301</v>
      </c>
      <c r="Q183" s="254">
        <v>24966.606915355183</v>
      </c>
      <c r="R183" s="258">
        <v>58871.95745134083</v>
      </c>
      <c r="S183" s="259">
        <v>67187.703982954481</v>
      </c>
      <c r="U183" s="7" t="s">
        <v>4704</v>
      </c>
    </row>
    <row r="184" spans="1:21" ht="16.5" thickBot="1">
      <c r="A184" s="1188" t="s">
        <v>4533</v>
      </c>
      <c r="B184" s="1192">
        <f t="shared" si="9"/>
        <v>90</v>
      </c>
      <c r="C184" s="1192" t="s">
        <v>3</v>
      </c>
      <c r="D184" s="1192">
        <f t="shared" si="10"/>
        <v>360</v>
      </c>
      <c r="E184" s="1192" t="s">
        <v>3</v>
      </c>
      <c r="F184" s="1190">
        <f t="shared" si="11"/>
        <v>1700</v>
      </c>
      <c r="G184" s="1192" t="s">
        <v>3</v>
      </c>
      <c r="H184" s="1189">
        <v>2</v>
      </c>
      <c r="I184" s="1191" t="s">
        <v>40</v>
      </c>
      <c r="J184" s="149">
        <v>90</v>
      </c>
      <c r="K184" s="66">
        <v>360</v>
      </c>
      <c r="L184" s="66">
        <v>1700</v>
      </c>
      <c r="M184" s="150">
        <v>23.91730359722834</v>
      </c>
      <c r="N184" s="78">
        <v>1131.9202440000001</v>
      </c>
      <c r="O184" s="110">
        <v>34655.091557314518</v>
      </c>
      <c r="P184" s="111">
        <v>43172.189512360521</v>
      </c>
      <c r="Q184" s="254">
        <v>25570.027799593372</v>
      </c>
      <c r="R184" s="258">
        <v>60225.11935690789</v>
      </c>
      <c r="S184" s="259">
        <v>68742.217311953893</v>
      </c>
      <c r="U184" s="7" t="s">
        <v>4705</v>
      </c>
    </row>
    <row r="185" spans="1:21" ht="16.5" thickBot="1">
      <c r="A185" s="1188" t="s">
        <v>4533</v>
      </c>
      <c r="B185" s="1192">
        <f t="shared" si="9"/>
        <v>90</v>
      </c>
      <c r="C185" s="1192" t="s">
        <v>3</v>
      </c>
      <c r="D185" s="1192">
        <f t="shared" si="10"/>
        <v>360</v>
      </c>
      <c r="E185" s="1192" t="s">
        <v>3</v>
      </c>
      <c r="F185" s="1190">
        <f t="shared" si="11"/>
        <v>1750</v>
      </c>
      <c r="G185" s="1192" t="s">
        <v>3</v>
      </c>
      <c r="H185" s="1189">
        <v>2</v>
      </c>
      <c r="I185" s="1191" t="s">
        <v>40</v>
      </c>
      <c r="J185" s="149">
        <v>90</v>
      </c>
      <c r="K185" s="66">
        <v>360</v>
      </c>
      <c r="L185" s="66">
        <v>1750</v>
      </c>
      <c r="M185" s="150">
        <v>24.55043668312166</v>
      </c>
      <c r="N185" s="78">
        <v>1173.843216</v>
      </c>
      <c r="O185" s="110">
        <v>35404.832731672155</v>
      </c>
      <c r="P185" s="111">
        <v>44123.282110150503</v>
      </c>
      <c r="Q185" s="254">
        <v>26424.782821615332</v>
      </c>
      <c r="R185" s="258">
        <v>61829.615553287484</v>
      </c>
      <c r="S185" s="259">
        <v>70548.064931765839</v>
      </c>
      <c r="U185" s="7" t="s">
        <v>4706</v>
      </c>
    </row>
    <row r="186" spans="1:21" ht="16.5" thickBot="1">
      <c r="A186" s="1188" t="s">
        <v>4533</v>
      </c>
      <c r="B186" s="1192">
        <f t="shared" si="9"/>
        <v>90</v>
      </c>
      <c r="C186" s="1192" t="s">
        <v>3</v>
      </c>
      <c r="D186" s="1192">
        <f t="shared" si="10"/>
        <v>360</v>
      </c>
      <c r="E186" s="1192" t="s">
        <v>3</v>
      </c>
      <c r="F186" s="1190">
        <f t="shared" si="11"/>
        <v>1800</v>
      </c>
      <c r="G186" s="1192" t="s">
        <v>3</v>
      </c>
      <c r="H186" s="1189">
        <v>2</v>
      </c>
      <c r="I186" s="1191" t="s">
        <v>40</v>
      </c>
      <c r="J186" s="149">
        <v>90</v>
      </c>
      <c r="K186" s="66">
        <v>360</v>
      </c>
      <c r="L186" s="66">
        <v>1800</v>
      </c>
      <c r="M186" s="150">
        <v>25.183569769014987</v>
      </c>
      <c r="N186" s="78">
        <v>1215.7661879999998</v>
      </c>
      <c r="O186" s="110">
        <v>36154.573906029793</v>
      </c>
      <c r="P186" s="111">
        <v>45074.37455491173</v>
      </c>
      <c r="Q186" s="254">
        <v>27028.203705853517</v>
      </c>
      <c r="R186" s="258">
        <v>63182.777611883314</v>
      </c>
      <c r="S186" s="259">
        <v>72102.578260765251</v>
      </c>
      <c r="U186" s="7" t="s">
        <v>4707</v>
      </c>
    </row>
    <row r="187" spans="1:21" ht="16.5" thickBot="1">
      <c r="A187" s="1188" t="s">
        <v>4533</v>
      </c>
      <c r="B187" s="1192">
        <f t="shared" si="9"/>
        <v>90</v>
      </c>
      <c r="C187" s="1192" t="s">
        <v>3</v>
      </c>
      <c r="D187" s="1192">
        <f t="shared" si="10"/>
        <v>360</v>
      </c>
      <c r="E187" s="1192" t="s">
        <v>3</v>
      </c>
      <c r="F187" s="1190">
        <f t="shared" si="11"/>
        <v>1850</v>
      </c>
      <c r="G187" s="1192" t="s">
        <v>3</v>
      </c>
      <c r="H187" s="1189">
        <v>2</v>
      </c>
      <c r="I187" s="1191" t="s">
        <v>40</v>
      </c>
      <c r="J187" s="149">
        <v>90</v>
      </c>
      <c r="K187" s="66">
        <v>360</v>
      </c>
      <c r="L187" s="66">
        <v>1850</v>
      </c>
      <c r="M187" s="150">
        <v>25.816702854908307</v>
      </c>
      <c r="N187" s="78">
        <v>1257.6891599999999</v>
      </c>
      <c r="O187" s="110">
        <v>36904.315080387438</v>
      </c>
      <c r="P187" s="111">
        <v>46025.467152701713</v>
      </c>
      <c r="Q187" s="254">
        <v>27882.958880904247</v>
      </c>
      <c r="R187" s="258">
        <v>64787.273961291685</v>
      </c>
      <c r="S187" s="259">
        <v>73908.426033605967</v>
      </c>
      <c r="U187" s="7" t="s">
        <v>4708</v>
      </c>
    </row>
    <row r="188" spans="1:21" ht="16.5" thickBot="1">
      <c r="A188" s="1188" t="s">
        <v>4533</v>
      </c>
      <c r="B188" s="1192">
        <f t="shared" si="9"/>
        <v>90</v>
      </c>
      <c r="C188" s="1192" t="s">
        <v>3</v>
      </c>
      <c r="D188" s="1192">
        <f t="shared" si="10"/>
        <v>360</v>
      </c>
      <c r="E188" s="1192" t="s">
        <v>3</v>
      </c>
      <c r="F188" s="1190">
        <f t="shared" si="11"/>
        <v>1900</v>
      </c>
      <c r="G188" s="1192" t="s">
        <v>3</v>
      </c>
      <c r="H188" s="1189">
        <v>2</v>
      </c>
      <c r="I188" s="1191" t="s">
        <v>40</v>
      </c>
      <c r="J188" s="149">
        <v>90</v>
      </c>
      <c r="K188" s="66">
        <v>360</v>
      </c>
      <c r="L188" s="66">
        <v>1900</v>
      </c>
      <c r="M188" s="150">
        <v>26.449835940801631</v>
      </c>
      <c r="N188" s="78">
        <v>1299.612132</v>
      </c>
      <c r="O188" s="110">
        <v>37654.056254745075</v>
      </c>
      <c r="P188" s="111">
        <v>46976.559597462932</v>
      </c>
      <c r="Q188" s="254">
        <v>28486.379765142432</v>
      </c>
      <c r="R188" s="258">
        <v>66140.436019887507</v>
      </c>
      <c r="S188" s="259">
        <v>75462.939362605364</v>
      </c>
      <c r="U188" s="7" t="s">
        <v>4709</v>
      </c>
    </row>
    <row r="189" spans="1:21" ht="16.5" thickBot="1">
      <c r="A189" s="1188" t="s">
        <v>4533</v>
      </c>
      <c r="B189" s="1192">
        <f t="shared" si="9"/>
        <v>90</v>
      </c>
      <c r="C189" s="1192" t="s">
        <v>3</v>
      </c>
      <c r="D189" s="1192">
        <f t="shared" si="10"/>
        <v>360</v>
      </c>
      <c r="E189" s="1192" t="s">
        <v>3</v>
      </c>
      <c r="F189" s="1190">
        <f t="shared" si="11"/>
        <v>1950</v>
      </c>
      <c r="G189" s="1192" t="s">
        <v>3</v>
      </c>
      <c r="H189" s="1189">
        <v>2</v>
      </c>
      <c r="I189" s="1191" t="s">
        <v>40</v>
      </c>
      <c r="J189" s="149">
        <v>90</v>
      </c>
      <c r="K189" s="66">
        <v>360</v>
      </c>
      <c r="L189" s="66">
        <v>1950</v>
      </c>
      <c r="M189" s="150">
        <v>27.082969026694951</v>
      </c>
      <c r="N189" s="78">
        <v>1341.535104</v>
      </c>
      <c r="O189" s="110">
        <v>38403.797276073943</v>
      </c>
      <c r="P189" s="111">
        <v>47927.652042224159</v>
      </c>
      <c r="Q189" s="254">
        <v>29089.800649380621</v>
      </c>
      <c r="R189" s="258">
        <v>67493.597925454567</v>
      </c>
      <c r="S189" s="259">
        <v>77017.452691604776</v>
      </c>
      <c r="U189" s="7" t="s">
        <v>4710</v>
      </c>
    </row>
    <row r="190" spans="1:21" ht="16.5" thickBot="1">
      <c r="A190" s="1188" t="s">
        <v>4533</v>
      </c>
      <c r="B190" s="1192">
        <f t="shared" si="9"/>
        <v>90</v>
      </c>
      <c r="C190" s="1192" t="s">
        <v>3</v>
      </c>
      <c r="D190" s="1192">
        <f t="shared" si="10"/>
        <v>360</v>
      </c>
      <c r="E190" s="1192" t="s">
        <v>3</v>
      </c>
      <c r="F190" s="1190">
        <f t="shared" si="11"/>
        <v>2000</v>
      </c>
      <c r="G190" s="1192" t="s">
        <v>3</v>
      </c>
      <c r="H190" s="1189">
        <v>2</v>
      </c>
      <c r="I190" s="1191" t="s">
        <v>40</v>
      </c>
      <c r="J190" s="149">
        <v>90</v>
      </c>
      <c r="K190" s="66">
        <v>360</v>
      </c>
      <c r="L190" s="66">
        <v>2000</v>
      </c>
      <c r="M190" s="150">
        <v>27.856566912588271</v>
      </c>
      <c r="N190" s="78">
        <v>1383.4580759999999</v>
      </c>
      <c r="O190" s="110">
        <v>39661.514069631186</v>
      </c>
      <c r="P190" s="111">
        <v>49061.2283818504</v>
      </c>
      <c r="Q190" s="254">
        <v>29944.555671402581</v>
      </c>
      <c r="R190" s="258">
        <v>69606.069741033774</v>
      </c>
      <c r="S190" s="259">
        <v>79005.784053252981</v>
      </c>
      <c r="U190" s="7" t="s">
        <v>4711</v>
      </c>
    </row>
    <row r="191" spans="1:21" ht="16.5" thickBot="1">
      <c r="A191" s="1188" t="s">
        <v>4533</v>
      </c>
      <c r="B191" s="1192">
        <f t="shared" si="9"/>
        <v>90</v>
      </c>
      <c r="C191" s="1192" t="s">
        <v>3</v>
      </c>
      <c r="D191" s="1192">
        <f t="shared" si="10"/>
        <v>360</v>
      </c>
      <c r="E191" s="1192" t="s">
        <v>3</v>
      </c>
      <c r="F191" s="1190">
        <f t="shared" si="11"/>
        <v>2050</v>
      </c>
      <c r="G191" s="1192" t="s">
        <v>3</v>
      </c>
      <c r="H191" s="1189">
        <v>2</v>
      </c>
      <c r="I191" s="1191" t="s">
        <v>40</v>
      </c>
      <c r="J191" s="149">
        <v>90</v>
      </c>
      <c r="K191" s="66">
        <v>360</v>
      </c>
      <c r="L191" s="66">
        <v>2050</v>
      </c>
      <c r="M191" s="150">
        <v>28.489699998481598</v>
      </c>
      <c r="N191" s="78">
        <v>1425.381048</v>
      </c>
      <c r="O191" s="110">
        <v>40411.255243988824</v>
      </c>
      <c r="P191" s="111">
        <v>50012.32082661162</v>
      </c>
      <c r="Q191" s="254">
        <v>30547.976555640766</v>
      </c>
      <c r="R191" s="258">
        <v>70959.23179962959</v>
      </c>
      <c r="S191" s="259">
        <v>80560.297382252378</v>
      </c>
      <c r="U191" s="7" t="s">
        <v>4712</v>
      </c>
    </row>
    <row r="192" spans="1:21" ht="16.5" thickBot="1">
      <c r="A192" s="1188" t="s">
        <v>4533</v>
      </c>
      <c r="B192" s="1189">
        <f t="shared" si="9"/>
        <v>90</v>
      </c>
      <c r="C192" s="1189" t="s">
        <v>3</v>
      </c>
      <c r="D192" s="1189">
        <f t="shared" si="10"/>
        <v>360</v>
      </c>
      <c r="E192" s="1189" t="s">
        <v>3</v>
      </c>
      <c r="F192" s="1190">
        <f t="shared" si="11"/>
        <v>2100</v>
      </c>
      <c r="G192" s="1189" t="s">
        <v>3</v>
      </c>
      <c r="H192" s="1189">
        <v>2</v>
      </c>
      <c r="I192" s="1191" t="s">
        <v>40</v>
      </c>
      <c r="J192" s="149">
        <v>90</v>
      </c>
      <c r="K192" s="66">
        <v>360</v>
      </c>
      <c r="L192" s="66">
        <v>2100</v>
      </c>
      <c r="M192" s="150">
        <v>29.122833084374921</v>
      </c>
      <c r="N192" s="78">
        <v>1467.30402</v>
      </c>
      <c r="O192" s="110">
        <v>41160.996418346469</v>
      </c>
      <c r="P192" s="111">
        <v>50963.413424401602</v>
      </c>
      <c r="Q192" s="254">
        <v>31402.731577662726</v>
      </c>
      <c r="R192" s="258">
        <v>72563.727996009198</v>
      </c>
      <c r="S192" s="259">
        <v>82366.145002064324</v>
      </c>
      <c r="U192" s="7" t="s">
        <v>4713</v>
      </c>
    </row>
    <row r="193" spans="1:21" ht="16.5" thickBot="1">
      <c r="A193" s="1188" t="s">
        <v>4533</v>
      </c>
      <c r="B193" s="1192">
        <f t="shared" si="9"/>
        <v>90</v>
      </c>
      <c r="C193" s="1192" t="s">
        <v>3</v>
      </c>
      <c r="D193" s="1192">
        <f t="shared" si="10"/>
        <v>360</v>
      </c>
      <c r="E193" s="1192" t="s">
        <v>3</v>
      </c>
      <c r="F193" s="1190">
        <f t="shared" si="11"/>
        <v>2150</v>
      </c>
      <c r="G193" s="1192" t="s">
        <v>3</v>
      </c>
      <c r="H193" s="1189">
        <v>2</v>
      </c>
      <c r="I193" s="1191" t="s">
        <v>40</v>
      </c>
      <c r="J193" s="149">
        <v>90</v>
      </c>
      <c r="K193" s="66">
        <v>360</v>
      </c>
      <c r="L193" s="66">
        <v>2150</v>
      </c>
      <c r="M193" s="150">
        <v>29.755966170268245</v>
      </c>
      <c r="N193" s="78">
        <v>1509.2269919999999</v>
      </c>
      <c r="O193" s="110">
        <v>41910.737592704107</v>
      </c>
      <c r="P193" s="111">
        <v>51914.505869162822</v>
      </c>
      <c r="Q193" s="254">
        <v>32006.152461900914</v>
      </c>
      <c r="R193" s="258">
        <v>73916.890054605028</v>
      </c>
      <c r="S193" s="259">
        <v>83920.658331063736</v>
      </c>
      <c r="U193" s="7" t="s">
        <v>4714</v>
      </c>
    </row>
    <row r="194" spans="1:21" ht="16.5" thickBot="1">
      <c r="A194" s="1188" t="s">
        <v>4533</v>
      </c>
      <c r="B194" s="1192">
        <f t="shared" si="9"/>
        <v>90</v>
      </c>
      <c r="C194" s="1192" t="s">
        <v>3</v>
      </c>
      <c r="D194" s="1192">
        <f t="shared" si="10"/>
        <v>360</v>
      </c>
      <c r="E194" s="1192" t="s">
        <v>3</v>
      </c>
      <c r="F194" s="1190">
        <f t="shared" si="11"/>
        <v>2200</v>
      </c>
      <c r="G194" s="1192" t="s">
        <v>3</v>
      </c>
      <c r="H194" s="1189">
        <v>2</v>
      </c>
      <c r="I194" s="1191" t="s">
        <v>40</v>
      </c>
      <c r="J194" s="149">
        <v>90</v>
      </c>
      <c r="K194" s="66">
        <v>360</v>
      </c>
      <c r="L194" s="66">
        <v>2200</v>
      </c>
      <c r="M194" s="150">
        <v>30.389099256161565</v>
      </c>
      <c r="N194" s="78">
        <v>1551.149964</v>
      </c>
      <c r="O194" s="110">
        <v>42660.478767061744</v>
      </c>
      <c r="P194" s="111">
        <v>52865.598466952652</v>
      </c>
      <c r="Q194" s="254">
        <v>32860.907483922878</v>
      </c>
      <c r="R194" s="258">
        <v>75521.386250984622</v>
      </c>
      <c r="S194" s="259">
        <v>85726.505950875522</v>
      </c>
      <c r="U194" s="7" t="s">
        <v>4715</v>
      </c>
    </row>
    <row r="195" spans="1:21" ht="16.5" thickBot="1">
      <c r="A195" s="1188" t="s">
        <v>4533</v>
      </c>
      <c r="B195" s="1192">
        <f t="shared" si="9"/>
        <v>90</v>
      </c>
      <c r="C195" s="1192" t="s">
        <v>3</v>
      </c>
      <c r="D195" s="1192">
        <f t="shared" si="10"/>
        <v>360</v>
      </c>
      <c r="E195" s="1192" t="s">
        <v>3</v>
      </c>
      <c r="F195" s="1190">
        <f t="shared" si="11"/>
        <v>2250</v>
      </c>
      <c r="G195" s="1192" t="s">
        <v>3</v>
      </c>
      <c r="H195" s="1189">
        <v>2</v>
      </c>
      <c r="I195" s="1191" t="s">
        <v>40</v>
      </c>
      <c r="J195" s="149">
        <v>90</v>
      </c>
      <c r="K195" s="66">
        <v>360</v>
      </c>
      <c r="L195" s="66">
        <v>2250</v>
      </c>
      <c r="M195" s="150">
        <v>31.022232342054892</v>
      </c>
      <c r="N195" s="78">
        <v>1593.0729359999998</v>
      </c>
      <c r="O195" s="110">
        <v>43410.219788390619</v>
      </c>
      <c r="P195" s="111">
        <v>53816.690911714039</v>
      </c>
      <c r="Q195" s="254">
        <v>33464.328368161063</v>
      </c>
      <c r="R195" s="258">
        <v>76874.548156551682</v>
      </c>
      <c r="S195" s="259">
        <v>87281.019279875094</v>
      </c>
      <c r="U195" s="7" t="s">
        <v>4716</v>
      </c>
    </row>
    <row r="196" spans="1:21" ht="16.5" thickBot="1">
      <c r="A196" s="1188" t="s">
        <v>4533</v>
      </c>
      <c r="B196" s="1192">
        <f t="shared" si="9"/>
        <v>90</v>
      </c>
      <c r="C196" s="1192" t="s">
        <v>3</v>
      </c>
      <c r="D196" s="1192">
        <f t="shared" si="10"/>
        <v>360</v>
      </c>
      <c r="E196" s="1192" t="s">
        <v>3</v>
      </c>
      <c r="F196" s="1190">
        <f t="shared" si="11"/>
        <v>2300</v>
      </c>
      <c r="G196" s="1192" t="s">
        <v>3</v>
      </c>
      <c r="H196" s="1189">
        <v>2</v>
      </c>
      <c r="I196" s="1191" t="s">
        <v>40</v>
      </c>
      <c r="J196" s="149">
        <v>90</v>
      </c>
      <c r="K196" s="66">
        <v>360</v>
      </c>
      <c r="L196" s="66">
        <v>2300</v>
      </c>
      <c r="M196" s="150">
        <v>31.655365427948208</v>
      </c>
      <c r="N196" s="78">
        <v>1634.9959079999999</v>
      </c>
      <c r="O196" s="110">
        <v>44159.960962748257</v>
      </c>
      <c r="P196" s="111">
        <v>54767.783509504014</v>
      </c>
      <c r="Q196" s="254">
        <v>34067.749252399248</v>
      </c>
      <c r="R196" s="258">
        <v>78227.710215147497</v>
      </c>
      <c r="S196" s="259">
        <v>88835.532761903261</v>
      </c>
      <c r="U196" s="7" t="s">
        <v>4717</v>
      </c>
    </row>
    <row r="197" spans="1:21" ht="16.5" thickBot="1">
      <c r="A197" s="1188" t="s">
        <v>4533</v>
      </c>
      <c r="B197" s="1192">
        <f t="shared" si="9"/>
        <v>90</v>
      </c>
      <c r="C197" s="1192" t="s">
        <v>3</v>
      </c>
      <c r="D197" s="1192">
        <f t="shared" si="10"/>
        <v>360</v>
      </c>
      <c r="E197" s="1192" t="s">
        <v>3</v>
      </c>
      <c r="F197" s="1190">
        <f t="shared" si="11"/>
        <v>2350</v>
      </c>
      <c r="G197" s="1192" t="s">
        <v>3</v>
      </c>
      <c r="H197" s="1189">
        <v>2</v>
      </c>
      <c r="I197" s="1191" t="s">
        <v>40</v>
      </c>
      <c r="J197" s="149">
        <v>90</v>
      </c>
      <c r="K197" s="66">
        <v>360</v>
      </c>
      <c r="L197" s="66">
        <v>2350</v>
      </c>
      <c r="M197" s="150">
        <v>32.288498513841532</v>
      </c>
      <c r="N197" s="78">
        <v>1676.9188799999999</v>
      </c>
      <c r="O197" s="110">
        <v>44909.702137105895</v>
      </c>
      <c r="P197" s="111">
        <v>55718.875954265241</v>
      </c>
      <c r="Q197" s="254">
        <v>34922.504274421211</v>
      </c>
      <c r="R197" s="258">
        <v>79832.206411527106</v>
      </c>
      <c r="S197" s="259">
        <v>90641.380228686452</v>
      </c>
      <c r="U197" s="7" t="s">
        <v>4718</v>
      </c>
    </row>
    <row r="198" spans="1:21" ht="16.5" thickBot="1">
      <c r="A198" s="1188" t="s">
        <v>4533</v>
      </c>
      <c r="B198" s="1192">
        <f t="shared" si="9"/>
        <v>90</v>
      </c>
      <c r="C198" s="1192" t="s">
        <v>3</v>
      </c>
      <c r="D198" s="1192">
        <f t="shared" si="10"/>
        <v>360</v>
      </c>
      <c r="E198" s="1192" t="s">
        <v>3</v>
      </c>
      <c r="F198" s="1190">
        <f t="shared" si="11"/>
        <v>2400</v>
      </c>
      <c r="G198" s="1192" t="s">
        <v>3</v>
      </c>
      <c r="H198" s="1189">
        <v>2</v>
      </c>
      <c r="I198" s="1191" t="s">
        <v>40</v>
      </c>
      <c r="J198" s="149">
        <v>90</v>
      </c>
      <c r="K198" s="66">
        <v>360</v>
      </c>
      <c r="L198" s="66">
        <v>2400</v>
      </c>
      <c r="M198" s="150">
        <v>32.921631599734852</v>
      </c>
      <c r="N198" s="78">
        <v>1718.8418519999998</v>
      </c>
      <c r="O198" s="110">
        <v>45659.443311463532</v>
      </c>
      <c r="P198" s="111">
        <v>56669.968552055223</v>
      </c>
      <c r="Q198" s="254">
        <v>35525.925158659396</v>
      </c>
      <c r="R198" s="258">
        <v>81185.368470122921</v>
      </c>
      <c r="S198" s="259">
        <v>92195.893710714619</v>
      </c>
      <c r="U198" s="7" t="s">
        <v>4719</v>
      </c>
    </row>
    <row r="199" spans="1:21" ht="16.5" thickBot="1">
      <c r="A199" s="1188" t="s">
        <v>4533</v>
      </c>
      <c r="B199" s="1192">
        <f t="shared" si="9"/>
        <v>90</v>
      </c>
      <c r="C199" s="1192" t="s">
        <v>3</v>
      </c>
      <c r="D199" s="1192">
        <f t="shared" si="10"/>
        <v>360</v>
      </c>
      <c r="E199" s="1192" t="s">
        <v>3</v>
      </c>
      <c r="F199" s="1190">
        <f t="shared" si="11"/>
        <v>2450</v>
      </c>
      <c r="G199" s="1192" t="s">
        <v>3</v>
      </c>
      <c r="H199" s="1189">
        <v>2</v>
      </c>
      <c r="I199" s="1191" t="s">
        <v>40</v>
      </c>
      <c r="J199" s="149">
        <v>90</v>
      </c>
      <c r="K199" s="66">
        <v>360</v>
      </c>
      <c r="L199" s="66">
        <v>2450</v>
      </c>
      <c r="M199" s="150">
        <v>33.554764685628179</v>
      </c>
      <c r="N199" s="78">
        <v>1760.7648240000001</v>
      </c>
      <c r="O199" s="110">
        <v>46409.184485821177</v>
      </c>
      <c r="P199" s="111">
        <v>57621.06099681645</v>
      </c>
      <c r="Q199" s="254">
        <v>36380.680180681353</v>
      </c>
      <c r="R199" s="258">
        <v>82789.86466650253</v>
      </c>
      <c r="S199" s="259">
        <v>94001.74117749781</v>
      </c>
      <c r="U199" s="7" t="s">
        <v>4720</v>
      </c>
    </row>
    <row r="200" spans="1:21" ht="16.5" thickBot="1">
      <c r="A200" s="1188" t="s">
        <v>4533</v>
      </c>
      <c r="B200" s="1192">
        <f t="shared" si="9"/>
        <v>90</v>
      </c>
      <c r="C200" s="1192" t="s">
        <v>3</v>
      </c>
      <c r="D200" s="1192">
        <f t="shared" si="10"/>
        <v>360</v>
      </c>
      <c r="E200" s="1192" t="s">
        <v>3</v>
      </c>
      <c r="F200" s="1190">
        <f t="shared" si="11"/>
        <v>2500</v>
      </c>
      <c r="G200" s="1192" t="s">
        <v>3</v>
      </c>
      <c r="H200" s="1189">
        <v>2</v>
      </c>
      <c r="I200" s="1191" t="s">
        <v>40</v>
      </c>
      <c r="J200" s="149">
        <v>90</v>
      </c>
      <c r="K200" s="66">
        <v>360</v>
      </c>
      <c r="L200" s="66">
        <v>2500</v>
      </c>
      <c r="M200" s="150">
        <v>34.5463413715215</v>
      </c>
      <c r="N200" s="78">
        <v>1802.6877959999999</v>
      </c>
      <c r="O200" s="110">
        <v>47955.277253990818</v>
      </c>
      <c r="P200" s="111">
        <v>59575.583866414352</v>
      </c>
      <c r="Q200" s="254">
        <v>36984.101064919538</v>
      </c>
      <c r="R200" s="258">
        <v>84939.378318910356</v>
      </c>
      <c r="S200" s="259">
        <v>96559.68493133389</v>
      </c>
      <c r="U200" s="7" t="s">
        <v>4721</v>
      </c>
    </row>
    <row r="201" spans="1:21" ht="16.5" thickBot="1">
      <c r="A201" s="1188" t="s">
        <v>4533</v>
      </c>
      <c r="B201" s="1192">
        <f t="shared" si="9"/>
        <v>90</v>
      </c>
      <c r="C201" s="1192" t="s">
        <v>3</v>
      </c>
      <c r="D201" s="1192">
        <f t="shared" si="10"/>
        <v>360</v>
      </c>
      <c r="E201" s="1192" t="s">
        <v>3</v>
      </c>
      <c r="F201" s="1190">
        <f t="shared" si="11"/>
        <v>2550</v>
      </c>
      <c r="G201" s="1192" t="s">
        <v>3</v>
      </c>
      <c r="H201" s="1189">
        <v>2</v>
      </c>
      <c r="I201" s="1191" t="s">
        <v>40</v>
      </c>
      <c r="J201" s="149">
        <v>90</v>
      </c>
      <c r="K201" s="66">
        <v>360</v>
      </c>
      <c r="L201" s="66">
        <v>2550</v>
      </c>
      <c r="M201" s="150">
        <v>35.17947445741482</v>
      </c>
      <c r="N201" s="78">
        <v>1844.610768</v>
      </c>
      <c r="O201" s="110">
        <v>49100.903537669292</v>
      </c>
      <c r="P201" s="111">
        <v>60541.979340716825</v>
      </c>
      <c r="Q201" s="254">
        <v>37838.856239970264</v>
      </c>
      <c r="R201" s="258">
        <v>86939.759777639556</v>
      </c>
      <c r="S201" s="259">
        <v>98380.835580687097</v>
      </c>
      <c r="U201" s="7" t="s">
        <v>4722</v>
      </c>
    </row>
    <row r="202" spans="1:21" ht="16.5" thickBot="1">
      <c r="A202" s="1188" t="s">
        <v>4533</v>
      </c>
      <c r="B202" s="1189">
        <f t="shared" si="9"/>
        <v>90</v>
      </c>
      <c r="C202" s="1189" t="s">
        <v>3</v>
      </c>
      <c r="D202" s="1189">
        <f t="shared" si="10"/>
        <v>360</v>
      </c>
      <c r="E202" s="1189" t="s">
        <v>3</v>
      </c>
      <c r="F202" s="1190">
        <f t="shared" si="11"/>
        <v>2600</v>
      </c>
      <c r="G202" s="1189" t="s">
        <v>3</v>
      </c>
      <c r="H202" s="1189">
        <v>2</v>
      </c>
      <c r="I202" s="1191" t="s">
        <v>40</v>
      </c>
      <c r="J202" s="149">
        <v>90</v>
      </c>
      <c r="K202" s="66">
        <v>360</v>
      </c>
      <c r="L202" s="66">
        <v>2600</v>
      </c>
      <c r="M202" s="150">
        <v>35.812607543308147</v>
      </c>
      <c r="N202" s="78">
        <v>1886.5337399999999</v>
      </c>
      <c r="O202" s="110">
        <v>49850.644712026937</v>
      </c>
      <c r="P202" s="111">
        <v>61493.071785478052</v>
      </c>
      <c r="Q202" s="254">
        <v>38442.277124208456</v>
      </c>
      <c r="R202" s="258">
        <v>88292.921836235386</v>
      </c>
      <c r="S202" s="259">
        <v>99935.348909686509</v>
      </c>
      <c r="U202" s="7" t="s">
        <v>4723</v>
      </c>
    </row>
    <row r="203" spans="1:21" ht="16.5" thickBot="1">
      <c r="A203" s="1188" t="s">
        <v>4533</v>
      </c>
      <c r="B203" s="1192">
        <f t="shared" si="9"/>
        <v>90</v>
      </c>
      <c r="C203" s="1192" t="s">
        <v>3</v>
      </c>
      <c r="D203" s="1192">
        <f t="shared" si="10"/>
        <v>360</v>
      </c>
      <c r="E203" s="1192" t="s">
        <v>3</v>
      </c>
      <c r="F203" s="1190">
        <f t="shared" si="11"/>
        <v>2650</v>
      </c>
      <c r="G203" s="1192" t="s">
        <v>3</v>
      </c>
      <c r="H203" s="1189">
        <v>2</v>
      </c>
      <c r="I203" s="1191" t="s">
        <v>40</v>
      </c>
      <c r="J203" s="149">
        <v>90</v>
      </c>
      <c r="K203" s="66">
        <v>360</v>
      </c>
      <c r="L203" s="66">
        <v>2650</v>
      </c>
      <c r="M203" s="150">
        <v>36.445740629201467</v>
      </c>
      <c r="N203" s="78">
        <v>1928.4567119999997</v>
      </c>
      <c r="O203" s="110">
        <v>50600.385733355812</v>
      </c>
      <c r="P203" s="111">
        <v>62444.164383268035</v>
      </c>
      <c r="Q203" s="254">
        <v>39297.032146230413</v>
      </c>
      <c r="R203" s="258">
        <v>89897.417879586224</v>
      </c>
      <c r="S203" s="259">
        <v>101741.19652949844</v>
      </c>
      <c r="U203" s="7" t="s">
        <v>4724</v>
      </c>
    </row>
    <row r="204" spans="1:21" ht="16.5" thickBot="1">
      <c r="A204" s="1188" t="s">
        <v>4533</v>
      </c>
      <c r="B204" s="1192">
        <f t="shared" si="9"/>
        <v>90</v>
      </c>
      <c r="C204" s="1192" t="s">
        <v>3</v>
      </c>
      <c r="D204" s="1192">
        <f t="shared" si="10"/>
        <v>360</v>
      </c>
      <c r="E204" s="1192" t="s">
        <v>3</v>
      </c>
      <c r="F204" s="1190">
        <f t="shared" si="11"/>
        <v>2700</v>
      </c>
      <c r="G204" s="1192" t="s">
        <v>3</v>
      </c>
      <c r="H204" s="1189">
        <v>2</v>
      </c>
      <c r="I204" s="1191" t="s">
        <v>40</v>
      </c>
      <c r="J204" s="149">
        <v>90</v>
      </c>
      <c r="K204" s="66">
        <v>360</v>
      </c>
      <c r="L204" s="66">
        <v>2700</v>
      </c>
      <c r="M204" s="150">
        <v>37.078873715094794</v>
      </c>
      <c r="N204" s="78">
        <v>1970.379684</v>
      </c>
      <c r="O204" s="110">
        <v>51350.126907713449</v>
      </c>
      <c r="P204" s="111">
        <v>63395.256828029262</v>
      </c>
      <c r="Q204" s="254">
        <v>39900.453030468605</v>
      </c>
      <c r="R204" s="258">
        <v>91250.579938182054</v>
      </c>
      <c r="S204" s="259">
        <v>103295.70985849787</v>
      </c>
      <c r="U204" s="7" t="s">
        <v>4725</v>
      </c>
    </row>
    <row r="205" spans="1:21" ht="16.5" thickBot="1">
      <c r="A205" s="1188" t="s">
        <v>4533</v>
      </c>
      <c r="B205" s="1192">
        <f t="shared" si="9"/>
        <v>90</v>
      </c>
      <c r="C205" s="1192" t="s">
        <v>3</v>
      </c>
      <c r="D205" s="1192">
        <f t="shared" si="10"/>
        <v>360</v>
      </c>
      <c r="E205" s="1192" t="s">
        <v>3</v>
      </c>
      <c r="F205" s="1190">
        <f t="shared" si="11"/>
        <v>2750</v>
      </c>
      <c r="G205" s="1192" t="s">
        <v>3</v>
      </c>
      <c r="H205" s="1189">
        <v>2</v>
      </c>
      <c r="I205" s="1191" t="s">
        <v>40</v>
      </c>
      <c r="J205" s="149">
        <v>90</v>
      </c>
      <c r="K205" s="66">
        <v>360</v>
      </c>
      <c r="L205" s="66">
        <v>2750</v>
      </c>
      <c r="M205" s="150">
        <v>37.712006800988107</v>
      </c>
      <c r="N205" s="78">
        <v>2012.3026559999998</v>
      </c>
      <c r="O205" s="110">
        <v>52099.86808207108</v>
      </c>
      <c r="P205" s="111">
        <v>64346.349425819237</v>
      </c>
      <c r="Q205" s="254">
        <v>40503.87391470679</v>
      </c>
      <c r="R205" s="258">
        <v>92603.74199677787</v>
      </c>
      <c r="S205" s="259">
        <v>104850.22334052602</v>
      </c>
      <c r="U205" s="7" t="s">
        <v>4726</v>
      </c>
    </row>
    <row r="206" spans="1:21" ht="16.5" thickBot="1">
      <c r="A206" s="1188" t="s">
        <v>4533</v>
      </c>
      <c r="B206" s="1192">
        <f t="shared" si="9"/>
        <v>90</v>
      </c>
      <c r="C206" s="1192" t="s">
        <v>3</v>
      </c>
      <c r="D206" s="1192">
        <f t="shared" si="10"/>
        <v>360</v>
      </c>
      <c r="E206" s="1192" t="s">
        <v>3</v>
      </c>
      <c r="F206" s="1190">
        <f t="shared" si="11"/>
        <v>2800</v>
      </c>
      <c r="G206" s="1192" t="s">
        <v>3</v>
      </c>
      <c r="H206" s="1189">
        <v>2</v>
      </c>
      <c r="I206" s="1191" t="s">
        <v>40</v>
      </c>
      <c r="J206" s="149">
        <v>90</v>
      </c>
      <c r="K206" s="66">
        <v>360</v>
      </c>
      <c r="L206" s="66">
        <v>2800</v>
      </c>
      <c r="M206" s="150">
        <v>38.345139886881434</v>
      </c>
      <c r="N206" s="78">
        <v>2054.2256280000001</v>
      </c>
      <c r="O206" s="110">
        <v>52849.609256428725</v>
      </c>
      <c r="P206" s="111">
        <v>65297.441870580464</v>
      </c>
      <c r="Q206" s="254">
        <v>41358.628936728746</v>
      </c>
      <c r="R206" s="258">
        <v>94208.238193157478</v>
      </c>
      <c r="S206" s="259">
        <v>106656.07080730921</v>
      </c>
      <c r="U206" s="7" t="s">
        <v>4727</v>
      </c>
    </row>
    <row r="207" spans="1:21" ht="16.5" thickBot="1">
      <c r="A207" s="1188" t="s">
        <v>4533</v>
      </c>
      <c r="B207" s="1192">
        <f t="shared" si="9"/>
        <v>90</v>
      </c>
      <c r="C207" s="1192" t="s">
        <v>3</v>
      </c>
      <c r="D207" s="1192">
        <f t="shared" si="10"/>
        <v>360</v>
      </c>
      <c r="E207" s="1192" t="s">
        <v>3</v>
      </c>
      <c r="F207" s="1190">
        <f t="shared" si="11"/>
        <v>2850</v>
      </c>
      <c r="G207" s="1192" t="s">
        <v>3</v>
      </c>
      <c r="H207" s="1189">
        <v>2</v>
      </c>
      <c r="I207" s="1191" t="s">
        <v>40</v>
      </c>
      <c r="J207" s="149">
        <v>90</v>
      </c>
      <c r="K207" s="66">
        <v>360</v>
      </c>
      <c r="L207" s="66">
        <v>2850</v>
      </c>
      <c r="M207" s="150">
        <v>38.978272972774761</v>
      </c>
      <c r="N207" s="78">
        <v>2096.1486</v>
      </c>
      <c r="O207" s="110">
        <v>53599.35043078637</v>
      </c>
      <c r="P207" s="111">
        <v>66248.534468370461</v>
      </c>
      <c r="Q207" s="254">
        <v>41962.049820966939</v>
      </c>
      <c r="R207" s="258">
        <v>95561.400251753308</v>
      </c>
      <c r="S207" s="259">
        <v>108210.58428933739</v>
      </c>
      <c r="U207" s="7" t="s">
        <v>4728</v>
      </c>
    </row>
    <row r="208" spans="1:21" ht="16.5" thickBot="1">
      <c r="A208" s="1188" t="s">
        <v>4533</v>
      </c>
      <c r="B208" s="1192">
        <f t="shared" si="9"/>
        <v>90</v>
      </c>
      <c r="C208" s="1192" t="s">
        <v>3</v>
      </c>
      <c r="D208" s="1192">
        <f t="shared" si="10"/>
        <v>360</v>
      </c>
      <c r="E208" s="1192" t="s">
        <v>3</v>
      </c>
      <c r="F208" s="1190">
        <f t="shared" si="11"/>
        <v>2900</v>
      </c>
      <c r="G208" s="1192" t="s">
        <v>3</v>
      </c>
      <c r="H208" s="1189">
        <v>2</v>
      </c>
      <c r="I208" s="1191" t="s">
        <v>40</v>
      </c>
      <c r="J208" s="149">
        <v>90</v>
      </c>
      <c r="K208" s="66">
        <v>360</v>
      </c>
      <c r="L208" s="66">
        <v>2900</v>
      </c>
      <c r="M208" s="150">
        <v>39.611406058668081</v>
      </c>
      <c r="N208" s="78">
        <v>2138.0715719999998</v>
      </c>
      <c r="O208" s="110">
        <v>54349.091452115237</v>
      </c>
      <c r="P208" s="111">
        <v>67199.626913131666</v>
      </c>
      <c r="Q208" s="254">
        <v>42816.804842988895</v>
      </c>
      <c r="R208" s="258">
        <v>97165.896295104132</v>
      </c>
      <c r="S208" s="259">
        <v>110016.43175612055</v>
      </c>
      <c r="U208" s="7" t="s">
        <v>4729</v>
      </c>
    </row>
    <row r="209" spans="1:21" ht="16.5" thickBot="1">
      <c r="A209" s="1188" t="s">
        <v>4533</v>
      </c>
      <c r="B209" s="1192">
        <f t="shared" si="9"/>
        <v>90</v>
      </c>
      <c r="C209" s="1192" t="s">
        <v>3</v>
      </c>
      <c r="D209" s="1192">
        <f t="shared" si="10"/>
        <v>360</v>
      </c>
      <c r="E209" s="1192" t="s">
        <v>3</v>
      </c>
      <c r="F209" s="1190">
        <f t="shared" si="11"/>
        <v>2950</v>
      </c>
      <c r="G209" s="1192" t="s">
        <v>3</v>
      </c>
      <c r="H209" s="1189">
        <v>2</v>
      </c>
      <c r="I209" s="1191" t="s">
        <v>40</v>
      </c>
      <c r="J209" s="149">
        <v>90</v>
      </c>
      <c r="K209" s="66">
        <v>360</v>
      </c>
      <c r="L209" s="66">
        <v>2950</v>
      </c>
      <c r="M209" s="150">
        <v>40.244539144561401</v>
      </c>
      <c r="N209" s="78">
        <v>2179.9945440000001</v>
      </c>
      <c r="O209" s="110">
        <v>55098.832626472868</v>
      </c>
      <c r="P209" s="111">
        <v>68150.719510921655</v>
      </c>
      <c r="Q209" s="254">
        <v>43420.22572722708</v>
      </c>
      <c r="R209" s="258">
        <v>98519.058353699947</v>
      </c>
      <c r="S209" s="259">
        <v>111570.94523814874</v>
      </c>
      <c r="U209" s="7" t="s">
        <v>4730</v>
      </c>
    </row>
    <row r="210" spans="1:21" ht="16.5" thickBot="1">
      <c r="A210" s="1193" t="s">
        <v>4533</v>
      </c>
      <c r="B210" s="1194">
        <f t="shared" si="9"/>
        <v>90</v>
      </c>
      <c r="C210" s="1194" t="s">
        <v>3</v>
      </c>
      <c r="D210" s="1194">
        <f t="shared" si="10"/>
        <v>360</v>
      </c>
      <c r="E210" s="1194" t="s">
        <v>3</v>
      </c>
      <c r="F210" s="1195">
        <f t="shared" si="11"/>
        <v>3000</v>
      </c>
      <c r="G210" s="1194" t="s">
        <v>3</v>
      </c>
      <c r="H210" s="1196">
        <v>2</v>
      </c>
      <c r="I210" s="1197" t="s">
        <v>40</v>
      </c>
      <c r="J210" s="265">
        <v>90</v>
      </c>
      <c r="K210" s="266">
        <v>360</v>
      </c>
      <c r="L210" s="266">
        <v>3000</v>
      </c>
      <c r="M210" s="276">
        <v>41.158601830454728</v>
      </c>
      <c r="N210" s="250">
        <v>2221.917516</v>
      </c>
      <c r="O210" s="252">
        <v>56135.925094831633</v>
      </c>
      <c r="P210" s="280">
        <v>69389.163249683988</v>
      </c>
      <c r="Q210" s="267">
        <v>44274.980749249036</v>
      </c>
      <c r="R210" s="1198">
        <v>100410.90584408067</v>
      </c>
      <c r="S210" s="269">
        <v>113664.14399893302</v>
      </c>
      <c r="U210" s="7" t="s">
        <v>4731</v>
      </c>
    </row>
    <row r="211" spans="1:21" ht="19.5" thickBot="1">
      <c r="A211" s="2968" t="s">
        <v>44</v>
      </c>
      <c r="B211" s="2969"/>
      <c r="C211" s="2969"/>
      <c r="D211" s="2969"/>
      <c r="E211" s="2969"/>
      <c r="F211" s="2969"/>
      <c r="G211" s="2969"/>
      <c r="H211" s="2969"/>
      <c r="I211" s="2969"/>
      <c r="J211" s="2969"/>
      <c r="K211" s="2969"/>
      <c r="L211" s="2969"/>
      <c r="M211" s="2969"/>
      <c r="N211" s="2969"/>
      <c r="O211" s="2969"/>
      <c r="P211" s="2969"/>
      <c r="Q211" s="2969"/>
      <c r="R211" s="2969"/>
      <c r="S211" s="2970"/>
      <c r="U211" s="7"/>
    </row>
    <row r="212" spans="1:21" ht="16.5" thickBot="1">
      <c r="A212" s="2974" t="s">
        <v>4534</v>
      </c>
      <c r="B212" s="2975"/>
      <c r="C212" s="2975"/>
      <c r="D212" s="2975"/>
      <c r="E212" s="2975"/>
      <c r="F212" s="2975"/>
      <c r="G212" s="2975"/>
      <c r="H212" s="2975"/>
      <c r="I212" s="2975"/>
      <c r="J212" s="2975"/>
      <c r="K212" s="2975"/>
      <c r="L212" s="2975"/>
      <c r="M212" s="2975"/>
      <c r="N212" s="2975"/>
      <c r="O212" s="2975"/>
      <c r="P212" s="2975"/>
      <c r="Q212" s="2975"/>
      <c r="R212" s="2975"/>
      <c r="S212" s="2976"/>
      <c r="U212" s="7"/>
    </row>
    <row r="213" spans="1:21" ht="16.5" thickBot="1">
      <c r="A213" s="1188" t="s">
        <v>4533</v>
      </c>
      <c r="B213" s="1189">
        <f>J213</f>
        <v>90</v>
      </c>
      <c r="C213" s="1189" t="s">
        <v>3</v>
      </c>
      <c r="D213" s="1189">
        <f>K213</f>
        <v>360</v>
      </c>
      <c r="E213" s="1189" t="s">
        <v>3</v>
      </c>
      <c r="F213" s="1190">
        <f>L213</f>
        <v>600</v>
      </c>
      <c r="G213" s="1189" t="s">
        <v>3</v>
      </c>
      <c r="H213" s="1189">
        <v>4</v>
      </c>
      <c r="I213" s="1191" t="s">
        <v>40</v>
      </c>
      <c r="J213" s="270">
        <v>90</v>
      </c>
      <c r="K213" s="271">
        <v>360</v>
      </c>
      <c r="L213" s="271">
        <v>600</v>
      </c>
      <c r="M213" s="278">
        <v>10.143159540203118</v>
      </c>
      <c r="N213" s="246">
        <v>230.34599999999998</v>
      </c>
      <c r="O213" s="248">
        <v>23119.568542834546</v>
      </c>
      <c r="P213" s="275">
        <v>27380.439655353937</v>
      </c>
      <c r="Q213" s="272">
        <v>10032.760953270536</v>
      </c>
      <c r="R213" s="1199">
        <v>33152.329496105085</v>
      </c>
      <c r="S213" s="274">
        <v>37413.200608624473</v>
      </c>
      <c r="U213" s="7" t="s">
        <v>4732</v>
      </c>
    </row>
    <row r="214" spans="1:21" ht="16.5" thickBot="1">
      <c r="A214" s="1188" t="s">
        <v>4533</v>
      </c>
      <c r="B214" s="1192">
        <f t="shared" ref="B214:B261" si="12">J214</f>
        <v>90</v>
      </c>
      <c r="C214" s="1192" t="s">
        <v>3</v>
      </c>
      <c r="D214" s="1192">
        <f t="shared" ref="D214:D261" si="13">K214</f>
        <v>360</v>
      </c>
      <c r="E214" s="1192" t="s">
        <v>3</v>
      </c>
      <c r="F214" s="1190">
        <f t="shared" ref="F214:F261" si="14">L214</f>
        <v>650</v>
      </c>
      <c r="G214" s="1192" t="s">
        <v>3</v>
      </c>
      <c r="H214" s="1189">
        <v>4</v>
      </c>
      <c r="I214" s="1191" t="s">
        <v>40</v>
      </c>
      <c r="J214" s="149">
        <v>90</v>
      </c>
      <c r="K214" s="66">
        <v>360</v>
      </c>
      <c r="L214" s="66">
        <v>650</v>
      </c>
      <c r="M214" s="150">
        <v>10.889778232410819</v>
      </c>
      <c r="N214" s="78">
        <v>276.41519999999997</v>
      </c>
      <c r="O214" s="110">
        <v>24298.951135754422</v>
      </c>
      <c r="P214" s="111">
        <v>28761.173671706161</v>
      </c>
      <c r="Q214" s="254">
        <v>10636.181837508726</v>
      </c>
      <c r="R214" s="258">
        <v>34935.132973263149</v>
      </c>
      <c r="S214" s="259">
        <v>39397.355509214889</v>
      </c>
      <c r="U214" s="7" t="s">
        <v>4733</v>
      </c>
    </row>
    <row r="215" spans="1:21" ht="16.5" thickBot="1">
      <c r="A215" s="1188" t="s">
        <v>4533</v>
      </c>
      <c r="B215" s="1192">
        <f t="shared" si="12"/>
        <v>90</v>
      </c>
      <c r="C215" s="1192" t="s">
        <v>3</v>
      </c>
      <c r="D215" s="1192">
        <f t="shared" si="13"/>
        <v>360</v>
      </c>
      <c r="E215" s="1192" t="s">
        <v>3</v>
      </c>
      <c r="F215" s="1190">
        <f t="shared" si="14"/>
        <v>700</v>
      </c>
      <c r="G215" s="1192" t="s">
        <v>3</v>
      </c>
      <c r="H215" s="1189">
        <v>4</v>
      </c>
      <c r="I215" s="1191" t="s">
        <v>40</v>
      </c>
      <c r="J215" s="149">
        <v>90</v>
      </c>
      <c r="K215" s="66">
        <v>360</v>
      </c>
      <c r="L215" s="66">
        <v>700</v>
      </c>
      <c r="M215" s="150">
        <v>11.636396924618515</v>
      </c>
      <c r="N215" s="78">
        <v>322.48439999999994</v>
      </c>
      <c r="O215" s="110">
        <v>25478.333728674297</v>
      </c>
      <c r="P215" s="111">
        <v>30141.907688058385</v>
      </c>
      <c r="Q215" s="254">
        <v>11490.936859530682</v>
      </c>
      <c r="R215" s="258">
        <v>36969.270588204978</v>
      </c>
      <c r="S215" s="259">
        <v>41632.844547589069</v>
      </c>
      <c r="U215" s="7" t="s">
        <v>4734</v>
      </c>
    </row>
    <row r="216" spans="1:21" ht="16.5" thickBot="1">
      <c r="A216" s="1188" t="s">
        <v>4533</v>
      </c>
      <c r="B216" s="1192">
        <f t="shared" si="12"/>
        <v>90</v>
      </c>
      <c r="C216" s="1192" t="s">
        <v>3</v>
      </c>
      <c r="D216" s="1192">
        <f t="shared" si="13"/>
        <v>360</v>
      </c>
      <c r="E216" s="1192" t="s">
        <v>3</v>
      </c>
      <c r="F216" s="1190">
        <f t="shared" si="14"/>
        <v>750</v>
      </c>
      <c r="G216" s="1192" t="s">
        <v>3</v>
      </c>
      <c r="H216" s="1189">
        <v>4</v>
      </c>
      <c r="I216" s="1191" t="s">
        <v>40</v>
      </c>
      <c r="J216" s="149">
        <v>90</v>
      </c>
      <c r="K216" s="66">
        <v>360</v>
      </c>
      <c r="L216" s="66">
        <v>750</v>
      </c>
      <c r="M216" s="150">
        <v>12.383015616826212</v>
      </c>
      <c r="N216" s="78">
        <v>368.55359999999996</v>
      </c>
      <c r="O216" s="110">
        <v>26657.716321594173</v>
      </c>
      <c r="P216" s="111">
        <v>31522.641551381843</v>
      </c>
      <c r="Q216" s="254">
        <v>12094.357743768871</v>
      </c>
      <c r="R216" s="258">
        <v>38752.074065363042</v>
      </c>
      <c r="S216" s="259">
        <v>43616.999295150716</v>
      </c>
      <c r="U216" s="7" t="s">
        <v>4735</v>
      </c>
    </row>
    <row r="217" spans="1:21" ht="16.5" thickBot="1">
      <c r="A217" s="1188" t="s">
        <v>4533</v>
      </c>
      <c r="B217" s="1192">
        <f t="shared" si="12"/>
        <v>90</v>
      </c>
      <c r="C217" s="1192" t="s">
        <v>3</v>
      </c>
      <c r="D217" s="1192">
        <f t="shared" si="13"/>
        <v>360</v>
      </c>
      <c r="E217" s="1192" t="s">
        <v>3</v>
      </c>
      <c r="F217" s="1190">
        <f t="shared" si="14"/>
        <v>800</v>
      </c>
      <c r="G217" s="1192" t="s">
        <v>3</v>
      </c>
      <c r="H217" s="1189">
        <v>4</v>
      </c>
      <c r="I217" s="1191" t="s">
        <v>40</v>
      </c>
      <c r="J217" s="149">
        <v>90</v>
      </c>
      <c r="K217" s="66">
        <v>360</v>
      </c>
      <c r="L217" s="66">
        <v>800</v>
      </c>
      <c r="M217" s="150">
        <v>13.129634309033911</v>
      </c>
      <c r="N217" s="78">
        <v>414.62279999999998</v>
      </c>
      <c r="O217" s="110">
        <v>28232.984023834899</v>
      </c>
      <c r="P217" s="111">
        <v>32918.678444246565</v>
      </c>
      <c r="Q217" s="254">
        <v>12697.77862800706</v>
      </c>
      <c r="R217" s="258">
        <v>40930.762651841957</v>
      </c>
      <c r="S217" s="259">
        <v>45616.457072253623</v>
      </c>
      <c r="U217" s="7" t="s">
        <v>4736</v>
      </c>
    </row>
    <row r="218" spans="1:21" ht="16.5" thickBot="1">
      <c r="A218" s="1188" t="s">
        <v>4533</v>
      </c>
      <c r="B218" s="1192">
        <f t="shared" si="12"/>
        <v>90</v>
      </c>
      <c r="C218" s="1192" t="s">
        <v>3</v>
      </c>
      <c r="D218" s="1192">
        <f t="shared" si="13"/>
        <v>360</v>
      </c>
      <c r="E218" s="1192" t="s">
        <v>3</v>
      </c>
      <c r="F218" s="1190">
        <f t="shared" si="14"/>
        <v>850</v>
      </c>
      <c r="G218" s="1192" t="s">
        <v>3</v>
      </c>
      <c r="H218" s="1189">
        <v>4</v>
      </c>
      <c r="I218" s="1191" t="s">
        <v>40</v>
      </c>
      <c r="J218" s="149">
        <v>90</v>
      </c>
      <c r="K218" s="66">
        <v>360</v>
      </c>
      <c r="L218" s="66">
        <v>850</v>
      </c>
      <c r="M218" s="150">
        <v>13.876253001241606</v>
      </c>
      <c r="N218" s="78">
        <v>460.69199999999995</v>
      </c>
      <c r="O218" s="110">
        <v>29412.366616754778</v>
      </c>
      <c r="P218" s="111">
        <v>34299.412460598796</v>
      </c>
      <c r="Q218" s="254">
        <v>13552.533650029018</v>
      </c>
      <c r="R218" s="258">
        <v>42964.900266783792</v>
      </c>
      <c r="S218" s="259">
        <v>47851.946110627818</v>
      </c>
      <c r="U218" s="7" t="s">
        <v>4737</v>
      </c>
    </row>
    <row r="219" spans="1:21" ht="16.5" thickBot="1">
      <c r="A219" s="1188" t="s">
        <v>4533</v>
      </c>
      <c r="B219" s="1192">
        <f t="shared" si="12"/>
        <v>90</v>
      </c>
      <c r="C219" s="1192" t="s">
        <v>3</v>
      </c>
      <c r="D219" s="1192">
        <f t="shared" si="13"/>
        <v>360</v>
      </c>
      <c r="E219" s="1192" t="s">
        <v>3</v>
      </c>
      <c r="F219" s="1190">
        <f t="shared" si="14"/>
        <v>900</v>
      </c>
      <c r="G219" s="1192" t="s">
        <v>3</v>
      </c>
      <c r="H219" s="1189">
        <v>4</v>
      </c>
      <c r="I219" s="1191" t="s">
        <v>40</v>
      </c>
      <c r="J219" s="149">
        <v>90</v>
      </c>
      <c r="K219" s="66">
        <v>360</v>
      </c>
      <c r="L219" s="66">
        <v>900</v>
      </c>
      <c r="M219" s="150">
        <v>14.622871693449305</v>
      </c>
      <c r="N219" s="78">
        <v>506.76119999999997</v>
      </c>
      <c r="O219" s="110">
        <v>30591.749209674654</v>
      </c>
      <c r="P219" s="111">
        <v>35680.146476951013</v>
      </c>
      <c r="Q219" s="254">
        <v>14155.954534267206</v>
      </c>
      <c r="R219" s="258">
        <v>44747.703743941864</v>
      </c>
      <c r="S219" s="259">
        <v>49836.101011218219</v>
      </c>
      <c r="U219" s="7" t="s">
        <v>4738</v>
      </c>
    </row>
    <row r="220" spans="1:21" ht="16.5" thickBot="1">
      <c r="A220" s="1188" t="s">
        <v>4533</v>
      </c>
      <c r="B220" s="1192">
        <f t="shared" si="12"/>
        <v>90</v>
      </c>
      <c r="C220" s="1192" t="s">
        <v>3</v>
      </c>
      <c r="D220" s="1192">
        <f t="shared" si="13"/>
        <v>360</v>
      </c>
      <c r="E220" s="1192" t="s">
        <v>3</v>
      </c>
      <c r="F220" s="1190">
        <f t="shared" si="14"/>
        <v>950</v>
      </c>
      <c r="G220" s="1192" t="s">
        <v>3</v>
      </c>
      <c r="H220" s="1189">
        <v>4</v>
      </c>
      <c r="I220" s="1191" t="s">
        <v>40</v>
      </c>
      <c r="J220" s="149">
        <v>90</v>
      </c>
      <c r="K220" s="66">
        <v>360</v>
      </c>
      <c r="L220" s="66">
        <v>950</v>
      </c>
      <c r="M220" s="150">
        <v>15.369490385657002</v>
      </c>
      <c r="N220" s="78">
        <v>552.83039999999994</v>
      </c>
      <c r="O220" s="110">
        <v>31771.131802594533</v>
      </c>
      <c r="P220" s="111">
        <v>37060.880340274474</v>
      </c>
      <c r="Q220" s="254">
        <v>15010.709556289165</v>
      </c>
      <c r="R220" s="258">
        <v>46781.841358883699</v>
      </c>
      <c r="S220" s="259">
        <v>52071.589896563637</v>
      </c>
      <c r="U220" s="7" t="s">
        <v>4739</v>
      </c>
    </row>
    <row r="221" spans="1:21" ht="16.5" thickBot="1">
      <c r="A221" s="1188" t="s">
        <v>4533</v>
      </c>
      <c r="B221" s="1192">
        <f t="shared" si="12"/>
        <v>90</v>
      </c>
      <c r="C221" s="1192" t="s">
        <v>3</v>
      </c>
      <c r="D221" s="1192">
        <f t="shared" si="13"/>
        <v>360</v>
      </c>
      <c r="E221" s="1192" t="s">
        <v>3</v>
      </c>
      <c r="F221" s="1190">
        <f t="shared" si="14"/>
        <v>1000</v>
      </c>
      <c r="G221" s="1192" t="s">
        <v>3</v>
      </c>
      <c r="H221" s="1189">
        <v>4</v>
      </c>
      <c r="I221" s="1191" t="s">
        <v>40</v>
      </c>
      <c r="J221" s="149">
        <v>90</v>
      </c>
      <c r="K221" s="66">
        <v>360</v>
      </c>
      <c r="L221" s="66">
        <v>1000</v>
      </c>
      <c r="M221" s="150">
        <v>16.2565738778647</v>
      </c>
      <c r="N221" s="78">
        <v>598.89959999999996</v>
      </c>
      <c r="O221" s="110">
        <v>33020.369119247429</v>
      </c>
      <c r="P221" s="111">
        <v>38511.468927330956</v>
      </c>
      <c r="Q221" s="254">
        <v>15614.130440527351</v>
      </c>
      <c r="R221" s="258">
        <v>48634.499559774777</v>
      </c>
      <c r="S221" s="259">
        <v>54125.599367858304</v>
      </c>
      <c r="U221" s="7" t="s">
        <v>4740</v>
      </c>
    </row>
    <row r="222" spans="1:21" ht="16.5" thickBot="1">
      <c r="A222" s="1188" t="s">
        <v>4533</v>
      </c>
      <c r="B222" s="1192">
        <f t="shared" si="12"/>
        <v>90</v>
      </c>
      <c r="C222" s="1192" t="s">
        <v>3</v>
      </c>
      <c r="D222" s="1192">
        <f t="shared" si="13"/>
        <v>360</v>
      </c>
      <c r="E222" s="1192" t="s">
        <v>3</v>
      </c>
      <c r="F222" s="1190">
        <f t="shared" si="14"/>
        <v>1050</v>
      </c>
      <c r="G222" s="1192" t="s">
        <v>3</v>
      </c>
      <c r="H222" s="1189">
        <v>4</v>
      </c>
      <c r="I222" s="1191" t="s">
        <v>40</v>
      </c>
      <c r="J222" s="149">
        <v>90</v>
      </c>
      <c r="K222" s="66">
        <v>360</v>
      </c>
      <c r="L222" s="66">
        <v>1050</v>
      </c>
      <c r="M222" s="150">
        <v>17.003192570072397</v>
      </c>
      <c r="N222" s="78">
        <v>644.96879999999987</v>
      </c>
      <c r="O222" s="110">
        <v>34199.751712167308</v>
      </c>
      <c r="P222" s="111">
        <v>39892.20294368318</v>
      </c>
      <c r="Q222" s="254">
        <v>16468.885462549311</v>
      </c>
      <c r="R222" s="258">
        <v>50668.637174716619</v>
      </c>
      <c r="S222" s="259">
        <v>56361.088406232491</v>
      </c>
      <c r="U222" s="7" t="s">
        <v>4741</v>
      </c>
    </row>
    <row r="223" spans="1:21" ht="16.5" thickBot="1">
      <c r="A223" s="1188" t="s">
        <v>4533</v>
      </c>
      <c r="B223" s="1189">
        <f t="shared" si="12"/>
        <v>90</v>
      </c>
      <c r="C223" s="1189" t="s">
        <v>3</v>
      </c>
      <c r="D223" s="1189">
        <f t="shared" si="13"/>
        <v>360</v>
      </c>
      <c r="E223" s="1189" t="s">
        <v>3</v>
      </c>
      <c r="F223" s="1190">
        <f t="shared" si="14"/>
        <v>1100</v>
      </c>
      <c r="G223" s="1189" t="s">
        <v>3</v>
      </c>
      <c r="H223" s="1189">
        <v>4</v>
      </c>
      <c r="I223" s="1191" t="s">
        <v>40</v>
      </c>
      <c r="J223" s="149">
        <v>90</v>
      </c>
      <c r="K223" s="66">
        <v>360</v>
      </c>
      <c r="L223" s="66">
        <v>1100</v>
      </c>
      <c r="M223" s="150">
        <v>17.74981126228009</v>
      </c>
      <c r="N223" s="78">
        <v>691.0379999999999</v>
      </c>
      <c r="O223" s="110">
        <v>35379.134305087187</v>
      </c>
      <c r="P223" s="111">
        <v>41272.936960035404</v>
      </c>
      <c r="Q223" s="254">
        <v>17072.3063467875</v>
      </c>
      <c r="R223" s="258">
        <v>52451.440651874684</v>
      </c>
      <c r="S223" s="259">
        <v>58345.2433068229</v>
      </c>
      <c r="U223" s="7" t="s">
        <v>4742</v>
      </c>
    </row>
    <row r="224" spans="1:21" ht="16.5" thickBot="1">
      <c r="A224" s="1188" t="s">
        <v>4533</v>
      </c>
      <c r="B224" s="1192">
        <f t="shared" si="12"/>
        <v>90</v>
      </c>
      <c r="C224" s="1192" t="s">
        <v>3</v>
      </c>
      <c r="D224" s="1192">
        <f t="shared" si="13"/>
        <v>360</v>
      </c>
      <c r="E224" s="1192" t="s">
        <v>3</v>
      </c>
      <c r="F224" s="1190">
        <f t="shared" si="14"/>
        <v>1150</v>
      </c>
      <c r="G224" s="1192" t="s">
        <v>3</v>
      </c>
      <c r="H224" s="1189">
        <v>4</v>
      </c>
      <c r="I224" s="1191" t="s">
        <v>40</v>
      </c>
      <c r="J224" s="149">
        <v>90</v>
      </c>
      <c r="K224" s="66">
        <v>360</v>
      </c>
      <c r="L224" s="66">
        <v>1150</v>
      </c>
      <c r="M224" s="150">
        <v>18.496429954487791</v>
      </c>
      <c r="N224" s="78">
        <v>737.10719999999992</v>
      </c>
      <c r="O224" s="110">
        <v>36558.516898007059</v>
      </c>
      <c r="P224" s="111">
        <v>42653.670976387628</v>
      </c>
      <c r="Q224" s="254">
        <v>17675.727231025689</v>
      </c>
      <c r="R224" s="258">
        <v>54234.244129032748</v>
      </c>
      <c r="S224" s="259">
        <v>60329.398207413316</v>
      </c>
      <c r="U224" s="7" t="s">
        <v>4743</v>
      </c>
    </row>
    <row r="225" spans="1:21" ht="16.5" thickBot="1">
      <c r="A225" s="1188" t="s">
        <v>4533</v>
      </c>
      <c r="B225" s="1192">
        <f t="shared" si="12"/>
        <v>90</v>
      </c>
      <c r="C225" s="1192" t="s">
        <v>3</v>
      </c>
      <c r="D225" s="1192">
        <f t="shared" si="13"/>
        <v>360</v>
      </c>
      <c r="E225" s="1192" t="s">
        <v>3</v>
      </c>
      <c r="F225" s="1190">
        <f t="shared" si="14"/>
        <v>1200</v>
      </c>
      <c r="G225" s="1192" t="s">
        <v>3</v>
      </c>
      <c r="H225" s="1189">
        <v>4</v>
      </c>
      <c r="I225" s="1191" t="s">
        <v>40</v>
      </c>
      <c r="J225" s="149">
        <v>90</v>
      </c>
      <c r="K225" s="66">
        <v>360</v>
      </c>
      <c r="L225" s="66">
        <v>1200</v>
      </c>
      <c r="M225" s="150">
        <v>19.243048646695488</v>
      </c>
      <c r="N225" s="78">
        <v>783.17639999999994</v>
      </c>
      <c r="O225" s="110">
        <v>37737.899490926939</v>
      </c>
      <c r="P225" s="111">
        <v>44034.404839711089</v>
      </c>
      <c r="Q225" s="254">
        <v>18530.482406076411</v>
      </c>
      <c r="R225" s="258">
        <v>56268.381897003346</v>
      </c>
      <c r="S225" s="259">
        <v>62564.887245787497</v>
      </c>
      <c r="U225" s="7" t="s">
        <v>4744</v>
      </c>
    </row>
    <row r="226" spans="1:21" ht="16.5" thickBot="1">
      <c r="A226" s="1188" t="s">
        <v>4533</v>
      </c>
      <c r="B226" s="1192">
        <f t="shared" si="12"/>
        <v>90</v>
      </c>
      <c r="C226" s="1192" t="s">
        <v>3</v>
      </c>
      <c r="D226" s="1192">
        <f t="shared" si="13"/>
        <v>360</v>
      </c>
      <c r="E226" s="1192" t="s">
        <v>3</v>
      </c>
      <c r="F226" s="1190">
        <f t="shared" si="14"/>
        <v>1250</v>
      </c>
      <c r="G226" s="1192" t="s">
        <v>3</v>
      </c>
      <c r="H226" s="1189">
        <v>4</v>
      </c>
      <c r="I226" s="1191" t="s">
        <v>40</v>
      </c>
      <c r="J226" s="149">
        <v>90</v>
      </c>
      <c r="K226" s="66">
        <v>360</v>
      </c>
      <c r="L226" s="66">
        <v>1250</v>
      </c>
      <c r="M226" s="150">
        <v>19.989667338903189</v>
      </c>
      <c r="N226" s="78">
        <v>829.24559999999997</v>
      </c>
      <c r="O226" s="110">
        <v>38917.282083846818</v>
      </c>
      <c r="P226" s="111">
        <v>45415.138856063313</v>
      </c>
      <c r="Q226" s="254">
        <v>19133.9032903146</v>
      </c>
      <c r="R226" s="258">
        <v>58051.185374161418</v>
      </c>
      <c r="S226" s="259">
        <v>64549.042146377913</v>
      </c>
      <c r="U226" s="7" t="s">
        <v>4745</v>
      </c>
    </row>
    <row r="227" spans="1:21" ht="16.5" thickBot="1">
      <c r="A227" s="1188" t="s">
        <v>4533</v>
      </c>
      <c r="B227" s="1192">
        <f t="shared" si="12"/>
        <v>90</v>
      </c>
      <c r="C227" s="1192" t="s">
        <v>3</v>
      </c>
      <c r="D227" s="1192">
        <f t="shared" si="13"/>
        <v>360</v>
      </c>
      <c r="E227" s="1192" t="s">
        <v>3</v>
      </c>
      <c r="F227" s="1190">
        <f t="shared" si="14"/>
        <v>1300</v>
      </c>
      <c r="G227" s="1192" t="s">
        <v>3</v>
      </c>
      <c r="H227" s="1189">
        <v>4</v>
      </c>
      <c r="I227" s="1191" t="s">
        <v>40</v>
      </c>
      <c r="J227" s="149">
        <v>90</v>
      </c>
      <c r="K227" s="66">
        <v>360</v>
      </c>
      <c r="L227" s="66">
        <v>1300</v>
      </c>
      <c r="M227" s="150">
        <v>20.736286031110886</v>
      </c>
      <c r="N227" s="78">
        <v>875.31479999999988</v>
      </c>
      <c r="O227" s="110">
        <v>40096.664676766697</v>
      </c>
      <c r="P227" s="111">
        <v>46795.872872415537</v>
      </c>
      <c r="Q227" s="254">
        <v>19988.658312336556</v>
      </c>
      <c r="R227" s="258">
        <v>60085.322989103253</v>
      </c>
      <c r="S227" s="259">
        <v>66784.531184752093</v>
      </c>
      <c r="U227" s="7" t="s">
        <v>4746</v>
      </c>
    </row>
    <row r="228" spans="1:21" ht="16.5" thickBot="1">
      <c r="A228" s="1188" t="s">
        <v>4533</v>
      </c>
      <c r="B228" s="1192">
        <f t="shared" si="12"/>
        <v>90</v>
      </c>
      <c r="C228" s="1192" t="s">
        <v>3</v>
      </c>
      <c r="D228" s="1192">
        <f t="shared" si="13"/>
        <v>360</v>
      </c>
      <c r="E228" s="1192" t="s">
        <v>3</v>
      </c>
      <c r="F228" s="1190">
        <f t="shared" si="14"/>
        <v>1350</v>
      </c>
      <c r="G228" s="1192" t="s">
        <v>3</v>
      </c>
      <c r="H228" s="1189">
        <v>4</v>
      </c>
      <c r="I228" s="1191" t="s">
        <v>40</v>
      </c>
      <c r="J228" s="149">
        <v>90</v>
      </c>
      <c r="K228" s="66">
        <v>360</v>
      </c>
      <c r="L228" s="66">
        <v>1350</v>
      </c>
      <c r="M228" s="150">
        <v>21.482904723318583</v>
      </c>
      <c r="N228" s="78">
        <v>921.3839999999999</v>
      </c>
      <c r="O228" s="110">
        <v>41276.047269686569</v>
      </c>
      <c r="P228" s="111">
        <v>48176.606888767761</v>
      </c>
      <c r="Q228" s="254">
        <v>20592.079196574745</v>
      </c>
      <c r="R228" s="258">
        <v>61868.12646626131</v>
      </c>
      <c r="S228" s="259">
        <v>68768.686085342502</v>
      </c>
      <c r="U228" s="7" t="s">
        <v>4747</v>
      </c>
    </row>
    <row r="229" spans="1:21" ht="16.5" thickBot="1">
      <c r="A229" s="1188" t="s">
        <v>4533</v>
      </c>
      <c r="B229" s="1192">
        <f t="shared" si="12"/>
        <v>90</v>
      </c>
      <c r="C229" s="1192" t="s">
        <v>3</v>
      </c>
      <c r="D229" s="1192">
        <f t="shared" si="13"/>
        <v>360</v>
      </c>
      <c r="E229" s="1192" t="s">
        <v>3</v>
      </c>
      <c r="F229" s="1190">
        <f t="shared" si="14"/>
        <v>1400</v>
      </c>
      <c r="G229" s="1192" t="s">
        <v>3</v>
      </c>
      <c r="H229" s="1189">
        <v>4</v>
      </c>
      <c r="I229" s="1191" t="s">
        <v>40</v>
      </c>
      <c r="J229" s="149">
        <v>90</v>
      </c>
      <c r="K229" s="66">
        <v>360</v>
      </c>
      <c r="L229" s="66">
        <v>1400</v>
      </c>
      <c r="M229" s="150">
        <v>22.22952341552628</v>
      </c>
      <c r="N229" s="78">
        <v>967.45319999999992</v>
      </c>
      <c r="O229" s="110">
        <v>42455.429862606448</v>
      </c>
      <c r="P229" s="111">
        <v>49557.340752091222</v>
      </c>
      <c r="Q229" s="254">
        <v>21446.834218596705</v>
      </c>
      <c r="R229" s="258">
        <v>63902.264081203153</v>
      </c>
      <c r="S229" s="259">
        <v>71004.17497068792</v>
      </c>
      <c r="U229" s="7" t="s">
        <v>4748</v>
      </c>
    </row>
    <row r="230" spans="1:21" ht="16.5" thickBot="1">
      <c r="A230" s="1188" t="s">
        <v>4533</v>
      </c>
      <c r="B230" s="1192">
        <f t="shared" si="12"/>
        <v>90</v>
      </c>
      <c r="C230" s="1192" t="s">
        <v>3</v>
      </c>
      <c r="D230" s="1192">
        <f t="shared" si="13"/>
        <v>360</v>
      </c>
      <c r="E230" s="1192" t="s">
        <v>3</v>
      </c>
      <c r="F230" s="1190">
        <f t="shared" si="14"/>
        <v>1450</v>
      </c>
      <c r="G230" s="1192" t="s">
        <v>3</v>
      </c>
      <c r="H230" s="1189">
        <v>4</v>
      </c>
      <c r="I230" s="1191" t="s">
        <v>40</v>
      </c>
      <c r="J230" s="149">
        <v>90</v>
      </c>
      <c r="K230" s="66">
        <v>360</v>
      </c>
      <c r="L230" s="66">
        <v>1450</v>
      </c>
      <c r="M230" s="150">
        <v>22.976142107733978</v>
      </c>
      <c r="N230" s="78">
        <v>1013.5223999999999</v>
      </c>
      <c r="O230" s="110">
        <v>43634.812455526328</v>
      </c>
      <c r="P230" s="111">
        <v>50938.074768443439</v>
      </c>
      <c r="Q230" s="254">
        <v>22050.255102834893</v>
      </c>
      <c r="R230" s="258">
        <v>65685.067558361217</v>
      </c>
      <c r="S230" s="259">
        <v>72988.329871278329</v>
      </c>
      <c r="U230" s="7" t="s">
        <v>4749</v>
      </c>
    </row>
    <row r="231" spans="1:21" ht="16.5" thickBot="1">
      <c r="A231" s="1188" t="s">
        <v>4533</v>
      </c>
      <c r="B231" s="1192">
        <f t="shared" si="12"/>
        <v>90</v>
      </c>
      <c r="C231" s="1192" t="s">
        <v>3</v>
      </c>
      <c r="D231" s="1192">
        <f t="shared" si="13"/>
        <v>360</v>
      </c>
      <c r="E231" s="1192" t="s">
        <v>3</v>
      </c>
      <c r="F231" s="1190">
        <f t="shared" si="14"/>
        <v>1500</v>
      </c>
      <c r="G231" s="1192" t="s">
        <v>3</v>
      </c>
      <c r="H231" s="1189">
        <v>4</v>
      </c>
      <c r="I231" s="1191" t="s">
        <v>40</v>
      </c>
      <c r="J231" s="149">
        <v>90</v>
      </c>
      <c r="K231" s="66">
        <v>360</v>
      </c>
      <c r="L231" s="66">
        <v>1500</v>
      </c>
      <c r="M231" s="150">
        <v>24.081204399941679</v>
      </c>
      <c r="N231" s="78">
        <v>1059.5915999999997</v>
      </c>
      <c r="O231" s="110">
        <v>45610.546795286966</v>
      </c>
      <c r="P231" s="111">
        <v>53322.239209632353</v>
      </c>
      <c r="Q231" s="254">
        <v>22905.01012485685</v>
      </c>
      <c r="R231" s="258">
        <v>68515.556920143819</v>
      </c>
      <c r="S231" s="259">
        <v>76227.249334489199</v>
      </c>
      <c r="U231" s="7" t="s">
        <v>4750</v>
      </c>
    </row>
    <row r="232" spans="1:21" ht="16.5" thickBot="1">
      <c r="A232" s="1188" t="s">
        <v>4533</v>
      </c>
      <c r="B232" s="1192">
        <f t="shared" si="12"/>
        <v>90</v>
      </c>
      <c r="C232" s="1192" t="s">
        <v>3</v>
      </c>
      <c r="D232" s="1192">
        <f t="shared" si="13"/>
        <v>360</v>
      </c>
      <c r="E232" s="1192" t="s">
        <v>3</v>
      </c>
      <c r="F232" s="1190">
        <f t="shared" si="14"/>
        <v>1550</v>
      </c>
      <c r="G232" s="1192" t="s">
        <v>3</v>
      </c>
      <c r="H232" s="1189">
        <v>4</v>
      </c>
      <c r="I232" s="1191" t="s">
        <v>40</v>
      </c>
      <c r="J232" s="149">
        <v>90</v>
      </c>
      <c r="K232" s="66">
        <v>360</v>
      </c>
      <c r="L232" s="66">
        <v>1550</v>
      </c>
      <c r="M232" s="150">
        <v>24.827823092149373</v>
      </c>
      <c r="N232" s="78">
        <v>1105.6607999999999</v>
      </c>
      <c r="O232" s="110">
        <v>46789.929388206845</v>
      </c>
      <c r="P232" s="111">
        <v>54702.973072955807</v>
      </c>
      <c r="Q232" s="254">
        <v>23508.431009095038</v>
      </c>
      <c r="R232" s="258">
        <v>70298.360397301876</v>
      </c>
      <c r="S232" s="259">
        <v>78211.404082050838</v>
      </c>
      <c r="U232" s="7" t="s">
        <v>4751</v>
      </c>
    </row>
    <row r="233" spans="1:21" ht="16.5" thickBot="1">
      <c r="A233" s="1188" t="s">
        <v>4533</v>
      </c>
      <c r="B233" s="1189">
        <f t="shared" si="12"/>
        <v>90</v>
      </c>
      <c r="C233" s="1189" t="s">
        <v>3</v>
      </c>
      <c r="D233" s="1189">
        <f t="shared" si="13"/>
        <v>360</v>
      </c>
      <c r="E233" s="1189" t="s">
        <v>3</v>
      </c>
      <c r="F233" s="1190">
        <f t="shared" si="14"/>
        <v>1600</v>
      </c>
      <c r="G233" s="1189" t="s">
        <v>3</v>
      </c>
      <c r="H233" s="1189">
        <v>4</v>
      </c>
      <c r="I233" s="1191" t="s">
        <v>40</v>
      </c>
      <c r="J233" s="149">
        <v>90</v>
      </c>
      <c r="K233" s="66">
        <v>360</v>
      </c>
      <c r="L233" s="66">
        <v>1600</v>
      </c>
      <c r="M233" s="150">
        <v>25.574441784357067</v>
      </c>
      <c r="N233" s="78">
        <v>1151.7299999999998</v>
      </c>
      <c r="O233" s="110">
        <v>47969.311981126724</v>
      </c>
      <c r="P233" s="111">
        <v>56083.707089308031</v>
      </c>
      <c r="Q233" s="254">
        <v>24111.851893333227</v>
      </c>
      <c r="R233" s="258">
        <v>72081.163874459948</v>
      </c>
      <c r="S233" s="259">
        <v>80195.558982641262</v>
      </c>
      <c r="U233" s="7" t="s">
        <v>4752</v>
      </c>
    </row>
    <row r="234" spans="1:21" ht="16.5" thickBot="1">
      <c r="A234" s="1188" t="s">
        <v>4533</v>
      </c>
      <c r="B234" s="1192">
        <f t="shared" si="12"/>
        <v>90</v>
      </c>
      <c r="C234" s="1192" t="s">
        <v>3</v>
      </c>
      <c r="D234" s="1192">
        <f t="shared" si="13"/>
        <v>360</v>
      </c>
      <c r="E234" s="1192" t="s">
        <v>3</v>
      </c>
      <c r="F234" s="1190">
        <f t="shared" si="14"/>
        <v>1650</v>
      </c>
      <c r="G234" s="1192" t="s">
        <v>3</v>
      </c>
      <c r="H234" s="1189">
        <v>4</v>
      </c>
      <c r="I234" s="1191" t="s">
        <v>40</v>
      </c>
      <c r="J234" s="149">
        <v>90</v>
      </c>
      <c r="K234" s="66">
        <v>360</v>
      </c>
      <c r="L234" s="66">
        <v>1650</v>
      </c>
      <c r="M234" s="150">
        <v>26.321060476564767</v>
      </c>
      <c r="N234" s="78">
        <v>1197.7991999999999</v>
      </c>
      <c r="O234" s="110">
        <v>49148.694574046596</v>
      </c>
      <c r="P234" s="111">
        <v>57464.441105660255</v>
      </c>
      <c r="Q234" s="254">
        <v>24966.606915355183</v>
      </c>
      <c r="R234" s="258">
        <v>74115.301489401783</v>
      </c>
      <c r="S234" s="259">
        <v>82431.048021015435</v>
      </c>
      <c r="U234" s="7" t="s">
        <v>4753</v>
      </c>
    </row>
    <row r="235" spans="1:21" ht="16.5" thickBot="1">
      <c r="A235" s="1188" t="s">
        <v>4533</v>
      </c>
      <c r="B235" s="1192">
        <f t="shared" si="12"/>
        <v>90</v>
      </c>
      <c r="C235" s="1192" t="s">
        <v>3</v>
      </c>
      <c r="D235" s="1192">
        <f t="shared" si="13"/>
        <v>360</v>
      </c>
      <c r="E235" s="1192" t="s">
        <v>3</v>
      </c>
      <c r="F235" s="1190">
        <f t="shared" si="14"/>
        <v>1700</v>
      </c>
      <c r="G235" s="1192" t="s">
        <v>3</v>
      </c>
      <c r="H235" s="1189">
        <v>4</v>
      </c>
      <c r="I235" s="1191" t="s">
        <v>40</v>
      </c>
      <c r="J235" s="149">
        <v>90</v>
      </c>
      <c r="K235" s="66">
        <v>360</v>
      </c>
      <c r="L235" s="66">
        <v>1700</v>
      </c>
      <c r="M235" s="150">
        <v>27.067679168772464</v>
      </c>
      <c r="N235" s="78">
        <v>1243.8683999999998</v>
      </c>
      <c r="O235" s="110">
        <v>50328.077166966483</v>
      </c>
      <c r="P235" s="111">
        <v>58845.175122012472</v>
      </c>
      <c r="Q235" s="254">
        <v>25570.027799593372</v>
      </c>
      <c r="R235" s="258">
        <v>75898.104966559855</v>
      </c>
      <c r="S235" s="259">
        <v>84415.202921605844</v>
      </c>
      <c r="U235" s="7" t="s">
        <v>4754</v>
      </c>
    </row>
    <row r="236" spans="1:21" ht="16.5" thickBot="1">
      <c r="A236" s="1188" t="s">
        <v>4533</v>
      </c>
      <c r="B236" s="1192">
        <f t="shared" si="12"/>
        <v>90</v>
      </c>
      <c r="C236" s="1192" t="s">
        <v>3</v>
      </c>
      <c r="D236" s="1192">
        <f t="shared" si="13"/>
        <v>360</v>
      </c>
      <c r="E236" s="1192" t="s">
        <v>3</v>
      </c>
      <c r="F236" s="1190">
        <f t="shared" si="14"/>
        <v>1750</v>
      </c>
      <c r="G236" s="1192" t="s">
        <v>3</v>
      </c>
      <c r="H236" s="1189">
        <v>4</v>
      </c>
      <c r="I236" s="1191" t="s">
        <v>40</v>
      </c>
      <c r="J236" s="149">
        <v>90</v>
      </c>
      <c r="K236" s="66">
        <v>360</v>
      </c>
      <c r="L236" s="66">
        <v>1750</v>
      </c>
      <c r="M236" s="150">
        <v>27.814297860980162</v>
      </c>
      <c r="N236" s="78">
        <v>1289.9375999999997</v>
      </c>
      <c r="O236" s="110">
        <v>51507.459759886355</v>
      </c>
      <c r="P236" s="111">
        <v>60225.90898533594</v>
      </c>
      <c r="Q236" s="254">
        <v>26424.782821615332</v>
      </c>
      <c r="R236" s="258">
        <v>77932.24258150169</v>
      </c>
      <c r="S236" s="259">
        <v>86650.691806951276</v>
      </c>
      <c r="U236" s="7" t="s">
        <v>4755</v>
      </c>
    </row>
    <row r="237" spans="1:21" ht="16.5" thickBot="1">
      <c r="A237" s="1188" t="s">
        <v>4533</v>
      </c>
      <c r="B237" s="1192">
        <f t="shared" si="12"/>
        <v>90</v>
      </c>
      <c r="C237" s="1192" t="s">
        <v>3</v>
      </c>
      <c r="D237" s="1192">
        <f t="shared" si="13"/>
        <v>360</v>
      </c>
      <c r="E237" s="1192" t="s">
        <v>3</v>
      </c>
      <c r="F237" s="1190">
        <f t="shared" si="14"/>
        <v>1800</v>
      </c>
      <c r="G237" s="1192" t="s">
        <v>3</v>
      </c>
      <c r="H237" s="1189">
        <v>4</v>
      </c>
      <c r="I237" s="1191" t="s">
        <v>40</v>
      </c>
      <c r="J237" s="149">
        <v>90</v>
      </c>
      <c r="K237" s="66">
        <v>360</v>
      </c>
      <c r="L237" s="66">
        <v>1800</v>
      </c>
      <c r="M237" s="150">
        <v>28.560916553187859</v>
      </c>
      <c r="N237" s="78">
        <v>1336.0067999999999</v>
      </c>
      <c r="O237" s="110">
        <v>52686.842352806234</v>
      </c>
      <c r="P237" s="111">
        <v>61606.643001688157</v>
      </c>
      <c r="Q237" s="254">
        <v>27028.203705853517</v>
      </c>
      <c r="R237" s="258">
        <v>79715.046058659747</v>
      </c>
      <c r="S237" s="259">
        <v>88634.84670754167</v>
      </c>
      <c r="U237" s="7" t="s">
        <v>4756</v>
      </c>
    </row>
    <row r="238" spans="1:21" ht="16.5" thickBot="1">
      <c r="A238" s="1188" t="s">
        <v>4533</v>
      </c>
      <c r="B238" s="1192">
        <f t="shared" si="12"/>
        <v>90</v>
      </c>
      <c r="C238" s="1192" t="s">
        <v>3</v>
      </c>
      <c r="D238" s="1192">
        <f t="shared" si="13"/>
        <v>360</v>
      </c>
      <c r="E238" s="1192" t="s">
        <v>3</v>
      </c>
      <c r="F238" s="1190">
        <f t="shared" si="14"/>
        <v>1850</v>
      </c>
      <c r="G238" s="1192" t="s">
        <v>3</v>
      </c>
      <c r="H238" s="1189">
        <v>4</v>
      </c>
      <c r="I238" s="1191" t="s">
        <v>40</v>
      </c>
      <c r="J238" s="149">
        <v>90</v>
      </c>
      <c r="K238" s="66">
        <v>360</v>
      </c>
      <c r="L238" s="66">
        <v>1850</v>
      </c>
      <c r="M238" s="150">
        <v>29.307535245395552</v>
      </c>
      <c r="N238" s="78">
        <v>1382.0759999999998</v>
      </c>
      <c r="O238" s="110">
        <v>53866.224945726106</v>
      </c>
      <c r="P238" s="111">
        <v>62987.377018040388</v>
      </c>
      <c r="Q238" s="254">
        <v>27882.958880904247</v>
      </c>
      <c r="R238" s="258">
        <v>81749.183826630353</v>
      </c>
      <c r="S238" s="259">
        <v>90870.335898944642</v>
      </c>
      <c r="U238" s="7" t="s">
        <v>4757</v>
      </c>
    </row>
    <row r="239" spans="1:21" ht="16.5" thickBot="1">
      <c r="A239" s="1188" t="s">
        <v>4533</v>
      </c>
      <c r="B239" s="1192">
        <f t="shared" si="12"/>
        <v>90</v>
      </c>
      <c r="C239" s="1192" t="s">
        <v>3</v>
      </c>
      <c r="D239" s="1192">
        <f t="shared" si="13"/>
        <v>360</v>
      </c>
      <c r="E239" s="1192" t="s">
        <v>3</v>
      </c>
      <c r="F239" s="1190">
        <f t="shared" si="14"/>
        <v>1900</v>
      </c>
      <c r="G239" s="1192" t="s">
        <v>3</v>
      </c>
      <c r="H239" s="1189">
        <v>4</v>
      </c>
      <c r="I239" s="1191" t="s">
        <v>40</v>
      </c>
      <c r="J239" s="149">
        <v>90</v>
      </c>
      <c r="K239" s="66">
        <v>360</v>
      </c>
      <c r="L239" s="66">
        <v>1900</v>
      </c>
      <c r="M239" s="150">
        <v>30.054153937603253</v>
      </c>
      <c r="N239" s="78">
        <v>1428.1451999999999</v>
      </c>
      <c r="O239" s="110">
        <v>55045.607538645992</v>
      </c>
      <c r="P239" s="111">
        <v>64368.111034392605</v>
      </c>
      <c r="Q239" s="254">
        <v>28486.379765142432</v>
      </c>
      <c r="R239" s="258">
        <v>83531.987303788424</v>
      </c>
      <c r="S239" s="259">
        <v>92854.490799535037</v>
      </c>
      <c r="U239" s="7" t="s">
        <v>4758</v>
      </c>
    </row>
    <row r="240" spans="1:21" ht="16.5" thickBot="1">
      <c r="A240" s="1188" t="s">
        <v>4533</v>
      </c>
      <c r="B240" s="1192">
        <f t="shared" si="12"/>
        <v>90</v>
      </c>
      <c r="C240" s="1192" t="s">
        <v>3</v>
      </c>
      <c r="D240" s="1192">
        <f t="shared" si="13"/>
        <v>360</v>
      </c>
      <c r="E240" s="1192" t="s">
        <v>3</v>
      </c>
      <c r="F240" s="1190">
        <f t="shared" si="14"/>
        <v>1950</v>
      </c>
      <c r="G240" s="1192" t="s">
        <v>3</v>
      </c>
      <c r="H240" s="1189">
        <v>4</v>
      </c>
      <c r="I240" s="1191" t="s">
        <v>40</v>
      </c>
      <c r="J240" s="149">
        <v>90</v>
      </c>
      <c r="K240" s="66">
        <v>360</v>
      </c>
      <c r="L240" s="66">
        <v>1950</v>
      </c>
      <c r="M240" s="150">
        <v>30.800772629810957</v>
      </c>
      <c r="N240" s="78">
        <v>1474.2143999999998</v>
      </c>
      <c r="O240" s="110">
        <v>56224.990131565864</v>
      </c>
      <c r="P240" s="111">
        <v>65748.845050744829</v>
      </c>
      <c r="Q240" s="254">
        <v>29089.800649380621</v>
      </c>
      <c r="R240" s="258">
        <v>85314.790780946481</v>
      </c>
      <c r="S240" s="259">
        <v>94838.645700125446</v>
      </c>
      <c r="U240" s="7" t="s">
        <v>4759</v>
      </c>
    </row>
    <row r="241" spans="1:21" ht="16.5" thickBot="1">
      <c r="A241" s="1188" t="s">
        <v>4533</v>
      </c>
      <c r="B241" s="1192">
        <f t="shared" si="12"/>
        <v>90</v>
      </c>
      <c r="C241" s="1192" t="s">
        <v>3</v>
      </c>
      <c r="D241" s="1192">
        <f t="shared" si="13"/>
        <v>360</v>
      </c>
      <c r="E241" s="1192" t="s">
        <v>3</v>
      </c>
      <c r="F241" s="1190">
        <f t="shared" si="14"/>
        <v>2000</v>
      </c>
      <c r="G241" s="1192" t="s">
        <v>3</v>
      </c>
      <c r="H241" s="1189">
        <v>4</v>
      </c>
      <c r="I241" s="1191" t="s">
        <v>40</v>
      </c>
      <c r="J241" s="149">
        <v>90</v>
      </c>
      <c r="K241" s="66">
        <v>360</v>
      </c>
      <c r="L241" s="66">
        <v>2000</v>
      </c>
      <c r="M241" s="150">
        <v>31.687856122018651</v>
      </c>
      <c r="N241" s="78">
        <v>1520.2835999999998</v>
      </c>
      <c r="O241" s="110">
        <v>57912.348496714112</v>
      </c>
      <c r="P241" s="111">
        <v>67312.062655904549</v>
      </c>
      <c r="Q241" s="254">
        <v>29944.555671402581</v>
      </c>
      <c r="R241" s="258">
        <v>87856.904168116685</v>
      </c>
      <c r="S241" s="259">
        <v>97256.618327307136</v>
      </c>
      <c r="U241" s="7" t="s">
        <v>4760</v>
      </c>
    </row>
    <row r="242" spans="1:21" ht="16.5" thickBot="1">
      <c r="A242" s="1188" t="s">
        <v>4533</v>
      </c>
      <c r="B242" s="1192">
        <f t="shared" si="12"/>
        <v>90</v>
      </c>
      <c r="C242" s="1192" t="s">
        <v>3</v>
      </c>
      <c r="D242" s="1192">
        <f t="shared" si="13"/>
        <v>360</v>
      </c>
      <c r="E242" s="1192" t="s">
        <v>3</v>
      </c>
      <c r="F242" s="1190">
        <f t="shared" si="14"/>
        <v>2050</v>
      </c>
      <c r="G242" s="1192" t="s">
        <v>3</v>
      </c>
      <c r="H242" s="1189">
        <v>4</v>
      </c>
      <c r="I242" s="1191" t="s">
        <v>40</v>
      </c>
      <c r="J242" s="149">
        <v>90</v>
      </c>
      <c r="K242" s="66">
        <v>360</v>
      </c>
      <c r="L242" s="66">
        <v>2050</v>
      </c>
      <c r="M242" s="150">
        <v>32.434474814226348</v>
      </c>
      <c r="N242" s="78">
        <v>1566.3527999999999</v>
      </c>
      <c r="O242" s="110">
        <v>59091.731089633984</v>
      </c>
      <c r="P242" s="111">
        <v>68692.79667225678</v>
      </c>
      <c r="Q242" s="254">
        <v>30547.976555640766</v>
      </c>
      <c r="R242" s="258">
        <v>89639.707645274757</v>
      </c>
      <c r="S242" s="259">
        <v>99240.773227897545</v>
      </c>
      <c r="U242" s="7" t="s">
        <v>4761</v>
      </c>
    </row>
    <row r="243" spans="1:21" ht="16.5" thickBot="1">
      <c r="A243" s="1188" t="s">
        <v>4533</v>
      </c>
      <c r="B243" s="1189">
        <f t="shared" si="12"/>
        <v>90</v>
      </c>
      <c r="C243" s="1189" t="s">
        <v>3</v>
      </c>
      <c r="D243" s="1189">
        <f t="shared" si="13"/>
        <v>360</v>
      </c>
      <c r="E243" s="1189" t="s">
        <v>3</v>
      </c>
      <c r="F243" s="1190">
        <f t="shared" si="14"/>
        <v>2100</v>
      </c>
      <c r="G243" s="1189" t="s">
        <v>3</v>
      </c>
      <c r="H243" s="1189">
        <v>4</v>
      </c>
      <c r="I243" s="1191" t="s">
        <v>40</v>
      </c>
      <c r="J243" s="149">
        <v>90</v>
      </c>
      <c r="K243" s="66">
        <v>360</v>
      </c>
      <c r="L243" s="66">
        <v>2100</v>
      </c>
      <c r="M243" s="150">
        <v>33.181093506434046</v>
      </c>
      <c r="N243" s="78">
        <v>1612.4219999999998</v>
      </c>
      <c r="O243" s="110">
        <v>60271.113682553871</v>
      </c>
      <c r="P243" s="111">
        <v>70073.530688608997</v>
      </c>
      <c r="Q243" s="254">
        <v>31402.731577662726</v>
      </c>
      <c r="R243" s="258">
        <v>91673.845260216593</v>
      </c>
      <c r="S243" s="259">
        <v>101476.26226627172</v>
      </c>
      <c r="U243" s="7" t="s">
        <v>4762</v>
      </c>
    </row>
    <row r="244" spans="1:21" ht="16.5" thickBot="1">
      <c r="A244" s="1188" t="s">
        <v>4533</v>
      </c>
      <c r="B244" s="1192">
        <f t="shared" si="12"/>
        <v>90</v>
      </c>
      <c r="C244" s="1192" t="s">
        <v>3</v>
      </c>
      <c r="D244" s="1192">
        <f t="shared" si="13"/>
        <v>360</v>
      </c>
      <c r="E244" s="1192" t="s">
        <v>3</v>
      </c>
      <c r="F244" s="1190">
        <f t="shared" si="14"/>
        <v>2150</v>
      </c>
      <c r="G244" s="1192" t="s">
        <v>3</v>
      </c>
      <c r="H244" s="1189">
        <v>4</v>
      </c>
      <c r="I244" s="1191" t="s">
        <v>40</v>
      </c>
      <c r="J244" s="149">
        <v>90</v>
      </c>
      <c r="K244" s="66">
        <v>360</v>
      </c>
      <c r="L244" s="66">
        <v>2150</v>
      </c>
      <c r="M244" s="150">
        <v>33.927712198641743</v>
      </c>
      <c r="N244" s="78">
        <v>1658.4911999999999</v>
      </c>
      <c r="O244" s="110">
        <v>61450.496275473743</v>
      </c>
      <c r="P244" s="111">
        <v>71454.264704961228</v>
      </c>
      <c r="Q244" s="254">
        <v>32006.152461900914</v>
      </c>
      <c r="R244" s="258">
        <v>93456.648737374664</v>
      </c>
      <c r="S244" s="259">
        <v>103460.41716686214</v>
      </c>
      <c r="U244" s="7" t="s">
        <v>4763</v>
      </c>
    </row>
    <row r="245" spans="1:21" ht="16.5" thickBot="1">
      <c r="A245" s="1188" t="s">
        <v>4533</v>
      </c>
      <c r="B245" s="1192">
        <f t="shared" si="12"/>
        <v>90</v>
      </c>
      <c r="C245" s="1192" t="s">
        <v>3</v>
      </c>
      <c r="D245" s="1192">
        <f t="shared" si="13"/>
        <v>360</v>
      </c>
      <c r="E245" s="1192" t="s">
        <v>3</v>
      </c>
      <c r="F245" s="1190">
        <f t="shared" si="14"/>
        <v>2200</v>
      </c>
      <c r="G245" s="1192" t="s">
        <v>3</v>
      </c>
      <c r="H245" s="1189">
        <v>4</v>
      </c>
      <c r="I245" s="1191" t="s">
        <v>40</v>
      </c>
      <c r="J245" s="149">
        <v>90</v>
      </c>
      <c r="K245" s="66">
        <v>360</v>
      </c>
      <c r="L245" s="66">
        <v>2200</v>
      </c>
      <c r="M245" s="150">
        <v>34.674330890849447</v>
      </c>
      <c r="N245" s="78">
        <v>1704.5603999999998</v>
      </c>
      <c r="O245" s="110">
        <v>62629.878868393622</v>
      </c>
      <c r="P245" s="111">
        <v>72834.998568284675</v>
      </c>
      <c r="Q245" s="254">
        <v>32860.907483922878</v>
      </c>
      <c r="R245" s="258">
        <v>95490.7863523165</v>
      </c>
      <c r="S245" s="259">
        <v>105695.90605220755</v>
      </c>
      <c r="U245" s="7" t="s">
        <v>4764</v>
      </c>
    </row>
    <row r="246" spans="1:21" ht="16.5" thickBot="1">
      <c r="A246" s="1188" t="s">
        <v>4533</v>
      </c>
      <c r="B246" s="1192">
        <f t="shared" si="12"/>
        <v>90</v>
      </c>
      <c r="C246" s="1192" t="s">
        <v>3</v>
      </c>
      <c r="D246" s="1192">
        <f t="shared" si="13"/>
        <v>360</v>
      </c>
      <c r="E246" s="1192" t="s">
        <v>3</v>
      </c>
      <c r="F246" s="1190">
        <f t="shared" si="14"/>
        <v>2250</v>
      </c>
      <c r="G246" s="1192" t="s">
        <v>3</v>
      </c>
      <c r="H246" s="1189">
        <v>4</v>
      </c>
      <c r="I246" s="1191" t="s">
        <v>40</v>
      </c>
      <c r="J246" s="149">
        <v>90</v>
      </c>
      <c r="K246" s="66">
        <v>360</v>
      </c>
      <c r="L246" s="66">
        <v>2250</v>
      </c>
      <c r="M246" s="150">
        <v>35.420949583057144</v>
      </c>
      <c r="N246" s="78">
        <v>1750.6295999999998</v>
      </c>
      <c r="O246" s="110">
        <v>63809.261461313494</v>
      </c>
      <c r="P246" s="111">
        <v>74215.732584636906</v>
      </c>
      <c r="Q246" s="254">
        <v>33464.328368161063</v>
      </c>
      <c r="R246" s="258">
        <v>97273.589829474557</v>
      </c>
      <c r="S246" s="259">
        <v>107680.06095279797</v>
      </c>
      <c r="U246" s="7" t="s">
        <v>4765</v>
      </c>
    </row>
    <row r="247" spans="1:21" ht="16.5" thickBot="1">
      <c r="A247" s="1188" t="s">
        <v>4533</v>
      </c>
      <c r="B247" s="1192">
        <f t="shared" si="12"/>
        <v>90</v>
      </c>
      <c r="C247" s="1192" t="s">
        <v>3</v>
      </c>
      <c r="D247" s="1192">
        <f t="shared" si="13"/>
        <v>360</v>
      </c>
      <c r="E247" s="1192" t="s">
        <v>3</v>
      </c>
      <c r="F247" s="1190">
        <f t="shared" si="14"/>
        <v>2300</v>
      </c>
      <c r="G247" s="1192" t="s">
        <v>3</v>
      </c>
      <c r="H247" s="1189">
        <v>4</v>
      </c>
      <c r="I247" s="1191" t="s">
        <v>40</v>
      </c>
      <c r="J247" s="149">
        <v>90</v>
      </c>
      <c r="K247" s="66">
        <v>360</v>
      </c>
      <c r="L247" s="66">
        <v>2300</v>
      </c>
      <c r="M247" s="150">
        <v>36.167568275264834</v>
      </c>
      <c r="N247" s="78">
        <v>1796.6987999999997</v>
      </c>
      <c r="O247" s="110">
        <v>64988.644054233366</v>
      </c>
      <c r="P247" s="111">
        <v>75596.466600989123</v>
      </c>
      <c r="Q247" s="254">
        <v>34067.749252399248</v>
      </c>
      <c r="R247" s="258">
        <v>99056.393306632614</v>
      </c>
      <c r="S247" s="259">
        <v>109664.21585338836</v>
      </c>
      <c r="U247" s="7" t="s">
        <v>4766</v>
      </c>
    </row>
    <row r="248" spans="1:21" ht="16.5" thickBot="1">
      <c r="A248" s="1188" t="s">
        <v>4533</v>
      </c>
      <c r="B248" s="1192">
        <f t="shared" si="12"/>
        <v>90</v>
      </c>
      <c r="C248" s="1192" t="s">
        <v>3</v>
      </c>
      <c r="D248" s="1192">
        <f t="shared" si="13"/>
        <v>360</v>
      </c>
      <c r="E248" s="1192" t="s">
        <v>3</v>
      </c>
      <c r="F248" s="1190">
        <f t="shared" si="14"/>
        <v>2350</v>
      </c>
      <c r="G248" s="1192" t="s">
        <v>3</v>
      </c>
      <c r="H248" s="1189">
        <v>4</v>
      </c>
      <c r="I248" s="1191" t="s">
        <v>40</v>
      </c>
      <c r="J248" s="149">
        <v>90</v>
      </c>
      <c r="K248" s="66">
        <v>360</v>
      </c>
      <c r="L248" s="66">
        <v>2350</v>
      </c>
      <c r="M248" s="150">
        <v>36.914186967472538</v>
      </c>
      <c r="N248" s="78">
        <v>1842.7679999999998</v>
      </c>
      <c r="O248" s="110">
        <v>66168.026647153252</v>
      </c>
      <c r="P248" s="111">
        <v>76977.200617341354</v>
      </c>
      <c r="Q248" s="254">
        <v>34922.504274421211</v>
      </c>
      <c r="R248" s="258">
        <v>101090.53092157446</v>
      </c>
      <c r="S248" s="259">
        <v>111899.70489176257</v>
      </c>
      <c r="U248" s="7" t="s">
        <v>4767</v>
      </c>
    </row>
    <row r="249" spans="1:21" ht="16.5" thickBot="1">
      <c r="A249" s="1188" t="s">
        <v>4533</v>
      </c>
      <c r="B249" s="1192">
        <f t="shared" si="12"/>
        <v>90</v>
      </c>
      <c r="C249" s="1192" t="s">
        <v>3</v>
      </c>
      <c r="D249" s="1192">
        <f t="shared" si="13"/>
        <v>360</v>
      </c>
      <c r="E249" s="1192" t="s">
        <v>3</v>
      </c>
      <c r="F249" s="1190">
        <f t="shared" si="14"/>
        <v>2400</v>
      </c>
      <c r="G249" s="1192" t="s">
        <v>3</v>
      </c>
      <c r="H249" s="1189">
        <v>4</v>
      </c>
      <c r="I249" s="1191" t="s">
        <v>40</v>
      </c>
      <c r="J249" s="149">
        <v>90</v>
      </c>
      <c r="K249" s="66">
        <v>360</v>
      </c>
      <c r="L249" s="66">
        <v>2400</v>
      </c>
      <c r="M249" s="150">
        <v>37.660805659680221</v>
      </c>
      <c r="N249" s="78">
        <v>1888.8371999999997</v>
      </c>
      <c r="O249" s="110">
        <v>67347.409240073117</v>
      </c>
      <c r="P249" s="111">
        <v>78357.934480664815</v>
      </c>
      <c r="Q249" s="254">
        <v>35525.925158659396</v>
      </c>
      <c r="R249" s="258">
        <v>102873.33439873252</v>
      </c>
      <c r="S249" s="259">
        <v>113883.85963932422</v>
      </c>
      <c r="U249" s="7" t="s">
        <v>4768</v>
      </c>
    </row>
    <row r="250" spans="1:21" ht="16.5" thickBot="1">
      <c r="A250" s="1188" t="s">
        <v>4533</v>
      </c>
      <c r="B250" s="1192">
        <f t="shared" si="12"/>
        <v>90</v>
      </c>
      <c r="C250" s="1192" t="s">
        <v>3</v>
      </c>
      <c r="D250" s="1192">
        <f t="shared" si="13"/>
        <v>360</v>
      </c>
      <c r="E250" s="1192" t="s">
        <v>3</v>
      </c>
      <c r="F250" s="1190">
        <f t="shared" si="14"/>
        <v>2450</v>
      </c>
      <c r="G250" s="1192" t="s">
        <v>3</v>
      </c>
      <c r="H250" s="1189">
        <v>4</v>
      </c>
      <c r="I250" s="1191" t="s">
        <v>40</v>
      </c>
      <c r="J250" s="149">
        <v>90</v>
      </c>
      <c r="K250" s="66">
        <v>360</v>
      </c>
      <c r="L250" s="66">
        <v>2450</v>
      </c>
      <c r="M250" s="150">
        <v>38.407424351887933</v>
      </c>
      <c r="N250" s="78">
        <v>1934.9063999999998</v>
      </c>
      <c r="O250" s="110">
        <v>68526.791986021766</v>
      </c>
      <c r="P250" s="111">
        <v>79738.668497017046</v>
      </c>
      <c r="Q250" s="254">
        <v>36380.680180681353</v>
      </c>
      <c r="R250" s="258">
        <v>104907.47216670311</v>
      </c>
      <c r="S250" s="259">
        <v>116119.34867769841</v>
      </c>
      <c r="U250" s="7" t="s">
        <v>4769</v>
      </c>
    </row>
    <row r="251" spans="1:21" ht="16.5" thickBot="1">
      <c r="A251" s="1188" t="s">
        <v>4533</v>
      </c>
      <c r="B251" s="1192">
        <f t="shared" si="12"/>
        <v>90</v>
      </c>
      <c r="C251" s="1192" t="s">
        <v>3</v>
      </c>
      <c r="D251" s="1192">
        <f t="shared" si="13"/>
        <v>360</v>
      </c>
      <c r="E251" s="1192" t="s">
        <v>3</v>
      </c>
      <c r="F251" s="1190">
        <f t="shared" si="14"/>
        <v>2500</v>
      </c>
      <c r="G251" s="1192" t="s">
        <v>3</v>
      </c>
      <c r="H251" s="1189">
        <v>4</v>
      </c>
      <c r="I251" s="1191" t="s">
        <v>40</v>
      </c>
      <c r="J251" s="149">
        <v>90</v>
      </c>
      <c r="K251" s="66">
        <v>360</v>
      </c>
      <c r="L251" s="66">
        <v>2500</v>
      </c>
      <c r="M251" s="150">
        <v>39.512486644095624</v>
      </c>
      <c r="N251" s="78">
        <v>1980.9755999999998</v>
      </c>
      <c r="O251" s="110">
        <v>70502.526172753656</v>
      </c>
      <c r="P251" s="111">
        <v>82122.832938205946</v>
      </c>
      <c r="Q251" s="254">
        <v>36984.101064919538</v>
      </c>
      <c r="R251" s="258">
        <v>107486.62723767319</v>
      </c>
      <c r="S251" s="259">
        <v>119106.93400312548</v>
      </c>
      <c r="U251" s="7" t="s">
        <v>4770</v>
      </c>
    </row>
    <row r="252" spans="1:21" ht="16.5" thickBot="1">
      <c r="A252" s="1188" t="s">
        <v>4533</v>
      </c>
      <c r="B252" s="1192">
        <f t="shared" si="12"/>
        <v>90</v>
      </c>
      <c r="C252" s="1192" t="s">
        <v>3</v>
      </c>
      <c r="D252" s="1192">
        <f t="shared" si="13"/>
        <v>360</v>
      </c>
      <c r="E252" s="1192" t="s">
        <v>3</v>
      </c>
      <c r="F252" s="1190">
        <f t="shared" si="14"/>
        <v>2550</v>
      </c>
      <c r="G252" s="1192" t="s">
        <v>3</v>
      </c>
      <c r="H252" s="1189">
        <v>4</v>
      </c>
      <c r="I252" s="1191" t="s">
        <v>40</v>
      </c>
      <c r="J252" s="149">
        <v>90</v>
      </c>
      <c r="K252" s="66">
        <v>360</v>
      </c>
      <c r="L252" s="66">
        <v>2550</v>
      </c>
      <c r="M252" s="150">
        <v>40.259105336303328</v>
      </c>
      <c r="N252" s="78">
        <v>2027.0447999999999</v>
      </c>
      <c r="O252" s="110">
        <v>72077.793874994371</v>
      </c>
      <c r="P252" s="111">
        <v>83518.869678041898</v>
      </c>
      <c r="Q252" s="254">
        <v>37838.856239970264</v>
      </c>
      <c r="R252" s="258">
        <v>109916.65011496464</v>
      </c>
      <c r="S252" s="259">
        <v>121357.72591801216</v>
      </c>
      <c r="U252" s="7" t="s">
        <v>4771</v>
      </c>
    </row>
    <row r="253" spans="1:21" ht="16.5" thickBot="1">
      <c r="A253" s="1188" t="s">
        <v>4533</v>
      </c>
      <c r="B253" s="1189">
        <f t="shared" si="12"/>
        <v>90</v>
      </c>
      <c r="C253" s="1189" t="s">
        <v>3</v>
      </c>
      <c r="D253" s="1189">
        <f t="shared" si="13"/>
        <v>360</v>
      </c>
      <c r="E253" s="1189" t="s">
        <v>3</v>
      </c>
      <c r="F253" s="1190">
        <f t="shared" si="14"/>
        <v>2600</v>
      </c>
      <c r="G253" s="1189" t="s">
        <v>3</v>
      </c>
      <c r="H253" s="1189">
        <v>4</v>
      </c>
      <c r="I253" s="1191" t="s">
        <v>40</v>
      </c>
      <c r="J253" s="149">
        <v>90</v>
      </c>
      <c r="K253" s="66">
        <v>360</v>
      </c>
      <c r="L253" s="66">
        <v>2600</v>
      </c>
      <c r="M253" s="150">
        <v>41.005724028511025</v>
      </c>
      <c r="N253" s="78">
        <v>2073.1139999999996</v>
      </c>
      <c r="O253" s="110">
        <v>73257.176467914236</v>
      </c>
      <c r="P253" s="111">
        <v>84899.603694394129</v>
      </c>
      <c r="Q253" s="254">
        <v>38442.277124208456</v>
      </c>
      <c r="R253" s="258">
        <v>111699.45359212269</v>
      </c>
      <c r="S253" s="259">
        <v>123341.88081860259</v>
      </c>
      <c r="U253" s="7" t="s">
        <v>4772</v>
      </c>
    </row>
    <row r="254" spans="1:21" ht="16.5" thickBot="1">
      <c r="A254" s="1188" t="s">
        <v>4533</v>
      </c>
      <c r="B254" s="1192">
        <f t="shared" si="12"/>
        <v>90</v>
      </c>
      <c r="C254" s="1192" t="s">
        <v>3</v>
      </c>
      <c r="D254" s="1192">
        <f t="shared" si="13"/>
        <v>360</v>
      </c>
      <c r="E254" s="1192" t="s">
        <v>3</v>
      </c>
      <c r="F254" s="1190">
        <f t="shared" si="14"/>
        <v>2650</v>
      </c>
      <c r="G254" s="1192" t="s">
        <v>3</v>
      </c>
      <c r="H254" s="1189">
        <v>4</v>
      </c>
      <c r="I254" s="1191" t="s">
        <v>40</v>
      </c>
      <c r="J254" s="149">
        <v>90</v>
      </c>
      <c r="K254" s="66">
        <v>360</v>
      </c>
      <c r="L254" s="66">
        <v>2650</v>
      </c>
      <c r="M254" s="150">
        <v>41.752342720718715</v>
      </c>
      <c r="N254" s="78">
        <v>2119.1831999999995</v>
      </c>
      <c r="O254" s="110">
        <v>74436.55906083413</v>
      </c>
      <c r="P254" s="111">
        <v>86280.337710746346</v>
      </c>
      <c r="Q254" s="254">
        <v>39297.032146230413</v>
      </c>
      <c r="R254" s="258">
        <v>113733.59120706454</v>
      </c>
      <c r="S254" s="259">
        <v>125577.36985697676</v>
      </c>
      <c r="U254" s="7" t="s">
        <v>4773</v>
      </c>
    </row>
    <row r="255" spans="1:21" ht="16.5" thickBot="1">
      <c r="A255" s="1188" t="s">
        <v>4533</v>
      </c>
      <c r="B255" s="1192">
        <f t="shared" si="12"/>
        <v>90</v>
      </c>
      <c r="C255" s="1192" t="s">
        <v>3</v>
      </c>
      <c r="D255" s="1192">
        <f t="shared" si="13"/>
        <v>360</v>
      </c>
      <c r="E255" s="1192" t="s">
        <v>3</v>
      </c>
      <c r="F255" s="1190">
        <f t="shared" si="14"/>
        <v>2700</v>
      </c>
      <c r="G255" s="1192" t="s">
        <v>3</v>
      </c>
      <c r="H255" s="1189">
        <v>4</v>
      </c>
      <c r="I255" s="1191" t="s">
        <v>40</v>
      </c>
      <c r="J255" s="149">
        <v>90</v>
      </c>
      <c r="K255" s="66">
        <v>360</v>
      </c>
      <c r="L255" s="66">
        <v>2700</v>
      </c>
      <c r="M255" s="150">
        <v>42.49896141292642</v>
      </c>
      <c r="N255" s="78">
        <v>2165.2523999999999</v>
      </c>
      <c r="O255" s="110">
        <v>75615.941806782765</v>
      </c>
      <c r="P255" s="111">
        <v>87661.071727098577</v>
      </c>
      <c r="Q255" s="254">
        <v>39900.453030468605</v>
      </c>
      <c r="R255" s="258">
        <v>115516.39483725137</v>
      </c>
      <c r="S255" s="259">
        <v>127561.52475756718</v>
      </c>
      <c r="U255" s="7" t="s">
        <v>4774</v>
      </c>
    </row>
    <row r="256" spans="1:21" ht="16.5" thickBot="1">
      <c r="A256" s="1188" t="s">
        <v>4533</v>
      </c>
      <c r="B256" s="1192">
        <f t="shared" si="12"/>
        <v>90</v>
      </c>
      <c r="C256" s="1192" t="s">
        <v>3</v>
      </c>
      <c r="D256" s="1192">
        <f t="shared" si="13"/>
        <v>360</v>
      </c>
      <c r="E256" s="1192" t="s">
        <v>3</v>
      </c>
      <c r="F256" s="1190">
        <f t="shared" si="14"/>
        <v>2750</v>
      </c>
      <c r="G256" s="1192" t="s">
        <v>3</v>
      </c>
      <c r="H256" s="1189">
        <v>4</v>
      </c>
      <c r="I256" s="1191" t="s">
        <v>40</v>
      </c>
      <c r="J256" s="149">
        <v>90</v>
      </c>
      <c r="K256" s="66">
        <v>360</v>
      </c>
      <c r="L256" s="66">
        <v>2750</v>
      </c>
      <c r="M256" s="150">
        <v>43.24558010513411</v>
      </c>
      <c r="N256" s="78">
        <v>2211.3215999999998</v>
      </c>
      <c r="O256" s="110">
        <v>76795.324399702644</v>
      </c>
      <c r="P256" s="111">
        <v>89041.805590422038</v>
      </c>
      <c r="Q256" s="254">
        <v>40503.87391470679</v>
      </c>
      <c r="R256" s="258">
        <v>117299.19831440944</v>
      </c>
      <c r="S256" s="259">
        <v>129545.67950512882</v>
      </c>
      <c r="U256" s="7" t="s">
        <v>4775</v>
      </c>
    </row>
    <row r="257" spans="1:21" ht="16.5" thickBot="1">
      <c r="A257" s="1188" t="s">
        <v>4533</v>
      </c>
      <c r="B257" s="1192">
        <f t="shared" si="12"/>
        <v>90</v>
      </c>
      <c r="C257" s="1192" t="s">
        <v>3</v>
      </c>
      <c r="D257" s="1192">
        <f t="shared" si="13"/>
        <v>360</v>
      </c>
      <c r="E257" s="1192" t="s">
        <v>3</v>
      </c>
      <c r="F257" s="1190">
        <f t="shared" si="14"/>
        <v>2800</v>
      </c>
      <c r="G257" s="1192" t="s">
        <v>3</v>
      </c>
      <c r="H257" s="1189">
        <v>4</v>
      </c>
      <c r="I257" s="1191" t="s">
        <v>40</v>
      </c>
      <c r="J257" s="149">
        <v>90</v>
      </c>
      <c r="K257" s="66">
        <v>360</v>
      </c>
      <c r="L257" s="66">
        <v>2800</v>
      </c>
      <c r="M257" s="150">
        <v>43.992198797341821</v>
      </c>
      <c r="N257" s="78">
        <v>2257.3908000000001</v>
      </c>
      <c r="O257" s="110">
        <v>77974.706992622523</v>
      </c>
      <c r="P257" s="111">
        <v>90422.539606774255</v>
      </c>
      <c r="Q257" s="254">
        <v>41358.628936728746</v>
      </c>
      <c r="R257" s="258">
        <v>119333.33592935128</v>
      </c>
      <c r="S257" s="259">
        <v>131781.16854350301</v>
      </c>
      <c r="U257" s="7" t="s">
        <v>4776</v>
      </c>
    </row>
    <row r="258" spans="1:21" ht="16.5" thickBot="1">
      <c r="A258" s="1188" t="s">
        <v>4533</v>
      </c>
      <c r="B258" s="1192">
        <f t="shared" si="12"/>
        <v>90</v>
      </c>
      <c r="C258" s="1192" t="s">
        <v>3</v>
      </c>
      <c r="D258" s="1192">
        <f t="shared" si="13"/>
        <v>360</v>
      </c>
      <c r="E258" s="1192" t="s">
        <v>3</v>
      </c>
      <c r="F258" s="1190">
        <f t="shared" si="14"/>
        <v>2850</v>
      </c>
      <c r="G258" s="1192" t="s">
        <v>3</v>
      </c>
      <c r="H258" s="1189">
        <v>4</v>
      </c>
      <c r="I258" s="1191" t="s">
        <v>40</v>
      </c>
      <c r="J258" s="149">
        <v>90</v>
      </c>
      <c r="K258" s="66">
        <v>360</v>
      </c>
      <c r="L258" s="66">
        <v>2850</v>
      </c>
      <c r="M258" s="150">
        <v>44.738817489549504</v>
      </c>
      <c r="N258" s="78">
        <v>2303.4599999999996</v>
      </c>
      <c r="O258" s="110">
        <v>79154.089585542388</v>
      </c>
      <c r="P258" s="111">
        <v>91803.273623126486</v>
      </c>
      <c r="Q258" s="254">
        <v>41962.049820966939</v>
      </c>
      <c r="R258" s="258">
        <v>121116.13940650932</v>
      </c>
      <c r="S258" s="259">
        <v>133765.32344409343</v>
      </c>
      <c r="U258" s="7" t="s">
        <v>4777</v>
      </c>
    </row>
    <row r="259" spans="1:21" ht="16.5" thickBot="1">
      <c r="A259" s="1188" t="s">
        <v>4533</v>
      </c>
      <c r="B259" s="1192">
        <f t="shared" si="12"/>
        <v>90</v>
      </c>
      <c r="C259" s="1192" t="s">
        <v>3</v>
      </c>
      <c r="D259" s="1192">
        <f t="shared" si="13"/>
        <v>360</v>
      </c>
      <c r="E259" s="1192" t="s">
        <v>3</v>
      </c>
      <c r="F259" s="1190">
        <f t="shared" si="14"/>
        <v>2900</v>
      </c>
      <c r="G259" s="1192" t="s">
        <v>3</v>
      </c>
      <c r="H259" s="1189">
        <v>4</v>
      </c>
      <c r="I259" s="1191" t="s">
        <v>40</v>
      </c>
      <c r="J259" s="149">
        <v>90</v>
      </c>
      <c r="K259" s="66">
        <v>360</v>
      </c>
      <c r="L259" s="66">
        <v>2900</v>
      </c>
      <c r="M259" s="150">
        <v>45.485436181757208</v>
      </c>
      <c r="N259" s="78">
        <v>2349.5291999999995</v>
      </c>
      <c r="O259" s="110">
        <v>80333.472178462282</v>
      </c>
      <c r="P259" s="111">
        <v>93184.007639478703</v>
      </c>
      <c r="Q259" s="254">
        <v>42816.804842988895</v>
      </c>
      <c r="R259" s="258">
        <v>123150.27702145118</v>
      </c>
      <c r="S259" s="259">
        <v>136000.81248246759</v>
      </c>
      <c r="U259" s="7" t="s">
        <v>4778</v>
      </c>
    </row>
    <row r="260" spans="1:21" ht="16.5" thickBot="1">
      <c r="A260" s="1188" t="s">
        <v>4533</v>
      </c>
      <c r="B260" s="1192">
        <f t="shared" si="12"/>
        <v>90</v>
      </c>
      <c r="C260" s="1192" t="s">
        <v>3</v>
      </c>
      <c r="D260" s="1192">
        <f t="shared" si="13"/>
        <v>360</v>
      </c>
      <c r="E260" s="1192" t="s">
        <v>3</v>
      </c>
      <c r="F260" s="1190">
        <f t="shared" si="14"/>
        <v>2950</v>
      </c>
      <c r="G260" s="1192" t="s">
        <v>3</v>
      </c>
      <c r="H260" s="1189">
        <v>4</v>
      </c>
      <c r="I260" s="1191" t="s">
        <v>40</v>
      </c>
      <c r="J260" s="149">
        <v>90</v>
      </c>
      <c r="K260" s="66">
        <v>360</v>
      </c>
      <c r="L260" s="66">
        <v>2950</v>
      </c>
      <c r="M260" s="150">
        <v>46.232054873964913</v>
      </c>
      <c r="N260" s="78">
        <v>2395.5983999999999</v>
      </c>
      <c r="O260" s="110">
        <v>81512.854771382146</v>
      </c>
      <c r="P260" s="111">
        <v>94564.74165583092</v>
      </c>
      <c r="Q260" s="254">
        <v>43420.22572722708</v>
      </c>
      <c r="R260" s="258">
        <v>124933.08049860923</v>
      </c>
      <c r="S260" s="259">
        <v>137984.96738305798</v>
      </c>
      <c r="U260" s="7" t="s">
        <v>4779</v>
      </c>
    </row>
    <row r="261" spans="1:21" ht="16.5" thickBot="1">
      <c r="A261" s="1193" t="s">
        <v>4533</v>
      </c>
      <c r="B261" s="1194">
        <f t="shared" si="12"/>
        <v>90</v>
      </c>
      <c r="C261" s="1194" t="s">
        <v>3</v>
      </c>
      <c r="D261" s="1194">
        <f t="shared" si="13"/>
        <v>360</v>
      </c>
      <c r="E261" s="1194" t="s">
        <v>3</v>
      </c>
      <c r="F261" s="1195">
        <f t="shared" si="14"/>
        <v>3000</v>
      </c>
      <c r="G261" s="1194" t="s">
        <v>3</v>
      </c>
      <c r="H261" s="1196">
        <v>4</v>
      </c>
      <c r="I261" s="1197" t="s">
        <v>40</v>
      </c>
      <c r="J261" s="265">
        <v>90</v>
      </c>
      <c r="K261" s="266">
        <v>360</v>
      </c>
      <c r="L261" s="266">
        <v>3000</v>
      </c>
      <c r="M261" s="276">
        <v>47.259603166172603</v>
      </c>
      <c r="N261" s="250">
        <v>2441.6675999999998</v>
      </c>
      <c r="O261" s="252">
        <v>82979.588658303153</v>
      </c>
      <c r="P261" s="280">
        <v>96232.826813155509</v>
      </c>
      <c r="Q261" s="267">
        <v>44274.980749249036</v>
      </c>
      <c r="R261" s="1198">
        <v>127254.56940755219</v>
      </c>
      <c r="S261" s="269">
        <v>140507.80756240455</v>
      </c>
      <c r="U261" s="7" t="s">
        <v>4780</v>
      </c>
    </row>
    <row r="262" spans="1:21" ht="19.5" thickBot="1">
      <c r="A262" s="2968" t="s">
        <v>60</v>
      </c>
      <c r="B262" s="2969"/>
      <c r="C262" s="2969"/>
      <c r="D262" s="2969"/>
      <c r="E262" s="2969"/>
      <c r="F262" s="2969"/>
      <c r="G262" s="2969"/>
      <c r="H262" s="2969"/>
      <c r="I262" s="2969"/>
      <c r="J262" s="2969"/>
      <c r="K262" s="2969"/>
      <c r="L262" s="2969"/>
      <c r="M262" s="2969"/>
      <c r="N262" s="2969"/>
      <c r="O262" s="2969"/>
      <c r="P262" s="2969"/>
      <c r="Q262" s="2969"/>
      <c r="R262" s="2969"/>
      <c r="S262" s="2970"/>
      <c r="U262" s="7"/>
    </row>
    <row r="263" spans="1:21" ht="16.5" thickBot="1">
      <c r="A263" s="2974" t="s">
        <v>4534</v>
      </c>
      <c r="B263" s="2975"/>
      <c r="C263" s="2975"/>
      <c r="D263" s="2975"/>
      <c r="E263" s="2975"/>
      <c r="F263" s="2975"/>
      <c r="G263" s="2975"/>
      <c r="H263" s="2975"/>
      <c r="I263" s="2975"/>
      <c r="J263" s="2975"/>
      <c r="K263" s="2975"/>
      <c r="L263" s="2975"/>
      <c r="M263" s="2975"/>
      <c r="N263" s="2975"/>
      <c r="O263" s="2975"/>
      <c r="P263" s="2975"/>
      <c r="Q263" s="2975"/>
      <c r="R263" s="2975"/>
      <c r="S263" s="2976"/>
      <c r="U263" s="7"/>
    </row>
    <row r="264" spans="1:21" ht="16.5" thickBot="1">
      <c r="A264" s="1188" t="s">
        <v>4533</v>
      </c>
      <c r="B264" s="1189">
        <f>J264</f>
        <v>90</v>
      </c>
      <c r="C264" s="1189" t="s">
        <v>3</v>
      </c>
      <c r="D264" s="1189">
        <f>K264</f>
        <v>400</v>
      </c>
      <c r="E264" s="1189" t="s">
        <v>3</v>
      </c>
      <c r="F264" s="1190">
        <f>L264</f>
        <v>600</v>
      </c>
      <c r="G264" s="1189" t="s">
        <v>3</v>
      </c>
      <c r="H264" s="1189">
        <v>4</v>
      </c>
      <c r="I264" s="1191" t="s">
        <v>40</v>
      </c>
      <c r="J264" s="270">
        <v>90</v>
      </c>
      <c r="K264" s="271">
        <v>400</v>
      </c>
      <c r="L264" s="271">
        <v>600</v>
      </c>
      <c r="M264" s="278">
        <v>10.902968298939962</v>
      </c>
      <c r="N264" s="246">
        <v>243.89956105199997</v>
      </c>
      <c r="O264" s="248">
        <v>23678.480857707364</v>
      </c>
      <c r="P264" s="275">
        <v>28317.594240187569</v>
      </c>
      <c r="Q264" s="272">
        <v>10760.15380676932</v>
      </c>
      <c r="R264" s="1199">
        <v>34438.634664476682</v>
      </c>
      <c r="S264" s="274">
        <v>39077.748046956891</v>
      </c>
      <c r="U264" s="7" t="s">
        <v>4781</v>
      </c>
    </row>
    <row r="265" spans="1:21" ht="16.5" thickBot="1">
      <c r="A265" s="1188" t="s">
        <v>4533</v>
      </c>
      <c r="B265" s="1192">
        <f t="shared" ref="B265:B312" si="15">J265</f>
        <v>90</v>
      </c>
      <c r="C265" s="1192" t="s">
        <v>3</v>
      </c>
      <c r="D265" s="1192">
        <f t="shared" ref="D265:D312" si="16">K265</f>
        <v>400</v>
      </c>
      <c r="E265" s="1192" t="s">
        <v>3</v>
      </c>
      <c r="F265" s="1190">
        <f t="shared" ref="F265:F312" si="17">L265</f>
        <v>650</v>
      </c>
      <c r="G265" s="1192" t="s">
        <v>3</v>
      </c>
      <c r="H265" s="1189">
        <v>4</v>
      </c>
      <c r="I265" s="1191" t="s">
        <v>40</v>
      </c>
      <c r="J265" s="149">
        <v>90</v>
      </c>
      <c r="K265" s="66">
        <v>400</v>
      </c>
      <c r="L265" s="66">
        <v>650</v>
      </c>
      <c r="M265" s="150">
        <v>11.689495721042398</v>
      </c>
      <c r="N265" s="78">
        <v>292.67947326239994</v>
      </c>
      <c r="O265" s="110">
        <v>24879.215095138836</v>
      </c>
      <c r="P265" s="111">
        <v>29734.594849644302</v>
      </c>
      <c r="Q265" s="254">
        <v>11416.760909528057</v>
      </c>
      <c r="R265" s="258">
        <v>36295.976004666896</v>
      </c>
      <c r="S265" s="259">
        <v>41151.355759172358</v>
      </c>
      <c r="U265" s="7" t="s">
        <v>4782</v>
      </c>
    </row>
    <row r="266" spans="1:21" ht="16.5" thickBot="1">
      <c r="A266" s="1188" t="s">
        <v>4533</v>
      </c>
      <c r="B266" s="1192">
        <f t="shared" si="15"/>
        <v>90</v>
      </c>
      <c r="C266" s="1192" t="s">
        <v>3</v>
      </c>
      <c r="D266" s="1192">
        <f t="shared" si="16"/>
        <v>400</v>
      </c>
      <c r="E266" s="1192" t="s">
        <v>3</v>
      </c>
      <c r="F266" s="1190">
        <f t="shared" si="17"/>
        <v>700</v>
      </c>
      <c r="G266" s="1192" t="s">
        <v>3</v>
      </c>
      <c r="H266" s="1189">
        <v>4</v>
      </c>
      <c r="I266" s="1191" t="s">
        <v>40</v>
      </c>
      <c r="J266" s="149">
        <v>90</v>
      </c>
      <c r="K266" s="66">
        <v>400</v>
      </c>
      <c r="L266" s="66">
        <v>700</v>
      </c>
      <c r="M266" s="150">
        <v>12.476023143144829</v>
      </c>
      <c r="N266" s="78">
        <v>341.45938547279991</v>
      </c>
      <c r="O266" s="110">
        <v>26079.949332570308</v>
      </c>
      <c r="P266" s="111">
        <v>31151.595459101027</v>
      </c>
      <c r="Q266" s="254">
        <v>12324.7019970418</v>
      </c>
      <c r="R266" s="258">
        <v>38404.651329612112</v>
      </c>
      <c r="S266" s="259">
        <v>43476.297456142827</v>
      </c>
      <c r="U266" s="7" t="s">
        <v>4783</v>
      </c>
    </row>
    <row r="267" spans="1:21" ht="16.5" thickBot="1">
      <c r="A267" s="1188" t="s">
        <v>4533</v>
      </c>
      <c r="B267" s="1192">
        <f t="shared" si="15"/>
        <v>90</v>
      </c>
      <c r="C267" s="1192" t="s">
        <v>3</v>
      </c>
      <c r="D267" s="1192">
        <f t="shared" si="16"/>
        <v>400</v>
      </c>
      <c r="E267" s="1192" t="s">
        <v>3</v>
      </c>
      <c r="F267" s="1190">
        <f t="shared" si="17"/>
        <v>750</v>
      </c>
      <c r="G267" s="1192" t="s">
        <v>3</v>
      </c>
      <c r="H267" s="1189">
        <v>4</v>
      </c>
      <c r="I267" s="1191" t="s">
        <v>40</v>
      </c>
      <c r="J267" s="149">
        <v>90</v>
      </c>
      <c r="K267" s="66">
        <v>400</v>
      </c>
      <c r="L267" s="66">
        <v>750</v>
      </c>
      <c r="M267" s="150">
        <v>13.262550565247263</v>
      </c>
      <c r="N267" s="78">
        <v>390.23929768319999</v>
      </c>
      <c r="O267" s="110">
        <v>27280.683723030546</v>
      </c>
      <c r="P267" s="111">
        <v>32568.596068557752</v>
      </c>
      <c r="Q267" s="254">
        <v>12981.309099800537</v>
      </c>
      <c r="R267" s="258">
        <v>40261.992822831082</v>
      </c>
      <c r="S267" s="259">
        <v>45549.905168358287</v>
      </c>
      <c r="U267" s="7" t="s">
        <v>4784</v>
      </c>
    </row>
    <row r="268" spans="1:21" ht="16.5" thickBot="1">
      <c r="A268" s="1188" t="s">
        <v>4533</v>
      </c>
      <c r="B268" s="1192">
        <f t="shared" si="15"/>
        <v>90</v>
      </c>
      <c r="C268" s="1192" t="s">
        <v>3</v>
      </c>
      <c r="D268" s="1192">
        <f t="shared" si="16"/>
        <v>400</v>
      </c>
      <c r="E268" s="1192" t="s">
        <v>3</v>
      </c>
      <c r="F268" s="1190">
        <f t="shared" si="17"/>
        <v>800</v>
      </c>
      <c r="G268" s="1192" t="s">
        <v>3</v>
      </c>
      <c r="H268" s="1189">
        <v>4</v>
      </c>
      <c r="I268" s="1191" t="s">
        <v>40</v>
      </c>
      <c r="J268" s="149">
        <v>90</v>
      </c>
      <c r="K268" s="66">
        <v>400</v>
      </c>
      <c r="L268" s="66">
        <v>800</v>
      </c>
      <c r="M268" s="150">
        <v>14.049077987349698</v>
      </c>
      <c r="N268" s="78">
        <v>439.01920989359996</v>
      </c>
      <c r="O268" s="110">
        <v>28878.81178037823</v>
      </c>
      <c r="P268" s="111">
        <v>34000.899554526986</v>
      </c>
      <c r="Q268" s="254">
        <v>13637.916049530511</v>
      </c>
      <c r="R268" s="258">
        <v>42516.727829908741</v>
      </c>
      <c r="S268" s="259">
        <v>47638.815604057498</v>
      </c>
      <c r="U268" s="7" t="s">
        <v>4785</v>
      </c>
    </row>
    <row r="269" spans="1:21" ht="16.5" thickBot="1">
      <c r="A269" s="1188" t="s">
        <v>4533</v>
      </c>
      <c r="B269" s="1192">
        <f t="shared" si="15"/>
        <v>90</v>
      </c>
      <c r="C269" s="1192" t="s">
        <v>3</v>
      </c>
      <c r="D269" s="1192">
        <f t="shared" si="16"/>
        <v>400</v>
      </c>
      <c r="E269" s="1192" t="s">
        <v>3</v>
      </c>
      <c r="F269" s="1190">
        <f t="shared" si="17"/>
        <v>850</v>
      </c>
      <c r="G269" s="1192" t="s">
        <v>3</v>
      </c>
      <c r="H269" s="1189">
        <v>4</v>
      </c>
      <c r="I269" s="1191" t="s">
        <v>40</v>
      </c>
      <c r="J269" s="149">
        <v>90</v>
      </c>
      <c r="K269" s="66">
        <v>400</v>
      </c>
      <c r="L269" s="66">
        <v>850</v>
      </c>
      <c r="M269" s="150">
        <v>14.835605409452132</v>
      </c>
      <c r="N269" s="78">
        <v>487.79912210399993</v>
      </c>
      <c r="O269" s="110">
        <v>30079.546017809706</v>
      </c>
      <c r="P269" s="111">
        <v>35417.900163983708</v>
      </c>
      <c r="Q269" s="254">
        <v>14545.85729007302</v>
      </c>
      <c r="R269" s="258">
        <v>44625.403307882727</v>
      </c>
      <c r="S269" s="259">
        <v>49963.757454056729</v>
      </c>
      <c r="U269" s="7" t="s">
        <v>4786</v>
      </c>
    </row>
    <row r="270" spans="1:21" ht="16.5" thickBot="1">
      <c r="A270" s="1188" t="s">
        <v>4533</v>
      </c>
      <c r="B270" s="1192">
        <f t="shared" si="15"/>
        <v>90</v>
      </c>
      <c r="C270" s="1192" t="s">
        <v>3</v>
      </c>
      <c r="D270" s="1192">
        <f t="shared" si="16"/>
        <v>400</v>
      </c>
      <c r="E270" s="1192" t="s">
        <v>3</v>
      </c>
      <c r="F270" s="1190">
        <f t="shared" si="17"/>
        <v>900</v>
      </c>
      <c r="G270" s="1192" t="s">
        <v>3</v>
      </c>
      <c r="H270" s="1189">
        <v>4</v>
      </c>
      <c r="I270" s="1191" t="s">
        <v>40</v>
      </c>
      <c r="J270" s="149">
        <v>90</v>
      </c>
      <c r="K270" s="66">
        <v>400</v>
      </c>
      <c r="L270" s="66">
        <v>900</v>
      </c>
      <c r="M270" s="150">
        <v>15.622132831554566</v>
      </c>
      <c r="N270" s="78">
        <v>536.57903431440002</v>
      </c>
      <c r="O270" s="110">
        <v>31280.280408269944</v>
      </c>
      <c r="P270" s="111">
        <v>36834.900773440444</v>
      </c>
      <c r="Q270" s="254">
        <v>15202.464239802994</v>
      </c>
      <c r="R270" s="258">
        <v>46482.744648072941</v>
      </c>
      <c r="S270" s="259">
        <v>52037.365013243441</v>
      </c>
      <c r="U270" s="7" t="s">
        <v>4787</v>
      </c>
    </row>
    <row r="271" spans="1:21" ht="16.5" thickBot="1">
      <c r="A271" s="1188" t="s">
        <v>4533</v>
      </c>
      <c r="B271" s="1192">
        <f t="shared" si="15"/>
        <v>90</v>
      </c>
      <c r="C271" s="1192" t="s">
        <v>3</v>
      </c>
      <c r="D271" s="1192">
        <f t="shared" si="16"/>
        <v>400</v>
      </c>
      <c r="E271" s="1192" t="s">
        <v>3</v>
      </c>
      <c r="F271" s="1190">
        <f t="shared" si="17"/>
        <v>950</v>
      </c>
      <c r="G271" s="1192" t="s">
        <v>3</v>
      </c>
      <c r="H271" s="1189">
        <v>4</v>
      </c>
      <c r="I271" s="1191" t="s">
        <v>40</v>
      </c>
      <c r="J271" s="149">
        <v>90</v>
      </c>
      <c r="K271" s="66">
        <v>400</v>
      </c>
      <c r="L271" s="66">
        <v>950</v>
      </c>
      <c r="M271" s="150">
        <v>16.408660253657001</v>
      </c>
      <c r="N271" s="78">
        <v>585.35894652479988</v>
      </c>
      <c r="O271" s="110">
        <v>32481.014645701413</v>
      </c>
      <c r="P271" s="111">
        <v>38251.901382897166</v>
      </c>
      <c r="Q271" s="254">
        <v>16110.4054803455</v>
      </c>
      <c r="R271" s="258">
        <v>48591.420126046913</v>
      </c>
      <c r="S271" s="259">
        <v>54362.306863242666</v>
      </c>
      <c r="U271" s="7" t="s">
        <v>4788</v>
      </c>
    </row>
    <row r="272" spans="1:21" ht="16.5" thickBot="1">
      <c r="A272" s="1188" t="s">
        <v>4533</v>
      </c>
      <c r="B272" s="1192">
        <f t="shared" si="15"/>
        <v>90</v>
      </c>
      <c r="C272" s="1192" t="s">
        <v>3</v>
      </c>
      <c r="D272" s="1192">
        <f t="shared" si="16"/>
        <v>400</v>
      </c>
      <c r="E272" s="1192" t="s">
        <v>3</v>
      </c>
      <c r="F272" s="1190">
        <f t="shared" si="17"/>
        <v>1000</v>
      </c>
      <c r="G272" s="1192" t="s">
        <v>3</v>
      </c>
      <c r="H272" s="1189">
        <v>4</v>
      </c>
      <c r="I272" s="1191" t="s">
        <v>40</v>
      </c>
      <c r="J272" s="149">
        <v>90</v>
      </c>
      <c r="K272" s="66">
        <v>400</v>
      </c>
      <c r="L272" s="66">
        <v>1000</v>
      </c>
      <c r="M272" s="150">
        <v>17.351259675759437</v>
      </c>
      <c r="N272" s="78">
        <v>634.13885873519996</v>
      </c>
      <c r="O272" s="110">
        <v>33759.365225833055</v>
      </c>
      <c r="P272" s="111">
        <v>39746.518182025298</v>
      </c>
      <c r="Q272" s="254">
        <v>16767.012583104239</v>
      </c>
      <c r="R272" s="258">
        <v>50526.377808937294</v>
      </c>
      <c r="S272" s="259">
        <v>56513.530765129537</v>
      </c>
      <c r="U272" s="7" t="s">
        <v>4789</v>
      </c>
    </row>
    <row r="273" spans="1:21" ht="16.5" thickBot="1">
      <c r="A273" s="1188" t="s">
        <v>4533</v>
      </c>
      <c r="B273" s="1192">
        <f t="shared" si="15"/>
        <v>90</v>
      </c>
      <c r="C273" s="1192" t="s">
        <v>3</v>
      </c>
      <c r="D273" s="1192">
        <f t="shared" si="16"/>
        <v>400</v>
      </c>
      <c r="E273" s="1192" t="s">
        <v>3</v>
      </c>
      <c r="F273" s="1190">
        <f t="shared" si="17"/>
        <v>1050</v>
      </c>
      <c r="G273" s="1192" t="s">
        <v>3</v>
      </c>
      <c r="H273" s="1189">
        <v>4</v>
      </c>
      <c r="I273" s="1191" t="s">
        <v>40</v>
      </c>
      <c r="J273" s="149">
        <v>90</v>
      </c>
      <c r="K273" s="66">
        <v>400</v>
      </c>
      <c r="L273" s="66">
        <v>1050</v>
      </c>
      <c r="M273" s="150">
        <v>18.137787097861871</v>
      </c>
      <c r="N273" s="78">
        <v>682.91877094559982</v>
      </c>
      <c r="O273" s="110">
        <v>34960.099463264523</v>
      </c>
      <c r="P273" s="111">
        <v>41163.518791481867</v>
      </c>
      <c r="Q273" s="254">
        <v>17674.953670617982</v>
      </c>
      <c r="R273" s="258">
        <v>52635.053133882509</v>
      </c>
      <c r="S273" s="259">
        <v>58838.472462099846</v>
      </c>
      <c r="U273" s="7" t="s">
        <v>4790</v>
      </c>
    </row>
    <row r="274" spans="1:21" ht="16.5" thickBot="1">
      <c r="A274" s="1188" t="s">
        <v>4533</v>
      </c>
      <c r="B274" s="1189">
        <f t="shared" si="15"/>
        <v>90</v>
      </c>
      <c r="C274" s="1189" t="s">
        <v>3</v>
      </c>
      <c r="D274" s="1189">
        <f t="shared" si="16"/>
        <v>400</v>
      </c>
      <c r="E274" s="1189" t="s">
        <v>3</v>
      </c>
      <c r="F274" s="1190">
        <f t="shared" si="17"/>
        <v>1100</v>
      </c>
      <c r="G274" s="1189" t="s">
        <v>3</v>
      </c>
      <c r="H274" s="1189">
        <v>4</v>
      </c>
      <c r="I274" s="1191" t="s">
        <v>40</v>
      </c>
      <c r="J274" s="149">
        <v>90</v>
      </c>
      <c r="K274" s="66">
        <v>400</v>
      </c>
      <c r="L274" s="66">
        <v>1100</v>
      </c>
      <c r="M274" s="150">
        <v>18.924314519964302</v>
      </c>
      <c r="N274" s="78">
        <v>731.6986831559999</v>
      </c>
      <c r="O274" s="110">
        <v>36160.833853724762</v>
      </c>
      <c r="P274" s="111">
        <v>42580.519400938749</v>
      </c>
      <c r="Q274" s="254">
        <v>18331.560773376717</v>
      </c>
      <c r="R274" s="258">
        <v>54492.394627101479</v>
      </c>
      <c r="S274" s="259">
        <v>60912.080174315466</v>
      </c>
      <c r="U274" s="7" t="s">
        <v>4791</v>
      </c>
    </row>
    <row r="275" spans="1:21" ht="16.5" thickBot="1">
      <c r="A275" s="1188" t="s">
        <v>4533</v>
      </c>
      <c r="B275" s="1192">
        <f t="shared" si="15"/>
        <v>90</v>
      </c>
      <c r="C275" s="1192" t="s">
        <v>3</v>
      </c>
      <c r="D275" s="1192">
        <f t="shared" si="16"/>
        <v>400</v>
      </c>
      <c r="E275" s="1192" t="s">
        <v>3</v>
      </c>
      <c r="F275" s="1190">
        <f t="shared" si="17"/>
        <v>1150</v>
      </c>
      <c r="G275" s="1192" t="s">
        <v>3</v>
      </c>
      <c r="H275" s="1189">
        <v>4</v>
      </c>
      <c r="I275" s="1191" t="s">
        <v>40</v>
      </c>
      <c r="J275" s="149">
        <v>90</v>
      </c>
      <c r="K275" s="66">
        <v>400</v>
      </c>
      <c r="L275" s="66">
        <v>1150</v>
      </c>
      <c r="M275" s="150">
        <v>19.710841942066736</v>
      </c>
      <c r="N275" s="78">
        <v>780.47859536639999</v>
      </c>
      <c r="O275" s="110">
        <v>37361.568091156238</v>
      </c>
      <c r="P275" s="111">
        <v>43997.520010395478</v>
      </c>
      <c r="Q275" s="254">
        <v>18988.167723106693</v>
      </c>
      <c r="R275" s="258">
        <v>56349.735814262931</v>
      </c>
      <c r="S275" s="259">
        <v>62985.687733502171</v>
      </c>
      <c r="U275" s="7" t="s">
        <v>4792</v>
      </c>
    </row>
    <row r="276" spans="1:21" ht="16.5" thickBot="1">
      <c r="A276" s="1188" t="s">
        <v>4533</v>
      </c>
      <c r="B276" s="1192">
        <f t="shared" si="15"/>
        <v>90</v>
      </c>
      <c r="C276" s="1192" t="s">
        <v>3</v>
      </c>
      <c r="D276" s="1192">
        <f t="shared" si="16"/>
        <v>400</v>
      </c>
      <c r="E276" s="1192" t="s">
        <v>3</v>
      </c>
      <c r="F276" s="1190">
        <f t="shared" si="17"/>
        <v>1200</v>
      </c>
      <c r="G276" s="1192" t="s">
        <v>3</v>
      </c>
      <c r="H276" s="1189">
        <v>4</v>
      </c>
      <c r="I276" s="1191" t="s">
        <v>40</v>
      </c>
      <c r="J276" s="149">
        <v>90</v>
      </c>
      <c r="K276" s="66">
        <v>400</v>
      </c>
      <c r="L276" s="66">
        <v>1200</v>
      </c>
      <c r="M276" s="150">
        <v>20.497369364169174</v>
      </c>
      <c r="N276" s="78">
        <v>829.25850757679984</v>
      </c>
      <c r="O276" s="110">
        <v>38562.302481616476</v>
      </c>
      <c r="P276" s="111">
        <v>45414.520619852206</v>
      </c>
      <c r="Q276" s="254">
        <v>19896.1089636492</v>
      </c>
      <c r="R276" s="258">
        <v>58458.41144526568</v>
      </c>
      <c r="S276" s="259">
        <v>65310.629583501403</v>
      </c>
      <c r="U276" s="7" t="s">
        <v>4793</v>
      </c>
    </row>
    <row r="277" spans="1:21" ht="16.5" thickBot="1">
      <c r="A277" s="1188" t="s">
        <v>4533</v>
      </c>
      <c r="B277" s="1192">
        <f t="shared" si="15"/>
        <v>90</v>
      </c>
      <c r="C277" s="1192" t="s">
        <v>3</v>
      </c>
      <c r="D277" s="1192">
        <f t="shared" si="16"/>
        <v>400</v>
      </c>
      <c r="E277" s="1192" t="s">
        <v>3</v>
      </c>
      <c r="F277" s="1190">
        <f t="shared" si="17"/>
        <v>1250</v>
      </c>
      <c r="G277" s="1192" t="s">
        <v>3</v>
      </c>
      <c r="H277" s="1189">
        <v>4</v>
      </c>
      <c r="I277" s="1191" t="s">
        <v>40</v>
      </c>
      <c r="J277" s="149">
        <v>90</v>
      </c>
      <c r="K277" s="66">
        <v>400</v>
      </c>
      <c r="L277" s="66">
        <v>1250</v>
      </c>
      <c r="M277" s="150">
        <v>21.283896786271612</v>
      </c>
      <c r="N277" s="78">
        <v>878.03841978719993</v>
      </c>
      <c r="O277" s="110">
        <v>39763.036719047945</v>
      </c>
      <c r="P277" s="111">
        <v>46831.521229308935</v>
      </c>
      <c r="Q277" s="254">
        <v>20552.715913379172</v>
      </c>
      <c r="R277" s="258">
        <v>60315.752632427117</v>
      </c>
      <c r="S277" s="259">
        <v>67384.2371426881</v>
      </c>
      <c r="U277" s="7" t="s">
        <v>4794</v>
      </c>
    </row>
    <row r="278" spans="1:21" ht="16.5" thickBot="1">
      <c r="A278" s="1188" t="s">
        <v>4533</v>
      </c>
      <c r="B278" s="1192">
        <f t="shared" si="15"/>
        <v>90</v>
      </c>
      <c r="C278" s="1192" t="s">
        <v>3</v>
      </c>
      <c r="D278" s="1192">
        <f t="shared" si="16"/>
        <v>400</v>
      </c>
      <c r="E278" s="1192" t="s">
        <v>3</v>
      </c>
      <c r="F278" s="1190">
        <f t="shared" si="17"/>
        <v>1300</v>
      </c>
      <c r="G278" s="1192" t="s">
        <v>3</v>
      </c>
      <c r="H278" s="1189">
        <v>4</v>
      </c>
      <c r="I278" s="1191" t="s">
        <v>40</v>
      </c>
      <c r="J278" s="149">
        <v>90</v>
      </c>
      <c r="K278" s="66">
        <v>400</v>
      </c>
      <c r="L278" s="66">
        <v>1300</v>
      </c>
      <c r="M278" s="150">
        <v>22.070424208374043</v>
      </c>
      <c r="N278" s="78">
        <v>926.81833199759978</v>
      </c>
      <c r="O278" s="110">
        <v>40963.77110950819</v>
      </c>
      <c r="P278" s="111">
        <v>48248.521838765664</v>
      </c>
      <c r="Q278" s="254">
        <v>21460.657153921682</v>
      </c>
      <c r="R278" s="258">
        <v>62424.428263429872</v>
      </c>
      <c r="S278" s="259">
        <v>69709.178992687346</v>
      </c>
      <c r="U278" s="7" t="s">
        <v>4795</v>
      </c>
    </row>
    <row r="279" spans="1:21" ht="16.5" thickBot="1">
      <c r="A279" s="1188" t="s">
        <v>4533</v>
      </c>
      <c r="B279" s="1192">
        <f t="shared" si="15"/>
        <v>90</v>
      </c>
      <c r="C279" s="1192" t="s">
        <v>3</v>
      </c>
      <c r="D279" s="1192">
        <f t="shared" si="16"/>
        <v>400</v>
      </c>
      <c r="E279" s="1192" t="s">
        <v>3</v>
      </c>
      <c r="F279" s="1190">
        <f t="shared" si="17"/>
        <v>1350</v>
      </c>
      <c r="G279" s="1192" t="s">
        <v>3</v>
      </c>
      <c r="H279" s="1189">
        <v>4</v>
      </c>
      <c r="I279" s="1191" t="s">
        <v>40</v>
      </c>
      <c r="J279" s="149">
        <v>90</v>
      </c>
      <c r="K279" s="66">
        <v>400</v>
      </c>
      <c r="L279" s="66">
        <v>1350</v>
      </c>
      <c r="M279" s="150">
        <v>22.856951630476477</v>
      </c>
      <c r="N279" s="78">
        <v>975.59824420799987</v>
      </c>
      <c r="O279" s="110">
        <v>42164.505346939659</v>
      </c>
      <c r="P279" s="111">
        <v>49665.522448222393</v>
      </c>
      <c r="Q279" s="254">
        <v>22117.264103651651</v>
      </c>
      <c r="R279" s="258">
        <v>64281.76945059131</v>
      </c>
      <c r="S279" s="259">
        <v>71782.786551874044</v>
      </c>
      <c r="U279" s="7" t="s">
        <v>4796</v>
      </c>
    </row>
    <row r="280" spans="1:21" ht="16.5" thickBot="1">
      <c r="A280" s="1188" t="s">
        <v>4533</v>
      </c>
      <c r="B280" s="1192">
        <f t="shared" si="15"/>
        <v>90</v>
      </c>
      <c r="C280" s="1192" t="s">
        <v>3</v>
      </c>
      <c r="D280" s="1192">
        <f t="shared" si="16"/>
        <v>400</v>
      </c>
      <c r="E280" s="1192" t="s">
        <v>3</v>
      </c>
      <c r="F280" s="1190">
        <f t="shared" si="17"/>
        <v>1400</v>
      </c>
      <c r="G280" s="1192" t="s">
        <v>3</v>
      </c>
      <c r="H280" s="1189">
        <v>4</v>
      </c>
      <c r="I280" s="1191" t="s">
        <v>40</v>
      </c>
      <c r="J280" s="149">
        <v>90</v>
      </c>
      <c r="K280" s="66">
        <v>400</v>
      </c>
      <c r="L280" s="66">
        <v>1400</v>
      </c>
      <c r="M280" s="150">
        <v>23.643479052578915</v>
      </c>
      <c r="N280" s="78">
        <v>1024.3781564183998</v>
      </c>
      <c r="O280" s="110">
        <v>43365.239737399897</v>
      </c>
      <c r="P280" s="111">
        <v>51082.522904650352</v>
      </c>
      <c r="Q280" s="254">
        <v>23025.205344194161</v>
      </c>
      <c r="R280" s="258">
        <v>66390.445081594051</v>
      </c>
      <c r="S280" s="259">
        <v>74107.728248844505</v>
      </c>
      <c r="U280" s="7" t="s">
        <v>4797</v>
      </c>
    </row>
    <row r="281" spans="1:21" ht="16.5" thickBot="1">
      <c r="A281" s="1188" t="s">
        <v>4533</v>
      </c>
      <c r="B281" s="1192">
        <f t="shared" si="15"/>
        <v>90</v>
      </c>
      <c r="C281" s="1192" t="s">
        <v>3</v>
      </c>
      <c r="D281" s="1192">
        <f t="shared" si="16"/>
        <v>400</v>
      </c>
      <c r="E281" s="1192" t="s">
        <v>3</v>
      </c>
      <c r="F281" s="1190">
        <f t="shared" si="17"/>
        <v>1450</v>
      </c>
      <c r="G281" s="1192" t="s">
        <v>3</v>
      </c>
      <c r="H281" s="1189">
        <v>4</v>
      </c>
      <c r="I281" s="1191" t="s">
        <v>40</v>
      </c>
      <c r="J281" s="149">
        <v>90</v>
      </c>
      <c r="K281" s="66">
        <v>400</v>
      </c>
      <c r="L281" s="66">
        <v>1450</v>
      </c>
      <c r="M281" s="150">
        <v>24.430006474681349</v>
      </c>
      <c r="N281" s="78">
        <v>1073.1580686288</v>
      </c>
      <c r="O281" s="110">
        <v>44565.973974831373</v>
      </c>
      <c r="P281" s="111">
        <v>52499.523514107081</v>
      </c>
      <c r="Q281" s="254">
        <v>23681.812293924133</v>
      </c>
      <c r="R281" s="258">
        <v>68247.786268755503</v>
      </c>
      <c r="S281" s="259">
        <v>76181.335808031217</v>
      </c>
      <c r="U281" s="7" t="s">
        <v>4798</v>
      </c>
    </row>
    <row r="282" spans="1:21" ht="16.5" thickBot="1">
      <c r="A282" s="1188" t="s">
        <v>4533</v>
      </c>
      <c r="B282" s="1192">
        <f t="shared" si="15"/>
        <v>90</v>
      </c>
      <c r="C282" s="1192" t="s">
        <v>3</v>
      </c>
      <c r="D282" s="1192">
        <f t="shared" si="16"/>
        <v>400</v>
      </c>
      <c r="E282" s="1192" t="s">
        <v>3</v>
      </c>
      <c r="F282" s="1190">
        <f t="shared" si="17"/>
        <v>1500</v>
      </c>
      <c r="G282" s="1192" t="s">
        <v>3</v>
      </c>
      <c r="H282" s="1189">
        <v>4</v>
      </c>
      <c r="I282" s="1191" t="s">
        <v>40</v>
      </c>
      <c r="J282" s="149">
        <v>90</v>
      </c>
      <c r="K282" s="66">
        <v>400</v>
      </c>
      <c r="L282" s="66">
        <v>1500</v>
      </c>
      <c r="M282" s="150">
        <v>25.615076696783781</v>
      </c>
      <c r="N282" s="78">
        <v>1121.9379808391998</v>
      </c>
      <c r="O282" s="110">
        <v>46600.310680196635</v>
      </c>
      <c r="P282" s="111">
        <v>54980.472528086946</v>
      </c>
      <c r="Q282" s="254">
        <v>24589.753534466639</v>
      </c>
      <c r="R282" s="258">
        <v>71190.064214663274</v>
      </c>
      <c r="S282" s="259">
        <v>79570.226062553586</v>
      </c>
      <c r="U282" s="7" t="s">
        <v>4799</v>
      </c>
    </row>
    <row r="283" spans="1:21" ht="16.5" thickBot="1">
      <c r="A283" s="1188" t="s">
        <v>4533</v>
      </c>
      <c r="B283" s="1192">
        <f t="shared" si="15"/>
        <v>90</v>
      </c>
      <c r="C283" s="1192" t="s">
        <v>3</v>
      </c>
      <c r="D283" s="1192">
        <f t="shared" si="16"/>
        <v>400</v>
      </c>
      <c r="E283" s="1192" t="s">
        <v>3</v>
      </c>
      <c r="F283" s="1190">
        <f t="shared" si="17"/>
        <v>1550</v>
      </c>
      <c r="G283" s="1192" t="s">
        <v>3</v>
      </c>
      <c r="H283" s="1189">
        <v>4</v>
      </c>
      <c r="I283" s="1191" t="s">
        <v>40</v>
      </c>
      <c r="J283" s="149">
        <v>90</v>
      </c>
      <c r="K283" s="66">
        <v>400</v>
      </c>
      <c r="L283" s="66">
        <v>1550</v>
      </c>
      <c r="M283" s="150">
        <v>26.401604118886219</v>
      </c>
      <c r="N283" s="78">
        <v>1170.7178930495998</v>
      </c>
      <c r="O283" s="110">
        <v>47801.044917628104</v>
      </c>
      <c r="P283" s="111">
        <v>56397.473137543675</v>
      </c>
      <c r="Q283" s="254">
        <v>25246.360484196612</v>
      </c>
      <c r="R283" s="258">
        <v>73047.405401824712</v>
      </c>
      <c r="S283" s="259">
        <v>81643.833621740283</v>
      </c>
      <c r="U283" s="7" t="s">
        <v>4800</v>
      </c>
    </row>
    <row r="284" spans="1:21" ht="16.5" thickBot="1">
      <c r="A284" s="1188" t="s">
        <v>4533</v>
      </c>
      <c r="B284" s="1189">
        <f t="shared" si="15"/>
        <v>90</v>
      </c>
      <c r="C284" s="1189" t="s">
        <v>3</v>
      </c>
      <c r="D284" s="1189">
        <f t="shared" si="16"/>
        <v>400</v>
      </c>
      <c r="E284" s="1189" t="s">
        <v>3</v>
      </c>
      <c r="F284" s="1190">
        <f t="shared" si="17"/>
        <v>1600</v>
      </c>
      <c r="G284" s="1189" t="s">
        <v>3</v>
      </c>
      <c r="H284" s="1189">
        <v>4</v>
      </c>
      <c r="I284" s="1191" t="s">
        <v>40</v>
      </c>
      <c r="J284" s="149">
        <v>90</v>
      </c>
      <c r="K284" s="66">
        <v>400</v>
      </c>
      <c r="L284" s="66">
        <v>1600</v>
      </c>
      <c r="M284" s="150">
        <v>27.18813154098865</v>
      </c>
      <c r="N284" s="78">
        <v>1219.49780526</v>
      </c>
      <c r="O284" s="110">
        <v>49001.779308088342</v>
      </c>
      <c r="P284" s="111">
        <v>57814.473747000404</v>
      </c>
      <c r="Q284" s="254">
        <v>25902.96758695535</v>
      </c>
      <c r="R284" s="258">
        <v>74904.746895043689</v>
      </c>
      <c r="S284" s="259">
        <v>83717.44133395575</v>
      </c>
      <c r="U284" s="7" t="s">
        <v>4801</v>
      </c>
    </row>
    <row r="285" spans="1:21" ht="16.5" thickBot="1">
      <c r="A285" s="1188" t="s">
        <v>4533</v>
      </c>
      <c r="B285" s="1192">
        <f t="shared" si="15"/>
        <v>90</v>
      </c>
      <c r="C285" s="1192" t="s">
        <v>3</v>
      </c>
      <c r="D285" s="1192">
        <f t="shared" si="16"/>
        <v>400</v>
      </c>
      <c r="E285" s="1192" t="s">
        <v>3</v>
      </c>
      <c r="F285" s="1190">
        <f t="shared" si="17"/>
        <v>1650</v>
      </c>
      <c r="G285" s="1192" t="s">
        <v>3</v>
      </c>
      <c r="H285" s="1189">
        <v>4</v>
      </c>
      <c r="I285" s="1191" t="s">
        <v>40</v>
      </c>
      <c r="J285" s="149">
        <v>90</v>
      </c>
      <c r="K285" s="66">
        <v>400</v>
      </c>
      <c r="L285" s="66">
        <v>1650</v>
      </c>
      <c r="M285" s="150">
        <v>27.974658963091088</v>
      </c>
      <c r="N285" s="78">
        <v>1268.2777174703999</v>
      </c>
      <c r="O285" s="110">
        <v>50202.513545519818</v>
      </c>
      <c r="P285" s="111">
        <v>59231.474356457125</v>
      </c>
      <c r="Q285" s="254">
        <v>26810.908827497857</v>
      </c>
      <c r="R285" s="258">
        <v>77013.422373017675</v>
      </c>
      <c r="S285" s="259">
        <v>86042.383183954982</v>
      </c>
      <c r="U285" s="7" t="s">
        <v>4802</v>
      </c>
    </row>
    <row r="286" spans="1:21" ht="16.5" thickBot="1">
      <c r="A286" s="1188" t="s">
        <v>4533</v>
      </c>
      <c r="B286" s="1192">
        <f t="shared" si="15"/>
        <v>90</v>
      </c>
      <c r="C286" s="1192" t="s">
        <v>3</v>
      </c>
      <c r="D286" s="1192">
        <f t="shared" si="16"/>
        <v>400</v>
      </c>
      <c r="E286" s="1192" t="s">
        <v>3</v>
      </c>
      <c r="F286" s="1190">
        <f t="shared" si="17"/>
        <v>1700</v>
      </c>
      <c r="G286" s="1192" t="s">
        <v>3</v>
      </c>
      <c r="H286" s="1189">
        <v>4</v>
      </c>
      <c r="I286" s="1191" t="s">
        <v>40</v>
      </c>
      <c r="J286" s="149">
        <v>90</v>
      </c>
      <c r="K286" s="66">
        <v>400</v>
      </c>
      <c r="L286" s="66">
        <v>1700</v>
      </c>
      <c r="M286" s="150">
        <v>28.761186385193522</v>
      </c>
      <c r="N286" s="78">
        <v>1317.0576296807999</v>
      </c>
      <c r="O286" s="110">
        <v>51403.247935980056</v>
      </c>
      <c r="P286" s="111">
        <v>60648.474965913854</v>
      </c>
      <c r="Q286" s="254">
        <v>27467.515777227836</v>
      </c>
      <c r="R286" s="258">
        <v>78870.763713207896</v>
      </c>
      <c r="S286" s="259">
        <v>88115.990743141694</v>
      </c>
      <c r="U286" s="7" t="s">
        <v>4803</v>
      </c>
    </row>
    <row r="287" spans="1:21" ht="16.5" thickBot="1">
      <c r="A287" s="1188" t="s">
        <v>4533</v>
      </c>
      <c r="B287" s="1192">
        <f t="shared" si="15"/>
        <v>90</v>
      </c>
      <c r="C287" s="1192" t="s">
        <v>3</v>
      </c>
      <c r="D287" s="1192">
        <f t="shared" si="16"/>
        <v>400</v>
      </c>
      <c r="E287" s="1192" t="s">
        <v>3</v>
      </c>
      <c r="F287" s="1190">
        <f t="shared" si="17"/>
        <v>1750</v>
      </c>
      <c r="G287" s="1192" t="s">
        <v>3</v>
      </c>
      <c r="H287" s="1189">
        <v>4</v>
      </c>
      <c r="I287" s="1191" t="s">
        <v>40</v>
      </c>
      <c r="J287" s="149">
        <v>90</v>
      </c>
      <c r="K287" s="66">
        <v>400</v>
      </c>
      <c r="L287" s="66">
        <v>1750</v>
      </c>
      <c r="M287" s="150">
        <v>29.547713807295956</v>
      </c>
      <c r="N287" s="78">
        <v>1365.8375418911996</v>
      </c>
      <c r="O287" s="110">
        <v>52603.982173411532</v>
      </c>
      <c r="P287" s="111">
        <v>62065.47557537059</v>
      </c>
      <c r="Q287" s="254">
        <v>28375.457017770343</v>
      </c>
      <c r="R287" s="258">
        <v>80979.439191181882</v>
      </c>
      <c r="S287" s="259">
        <v>90440.932593140926</v>
      </c>
      <c r="U287" s="7" t="s">
        <v>4804</v>
      </c>
    </row>
    <row r="288" spans="1:21" ht="16.5" thickBot="1">
      <c r="A288" s="1188" t="s">
        <v>4533</v>
      </c>
      <c r="B288" s="1192">
        <f t="shared" si="15"/>
        <v>90</v>
      </c>
      <c r="C288" s="1192" t="s">
        <v>3</v>
      </c>
      <c r="D288" s="1192">
        <f t="shared" si="16"/>
        <v>400</v>
      </c>
      <c r="E288" s="1192" t="s">
        <v>3</v>
      </c>
      <c r="F288" s="1190">
        <f t="shared" si="17"/>
        <v>1800</v>
      </c>
      <c r="G288" s="1192" t="s">
        <v>3</v>
      </c>
      <c r="H288" s="1189">
        <v>4</v>
      </c>
      <c r="I288" s="1191" t="s">
        <v>40</v>
      </c>
      <c r="J288" s="149">
        <v>90</v>
      </c>
      <c r="K288" s="66">
        <v>400</v>
      </c>
      <c r="L288" s="66">
        <v>1800</v>
      </c>
      <c r="M288" s="150">
        <v>30.334241229398391</v>
      </c>
      <c r="N288" s="78">
        <v>1414.6174541015998</v>
      </c>
      <c r="O288" s="110">
        <v>53804.716563871763</v>
      </c>
      <c r="P288" s="111">
        <v>63482.476184827312</v>
      </c>
      <c r="Q288" s="254">
        <v>29032.063967500315</v>
      </c>
      <c r="R288" s="258">
        <v>82836.780531372075</v>
      </c>
      <c r="S288" s="259">
        <v>92514.540152327623</v>
      </c>
      <c r="U288" s="7" t="s">
        <v>4805</v>
      </c>
    </row>
    <row r="289" spans="1:21" ht="16.5" thickBot="1">
      <c r="A289" s="1188" t="s">
        <v>4533</v>
      </c>
      <c r="B289" s="1192">
        <f t="shared" si="15"/>
        <v>90</v>
      </c>
      <c r="C289" s="1192" t="s">
        <v>3</v>
      </c>
      <c r="D289" s="1192">
        <f t="shared" si="16"/>
        <v>400</v>
      </c>
      <c r="E289" s="1192" t="s">
        <v>3</v>
      </c>
      <c r="F289" s="1190">
        <f t="shared" si="17"/>
        <v>1850</v>
      </c>
      <c r="G289" s="1192" t="s">
        <v>3</v>
      </c>
      <c r="H289" s="1189">
        <v>4</v>
      </c>
      <c r="I289" s="1191" t="s">
        <v>40</v>
      </c>
      <c r="J289" s="149">
        <v>90</v>
      </c>
      <c r="K289" s="66">
        <v>400</v>
      </c>
      <c r="L289" s="66">
        <v>1850</v>
      </c>
      <c r="M289" s="150">
        <v>31.120768651500825</v>
      </c>
      <c r="N289" s="78">
        <v>1463.3973663119998</v>
      </c>
      <c r="O289" s="110">
        <v>55005.450801303239</v>
      </c>
      <c r="P289" s="111">
        <v>64899.476794284041</v>
      </c>
      <c r="Q289" s="254">
        <v>29940.005208042821</v>
      </c>
      <c r="R289" s="258">
        <v>84945.45600934606</v>
      </c>
      <c r="S289" s="259">
        <v>94839.482002326869</v>
      </c>
      <c r="U289" s="7" t="s">
        <v>4806</v>
      </c>
    </row>
    <row r="290" spans="1:21" ht="16.5" thickBot="1">
      <c r="A290" s="1188" t="s">
        <v>4533</v>
      </c>
      <c r="B290" s="1192">
        <f t="shared" si="15"/>
        <v>90</v>
      </c>
      <c r="C290" s="1192" t="s">
        <v>3</v>
      </c>
      <c r="D290" s="1192">
        <f t="shared" si="16"/>
        <v>400</v>
      </c>
      <c r="E290" s="1192" t="s">
        <v>3</v>
      </c>
      <c r="F290" s="1190">
        <f t="shared" si="17"/>
        <v>1900</v>
      </c>
      <c r="G290" s="1192" t="s">
        <v>3</v>
      </c>
      <c r="H290" s="1189">
        <v>4</v>
      </c>
      <c r="I290" s="1191" t="s">
        <v>40</v>
      </c>
      <c r="J290" s="149">
        <v>90</v>
      </c>
      <c r="K290" s="66">
        <v>400</v>
      </c>
      <c r="L290" s="66">
        <v>1900</v>
      </c>
      <c r="M290" s="150">
        <v>31.907296073603256</v>
      </c>
      <c r="N290" s="78">
        <v>1512.1772785223998</v>
      </c>
      <c r="O290" s="110">
        <v>56206.18519176347</v>
      </c>
      <c r="P290" s="111">
        <v>66316.477403740762</v>
      </c>
      <c r="Q290" s="254">
        <v>30596.612157772794</v>
      </c>
      <c r="R290" s="258">
        <v>86802.797349536268</v>
      </c>
      <c r="S290" s="259">
        <v>96913.089561513552</v>
      </c>
      <c r="U290" s="7" t="s">
        <v>4807</v>
      </c>
    </row>
    <row r="291" spans="1:21" ht="16.5" thickBot="1">
      <c r="A291" s="1188" t="s">
        <v>4533</v>
      </c>
      <c r="B291" s="1192">
        <f t="shared" si="15"/>
        <v>90</v>
      </c>
      <c r="C291" s="1192" t="s">
        <v>3</v>
      </c>
      <c r="D291" s="1192">
        <f t="shared" si="16"/>
        <v>400</v>
      </c>
      <c r="E291" s="1192" t="s">
        <v>3</v>
      </c>
      <c r="F291" s="1190">
        <f t="shared" si="17"/>
        <v>1950</v>
      </c>
      <c r="G291" s="1192" t="s">
        <v>3</v>
      </c>
      <c r="H291" s="1189">
        <v>4</v>
      </c>
      <c r="I291" s="1191" t="s">
        <v>40</v>
      </c>
      <c r="J291" s="149">
        <v>90</v>
      </c>
      <c r="K291" s="66">
        <v>400</v>
      </c>
      <c r="L291" s="66">
        <v>1950</v>
      </c>
      <c r="M291" s="150">
        <v>32.693823495705701</v>
      </c>
      <c r="N291" s="78">
        <v>1560.9571907328</v>
      </c>
      <c r="O291" s="110">
        <v>57406.919429194953</v>
      </c>
      <c r="P291" s="111">
        <v>67733.478013197499</v>
      </c>
      <c r="Q291" s="254">
        <v>31253.219260531532</v>
      </c>
      <c r="R291" s="258">
        <v>88660.138689726489</v>
      </c>
      <c r="S291" s="259">
        <v>98986.697273729034</v>
      </c>
      <c r="U291" s="7" t="s">
        <v>4808</v>
      </c>
    </row>
    <row r="292" spans="1:21" ht="16.5" thickBot="1">
      <c r="A292" s="1188" t="s">
        <v>4533</v>
      </c>
      <c r="B292" s="1192">
        <f t="shared" si="15"/>
        <v>90</v>
      </c>
      <c r="C292" s="1192" t="s">
        <v>3</v>
      </c>
      <c r="D292" s="1192">
        <f t="shared" si="16"/>
        <v>400</v>
      </c>
      <c r="E292" s="1192" t="s">
        <v>3</v>
      </c>
      <c r="F292" s="1190">
        <f t="shared" si="17"/>
        <v>2000</v>
      </c>
      <c r="G292" s="1192" t="s">
        <v>3</v>
      </c>
      <c r="H292" s="1189">
        <v>4</v>
      </c>
      <c r="I292" s="1191" t="s">
        <v>40</v>
      </c>
      <c r="J292" s="149">
        <v>90</v>
      </c>
      <c r="K292" s="66">
        <v>400</v>
      </c>
      <c r="L292" s="66">
        <v>2000</v>
      </c>
      <c r="M292" s="150">
        <v>33.636422917808119</v>
      </c>
      <c r="N292" s="78">
        <v>1609.7371029431997</v>
      </c>
      <c r="O292" s="110">
        <v>59124.899615388538</v>
      </c>
      <c r="P292" s="111">
        <v>69340.723830428862</v>
      </c>
      <c r="Q292" s="254">
        <v>32161.160348045276</v>
      </c>
      <c r="R292" s="258">
        <v>91286.059963433814</v>
      </c>
      <c r="S292" s="259">
        <v>101501.88417847414</v>
      </c>
      <c r="U292" s="7" t="s">
        <v>4809</v>
      </c>
    </row>
    <row r="293" spans="1:21" ht="16.5" thickBot="1">
      <c r="A293" s="1188" t="s">
        <v>4533</v>
      </c>
      <c r="B293" s="1192">
        <f t="shared" si="15"/>
        <v>90</v>
      </c>
      <c r="C293" s="1192" t="s">
        <v>3</v>
      </c>
      <c r="D293" s="1192">
        <f t="shared" si="16"/>
        <v>400</v>
      </c>
      <c r="E293" s="1192" t="s">
        <v>3</v>
      </c>
      <c r="F293" s="1190">
        <f t="shared" si="17"/>
        <v>2050</v>
      </c>
      <c r="G293" s="1192" t="s">
        <v>3</v>
      </c>
      <c r="H293" s="1189">
        <v>4</v>
      </c>
      <c r="I293" s="1191" t="s">
        <v>40</v>
      </c>
      <c r="J293" s="149">
        <v>90</v>
      </c>
      <c r="K293" s="66">
        <v>400</v>
      </c>
      <c r="L293" s="66">
        <v>2050</v>
      </c>
      <c r="M293" s="150">
        <v>34.422950339910564</v>
      </c>
      <c r="N293" s="78">
        <v>1658.5170151535997</v>
      </c>
      <c r="O293" s="110">
        <v>60325.633852820007</v>
      </c>
      <c r="P293" s="111">
        <v>70757.724439885584</v>
      </c>
      <c r="Q293" s="254">
        <v>32817.767450804015</v>
      </c>
      <c r="R293" s="258">
        <v>93143.401303624021</v>
      </c>
      <c r="S293" s="259">
        <v>103575.49189068959</v>
      </c>
      <c r="U293" s="7" t="s">
        <v>4810</v>
      </c>
    </row>
    <row r="294" spans="1:21" ht="16.5" thickBot="1">
      <c r="A294" s="1188" t="s">
        <v>4533</v>
      </c>
      <c r="B294" s="1189">
        <f t="shared" si="15"/>
        <v>90</v>
      </c>
      <c r="C294" s="1189" t="s">
        <v>3</v>
      </c>
      <c r="D294" s="1189">
        <f t="shared" si="16"/>
        <v>400</v>
      </c>
      <c r="E294" s="1189" t="s">
        <v>3</v>
      </c>
      <c r="F294" s="1190">
        <f t="shared" si="17"/>
        <v>2100</v>
      </c>
      <c r="G294" s="1189" t="s">
        <v>3</v>
      </c>
      <c r="H294" s="1189">
        <v>4</v>
      </c>
      <c r="I294" s="1191" t="s">
        <v>40</v>
      </c>
      <c r="J294" s="149">
        <v>90</v>
      </c>
      <c r="K294" s="66">
        <v>400</v>
      </c>
      <c r="L294" s="66">
        <v>2100</v>
      </c>
      <c r="M294" s="150">
        <v>35.209477762012995</v>
      </c>
      <c r="N294" s="78">
        <v>1707.2969273639997</v>
      </c>
      <c r="O294" s="110">
        <v>61526.368243280238</v>
      </c>
      <c r="P294" s="111">
        <v>72174.72504934232</v>
      </c>
      <c r="Q294" s="254">
        <v>33725.708538317755</v>
      </c>
      <c r="R294" s="258">
        <v>95252.076781597993</v>
      </c>
      <c r="S294" s="259">
        <v>105900.43358766008</v>
      </c>
      <c r="U294" s="7" t="s">
        <v>4811</v>
      </c>
    </row>
    <row r="295" spans="1:21" ht="16.5" thickBot="1">
      <c r="A295" s="1188" t="s">
        <v>4533</v>
      </c>
      <c r="B295" s="1192">
        <f t="shared" si="15"/>
        <v>90</v>
      </c>
      <c r="C295" s="1192" t="s">
        <v>3</v>
      </c>
      <c r="D295" s="1192">
        <f t="shared" si="16"/>
        <v>400</v>
      </c>
      <c r="E295" s="1192" t="s">
        <v>3</v>
      </c>
      <c r="F295" s="1190">
        <f t="shared" si="17"/>
        <v>2150</v>
      </c>
      <c r="G295" s="1192" t="s">
        <v>3</v>
      </c>
      <c r="H295" s="1189">
        <v>4</v>
      </c>
      <c r="I295" s="1191" t="s">
        <v>40</v>
      </c>
      <c r="J295" s="149">
        <v>90</v>
      </c>
      <c r="K295" s="66">
        <v>400</v>
      </c>
      <c r="L295" s="66">
        <v>2150</v>
      </c>
      <c r="M295" s="150">
        <v>35.996005184115432</v>
      </c>
      <c r="N295" s="78">
        <v>1756.0768395743999</v>
      </c>
      <c r="O295" s="110">
        <v>62727.102480711721</v>
      </c>
      <c r="P295" s="111">
        <v>73591.725658799041</v>
      </c>
      <c r="Q295" s="254">
        <v>34382.315641076493</v>
      </c>
      <c r="R295" s="258">
        <v>97109.418121788214</v>
      </c>
      <c r="S295" s="259">
        <v>107974.04129987553</v>
      </c>
      <c r="U295" s="7" t="s">
        <v>4812</v>
      </c>
    </row>
    <row r="296" spans="1:21" ht="16.5" thickBot="1">
      <c r="A296" s="1188" t="s">
        <v>4533</v>
      </c>
      <c r="B296" s="1192">
        <f t="shared" si="15"/>
        <v>90</v>
      </c>
      <c r="C296" s="1192" t="s">
        <v>3</v>
      </c>
      <c r="D296" s="1192">
        <f t="shared" si="16"/>
        <v>400</v>
      </c>
      <c r="E296" s="1192" t="s">
        <v>3</v>
      </c>
      <c r="F296" s="1190">
        <f t="shared" si="17"/>
        <v>2200</v>
      </c>
      <c r="G296" s="1192" t="s">
        <v>3</v>
      </c>
      <c r="H296" s="1189">
        <v>4</v>
      </c>
      <c r="I296" s="1191" t="s">
        <v>40</v>
      </c>
      <c r="J296" s="149">
        <v>90</v>
      </c>
      <c r="K296" s="66">
        <v>400</v>
      </c>
      <c r="L296" s="66">
        <v>2200</v>
      </c>
      <c r="M296" s="150">
        <v>36.782532606217863</v>
      </c>
      <c r="N296" s="78">
        <v>1804.8567517847998</v>
      </c>
      <c r="O296" s="110">
        <v>63927.836871171952</v>
      </c>
      <c r="P296" s="111">
        <v>75008.726268255778</v>
      </c>
      <c r="Q296" s="254">
        <v>35290.256728590233</v>
      </c>
      <c r="R296" s="258">
        <v>99218.093599762185</v>
      </c>
      <c r="S296" s="259">
        <v>110298.98299684601</v>
      </c>
      <c r="U296" s="7" t="s">
        <v>4813</v>
      </c>
    </row>
    <row r="297" spans="1:21" ht="16.5" thickBot="1">
      <c r="A297" s="1188" t="s">
        <v>4533</v>
      </c>
      <c r="B297" s="1192">
        <f t="shared" si="15"/>
        <v>90</v>
      </c>
      <c r="C297" s="1192" t="s">
        <v>3</v>
      </c>
      <c r="D297" s="1192">
        <f t="shared" si="16"/>
        <v>400</v>
      </c>
      <c r="E297" s="1192" t="s">
        <v>3</v>
      </c>
      <c r="F297" s="1190">
        <f t="shared" si="17"/>
        <v>2250</v>
      </c>
      <c r="G297" s="1192" t="s">
        <v>3</v>
      </c>
      <c r="H297" s="1189">
        <v>4</v>
      </c>
      <c r="I297" s="1191" t="s">
        <v>40</v>
      </c>
      <c r="J297" s="149">
        <v>90</v>
      </c>
      <c r="K297" s="66">
        <v>400</v>
      </c>
      <c r="L297" s="66">
        <v>2250</v>
      </c>
      <c r="M297" s="150">
        <v>37.569060028320294</v>
      </c>
      <c r="N297" s="78">
        <v>1853.6366639951996</v>
      </c>
      <c r="O297" s="110">
        <v>65128.571108603435</v>
      </c>
      <c r="P297" s="111">
        <v>76425.726877712499</v>
      </c>
      <c r="Q297" s="254">
        <v>35946.863831348819</v>
      </c>
      <c r="R297" s="258">
        <v>101075.43493995225</v>
      </c>
      <c r="S297" s="259">
        <v>112372.59070906132</v>
      </c>
      <c r="U297" s="7" t="s">
        <v>4814</v>
      </c>
    </row>
    <row r="298" spans="1:21" ht="16.5" thickBot="1">
      <c r="A298" s="1188" t="s">
        <v>4533</v>
      </c>
      <c r="B298" s="1192">
        <f t="shared" si="15"/>
        <v>90</v>
      </c>
      <c r="C298" s="1192" t="s">
        <v>3</v>
      </c>
      <c r="D298" s="1192">
        <f t="shared" si="16"/>
        <v>400</v>
      </c>
      <c r="E298" s="1192" t="s">
        <v>3</v>
      </c>
      <c r="F298" s="1190">
        <f t="shared" si="17"/>
        <v>2300</v>
      </c>
      <c r="G298" s="1192" t="s">
        <v>3</v>
      </c>
      <c r="H298" s="1189">
        <v>4</v>
      </c>
      <c r="I298" s="1191" t="s">
        <v>40</v>
      </c>
      <c r="J298" s="149">
        <v>90</v>
      </c>
      <c r="K298" s="66">
        <v>400</v>
      </c>
      <c r="L298" s="66">
        <v>2300</v>
      </c>
      <c r="M298" s="150">
        <v>38.355587450422732</v>
      </c>
      <c r="N298" s="78">
        <v>1902.4165762055998</v>
      </c>
      <c r="O298" s="110">
        <v>66329.305499063659</v>
      </c>
      <c r="P298" s="111">
        <v>77842.727487169221</v>
      </c>
      <c r="Q298" s="254">
        <v>36603.470781078948</v>
      </c>
      <c r="R298" s="258">
        <v>102932.7762801426</v>
      </c>
      <c r="S298" s="259">
        <v>114446.19826824818</v>
      </c>
      <c r="U298" s="7" t="s">
        <v>4815</v>
      </c>
    </row>
    <row r="299" spans="1:21" ht="16.5" thickBot="1">
      <c r="A299" s="1188" t="s">
        <v>4533</v>
      </c>
      <c r="B299" s="1192">
        <f t="shared" si="15"/>
        <v>90</v>
      </c>
      <c r="C299" s="1192" t="s">
        <v>3</v>
      </c>
      <c r="D299" s="1192">
        <f t="shared" si="16"/>
        <v>400</v>
      </c>
      <c r="E299" s="1192" t="s">
        <v>3</v>
      </c>
      <c r="F299" s="1190">
        <f t="shared" si="17"/>
        <v>2350</v>
      </c>
      <c r="G299" s="1192" t="s">
        <v>3</v>
      </c>
      <c r="H299" s="1189">
        <v>4</v>
      </c>
      <c r="I299" s="1191" t="s">
        <v>40</v>
      </c>
      <c r="J299" s="149">
        <v>90</v>
      </c>
      <c r="K299" s="66">
        <v>400</v>
      </c>
      <c r="L299" s="66">
        <v>2350</v>
      </c>
      <c r="M299" s="150">
        <v>39.14211487252517</v>
      </c>
      <c r="N299" s="78">
        <v>1951.1964884159997</v>
      </c>
      <c r="O299" s="110">
        <v>67530.039736495135</v>
      </c>
      <c r="P299" s="111">
        <v>79259.728096625957</v>
      </c>
      <c r="Q299" s="254">
        <v>37511.412021621458</v>
      </c>
      <c r="R299" s="258">
        <v>105041.4517581166</v>
      </c>
      <c r="S299" s="259">
        <v>116771.14011824742</v>
      </c>
      <c r="U299" s="7" t="s">
        <v>4816</v>
      </c>
    </row>
    <row r="300" spans="1:21" ht="16.5" thickBot="1">
      <c r="A300" s="1188" t="s">
        <v>4533</v>
      </c>
      <c r="B300" s="1192">
        <f t="shared" si="15"/>
        <v>90</v>
      </c>
      <c r="C300" s="1192" t="s">
        <v>3</v>
      </c>
      <c r="D300" s="1192">
        <f t="shared" si="16"/>
        <v>400</v>
      </c>
      <c r="E300" s="1192" t="s">
        <v>3</v>
      </c>
      <c r="F300" s="1190">
        <f t="shared" si="17"/>
        <v>2400</v>
      </c>
      <c r="G300" s="1192" t="s">
        <v>3</v>
      </c>
      <c r="H300" s="1189">
        <v>4</v>
      </c>
      <c r="I300" s="1191" t="s">
        <v>40</v>
      </c>
      <c r="J300" s="149">
        <v>90</v>
      </c>
      <c r="K300" s="66">
        <v>400</v>
      </c>
      <c r="L300" s="66">
        <v>2400</v>
      </c>
      <c r="M300" s="150">
        <v>39.928642294627593</v>
      </c>
      <c r="N300" s="78">
        <v>1999.9764006263995</v>
      </c>
      <c r="O300" s="110">
        <v>68730.774126955381</v>
      </c>
      <c r="P300" s="111">
        <v>80676.728706082693</v>
      </c>
      <c r="Q300" s="254">
        <v>38168.019124380196</v>
      </c>
      <c r="R300" s="258">
        <v>106898.79325133558</v>
      </c>
      <c r="S300" s="259">
        <v>118844.74783046289</v>
      </c>
      <c r="U300" s="7" t="s">
        <v>4817</v>
      </c>
    </row>
    <row r="301" spans="1:21" ht="16.5" thickBot="1">
      <c r="A301" s="1188" t="s">
        <v>4533</v>
      </c>
      <c r="B301" s="1192">
        <f t="shared" si="15"/>
        <v>90</v>
      </c>
      <c r="C301" s="1192" t="s">
        <v>3</v>
      </c>
      <c r="D301" s="1192">
        <f t="shared" si="16"/>
        <v>400</v>
      </c>
      <c r="E301" s="1192" t="s">
        <v>3</v>
      </c>
      <c r="F301" s="1190">
        <f t="shared" si="17"/>
        <v>2450</v>
      </c>
      <c r="G301" s="1192" t="s">
        <v>3</v>
      </c>
      <c r="H301" s="1189">
        <v>4</v>
      </c>
      <c r="I301" s="1191" t="s">
        <v>40</v>
      </c>
      <c r="J301" s="149">
        <v>90</v>
      </c>
      <c r="K301" s="66">
        <v>400</v>
      </c>
      <c r="L301" s="66">
        <v>2450</v>
      </c>
      <c r="M301" s="150">
        <v>40.715169716730031</v>
      </c>
      <c r="N301" s="78">
        <v>2048.7563128367997</v>
      </c>
      <c r="O301" s="110">
        <v>69931.508364386842</v>
      </c>
      <c r="P301" s="111">
        <v>82093.729315539415</v>
      </c>
      <c r="Q301" s="254">
        <v>39075.960211893937</v>
      </c>
      <c r="R301" s="258">
        <v>109007.46857628078</v>
      </c>
      <c r="S301" s="259">
        <v>121169.68952743335</v>
      </c>
      <c r="U301" s="7" t="s">
        <v>4818</v>
      </c>
    </row>
    <row r="302" spans="1:21" ht="16.5" thickBot="1">
      <c r="A302" s="1188" t="s">
        <v>4533</v>
      </c>
      <c r="B302" s="1192">
        <f t="shared" si="15"/>
        <v>90</v>
      </c>
      <c r="C302" s="1192" t="s">
        <v>3</v>
      </c>
      <c r="D302" s="1192">
        <f t="shared" si="16"/>
        <v>400</v>
      </c>
      <c r="E302" s="1192" t="s">
        <v>3</v>
      </c>
      <c r="F302" s="1190">
        <f t="shared" si="17"/>
        <v>2500</v>
      </c>
      <c r="G302" s="1192" t="s">
        <v>3</v>
      </c>
      <c r="H302" s="1189">
        <v>4</v>
      </c>
      <c r="I302" s="1191" t="s">
        <v>40</v>
      </c>
      <c r="J302" s="149">
        <v>90</v>
      </c>
      <c r="K302" s="66">
        <v>400</v>
      </c>
      <c r="L302" s="66">
        <v>2500</v>
      </c>
      <c r="M302" s="150">
        <v>41.900239938832463</v>
      </c>
      <c r="N302" s="78">
        <v>2097.5362250471994</v>
      </c>
      <c r="O302" s="110">
        <v>71965.845069752104</v>
      </c>
      <c r="P302" s="111">
        <v>84574.678329519273</v>
      </c>
      <c r="Q302" s="254">
        <v>39732.567314652675</v>
      </c>
      <c r="R302" s="258">
        <v>111698.41238440477</v>
      </c>
      <c r="S302" s="259">
        <v>124307.24564417196</v>
      </c>
      <c r="U302" s="7" t="s">
        <v>4819</v>
      </c>
    </row>
    <row r="303" spans="1:21" ht="16.5" thickBot="1">
      <c r="A303" s="1188" t="s">
        <v>4533</v>
      </c>
      <c r="B303" s="1192">
        <f t="shared" si="15"/>
        <v>90</v>
      </c>
      <c r="C303" s="1192" t="s">
        <v>3</v>
      </c>
      <c r="D303" s="1192">
        <f t="shared" si="16"/>
        <v>400</v>
      </c>
      <c r="E303" s="1192" t="s">
        <v>3</v>
      </c>
      <c r="F303" s="1190">
        <f t="shared" si="17"/>
        <v>2550</v>
      </c>
      <c r="G303" s="1192" t="s">
        <v>3</v>
      </c>
      <c r="H303" s="1189">
        <v>4</v>
      </c>
      <c r="I303" s="1191" t="s">
        <v>40</v>
      </c>
      <c r="J303" s="149">
        <v>90</v>
      </c>
      <c r="K303" s="66">
        <v>400</v>
      </c>
      <c r="L303" s="66">
        <v>2550</v>
      </c>
      <c r="M303" s="150">
        <v>42.686767360934915</v>
      </c>
      <c r="N303" s="78">
        <v>2146.3161372576001</v>
      </c>
      <c r="O303" s="110">
        <v>73563.973127099802</v>
      </c>
      <c r="P303" s="111">
        <v>86006.9818154885</v>
      </c>
      <c r="Q303" s="254">
        <v>40640.508402166415</v>
      </c>
      <c r="R303" s="258">
        <v>114204.48152926622</v>
      </c>
      <c r="S303" s="259">
        <v>126647.49021765491</v>
      </c>
      <c r="U303" s="7" t="s">
        <v>4820</v>
      </c>
    </row>
    <row r="304" spans="1:21" ht="16.5" thickBot="1">
      <c r="A304" s="1188" t="s">
        <v>4533</v>
      </c>
      <c r="B304" s="1189">
        <f t="shared" si="15"/>
        <v>90</v>
      </c>
      <c r="C304" s="1189" t="s">
        <v>3</v>
      </c>
      <c r="D304" s="1189">
        <f t="shared" si="16"/>
        <v>400</v>
      </c>
      <c r="E304" s="1189" t="s">
        <v>3</v>
      </c>
      <c r="F304" s="1190">
        <f t="shared" si="17"/>
        <v>2600</v>
      </c>
      <c r="G304" s="1189" t="s">
        <v>3</v>
      </c>
      <c r="H304" s="1189">
        <v>4</v>
      </c>
      <c r="I304" s="1191" t="s">
        <v>40</v>
      </c>
      <c r="J304" s="149">
        <v>90</v>
      </c>
      <c r="K304" s="66">
        <v>400</v>
      </c>
      <c r="L304" s="66">
        <v>2600</v>
      </c>
      <c r="M304" s="150">
        <v>43.473294783037339</v>
      </c>
      <c r="N304" s="78">
        <v>2195.0960494679998</v>
      </c>
      <c r="O304" s="110">
        <v>74764.707364531278</v>
      </c>
      <c r="P304" s="111">
        <v>87423.982271916466</v>
      </c>
      <c r="Q304" s="254">
        <v>41297.115504925154</v>
      </c>
      <c r="R304" s="258">
        <v>116061.82286945643</v>
      </c>
      <c r="S304" s="259">
        <v>128721.09777684162</v>
      </c>
      <c r="U304" s="7" t="s">
        <v>4821</v>
      </c>
    </row>
    <row r="305" spans="1:21" ht="16.5" thickBot="1">
      <c r="A305" s="1188" t="s">
        <v>4533</v>
      </c>
      <c r="B305" s="1192">
        <f t="shared" si="15"/>
        <v>90</v>
      </c>
      <c r="C305" s="1192" t="s">
        <v>3</v>
      </c>
      <c r="D305" s="1192">
        <f t="shared" si="16"/>
        <v>400</v>
      </c>
      <c r="E305" s="1192" t="s">
        <v>3</v>
      </c>
      <c r="F305" s="1190">
        <f t="shared" si="17"/>
        <v>2650</v>
      </c>
      <c r="G305" s="1192" t="s">
        <v>3</v>
      </c>
      <c r="H305" s="1189">
        <v>4</v>
      </c>
      <c r="I305" s="1191" t="s">
        <v>40</v>
      </c>
      <c r="J305" s="149">
        <v>90</v>
      </c>
      <c r="K305" s="66">
        <v>400</v>
      </c>
      <c r="L305" s="66">
        <v>2650</v>
      </c>
      <c r="M305" s="150">
        <v>44.25982220513977</v>
      </c>
      <c r="N305" s="78">
        <v>2243.8759616783996</v>
      </c>
      <c r="O305" s="110">
        <v>75965.441754991509</v>
      </c>
      <c r="P305" s="111">
        <v>88840.982881373187</v>
      </c>
      <c r="Q305" s="254">
        <v>42205.056592438901</v>
      </c>
      <c r="R305" s="258">
        <v>118170.4983474304</v>
      </c>
      <c r="S305" s="259">
        <v>131046.0394738121</v>
      </c>
      <c r="U305" s="7" t="s">
        <v>4822</v>
      </c>
    </row>
    <row r="306" spans="1:21" ht="16.5" thickBot="1">
      <c r="A306" s="1188" t="s">
        <v>4533</v>
      </c>
      <c r="B306" s="1192">
        <f t="shared" si="15"/>
        <v>90</v>
      </c>
      <c r="C306" s="1192" t="s">
        <v>3</v>
      </c>
      <c r="D306" s="1192">
        <f t="shared" si="16"/>
        <v>400</v>
      </c>
      <c r="E306" s="1192" t="s">
        <v>3</v>
      </c>
      <c r="F306" s="1190">
        <f t="shared" si="17"/>
        <v>2700</v>
      </c>
      <c r="G306" s="1192" t="s">
        <v>3</v>
      </c>
      <c r="H306" s="1189">
        <v>4</v>
      </c>
      <c r="I306" s="1191" t="s">
        <v>40</v>
      </c>
      <c r="J306" s="149">
        <v>90</v>
      </c>
      <c r="K306" s="66">
        <v>400</v>
      </c>
      <c r="L306" s="66">
        <v>2700</v>
      </c>
      <c r="M306" s="150">
        <v>45.046349627242208</v>
      </c>
      <c r="N306" s="78">
        <v>2292.6558738887998</v>
      </c>
      <c r="O306" s="110">
        <v>77166.17599242297</v>
      </c>
      <c r="P306" s="111">
        <v>90257.983490829924</v>
      </c>
      <c r="Q306" s="254">
        <v>42861.66369519764</v>
      </c>
      <c r="R306" s="258">
        <v>120027.83968762061</v>
      </c>
      <c r="S306" s="259">
        <v>133119.64718602755</v>
      </c>
      <c r="U306" s="7" t="s">
        <v>4823</v>
      </c>
    </row>
    <row r="307" spans="1:21" ht="16.5" thickBot="1">
      <c r="A307" s="1188" t="s">
        <v>4533</v>
      </c>
      <c r="B307" s="1192">
        <f t="shared" si="15"/>
        <v>90</v>
      </c>
      <c r="C307" s="1192" t="s">
        <v>3</v>
      </c>
      <c r="D307" s="1192">
        <f t="shared" si="16"/>
        <v>400</v>
      </c>
      <c r="E307" s="1192" t="s">
        <v>3</v>
      </c>
      <c r="F307" s="1190">
        <f t="shared" si="17"/>
        <v>2750</v>
      </c>
      <c r="G307" s="1192" t="s">
        <v>3</v>
      </c>
      <c r="H307" s="1189">
        <v>4</v>
      </c>
      <c r="I307" s="1191" t="s">
        <v>40</v>
      </c>
      <c r="J307" s="149">
        <v>90</v>
      </c>
      <c r="K307" s="66">
        <v>400</v>
      </c>
      <c r="L307" s="66">
        <v>2750</v>
      </c>
      <c r="M307" s="150">
        <v>45.832877049344638</v>
      </c>
      <c r="N307" s="78">
        <v>2341.4357860991995</v>
      </c>
      <c r="O307" s="110">
        <v>78366.910382883216</v>
      </c>
      <c r="P307" s="111">
        <v>91674.984100286645</v>
      </c>
      <c r="Q307" s="254">
        <v>43518.270644927608</v>
      </c>
      <c r="R307" s="258">
        <v>121885.18102781082</v>
      </c>
      <c r="S307" s="259">
        <v>135193.25474521425</v>
      </c>
      <c r="U307" s="7" t="s">
        <v>4824</v>
      </c>
    </row>
    <row r="308" spans="1:21" ht="16.5" thickBot="1">
      <c r="A308" s="1188" t="s">
        <v>4533</v>
      </c>
      <c r="B308" s="1192">
        <f t="shared" si="15"/>
        <v>90</v>
      </c>
      <c r="C308" s="1192" t="s">
        <v>3</v>
      </c>
      <c r="D308" s="1192">
        <f t="shared" si="16"/>
        <v>400</v>
      </c>
      <c r="E308" s="1192" t="s">
        <v>3</v>
      </c>
      <c r="F308" s="1190">
        <f t="shared" si="17"/>
        <v>2800</v>
      </c>
      <c r="G308" s="1192" t="s">
        <v>3</v>
      </c>
      <c r="H308" s="1189">
        <v>4</v>
      </c>
      <c r="I308" s="1191" t="s">
        <v>40</v>
      </c>
      <c r="J308" s="149">
        <v>90</v>
      </c>
      <c r="K308" s="66">
        <v>400</v>
      </c>
      <c r="L308" s="66">
        <v>2800</v>
      </c>
      <c r="M308" s="150">
        <v>46.619404471447083</v>
      </c>
      <c r="N308" s="78">
        <v>2390.2156983095997</v>
      </c>
      <c r="O308" s="110">
        <v>79567.644620314692</v>
      </c>
      <c r="P308" s="111">
        <v>93091.984709743381</v>
      </c>
      <c r="Q308" s="254">
        <v>44426.211885470118</v>
      </c>
      <c r="R308" s="258">
        <v>123993.85650578482</v>
      </c>
      <c r="S308" s="259">
        <v>137518.19659521349</v>
      </c>
      <c r="U308" s="7" t="s">
        <v>4825</v>
      </c>
    </row>
    <row r="309" spans="1:21" ht="16.5" thickBot="1">
      <c r="A309" s="1188" t="s">
        <v>4533</v>
      </c>
      <c r="B309" s="1192">
        <f t="shared" si="15"/>
        <v>90</v>
      </c>
      <c r="C309" s="1192" t="s">
        <v>3</v>
      </c>
      <c r="D309" s="1192">
        <f t="shared" si="16"/>
        <v>400</v>
      </c>
      <c r="E309" s="1192" t="s">
        <v>3</v>
      </c>
      <c r="F309" s="1190">
        <f t="shared" si="17"/>
        <v>2850</v>
      </c>
      <c r="G309" s="1192" t="s">
        <v>3</v>
      </c>
      <c r="H309" s="1189">
        <v>4</v>
      </c>
      <c r="I309" s="1191" t="s">
        <v>40</v>
      </c>
      <c r="J309" s="149">
        <v>90</v>
      </c>
      <c r="K309" s="66">
        <v>400</v>
      </c>
      <c r="L309" s="66">
        <v>2850</v>
      </c>
      <c r="M309" s="150">
        <v>47.405931893549507</v>
      </c>
      <c r="N309" s="78">
        <v>2438.9956105199999</v>
      </c>
      <c r="O309" s="110">
        <v>80768.379010774937</v>
      </c>
      <c r="P309" s="111">
        <v>94508.985319200103</v>
      </c>
      <c r="Q309" s="254">
        <v>45082.818835200087</v>
      </c>
      <c r="R309" s="258">
        <v>125851.19784597502</v>
      </c>
      <c r="S309" s="259">
        <v>139591.80415440019</v>
      </c>
      <c r="U309" s="7" t="s">
        <v>4826</v>
      </c>
    </row>
    <row r="310" spans="1:21" ht="16.5" thickBot="1">
      <c r="A310" s="1188" t="s">
        <v>4533</v>
      </c>
      <c r="B310" s="1192">
        <f t="shared" si="15"/>
        <v>90</v>
      </c>
      <c r="C310" s="1192" t="s">
        <v>3</v>
      </c>
      <c r="D310" s="1192">
        <f t="shared" si="16"/>
        <v>400</v>
      </c>
      <c r="E310" s="1192" t="s">
        <v>3</v>
      </c>
      <c r="F310" s="1190">
        <f t="shared" si="17"/>
        <v>2900</v>
      </c>
      <c r="G310" s="1192" t="s">
        <v>3</v>
      </c>
      <c r="H310" s="1189">
        <v>4</v>
      </c>
      <c r="I310" s="1191" t="s">
        <v>40</v>
      </c>
      <c r="J310" s="149">
        <v>90</v>
      </c>
      <c r="K310" s="66">
        <v>400</v>
      </c>
      <c r="L310" s="66">
        <v>2900</v>
      </c>
      <c r="M310" s="150">
        <v>48.192459315651938</v>
      </c>
      <c r="N310" s="78">
        <v>2487.7755227303996</v>
      </c>
      <c r="O310" s="110">
        <v>81969.113248206399</v>
      </c>
      <c r="P310" s="111">
        <v>95925.985928656824</v>
      </c>
      <c r="Q310" s="254">
        <v>45990.760075742597</v>
      </c>
      <c r="R310" s="258">
        <v>127959.873323949</v>
      </c>
      <c r="S310" s="259">
        <v>141916.74600439944</v>
      </c>
      <c r="U310" s="7" t="s">
        <v>4827</v>
      </c>
    </row>
    <row r="311" spans="1:21" ht="16.5" thickBot="1">
      <c r="A311" s="1188" t="s">
        <v>4533</v>
      </c>
      <c r="B311" s="1192">
        <f t="shared" si="15"/>
        <v>90</v>
      </c>
      <c r="C311" s="1192" t="s">
        <v>3</v>
      </c>
      <c r="D311" s="1192">
        <f t="shared" si="16"/>
        <v>400</v>
      </c>
      <c r="E311" s="1192" t="s">
        <v>3</v>
      </c>
      <c r="F311" s="1190">
        <f t="shared" si="17"/>
        <v>2950</v>
      </c>
      <c r="G311" s="1192" t="s">
        <v>3</v>
      </c>
      <c r="H311" s="1189">
        <v>4</v>
      </c>
      <c r="I311" s="1191" t="s">
        <v>40</v>
      </c>
      <c r="J311" s="149">
        <v>90</v>
      </c>
      <c r="K311" s="66">
        <v>400</v>
      </c>
      <c r="L311" s="66">
        <v>2950</v>
      </c>
      <c r="M311" s="150">
        <v>48.978986737754397</v>
      </c>
      <c r="N311" s="78">
        <v>2536.5554349407998</v>
      </c>
      <c r="O311" s="110">
        <v>83169.847638666644</v>
      </c>
      <c r="P311" s="111">
        <v>97342.986538113561</v>
      </c>
      <c r="Q311" s="254">
        <v>46647.367025472573</v>
      </c>
      <c r="R311" s="258">
        <v>129817.21466413922</v>
      </c>
      <c r="S311" s="259">
        <v>143990.35356358613</v>
      </c>
      <c r="U311" s="7" t="s">
        <v>4828</v>
      </c>
    </row>
    <row r="312" spans="1:21" ht="16.5" thickBot="1">
      <c r="A312" s="1188" t="s">
        <v>4533</v>
      </c>
      <c r="B312" s="1192">
        <f t="shared" si="15"/>
        <v>90</v>
      </c>
      <c r="C312" s="1192" t="s">
        <v>3</v>
      </c>
      <c r="D312" s="1192">
        <f t="shared" si="16"/>
        <v>400</v>
      </c>
      <c r="E312" s="1192" t="s">
        <v>3</v>
      </c>
      <c r="F312" s="1190">
        <f t="shared" si="17"/>
        <v>3000</v>
      </c>
      <c r="G312" s="1192" t="s">
        <v>3</v>
      </c>
      <c r="H312" s="1189">
        <v>4</v>
      </c>
      <c r="I312" s="1191" t="s">
        <v>40</v>
      </c>
      <c r="J312" s="151">
        <v>90</v>
      </c>
      <c r="K312" s="126">
        <v>400</v>
      </c>
      <c r="L312" s="126">
        <v>3000</v>
      </c>
      <c r="M312" s="152">
        <v>50.07765815985681</v>
      </c>
      <c r="N312" s="127">
        <v>2585.3353471511996</v>
      </c>
      <c r="O312" s="136">
        <v>84673.456408033511</v>
      </c>
      <c r="P312" s="135">
        <v>99062.861679505688</v>
      </c>
      <c r="Q312" s="255">
        <v>47555.308266015076</v>
      </c>
      <c r="R312" s="260">
        <v>132228.76467404858</v>
      </c>
      <c r="S312" s="261">
        <v>146618.16994552076</v>
      </c>
      <c r="U312" s="7" t="s">
        <v>4829</v>
      </c>
    </row>
  </sheetData>
  <mergeCells count="21">
    <mergeCell ref="A58:S58"/>
    <mergeCell ref="A4:I6"/>
    <mergeCell ref="J4:M5"/>
    <mergeCell ref="N4:N6"/>
    <mergeCell ref="O4:O5"/>
    <mergeCell ref="P4:P5"/>
    <mergeCell ref="Q4:Q5"/>
    <mergeCell ref="R4:R5"/>
    <mergeCell ref="S4:S5"/>
    <mergeCell ref="O6:S6"/>
    <mergeCell ref="A7:S7"/>
    <mergeCell ref="A8:S8"/>
    <mergeCell ref="A212:S212"/>
    <mergeCell ref="A262:S262"/>
    <mergeCell ref="A263:S263"/>
    <mergeCell ref="A59:S59"/>
    <mergeCell ref="A109:S109"/>
    <mergeCell ref="A110:S110"/>
    <mergeCell ref="A160:S160"/>
    <mergeCell ref="A161:S161"/>
    <mergeCell ref="A211:S211"/>
  </mergeCells>
  <hyperlinks>
    <hyperlink ref="A1:I1" location="Главная!A1" display="Вернуться на главную страницу" xr:uid="{41738A47-FE86-4302-A4FE-5543CE99A325}"/>
    <hyperlink ref="A2" location="'Калькулятор теплоотдач ВК'!R1C1" display="Вернуться Калькулятор теплоотдач ВК" xr:uid="{5A00FD0C-CAC8-4A23-BABD-C016BABEBC4B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4B495-DAAE-49CC-A654-72E877A806C3}">
  <sheetPr>
    <tabColor rgb="FFFF9900"/>
  </sheetPr>
  <dimension ref="A1:U312"/>
  <sheetViews>
    <sheetView zoomScale="70" zoomScaleNormal="70" workbookViewId="0">
      <pane ySplit="6" topLeftCell="A7" activePane="bottomLeft" state="frozen"/>
      <selection pane="bottomLeft" activeCell="Y8" sqref="Y8"/>
    </sheetView>
  </sheetViews>
  <sheetFormatPr defaultRowHeight="15"/>
  <cols>
    <col min="1" max="1" width="10" customWidth="1"/>
    <col min="2" max="2" width="6" customWidth="1"/>
    <col min="3" max="3" width="3" customWidth="1"/>
    <col min="4" max="4" width="6" customWidth="1"/>
    <col min="5" max="5" width="3" customWidth="1"/>
    <col min="6" max="6" width="7.7109375" customWidth="1"/>
    <col min="7" max="7" width="3" customWidth="1"/>
    <col min="8" max="8" width="6" customWidth="1"/>
    <col min="9" max="9" width="4.5703125" customWidth="1"/>
    <col min="10" max="12" width="11.28515625" customWidth="1"/>
    <col min="13" max="13" width="15.5703125" customWidth="1"/>
    <col min="14" max="14" width="19.140625" customWidth="1"/>
    <col min="15" max="16" width="27.7109375" customWidth="1"/>
    <col min="17" max="17" width="26.28515625" customWidth="1"/>
    <col min="18" max="19" width="27.7109375" customWidth="1"/>
    <col min="21" max="21" width="27.140625" customWidth="1"/>
  </cols>
  <sheetData>
    <row r="1" spans="1:21" ht="15.75">
      <c r="A1" s="1183" t="s">
        <v>9</v>
      </c>
      <c r="B1" s="1183"/>
      <c r="C1" s="1183"/>
      <c r="D1" s="1183"/>
      <c r="E1" s="1183"/>
      <c r="F1" s="88"/>
      <c r="G1" s="1183"/>
      <c r="H1" s="1183"/>
      <c r="I1" s="1183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ht="15.75">
      <c r="A2" s="895" t="s">
        <v>346</v>
      </c>
      <c r="B2" s="1183"/>
      <c r="C2" s="1183"/>
      <c r="D2" s="1183"/>
      <c r="E2" s="1183"/>
      <c r="F2" s="88"/>
      <c r="G2" s="1183"/>
      <c r="H2" s="1183"/>
      <c r="I2" s="1183"/>
      <c r="J2" s="7"/>
      <c r="K2" s="87"/>
      <c r="L2" s="87"/>
      <c r="M2" s="140"/>
      <c r="N2" s="7"/>
      <c r="O2" s="107"/>
      <c r="P2" s="107"/>
      <c r="Q2" s="107"/>
      <c r="R2" s="107"/>
      <c r="S2" s="107"/>
      <c r="U2" s="65"/>
    </row>
    <row r="3" spans="1:21" ht="16.5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ht="69.75" customHeight="1">
      <c r="A4" s="3053" t="s">
        <v>8</v>
      </c>
      <c r="B4" s="3054"/>
      <c r="C4" s="3054"/>
      <c r="D4" s="3054"/>
      <c r="E4" s="3054"/>
      <c r="F4" s="3054"/>
      <c r="G4" s="3054"/>
      <c r="H4" s="3054"/>
      <c r="I4" s="3055"/>
      <c r="J4" s="3062" t="s">
        <v>78</v>
      </c>
      <c r="K4" s="3063"/>
      <c r="L4" s="3063"/>
      <c r="M4" s="3064"/>
      <c r="N4" s="3068" t="s">
        <v>77</v>
      </c>
      <c r="O4" s="3071" t="s">
        <v>142</v>
      </c>
      <c r="P4" s="3008" t="s">
        <v>138</v>
      </c>
      <c r="Q4" s="3071" t="s">
        <v>143</v>
      </c>
      <c r="R4" s="3073" t="s">
        <v>420</v>
      </c>
      <c r="S4" s="2981" t="s">
        <v>421</v>
      </c>
    </row>
    <row r="5" spans="1:21" ht="69.75" customHeight="1" thickBot="1">
      <c r="A5" s="3056"/>
      <c r="B5" s="3057"/>
      <c r="C5" s="3057"/>
      <c r="D5" s="3057"/>
      <c r="E5" s="3057"/>
      <c r="F5" s="3057"/>
      <c r="G5" s="3057"/>
      <c r="H5" s="3057"/>
      <c r="I5" s="3058"/>
      <c r="J5" s="3065"/>
      <c r="K5" s="3066"/>
      <c r="L5" s="3066"/>
      <c r="M5" s="3067"/>
      <c r="N5" s="3069"/>
      <c r="O5" s="3072"/>
      <c r="P5" s="3009"/>
      <c r="Q5" s="3072"/>
      <c r="R5" s="3074"/>
      <c r="S5" s="2982"/>
    </row>
    <row r="6" spans="1:21" ht="61.5" customHeight="1" thickBot="1">
      <c r="A6" s="3059"/>
      <c r="B6" s="3060"/>
      <c r="C6" s="3060"/>
      <c r="D6" s="3060"/>
      <c r="E6" s="3060"/>
      <c r="F6" s="3060"/>
      <c r="G6" s="3060"/>
      <c r="H6" s="3060"/>
      <c r="I6" s="3061"/>
      <c r="J6" s="1185" t="s">
        <v>0</v>
      </c>
      <c r="K6" s="1200" t="s">
        <v>1</v>
      </c>
      <c r="L6" s="1200" t="s">
        <v>2</v>
      </c>
      <c r="M6" s="1201" t="s">
        <v>75</v>
      </c>
      <c r="N6" s="3070"/>
      <c r="O6" s="3075" t="s">
        <v>141</v>
      </c>
      <c r="P6" s="3076"/>
      <c r="Q6" s="3076"/>
      <c r="R6" s="3076"/>
      <c r="S6" s="3077"/>
    </row>
    <row r="7" spans="1:21" ht="21.75" thickBot="1">
      <c r="A7" s="2968" t="s">
        <v>473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ht="16.5" thickBot="1">
      <c r="A8" s="2974" t="s">
        <v>4532</v>
      </c>
      <c r="B8" s="2975"/>
      <c r="C8" s="2975"/>
      <c r="D8" s="2975"/>
      <c r="E8" s="2975"/>
      <c r="F8" s="2975"/>
      <c r="G8" s="2975"/>
      <c r="H8" s="2975"/>
      <c r="I8" s="2975"/>
      <c r="J8" s="2975"/>
      <c r="K8" s="2975"/>
      <c r="L8" s="2975"/>
      <c r="M8" s="2975"/>
      <c r="N8" s="2975"/>
      <c r="O8" s="2975"/>
      <c r="P8" s="2975"/>
      <c r="Q8" s="2975"/>
      <c r="R8" s="3022"/>
      <c r="S8" s="3023"/>
    </row>
    <row r="9" spans="1:21" ht="16.5" thickBot="1">
      <c r="A9" s="1188" t="s">
        <v>4533</v>
      </c>
      <c r="B9" s="1189">
        <f>J9</f>
        <v>110</v>
      </c>
      <c r="C9" s="1189" t="s">
        <v>3</v>
      </c>
      <c r="D9" s="1189">
        <f>K9</f>
        <v>200</v>
      </c>
      <c r="E9" s="1189" t="s">
        <v>3</v>
      </c>
      <c r="F9" s="1190">
        <f>L9</f>
        <v>600</v>
      </c>
      <c r="G9" s="1189" t="s">
        <v>3</v>
      </c>
      <c r="H9" s="1189">
        <v>2</v>
      </c>
      <c r="I9" s="1191" t="s">
        <v>40</v>
      </c>
      <c r="J9" s="146">
        <v>110</v>
      </c>
      <c r="K9" s="122">
        <v>200</v>
      </c>
      <c r="L9" s="122">
        <v>600</v>
      </c>
      <c r="M9" s="155">
        <v>6.6649578936805067</v>
      </c>
      <c r="N9" s="123">
        <v>151.24300797599997</v>
      </c>
      <c r="O9" s="124">
        <v>15007.480649345027</v>
      </c>
      <c r="P9" s="153">
        <v>18051.294558172121</v>
      </c>
      <c r="Q9" s="253">
        <v>7123.1890801891068</v>
      </c>
      <c r="R9" s="262">
        <v>22130.669729534133</v>
      </c>
      <c r="S9" s="257">
        <v>25174.483638361227</v>
      </c>
      <c r="U9" s="7" t="s">
        <v>4830</v>
      </c>
    </row>
    <row r="10" spans="1:21" ht="16.5" thickBot="1">
      <c r="A10" s="1188" t="s">
        <v>4533</v>
      </c>
      <c r="B10" s="1192">
        <f t="shared" ref="B10:B57" si="0">J10</f>
        <v>110</v>
      </c>
      <c r="C10" s="1192" t="s">
        <v>3</v>
      </c>
      <c r="D10" s="1192">
        <f t="shared" ref="D10:D57" si="1">K10</f>
        <v>200</v>
      </c>
      <c r="E10" s="1192" t="s">
        <v>3</v>
      </c>
      <c r="F10" s="1190">
        <f t="shared" ref="F10:F57" si="2">L10</f>
        <v>650</v>
      </c>
      <c r="G10" s="1192" t="s">
        <v>3</v>
      </c>
      <c r="H10" s="1189">
        <v>2</v>
      </c>
      <c r="I10" s="1191" t="s">
        <v>40</v>
      </c>
      <c r="J10" s="149">
        <v>110</v>
      </c>
      <c r="K10" s="66">
        <v>200</v>
      </c>
      <c r="L10" s="66">
        <v>650</v>
      </c>
      <c r="M10" s="156">
        <v>7.1460925284159345</v>
      </c>
      <c r="N10" s="78">
        <v>181.49160957119997</v>
      </c>
      <c r="O10" s="113">
        <v>15690.718123868348</v>
      </c>
      <c r="P10" s="109">
        <v>18891.138763377832</v>
      </c>
      <c r="Q10" s="254">
        <v>7513.8655494313916</v>
      </c>
      <c r="R10" s="263">
        <v>23204.583673299741</v>
      </c>
      <c r="S10" s="259">
        <v>26405.004312809222</v>
      </c>
      <c r="U10" s="7" t="s">
        <v>4831</v>
      </c>
    </row>
    <row r="11" spans="1:21" ht="16.5" thickBot="1">
      <c r="A11" s="1188" t="s">
        <v>4533</v>
      </c>
      <c r="B11" s="1192">
        <f t="shared" si="0"/>
        <v>110</v>
      </c>
      <c r="C11" s="1192" t="s">
        <v>3</v>
      </c>
      <c r="D11" s="1192">
        <f t="shared" si="1"/>
        <v>200</v>
      </c>
      <c r="E11" s="1192" t="s">
        <v>3</v>
      </c>
      <c r="F11" s="1190">
        <f t="shared" si="2"/>
        <v>700</v>
      </c>
      <c r="G11" s="1192" t="s">
        <v>3</v>
      </c>
      <c r="H11" s="1189">
        <v>2</v>
      </c>
      <c r="I11" s="1191" t="s">
        <v>40</v>
      </c>
      <c r="J11" s="149">
        <v>110</v>
      </c>
      <c r="K11" s="66">
        <v>200</v>
      </c>
      <c r="L11" s="66">
        <v>700</v>
      </c>
      <c r="M11" s="156">
        <v>7.6272271631513622</v>
      </c>
      <c r="N11" s="78">
        <v>211.74021116639994</v>
      </c>
      <c r="O11" s="113">
        <v>16373.955751420435</v>
      </c>
      <c r="P11" s="109">
        <v>19730.982968583539</v>
      </c>
      <c r="Q11" s="254">
        <v>8155.8760034286815</v>
      </c>
      <c r="R11" s="263">
        <v>24529.831754849118</v>
      </c>
      <c r="S11" s="259">
        <v>27886.858972012222</v>
      </c>
      <c r="U11" s="7" t="s">
        <v>4832</v>
      </c>
    </row>
    <row r="12" spans="1:21" ht="16.5" thickBot="1">
      <c r="A12" s="1188" t="s">
        <v>4533</v>
      </c>
      <c r="B12" s="1192">
        <f t="shared" si="0"/>
        <v>110</v>
      </c>
      <c r="C12" s="1192" t="s">
        <v>3</v>
      </c>
      <c r="D12" s="1192">
        <f t="shared" si="1"/>
        <v>200</v>
      </c>
      <c r="E12" s="1192" t="s">
        <v>3</v>
      </c>
      <c r="F12" s="1190">
        <f t="shared" si="2"/>
        <v>750</v>
      </c>
      <c r="G12" s="1192" t="s">
        <v>3</v>
      </c>
      <c r="H12" s="1189">
        <v>2</v>
      </c>
      <c r="I12" s="1191" t="s">
        <v>40</v>
      </c>
      <c r="J12" s="149">
        <v>110</v>
      </c>
      <c r="K12" s="66">
        <v>200</v>
      </c>
      <c r="L12" s="66">
        <v>750</v>
      </c>
      <c r="M12" s="156">
        <v>8.1083617978867899</v>
      </c>
      <c r="N12" s="78">
        <v>241.98881276159997</v>
      </c>
      <c r="O12" s="113">
        <v>17057.193225943753</v>
      </c>
      <c r="P12" s="109">
        <v>20570.827173789246</v>
      </c>
      <c r="Q12" s="254">
        <v>8546.5523196422018</v>
      </c>
      <c r="R12" s="263">
        <v>25603.745545585953</v>
      </c>
      <c r="S12" s="259">
        <v>29117.37949343145</v>
      </c>
      <c r="U12" s="7" t="s">
        <v>4833</v>
      </c>
    </row>
    <row r="13" spans="1:21" ht="16.5" thickBot="1">
      <c r="A13" s="1188" t="s">
        <v>4533</v>
      </c>
      <c r="B13" s="1192">
        <f t="shared" si="0"/>
        <v>110</v>
      </c>
      <c r="C13" s="1192" t="s">
        <v>3</v>
      </c>
      <c r="D13" s="1192">
        <f t="shared" si="1"/>
        <v>200</v>
      </c>
      <c r="E13" s="1192" t="s">
        <v>3</v>
      </c>
      <c r="F13" s="1190">
        <f t="shared" si="2"/>
        <v>800</v>
      </c>
      <c r="G13" s="1192" t="s">
        <v>3</v>
      </c>
      <c r="H13" s="1189">
        <v>2</v>
      </c>
      <c r="I13" s="1191" t="s">
        <v>40</v>
      </c>
      <c r="J13" s="149">
        <v>110</v>
      </c>
      <c r="K13" s="66">
        <v>200</v>
      </c>
      <c r="L13" s="66">
        <v>800</v>
      </c>
      <c r="M13" s="156">
        <v>8.5894964326222176</v>
      </c>
      <c r="N13" s="78">
        <v>272.23741435679995</v>
      </c>
      <c r="O13" s="113">
        <v>18130.281732550277</v>
      </c>
      <c r="P13" s="109">
        <v>21425.974255507455</v>
      </c>
      <c r="Q13" s="254">
        <v>8937.2286358557212</v>
      </c>
      <c r="R13" s="263">
        <v>27067.510368405998</v>
      </c>
      <c r="S13" s="259">
        <v>30363.202891363177</v>
      </c>
      <c r="U13" s="7" t="s">
        <v>4834</v>
      </c>
    </row>
    <row r="14" spans="1:21" ht="16.5" thickBot="1">
      <c r="A14" s="1188" t="s">
        <v>4533</v>
      </c>
      <c r="B14" s="1192">
        <f t="shared" si="0"/>
        <v>110</v>
      </c>
      <c r="C14" s="1192" t="s">
        <v>3</v>
      </c>
      <c r="D14" s="1192">
        <f t="shared" si="1"/>
        <v>200</v>
      </c>
      <c r="E14" s="1192" t="s">
        <v>3</v>
      </c>
      <c r="F14" s="1190">
        <f t="shared" si="2"/>
        <v>850</v>
      </c>
      <c r="G14" s="1192" t="s">
        <v>3</v>
      </c>
      <c r="H14" s="1189">
        <v>2</v>
      </c>
      <c r="I14" s="1191" t="s">
        <v>40</v>
      </c>
      <c r="J14" s="149">
        <v>110</v>
      </c>
      <c r="K14" s="66">
        <v>200</v>
      </c>
      <c r="L14" s="66">
        <v>850</v>
      </c>
      <c r="M14" s="156">
        <v>9.0706310673576436</v>
      </c>
      <c r="N14" s="78">
        <v>302.48601595199995</v>
      </c>
      <c r="O14" s="113">
        <v>18813.519207073597</v>
      </c>
      <c r="P14" s="109">
        <v>22265.818460713162</v>
      </c>
      <c r="Q14" s="254">
        <v>9579.239089853012</v>
      </c>
      <c r="R14" s="263">
        <v>28392.758296926608</v>
      </c>
      <c r="S14" s="259">
        <v>31845.057550566176</v>
      </c>
      <c r="U14" s="7" t="s">
        <v>4835</v>
      </c>
    </row>
    <row r="15" spans="1:21" ht="16.5" thickBot="1">
      <c r="A15" s="1188" t="s">
        <v>4533</v>
      </c>
      <c r="B15" s="1192">
        <f t="shared" si="0"/>
        <v>110</v>
      </c>
      <c r="C15" s="1192" t="s">
        <v>3</v>
      </c>
      <c r="D15" s="1192">
        <f t="shared" si="1"/>
        <v>200</v>
      </c>
      <c r="E15" s="1192" t="s">
        <v>3</v>
      </c>
      <c r="F15" s="1190">
        <f t="shared" si="2"/>
        <v>900</v>
      </c>
      <c r="G15" s="1192" t="s">
        <v>3</v>
      </c>
      <c r="H15" s="1189">
        <v>2</v>
      </c>
      <c r="I15" s="1191" t="s">
        <v>40</v>
      </c>
      <c r="J15" s="149">
        <v>110</v>
      </c>
      <c r="K15" s="66">
        <v>200</v>
      </c>
      <c r="L15" s="66">
        <v>900</v>
      </c>
      <c r="M15" s="156">
        <v>9.5517657020930749</v>
      </c>
      <c r="N15" s="78">
        <v>332.73461754719995</v>
      </c>
      <c r="O15" s="113">
        <v>19496.756834625685</v>
      </c>
      <c r="P15" s="109">
        <v>23105.662512890107</v>
      </c>
      <c r="Q15" s="254">
        <v>9969.915559095296</v>
      </c>
      <c r="R15" s="263">
        <v>29466.672393720983</v>
      </c>
      <c r="S15" s="259">
        <v>33075.578071985401</v>
      </c>
      <c r="U15" s="7" t="s">
        <v>4836</v>
      </c>
    </row>
    <row r="16" spans="1:21" ht="16.5" thickBot="1">
      <c r="A16" s="1188" t="s">
        <v>4533</v>
      </c>
      <c r="B16" s="1192">
        <f t="shared" si="0"/>
        <v>110</v>
      </c>
      <c r="C16" s="1192" t="s">
        <v>3</v>
      </c>
      <c r="D16" s="1192">
        <f t="shared" si="1"/>
        <v>200</v>
      </c>
      <c r="E16" s="1192" t="s">
        <v>3</v>
      </c>
      <c r="F16" s="1190">
        <f t="shared" si="2"/>
        <v>950</v>
      </c>
      <c r="G16" s="1192" t="s">
        <v>3</v>
      </c>
      <c r="H16" s="1189">
        <v>2</v>
      </c>
      <c r="I16" s="1191" t="s">
        <v>40</v>
      </c>
      <c r="J16" s="149">
        <v>110</v>
      </c>
      <c r="K16" s="66">
        <v>200</v>
      </c>
      <c r="L16" s="66">
        <v>950</v>
      </c>
      <c r="M16" s="156">
        <v>10.032900336828501</v>
      </c>
      <c r="N16" s="78">
        <v>362.98321914239995</v>
      </c>
      <c r="O16" s="113">
        <v>20179.994309149002</v>
      </c>
      <c r="P16" s="109">
        <v>23945.506718095814</v>
      </c>
      <c r="Q16" s="254">
        <v>10611.926013092587</v>
      </c>
      <c r="R16" s="263">
        <v>30791.920322241589</v>
      </c>
      <c r="S16" s="259">
        <v>34557.432731188397</v>
      </c>
      <c r="U16" s="7" t="s">
        <v>4837</v>
      </c>
    </row>
    <row r="17" spans="1:21" ht="16.5" thickBot="1">
      <c r="A17" s="1188" t="s">
        <v>4533</v>
      </c>
      <c r="B17" s="1192">
        <f t="shared" si="0"/>
        <v>110</v>
      </c>
      <c r="C17" s="1192" t="s">
        <v>3</v>
      </c>
      <c r="D17" s="1192">
        <f t="shared" si="1"/>
        <v>200</v>
      </c>
      <c r="E17" s="1192" t="s">
        <v>3</v>
      </c>
      <c r="F17" s="1190">
        <f t="shared" si="2"/>
        <v>1000</v>
      </c>
      <c r="G17" s="1192" t="s">
        <v>3</v>
      </c>
      <c r="H17" s="1189">
        <v>2</v>
      </c>
      <c r="I17" s="1191" t="s">
        <v>40</v>
      </c>
      <c r="J17" s="149">
        <v>110</v>
      </c>
      <c r="K17" s="66">
        <v>200</v>
      </c>
      <c r="L17" s="66">
        <v>1000</v>
      </c>
      <c r="M17" s="156">
        <v>10.592070971563928</v>
      </c>
      <c r="N17" s="78">
        <v>393.23182073759995</v>
      </c>
      <c r="O17" s="113">
        <v>20902.040031536788</v>
      </c>
      <c r="P17" s="109">
        <v>24824.159018137223</v>
      </c>
      <c r="Q17" s="254">
        <v>11002.602329306106</v>
      </c>
      <c r="R17" s="263">
        <v>31904.642360842896</v>
      </c>
      <c r="S17" s="259">
        <v>35826.761347443331</v>
      </c>
      <c r="U17" s="7" t="s">
        <v>4838</v>
      </c>
    </row>
    <row r="18" spans="1:21" ht="16.5" thickBot="1">
      <c r="A18" s="1188" t="s">
        <v>4533</v>
      </c>
      <c r="B18" s="1192">
        <f t="shared" si="0"/>
        <v>110</v>
      </c>
      <c r="C18" s="1192" t="s">
        <v>3</v>
      </c>
      <c r="D18" s="1192">
        <f t="shared" si="1"/>
        <v>200</v>
      </c>
      <c r="E18" s="1192" t="s">
        <v>3</v>
      </c>
      <c r="F18" s="1190">
        <f t="shared" si="2"/>
        <v>1050</v>
      </c>
      <c r="G18" s="1192" t="s">
        <v>3</v>
      </c>
      <c r="H18" s="1189">
        <v>2</v>
      </c>
      <c r="I18" s="1191" t="s">
        <v>40</v>
      </c>
      <c r="J18" s="149">
        <v>110</v>
      </c>
      <c r="K18" s="66">
        <v>200</v>
      </c>
      <c r="L18" s="66">
        <v>1050</v>
      </c>
      <c r="M18" s="156">
        <v>11.073205606299357</v>
      </c>
      <c r="N18" s="78">
        <v>423.48042233279989</v>
      </c>
      <c r="O18" s="113">
        <v>21585.277659088875</v>
      </c>
      <c r="P18" s="109">
        <v>25664.003223342934</v>
      </c>
      <c r="Q18" s="254">
        <v>11644.612783303395</v>
      </c>
      <c r="R18" s="263">
        <v>33229.890442392272</v>
      </c>
      <c r="S18" s="259">
        <v>37308.616006646327</v>
      </c>
      <c r="U18" s="7" t="s">
        <v>4839</v>
      </c>
    </row>
    <row r="19" spans="1:21" ht="16.5" thickBot="1">
      <c r="A19" s="1188" t="s">
        <v>4533</v>
      </c>
      <c r="B19" s="1189">
        <f t="shared" si="0"/>
        <v>110</v>
      </c>
      <c r="C19" s="1189" t="s">
        <v>3</v>
      </c>
      <c r="D19" s="1189">
        <f t="shared" si="1"/>
        <v>200</v>
      </c>
      <c r="E19" s="1189" t="s">
        <v>3</v>
      </c>
      <c r="F19" s="1190">
        <f t="shared" si="2"/>
        <v>1100</v>
      </c>
      <c r="G19" s="1189" t="s">
        <v>3</v>
      </c>
      <c r="H19" s="1189">
        <v>2</v>
      </c>
      <c r="I19" s="1191" t="s">
        <v>40</v>
      </c>
      <c r="J19" s="149">
        <v>110</v>
      </c>
      <c r="K19" s="66">
        <v>200</v>
      </c>
      <c r="L19" s="66">
        <v>1100</v>
      </c>
      <c r="M19" s="156">
        <v>11.554340241034783</v>
      </c>
      <c r="N19" s="78">
        <v>453.72902392799995</v>
      </c>
      <c r="O19" s="113">
        <v>22268.515133612196</v>
      </c>
      <c r="P19" s="109">
        <v>26503.847428548641</v>
      </c>
      <c r="Q19" s="254">
        <v>12035.289252545683</v>
      </c>
      <c r="R19" s="263">
        <v>34303.804386157877</v>
      </c>
      <c r="S19" s="259">
        <v>38539.136681094322</v>
      </c>
      <c r="U19" s="7" t="s">
        <v>4840</v>
      </c>
    </row>
    <row r="20" spans="1:21" ht="16.5" thickBot="1">
      <c r="A20" s="1188" t="s">
        <v>4533</v>
      </c>
      <c r="B20" s="1192">
        <f t="shared" si="0"/>
        <v>110</v>
      </c>
      <c r="C20" s="1192" t="s">
        <v>3</v>
      </c>
      <c r="D20" s="1192">
        <f t="shared" si="1"/>
        <v>200</v>
      </c>
      <c r="E20" s="1192" t="s">
        <v>3</v>
      </c>
      <c r="F20" s="1190">
        <f t="shared" si="2"/>
        <v>1150</v>
      </c>
      <c r="G20" s="1192" t="s">
        <v>3</v>
      </c>
      <c r="H20" s="1189">
        <v>2</v>
      </c>
      <c r="I20" s="1191" t="s">
        <v>40</v>
      </c>
      <c r="J20" s="149">
        <v>110</v>
      </c>
      <c r="K20" s="66">
        <v>200</v>
      </c>
      <c r="L20" s="66">
        <v>1150</v>
      </c>
      <c r="M20" s="156">
        <v>12.035474875770211</v>
      </c>
      <c r="N20" s="78">
        <v>483.97762552319995</v>
      </c>
      <c r="O20" s="113">
        <v>22951.752761164284</v>
      </c>
      <c r="P20" s="109">
        <v>27343.691633754352</v>
      </c>
      <c r="Q20" s="254">
        <v>12425.965568759202</v>
      </c>
      <c r="R20" s="263">
        <v>35377.718329923489</v>
      </c>
      <c r="S20" s="259">
        <v>39769.657202513554</v>
      </c>
      <c r="U20" s="7" t="s">
        <v>4841</v>
      </c>
    </row>
    <row r="21" spans="1:21" ht="16.5" thickBot="1">
      <c r="A21" s="1188" t="s">
        <v>4533</v>
      </c>
      <c r="B21" s="1192">
        <f t="shared" si="0"/>
        <v>110</v>
      </c>
      <c r="C21" s="1192" t="s">
        <v>3</v>
      </c>
      <c r="D21" s="1192">
        <f t="shared" si="1"/>
        <v>200</v>
      </c>
      <c r="E21" s="1192" t="s">
        <v>3</v>
      </c>
      <c r="F21" s="1190">
        <f t="shared" si="2"/>
        <v>1200</v>
      </c>
      <c r="G21" s="1192" t="s">
        <v>3</v>
      </c>
      <c r="H21" s="1189">
        <v>2</v>
      </c>
      <c r="I21" s="1191" t="s">
        <v>40</v>
      </c>
      <c r="J21" s="149">
        <v>110</v>
      </c>
      <c r="K21" s="66">
        <v>200</v>
      </c>
      <c r="L21" s="66">
        <v>1200</v>
      </c>
      <c r="M21" s="156">
        <v>12.516609510505642</v>
      </c>
      <c r="N21" s="78">
        <v>514.22622711839995</v>
      </c>
      <c r="O21" s="113">
        <v>23634.990235687601</v>
      </c>
      <c r="P21" s="109">
        <v>28183.535838960055</v>
      </c>
      <c r="Q21" s="254">
        <v>13067.976022756491</v>
      </c>
      <c r="R21" s="263">
        <v>36702.966258444096</v>
      </c>
      <c r="S21" s="259">
        <v>41251.511861716543</v>
      </c>
      <c r="U21" s="7" t="s">
        <v>4842</v>
      </c>
    </row>
    <row r="22" spans="1:21" ht="16.5" thickBot="1">
      <c r="A22" s="1188" t="s">
        <v>4533</v>
      </c>
      <c r="B22" s="1192">
        <f t="shared" si="0"/>
        <v>110</v>
      </c>
      <c r="C22" s="1192" t="s">
        <v>3</v>
      </c>
      <c r="D22" s="1192">
        <f t="shared" si="1"/>
        <v>200</v>
      </c>
      <c r="E22" s="1192" t="s">
        <v>3</v>
      </c>
      <c r="F22" s="1190">
        <f t="shared" si="2"/>
        <v>1250</v>
      </c>
      <c r="G22" s="1192" t="s">
        <v>3</v>
      </c>
      <c r="H22" s="1189">
        <v>2</v>
      </c>
      <c r="I22" s="1191" t="s">
        <v>40</v>
      </c>
      <c r="J22" s="149">
        <v>110</v>
      </c>
      <c r="K22" s="66">
        <v>200</v>
      </c>
      <c r="L22" s="66">
        <v>1250</v>
      </c>
      <c r="M22" s="156">
        <v>12.997744145241068</v>
      </c>
      <c r="N22" s="78">
        <v>544.47482871359989</v>
      </c>
      <c r="O22" s="113">
        <v>24318.227863239688</v>
      </c>
      <c r="P22" s="109">
        <v>29023.380044165766</v>
      </c>
      <c r="Q22" s="254">
        <v>13458.652338970012</v>
      </c>
      <c r="R22" s="263">
        <v>37776.880202209701</v>
      </c>
      <c r="S22" s="259">
        <v>42482.032383135782</v>
      </c>
      <c r="U22" s="7" t="s">
        <v>4843</v>
      </c>
    </row>
    <row r="23" spans="1:21" ht="16.5" thickBot="1">
      <c r="A23" s="1188" t="s">
        <v>4533</v>
      </c>
      <c r="B23" s="1192">
        <f t="shared" si="0"/>
        <v>110</v>
      </c>
      <c r="C23" s="1192" t="s">
        <v>3</v>
      </c>
      <c r="D23" s="1192">
        <f t="shared" si="1"/>
        <v>200</v>
      </c>
      <c r="E23" s="1192" t="s">
        <v>3</v>
      </c>
      <c r="F23" s="1190">
        <f t="shared" si="2"/>
        <v>1300</v>
      </c>
      <c r="G23" s="1192" t="s">
        <v>3</v>
      </c>
      <c r="H23" s="1189">
        <v>2</v>
      </c>
      <c r="I23" s="1191" t="s">
        <v>40</v>
      </c>
      <c r="J23" s="149">
        <v>110</v>
      </c>
      <c r="K23" s="66">
        <v>200</v>
      </c>
      <c r="L23" s="66">
        <v>1300</v>
      </c>
      <c r="M23" s="156">
        <v>13.478878779976498</v>
      </c>
      <c r="N23" s="78">
        <v>574.72343030879983</v>
      </c>
      <c r="O23" s="113">
        <v>25001.465337763009</v>
      </c>
      <c r="P23" s="109">
        <v>29863.224249371477</v>
      </c>
      <c r="Q23" s="254">
        <v>14100.662792967301</v>
      </c>
      <c r="R23" s="263">
        <v>39102.128130730314</v>
      </c>
      <c r="S23" s="259">
        <v>43963.887042338778</v>
      </c>
      <c r="U23" s="7" t="s">
        <v>4844</v>
      </c>
    </row>
    <row r="24" spans="1:21" ht="16.5" thickBot="1">
      <c r="A24" s="1188" t="s">
        <v>4533</v>
      </c>
      <c r="B24" s="1192">
        <f t="shared" si="0"/>
        <v>110</v>
      </c>
      <c r="C24" s="1192" t="s">
        <v>3</v>
      </c>
      <c r="D24" s="1192">
        <f t="shared" si="1"/>
        <v>200</v>
      </c>
      <c r="E24" s="1192" t="s">
        <v>3</v>
      </c>
      <c r="F24" s="1190">
        <f t="shared" si="2"/>
        <v>1350</v>
      </c>
      <c r="G24" s="1192" t="s">
        <v>3</v>
      </c>
      <c r="H24" s="1189">
        <v>2</v>
      </c>
      <c r="I24" s="1191" t="s">
        <v>40</v>
      </c>
      <c r="J24" s="149">
        <v>110</v>
      </c>
      <c r="K24" s="66">
        <v>200</v>
      </c>
      <c r="L24" s="66">
        <v>1350</v>
      </c>
      <c r="M24" s="156">
        <v>13.960013414711922</v>
      </c>
      <c r="N24" s="78">
        <v>604.97203190399989</v>
      </c>
      <c r="O24" s="113">
        <v>25684.702965315097</v>
      </c>
      <c r="P24" s="109">
        <v>30703.068454577184</v>
      </c>
      <c r="Q24" s="254">
        <v>14491.339262209587</v>
      </c>
      <c r="R24" s="263">
        <v>40176.042227524682</v>
      </c>
      <c r="S24" s="259">
        <v>45194.407716786773</v>
      </c>
      <c r="U24" s="7" t="s">
        <v>4845</v>
      </c>
    </row>
    <row r="25" spans="1:21" ht="16.5" thickBot="1">
      <c r="A25" s="1188" t="s">
        <v>4533</v>
      </c>
      <c r="B25" s="1192">
        <f t="shared" si="0"/>
        <v>110</v>
      </c>
      <c r="C25" s="1192" t="s">
        <v>3</v>
      </c>
      <c r="D25" s="1192">
        <f t="shared" si="1"/>
        <v>200</v>
      </c>
      <c r="E25" s="1192" t="s">
        <v>3</v>
      </c>
      <c r="F25" s="1190">
        <f t="shared" si="2"/>
        <v>1400</v>
      </c>
      <c r="G25" s="1192" t="s">
        <v>3</v>
      </c>
      <c r="H25" s="1189">
        <v>2</v>
      </c>
      <c r="I25" s="1191" t="s">
        <v>40</v>
      </c>
      <c r="J25" s="149">
        <v>110</v>
      </c>
      <c r="K25" s="66">
        <v>200</v>
      </c>
      <c r="L25" s="66">
        <v>1400</v>
      </c>
      <c r="M25" s="156">
        <v>14.441148049447349</v>
      </c>
      <c r="N25" s="78">
        <v>635.22063349919995</v>
      </c>
      <c r="O25" s="113">
        <v>26367.940592867184</v>
      </c>
      <c r="P25" s="109">
        <v>31542.912506754124</v>
      </c>
      <c r="Q25" s="254">
        <v>15133.349716206876</v>
      </c>
      <c r="R25" s="263">
        <v>41501.290309074058</v>
      </c>
      <c r="S25" s="259">
        <v>46676.262222960999</v>
      </c>
      <c r="U25" s="7" t="s">
        <v>4846</v>
      </c>
    </row>
    <row r="26" spans="1:21" ht="16.5" thickBot="1">
      <c r="A26" s="1188" t="s">
        <v>4533</v>
      </c>
      <c r="B26" s="1192">
        <f t="shared" si="0"/>
        <v>110</v>
      </c>
      <c r="C26" s="1192" t="s">
        <v>3</v>
      </c>
      <c r="D26" s="1192">
        <f t="shared" si="1"/>
        <v>200</v>
      </c>
      <c r="E26" s="1192" t="s">
        <v>3</v>
      </c>
      <c r="F26" s="1190">
        <f t="shared" si="2"/>
        <v>1450</v>
      </c>
      <c r="G26" s="1192" t="s">
        <v>3</v>
      </c>
      <c r="H26" s="1189">
        <v>2</v>
      </c>
      <c r="I26" s="1191" t="s">
        <v>40</v>
      </c>
      <c r="J26" s="149">
        <v>110</v>
      </c>
      <c r="K26" s="66">
        <v>200</v>
      </c>
      <c r="L26" s="66">
        <v>1450</v>
      </c>
      <c r="M26" s="156">
        <v>14.922282684182779</v>
      </c>
      <c r="N26" s="78">
        <v>665.46923509439989</v>
      </c>
      <c r="O26" s="113">
        <v>27051.178067390501</v>
      </c>
      <c r="P26" s="109">
        <v>32382.756711959835</v>
      </c>
      <c r="Q26" s="254">
        <v>15524.026032420395</v>
      </c>
      <c r="R26" s="263">
        <v>42575.204099810901</v>
      </c>
      <c r="S26" s="259">
        <v>47906.782744380231</v>
      </c>
      <c r="U26" s="7" t="s">
        <v>4847</v>
      </c>
    </row>
    <row r="27" spans="1:21" ht="16.5" thickBot="1">
      <c r="A27" s="1188" t="s">
        <v>4533</v>
      </c>
      <c r="B27" s="1192">
        <f t="shared" si="0"/>
        <v>110</v>
      </c>
      <c r="C27" s="1192" t="s">
        <v>3</v>
      </c>
      <c r="D27" s="1192">
        <f t="shared" si="1"/>
        <v>200</v>
      </c>
      <c r="E27" s="1192" t="s">
        <v>3</v>
      </c>
      <c r="F27" s="1190">
        <f t="shared" si="2"/>
        <v>1500</v>
      </c>
      <c r="G27" s="1192" t="s">
        <v>3</v>
      </c>
      <c r="H27" s="1189">
        <v>2</v>
      </c>
      <c r="I27" s="1191" t="s">
        <v>40</v>
      </c>
      <c r="J27" s="149">
        <v>110</v>
      </c>
      <c r="K27" s="66">
        <v>200</v>
      </c>
      <c r="L27" s="66">
        <v>1500</v>
      </c>
      <c r="M27" s="156">
        <v>15.632236118918208</v>
      </c>
      <c r="N27" s="78">
        <v>695.71783668959984</v>
      </c>
      <c r="O27" s="113">
        <v>28395.860649081991</v>
      </c>
      <c r="P27" s="109">
        <v>34027.288752957727</v>
      </c>
      <c r="Q27" s="254">
        <v>16166.036486417688</v>
      </c>
      <c r="R27" s="263">
        <v>44561.897135499676</v>
      </c>
      <c r="S27" s="259">
        <v>50193.325239375416</v>
      </c>
      <c r="U27" s="7" t="s">
        <v>4848</v>
      </c>
    </row>
    <row r="28" spans="1:21" ht="16.5" thickBot="1">
      <c r="A28" s="1188" t="s">
        <v>4533</v>
      </c>
      <c r="B28" s="1192">
        <f t="shared" si="0"/>
        <v>110</v>
      </c>
      <c r="C28" s="1192" t="s">
        <v>3</v>
      </c>
      <c r="D28" s="1192">
        <f t="shared" si="1"/>
        <v>200</v>
      </c>
      <c r="E28" s="1192" t="s">
        <v>3</v>
      </c>
      <c r="F28" s="1190">
        <f t="shared" si="2"/>
        <v>1550</v>
      </c>
      <c r="G28" s="1192" t="s">
        <v>3</v>
      </c>
      <c r="H28" s="1189">
        <v>2</v>
      </c>
      <c r="I28" s="1191" t="s">
        <v>40</v>
      </c>
      <c r="J28" s="149">
        <v>110</v>
      </c>
      <c r="K28" s="66">
        <v>200</v>
      </c>
      <c r="L28" s="66">
        <v>1550</v>
      </c>
      <c r="M28" s="156">
        <v>16.113370753653633</v>
      </c>
      <c r="N28" s="78">
        <v>725.96643828479989</v>
      </c>
      <c r="O28" s="113">
        <v>29079.098276634075</v>
      </c>
      <c r="P28" s="109">
        <v>34867.132958163435</v>
      </c>
      <c r="Q28" s="254">
        <v>16556.712955659972</v>
      </c>
      <c r="R28" s="263">
        <v>45635.811232294043</v>
      </c>
      <c r="S28" s="259">
        <v>51423.845913823403</v>
      </c>
      <c r="U28" s="7" t="s">
        <v>4849</v>
      </c>
    </row>
    <row r="29" spans="1:21" ht="16.5" thickBot="1">
      <c r="A29" s="1188" t="s">
        <v>4533</v>
      </c>
      <c r="B29" s="1189">
        <f t="shared" si="0"/>
        <v>110</v>
      </c>
      <c r="C29" s="1189" t="s">
        <v>3</v>
      </c>
      <c r="D29" s="1189">
        <f t="shared" si="1"/>
        <v>200</v>
      </c>
      <c r="E29" s="1189" t="s">
        <v>3</v>
      </c>
      <c r="F29" s="1190">
        <f t="shared" si="2"/>
        <v>1600</v>
      </c>
      <c r="G29" s="1189" t="s">
        <v>3</v>
      </c>
      <c r="H29" s="1189">
        <v>2</v>
      </c>
      <c r="I29" s="1191" t="s">
        <v>40</v>
      </c>
      <c r="J29" s="149">
        <v>110</v>
      </c>
      <c r="K29" s="66">
        <v>200</v>
      </c>
      <c r="L29" s="66">
        <v>1600</v>
      </c>
      <c r="M29" s="156">
        <v>16.594505388389063</v>
      </c>
      <c r="N29" s="78">
        <v>756.21503987999984</v>
      </c>
      <c r="O29" s="113">
        <v>29762.335751157396</v>
      </c>
      <c r="P29" s="109">
        <v>35706.977163369149</v>
      </c>
      <c r="Q29" s="254">
        <v>16947.389271873493</v>
      </c>
      <c r="R29" s="263">
        <v>46709.725023030885</v>
      </c>
      <c r="S29" s="259">
        <v>52654.366435242642</v>
      </c>
      <c r="U29" s="7" t="s">
        <v>4850</v>
      </c>
    </row>
    <row r="30" spans="1:21" ht="16.5" thickBot="1">
      <c r="A30" s="1188" t="s">
        <v>4533</v>
      </c>
      <c r="B30" s="1192">
        <f t="shared" si="0"/>
        <v>110</v>
      </c>
      <c r="C30" s="1192" t="s">
        <v>3</v>
      </c>
      <c r="D30" s="1192">
        <f t="shared" si="1"/>
        <v>200</v>
      </c>
      <c r="E30" s="1192" t="s">
        <v>3</v>
      </c>
      <c r="F30" s="1190">
        <f t="shared" si="2"/>
        <v>1650</v>
      </c>
      <c r="G30" s="1192" t="s">
        <v>3</v>
      </c>
      <c r="H30" s="1189">
        <v>2</v>
      </c>
      <c r="I30" s="1191" t="s">
        <v>40</v>
      </c>
      <c r="J30" s="149">
        <v>110</v>
      </c>
      <c r="K30" s="66">
        <v>200</v>
      </c>
      <c r="L30" s="66">
        <v>1650</v>
      </c>
      <c r="M30" s="156">
        <v>17.075640023124489</v>
      </c>
      <c r="N30" s="78">
        <v>786.46364147519989</v>
      </c>
      <c r="O30" s="113">
        <v>30445.57337870948</v>
      </c>
      <c r="P30" s="109">
        <v>36546.821368574856</v>
      </c>
      <c r="Q30" s="254">
        <v>17589.399725870782</v>
      </c>
      <c r="R30" s="263">
        <v>48034.973104580262</v>
      </c>
      <c r="S30" s="259">
        <v>54136.221094445638</v>
      </c>
      <c r="U30" s="7" t="s">
        <v>4851</v>
      </c>
    </row>
    <row r="31" spans="1:21" ht="16.5" thickBot="1">
      <c r="A31" s="1188" t="s">
        <v>4533</v>
      </c>
      <c r="B31" s="1192">
        <f t="shared" si="0"/>
        <v>110</v>
      </c>
      <c r="C31" s="1192" t="s">
        <v>3</v>
      </c>
      <c r="D31" s="1192">
        <f t="shared" si="1"/>
        <v>200</v>
      </c>
      <c r="E31" s="1192" t="s">
        <v>3</v>
      </c>
      <c r="F31" s="1190">
        <f t="shared" si="2"/>
        <v>1700</v>
      </c>
      <c r="G31" s="1192" t="s">
        <v>3</v>
      </c>
      <c r="H31" s="1189">
        <v>2</v>
      </c>
      <c r="I31" s="1191" t="s">
        <v>40</v>
      </c>
      <c r="J31" s="149">
        <v>110</v>
      </c>
      <c r="K31" s="66">
        <v>200</v>
      </c>
      <c r="L31" s="66">
        <v>1700</v>
      </c>
      <c r="M31" s="156">
        <v>17.556774657859918</v>
      </c>
      <c r="N31" s="78">
        <v>816.71224307039995</v>
      </c>
      <c r="O31" s="113">
        <v>31128.810853232801</v>
      </c>
      <c r="P31" s="109">
        <v>37386.665573780563</v>
      </c>
      <c r="Q31" s="254">
        <v>17980.076042084303</v>
      </c>
      <c r="R31" s="263">
        <v>49108.886895317104</v>
      </c>
      <c r="S31" s="259">
        <v>55366.74161586487</v>
      </c>
      <c r="U31" s="7" t="s">
        <v>4852</v>
      </c>
    </row>
    <row r="32" spans="1:21" ht="16.5" thickBot="1">
      <c r="A32" s="1188" t="s">
        <v>4533</v>
      </c>
      <c r="B32" s="1192">
        <f t="shared" si="0"/>
        <v>110</v>
      </c>
      <c r="C32" s="1192" t="s">
        <v>3</v>
      </c>
      <c r="D32" s="1192">
        <f t="shared" si="1"/>
        <v>200</v>
      </c>
      <c r="E32" s="1192" t="s">
        <v>3</v>
      </c>
      <c r="F32" s="1190">
        <f t="shared" si="2"/>
        <v>1750</v>
      </c>
      <c r="G32" s="1192" t="s">
        <v>3</v>
      </c>
      <c r="H32" s="1189">
        <v>2</v>
      </c>
      <c r="I32" s="1191" t="s">
        <v>40</v>
      </c>
      <c r="J32" s="149">
        <v>110</v>
      </c>
      <c r="K32" s="66">
        <v>200</v>
      </c>
      <c r="L32" s="66">
        <v>1750</v>
      </c>
      <c r="M32" s="156">
        <v>18.037909292595344</v>
      </c>
      <c r="N32" s="78">
        <v>846.96084466559978</v>
      </c>
      <c r="O32" s="113">
        <v>31812.048480784888</v>
      </c>
      <c r="P32" s="109">
        <v>38226.50977898627</v>
      </c>
      <c r="Q32" s="254">
        <v>18622.086496081592</v>
      </c>
      <c r="R32" s="263">
        <v>50434.13497686648</v>
      </c>
      <c r="S32" s="259">
        <v>56848.596275067859</v>
      </c>
      <c r="U32" s="7" t="s">
        <v>4853</v>
      </c>
    </row>
    <row r="33" spans="1:21" ht="16.5" thickBot="1">
      <c r="A33" s="1188" t="s">
        <v>4533</v>
      </c>
      <c r="B33" s="1192">
        <f t="shared" si="0"/>
        <v>110</v>
      </c>
      <c r="C33" s="1192" t="s">
        <v>3</v>
      </c>
      <c r="D33" s="1192">
        <f t="shared" si="1"/>
        <v>200</v>
      </c>
      <c r="E33" s="1192" t="s">
        <v>3</v>
      </c>
      <c r="F33" s="1190">
        <f t="shared" si="2"/>
        <v>1800</v>
      </c>
      <c r="G33" s="1192" t="s">
        <v>3</v>
      </c>
      <c r="H33" s="1189">
        <v>2</v>
      </c>
      <c r="I33" s="1191" t="s">
        <v>40</v>
      </c>
      <c r="J33" s="149">
        <v>110</v>
      </c>
      <c r="K33" s="66">
        <v>200</v>
      </c>
      <c r="L33" s="66">
        <v>1800</v>
      </c>
      <c r="M33" s="156">
        <v>18.519043927330774</v>
      </c>
      <c r="N33" s="78">
        <v>877.20944626079984</v>
      </c>
      <c r="O33" s="113">
        <v>32495.286108336972</v>
      </c>
      <c r="P33" s="109">
        <v>39066.353984191977</v>
      </c>
      <c r="Q33" s="254">
        <v>19012.762965323876</v>
      </c>
      <c r="R33" s="263">
        <v>51508.049073660848</v>
      </c>
      <c r="S33" s="259">
        <v>58079.116949515854</v>
      </c>
      <c r="U33" s="7" t="s">
        <v>4854</v>
      </c>
    </row>
    <row r="34" spans="1:21" ht="16.5" thickBot="1">
      <c r="A34" s="1188" t="s">
        <v>4533</v>
      </c>
      <c r="B34" s="1192">
        <f t="shared" si="0"/>
        <v>110</v>
      </c>
      <c r="C34" s="1192" t="s">
        <v>3</v>
      </c>
      <c r="D34" s="1192">
        <f t="shared" si="1"/>
        <v>200</v>
      </c>
      <c r="E34" s="1192" t="s">
        <v>3</v>
      </c>
      <c r="F34" s="1190">
        <f t="shared" si="2"/>
        <v>1850</v>
      </c>
      <c r="G34" s="1192" t="s">
        <v>3</v>
      </c>
      <c r="H34" s="1189">
        <v>2</v>
      </c>
      <c r="I34" s="1191" t="s">
        <v>40</v>
      </c>
      <c r="J34" s="149">
        <v>110</v>
      </c>
      <c r="K34" s="66">
        <v>200</v>
      </c>
      <c r="L34" s="66">
        <v>1850</v>
      </c>
      <c r="M34" s="156">
        <v>19.0001785620662</v>
      </c>
      <c r="N34" s="78">
        <v>907.45804785599989</v>
      </c>
      <c r="O34" s="113">
        <v>33178.523582860296</v>
      </c>
      <c r="P34" s="109">
        <v>39906.198189397684</v>
      </c>
      <c r="Q34" s="254">
        <v>19654.773419321165</v>
      </c>
      <c r="R34" s="263">
        <v>52833.297002181462</v>
      </c>
      <c r="S34" s="259">
        <v>59560.97160871885</v>
      </c>
      <c r="U34" s="7" t="s">
        <v>4855</v>
      </c>
    </row>
    <row r="35" spans="1:21" ht="16.5" thickBot="1">
      <c r="A35" s="1188" t="s">
        <v>4533</v>
      </c>
      <c r="B35" s="1192">
        <f t="shared" si="0"/>
        <v>110</v>
      </c>
      <c r="C35" s="1192" t="s">
        <v>3</v>
      </c>
      <c r="D35" s="1192">
        <f t="shared" si="1"/>
        <v>200</v>
      </c>
      <c r="E35" s="1192" t="s">
        <v>3</v>
      </c>
      <c r="F35" s="1190">
        <f t="shared" si="2"/>
        <v>1900</v>
      </c>
      <c r="G35" s="1192" t="s">
        <v>3</v>
      </c>
      <c r="H35" s="1189">
        <v>2</v>
      </c>
      <c r="I35" s="1191" t="s">
        <v>40</v>
      </c>
      <c r="J35" s="149">
        <v>110</v>
      </c>
      <c r="K35" s="66">
        <v>200</v>
      </c>
      <c r="L35" s="66">
        <v>1900</v>
      </c>
      <c r="M35" s="156">
        <v>19.481313196801629</v>
      </c>
      <c r="N35" s="78">
        <v>937.70664945119984</v>
      </c>
      <c r="O35" s="113">
        <v>33861.761210412384</v>
      </c>
      <c r="P35" s="109">
        <v>40746.042394603399</v>
      </c>
      <c r="Q35" s="254">
        <v>20045.449735534687</v>
      </c>
      <c r="R35" s="263">
        <v>53907.210945947067</v>
      </c>
      <c r="S35" s="259">
        <v>60791.492130138082</v>
      </c>
      <c r="U35" s="7" t="s">
        <v>4856</v>
      </c>
    </row>
    <row r="36" spans="1:21" ht="16.5" thickBot="1">
      <c r="A36" s="1188" t="s">
        <v>4533</v>
      </c>
      <c r="B36" s="1192">
        <f t="shared" si="0"/>
        <v>110</v>
      </c>
      <c r="C36" s="1192" t="s">
        <v>3</v>
      </c>
      <c r="D36" s="1192">
        <f t="shared" si="1"/>
        <v>200</v>
      </c>
      <c r="E36" s="1192" t="s">
        <v>3</v>
      </c>
      <c r="F36" s="1190">
        <f t="shared" si="2"/>
        <v>1950</v>
      </c>
      <c r="G36" s="1192" t="s">
        <v>3</v>
      </c>
      <c r="H36" s="1189">
        <v>2</v>
      </c>
      <c r="I36" s="1191" t="s">
        <v>40</v>
      </c>
      <c r="J36" s="149">
        <v>110</v>
      </c>
      <c r="K36" s="66">
        <v>200</v>
      </c>
      <c r="L36" s="66">
        <v>1950</v>
      </c>
      <c r="M36" s="156">
        <v>19.962447831537055</v>
      </c>
      <c r="N36" s="78">
        <v>967.95525104639989</v>
      </c>
      <c r="O36" s="113">
        <v>34544.998684935701</v>
      </c>
      <c r="P36" s="109">
        <v>41585.886446780343</v>
      </c>
      <c r="Q36" s="254">
        <v>20436.126051748208</v>
      </c>
      <c r="R36" s="263">
        <v>54981.124736683909</v>
      </c>
      <c r="S36" s="259">
        <v>62022.012498528551</v>
      </c>
      <c r="U36" s="7" t="s">
        <v>4857</v>
      </c>
    </row>
    <row r="37" spans="1:21" ht="16.5" thickBot="1">
      <c r="A37" s="1188" t="s">
        <v>4533</v>
      </c>
      <c r="B37" s="1192">
        <f t="shared" si="0"/>
        <v>110</v>
      </c>
      <c r="C37" s="1192" t="s">
        <v>3</v>
      </c>
      <c r="D37" s="1192">
        <f t="shared" si="1"/>
        <v>200</v>
      </c>
      <c r="E37" s="1192" t="s">
        <v>3</v>
      </c>
      <c r="F37" s="1190">
        <f t="shared" si="2"/>
        <v>2000</v>
      </c>
      <c r="G37" s="1192" t="s">
        <v>3</v>
      </c>
      <c r="H37" s="1189">
        <v>2</v>
      </c>
      <c r="I37" s="1191" t="s">
        <v>40</v>
      </c>
      <c r="J37" s="149">
        <v>110</v>
      </c>
      <c r="K37" s="66">
        <v>200</v>
      </c>
      <c r="L37" s="66">
        <v>2000</v>
      </c>
      <c r="M37" s="156">
        <v>20.521618466272479</v>
      </c>
      <c r="N37" s="78">
        <v>998.20385264159972</v>
      </c>
      <c r="O37" s="113">
        <v>35699.131072523654</v>
      </c>
      <c r="P37" s="109">
        <v>42577.167917953753</v>
      </c>
      <c r="Q37" s="254">
        <v>21078.136658774263</v>
      </c>
      <c r="R37" s="263">
        <v>56777.267731297921</v>
      </c>
      <c r="S37" s="259">
        <v>63655.304576728013</v>
      </c>
      <c r="U37" s="7" t="s">
        <v>4858</v>
      </c>
    </row>
    <row r="38" spans="1:21" ht="16.5" thickBot="1">
      <c r="A38" s="1188" t="s">
        <v>4533</v>
      </c>
      <c r="B38" s="1192">
        <f t="shared" si="0"/>
        <v>110</v>
      </c>
      <c r="C38" s="1192" t="s">
        <v>3</v>
      </c>
      <c r="D38" s="1192">
        <f t="shared" si="1"/>
        <v>200</v>
      </c>
      <c r="E38" s="1192" t="s">
        <v>3</v>
      </c>
      <c r="F38" s="1190">
        <f t="shared" si="2"/>
        <v>2050</v>
      </c>
      <c r="G38" s="1192" t="s">
        <v>3</v>
      </c>
      <c r="H38" s="1189">
        <v>2</v>
      </c>
      <c r="I38" s="1191" t="s">
        <v>40</v>
      </c>
      <c r="J38" s="149">
        <v>110</v>
      </c>
      <c r="K38" s="66">
        <v>200</v>
      </c>
      <c r="L38" s="66">
        <v>2050</v>
      </c>
      <c r="M38" s="156">
        <v>21.002753101007912</v>
      </c>
      <c r="N38" s="78">
        <v>1028.4524542367999</v>
      </c>
      <c r="O38" s="113">
        <v>36382.368700075742</v>
      </c>
      <c r="P38" s="109">
        <v>43417.012123159453</v>
      </c>
      <c r="Q38" s="254">
        <v>21468.812974987781</v>
      </c>
      <c r="R38" s="263">
        <v>57851.181675063519</v>
      </c>
      <c r="S38" s="259">
        <v>64885.825098147237</v>
      </c>
      <c r="U38" s="7" t="s">
        <v>4859</v>
      </c>
    </row>
    <row r="39" spans="1:21" ht="16.5" thickBot="1">
      <c r="A39" s="1188" t="s">
        <v>4533</v>
      </c>
      <c r="B39" s="1189">
        <f t="shared" si="0"/>
        <v>110</v>
      </c>
      <c r="C39" s="1189" t="s">
        <v>3</v>
      </c>
      <c r="D39" s="1189">
        <f t="shared" si="1"/>
        <v>200</v>
      </c>
      <c r="E39" s="1189" t="s">
        <v>3</v>
      </c>
      <c r="F39" s="1190">
        <f t="shared" si="2"/>
        <v>2100</v>
      </c>
      <c r="G39" s="1189" t="s">
        <v>3</v>
      </c>
      <c r="H39" s="1189">
        <v>2</v>
      </c>
      <c r="I39" s="1191" t="s">
        <v>40</v>
      </c>
      <c r="J39" s="149">
        <v>110</v>
      </c>
      <c r="K39" s="66">
        <v>200</v>
      </c>
      <c r="L39" s="66">
        <v>2100</v>
      </c>
      <c r="M39" s="156">
        <v>21.483887735743338</v>
      </c>
      <c r="N39" s="78">
        <v>1058.7010558319998</v>
      </c>
      <c r="O39" s="113">
        <v>37065.606327627829</v>
      </c>
      <c r="P39" s="109">
        <v>44256.856328365167</v>
      </c>
      <c r="Q39" s="254">
        <v>22110.823428985073</v>
      </c>
      <c r="R39" s="263">
        <v>59176.429756612903</v>
      </c>
      <c r="S39" s="259">
        <v>66367.679757350241</v>
      </c>
      <c r="U39" s="7" t="s">
        <v>4860</v>
      </c>
    </row>
    <row r="40" spans="1:21" ht="16.5" thickBot="1">
      <c r="A40" s="1188" t="s">
        <v>4533</v>
      </c>
      <c r="B40" s="1192">
        <f t="shared" si="0"/>
        <v>110</v>
      </c>
      <c r="C40" s="1192" t="s">
        <v>3</v>
      </c>
      <c r="D40" s="1192">
        <f t="shared" si="1"/>
        <v>200</v>
      </c>
      <c r="E40" s="1192" t="s">
        <v>3</v>
      </c>
      <c r="F40" s="1190">
        <f t="shared" si="2"/>
        <v>2150</v>
      </c>
      <c r="G40" s="1192" t="s">
        <v>3</v>
      </c>
      <c r="H40" s="1189">
        <v>2</v>
      </c>
      <c r="I40" s="1191" t="s">
        <v>40</v>
      </c>
      <c r="J40" s="149">
        <v>110</v>
      </c>
      <c r="K40" s="66">
        <v>200</v>
      </c>
      <c r="L40" s="66">
        <v>2150</v>
      </c>
      <c r="M40" s="156">
        <v>21.965022370478763</v>
      </c>
      <c r="N40" s="78">
        <v>1088.9496574271998</v>
      </c>
      <c r="O40" s="113">
        <v>37748.843802151147</v>
      </c>
      <c r="P40" s="109">
        <v>45096.700533570875</v>
      </c>
      <c r="Q40" s="254">
        <v>22501.499745198591</v>
      </c>
      <c r="R40" s="263">
        <v>60250.343547349737</v>
      </c>
      <c r="S40" s="259">
        <v>67598.200278769466</v>
      </c>
      <c r="U40" s="7" t="s">
        <v>4861</v>
      </c>
    </row>
    <row r="41" spans="1:21" ht="16.5" thickBot="1">
      <c r="A41" s="1188" t="s">
        <v>4533</v>
      </c>
      <c r="B41" s="1192">
        <f t="shared" si="0"/>
        <v>110</v>
      </c>
      <c r="C41" s="1192" t="s">
        <v>3</v>
      </c>
      <c r="D41" s="1192">
        <f t="shared" si="1"/>
        <v>200</v>
      </c>
      <c r="E41" s="1192" t="s">
        <v>3</v>
      </c>
      <c r="F41" s="1190">
        <f t="shared" si="2"/>
        <v>2200</v>
      </c>
      <c r="G41" s="1192" t="s">
        <v>3</v>
      </c>
      <c r="H41" s="1189">
        <v>2</v>
      </c>
      <c r="I41" s="1191" t="s">
        <v>40</v>
      </c>
      <c r="J41" s="149">
        <v>110</v>
      </c>
      <c r="K41" s="66">
        <v>200</v>
      </c>
      <c r="L41" s="66">
        <v>2200</v>
      </c>
      <c r="M41" s="156">
        <v>22.446157005214197</v>
      </c>
      <c r="N41" s="78">
        <v>1119.1982590224</v>
      </c>
      <c r="O41" s="113">
        <v>38432.081429703241</v>
      </c>
      <c r="P41" s="109">
        <v>45936.544738776582</v>
      </c>
      <c r="Q41" s="254">
        <v>23143.510199195884</v>
      </c>
      <c r="R41" s="263">
        <v>61575.591628899128</v>
      </c>
      <c r="S41" s="259">
        <v>69080.054937972469</v>
      </c>
      <c r="U41" s="7" t="s">
        <v>4862</v>
      </c>
    </row>
    <row r="42" spans="1:21" ht="16.5" thickBot="1">
      <c r="A42" s="1188" t="s">
        <v>4533</v>
      </c>
      <c r="B42" s="1192">
        <f t="shared" si="0"/>
        <v>110</v>
      </c>
      <c r="C42" s="1192" t="s">
        <v>3</v>
      </c>
      <c r="D42" s="1192">
        <f t="shared" si="1"/>
        <v>200</v>
      </c>
      <c r="E42" s="1192" t="s">
        <v>3</v>
      </c>
      <c r="F42" s="1190">
        <f t="shared" si="2"/>
        <v>2250</v>
      </c>
      <c r="G42" s="1192" t="s">
        <v>3</v>
      </c>
      <c r="H42" s="1189">
        <v>2</v>
      </c>
      <c r="I42" s="1191" t="s">
        <v>40</v>
      </c>
      <c r="J42" s="149">
        <v>110</v>
      </c>
      <c r="K42" s="66">
        <v>200</v>
      </c>
      <c r="L42" s="66">
        <v>2250</v>
      </c>
      <c r="M42" s="156">
        <v>22.927291639949622</v>
      </c>
      <c r="N42" s="78">
        <v>1149.4468606175997</v>
      </c>
      <c r="O42" s="113">
        <v>39115.318904226551</v>
      </c>
      <c r="P42" s="109">
        <v>46776.388943982296</v>
      </c>
      <c r="Q42" s="254">
        <v>23534.186668438168</v>
      </c>
      <c r="R42" s="263">
        <v>62649.505572664719</v>
      </c>
      <c r="S42" s="259">
        <v>70310.575612420464</v>
      </c>
      <c r="U42" s="7" t="s">
        <v>4863</v>
      </c>
    </row>
    <row r="43" spans="1:21" ht="16.5" thickBot="1">
      <c r="A43" s="1188" t="s">
        <v>4533</v>
      </c>
      <c r="B43" s="1192">
        <f t="shared" si="0"/>
        <v>110</v>
      </c>
      <c r="C43" s="1192" t="s">
        <v>3</v>
      </c>
      <c r="D43" s="1192">
        <f t="shared" si="1"/>
        <v>200</v>
      </c>
      <c r="E43" s="1192" t="s">
        <v>3</v>
      </c>
      <c r="F43" s="1190">
        <f t="shared" si="2"/>
        <v>2300</v>
      </c>
      <c r="G43" s="1192" t="s">
        <v>3</v>
      </c>
      <c r="H43" s="1189">
        <v>2</v>
      </c>
      <c r="I43" s="1191" t="s">
        <v>40</v>
      </c>
      <c r="J43" s="149">
        <v>110</v>
      </c>
      <c r="K43" s="66">
        <v>200</v>
      </c>
      <c r="L43" s="66">
        <v>2300</v>
      </c>
      <c r="M43" s="156">
        <v>23.408426274685048</v>
      </c>
      <c r="N43" s="78">
        <v>1179.6954622127998</v>
      </c>
      <c r="O43" s="113">
        <v>39798.556531778646</v>
      </c>
      <c r="P43" s="109">
        <v>47616.233149187996</v>
      </c>
      <c r="Q43" s="254">
        <v>23924.862984651689</v>
      </c>
      <c r="R43" s="263">
        <v>63723.419516430338</v>
      </c>
      <c r="S43" s="259">
        <v>71541.096133839688</v>
      </c>
      <c r="U43" s="7" t="s">
        <v>4864</v>
      </c>
    </row>
    <row r="44" spans="1:21" ht="16.5" thickBot="1">
      <c r="A44" s="1188" t="s">
        <v>4533</v>
      </c>
      <c r="B44" s="1192">
        <f t="shared" si="0"/>
        <v>110</v>
      </c>
      <c r="C44" s="1192" t="s">
        <v>3</v>
      </c>
      <c r="D44" s="1192">
        <f t="shared" si="1"/>
        <v>200</v>
      </c>
      <c r="E44" s="1192" t="s">
        <v>3</v>
      </c>
      <c r="F44" s="1190">
        <f t="shared" si="2"/>
        <v>2350</v>
      </c>
      <c r="G44" s="1192" t="s">
        <v>3</v>
      </c>
      <c r="H44" s="1189">
        <v>2</v>
      </c>
      <c r="I44" s="1191" t="s">
        <v>40</v>
      </c>
      <c r="J44" s="149">
        <v>110</v>
      </c>
      <c r="K44" s="66">
        <v>200</v>
      </c>
      <c r="L44" s="66">
        <v>2350</v>
      </c>
      <c r="M44" s="156">
        <v>23.889560909420474</v>
      </c>
      <c r="N44" s="78">
        <v>1209.9440638079998</v>
      </c>
      <c r="O44" s="113">
        <v>40481.794159330726</v>
      </c>
      <c r="P44" s="109">
        <v>48456.07735439371</v>
      </c>
      <c r="Q44" s="254">
        <v>24566.873438648978</v>
      </c>
      <c r="R44" s="263">
        <v>65048.6675979797</v>
      </c>
      <c r="S44" s="259">
        <v>73022.950793042692</v>
      </c>
      <c r="U44" s="7" t="s">
        <v>4865</v>
      </c>
    </row>
    <row r="45" spans="1:21" ht="16.5" thickBot="1">
      <c r="A45" s="1188" t="s">
        <v>4533</v>
      </c>
      <c r="B45" s="1192">
        <f t="shared" si="0"/>
        <v>110</v>
      </c>
      <c r="C45" s="1192" t="s">
        <v>3</v>
      </c>
      <c r="D45" s="1192">
        <f t="shared" si="1"/>
        <v>200</v>
      </c>
      <c r="E45" s="1192" t="s">
        <v>3</v>
      </c>
      <c r="F45" s="1190">
        <f t="shared" si="2"/>
        <v>2400</v>
      </c>
      <c r="G45" s="1192" t="s">
        <v>3</v>
      </c>
      <c r="H45" s="1189">
        <v>2</v>
      </c>
      <c r="I45" s="1191" t="s">
        <v>40</v>
      </c>
      <c r="J45" s="149">
        <v>110</v>
      </c>
      <c r="K45" s="66">
        <v>200</v>
      </c>
      <c r="L45" s="66">
        <v>2400</v>
      </c>
      <c r="M45" s="156">
        <v>24.3706955441559</v>
      </c>
      <c r="N45" s="78">
        <v>1240.1926654031997</v>
      </c>
      <c r="O45" s="113">
        <v>41165.031633854051</v>
      </c>
      <c r="P45" s="109">
        <v>49295.92155959941</v>
      </c>
      <c r="Q45" s="254">
        <v>24957.549754862499</v>
      </c>
      <c r="R45" s="263">
        <v>66122.581388716557</v>
      </c>
      <c r="S45" s="259">
        <v>74253.471314461902</v>
      </c>
      <c r="U45" s="7" t="s">
        <v>4866</v>
      </c>
    </row>
    <row r="46" spans="1:21" ht="16.5" thickBot="1">
      <c r="A46" s="1188" t="s">
        <v>4533</v>
      </c>
      <c r="B46" s="1192">
        <f t="shared" si="0"/>
        <v>110</v>
      </c>
      <c r="C46" s="1192" t="s">
        <v>3</v>
      </c>
      <c r="D46" s="1192">
        <f t="shared" si="1"/>
        <v>200</v>
      </c>
      <c r="E46" s="1192" t="s">
        <v>3</v>
      </c>
      <c r="F46" s="1190">
        <f t="shared" si="2"/>
        <v>2450</v>
      </c>
      <c r="G46" s="1192" t="s">
        <v>3</v>
      </c>
      <c r="H46" s="1189">
        <v>2</v>
      </c>
      <c r="I46" s="1191" t="s">
        <v>40</v>
      </c>
      <c r="J46" s="149">
        <v>110</v>
      </c>
      <c r="K46" s="66">
        <v>200</v>
      </c>
      <c r="L46" s="66">
        <v>2450</v>
      </c>
      <c r="M46" s="156">
        <v>24.851830178891326</v>
      </c>
      <c r="N46" s="78">
        <v>1270.4412669983999</v>
      </c>
      <c r="O46" s="113">
        <v>41848.269261406138</v>
      </c>
      <c r="P46" s="109">
        <v>50135.765764805124</v>
      </c>
      <c r="Q46" s="254">
        <v>25599.560361888554</v>
      </c>
      <c r="R46" s="263">
        <v>67447.829623294689</v>
      </c>
      <c r="S46" s="259">
        <v>75735.326126693675</v>
      </c>
      <c r="U46" s="7" t="s">
        <v>4867</v>
      </c>
    </row>
    <row r="47" spans="1:21" ht="16.5" thickBot="1">
      <c r="A47" s="1188" t="s">
        <v>4533</v>
      </c>
      <c r="B47" s="1192">
        <f t="shared" si="0"/>
        <v>110</v>
      </c>
      <c r="C47" s="1192" t="s">
        <v>3</v>
      </c>
      <c r="D47" s="1192">
        <f t="shared" si="1"/>
        <v>200</v>
      </c>
      <c r="E47" s="1192" t="s">
        <v>3</v>
      </c>
      <c r="F47" s="1190">
        <f t="shared" si="2"/>
        <v>2500</v>
      </c>
      <c r="G47" s="1192" t="s">
        <v>3</v>
      </c>
      <c r="H47" s="1189">
        <v>2</v>
      </c>
      <c r="I47" s="1191" t="s">
        <v>40</v>
      </c>
      <c r="J47" s="149">
        <v>110</v>
      </c>
      <c r="K47" s="66">
        <v>200</v>
      </c>
      <c r="L47" s="66">
        <v>2500</v>
      </c>
      <c r="M47" s="156">
        <v>25.561783613626758</v>
      </c>
      <c r="N47" s="78">
        <v>1300.6898685935996</v>
      </c>
      <c r="O47" s="113">
        <v>43192.951843097624</v>
      </c>
      <c r="P47" s="109">
        <v>51780.297652774258</v>
      </c>
      <c r="Q47" s="254">
        <v>25990.236678102072</v>
      </c>
      <c r="R47" s="263">
        <v>69183.1885211997</v>
      </c>
      <c r="S47" s="259">
        <v>77770.534330876326</v>
      </c>
      <c r="U47" s="7" t="s">
        <v>4868</v>
      </c>
    </row>
    <row r="48" spans="1:21" ht="16.5" thickBot="1">
      <c r="A48" s="1188" t="s">
        <v>4533</v>
      </c>
      <c r="B48" s="1192">
        <f t="shared" si="0"/>
        <v>110</v>
      </c>
      <c r="C48" s="1192" t="s">
        <v>3</v>
      </c>
      <c r="D48" s="1192">
        <f t="shared" si="1"/>
        <v>200</v>
      </c>
      <c r="E48" s="1192" t="s">
        <v>3</v>
      </c>
      <c r="F48" s="1190">
        <f t="shared" si="2"/>
        <v>2550</v>
      </c>
      <c r="G48" s="1192" t="s">
        <v>3</v>
      </c>
      <c r="H48" s="1189">
        <v>2</v>
      </c>
      <c r="I48" s="1191" t="s">
        <v>40</v>
      </c>
      <c r="J48" s="149">
        <v>110</v>
      </c>
      <c r="K48" s="66">
        <v>200</v>
      </c>
      <c r="L48" s="66">
        <v>2550</v>
      </c>
      <c r="M48" s="156">
        <v>26.042918248362191</v>
      </c>
      <c r="N48" s="78">
        <v>1330.9384701887998</v>
      </c>
      <c r="O48" s="113">
        <v>44266.040196675378</v>
      </c>
      <c r="P48" s="109">
        <v>52635.444734492463</v>
      </c>
      <c r="Q48" s="254">
        <v>26632.247132099365</v>
      </c>
      <c r="R48" s="263">
        <v>70898.28732877475</v>
      </c>
      <c r="S48" s="259">
        <v>79267.691866591835</v>
      </c>
      <c r="U48" s="7" t="s">
        <v>4869</v>
      </c>
    </row>
    <row r="49" spans="1:21" ht="16.5" thickBot="1">
      <c r="A49" s="1188" t="s">
        <v>4533</v>
      </c>
      <c r="B49" s="1189">
        <f t="shared" si="0"/>
        <v>110</v>
      </c>
      <c r="C49" s="1189" t="s">
        <v>3</v>
      </c>
      <c r="D49" s="1189">
        <f t="shared" si="1"/>
        <v>200</v>
      </c>
      <c r="E49" s="1189" t="s">
        <v>3</v>
      </c>
      <c r="F49" s="1190">
        <f t="shared" si="2"/>
        <v>2600</v>
      </c>
      <c r="G49" s="1189" t="s">
        <v>3</v>
      </c>
      <c r="H49" s="1189">
        <v>2</v>
      </c>
      <c r="I49" s="1191" t="s">
        <v>40</v>
      </c>
      <c r="J49" s="149">
        <v>110</v>
      </c>
      <c r="K49" s="66">
        <v>200</v>
      </c>
      <c r="L49" s="66">
        <v>2600</v>
      </c>
      <c r="M49" s="156">
        <v>26.524052883097617</v>
      </c>
      <c r="N49" s="78">
        <v>1361.1870717839997</v>
      </c>
      <c r="O49" s="113">
        <v>44949.277671198695</v>
      </c>
      <c r="P49" s="109">
        <v>53475.28893969817</v>
      </c>
      <c r="Q49" s="254">
        <v>27022.923448312882</v>
      </c>
      <c r="R49" s="263">
        <v>71972.201119511577</v>
      </c>
      <c r="S49" s="259">
        <v>80498.212388011045</v>
      </c>
      <c r="U49" s="7" t="s">
        <v>4870</v>
      </c>
    </row>
    <row r="50" spans="1:21" ht="16.5" thickBot="1">
      <c r="A50" s="1188" t="s">
        <v>4533</v>
      </c>
      <c r="B50" s="1192">
        <f t="shared" si="0"/>
        <v>110</v>
      </c>
      <c r="C50" s="1192" t="s">
        <v>3</v>
      </c>
      <c r="D50" s="1192">
        <f t="shared" si="1"/>
        <v>200</v>
      </c>
      <c r="E50" s="1192" t="s">
        <v>3</v>
      </c>
      <c r="F50" s="1190">
        <f t="shared" si="2"/>
        <v>2650</v>
      </c>
      <c r="G50" s="1192" t="s">
        <v>3</v>
      </c>
      <c r="H50" s="1189">
        <v>2</v>
      </c>
      <c r="I50" s="1191" t="s">
        <v>40</v>
      </c>
      <c r="J50" s="149">
        <v>110</v>
      </c>
      <c r="K50" s="66">
        <v>200</v>
      </c>
      <c r="L50" s="66">
        <v>2650</v>
      </c>
      <c r="M50" s="156">
        <v>27.005187517833043</v>
      </c>
      <c r="N50" s="78">
        <v>1391.4356733791997</v>
      </c>
      <c r="O50" s="113">
        <v>45632.515298750783</v>
      </c>
      <c r="P50" s="109">
        <v>54315.133144903877</v>
      </c>
      <c r="Q50" s="254">
        <v>27664.933902310175</v>
      </c>
      <c r="R50" s="263">
        <v>73297.449201060954</v>
      </c>
      <c r="S50" s="259">
        <v>81980.067047214048</v>
      </c>
      <c r="U50" s="7" t="s">
        <v>4871</v>
      </c>
    </row>
    <row r="51" spans="1:21" ht="16.5" thickBot="1">
      <c r="A51" s="1188" t="s">
        <v>4533</v>
      </c>
      <c r="B51" s="1192">
        <f t="shared" si="0"/>
        <v>110</v>
      </c>
      <c r="C51" s="1192" t="s">
        <v>3</v>
      </c>
      <c r="D51" s="1192">
        <f t="shared" si="1"/>
        <v>200</v>
      </c>
      <c r="E51" s="1192" t="s">
        <v>3</v>
      </c>
      <c r="F51" s="1190">
        <f t="shared" si="2"/>
        <v>2700</v>
      </c>
      <c r="G51" s="1192" t="s">
        <v>3</v>
      </c>
      <c r="H51" s="1189">
        <v>2</v>
      </c>
      <c r="I51" s="1191" t="s">
        <v>40</v>
      </c>
      <c r="J51" s="149">
        <v>110</v>
      </c>
      <c r="K51" s="66">
        <v>200</v>
      </c>
      <c r="L51" s="66">
        <v>2700</v>
      </c>
      <c r="M51" s="156">
        <v>27.486322152568469</v>
      </c>
      <c r="N51" s="78">
        <v>1421.6842749743998</v>
      </c>
      <c r="O51" s="113">
        <v>46315.75292630287</v>
      </c>
      <c r="P51" s="109">
        <v>55154.977350109591</v>
      </c>
      <c r="Q51" s="254">
        <v>28055.610371552459</v>
      </c>
      <c r="R51" s="263">
        <v>74371.363297855336</v>
      </c>
      <c r="S51" s="259">
        <v>83210.587721662043</v>
      </c>
      <c r="U51" s="7" t="s">
        <v>4872</v>
      </c>
    </row>
    <row r="52" spans="1:21" ht="16.5" thickBot="1">
      <c r="A52" s="1188" t="s">
        <v>4533</v>
      </c>
      <c r="B52" s="1192">
        <f t="shared" si="0"/>
        <v>110</v>
      </c>
      <c r="C52" s="1192" t="s">
        <v>3</v>
      </c>
      <c r="D52" s="1192">
        <f t="shared" si="1"/>
        <v>200</v>
      </c>
      <c r="E52" s="1192" t="s">
        <v>3</v>
      </c>
      <c r="F52" s="1190">
        <f t="shared" si="2"/>
        <v>2750</v>
      </c>
      <c r="G52" s="1192" t="s">
        <v>3</v>
      </c>
      <c r="H52" s="1189">
        <v>2</v>
      </c>
      <c r="I52" s="1191" t="s">
        <v>40</v>
      </c>
      <c r="J52" s="149">
        <v>110</v>
      </c>
      <c r="K52" s="66">
        <v>200</v>
      </c>
      <c r="L52" s="66">
        <v>2750</v>
      </c>
      <c r="M52" s="156">
        <v>27.967456787303902</v>
      </c>
      <c r="N52" s="78">
        <v>1451.9328765695998</v>
      </c>
      <c r="O52" s="113">
        <v>46998.990400826187</v>
      </c>
      <c r="P52" s="109">
        <v>55994.821555315299</v>
      </c>
      <c r="Q52" s="254">
        <v>28446.286687765976</v>
      </c>
      <c r="R52" s="263">
        <v>75445.277088592164</v>
      </c>
      <c r="S52" s="259">
        <v>84441.108243081282</v>
      </c>
      <c r="U52" s="7" t="s">
        <v>4873</v>
      </c>
    </row>
    <row r="53" spans="1:21" ht="16.5" thickBot="1">
      <c r="A53" s="1188" t="s">
        <v>4533</v>
      </c>
      <c r="B53" s="1192">
        <f t="shared" si="0"/>
        <v>110</v>
      </c>
      <c r="C53" s="1192" t="s">
        <v>3</v>
      </c>
      <c r="D53" s="1192">
        <f t="shared" si="1"/>
        <v>200</v>
      </c>
      <c r="E53" s="1192" t="s">
        <v>3</v>
      </c>
      <c r="F53" s="1190">
        <f t="shared" si="2"/>
        <v>2800</v>
      </c>
      <c r="G53" s="1192" t="s">
        <v>3</v>
      </c>
      <c r="H53" s="1189">
        <v>2</v>
      </c>
      <c r="I53" s="1191" t="s">
        <v>40</v>
      </c>
      <c r="J53" s="149">
        <v>110</v>
      </c>
      <c r="K53" s="66">
        <v>200</v>
      </c>
      <c r="L53" s="66">
        <v>2800</v>
      </c>
      <c r="M53" s="156">
        <v>28.448591422039328</v>
      </c>
      <c r="N53" s="78">
        <v>1482.1814781647997</v>
      </c>
      <c r="O53" s="113">
        <v>47682.228028378275</v>
      </c>
      <c r="P53" s="109">
        <v>56834.665760520998</v>
      </c>
      <c r="Q53" s="254">
        <v>29088.297141763269</v>
      </c>
      <c r="R53" s="263">
        <v>76770.52517014154</v>
      </c>
      <c r="S53" s="259">
        <v>85922.962902284271</v>
      </c>
      <c r="U53" s="7" t="s">
        <v>4874</v>
      </c>
    </row>
    <row r="54" spans="1:21" ht="16.5" thickBot="1">
      <c r="A54" s="1188" t="s">
        <v>4533</v>
      </c>
      <c r="B54" s="1192">
        <f t="shared" si="0"/>
        <v>110</v>
      </c>
      <c r="C54" s="1192" t="s">
        <v>3</v>
      </c>
      <c r="D54" s="1192">
        <f t="shared" si="1"/>
        <v>200</v>
      </c>
      <c r="E54" s="1192" t="s">
        <v>3</v>
      </c>
      <c r="F54" s="1190">
        <f t="shared" si="2"/>
        <v>2850</v>
      </c>
      <c r="G54" s="1192" t="s">
        <v>3</v>
      </c>
      <c r="H54" s="1189">
        <v>2</v>
      </c>
      <c r="I54" s="1191" t="s">
        <v>40</v>
      </c>
      <c r="J54" s="149">
        <v>110</v>
      </c>
      <c r="K54" s="66">
        <v>200</v>
      </c>
      <c r="L54" s="66">
        <v>2850</v>
      </c>
      <c r="M54" s="156">
        <v>28.929726056774751</v>
      </c>
      <c r="N54" s="78">
        <v>1512.4300797599997</v>
      </c>
      <c r="O54" s="113">
        <v>48365.465502901599</v>
      </c>
      <c r="P54" s="109">
        <v>57674.50996572672</v>
      </c>
      <c r="Q54" s="254">
        <v>29478.973457976786</v>
      </c>
      <c r="R54" s="263">
        <v>77844.438960878382</v>
      </c>
      <c r="S54" s="259">
        <v>87153.48342370351</v>
      </c>
      <c r="U54" s="7" t="s">
        <v>4875</v>
      </c>
    </row>
    <row r="55" spans="1:21" ht="16.5" thickBot="1">
      <c r="A55" s="1188" t="s">
        <v>4533</v>
      </c>
      <c r="B55" s="1192">
        <f t="shared" si="0"/>
        <v>110</v>
      </c>
      <c r="C55" s="1192" t="s">
        <v>3</v>
      </c>
      <c r="D55" s="1192">
        <f t="shared" si="1"/>
        <v>200</v>
      </c>
      <c r="E55" s="1192" t="s">
        <v>3</v>
      </c>
      <c r="F55" s="1190">
        <f t="shared" si="2"/>
        <v>2900</v>
      </c>
      <c r="G55" s="1192" t="s">
        <v>3</v>
      </c>
      <c r="H55" s="1189">
        <v>2</v>
      </c>
      <c r="I55" s="1191" t="s">
        <v>40</v>
      </c>
      <c r="J55" s="149">
        <v>110</v>
      </c>
      <c r="K55" s="66">
        <v>200</v>
      </c>
      <c r="L55" s="66">
        <v>2900</v>
      </c>
      <c r="M55" s="156">
        <v>29.41086069151018</v>
      </c>
      <c r="N55" s="78">
        <v>1542.6786813551996</v>
      </c>
      <c r="O55" s="113">
        <v>49048.703130453679</v>
      </c>
      <c r="P55" s="109">
        <v>58514.35417093242</v>
      </c>
      <c r="Q55" s="254">
        <v>30120.983911974079</v>
      </c>
      <c r="R55" s="263">
        <v>79169.687042427759</v>
      </c>
      <c r="S55" s="259">
        <v>88635.338082906499</v>
      </c>
      <c r="U55" s="7" t="s">
        <v>4876</v>
      </c>
    </row>
    <row r="56" spans="1:21" ht="16.5" thickBot="1">
      <c r="A56" s="1188" t="s">
        <v>4533</v>
      </c>
      <c r="B56" s="1192">
        <f t="shared" si="0"/>
        <v>110</v>
      </c>
      <c r="C56" s="1192" t="s">
        <v>3</v>
      </c>
      <c r="D56" s="1192">
        <f t="shared" si="1"/>
        <v>200</v>
      </c>
      <c r="E56" s="1192" t="s">
        <v>3</v>
      </c>
      <c r="F56" s="1190">
        <f t="shared" si="2"/>
        <v>2950</v>
      </c>
      <c r="G56" s="1192" t="s">
        <v>3</v>
      </c>
      <c r="H56" s="1189">
        <v>2</v>
      </c>
      <c r="I56" s="1191" t="s">
        <v>40</v>
      </c>
      <c r="J56" s="149">
        <v>110</v>
      </c>
      <c r="K56" s="66">
        <v>200</v>
      </c>
      <c r="L56" s="66">
        <v>2950</v>
      </c>
      <c r="M56" s="156">
        <v>29.891995326245613</v>
      </c>
      <c r="N56" s="78">
        <v>1572.9272829503998</v>
      </c>
      <c r="O56" s="113">
        <v>49731.940604977004</v>
      </c>
      <c r="P56" s="109">
        <v>59354.198376138127</v>
      </c>
      <c r="Q56" s="254">
        <v>30511.660381216363</v>
      </c>
      <c r="R56" s="263">
        <v>80243.600986193371</v>
      </c>
      <c r="S56" s="259">
        <v>89865.858757354494</v>
      </c>
      <c r="U56" s="7" t="s">
        <v>4877</v>
      </c>
    </row>
    <row r="57" spans="1:21" ht="16.5" thickBot="1">
      <c r="A57" s="1193" t="s">
        <v>4533</v>
      </c>
      <c r="B57" s="1194">
        <f t="shared" si="0"/>
        <v>110</v>
      </c>
      <c r="C57" s="1194" t="s">
        <v>3</v>
      </c>
      <c r="D57" s="1194">
        <f t="shared" si="1"/>
        <v>200</v>
      </c>
      <c r="E57" s="1194" t="s">
        <v>3</v>
      </c>
      <c r="F57" s="1195">
        <f t="shared" si="2"/>
        <v>3000</v>
      </c>
      <c r="G57" s="1194" t="s">
        <v>3</v>
      </c>
      <c r="H57" s="1196">
        <v>2</v>
      </c>
      <c r="I57" s="1197" t="s">
        <v>40</v>
      </c>
      <c r="J57" s="265">
        <v>110</v>
      </c>
      <c r="K57" s="266">
        <v>200</v>
      </c>
      <c r="L57" s="266">
        <v>3000</v>
      </c>
      <c r="M57" s="281">
        <v>30.529201960981037</v>
      </c>
      <c r="N57" s="250">
        <v>1603.1758845455997</v>
      </c>
      <c r="O57" s="251">
        <v>50640.436574793093</v>
      </c>
      <c r="P57" s="277">
        <v>60419.300923607843</v>
      </c>
      <c r="Q57" s="267">
        <v>31153.670835213656</v>
      </c>
      <c r="R57" s="268">
        <v>81794.107410006749</v>
      </c>
      <c r="S57" s="269">
        <v>91572.971758821499</v>
      </c>
      <c r="U57" s="7" t="s">
        <v>4878</v>
      </c>
    </row>
    <row r="58" spans="1:21" ht="21.75" thickBot="1">
      <c r="A58" s="2968" t="s">
        <v>468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69"/>
      <c r="R58" s="2969"/>
      <c r="S58" s="2970"/>
      <c r="U58" s="7"/>
    </row>
    <row r="59" spans="1:21" ht="16.5" thickBot="1">
      <c r="A59" s="2974" t="s">
        <v>4532</v>
      </c>
      <c r="B59" s="2975"/>
      <c r="C59" s="2975"/>
      <c r="D59" s="2975"/>
      <c r="E59" s="2975"/>
      <c r="F59" s="2975"/>
      <c r="G59" s="2975"/>
      <c r="H59" s="2975"/>
      <c r="I59" s="2975"/>
      <c r="J59" s="2975"/>
      <c r="K59" s="2975"/>
      <c r="L59" s="2975"/>
      <c r="M59" s="2975"/>
      <c r="N59" s="2975"/>
      <c r="O59" s="2975"/>
      <c r="P59" s="2975"/>
      <c r="Q59" s="2975"/>
      <c r="R59" s="2975"/>
      <c r="S59" s="2976"/>
      <c r="U59" s="7"/>
    </row>
    <row r="60" spans="1:21" ht="16.5" thickBot="1">
      <c r="A60" s="1188" t="s">
        <v>4533</v>
      </c>
      <c r="B60" s="1189">
        <f>J60</f>
        <v>110</v>
      </c>
      <c r="C60" s="1189" t="s">
        <v>3</v>
      </c>
      <c r="D60" s="1189">
        <f>K60</f>
        <v>260</v>
      </c>
      <c r="E60" s="1189" t="s">
        <v>3</v>
      </c>
      <c r="F60" s="1190">
        <f>L60</f>
        <v>600</v>
      </c>
      <c r="G60" s="1189" t="s">
        <v>3</v>
      </c>
      <c r="H60" s="1189">
        <v>2</v>
      </c>
      <c r="I60" s="1191" t="s">
        <v>40</v>
      </c>
      <c r="J60" s="270">
        <v>110</v>
      </c>
      <c r="K60" s="271">
        <v>260</v>
      </c>
      <c r="L60" s="271">
        <v>600</v>
      </c>
      <c r="M60" s="282">
        <v>7.8423510317857694</v>
      </c>
      <c r="N60" s="246">
        <v>191.09949406990447</v>
      </c>
      <c r="O60" s="247">
        <v>15914.17118579017</v>
      </c>
      <c r="P60" s="279">
        <v>19561.144299667088</v>
      </c>
      <c r="Q60" s="272">
        <v>8214.2785134660462</v>
      </c>
      <c r="R60" s="273">
        <v>24128.449699256216</v>
      </c>
      <c r="S60" s="274">
        <v>27775.422813133133</v>
      </c>
      <c r="U60" s="7" t="s">
        <v>4879</v>
      </c>
    </row>
    <row r="61" spans="1:21" ht="16.5" thickBot="1">
      <c r="A61" s="1188" t="s">
        <v>4533</v>
      </c>
      <c r="B61" s="1192">
        <f t="shared" ref="B61:B108" si="3">J61</f>
        <v>110</v>
      </c>
      <c r="C61" s="1192" t="s">
        <v>3</v>
      </c>
      <c r="D61" s="1192">
        <f t="shared" ref="D61:D108" si="4">K61</f>
        <v>260</v>
      </c>
      <c r="E61" s="1192" t="s">
        <v>3</v>
      </c>
      <c r="F61" s="1190">
        <f t="shared" ref="F61:F108" si="5">L61</f>
        <v>650</v>
      </c>
      <c r="G61" s="1192" t="s">
        <v>3</v>
      </c>
      <c r="H61" s="1189">
        <v>2</v>
      </c>
      <c r="I61" s="1191" t="s">
        <v>40</v>
      </c>
      <c r="J61" s="149">
        <v>110</v>
      </c>
      <c r="K61" s="66">
        <v>260</v>
      </c>
      <c r="L61" s="66">
        <v>650</v>
      </c>
      <c r="M61" s="156">
        <v>8.3833487613633046</v>
      </c>
      <c r="N61" s="78">
        <v>229.31939288388534</v>
      </c>
      <c r="O61" s="113">
        <v>16629.436203595265</v>
      </c>
      <c r="P61" s="109">
        <v>20455.388394529553</v>
      </c>
      <c r="Q61" s="254">
        <v>8684.7340809460093</v>
      </c>
      <c r="R61" s="263">
        <v>25314.170284541273</v>
      </c>
      <c r="S61" s="259">
        <v>29140.12247547556</v>
      </c>
      <c r="U61" s="7" t="s">
        <v>4880</v>
      </c>
    </row>
    <row r="62" spans="1:21" ht="16.5" thickBot="1">
      <c r="A62" s="1188" t="s">
        <v>4533</v>
      </c>
      <c r="B62" s="1192">
        <f t="shared" si="3"/>
        <v>110</v>
      </c>
      <c r="C62" s="1192" t="s">
        <v>3</v>
      </c>
      <c r="D62" s="1192">
        <f t="shared" si="4"/>
        <v>260</v>
      </c>
      <c r="E62" s="1192" t="s">
        <v>3</v>
      </c>
      <c r="F62" s="1190">
        <f t="shared" si="5"/>
        <v>700</v>
      </c>
      <c r="G62" s="1192" t="s">
        <v>3</v>
      </c>
      <c r="H62" s="1189">
        <v>2</v>
      </c>
      <c r="I62" s="1191" t="s">
        <v>40</v>
      </c>
      <c r="J62" s="149">
        <v>110</v>
      </c>
      <c r="K62" s="66">
        <v>260</v>
      </c>
      <c r="L62" s="66">
        <v>700</v>
      </c>
      <c r="M62" s="156">
        <v>8.9243464909408363</v>
      </c>
      <c r="N62" s="78">
        <v>267.53929169786625</v>
      </c>
      <c r="O62" s="113">
        <v>17344.701374429129</v>
      </c>
      <c r="P62" s="109">
        <v>21349.63264242078</v>
      </c>
      <c r="Q62" s="254">
        <v>9406.5237862097401</v>
      </c>
      <c r="R62" s="263">
        <v>26751.225160638867</v>
      </c>
      <c r="S62" s="259">
        <v>30756.156428630522</v>
      </c>
      <c r="U62" s="7" t="s">
        <v>4881</v>
      </c>
    </row>
    <row r="63" spans="1:21" ht="16.5" thickBot="1">
      <c r="A63" s="1188" t="s">
        <v>4533</v>
      </c>
      <c r="B63" s="1192">
        <f t="shared" si="3"/>
        <v>110</v>
      </c>
      <c r="C63" s="1192" t="s">
        <v>3</v>
      </c>
      <c r="D63" s="1192">
        <f t="shared" si="4"/>
        <v>260</v>
      </c>
      <c r="E63" s="1192" t="s">
        <v>3</v>
      </c>
      <c r="F63" s="1190">
        <f t="shared" si="5"/>
        <v>750</v>
      </c>
      <c r="G63" s="1192" t="s">
        <v>3</v>
      </c>
      <c r="H63" s="1189">
        <v>2</v>
      </c>
      <c r="I63" s="1191" t="s">
        <v>40</v>
      </c>
      <c r="J63" s="149">
        <v>110</v>
      </c>
      <c r="K63" s="66">
        <v>260</v>
      </c>
      <c r="L63" s="66">
        <v>750</v>
      </c>
      <c r="M63" s="156">
        <v>9.4653442205183698</v>
      </c>
      <c r="N63" s="78">
        <v>305.75919051184718</v>
      </c>
      <c r="O63" s="113">
        <v>18059.966545262989</v>
      </c>
      <c r="P63" s="109">
        <v>22243.876737283244</v>
      </c>
      <c r="Q63" s="254">
        <v>9876.9793536897032</v>
      </c>
      <c r="R63" s="263">
        <v>27936.94589895269</v>
      </c>
      <c r="S63" s="259">
        <v>32120.856090972949</v>
      </c>
      <c r="U63" s="7" t="s">
        <v>4882</v>
      </c>
    </row>
    <row r="64" spans="1:21" ht="16.5" thickBot="1">
      <c r="A64" s="1188" t="s">
        <v>4533</v>
      </c>
      <c r="B64" s="1192">
        <f t="shared" si="3"/>
        <v>110</v>
      </c>
      <c r="C64" s="1192" t="s">
        <v>3</v>
      </c>
      <c r="D64" s="1192">
        <f t="shared" si="4"/>
        <v>260</v>
      </c>
      <c r="E64" s="1192" t="s">
        <v>3</v>
      </c>
      <c r="F64" s="1190">
        <f t="shared" si="5"/>
        <v>800</v>
      </c>
      <c r="G64" s="1192" t="s">
        <v>3</v>
      </c>
      <c r="H64" s="1189">
        <v>2</v>
      </c>
      <c r="I64" s="1191" t="s">
        <v>40</v>
      </c>
      <c r="J64" s="149">
        <v>110</v>
      </c>
      <c r="K64" s="66">
        <v>260</v>
      </c>
      <c r="L64" s="66">
        <v>800</v>
      </c>
      <c r="M64" s="156">
        <v>10.006341950095901</v>
      </c>
      <c r="N64" s="78">
        <v>343.97908932582806</v>
      </c>
      <c r="O64" s="113">
        <v>19167.345278472425</v>
      </c>
      <c r="P64" s="109">
        <v>23153.423708658211</v>
      </c>
      <c r="Q64" s="254">
        <v>10347.434921169664</v>
      </c>
      <c r="R64" s="263">
        <v>29514.780199642089</v>
      </c>
      <c r="S64" s="259">
        <v>33500.858629827875</v>
      </c>
      <c r="U64" s="7" t="s">
        <v>4883</v>
      </c>
    </row>
    <row r="65" spans="1:21" ht="16.5" thickBot="1">
      <c r="A65" s="1188" t="s">
        <v>4533</v>
      </c>
      <c r="B65" s="1192">
        <f t="shared" si="3"/>
        <v>110</v>
      </c>
      <c r="C65" s="1192" t="s">
        <v>3</v>
      </c>
      <c r="D65" s="1192">
        <f t="shared" si="4"/>
        <v>260</v>
      </c>
      <c r="E65" s="1192" t="s">
        <v>3</v>
      </c>
      <c r="F65" s="1190">
        <f t="shared" si="5"/>
        <v>850</v>
      </c>
      <c r="G65" s="1192" t="s">
        <v>3</v>
      </c>
      <c r="H65" s="1189">
        <v>2</v>
      </c>
      <c r="I65" s="1191" t="s">
        <v>40</v>
      </c>
      <c r="J65" s="149">
        <v>110</v>
      </c>
      <c r="K65" s="66">
        <v>260</v>
      </c>
      <c r="L65" s="66">
        <v>850</v>
      </c>
      <c r="M65" s="156">
        <v>10.547339679673433</v>
      </c>
      <c r="N65" s="78">
        <v>382.19898813980893</v>
      </c>
      <c r="O65" s="113">
        <v>19882.610449306289</v>
      </c>
      <c r="P65" s="109">
        <v>24047.667803520675</v>
      </c>
      <c r="Q65" s="254">
        <v>11069.224626433395</v>
      </c>
      <c r="R65" s="263">
        <v>30951.835075739684</v>
      </c>
      <c r="S65" s="259">
        <v>35116.892429954067</v>
      </c>
      <c r="U65" s="7" t="s">
        <v>4884</v>
      </c>
    </row>
    <row r="66" spans="1:21" ht="16.5" thickBot="1">
      <c r="A66" s="1188" t="s">
        <v>4533</v>
      </c>
      <c r="B66" s="1192">
        <f t="shared" si="3"/>
        <v>110</v>
      </c>
      <c r="C66" s="1192" t="s">
        <v>3</v>
      </c>
      <c r="D66" s="1192">
        <f t="shared" si="4"/>
        <v>260</v>
      </c>
      <c r="E66" s="1192" t="s">
        <v>3</v>
      </c>
      <c r="F66" s="1190">
        <f t="shared" si="5"/>
        <v>900</v>
      </c>
      <c r="G66" s="1192" t="s">
        <v>3</v>
      </c>
      <c r="H66" s="1189">
        <v>2</v>
      </c>
      <c r="I66" s="1191" t="s">
        <v>40</v>
      </c>
      <c r="J66" s="149">
        <v>110</v>
      </c>
      <c r="K66" s="66">
        <v>260</v>
      </c>
      <c r="L66" s="66">
        <v>900</v>
      </c>
      <c r="M66" s="156">
        <v>11.088337409250968</v>
      </c>
      <c r="N66" s="78">
        <v>420.41888695378987</v>
      </c>
      <c r="O66" s="113">
        <v>20597.875620140152</v>
      </c>
      <c r="P66" s="109">
        <v>24941.911898383139</v>
      </c>
      <c r="Q66" s="254">
        <v>11539.680193913358</v>
      </c>
      <c r="R66" s="263">
        <v>32137.55581405351</v>
      </c>
      <c r="S66" s="259">
        <v>36481.592092296502</v>
      </c>
      <c r="U66" s="7" t="s">
        <v>4885</v>
      </c>
    </row>
    <row r="67" spans="1:21" ht="16.5" thickBot="1">
      <c r="A67" s="1188" t="s">
        <v>4533</v>
      </c>
      <c r="B67" s="1192">
        <f t="shared" si="3"/>
        <v>110</v>
      </c>
      <c r="C67" s="1192" t="s">
        <v>3</v>
      </c>
      <c r="D67" s="1192">
        <f t="shared" si="4"/>
        <v>260</v>
      </c>
      <c r="E67" s="1192" t="s">
        <v>3</v>
      </c>
      <c r="F67" s="1190">
        <f t="shared" si="5"/>
        <v>950</v>
      </c>
      <c r="G67" s="1192" t="s">
        <v>3</v>
      </c>
      <c r="H67" s="1189">
        <v>2</v>
      </c>
      <c r="I67" s="1191" t="s">
        <v>40</v>
      </c>
      <c r="J67" s="149">
        <v>110</v>
      </c>
      <c r="K67" s="66">
        <v>260</v>
      </c>
      <c r="L67" s="66">
        <v>950</v>
      </c>
      <c r="M67" s="156">
        <v>11.629335138828502</v>
      </c>
      <c r="N67" s="78">
        <v>458.63878576777068</v>
      </c>
      <c r="O67" s="113">
        <v>21313.140637945249</v>
      </c>
      <c r="P67" s="109">
        <v>25836.156146274367</v>
      </c>
      <c r="Q67" s="254">
        <v>12261.469899177091</v>
      </c>
      <c r="R67" s="263">
        <v>33574.610537122338</v>
      </c>
      <c r="S67" s="259">
        <v>38097.626045451456</v>
      </c>
      <c r="U67" s="7" t="s">
        <v>4886</v>
      </c>
    </row>
    <row r="68" spans="1:21" ht="16.5" thickBot="1">
      <c r="A68" s="1188" t="s">
        <v>4533</v>
      </c>
      <c r="B68" s="1192">
        <f t="shared" si="3"/>
        <v>110</v>
      </c>
      <c r="C68" s="1192" t="s">
        <v>3</v>
      </c>
      <c r="D68" s="1192">
        <f t="shared" si="4"/>
        <v>260</v>
      </c>
      <c r="E68" s="1192" t="s">
        <v>3</v>
      </c>
      <c r="F68" s="1190">
        <f t="shared" si="5"/>
        <v>1000</v>
      </c>
      <c r="G68" s="1192" t="s">
        <v>3</v>
      </c>
      <c r="H68" s="1189">
        <v>2</v>
      </c>
      <c r="I68" s="1191" t="s">
        <v>40</v>
      </c>
      <c r="J68" s="149">
        <v>110</v>
      </c>
      <c r="K68" s="66">
        <v>260</v>
      </c>
      <c r="L68" s="66">
        <v>1000</v>
      </c>
      <c r="M68" s="156">
        <v>12.271779668406035</v>
      </c>
      <c r="N68" s="78">
        <v>496.85868458175162</v>
      </c>
      <c r="O68" s="113">
        <v>22078.856332065519</v>
      </c>
      <c r="P68" s="109">
        <v>26780.850764423245</v>
      </c>
      <c r="Q68" s="254">
        <v>12731.925466657052</v>
      </c>
      <c r="R68" s="263">
        <v>34810.781798722572</v>
      </c>
      <c r="S68" s="259">
        <v>39512.776231080294</v>
      </c>
      <c r="U68" s="7" t="s">
        <v>4887</v>
      </c>
    </row>
    <row r="69" spans="1:21" ht="16.5" thickBot="1">
      <c r="A69" s="1188" t="s">
        <v>4533</v>
      </c>
      <c r="B69" s="1192">
        <f t="shared" si="3"/>
        <v>110</v>
      </c>
      <c r="C69" s="1192" t="s">
        <v>3</v>
      </c>
      <c r="D69" s="1192">
        <f t="shared" si="4"/>
        <v>260</v>
      </c>
      <c r="E69" s="1192" t="s">
        <v>3</v>
      </c>
      <c r="F69" s="1190">
        <f t="shared" si="5"/>
        <v>1050</v>
      </c>
      <c r="G69" s="1192" t="s">
        <v>3</v>
      </c>
      <c r="H69" s="1189">
        <v>2</v>
      </c>
      <c r="I69" s="1191" t="s">
        <v>40</v>
      </c>
      <c r="J69" s="149">
        <v>110</v>
      </c>
      <c r="K69" s="66">
        <v>260</v>
      </c>
      <c r="L69" s="66">
        <v>1050</v>
      </c>
      <c r="M69" s="156">
        <v>12.812777397983567</v>
      </c>
      <c r="N69" s="78">
        <v>535.07858339573249</v>
      </c>
      <c r="O69" s="113">
        <v>22794.121502899383</v>
      </c>
      <c r="P69" s="109">
        <v>27675.094859285706</v>
      </c>
      <c r="Q69" s="254">
        <v>13453.71501889202</v>
      </c>
      <c r="R69" s="263">
        <v>36247.836521791403</v>
      </c>
      <c r="S69" s="259">
        <v>41128.809878177723</v>
      </c>
      <c r="U69" s="7" t="s">
        <v>4888</v>
      </c>
    </row>
    <row r="70" spans="1:21" ht="16.5" thickBot="1">
      <c r="A70" s="1188" t="s">
        <v>4533</v>
      </c>
      <c r="B70" s="1189">
        <f t="shared" si="3"/>
        <v>110</v>
      </c>
      <c r="C70" s="1189" t="s">
        <v>3</v>
      </c>
      <c r="D70" s="1189">
        <f t="shared" si="4"/>
        <v>260</v>
      </c>
      <c r="E70" s="1189" t="s">
        <v>3</v>
      </c>
      <c r="F70" s="1190">
        <f t="shared" si="5"/>
        <v>1100</v>
      </c>
      <c r="G70" s="1189" t="s">
        <v>3</v>
      </c>
      <c r="H70" s="1189">
        <v>2</v>
      </c>
      <c r="I70" s="1191" t="s">
        <v>40</v>
      </c>
      <c r="J70" s="149">
        <v>110</v>
      </c>
      <c r="K70" s="66">
        <v>260</v>
      </c>
      <c r="L70" s="66">
        <v>1100</v>
      </c>
      <c r="M70" s="156">
        <v>13.3537751275611</v>
      </c>
      <c r="N70" s="78">
        <v>573.29848220971337</v>
      </c>
      <c r="O70" s="113">
        <v>23509.38652070448</v>
      </c>
      <c r="P70" s="109">
        <v>28569.338954148174</v>
      </c>
      <c r="Q70" s="254">
        <v>13924.170586371982</v>
      </c>
      <c r="R70" s="263">
        <v>37433.557107076464</v>
      </c>
      <c r="S70" s="259">
        <v>42493.509540520157</v>
      </c>
      <c r="U70" s="7" t="s">
        <v>4889</v>
      </c>
    </row>
    <row r="71" spans="1:21" ht="16.5" thickBot="1">
      <c r="A71" s="1188" t="s">
        <v>4533</v>
      </c>
      <c r="B71" s="1192">
        <f t="shared" si="3"/>
        <v>110</v>
      </c>
      <c r="C71" s="1192" t="s">
        <v>3</v>
      </c>
      <c r="D71" s="1192">
        <f t="shared" si="4"/>
        <v>260</v>
      </c>
      <c r="E71" s="1192" t="s">
        <v>3</v>
      </c>
      <c r="F71" s="1190">
        <f t="shared" si="5"/>
        <v>1150</v>
      </c>
      <c r="G71" s="1192" t="s">
        <v>3</v>
      </c>
      <c r="H71" s="1189">
        <v>2</v>
      </c>
      <c r="I71" s="1191" t="s">
        <v>40</v>
      </c>
      <c r="J71" s="149">
        <v>110</v>
      </c>
      <c r="K71" s="66">
        <v>260</v>
      </c>
      <c r="L71" s="66">
        <v>1150</v>
      </c>
      <c r="M71" s="156">
        <v>13.894772857138634</v>
      </c>
      <c r="N71" s="78">
        <v>611.51838102369436</v>
      </c>
      <c r="O71" s="113">
        <v>24224.65169153834</v>
      </c>
      <c r="P71" s="109">
        <v>29463.583049010635</v>
      </c>
      <c r="Q71" s="254">
        <v>14394.626153851941</v>
      </c>
      <c r="R71" s="263">
        <v>38619.277845390279</v>
      </c>
      <c r="S71" s="259">
        <v>43858.209202862578</v>
      </c>
      <c r="U71" s="7" t="s">
        <v>4890</v>
      </c>
    </row>
    <row r="72" spans="1:21" ht="16.5" thickBot="1">
      <c r="A72" s="1188" t="s">
        <v>4533</v>
      </c>
      <c r="B72" s="1192">
        <f t="shared" si="3"/>
        <v>110</v>
      </c>
      <c r="C72" s="1192" t="s">
        <v>3</v>
      </c>
      <c r="D72" s="1192">
        <f t="shared" si="4"/>
        <v>260</v>
      </c>
      <c r="E72" s="1192" t="s">
        <v>3</v>
      </c>
      <c r="F72" s="1190">
        <f t="shared" si="5"/>
        <v>1200</v>
      </c>
      <c r="G72" s="1192" t="s">
        <v>3</v>
      </c>
      <c r="H72" s="1189">
        <v>2</v>
      </c>
      <c r="I72" s="1191" t="s">
        <v>40</v>
      </c>
      <c r="J72" s="149">
        <v>110</v>
      </c>
      <c r="K72" s="66">
        <v>260</v>
      </c>
      <c r="L72" s="66">
        <v>1200</v>
      </c>
      <c r="M72" s="156">
        <v>14.435770586716163</v>
      </c>
      <c r="N72" s="78">
        <v>649.73827983767512</v>
      </c>
      <c r="O72" s="113">
        <v>24939.916862372203</v>
      </c>
      <c r="P72" s="109">
        <v>30357.827296901865</v>
      </c>
      <c r="Q72" s="254">
        <v>15116.415859115676</v>
      </c>
      <c r="R72" s="263">
        <v>40056.332721487881</v>
      </c>
      <c r="S72" s="259">
        <v>45474.243156017539</v>
      </c>
      <c r="U72" s="7" t="s">
        <v>4891</v>
      </c>
    </row>
    <row r="73" spans="1:21" ht="16.5" thickBot="1">
      <c r="A73" s="1188" t="s">
        <v>4533</v>
      </c>
      <c r="B73" s="1192">
        <f t="shared" si="3"/>
        <v>110</v>
      </c>
      <c r="C73" s="1192" t="s">
        <v>3</v>
      </c>
      <c r="D73" s="1192">
        <f t="shared" si="4"/>
        <v>260</v>
      </c>
      <c r="E73" s="1192" t="s">
        <v>3</v>
      </c>
      <c r="F73" s="1190">
        <f t="shared" si="5"/>
        <v>1250</v>
      </c>
      <c r="G73" s="1192" t="s">
        <v>3</v>
      </c>
      <c r="H73" s="1189">
        <v>2</v>
      </c>
      <c r="I73" s="1191" t="s">
        <v>40</v>
      </c>
      <c r="J73" s="149">
        <v>110</v>
      </c>
      <c r="K73" s="66">
        <v>260</v>
      </c>
      <c r="L73" s="66">
        <v>1250</v>
      </c>
      <c r="M73" s="156">
        <v>14.9767683162937</v>
      </c>
      <c r="N73" s="78">
        <v>687.95817865165611</v>
      </c>
      <c r="O73" s="113">
        <v>25655.181880177301</v>
      </c>
      <c r="P73" s="109">
        <v>31252.071391764333</v>
      </c>
      <c r="Q73" s="254">
        <v>15586.871426595639</v>
      </c>
      <c r="R73" s="263">
        <v>41242.053306772941</v>
      </c>
      <c r="S73" s="259">
        <v>46838.942818359974</v>
      </c>
      <c r="U73" s="7" t="s">
        <v>4892</v>
      </c>
    </row>
    <row r="74" spans="1:21" ht="16.5" thickBot="1">
      <c r="A74" s="1188" t="s">
        <v>4533</v>
      </c>
      <c r="B74" s="1192">
        <f t="shared" si="3"/>
        <v>110</v>
      </c>
      <c r="C74" s="1192" t="s">
        <v>3</v>
      </c>
      <c r="D74" s="1192">
        <f t="shared" si="4"/>
        <v>260</v>
      </c>
      <c r="E74" s="1192" t="s">
        <v>3</v>
      </c>
      <c r="F74" s="1190">
        <f t="shared" si="5"/>
        <v>1300</v>
      </c>
      <c r="G74" s="1192" t="s">
        <v>3</v>
      </c>
      <c r="H74" s="1189">
        <v>2</v>
      </c>
      <c r="I74" s="1191" t="s">
        <v>40</v>
      </c>
      <c r="J74" s="149">
        <v>110</v>
      </c>
      <c r="K74" s="66">
        <v>260</v>
      </c>
      <c r="L74" s="66">
        <v>1300</v>
      </c>
      <c r="M74" s="156">
        <v>15.517766045871234</v>
      </c>
      <c r="N74" s="78">
        <v>726.17807746563699</v>
      </c>
      <c r="O74" s="113">
        <v>26370.447051011164</v>
      </c>
      <c r="P74" s="109">
        <v>32146.315486626794</v>
      </c>
      <c r="Q74" s="254">
        <v>16308.66113185937</v>
      </c>
      <c r="R74" s="263">
        <v>42679.108182870536</v>
      </c>
      <c r="S74" s="259">
        <v>48454.976618486166</v>
      </c>
      <c r="U74" s="7" t="s">
        <v>4893</v>
      </c>
    </row>
    <row r="75" spans="1:21" ht="16.5" thickBot="1">
      <c r="A75" s="1188" t="s">
        <v>4533</v>
      </c>
      <c r="B75" s="1192">
        <f t="shared" si="3"/>
        <v>110</v>
      </c>
      <c r="C75" s="1192" t="s">
        <v>3</v>
      </c>
      <c r="D75" s="1192">
        <f t="shared" si="4"/>
        <v>260</v>
      </c>
      <c r="E75" s="1192" t="s">
        <v>3</v>
      </c>
      <c r="F75" s="1190">
        <f t="shared" si="5"/>
        <v>1350</v>
      </c>
      <c r="G75" s="1192" t="s">
        <v>3</v>
      </c>
      <c r="H75" s="1189">
        <v>2</v>
      </c>
      <c r="I75" s="1191" t="s">
        <v>40</v>
      </c>
      <c r="J75" s="149">
        <v>110</v>
      </c>
      <c r="K75" s="66">
        <v>260</v>
      </c>
      <c r="L75" s="66">
        <v>1350</v>
      </c>
      <c r="M75" s="156">
        <v>16.05876377544876</v>
      </c>
      <c r="N75" s="78">
        <v>764.39797627961786</v>
      </c>
      <c r="O75" s="113">
        <v>27085.712221845024</v>
      </c>
      <c r="P75" s="109">
        <v>33040.559581489259</v>
      </c>
      <c r="Q75" s="254">
        <v>16779.116699339331</v>
      </c>
      <c r="R75" s="263">
        <v>43864.828921184351</v>
      </c>
      <c r="S75" s="259">
        <v>49819.676280828586</v>
      </c>
      <c r="U75" s="7" t="s">
        <v>4894</v>
      </c>
    </row>
    <row r="76" spans="1:21" ht="16.5" thickBot="1">
      <c r="A76" s="1188" t="s">
        <v>4533</v>
      </c>
      <c r="B76" s="1192">
        <f t="shared" si="3"/>
        <v>110</v>
      </c>
      <c r="C76" s="1192" t="s">
        <v>3</v>
      </c>
      <c r="D76" s="1192">
        <f t="shared" si="4"/>
        <v>260</v>
      </c>
      <c r="E76" s="1192" t="s">
        <v>3</v>
      </c>
      <c r="F76" s="1190">
        <f t="shared" si="5"/>
        <v>1400</v>
      </c>
      <c r="G76" s="1192" t="s">
        <v>3</v>
      </c>
      <c r="H76" s="1189">
        <v>2</v>
      </c>
      <c r="I76" s="1191" t="s">
        <v>40</v>
      </c>
      <c r="J76" s="149">
        <v>110</v>
      </c>
      <c r="K76" s="66">
        <v>260</v>
      </c>
      <c r="L76" s="66">
        <v>1400</v>
      </c>
      <c r="M76" s="156">
        <v>16.599761505026297</v>
      </c>
      <c r="N76" s="78">
        <v>802.61787509359874</v>
      </c>
      <c r="O76" s="113">
        <v>27800.977392678884</v>
      </c>
      <c r="P76" s="109">
        <v>33934.803676351723</v>
      </c>
      <c r="Q76" s="254">
        <v>17500.906404603062</v>
      </c>
      <c r="R76" s="263">
        <v>45301.883797281946</v>
      </c>
      <c r="S76" s="259">
        <v>51435.710080954785</v>
      </c>
      <c r="U76" s="7" t="s">
        <v>4895</v>
      </c>
    </row>
    <row r="77" spans="1:21" ht="16.5" thickBot="1">
      <c r="A77" s="1188" t="s">
        <v>4533</v>
      </c>
      <c r="B77" s="1192">
        <f t="shared" si="3"/>
        <v>110</v>
      </c>
      <c r="C77" s="1192" t="s">
        <v>3</v>
      </c>
      <c r="D77" s="1192">
        <f t="shared" si="4"/>
        <v>260</v>
      </c>
      <c r="E77" s="1192" t="s">
        <v>3</v>
      </c>
      <c r="F77" s="1190">
        <f t="shared" si="5"/>
        <v>1450</v>
      </c>
      <c r="G77" s="1192" t="s">
        <v>3</v>
      </c>
      <c r="H77" s="1189">
        <v>2</v>
      </c>
      <c r="I77" s="1191" t="s">
        <v>40</v>
      </c>
      <c r="J77" s="149">
        <v>110</v>
      </c>
      <c r="K77" s="66">
        <v>260</v>
      </c>
      <c r="L77" s="66">
        <v>1450</v>
      </c>
      <c r="M77" s="156">
        <v>17.140759234603834</v>
      </c>
      <c r="N77" s="78">
        <v>840.83777390757973</v>
      </c>
      <c r="O77" s="113">
        <v>28516.242410483985</v>
      </c>
      <c r="P77" s="109">
        <v>34829.04792424295</v>
      </c>
      <c r="Q77" s="254">
        <v>17971.361972083025</v>
      </c>
      <c r="R77" s="263">
        <v>46487.604382567006</v>
      </c>
      <c r="S77" s="259">
        <v>52800.409896325975</v>
      </c>
      <c r="U77" s="7" t="s">
        <v>4896</v>
      </c>
    </row>
    <row r="78" spans="1:21" ht="16.5" thickBot="1">
      <c r="A78" s="1188" t="s">
        <v>4533</v>
      </c>
      <c r="B78" s="1192">
        <f t="shared" si="3"/>
        <v>110</v>
      </c>
      <c r="C78" s="1192" t="s">
        <v>3</v>
      </c>
      <c r="D78" s="1192">
        <f t="shared" si="4"/>
        <v>260</v>
      </c>
      <c r="E78" s="1192" t="s">
        <v>3</v>
      </c>
      <c r="F78" s="1190">
        <f t="shared" si="5"/>
        <v>1500</v>
      </c>
      <c r="G78" s="1192" t="s">
        <v>3</v>
      </c>
      <c r="H78" s="1189">
        <v>2</v>
      </c>
      <c r="I78" s="1191" t="s">
        <v>40</v>
      </c>
      <c r="J78" s="149">
        <v>110</v>
      </c>
      <c r="K78" s="66">
        <v>260</v>
      </c>
      <c r="L78" s="66">
        <v>1500</v>
      </c>
      <c r="M78" s="156">
        <v>17.980144564181366</v>
      </c>
      <c r="N78" s="78">
        <v>879.05767272156049</v>
      </c>
      <c r="O78" s="113">
        <v>29967.82201182342</v>
      </c>
      <c r="P78" s="109">
        <v>36646.699111795286</v>
      </c>
      <c r="Q78" s="254">
        <v>18693.151677346756</v>
      </c>
      <c r="R78" s="263">
        <v>48660.973689170176</v>
      </c>
      <c r="S78" s="259">
        <v>55339.850789142045</v>
      </c>
      <c r="U78" s="7" t="s">
        <v>4897</v>
      </c>
    </row>
    <row r="79" spans="1:21" ht="16.5" thickBot="1">
      <c r="A79" s="1188" t="s">
        <v>4533</v>
      </c>
      <c r="B79" s="1192">
        <f t="shared" si="3"/>
        <v>110</v>
      </c>
      <c r="C79" s="1192" t="s">
        <v>3</v>
      </c>
      <c r="D79" s="1192">
        <f t="shared" si="4"/>
        <v>260</v>
      </c>
      <c r="E79" s="1192" t="s">
        <v>3</v>
      </c>
      <c r="F79" s="1190">
        <f t="shared" si="5"/>
        <v>1550</v>
      </c>
      <c r="G79" s="1192" t="s">
        <v>3</v>
      </c>
      <c r="H79" s="1189">
        <v>2</v>
      </c>
      <c r="I79" s="1191" t="s">
        <v>40</v>
      </c>
      <c r="J79" s="149">
        <v>110</v>
      </c>
      <c r="K79" s="66">
        <v>260</v>
      </c>
      <c r="L79" s="66">
        <v>1550</v>
      </c>
      <c r="M79" s="156">
        <v>18.521142293758896</v>
      </c>
      <c r="N79" s="78">
        <v>917.27757153554137</v>
      </c>
      <c r="O79" s="113">
        <v>30683.087029628514</v>
      </c>
      <c r="P79" s="109">
        <v>37540.94320665775</v>
      </c>
      <c r="Q79" s="254">
        <v>19163.607244826719</v>
      </c>
      <c r="R79" s="263">
        <v>49846.694274455236</v>
      </c>
      <c r="S79" s="259">
        <v>56704.550451484465</v>
      </c>
      <c r="U79" s="7" t="s">
        <v>4898</v>
      </c>
    </row>
    <row r="80" spans="1:21" ht="16.5" thickBot="1">
      <c r="A80" s="1188" t="s">
        <v>4533</v>
      </c>
      <c r="B80" s="1189">
        <f t="shared" si="3"/>
        <v>110</v>
      </c>
      <c r="C80" s="1189" t="s">
        <v>3</v>
      </c>
      <c r="D80" s="1189">
        <f t="shared" si="4"/>
        <v>260</v>
      </c>
      <c r="E80" s="1189" t="s">
        <v>3</v>
      </c>
      <c r="F80" s="1190">
        <f t="shared" si="5"/>
        <v>1600</v>
      </c>
      <c r="G80" s="1189" t="s">
        <v>3</v>
      </c>
      <c r="H80" s="1189">
        <v>2</v>
      </c>
      <c r="I80" s="1191" t="s">
        <v>40</v>
      </c>
      <c r="J80" s="149">
        <v>110</v>
      </c>
      <c r="K80" s="66">
        <v>260</v>
      </c>
      <c r="L80" s="66">
        <v>1600</v>
      </c>
      <c r="M80" s="156">
        <v>19.062140023336433</v>
      </c>
      <c r="N80" s="78">
        <v>955.49747034952236</v>
      </c>
      <c r="O80" s="113">
        <v>31398.352200462377</v>
      </c>
      <c r="P80" s="109">
        <v>38435.187301520215</v>
      </c>
      <c r="Q80" s="254">
        <v>19634.062812306682</v>
      </c>
      <c r="R80" s="263">
        <v>51032.415012769059</v>
      </c>
      <c r="S80" s="259">
        <v>58069.2501138269</v>
      </c>
      <c r="U80" s="7" t="s">
        <v>4899</v>
      </c>
    </row>
    <row r="81" spans="1:21" ht="16.5" thickBot="1">
      <c r="A81" s="1188" t="s">
        <v>4533</v>
      </c>
      <c r="B81" s="1192">
        <f t="shared" si="3"/>
        <v>110</v>
      </c>
      <c r="C81" s="1192" t="s">
        <v>3</v>
      </c>
      <c r="D81" s="1192">
        <f t="shared" si="4"/>
        <v>260</v>
      </c>
      <c r="E81" s="1192" t="s">
        <v>3</v>
      </c>
      <c r="F81" s="1190">
        <f t="shared" si="5"/>
        <v>1650</v>
      </c>
      <c r="G81" s="1192" t="s">
        <v>3</v>
      </c>
      <c r="H81" s="1189">
        <v>2</v>
      </c>
      <c r="I81" s="1191" t="s">
        <v>40</v>
      </c>
      <c r="J81" s="149">
        <v>110</v>
      </c>
      <c r="K81" s="66">
        <v>260</v>
      </c>
      <c r="L81" s="66">
        <v>1650</v>
      </c>
      <c r="M81" s="156">
        <v>19.603137752913959</v>
      </c>
      <c r="N81" s="78">
        <v>993.71736916350324</v>
      </c>
      <c r="O81" s="113">
        <v>32113.617371296245</v>
      </c>
      <c r="P81" s="109">
        <v>39329.431396382679</v>
      </c>
      <c r="Q81" s="254">
        <v>20355.852364541646</v>
      </c>
      <c r="R81" s="263">
        <v>52469.469735837891</v>
      </c>
      <c r="S81" s="259">
        <v>59685.283760924329</v>
      </c>
      <c r="U81" s="7" t="s">
        <v>4900</v>
      </c>
    </row>
    <row r="82" spans="1:21" ht="16.5" thickBot="1">
      <c r="A82" s="1188" t="s">
        <v>4533</v>
      </c>
      <c r="B82" s="1192">
        <f t="shared" si="3"/>
        <v>110</v>
      </c>
      <c r="C82" s="1192" t="s">
        <v>3</v>
      </c>
      <c r="D82" s="1192">
        <f t="shared" si="4"/>
        <v>260</v>
      </c>
      <c r="E82" s="1192" t="s">
        <v>3</v>
      </c>
      <c r="F82" s="1190">
        <f t="shared" si="5"/>
        <v>1700</v>
      </c>
      <c r="G82" s="1192" t="s">
        <v>3</v>
      </c>
      <c r="H82" s="1189">
        <v>2</v>
      </c>
      <c r="I82" s="1191" t="s">
        <v>40</v>
      </c>
      <c r="J82" s="149">
        <v>110</v>
      </c>
      <c r="K82" s="66">
        <v>260</v>
      </c>
      <c r="L82" s="66">
        <v>1700</v>
      </c>
      <c r="M82" s="156">
        <v>20.144135482491492</v>
      </c>
      <c r="N82" s="78">
        <v>1031.9372679774842</v>
      </c>
      <c r="O82" s="113">
        <v>32828.882389101338</v>
      </c>
      <c r="P82" s="109">
        <v>40223.675644273906</v>
      </c>
      <c r="Q82" s="254">
        <v>20826.307932021609</v>
      </c>
      <c r="R82" s="263">
        <v>53655.190321122951</v>
      </c>
      <c r="S82" s="259">
        <v>61049.983576295519</v>
      </c>
      <c r="U82" s="7" t="s">
        <v>4901</v>
      </c>
    </row>
    <row r="83" spans="1:21" ht="16.5" thickBot="1">
      <c r="A83" s="1188" t="s">
        <v>4533</v>
      </c>
      <c r="B83" s="1192">
        <f t="shared" si="3"/>
        <v>110</v>
      </c>
      <c r="C83" s="1192" t="s">
        <v>3</v>
      </c>
      <c r="D83" s="1192">
        <f t="shared" si="4"/>
        <v>260</v>
      </c>
      <c r="E83" s="1192" t="s">
        <v>3</v>
      </c>
      <c r="F83" s="1190">
        <f t="shared" si="5"/>
        <v>1750</v>
      </c>
      <c r="G83" s="1192" t="s">
        <v>3</v>
      </c>
      <c r="H83" s="1189">
        <v>2</v>
      </c>
      <c r="I83" s="1191" t="s">
        <v>40</v>
      </c>
      <c r="J83" s="149">
        <v>110</v>
      </c>
      <c r="K83" s="66">
        <v>260</v>
      </c>
      <c r="L83" s="66">
        <v>1750</v>
      </c>
      <c r="M83" s="156">
        <v>20.685133212069026</v>
      </c>
      <c r="N83" s="78">
        <v>1070.157166791465</v>
      </c>
      <c r="O83" s="113">
        <v>33544.147559935198</v>
      </c>
      <c r="P83" s="109">
        <v>41117.91973913637</v>
      </c>
      <c r="Q83" s="254">
        <v>21548.09763728534</v>
      </c>
      <c r="R83" s="263">
        <v>55092.245197220538</v>
      </c>
      <c r="S83" s="259">
        <v>62666.017376421711</v>
      </c>
      <c r="U83" s="7" t="s">
        <v>4902</v>
      </c>
    </row>
    <row r="84" spans="1:21" ht="16.5" thickBot="1">
      <c r="A84" s="1188" t="s">
        <v>4533</v>
      </c>
      <c r="B84" s="1192">
        <f t="shared" si="3"/>
        <v>110</v>
      </c>
      <c r="C84" s="1192" t="s">
        <v>3</v>
      </c>
      <c r="D84" s="1192">
        <f t="shared" si="4"/>
        <v>260</v>
      </c>
      <c r="E84" s="1192" t="s">
        <v>3</v>
      </c>
      <c r="F84" s="1190">
        <f t="shared" si="5"/>
        <v>1800</v>
      </c>
      <c r="G84" s="1192" t="s">
        <v>3</v>
      </c>
      <c r="H84" s="1189">
        <v>2</v>
      </c>
      <c r="I84" s="1191" t="s">
        <v>40</v>
      </c>
      <c r="J84" s="149">
        <v>110</v>
      </c>
      <c r="K84" s="66">
        <v>260</v>
      </c>
      <c r="L84" s="66">
        <v>1800</v>
      </c>
      <c r="M84" s="156">
        <v>21.226130941646563</v>
      </c>
      <c r="N84" s="78">
        <v>1108.377065605446</v>
      </c>
      <c r="O84" s="113">
        <v>34259.412730769058</v>
      </c>
      <c r="P84" s="109">
        <v>42012.163833998835</v>
      </c>
      <c r="Q84" s="254">
        <v>22018.553204765303</v>
      </c>
      <c r="R84" s="263">
        <v>56277.965935534361</v>
      </c>
      <c r="S84" s="259">
        <v>64030.717038764138</v>
      </c>
      <c r="U84" s="7" t="s">
        <v>4903</v>
      </c>
    </row>
    <row r="85" spans="1:21" ht="16.5" thickBot="1">
      <c r="A85" s="1188" t="s">
        <v>4533</v>
      </c>
      <c r="B85" s="1192">
        <f t="shared" si="3"/>
        <v>110</v>
      </c>
      <c r="C85" s="1192" t="s">
        <v>3</v>
      </c>
      <c r="D85" s="1192">
        <f t="shared" si="4"/>
        <v>260</v>
      </c>
      <c r="E85" s="1192" t="s">
        <v>3</v>
      </c>
      <c r="F85" s="1190">
        <f t="shared" si="5"/>
        <v>1850</v>
      </c>
      <c r="G85" s="1192" t="s">
        <v>3</v>
      </c>
      <c r="H85" s="1189">
        <v>2</v>
      </c>
      <c r="I85" s="1191" t="s">
        <v>40</v>
      </c>
      <c r="J85" s="149">
        <v>110</v>
      </c>
      <c r="K85" s="66">
        <v>260</v>
      </c>
      <c r="L85" s="66">
        <v>1850</v>
      </c>
      <c r="M85" s="156">
        <v>21.767128671224093</v>
      </c>
      <c r="N85" s="78">
        <v>1146.5969644194267</v>
      </c>
      <c r="O85" s="113">
        <v>34974.677748574162</v>
      </c>
      <c r="P85" s="109">
        <v>42906.407928861299</v>
      </c>
      <c r="Q85" s="254">
        <v>22740.342910029034</v>
      </c>
      <c r="R85" s="263">
        <v>57715.0206586032</v>
      </c>
      <c r="S85" s="259">
        <v>65646.750838890337</v>
      </c>
      <c r="U85" s="7" t="s">
        <v>4904</v>
      </c>
    </row>
    <row r="86" spans="1:21" ht="16.5" thickBot="1">
      <c r="A86" s="1188" t="s">
        <v>4533</v>
      </c>
      <c r="B86" s="1192">
        <f t="shared" si="3"/>
        <v>110</v>
      </c>
      <c r="C86" s="1192" t="s">
        <v>3</v>
      </c>
      <c r="D86" s="1192">
        <f t="shared" si="4"/>
        <v>260</v>
      </c>
      <c r="E86" s="1192" t="s">
        <v>3</v>
      </c>
      <c r="F86" s="1190">
        <f t="shared" si="5"/>
        <v>1900</v>
      </c>
      <c r="G86" s="1192" t="s">
        <v>3</v>
      </c>
      <c r="H86" s="1189">
        <v>2</v>
      </c>
      <c r="I86" s="1191" t="s">
        <v>40</v>
      </c>
      <c r="J86" s="149">
        <v>110</v>
      </c>
      <c r="K86" s="66">
        <v>260</v>
      </c>
      <c r="L86" s="66">
        <v>1900</v>
      </c>
      <c r="M86" s="156">
        <v>22.308126400801626</v>
      </c>
      <c r="N86" s="78">
        <v>1184.8168632334077</v>
      </c>
      <c r="O86" s="113">
        <v>35689.942919408022</v>
      </c>
      <c r="P86" s="109">
        <v>43800.652023723764</v>
      </c>
      <c r="Q86" s="254">
        <v>23210.798477508997</v>
      </c>
      <c r="R86" s="263">
        <v>58900.741396917016</v>
      </c>
      <c r="S86" s="259">
        <v>67011.450501232757</v>
      </c>
      <c r="U86" s="7" t="s">
        <v>4905</v>
      </c>
    </row>
    <row r="87" spans="1:21" ht="16.5" thickBot="1">
      <c r="A87" s="1188" t="s">
        <v>4533</v>
      </c>
      <c r="B87" s="1192">
        <f t="shared" si="3"/>
        <v>110</v>
      </c>
      <c r="C87" s="1192" t="s">
        <v>3</v>
      </c>
      <c r="D87" s="1192">
        <f t="shared" si="4"/>
        <v>260</v>
      </c>
      <c r="E87" s="1192" t="s">
        <v>3</v>
      </c>
      <c r="F87" s="1190">
        <f t="shared" si="5"/>
        <v>1950</v>
      </c>
      <c r="G87" s="1192" t="s">
        <v>3</v>
      </c>
      <c r="H87" s="1189">
        <v>2</v>
      </c>
      <c r="I87" s="1191" t="s">
        <v>40</v>
      </c>
      <c r="J87" s="149">
        <v>110</v>
      </c>
      <c r="K87" s="66">
        <v>260</v>
      </c>
      <c r="L87" s="66">
        <v>1950</v>
      </c>
      <c r="M87" s="156">
        <v>22.84912413037916</v>
      </c>
      <c r="N87" s="78">
        <v>1223.0367620473887</v>
      </c>
      <c r="O87" s="113">
        <v>36405.208090241882</v>
      </c>
      <c r="P87" s="109">
        <v>44694.896271614998</v>
      </c>
      <c r="Q87" s="254">
        <v>23681.25404498896</v>
      </c>
      <c r="R87" s="263">
        <v>60086.462135230846</v>
      </c>
      <c r="S87" s="259">
        <v>68376.150316603962</v>
      </c>
      <c r="U87" s="7" t="s">
        <v>4906</v>
      </c>
    </row>
    <row r="88" spans="1:21" ht="16.5" thickBot="1">
      <c r="A88" s="1188" t="s">
        <v>4533</v>
      </c>
      <c r="B88" s="1192">
        <f t="shared" si="3"/>
        <v>110</v>
      </c>
      <c r="C88" s="1192" t="s">
        <v>3</v>
      </c>
      <c r="D88" s="1192">
        <f t="shared" si="4"/>
        <v>260</v>
      </c>
      <c r="E88" s="1192" t="s">
        <v>3</v>
      </c>
      <c r="F88" s="1190">
        <f t="shared" si="5"/>
        <v>2000</v>
      </c>
      <c r="G88" s="1192" t="s">
        <v>3</v>
      </c>
      <c r="H88" s="1189">
        <v>2</v>
      </c>
      <c r="I88" s="1191" t="s">
        <v>40</v>
      </c>
      <c r="J88" s="149">
        <v>110</v>
      </c>
      <c r="K88" s="66">
        <v>260</v>
      </c>
      <c r="L88" s="66">
        <v>2000</v>
      </c>
      <c r="M88" s="156">
        <v>23.491568659956691</v>
      </c>
      <c r="N88" s="78">
        <v>1261.2566608613695</v>
      </c>
      <c r="O88" s="113">
        <v>37605.273285912233</v>
      </c>
      <c r="P88" s="109">
        <v>45752.220060895866</v>
      </c>
      <c r="Q88" s="254">
        <v>24403.043750252691</v>
      </c>
      <c r="R88" s="263">
        <v>62008.317036164925</v>
      </c>
      <c r="S88" s="259">
        <v>70155.263811148558</v>
      </c>
      <c r="U88" s="7" t="s">
        <v>4907</v>
      </c>
    </row>
    <row r="89" spans="1:21" ht="16.5" thickBot="1">
      <c r="A89" s="1188" t="s">
        <v>4533</v>
      </c>
      <c r="B89" s="1192">
        <f t="shared" si="3"/>
        <v>110</v>
      </c>
      <c r="C89" s="1192" t="s">
        <v>3</v>
      </c>
      <c r="D89" s="1192">
        <f t="shared" si="4"/>
        <v>260</v>
      </c>
      <c r="E89" s="1192" t="s">
        <v>3</v>
      </c>
      <c r="F89" s="1190">
        <f t="shared" si="5"/>
        <v>2050</v>
      </c>
      <c r="G89" s="1192" t="s">
        <v>3</v>
      </c>
      <c r="H89" s="1189">
        <v>2</v>
      </c>
      <c r="I89" s="1191" t="s">
        <v>40</v>
      </c>
      <c r="J89" s="149">
        <v>110</v>
      </c>
      <c r="K89" s="66">
        <v>260</v>
      </c>
      <c r="L89" s="66">
        <v>2050</v>
      </c>
      <c r="M89" s="156">
        <v>24.032566389534225</v>
      </c>
      <c r="N89" s="78">
        <v>1299.4765596753502</v>
      </c>
      <c r="O89" s="113">
        <v>38320.538456746093</v>
      </c>
      <c r="P89" s="109">
        <v>46646.464155758331</v>
      </c>
      <c r="Q89" s="254">
        <v>24873.499317732651</v>
      </c>
      <c r="R89" s="263">
        <v>63194.03777447874</v>
      </c>
      <c r="S89" s="259">
        <v>71519.963473490978</v>
      </c>
      <c r="U89" s="7" t="s">
        <v>4908</v>
      </c>
    </row>
    <row r="90" spans="1:21" ht="16.5" thickBot="1">
      <c r="A90" s="1188" t="s">
        <v>4533</v>
      </c>
      <c r="B90" s="1189">
        <f t="shared" si="3"/>
        <v>110</v>
      </c>
      <c r="C90" s="1189" t="s">
        <v>3</v>
      </c>
      <c r="D90" s="1189">
        <f t="shared" si="4"/>
        <v>260</v>
      </c>
      <c r="E90" s="1189" t="s">
        <v>3</v>
      </c>
      <c r="F90" s="1190">
        <f t="shared" si="5"/>
        <v>2100</v>
      </c>
      <c r="G90" s="1189" t="s">
        <v>3</v>
      </c>
      <c r="H90" s="1189">
        <v>2</v>
      </c>
      <c r="I90" s="1191" t="s">
        <v>40</v>
      </c>
      <c r="J90" s="149">
        <v>110</v>
      </c>
      <c r="K90" s="66">
        <v>260</v>
      </c>
      <c r="L90" s="66">
        <v>2100</v>
      </c>
      <c r="M90" s="156">
        <v>24.573564119111758</v>
      </c>
      <c r="N90" s="78">
        <v>1337.6964584893312</v>
      </c>
      <c r="O90" s="113">
        <v>39035.803627579953</v>
      </c>
      <c r="P90" s="109">
        <v>47540.708250620795</v>
      </c>
      <c r="Q90" s="254">
        <v>25595.289022996385</v>
      </c>
      <c r="R90" s="263">
        <v>64631.092650576335</v>
      </c>
      <c r="S90" s="259">
        <v>73135.997273617177</v>
      </c>
      <c r="U90" s="7" t="s">
        <v>4909</v>
      </c>
    </row>
    <row r="91" spans="1:21" ht="16.5" thickBot="1">
      <c r="A91" s="1188" t="s">
        <v>4533</v>
      </c>
      <c r="B91" s="1192">
        <f t="shared" si="3"/>
        <v>110</v>
      </c>
      <c r="C91" s="1192" t="s">
        <v>3</v>
      </c>
      <c r="D91" s="1192">
        <f t="shared" si="4"/>
        <v>260</v>
      </c>
      <c r="E91" s="1192" t="s">
        <v>3</v>
      </c>
      <c r="F91" s="1190">
        <f t="shared" si="5"/>
        <v>2150</v>
      </c>
      <c r="G91" s="1192" t="s">
        <v>3</v>
      </c>
      <c r="H91" s="1189">
        <v>2</v>
      </c>
      <c r="I91" s="1191" t="s">
        <v>40</v>
      </c>
      <c r="J91" s="149">
        <v>110</v>
      </c>
      <c r="K91" s="66">
        <v>260</v>
      </c>
      <c r="L91" s="66">
        <v>2150</v>
      </c>
      <c r="M91" s="156">
        <v>25.114561848689291</v>
      </c>
      <c r="N91" s="78">
        <v>1375.9163573033122</v>
      </c>
      <c r="O91" s="113">
        <v>39751.06864538505</v>
      </c>
      <c r="P91" s="109">
        <v>48434.952345483267</v>
      </c>
      <c r="Q91" s="254">
        <v>26065.744590476344</v>
      </c>
      <c r="R91" s="263">
        <v>65816.813235861395</v>
      </c>
      <c r="S91" s="259">
        <v>74500.696935959611</v>
      </c>
      <c r="U91" s="7" t="s">
        <v>4910</v>
      </c>
    </row>
    <row r="92" spans="1:21" ht="16.5" thickBot="1">
      <c r="A92" s="1188" t="s">
        <v>4533</v>
      </c>
      <c r="B92" s="1192">
        <f t="shared" si="3"/>
        <v>110</v>
      </c>
      <c r="C92" s="1192" t="s">
        <v>3</v>
      </c>
      <c r="D92" s="1192">
        <f t="shared" si="4"/>
        <v>260</v>
      </c>
      <c r="E92" s="1192" t="s">
        <v>3</v>
      </c>
      <c r="F92" s="1190">
        <f t="shared" si="5"/>
        <v>2200</v>
      </c>
      <c r="G92" s="1192" t="s">
        <v>3</v>
      </c>
      <c r="H92" s="1189">
        <v>2</v>
      </c>
      <c r="I92" s="1191" t="s">
        <v>40</v>
      </c>
      <c r="J92" s="149">
        <v>110</v>
      </c>
      <c r="K92" s="66">
        <v>260</v>
      </c>
      <c r="L92" s="66">
        <v>2200</v>
      </c>
      <c r="M92" s="156">
        <v>25.655559578266825</v>
      </c>
      <c r="N92" s="78">
        <v>1414.1362561172932</v>
      </c>
      <c r="O92" s="113">
        <v>40466.333816218917</v>
      </c>
      <c r="P92" s="109">
        <v>49329.196593374494</v>
      </c>
      <c r="Q92" s="254">
        <v>26787.534295740079</v>
      </c>
      <c r="R92" s="263">
        <v>67253.868111958989</v>
      </c>
      <c r="S92" s="259">
        <v>76116.73088911458</v>
      </c>
      <c r="U92" s="7" t="s">
        <v>4911</v>
      </c>
    </row>
    <row r="93" spans="1:21" ht="16.5" thickBot="1">
      <c r="A93" s="1188" t="s">
        <v>4533</v>
      </c>
      <c r="B93" s="1192">
        <f t="shared" si="3"/>
        <v>110</v>
      </c>
      <c r="C93" s="1192" t="s">
        <v>3</v>
      </c>
      <c r="D93" s="1192">
        <f t="shared" si="4"/>
        <v>260</v>
      </c>
      <c r="E93" s="1192" t="s">
        <v>3</v>
      </c>
      <c r="F93" s="1190">
        <f t="shared" si="5"/>
        <v>2250</v>
      </c>
      <c r="G93" s="1192" t="s">
        <v>3</v>
      </c>
      <c r="H93" s="1189">
        <v>2</v>
      </c>
      <c r="I93" s="1191" t="s">
        <v>40</v>
      </c>
      <c r="J93" s="149">
        <v>110</v>
      </c>
      <c r="K93" s="66">
        <v>260</v>
      </c>
      <c r="L93" s="66">
        <v>2250</v>
      </c>
      <c r="M93" s="156">
        <v>26.196557307844358</v>
      </c>
      <c r="N93" s="78">
        <v>1452.356154931274</v>
      </c>
      <c r="O93" s="113">
        <v>41181.598987052777</v>
      </c>
      <c r="P93" s="109">
        <v>50223.440688236959</v>
      </c>
      <c r="Q93" s="254">
        <v>27257.989710191272</v>
      </c>
      <c r="R93" s="263">
        <v>68439.588697244049</v>
      </c>
      <c r="S93" s="259">
        <v>77481.430398428231</v>
      </c>
      <c r="U93" s="7" t="s">
        <v>4912</v>
      </c>
    </row>
    <row r="94" spans="1:21" ht="16.5" thickBot="1">
      <c r="A94" s="1188" t="s">
        <v>4533</v>
      </c>
      <c r="B94" s="1192">
        <f t="shared" si="3"/>
        <v>110</v>
      </c>
      <c r="C94" s="1192" t="s">
        <v>3</v>
      </c>
      <c r="D94" s="1192">
        <f t="shared" si="4"/>
        <v>260</v>
      </c>
      <c r="E94" s="1192" t="s">
        <v>3</v>
      </c>
      <c r="F94" s="1190">
        <f t="shared" si="5"/>
        <v>2300</v>
      </c>
      <c r="G94" s="1192" t="s">
        <v>3</v>
      </c>
      <c r="H94" s="1189">
        <v>2</v>
      </c>
      <c r="I94" s="1191" t="s">
        <v>40</v>
      </c>
      <c r="J94" s="149">
        <v>110</v>
      </c>
      <c r="K94" s="66">
        <v>260</v>
      </c>
      <c r="L94" s="66">
        <v>2300</v>
      </c>
      <c r="M94" s="156">
        <v>26.737555037421892</v>
      </c>
      <c r="N94" s="78">
        <v>1490.5760537452547</v>
      </c>
      <c r="O94" s="113">
        <v>41896.864157886637</v>
      </c>
      <c r="P94" s="109">
        <v>51117.684783099416</v>
      </c>
      <c r="Q94" s="254">
        <v>27728.445277671239</v>
      </c>
      <c r="R94" s="263">
        <v>69625.30943555788</v>
      </c>
      <c r="S94" s="259">
        <v>78846.130060770651</v>
      </c>
      <c r="U94" s="7" t="s">
        <v>4913</v>
      </c>
    </row>
    <row r="95" spans="1:21" ht="16.5" thickBot="1">
      <c r="A95" s="1188" t="s">
        <v>4533</v>
      </c>
      <c r="B95" s="1192">
        <f t="shared" si="3"/>
        <v>110</v>
      </c>
      <c r="C95" s="1192" t="s">
        <v>3</v>
      </c>
      <c r="D95" s="1192">
        <f t="shared" si="4"/>
        <v>260</v>
      </c>
      <c r="E95" s="1192" t="s">
        <v>3</v>
      </c>
      <c r="F95" s="1190">
        <f t="shared" si="5"/>
        <v>2350</v>
      </c>
      <c r="G95" s="1192" t="s">
        <v>3</v>
      </c>
      <c r="H95" s="1189">
        <v>2</v>
      </c>
      <c r="I95" s="1191" t="s">
        <v>40</v>
      </c>
      <c r="J95" s="149">
        <v>110</v>
      </c>
      <c r="K95" s="66">
        <v>260</v>
      </c>
      <c r="L95" s="66">
        <v>2350</v>
      </c>
      <c r="M95" s="156">
        <v>27.278552766999425</v>
      </c>
      <c r="N95" s="78">
        <v>1528.7959525592357</v>
      </c>
      <c r="O95" s="113">
        <v>42612.129175691734</v>
      </c>
      <c r="P95" s="109">
        <v>52011.92887796188</v>
      </c>
      <c r="Q95" s="254">
        <v>28450.234982934966</v>
      </c>
      <c r="R95" s="263">
        <v>71062.364158626704</v>
      </c>
      <c r="S95" s="259">
        <v>80462.16386089685</v>
      </c>
      <c r="U95" s="7" t="s">
        <v>4914</v>
      </c>
    </row>
    <row r="96" spans="1:21" ht="16.5" thickBot="1">
      <c r="A96" s="1188" t="s">
        <v>4533</v>
      </c>
      <c r="B96" s="1192">
        <f t="shared" si="3"/>
        <v>110</v>
      </c>
      <c r="C96" s="1192" t="s">
        <v>3</v>
      </c>
      <c r="D96" s="1192">
        <f t="shared" si="4"/>
        <v>260</v>
      </c>
      <c r="E96" s="1192" t="s">
        <v>3</v>
      </c>
      <c r="F96" s="1190">
        <f t="shared" si="5"/>
        <v>2400</v>
      </c>
      <c r="G96" s="1192" t="s">
        <v>3</v>
      </c>
      <c r="H96" s="1189">
        <v>2</v>
      </c>
      <c r="I96" s="1191" t="s">
        <v>40</v>
      </c>
      <c r="J96" s="149">
        <v>110</v>
      </c>
      <c r="K96" s="66">
        <v>260</v>
      </c>
      <c r="L96" s="66">
        <v>2400</v>
      </c>
      <c r="M96" s="156">
        <v>27.819550496576952</v>
      </c>
      <c r="N96" s="78">
        <v>1567.0158513732165</v>
      </c>
      <c r="O96" s="113">
        <v>43327.394346525602</v>
      </c>
      <c r="P96" s="109">
        <v>52906.172972824352</v>
      </c>
      <c r="Q96" s="254">
        <v>28920.690550414929</v>
      </c>
      <c r="R96" s="263">
        <v>72248.084896940534</v>
      </c>
      <c r="S96" s="259">
        <v>81826.863523239284</v>
      </c>
      <c r="U96" s="7" t="s">
        <v>4915</v>
      </c>
    </row>
    <row r="97" spans="1:21" ht="16.5" thickBot="1">
      <c r="A97" s="1188" t="s">
        <v>4533</v>
      </c>
      <c r="B97" s="1192">
        <f t="shared" si="3"/>
        <v>110</v>
      </c>
      <c r="C97" s="1192" t="s">
        <v>3</v>
      </c>
      <c r="D97" s="1192">
        <f t="shared" si="4"/>
        <v>260</v>
      </c>
      <c r="E97" s="1192" t="s">
        <v>3</v>
      </c>
      <c r="F97" s="1190">
        <f t="shared" si="5"/>
        <v>2450</v>
      </c>
      <c r="G97" s="1192" t="s">
        <v>3</v>
      </c>
      <c r="H97" s="1189">
        <v>2</v>
      </c>
      <c r="I97" s="1191" t="s">
        <v>40</v>
      </c>
      <c r="J97" s="149">
        <v>110</v>
      </c>
      <c r="K97" s="66">
        <v>260</v>
      </c>
      <c r="L97" s="66">
        <v>2450</v>
      </c>
      <c r="M97" s="156">
        <v>28.360548226154492</v>
      </c>
      <c r="N97" s="78">
        <v>1605.2357501871975</v>
      </c>
      <c r="O97" s="113">
        <v>44042.659517359461</v>
      </c>
      <c r="P97" s="109">
        <v>53800.417067686816</v>
      </c>
      <c r="Q97" s="254">
        <v>29642.480255678664</v>
      </c>
      <c r="R97" s="263">
        <v>73685.139773038129</v>
      </c>
      <c r="S97" s="259">
        <v>83442.897323365483</v>
      </c>
      <c r="U97" s="7" t="s">
        <v>4916</v>
      </c>
    </row>
    <row r="98" spans="1:21" ht="16.5" thickBot="1">
      <c r="A98" s="1188" t="s">
        <v>4533</v>
      </c>
      <c r="B98" s="1192">
        <f t="shared" si="3"/>
        <v>110</v>
      </c>
      <c r="C98" s="1192" t="s">
        <v>3</v>
      </c>
      <c r="D98" s="1192">
        <f t="shared" si="4"/>
        <v>260</v>
      </c>
      <c r="E98" s="1192" t="s">
        <v>3</v>
      </c>
      <c r="F98" s="1190">
        <f t="shared" si="5"/>
        <v>2500</v>
      </c>
      <c r="G98" s="1192" t="s">
        <v>3</v>
      </c>
      <c r="H98" s="1189">
        <v>2</v>
      </c>
      <c r="I98" s="1191" t="s">
        <v>40</v>
      </c>
      <c r="J98" s="149">
        <v>110</v>
      </c>
      <c r="K98" s="66">
        <v>260</v>
      </c>
      <c r="L98" s="66">
        <v>2500</v>
      </c>
      <c r="M98" s="156">
        <v>29.199933555732024</v>
      </c>
      <c r="N98" s="78">
        <v>1643.4556490011782</v>
      </c>
      <c r="O98" s="113">
        <v>45494.238965670127</v>
      </c>
      <c r="P98" s="109">
        <v>55618.068408267907</v>
      </c>
      <c r="Q98" s="254">
        <v>30112.935823158623</v>
      </c>
      <c r="R98" s="263">
        <v>75607.17478882875</v>
      </c>
      <c r="S98" s="259">
        <v>85731.00423142653</v>
      </c>
      <c r="U98" s="7" t="s">
        <v>4917</v>
      </c>
    </row>
    <row r="99" spans="1:21" ht="16.5" thickBot="1">
      <c r="A99" s="1188" t="s">
        <v>4533</v>
      </c>
      <c r="B99" s="1192">
        <f t="shared" si="3"/>
        <v>110</v>
      </c>
      <c r="C99" s="1192" t="s">
        <v>3</v>
      </c>
      <c r="D99" s="1192">
        <f t="shared" si="4"/>
        <v>260</v>
      </c>
      <c r="E99" s="1192" t="s">
        <v>3</v>
      </c>
      <c r="F99" s="1190">
        <f t="shared" si="5"/>
        <v>2550</v>
      </c>
      <c r="G99" s="1192" t="s">
        <v>3</v>
      </c>
      <c r="H99" s="1189">
        <v>2</v>
      </c>
      <c r="I99" s="1191" t="s">
        <v>40</v>
      </c>
      <c r="J99" s="149">
        <v>110</v>
      </c>
      <c r="K99" s="66">
        <v>260</v>
      </c>
      <c r="L99" s="66">
        <v>2550</v>
      </c>
      <c r="M99" s="156">
        <v>29.740931285309557</v>
      </c>
      <c r="N99" s="78">
        <v>1681.6755478151595</v>
      </c>
      <c r="O99" s="113">
        <v>46601.617851908326</v>
      </c>
      <c r="P99" s="109">
        <v>56527.615379642877</v>
      </c>
      <c r="Q99" s="254">
        <v>30834.725528422357</v>
      </c>
      <c r="R99" s="263">
        <v>77436.343380330683</v>
      </c>
      <c r="S99" s="259">
        <v>87362.340908065235</v>
      </c>
      <c r="U99" s="7" t="s">
        <v>4918</v>
      </c>
    </row>
    <row r="100" spans="1:21" ht="16.5" thickBot="1">
      <c r="A100" s="1188" t="s">
        <v>4533</v>
      </c>
      <c r="B100" s="1189">
        <f t="shared" si="3"/>
        <v>110</v>
      </c>
      <c r="C100" s="1189" t="s">
        <v>3</v>
      </c>
      <c r="D100" s="1189">
        <f t="shared" si="4"/>
        <v>260</v>
      </c>
      <c r="E100" s="1189" t="s">
        <v>3</v>
      </c>
      <c r="F100" s="1190">
        <f t="shared" si="5"/>
        <v>2600</v>
      </c>
      <c r="G100" s="1189" t="s">
        <v>3</v>
      </c>
      <c r="H100" s="1189">
        <v>2</v>
      </c>
      <c r="I100" s="1191" t="s">
        <v>40</v>
      </c>
      <c r="J100" s="149">
        <v>110</v>
      </c>
      <c r="K100" s="66">
        <v>260</v>
      </c>
      <c r="L100" s="66">
        <v>2600</v>
      </c>
      <c r="M100" s="156">
        <v>30.281929014887091</v>
      </c>
      <c r="N100" s="78">
        <v>1719.8954466291402</v>
      </c>
      <c r="O100" s="113">
        <v>47316.88286971343</v>
      </c>
      <c r="P100" s="109">
        <v>57421.859474505334</v>
      </c>
      <c r="Q100" s="254">
        <v>31305.181095902317</v>
      </c>
      <c r="R100" s="263">
        <v>78622.063965615744</v>
      </c>
      <c r="S100" s="259">
        <v>88727.040570407655</v>
      </c>
      <c r="U100" s="7" t="s">
        <v>4919</v>
      </c>
    </row>
    <row r="101" spans="1:21" ht="16.5" thickBot="1">
      <c r="A101" s="1188" t="s">
        <v>4533</v>
      </c>
      <c r="B101" s="1192">
        <f t="shared" si="3"/>
        <v>110</v>
      </c>
      <c r="C101" s="1192" t="s">
        <v>3</v>
      </c>
      <c r="D101" s="1192">
        <f t="shared" si="4"/>
        <v>260</v>
      </c>
      <c r="E101" s="1192" t="s">
        <v>3</v>
      </c>
      <c r="F101" s="1190">
        <f t="shared" si="5"/>
        <v>2650</v>
      </c>
      <c r="G101" s="1192" t="s">
        <v>3</v>
      </c>
      <c r="H101" s="1189">
        <v>2</v>
      </c>
      <c r="I101" s="1191" t="s">
        <v>40</v>
      </c>
      <c r="J101" s="149">
        <v>110</v>
      </c>
      <c r="K101" s="66">
        <v>260</v>
      </c>
      <c r="L101" s="66">
        <v>2650</v>
      </c>
      <c r="M101" s="156">
        <v>30.82292674446462</v>
      </c>
      <c r="N101" s="78">
        <v>1758.115345443121</v>
      </c>
      <c r="O101" s="113">
        <v>48032.14804054729</v>
      </c>
      <c r="P101" s="109">
        <v>58316.103569367799</v>
      </c>
      <c r="Q101" s="254">
        <v>32026.970801166051</v>
      </c>
      <c r="R101" s="263">
        <v>80059.118841713338</v>
      </c>
      <c r="S101" s="259">
        <v>90343.074370533854</v>
      </c>
      <c r="U101" s="7" t="s">
        <v>4920</v>
      </c>
    </row>
    <row r="102" spans="1:21" ht="16.5" thickBot="1">
      <c r="A102" s="1188" t="s">
        <v>4533</v>
      </c>
      <c r="B102" s="1192">
        <f t="shared" si="3"/>
        <v>110</v>
      </c>
      <c r="C102" s="1192" t="s">
        <v>3</v>
      </c>
      <c r="D102" s="1192">
        <f t="shared" si="4"/>
        <v>260</v>
      </c>
      <c r="E102" s="1192" t="s">
        <v>3</v>
      </c>
      <c r="F102" s="1190">
        <f t="shared" si="5"/>
        <v>2700</v>
      </c>
      <c r="G102" s="1192" t="s">
        <v>3</v>
      </c>
      <c r="H102" s="1189">
        <v>2</v>
      </c>
      <c r="I102" s="1191" t="s">
        <v>40</v>
      </c>
      <c r="J102" s="149">
        <v>110</v>
      </c>
      <c r="K102" s="66">
        <v>260</v>
      </c>
      <c r="L102" s="66">
        <v>2700</v>
      </c>
      <c r="M102" s="156">
        <v>31.363924474042154</v>
      </c>
      <c r="N102" s="78">
        <v>1796.335244257102</v>
      </c>
      <c r="O102" s="113">
        <v>48747.41321138115</v>
      </c>
      <c r="P102" s="109">
        <v>59210.34766423027</v>
      </c>
      <c r="Q102" s="254">
        <v>32497.426368646011</v>
      </c>
      <c r="R102" s="263">
        <v>81244.839580027154</v>
      </c>
      <c r="S102" s="259">
        <v>91707.774032876274</v>
      </c>
      <c r="U102" s="7" t="s">
        <v>4921</v>
      </c>
    </row>
    <row r="103" spans="1:21" ht="16.5" thickBot="1">
      <c r="A103" s="1188" t="s">
        <v>4533</v>
      </c>
      <c r="B103" s="1192">
        <f t="shared" si="3"/>
        <v>110</v>
      </c>
      <c r="C103" s="1192" t="s">
        <v>3</v>
      </c>
      <c r="D103" s="1192">
        <f t="shared" si="4"/>
        <v>260</v>
      </c>
      <c r="E103" s="1192" t="s">
        <v>3</v>
      </c>
      <c r="F103" s="1190">
        <f t="shared" si="5"/>
        <v>2750</v>
      </c>
      <c r="G103" s="1192" t="s">
        <v>3</v>
      </c>
      <c r="H103" s="1189">
        <v>2</v>
      </c>
      <c r="I103" s="1191" t="s">
        <v>40</v>
      </c>
      <c r="J103" s="149">
        <v>110</v>
      </c>
      <c r="K103" s="66">
        <v>260</v>
      </c>
      <c r="L103" s="66">
        <v>2750</v>
      </c>
      <c r="M103" s="156">
        <v>31.904922203619684</v>
      </c>
      <c r="N103" s="78">
        <v>1834.5551430710827</v>
      </c>
      <c r="O103" s="113">
        <v>49462.678229186255</v>
      </c>
      <c r="P103" s="109">
        <v>60104.591912121497</v>
      </c>
      <c r="Q103" s="254">
        <v>32967.881936125974</v>
      </c>
      <c r="R103" s="263">
        <v>82430.560165312228</v>
      </c>
      <c r="S103" s="259">
        <v>93072.473848247464</v>
      </c>
      <c r="U103" s="7" t="s">
        <v>4922</v>
      </c>
    </row>
    <row r="104" spans="1:21" ht="16.5" thickBot="1">
      <c r="A104" s="1188" t="s">
        <v>4533</v>
      </c>
      <c r="B104" s="1192">
        <f t="shared" si="3"/>
        <v>110</v>
      </c>
      <c r="C104" s="1192" t="s">
        <v>3</v>
      </c>
      <c r="D104" s="1192">
        <f t="shared" si="4"/>
        <v>260</v>
      </c>
      <c r="E104" s="1192" t="s">
        <v>3</v>
      </c>
      <c r="F104" s="1190">
        <f t="shared" si="5"/>
        <v>2800</v>
      </c>
      <c r="G104" s="1192" t="s">
        <v>3</v>
      </c>
      <c r="H104" s="1189">
        <v>2</v>
      </c>
      <c r="I104" s="1191" t="s">
        <v>40</v>
      </c>
      <c r="J104" s="149">
        <v>110</v>
      </c>
      <c r="K104" s="66">
        <v>260</v>
      </c>
      <c r="L104" s="66">
        <v>2800</v>
      </c>
      <c r="M104" s="156">
        <v>32.445919933197224</v>
      </c>
      <c r="N104" s="78">
        <v>1872.775041885064</v>
      </c>
      <c r="O104" s="113">
        <v>50177.943400020114</v>
      </c>
      <c r="P104" s="109">
        <v>60998.836006983962</v>
      </c>
      <c r="Q104" s="254">
        <v>33689.671488360938</v>
      </c>
      <c r="R104" s="263">
        <v>83867.614888381053</v>
      </c>
      <c r="S104" s="259">
        <v>94688.507495344908</v>
      </c>
      <c r="U104" s="7" t="s">
        <v>4923</v>
      </c>
    </row>
    <row r="105" spans="1:21" ht="16.5" thickBot="1">
      <c r="A105" s="1188" t="s">
        <v>4533</v>
      </c>
      <c r="B105" s="1192">
        <f t="shared" si="3"/>
        <v>110</v>
      </c>
      <c r="C105" s="1192" t="s">
        <v>3</v>
      </c>
      <c r="D105" s="1192">
        <f t="shared" si="4"/>
        <v>260</v>
      </c>
      <c r="E105" s="1192" t="s">
        <v>3</v>
      </c>
      <c r="F105" s="1190">
        <f t="shared" si="5"/>
        <v>2850</v>
      </c>
      <c r="G105" s="1192" t="s">
        <v>3</v>
      </c>
      <c r="H105" s="1189">
        <v>2</v>
      </c>
      <c r="I105" s="1191" t="s">
        <v>40</v>
      </c>
      <c r="J105" s="149">
        <v>110</v>
      </c>
      <c r="K105" s="66">
        <v>260</v>
      </c>
      <c r="L105" s="66">
        <v>2850</v>
      </c>
      <c r="M105" s="156">
        <v>32.986917662774751</v>
      </c>
      <c r="N105" s="78">
        <v>1910.9949406990447</v>
      </c>
      <c r="O105" s="113">
        <v>50893.208570853967</v>
      </c>
      <c r="P105" s="109">
        <v>61893.080101846419</v>
      </c>
      <c r="Q105" s="254">
        <v>34160.127055840901</v>
      </c>
      <c r="R105" s="263">
        <v>85053.335626694869</v>
      </c>
      <c r="S105" s="259">
        <v>96053.207157687313</v>
      </c>
      <c r="U105" s="7" t="s">
        <v>4924</v>
      </c>
    </row>
    <row r="106" spans="1:21" ht="16.5" thickBot="1">
      <c r="A106" s="1188" t="s">
        <v>4533</v>
      </c>
      <c r="B106" s="1192">
        <f t="shared" si="3"/>
        <v>110</v>
      </c>
      <c r="C106" s="1192" t="s">
        <v>3</v>
      </c>
      <c r="D106" s="1192">
        <f t="shared" si="4"/>
        <v>260</v>
      </c>
      <c r="E106" s="1192" t="s">
        <v>3</v>
      </c>
      <c r="F106" s="1190">
        <f t="shared" si="5"/>
        <v>2900</v>
      </c>
      <c r="G106" s="1192" t="s">
        <v>3</v>
      </c>
      <c r="H106" s="1189">
        <v>2</v>
      </c>
      <c r="I106" s="1191" t="s">
        <v>40</v>
      </c>
      <c r="J106" s="149">
        <v>110</v>
      </c>
      <c r="K106" s="66">
        <v>260</v>
      </c>
      <c r="L106" s="66">
        <v>2900</v>
      </c>
      <c r="M106" s="156">
        <v>33.527915392352284</v>
      </c>
      <c r="N106" s="78">
        <v>1949.2148395130255</v>
      </c>
      <c r="O106" s="113">
        <v>51608.473588659072</v>
      </c>
      <c r="P106" s="109">
        <v>62787.324196708891</v>
      </c>
      <c r="Q106" s="254">
        <v>34881.916761104636</v>
      </c>
      <c r="R106" s="263">
        <v>86490.390349763707</v>
      </c>
      <c r="S106" s="259">
        <v>97669.240957813527</v>
      </c>
      <c r="U106" s="7" t="s">
        <v>4925</v>
      </c>
    </row>
    <row r="107" spans="1:21" ht="16.5" thickBot="1">
      <c r="A107" s="1188" t="s">
        <v>4533</v>
      </c>
      <c r="B107" s="1192">
        <f t="shared" si="3"/>
        <v>110</v>
      </c>
      <c r="C107" s="1192" t="s">
        <v>3</v>
      </c>
      <c r="D107" s="1192">
        <f t="shared" si="4"/>
        <v>260</v>
      </c>
      <c r="E107" s="1192" t="s">
        <v>3</v>
      </c>
      <c r="F107" s="1190">
        <f t="shared" si="5"/>
        <v>2950</v>
      </c>
      <c r="G107" s="1192" t="s">
        <v>3</v>
      </c>
      <c r="H107" s="1189">
        <v>2</v>
      </c>
      <c r="I107" s="1191" t="s">
        <v>40</v>
      </c>
      <c r="J107" s="149">
        <v>110</v>
      </c>
      <c r="K107" s="66">
        <v>260</v>
      </c>
      <c r="L107" s="66">
        <v>2950</v>
      </c>
      <c r="M107" s="156">
        <v>34.068913121929818</v>
      </c>
      <c r="N107" s="78">
        <v>1987.4347383270065</v>
      </c>
      <c r="O107" s="113">
        <v>52323.738759492931</v>
      </c>
      <c r="P107" s="109">
        <v>63681.568291571355</v>
      </c>
      <c r="Q107" s="254">
        <v>35352.372328584599</v>
      </c>
      <c r="R107" s="263">
        <v>87676.111088077538</v>
      </c>
      <c r="S107" s="259">
        <v>99033.940620155947</v>
      </c>
      <c r="U107" s="7" t="s">
        <v>4926</v>
      </c>
    </row>
    <row r="108" spans="1:21" ht="16.5" thickBot="1">
      <c r="A108" s="1193" t="s">
        <v>4533</v>
      </c>
      <c r="B108" s="1194">
        <f t="shared" si="3"/>
        <v>110</v>
      </c>
      <c r="C108" s="1194" t="s">
        <v>3</v>
      </c>
      <c r="D108" s="1194">
        <f t="shared" si="4"/>
        <v>260</v>
      </c>
      <c r="E108" s="1194" t="s">
        <v>3</v>
      </c>
      <c r="F108" s="1195">
        <f t="shared" si="5"/>
        <v>3000</v>
      </c>
      <c r="G108" s="1194" t="s">
        <v>3</v>
      </c>
      <c r="H108" s="1196">
        <v>2</v>
      </c>
      <c r="I108" s="1197" t="s">
        <v>40</v>
      </c>
      <c r="J108" s="265">
        <v>110</v>
      </c>
      <c r="K108" s="266">
        <v>260</v>
      </c>
      <c r="L108" s="266">
        <v>3000</v>
      </c>
      <c r="M108" s="281">
        <v>34.812804451507347</v>
      </c>
      <c r="N108" s="250">
        <v>2025.6546371409872</v>
      </c>
      <c r="O108" s="251">
        <v>53287.54712949221</v>
      </c>
      <c r="P108" s="277">
        <v>64824.355738628001</v>
      </c>
      <c r="Q108" s="267">
        <v>36074.162033848326</v>
      </c>
      <c r="R108" s="268">
        <v>89361.709163340536</v>
      </c>
      <c r="S108" s="269">
        <v>100898.51777247633</v>
      </c>
      <c r="U108" s="7" t="s">
        <v>4927</v>
      </c>
    </row>
    <row r="109" spans="1:21" ht="21.75" thickBot="1">
      <c r="A109" s="2968" t="s">
        <v>474</v>
      </c>
      <c r="B109" s="2969"/>
      <c r="C109" s="2969"/>
      <c r="D109" s="2969"/>
      <c r="E109" s="2969"/>
      <c r="F109" s="2969"/>
      <c r="G109" s="2969"/>
      <c r="H109" s="2969"/>
      <c r="I109" s="2969"/>
      <c r="J109" s="2969"/>
      <c r="K109" s="2969"/>
      <c r="L109" s="2969"/>
      <c r="M109" s="2969"/>
      <c r="N109" s="2969"/>
      <c r="O109" s="2969"/>
      <c r="P109" s="2969"/>
      <c r="Q109" s="2969"/>
      <c r="R109" s="2969"/>
      <c r="S109" s="2970"/>
      <c r="U109" s="7"/>
    </row>
    <row r="110" spans="1:21" ht="16.5" thickBot="1">
      <c r="A110" s="2974" t="s">
        <v>4532</v>
      </c>
      <c r="B110" s="2975"/>
      <c r="C110" s="2975"/>
      <c r="D110" s="2975"/>
      <c r="E110" s="2975"/>
      <c r="F110" s="2975"/>
      <c r="G110" s="2975"/>
      <c r="H110" s="2975"/>
      <c r="I110" s="2975"/>
      <c r="J110" s="2975"/>
      <c r="K110" s="2975"/>
      <c r="L110" s="2975"/>
      <c r="M110" s="2975"/>
      <c r="N110" s="2975"/>
      <c r="O110" s="2975"/>
      <c r="P110" s="2975"/>
      <c r="Q110" s="2975"/>
      <c r="R110" s="2975"/>
      <c r="S110" s="2976"/>
      <c r="U110" s="7"/>
    </row>
    <row r="111" spans="1:21" ht="16.5" thickBot="1">
      <c r="A111" s="1188" t="s">
        <v>4533</v>
      </c>
      <c r="B111" s="1189">
        <f>J111</f>
        <v>110</v>
      </c>
      <c r="C111" s="1189" t="s">
        <v>3</v>
      </c>
      <c r="D111" s="1189">
        <f>K111</f>
        <v>300</v>
      </c>
      <c r="E111" s="1189" t="s">
        <v>3</v>
      </c>
      <c r="F111" s="1190">
        <f>L111</f>
        <v>600</v>
      </c>
      <c r="G111" s="1189" t="s">
        <v>3</v>
      </c>
      <c r="H111" s="1189">
        <v>2</v>
      </c>
      <c r="I111" s="1191" t="s">
        <v>40</v>
      </c>
      <c r="J111" s="270">
        <v>110</v>
      </c>
      <c r="K111" s="271">
        <v>300</v>
      </c>
      <c r="L111" s="271">
        <v>600</v>
      </c>
      <c r="M111" s="282">
        <v>8.6272797905226106</v>
      </c>
      <c r="N111" s="246">
        <v>204.69362603085378</v>
      </c>
      <c r="O111" s="247">
        <v>16510.980003144836</v>
      </c>
      <c r="P111" s="275">
        <v>20560.059457759991</v>
      </c>
      <c r="Q111" s="272">
        <v>8941.6715199935952</v>
      </c>
      <c r="R111" s="273">
        <v>25452.651523138433</v>
      </c>
      <c r="S111" s="274">
        <v>29501.730977753585</v>
      </c>
      <c r="U111" s="7" t="s">
        <v>4928</v>
      </c>
    </row>
    <row r="112" spans="1:21" ht="16.5" thickBot="1">
      <c r="A112" s="1188" t="s">
        <v>4533</v>
      </c>
      <c r="B112" s="1192">
        <f t="shared" ref="B112:B159" si="6">J112</f>
        <v>110</v>
      </c>
      <c r="C112" s="1192" t="s">
        <v>3</v>
      </c>
      <c r="D112" s="1192">
        <f t="shared" ref="D112:D159" si="7">K112</f>
        <v>300</v>
      </c>
      <c r="E112" s="1192" t="s">
        <v>3</v>
      </c>
      <c r="F112" s="1190">
        <f t="shared" ref="F112:F159" si="8">L112</f>
        <v>650</v>
      </c>
      <c r="G112" s="1192" t="s">
        <v>3</v>
      </c>
      <c r="H112" s="1189">
        <v>2</v>
      </c>
      <c r="I112" s="1191" t="s">
        <v>40</v>
      </c>
      <c r="J112" s="149">
        <v>110</v>
      </c>
      <c r="K112" s="66">
        <v>300</v>
      </c>
      <c r="L112" s="66">
        <v>650</v>
      </c>
      <c r="M112" s="156">
        <v>9.208186249994883</v>
      </c>
      <c r="N112" s="78">
        <v>245.63235123702452</v>
      </c>
      <c r="O112" s="113">
        <v>17247.596818490296</v>
      </c>
      <c r="P112" s="111">
        <v>21490.570145726961</v>
      </c>
      <c r="Q112" s="254">
        <v>9465.3131529653438</v>
      </c>
      <c r="R112" s="263">
        <v>26712.90997145564</v>
      </c>
      <c r="S112" s="259">
        <v>30955.883298692304</v>
      </c>
      <c r="U112" s="7" t="s">
        <v>4929</v>
      </c>
    </row>
    <row r="113" spans="1:21" ht="16.5" thickBot="1">
      <c r="A113" s="1188" t="s">
        <v>4533</v>
      </c>
      <c r="B113" s="1192">
        <f t="shared" si="6"/>
        <v>110</v>
      </c>
      <c r="C113" s="1192" t="s">
        <v>3</v>
      </c>
      <c r="D113" s="1192">
        <f t="shared" si="7"/>
        <v>300</v>
      </c>
      <c r="E113" s="1192" t="s">
        <v>3</v>
      </c>
      <c r="F113" s="1190">
        <f t="shared" si="8"/>
        <v>700</v>
      </c>
      <c r="G113" s="1192" t="s">
        <v>3</v>
      </c>
      <c r="H113" s="1189">
        <v>2</v>
      </c>
      <c r="I113" s="1191" t="s">
        <v>40</v>
      </c>
      <c r="J113" s="149">
        <v>110</v>
      </c>
      <c r="K113" s="66">
        <v>300</v>
      </c>
      <c r="L113" s="66">
        <v>700</v>
      </c>
      <c r="M113" s="156">
        <v>9.7890927094671518</v>
      </c>
      <c r="N113" s="78">
        <v>286.5710764431953</v>
      </c>
      <c r="O113" s="113">
        <v>17984.213786864515</v>
      </c>
      <c r="P113" s="111">
        <v>22421.080833693926</v>
      </c>
      <c r="Q113" s="254">
        <v>10240.289076749623</v>
      </c>
      <c r="R113" s="263">
        <v>28224.502863614136</v>
      </c>
      <c r="S113" s="259">
        <v>32661.369910443551</v>
      </c>
      <c r="U113" s="7" t="s">
        <v>4930</v>
      </c>
    </row>
    <row r="114" spans="1:21" ht="16.5" thickBot="1">
      <c r="A114" s="1188" t="s">
        <v>4533</v>
      </c>
      <c r="B114" s="1192">
        <f t="shared" si="6"/>
        <v>110</v>
      </c>
      <c r="C114" s="1192" t="s">
        <v>3</v>
      </c>
      <c r="D114" s="1192">
        <f t="shared" si="7"/>
        <v>300</v>
      </c>
      <c r="E114" s="1192" t="s">
        <v>3</v>
      </c>
      <c r="F114" s="1190">
        <f t="shared" si="8"/>
        <v>750</v>
      </c>
      <c r="G114" s="1192" t="s">
        <v>3</v>
      </c>
      <c r="H114" s="1189">
        <v>2</v>
      </c>
      <c r="I114" s="1191" t="s">
        <v>40</v>
      </c>
      <c r="J114" s="149">
        <v>110</v>
      </c>
      <c r="K114" s="66">
        <v>300</v>
      </c>
      <c r="L114" s="66">
        <v>750</v>
      </c>
      <c r="M114" s="156">
        <v>10.369999168939422</v>
      </c>
      <c r="N114" s="78">
        <v>327.50980164936607</v>
      </c>
      <c r="O114" s="113">
        <v>18720.830602209975</v>
      </c>
      <c r="P114" s="111">
        <v>23351.591674689662</v>
      </c>
      <c r="Q114" s="254">
        <v>10763.930709721371</v>
      </c>
      <c r="R114" s="263">
        <v>29484.761311931346</v>
      </c>
      <c r="S114" s="259">
        <v>34115.52238441103</v>
      </c>
      <c r="U114" s="7" t="s">
        <v>4931</v>
      </c>
    </row>
    <row r="115" spans="1:21" ht="16.5" thickBot="1">
      <c r="A115" s="1188" t="s">
        <v>4533</v>
      </c>
      <c r="B115" s="1192">
        <f t="shared" si="6"/>
        <v>110</v>
      </c>
      <c r="C115" s="1192" t="s">
        <v>3</v>
      </c>
      <c r="D115" s="1192">
        <f t="shared" si="7"/>
        <v>300</v>
      </c>
      <c r="E115" s="1192" t="s">
        <v>3</v>
      </c>
      <c r="F115" s="1190">
        <f t="shared" si="8"/>
        <v>800</v>
      </c>
      <c r="G115" s="1192" t="s">
        <v>3</v>
      </c>
      <c r="H115" s="1189">
        <v>2</v>
      </c>
      <c r="I115" s="1191" t="s">
        <v>40</v>
      </c>
      <c r="J115" s="149">
        <v>110</v>
      </c>
      <c r="K115" s="66">
        <v>300</v>
      </c>
      <c r="L115" s="66">
        <v>800</v>
      </c>
      <c r="M115" s="156">
        <v>10.950905628411691</v>
      </c>
      <c r="N115" s="78">
        <v>368.44852685553678</v>
      </c>
      <c r="O115" s="113">
        <v>19851.069690526376</v>
      </c>
      <c r="P115" s="111">
        <v>24297.405239169129</v>
      </c>
      <c r="Q115" s="254">
        <v>11287.572342693116</v>
      </c>
      <c r="R115" s="263">
        <v>31138.64203321949</v>
      </c>
      <c r="S115" s="259">
        <v>35584.977581862244</v>
      </c>
      <c r="U115" s="7" t="s">
        <v>4932</v>
      </c>
    </row>
    <row r="116" spans="1:21" ht="16.5" thickBot="1">
      <c r="A116" s="1188" t="s">
        <v>4533</v>
      </c>
      <c r="B116" s="1192">
        <f t="shared" si="6"/>
        <v>110</v>
      </c>
      <c r="C116" s="1192" t="s">
        <v>3</v>
      </c>
      <c r="D116" s="1192">
        <f t="shared" si="7"/>
        <v>300</v>
      </c>
      <c r="E116" s="1192" t="s">
        <v>3</v>
      </c>
      <c r="F116" s="1190">
        <f t="shared" si="8"/>
        <v>850</v>
      </c>
      <c r="G116" s="1192" t="s">
        <v>3</v>
      </c>
      <c r="H116" s="1189">
        <v>2</v>
      </c>
      <c r="I116" s="1191" t="s">
        <v>40</v>
      </c>
      <c r="J116" s="149">
        <v>110</v>
      </c>
      <c r="K116" s="66">
        <v>300</v>
      </c>
      <c r="L116" s="66">
        <v>850</v>
      </c>
      <c r="M116" s="156">
        <v>11.53181208788396</v>
      </c>
      <c r="N116" s="78">
        <v>409.38725206170756</v>
      </c>
      <c r="O116" s="113">
        <v>20587.686505871832</v>
      </c>
      <c r="P116" s="111">
        <v>25227.916080164865</v>
      </c>
      <c r="Q116" s="254">
        <v>12062.548266477399</v>
      </c>
      <c r="R116" s="263">
        <v>32650.234772349231</v>
      </c>
      <c r="S116" s="259">
        <v>37290.464346642264</v>
      </c>
      <c r="U116" s="7" t="s">
        <v>4933</v>
      </c>
    </row>
    <row r="117" spans="1:21" ht="16.5" thickBot="1">
      <c r="A117" s="1188" t="s">
        <v>4533</v>
      </c>
      <c r="B117" s="1192">
        <f t="shared" si="6"/>
        <v>110</v>
      </c>
      <c r="C117" s="1192" t="s">
        <v>3</v>
      </c>
      <c r="D117" s="1192">
        <f t="shared" si="7"/>
        <v>300</v>
      </c>
      <c r="E117" s="1192" t="s">
        <v>3</v>
      </c>
      <c r="F117" s="1190">
        <f t="shared" si="8"/>
        <v>900</v>
      </c>
      <c r="G117" s="1192" t="s">
        <v>3</v>
      </c>
      <c r="H117" s="1189">
        <v>2</v>
      </c>
      <c r="I117" s="1191" t="s">
        <v>40</v>
      </c>
      <c r="J117" s="149">
        <v>110</v>
      </c>
      <c r="K117" s="66">
        <v>300</v>
      </c>
      <c r="L117" s="66">
        <v>900</v>
      </c>
      <c r="M117" s="156">
        <v>12.112718547356231</v>
      </c>
      <c r="N117" s="78">
        <v>450.32597726787833</v>
      </c>
      <c r="O117" s="113">
        <v>21324.303321217292</v>
      </c>
      <c r="P117" s="111">
        <v>26158.426768131834</v>
      </c>
      <c r="Q117" s="254">
        <v>12586.189899449146</v>
      </c>
      <c r="R117" s="263">
        <v>33910.493220666438</v>
      </c>
      <c r="S117" s="259">
        <v>38744.61666758098</v>
      </c>
      <c r="U117" s="7" t="s">
        <v>4934</v>
      </c>
    </row>
    <row r="118" spans="1:21" ht="16.5" thickBot="1">
      <c r="A118" s="1188" t="s">
        <v>4533</v>
      </c>
      <c r="B118" s="1192">
        <f t="shared" si="6"/>
        <v>110</v>
      </c>
      <c r="C118" s="1192" t="s">
        <v>3</v>
      </c>
      <c r="D118" s="1192">
        <f t="shared" si="7"/>
        <v>300</v>
      </c>
      <c r="E118" s="1192" t="s">
        <v>3</v>
      </c>
      <c r="F118" s="1190">
        <f t="shared" si="8"/>
        <v>950</v>
      </c>
      <c r="G118" s="1192" t="s">
        <v>3</v>
      </c>
      <c r="H118" s="1189">
        <v>2</v>
      </c>
      <c r="I118" s="1191" t="s">
        <v>40</v>
      </c>
      <c r="J118" s="149">
        <v>110</v>
      </c>
      <c r="K118" s="66">
        <v>300</v>
      </c>
      <c r="L118" s="66">
        <v>950</v>
      </c>
      <c r="M118" s="156">
        <v>12.693625006828501</v>
      </c>
      <c r="N118" s="78">
        <v>491.26470247404905</v>
      </c>
      <c r="O118" s="113">
        <v>22060.920136562749</v>
      </c>
      <c r="P118" s="111">
        <v>27088.937456098796</v>
      </c>
      <c r="Q118" s="254">
        <v>13361.165670204662</v>
      </c>
      <c r="R118" s="263">
        <v>35422.085806767413</v>
      </c>
      <c r="S118" s="259">
        <v>40450.10312630346</v>
      </c>
      <c r="U118" s="7" t="s">
        <v>4935</v>
      </c>
    </row>
    <row r="119" spans="1:21" ht="16.5" thickBot="1">
      <c r="A119" s="1188" t="s">
        <v>4533</v>
      </c>
      <c r="B119" s="1192">
        <f t="shared" si="6"/>
        <v>110</v>
      </c>
      <c r="C119" s="1192" t="s">
        <v>3</v>
      </c>
      <c r="D119" s="1192">
        <f t="shared" si="7"/>
        <v>300</v>
      </c>
      <c r="E119" s="1192" t="s">
        <v>3</v>
      </c>
      <c r="F119" s="1190">
        <f t="shared" si="8"/>
        <v>1000</v>
      </c>
      <c r="G119" s="1192" t="s">
        <v>3</v>
      </c>
      <c r="H119" s="1189">
        <v>2</v>
      </c>
      <c r="I119" s="1191" t="s">
        <v>40</v>
      </c>
      <c r="J119" s="149">
        <v>110</v>
      </c>
      <c r="K119" s="66">
        <v>300</v>
      </c>
      <c r="L119" s="66">
        <v>1000</v>
      </c>
      <c r="M119" s="156">
        <v>13.39158546630077</v>
      </c>
      <c r="N119" s="78">
        <v>532.20342768021987</v>
      </c>
      <c r="O119" s="113">
        <v>22855.749094161758</v>
      </c>
      <c r="P119" s="111">
        <v>28077.660439348085</v>
      </c>
      <c r="Q119" s="254">
        <v>13884.807456205173</v>
      </c>
      <c r="R119" s="263">
        <v>36740.556550366935</v>
      </c>
      <c r="S119" s="259">
        <v>41962.467895553258</v>
      </c>
      <c r="U119" s="7" t="s">
        <v>4936</v>
      </c>
    </row>
    <row r="120" spans="1:21" ht="16.5" thickBot="1">
      <c r="A120" s="1188" t="s">
        <v>4533</v>
      </c>
      <c r="B120" s="1192">
        <f t="shared" si="6"/>
        <v>110</v>
      </c>
      <c r="C120" s="1192" t="s">
        <v>3</v>
      </c>
      <c r="D120" s="1192">
        <f t="shared" si="7"/>
        <v>300</v>
      </c>
      <c r="E120" s="1192" t="s">
        <v>3</v>
      </c>
      <c r="F120" s="1190">
        <f t="shared" si="8"/>
        <v>1050</v>
      </c>
      <c r="G120" s="1192" t="s">
        <v>3</v>
      </c>
      <c r="H120" s="1189">
        <v>2</v>
      </c>
      <c r="I120" s="1191" t="s">
        <v>40</v>
      </c>
      <c r="J120" s="149">
        <v>110</v>
      </c>
      <c r="K120" s="66">
        <v>300</v>
      </c>
      <c r="L120" s="66">
        <v>1050</v>
      </c>
      <c r="M120" s="156">
        <v>13.972491925773042</v>
      </c>
      <c r="N120" s="78">
        <v>573.14215288639059</v>
      </c>
      <c r="O120" s="113">
        <v>23592.365909507218</v>
      </c>
      <c r="P120" s="111">
        <v>29008.17112731505</v>
      </c>
      <c r="Q120" s="254">
        <v>14659.78322696069</v>
      </c>
      <c r="R120" s="263">
        <v>38252.14913646791</v>
      </c>
      <c r="S120" s="259">
        <v>43667.954354275738</v>
      </c>
      <c r="U120" s="7" t="s">
        <v>4937</v>
      </c>
    </row>
    <row r="121" spans="1:21" ht="16.5" thickBot="1">
      <c r="A121" s="1188" t="s">
        <v>4533</v>
      </c>
      <c r="B121" s="1189">
        <f t="shared" si="6"/>
        <v>110</v>
      </c>
      <c r="C121" s="1189" t="s">
        <v>3</v>
      </c>
      <c r="D121" s="1189">
        <f t="shared" si="7"/>
        <v>300</v>
      </c>
      <c r="E121" s="1189" t="s">
        <v>3</v>
      </c>
      <c r="F121" s="1190">
        <f t="shared" si="8"/>
        <v>1100</v>
      </c>
      <c r="G121" s="1189" t="s">
        <v>3</v>
      </c>
      <c r="H121" s="1189">
        <v>2</v>
      </c>
      <c r="I121" s="1191" t="s">
        <v>40</v>
      </c>
      <c r="J121" s="149">
        <v>110</v>
      </c>
      <c r="K121" s="66">
        <v>300</v>
      </c>
      <c r="L121" s="66">
        <v>1100</v>
      </c>
      <c r="M121" s="156">
        <v>14.553398385245309</v>
      </c>
      <c r="N121" s="78">
        <v>614.08087809256131</v>
      </c>
      <c r="O121" s="113">
        <v>24328.982724852674</v>
      </c>
      <c r="P121" s="111">
        <v>29938.68196831079</v>
      </c>
      <c r="Q121" s="254">
        <v>15183.425012961201</v>
      </c>
      <c r="R121" s="263">
        <v>39512.407737813875</v>
      </c>
      <c r="S121" s="259">
        <v>45122.106981271994</v>
      </c>
      <c r="U121" s="7" t="s">
        <v>4938</v>
      </c>
    </row>
    <row r="122" spans="1:21" ht="16.5" thickBot="1">
      <c r="A122" s="1188" t="s">
        <v>4533</v>
      </c>
      <c r="B122" s="1192">
        <f t="shared" si="6"/>
        <v>110</v>
      </c>
      <c r="C122" s="1192" t="s">
        <v>3</v>
      </c>
      <c r="D122" s="1192">
        <f t="shared" si="7"/>
        <v>300</v>
      </c>
      <c r="E122" s="1192" t="s">
        <v>3</v>
      </c>
      <c r="F122" s="1190">
        <f t="shared" si="8"/>
        <v>1150</v>
      </c>
      <c r="G122" s="1192" t="s">
        <v>3</v>
      </c>
      <c r="H122" s="1189">
        <v>2</v>
      </c>
      <c r="I122" s="1191" t="s">
        <v>40</v>
      </c>
      <c r="J122" s="149">
        <v>110</v>
      </c>
      <c r="K122" s="66">
        <v>300</v>
      </c>
      <c r="L122" s="66">
        <v>1150</v>
      </c>
      <c r="M122" s="156">
        <v>15.13430484471758</v>
      </c>
      <c r="N122" s="78">
        <v>655.01960329873214</v>
      </c>
      <c r="O122" s="113">
        <v>25065.599540198134</v>
      </c>
      <c r="P122" s="111">
        <v>30869.192656277752</v>
      </c>
      <c r="Q122" s="254">
        <v>15707.066645932946</v>
      </c>
      <c r="R122" s="263">
        <v>40772.666186131079</v>
      </c>
      <c r="S122" s="259">
        <v>46576.259302210696</v>
      </c>
      <c r="U122" s="7" t="s">
        <v>4939</v>
      </c>
    </row>
    <row r="123" spans="1:21" ht="16.5" thickBot="1">
      <c r="A123" s="1188" t="s">
        <v>4533</v>
      </c>
      <c r="B123" s="1192">
        <f t="shared" si="6"/>
        <v>110</v>
      </c>
      <c r="C123" s="1192" t="s">
        <v>3</v>
      </c>
      <c r="D123" s="1192">
        <f t="shared" si="7"/>
        <v>300</v>
      </c>
      <c r="E123" s="1192" t="s">
        <v>3</v>
      </c>
      <c r="F123" s="1190">
        <f t="shared" si="8"/>
        <v>1200</v>
      </c>
      <c r="G123" s="1192" t="s">
        <v>3</v>
      </c>
      <c r="H123" s="1189">
        <v>2</v>
      </c>
      <c r="I123" s="1191" t="s">
        <v>40</v>
      </c>
      <c r="J123" s="149">
        <v>110</v>
      </c>
      <c r="K123" s="66">
        <v>300</v>
      </c>
      <c r="L123" s="66">
        <v>1200</v>
      </c>
      <c r="M123" s="156">
        <v>15.715211304189848</v>
      </c>
      <c r="N123" s="78">
        <v>695.95832850490285</v>
      </c>
      <c r="O123" s="113">
        <v>25802.216355543591</v>
      </c>
      <c r="P123" s="111">
        <v>31799.703344244721</v>
      </c>
      <c r="Q123" s="254">
        <v>16482.042416688462</v>
      </c>
      <c r="R123" s="263">
        <v>42284.258772232053</v>
      </c>
      <c r="S123" s="259">
        <v>48281.745760933183</v>
      </c>
      <c r="U123" s="7" t="s">
        <v>4940</v>
      </c>
    </row>
    <row r="124" spans="1:21" ht="16.5" thickBot="1">
      <c r="A124" s="1188" t="s">
        <v>4533</v>
      </c>
      <c r="B124" s="1192">
        <f t="shared" si="6"/>
        <v>110</v>
      </c>
      <c r="C124" s="1192" t="s">
        <v>3</v>
      </c>
      <c r="D124" s="1192">
        <f t="shared" si="7"/>
        <v>300</v>
      </c>
      <c r="E124" s="1192" t="s">
        <v>3</v>
      </c>
      <c r="F124" s="1190">
        <f t="shared" si="8"/>
        <v>1250</v>
      </c>
      <c r="G124" s="1192" t="s">
        <v>3</v>
      </c>
      <c r="H124" s="1189">
        <v>2</v>
      </c>
      <c r="I124" s="1191" t="s">
        <v>40</v>
      </c>
      <c r="J124" s="149">
        <v>110</v>
      </c>
      <c r="K124" s="66">
        <v>300</v>
      </c>
      <c r="L124" s="66">
        <v>1250</v>
      </c>
      <c r="M124" s="156">
        <v>16.296117763662121</v>
      </c>
      <c r="N124" s="78">
        <v>736.89705371107357</v>
      </c>
      <c r="O124" s="113">
        <v>26538.833323917814</v>
      </c>
      <c r="P124" s="111">
        <v>32730.214185240453</v>
      </c>
      <c r="Q124" s="254">
        <v>17005.684202688975</v>
      </c>
      <c r="R124" s="263">
        <v>43544.517526606789</v>
      </c>
      <c r="S124" s="259">
        <v>49735.898387929425</v>
      </c>
      <c r="U124" s="7" t="s">
        <v>4941</v>
      </c>
    </row>
    <row r="125" spans="1:21" ht="16.5" thickBot="1">
      <c r="A125" s="1188" t="s">
        <v>4533</v>
      </c>
      <c r="B125" s="1192">
        <f t="shared" si="6"/>
        <v>110</v>
      </c>
      <c r="C125" s="1192" t="s">
        <v>3</v>
      </c>
      <c r="D125" s="1192">
        <f t="shared" si="7"/>
        <v>300</v>
      </c>
      <c r="E125" s="1192" t="s">
        <v>3</v>
      </c>
      <c r="F125" s="1190">
        <f t="shared" si="8"/>
        <v>1300</v>
      </c>
      <c r="G125" s="1192" t="s">
        <v>3</v>
      </c>
      <c r="H125" s="1189">
        <v>2</v>
      </c>
      <c r="I125" s="1191" t="s">
        <v>40</v>
      </c>
      <c r="J125" s="149">
        <v>110</v>
      </c>
      <c r="K125" s="66">
        <v>300</v>
      </c>
      <c r="L125" s="66">
        <v>1300</v>
      </c>
      <c r="M125" s="156">
        <v>16.877024223134391</v>
      </c>
      <c r="N125" s="78">
        <v>777.83577891724428</v>
      </c>
      <c r="O125" s="113">
        <v>27275.450139263274</v>
      </c>
      <c r="P125" s="111">
        <v>33660.724873207422</v>
      </c>
      <c r="Q125" s="254">
        <v>17780.65997344449</v>
      </c>
      <c r="R125" s="263">
        <v>45056.110112707764</v>
      </c>
      <c r="S125" s="259">
        <v>51441.384846651912</v>
      </c>
      <c r="U125" s="7" t="s">
        <v>4942</v>
      </c>
    </row>
    <row r="126" spans="1:21" ht="16.5" thickBot="1">
      <c r="A126" s="1188" t="s">
        <v>4533</v>
      </c>
      <c r="B126" s="1192">
        <f t="shared" si="6"/>
        <v>110</v>
      </c>
      <c r="C126" s="1192" t="s">
        <v>3</v>
      </c>
      <c r="D126" s="1192">
        <f t="shared" si="7"/>
        <v>300</v>
      </c>
      <c r="E126" s="1192" t="s">
        <v>3</v>
      </c>
      <c r="F126" s="1190">
        <f t="shared" si="8"/>
        <v>1350</v>
      </c>
      <c r="G126" s="1192" t="s">
        <v>3</v>
      </c>
      <c r="H126" s="1189">
        <v>2</v>
      </c>
      <c r="I126" s="1191" t="s">
        <v>40</v>
      </c>
      <c r="J126" s="149">
        <v>110</v>
      </c>
      <c r="K126" s="66">
        <v>300</v>
      </c>
      <c r="L126" s="66">
        <v>1350</v>
      </c>
      <c r="M126" s="156">
        <v>17.457930682606658</v>
      </c>
      <c r="N126" s="78">
        <v>818.77450412341511</v>
      </c>
      <c r="O126" s="113">
        <v>28012.066954608727</v>
      </c>
      <c r="P126" s="111">
        <v>34591.235714203161</v>
      </c>
      <c r="Q126" s="254">
        <v>18304.301606416237</v>
      </c>
      <c r="R126" s="263">
        <v>46316.368561024967</v>
      </c>
      <c r="S126" s="259">
        <v>52895.537320619398</v>
      </c>
      <c r="U126" s="7" t="s">
        <v>4943</v>
      </c>
    </row>
    <row r="127" spans="1:21" ht="16.5" thickBot="1">
      <c r="A127" s="1188" t="s">
        <v>4533</v>
      </c>
      <c r="B127" s="1192">
        <f t="shared" si="6"/>
        <v>110</v>
      </c>
      <c r="C127" s="1192" t="s">
        <v>3</v>
      </c>
      <c r="D127" s="1192">
        <f t="shared" si="7"/>
        <v>300</v>
      </c>
      <c r="E127" s="1192" t="s">
        <v>3</v>
      </c>
      <c r="F127" s="1190">
        <f t="shared" si="8"/>
        <v>1400</v>
      </c>
      <c r="G127" s="1192" t="s">
        <v>3</v>
      </c>
      <c r="H127" s="1189">
        <v>2</v>
      </c>
      <c r="I127" s="1191" t="s">
        <v>40</v>
      </c>
      <c r="J127" s="149">
        <v>110</v>
      </c>
      <c r="K127" s="66">
        <v>300</v>
      </c>
      <c r="L127" s="66">
        <v>1400</v>
      </c>
      <c r="M127" s="156">
        <v>18.038837142078929</v>
      </c>
      <c r="N127" s="78">
        <v>859.71322932958594</v>
      </c>
      <c r="O127" s="113">
        <v>28748.683769954187</v>
      </c>
      <c r="P127" s="111">
        <v>35521.746402170123</v>
      </c>
      <c r="Q127" s="254">
        <v>19079.277530200521</v>
      </c>
      <c r="R127" s="263">
        <v>47827.961300154711</v>
      </c>
      <c r="S127" s="259">
        <v>54601.023932370648</v>
      </c>
      <c r="U127" s="7" t="s">
        <v>4944</v>
      </c>
    </row>
    <row r="128" spans="1:21" ht="16.5" thickBot="1">
      <c r="A128" s="1188" t="s">
        <v>4533</v>
      </c>
      <c r="B128" s="1192">
        <f t="shared" si="6"/>
        <v>110</v>
      </c>
      <c r="C128" s="1192" t="s">
        <v>3</v>
      </c>
      <c r="D128" s="1192">
        <f t="shared" si="7"/>
        <v>300</v>
      </c>
      <c r="E128" s="1192" t="s">
        <v>3</v>
      </c>
      <c r="F128" s="1190">
        <f t="shared" si="8"/>
        <v>1450</v>
      </c>
      <c r="G128" s="1192" t="s">
        <v>3</v>
      </c>
      <c r="H128" s="1189">
        <v>2</v>
      </c>
      <c r="I128" s="1191" t="s">
        <v>40</v>
      </c>
      <c r="J128" s="149">
        <v>110</v>
      </c>
      <c r="K128" s="66">
        <v>300</v>
      </c>
      <c r="L128" s="66">
        <v>1450</v>
      </c>
      <c r="M128" s="156">
        <v>18.6197436015512</v>
      </c>
      <c r="N128" s="78">
        <v>900.65195453575666</v>
      </c>
      <c r="O128" s="113">
        <v>29485.300585299647</v>
      </c>
      <c r="P128" s="111">
        <v>36452.257090137093</v>
      </c>
      <c r="Q128" s="254">
        <v>19602.919163172111</v>
      </c>
      <c r="R128" s="263">
        <v>49088.219748471762</v>
      </c>
      <c r="S128" s="259">
        <v>56055.176253309204</v>
      </c>
      <c r="U128" s="7" t="s">
        <v>4945</v>
      </c>
    </row>
    <row r="129" spans="1:21" ht="16.5" thickBot="1">
      <c r="A129" s="1188" t="s">
        <v>4533</v>
      </c>
      <c r="B129" s="1192">
        <f t="shared" si="6"/>
        <v>110</v>
      </c>
      <c r="C129" s="1192" t="s">
        <v>3</v>
      </c>
      <c r="D129" s="1192">
        <f t="shared" si="7"/>
        <v>300</v>
      </c>
      <c r="E129" s="1192" t="s">
        <v>3</v>
      </c>
      <c r="F129" s="1190">
        <f t="shared" si="8"/>
        <v>1500</v>
      </c>
      <c r="G129" s="1192" t="s">
        <v>3</v>
      </c>
      <c r="H129" s="1189">
        <v>2</v>
      </c>
      <c r="I129" s="1191" t="s">
        <v>40</v>
      </c>
      <c r="J129" s="149">
        <v>110</v>
      </c>
      <c r="K129" s="66">
        <v>300</v>
      </c>
      <c r="L129" s="66">
        <v>1500</v>
      </c>
      <c r="M129" s="156">
        <v>19.545416861023469</v>
      </c>
      <c r="N129" s="78">
        <v>941.59067974192726</v>
      </c>
      <c r="O129" s="113">
        <v>31010.69514178477</v>
      </c>
      <c r="P129" s="111">
        <v>38387.871572487384</v>
      </c>
      <c r="Q129" s="254">
        <v>20377.895086956549</v>
      </c>
      <c r="R129" s="263">
        <v>51388.590228741319</v>
      </c>
      <c r="S129" s="259">
        <v>58765.766659443936</v>
      </c>
      <c r="U129" s="7" t="s">
        <v>4946</v>
      </c>
    </row>
    <row r="130" spans="1:21" ht="16.5" thickBot="1">
      <c r="A130" s="1188" t="s">
        <v>4533</v>
      </c>
      <c r="B130" s="1192">
        <f t="shared" si="6"/>
        <v>110</v>
      </c>
      <c r="C130" s="1192" t="s">
        <v>3</v>
      </c>
      <c r="D130" s="1192">
        <f t="shared" si="7"/>
        <v>300</v>
      </c>
      <c r="E130" s="1192" t="s">
        <v>3</v>
      </c>
      <c r="F130" s="1190">
        <f t="shared" si="8"/>
        <v>1550</v>
      </c>
      <c r="G130" s="1192" t="s">
        <v>3</v>
      </c>
      <c r="H130" s="1189">
        <v>2</v>
      </c>
      <c r="I130" s="1191" t="s">
        <v>40</v>
      </c>
      <c r="J130" s="149">
        <v>110</v>
      </c>
      <c r="K130" s="66">
        <v>300</v>
      </c>
      <c r="L130" s="66">
        <v>1550</v>
      </c>
      <c r="M130" s="156">
        <v>20.126323320495743</v>
      </c>
      <c r="N130" s="78">
        <v>982.52940494809809</v>
      </c>
      <c r="O130" s="113">
        <v>31747.311957130081</v>
      </c>
      <c r="P130" s="111">
        <v>39318.382413483123</v>
      </c>
      <c r="Q130" s="254">
        <v>20901.536719928292</v>
      </c>
      <c r="R130" s="263">
        <v>52648.84867705837</v>
      </c>
      <c r="S130" s="259">
        <v>60219.919133411415</v>
      </c>
      <c r="U130" s="7" t="s">
        <v>4947</v>
      </c>
    </row>
    <row r="131" spans="1:21" ht="16.5" thickBot="1">
      <c r="A131" s="1188" t="s">
        <v>4533</v>
      </c>
      <c r="B131" s="1189">
        <f t="shared" si="6"/>
        <v>110</v>
      </c>
      <c r="C131" s="1189" t="s">
        <v>3</v>
      </c>
      <c r="D131" s="1189">
        <f t="shared" si="7"/>
        <v>300</v>
      </c>
      <c r="E131" s="1189" t="s">
        <v>3</v>
      </c>
      <c r="F131" s="1190">
        <f t="shared" si="8"/>
        <v>1600</v>
      </c>
      <c r="G131" s="1189" t="s">
        <v>3</v>
      </c>
      <c r="H131" s="1189">
        <v>2</v>
      </c>
      <c r="I131" s="1191" t="s">
        <v>40</v>
      </c>
      <c r="J131" s="149">
        <v>110</v>
      </c>
      <c r="K131" s="66">
        <v>300</v>
      </c>
      <c r="L131" s="66">
        <v>1600</v>
      </c>
      <c r="M131" s="156">
        <v>20.70722977996801</v>
      </c>
      <c r="N131" s="78">
        <v>1023.4681301542689</v>
      </c>
      <c r="O131" s="113">
        <v>32483.928925504457</v>
      </c>
      <c r="P131" s="111">
        <v>40248.893101450092</v>
      </c>
      <c r="Q131" s="254">
        <v>21425.178352900039</v>
      </c>
      <c r="R131" s="263">
        <v>53909.107278404495</v>
      </c>
      <c r="S131" s="259">
        <v>61674.071454350131</v>
      </c>
      <c r="U131" s="7" t="s">
        <v>4948</v>
      </c>
    </row>
    <row r="132" spans="1:21" ht="16.5" thickBot="1">
      <c r="A132" s="1188" t="s">
        <v>4533</v>
      </c>
      <c r="B132" s="1192">
        <f t="shared" si="6"/>
        <v>110</v>
      </c>
      <c r="C132" s="1192" t="s">
        <v>3</v>
      </c>
      <c r="D132" s="1192">
        <f t="shared" si="7"/>
        <v>300</v>
      </c>
      <c r="E132" s="1192" t="s">
        <v>3</v>
      </c>
      <c r="F132" s="1190">
        <f t="shared" si="8"/>
        <v>1650</v>
      </c>
      <c r="G132" s="1192" t="s">
        <v>3</v>
      </c>
      <c r="H132" s="1189">
        <v>2</v>
      </c>
      <c r="I132" s="1191" t="s">
        <v>40</v>
      </c>
      <c r="J132" s="149">
        <v>110</v>
      </c>
      <c r="K132" s="66">
        <v>300</v>
      </c>
      <c r="L132" s="66">
        <v>1650</v>
      </c>
      <c r="M132" s="156">
        <v>21.288136239440277</v>
      </c>
      <c r="N132" s="78">
        <v>1064.4068553604397</v>
      </c>
      <c r="O132" s="113">
        <v>33220.545740849913</v>
      </c>
      <c r="P132" s="111">
        <v>41179.403942445824</v>
      </c>
      <c r="Q132" s="254">
        <v>22200.154276684319</v>
      </c>
      <c r="R132" s="263">
        <v>55420.700017534233</v>
      </c>
      <c r="S132" s="259">
        <v>63379.558219130144</v>
      </c>
      <c r="U132" s="7" t="s">
        <v>4949</v>
      </c>
    </row>
    <row r="133" spans="1:21" ht="16.5" thickBot="1">
      <c r="A133" s="1188" t="s">
        <v>4533</v>
      </c>
      <c r="B133" s="1192">
        <f t="shared" si="6"/>
        <v>110</v>
      </c>
      <c r="C133" s="1192" t="s">
        <v>3</v>
      </c>
      <c r="D133" s="1192">
        <f t="shared" si="7"/>
        <v>300</v>
      </c>
      <c r="E133" s="1192" t="s">
        <v>3</v>
      </c>
      <c r="F133" s="1190">
        <f t="shared" si="8"/>
        <v>1700</v>
      </c>
      <c r="G133" s="1192" t="s">
        <v>3</v>
      </c>
      <c r="H133" s="1189">
        <v>2</v>
      </c>
      <c r="I133" s="1191" t="s">
        <v>40</v>
      </c>
      <c r="J133" s="149">
        <v>110</v>
      </c>
      <c r="K133" s="66">
        <v>300</v>
      </c>
      <c r="L133" s="66">
        <v>1700</v>
      </c>
      <c r="M133" s="156">
        <v>21.869042698912551</v>
      </c>
      <c r="N133" s="78">
        <v>1105.3455805666106</v>
      </c>
      <c r="O133" s="113">
        <v>33957.16255619537</v>
      </c>
      <c r="P133" s="111">
        <v>42109.914630412793</v>
      </c>
      <c r="Q133" s="254">
        <v>22723.795909656066</v>
      </c>
      <c r="R133" s="263">
        <v>56680.958465851436</v>
      </c>
      <c r="S133" s="259">
        <v>64833.71054006886</v>
      </c>
      <c r="U133" s="7" t="s">
        <v>4950</v>
      </c>
    </row>
    <row r="134" spans="1:21" ht="16.5" thickBot="1">
      <c r="A134" s="1188" t="s">
        <v>4533</v>
      </c>
      <c r="B134" s="1192">
        <f t="shared" si="6"/>
        <v>110</v>
      </c>
      <c r="C134" s="1192" t="s">
        <v>3</v>
      </c>
      <c r="D134" s="1192">
        <f t="shared" si="7"/>
        <v>300</v>
      </c>
      <c r="E134" s="1192" t="s">
        <v>3</v>
      </c>
      <c r="F134" s="1190">
        <f t="shared" si="8"/>
        <v>1750</v>
      </c>
      <c r="G134" s="1192" t="s">
        <v>3</v>
      </c>
      <c r="H134" s="1189">
        <v>2</v>
      </c>
      <c r="I134" s="1191" t="s">
        <v>40</v>
      </c>
      <c r="J134" s="149">
        <v>110</v>
      </c>
      <c r="K134" s="66">
        <v>300</v>
      </c>
      <c r="L134" s="66">
        <v>1750</v>
      </c>
      <c r="M134" s="156">
        <v>22.449949158384818</v>
      </c>
      <c r="N134" s="78">
        <v>1146.2843057727812</v>
      </c>
      <c r="O134" s="113">
        <v>34693.779371540833</v>
      </c>
      <c r="P134" s="111">
        <v>43040.425318379763</v>
      </c>
      <c r="Q134" s="254">
        <v>23498.771833440347</v>
      </c>
      <c r="R134" s="263">
        <v>58192.55120498118</v>
      </c>
      <c r="S134" s="259">
        <v>66539.197151820117</v>
      </c>
      <c r="U134" s="7" t="s">
        <v>4951</v>
      </c>
    </row>
    <row r="135" spans="1:21" ht="16.5" thickBot="1">
      <c r="A135" s="1188" t="s">
        <v>4533</v>
      </c>
      <c r="B135" s="1192">
        <f t="shared" si="6"/>
        <v>110</v>
      </c>
      <c r="C135" s="1192" t="s">
        <v>3</v>
      </c>
      <c r="D135" s="1192">
        <f t="shared" si="7"/>
        <v>300</v>
      </c>
      <c r="E135" s="1192" t="s">
        <v>3</v>
      </c>
      <c r="F135" s="1190">
        <f t="shared" si="8"/>
        <v>1800</v>
      </c>
      <c r="G135" s="1192" t="s">
        <v>3</v>
      </c>
      <c r="H135" s="1189">
        <v>2</v>
      </c>
      <c r="I135" s="1191" t="s">
        <v>40</v>
      </c>
      <c r="J135" s="149">
        <v>110</v>
      </c>
      <c r="K135" s="66">
        <v>300</v>
      </c>
      <c r="L135" s="66">
        <v>1800</v>
      </c>
      <c r="M135" s="156">
        <v>23.030855617857085</v>
      </c>
      <c r="N135" s="78">
        <v>1187.2230309789518</v>
      </c>
      <c r="O135" s="113">
        <v>35430.39618688629</v>
      </c>
      <c r="P135" s="111">
        <v>43970.936159375495</v>
      </c>
      <c r="Q135" s="254">
        <v>24022.413466412094</v>
      </c>
      <c r="R135" s="263">
        <v>59452.809653298384</v>
      </c>
      <c r="S135" s="259">
        <v>67993.349625787581</v>
      </c>
      <c r="U135" s="7" t="s">
        <v>4952</v>
      </c>
    </row>
    <row r="136" spans="1:21" ht="16.5" thickBot="1">
      <c r="A136" s="1188" t="s">
        <v>4533</v>
      </c>
      <c r="B136" s="1192">
        <f t="shared" si="6"/>
        <v>110</v>
      </c>
      <c r="C136" s="1192" t="s">
        <v>3</v>
      </c>
      <c r="D136" s="1192">
        <f t="shared" si="7"/>
        <v>300</v>
      </c>
      <c r="E136" s="1192" t="s">
        <v>3</v>
      </c>
      <c r="F136" s="1190">
        <f t="shared" si="8"/>
        <v>1850</v>
      </c>
      <c r="G136" s="1192" t="s">
        <v>3</v>
      </c>
      <c r="H136" s="1189">
        <v>2</v>
      </c>
      <c r="I136" s="1191" t="s">
        <v>40</v>
      </c>
      <c r="J136" s="149">
        <v>110</v>
      </c>
      <c r="K136" s="66">
        <v>300</v>
      </c>
      <c r="L136" s="66">
        <v>1850</v>
      </c>
      <c r="M136" s="156">
        <v>23.611762077329356</v>
      </c>
      <c r="N136" s="78">
        <v>1228.1617561851226</v>
      </c>
      <c r="O136" s="113">
        <v>36167.013002231746</v>
      </c>
      <c r="P136" s="111">
        <v>44901.446847342464</v>
      </c>
      <c r="Q136" s="254">
        <v>24797.389237167612</v>
      </c>
      <c r="R136" s="263">
        <v>60964.402239399358</v>
      </c>
      <c r="S136" s="259">
        <v>69698.836084510083</v>
      </c>
      <c r="U136" s="7" t="s">
        <v>4953</v>
      </c>
    </row>
    <row r="137" spans="1:21" ht="16.5" thickBot="1">
      <c r="A137" s="1188" t="s">
        <v>4533</v>
      </c>
      <c r="B137" s="1192">
        <f t="shared" si="6"/>
        <v>110</v>
      </c>
      <c r="C137" s="1192" t="s">
        <v>3</v>
      </c>
      <c r="D137" s="1192">
        <f t="shared" si="7"/>
        <v>300</v>
      </c>
      <c r="E137" s="1192" t="s">
        <v>3</v>
      </c>
      <c r="F137" s="1190">
        <f t="shared" si="8"/>
        <v>1900</v>
      </c>
      <c r="G137" s="1192" t="s">
        <v>3</v>
      </c>
      <c r="H137" s="1189">
        <v>2</v>
      </c>
      <c r="I137" s="1191" t="s">
        <v>40</v>
      </c>
      <c r="J137" s="149">
        <v>110</v>
      </c>
      <c r="K137" s="66">
        <v>300</v>
      </c>
      <c r="L137" s="66">
        <v>1900</v>
      </c>
      <c r="M137" s="156">
        <v>24.192668536801627</v>
      </c>
      <c r="N137" s="78">
        <v>1269.1004813912934</v>
      </c>
      <c r="O137" s="113">
        <v>36903.629817577203</v>
      </c>
      <c r="P137" s="111">
        <v>45831.957688338196</v>
      </c>
      <c r="Q137" s="254">
        <v>25321.031023168125</v>
      </c>
      <c r="R137" s="263">
        <v>62224.660840745331</v>
      </c>
      <c r="S137" s="259">
        <v>71152.988711506317</v>
      </c>
      <c r="U137" s="7" t="s">
        <v>4954</v>
      </c>
    </row>
    <row r="138" spans="1:21" ht="16.5" thickBot="1">
      <c r="A138" s="1188" t="s">
        <v>4533</v>
      </c>
      <c r="B138" s="1192">
        <f t="shared" si="6"/>
        <v>110</v>
      </c>
      <c r="C138" s="1192" t="s">
        <v>3</v>
      </c>
      <c r="D138" s="1192">
        <f t="shared" si="7"/>
        <v>300</v>
      </c>
      <c r="E138" s="1192" t="s">
        <v>3</v>
      </c>
      <c r="F138" s="1190">
        <f t="shared" si="8"/>
        <v>1950</v>
      </c>
      <c r="G138" s="1192" t="s">
        <v>3</v>
      </c>
      <c r="H138" s="1189">
        <v>2</v>
      </c>
      <c r="I138" s="1191" t="s">
        <v>40</v>
      </c>
      <c r="J138" s="149">
        <v>110</v>
      </c>
      <c r="K138" s="66">
        <v>300</v>
      </c>
      <c r="L138" s="66">
        <v>1950</v>
      </c>
      <c r="M138" s="156">
        <v>24.773574996273897</v>
      </c>
      <c r="N138" s="78">
        <v>1310.0392065974643</v>
      </c>
      <c r="O138" s="113">
        <v>37640.246632922666</v>
      </c>
      <c r="P138" s="111">
        <v>46762.468376305165</v>
      </c>
      <c r="Q138" s="254">
        <v>25844.672656139872</v>
      </c>
      <c r="R138" s="263">
        <v>63484.919289062542</v>
      </c>
      <c r="S138" s="259">
        <v>72607.141032445041</v>
      </c>
      <c r="U138" s="7" t="s">
        <v>4955</v>
      </c>
    </row>
    <row r="139" spans="1:21" ht="16.5" thickBot="1">
      <c r="A139" s="1188" t="s">
        <v>4533</v>
      </c>
      <c r="B139" s="1192">
        <f t="shared" si="6"/>
        <v>110</v>
      </c>
      <c r="C139" s="1192" t="s">
        <v>3</v>
      </c>
      <c r="D139" s="1192">
        <f t="shared" si="7"/>
        <v>300</v>
      </c>
      <c r="E139" s="1192" t="s">
        <v>3</v>
      </c>
      <c r="F139" s="1190">
        <f t="shared" si="8"/>
        <v>2000</v>
      </c>
      <c r="G139" s="1192" t="s">
        <v>3</v>
      </c>
      <c r="H139" s="1189">
        <v>2</v>
      </c>
      <c r="I139" s="1191" t="s">
        <v>40</v>
      </c>
      <c r="J139" s="149">
        <v>110</v>
      </c>
      <c r="K139" s="66">
        <v>300</v>
      </c>
      <c r="L139" s="66">
        <v>2000</v>
      </c>
      <c r="M139" s="156">
        <v>25.471535455746164</v>
      </c>
      <c r="N139" s="78">
        <v>1350.9779318036349</v>
      </c>
      <c r="O139" s="113">
        <v>38870.93380266711</v>
      </c>
      <c r="P139" s="111">
        <v>47863.820377657685</v>
      </c>
      <c r="Q139" s="254">
        <v>26619.648426895383</v>
      </c>
      <c r="R139" s="263">
        <v>65490.582229562497</v>
      </c>
      <c r="S139" s="259">
        <v>74483.468804553064</v>
      </c>
      <c r="U139" s="7" t="s">
        <v>4956</v>
      </c>
    </row>
    <row r="140" spans="1:21" ht="16.5" thickBot="1">
      <c r="A140" s="1188" t="s">
        <v>4533</v>
      </c>
      <c r="B140" s="1192">
        <f t="shared" si="6"/>
        <v>110</v>
      </c>
      <c r="C140" s="1192" t="s">
        <v>3</v>
      </c>
      <c r="D140" s="1192">
        <f t="shared" si="7"/>
        <v>300</v>
      </c>
      <c r="E140" s="1192" t="s">
        <v>3</v>
      </c>
      <c r="F140" s="1190">
        <f t="shared" si="8"/>
        <v>2050</v>
      </c>
      <c r="G140" s="1192" t="s">
        <v>3</v>
      </c>
      <c r="H140" s="1189">
        <v>2</v>
      </c>
      <c r="I140" s="1191" t="s">
        <v>40</v>
      </c>
      <c r="J140" s="149">
        <v>110</v>
      </c>
      <c r="K140" s="66">
        <v>300</v>
      </c>
      <c r="L140" s="66">
        <v>2050</v>
      </c>
      <c r="M140" s="156">
        <v>26.052441915218438</v>
      </c>
      <c r="N140" s="78">
        <v>1391.9166570098057</v>
      </c>
      <c r="O140" s="113">
        <v>39607.550618012574</v>
      </c>
      <c r="P140" s="111">
        <v>48794.331218653417</v>
      </c>
      <c r="Q140" s="254">
        <v>27143.290212895896</v>
      </c>
      <c r="R140" s="263">
        <v>66750.840830908477</v>
      </c>
      <c r="S140" s="259">
        <v>75937.621431549313</v>
      </c>
      <c r="U140" s="7" t="s">
        <v>4957</v>
      </c>
    </row>
    <row r="141" spans="1:21" ht="16.5" thickBot="1">
      <c r="A141" s="1188" t="s">
        <v>4533</v>
      </c>
      <c r="B141" s="1189">
        <f t="shared" si="6"/>
        <v>110</v>
      </c>
      <c r="C141" s="1189" t="s">
        <v>3</v>
      </c>
      <c r="D141" s="1189">
        <f t="shared" si="7"/>
        <v>300</v>
      </c>
      <c r="E141" s="1189" t="s">
        <v>3</v>
      </c>
      <c r="F141" s="1190">
        <f t="shared" si="8"/>
        <v>2100</v>
      </c>
      <c r="G141" s="1189" t="s">
        <v>3</v>
      </c>
      <c r="H141" s="1189">
        <v>2</v>
      </c>
      <c r="I141" s="1191" t="s">
        <v>40</v>
      </c>
      <c r="J141" s="149">
        <v>110</v>
      </c>
      <c r="K141" s="66">
        <v>300</v>
      </c>
      <c r="L141" s="66">
        <v>2100</v>
      </c>
      <c r="M141" s="156">
        <v>26.633348374690705</v>
      </c>
      <c r="N141" s="78">
        <v>1432.8553822159765</v>
      </c>
      <c r="O141" s="113">
        <v>40344.167433358023</v>
      </c>
      <c r="P141" s="111">
        <v>49724.841906620386</v>
      </c>
      <c r="Q141" s="254">
        <v>27918.265983651414</v>
      </c>
      <c r="R141" s="263">
        <v>68262.433417009437</v>
      </c>
      <c r="S141" s="259">
        <v>77643.1078902718</v>
      </c>
      <c r="U141" s="7" t="s">
        <v>4958</v>
      </c>
    </row>
    <row r="142" spans="1:21" ht="16.5" thickBot="1">
      <c r="A142" s="1188" t="s">
        <v>4533</v>
      </c>
      <c r="B142" s="1192">
        <f t="shared" si="6"/>
        <v>110</v>
      </c>
      <c r="C142" s="1192" t="s">
        <v>3</v>
      </c>
      <c r="D142" s="1192">
        <f t="shared" si="7"/>
        <v>300</v>
      </c>
      <c r="E142" s="1192" t="s">
        <v>3</v>
      </c>
      <c r="F142" s="1190">
        <f t="shared" si="8"/>
        <v>2150</v>
      </c>
      <c r="G142" s="1192" t="s">
        <v>3</v>
      </c>
      <c r="H142" s="1189">
        <v>2</v>
      </c>
      <c r="I142" s="1191" t="s">
        <v>40</v>
      </c>
      <c r="J142" s="149">
        <v>110</v>
      </c>
      <c r="K142" s="66">
        <v>300</v>
      </c>
      <c r="L142" s="66">
        <v>2150</v>
      </c>
      <c r="M142" s="156">
        <v>27.214254834162972</v>
      </c>
      <c r="N142" s="78">
        <v>1473.7941074221471</v>
      </c>
      <c r="O142" s="113">
        <v>41080.784401732257</v>
      </c>
      <c r="P142" s="111">
        <v>50655.352594587355</v>
      </c>
      <c r="Q142" s="254">
        <v>28441.907769651927</v>
      </c>
      <c r="R142" s="263">
        <v>69522.692171384188</v>
      </c>
      <c r="S142" s="259">
        <v>79097.260364239279</v>
      </c>
      <c r="U142" s="7" t="s">
        <v>4959</v>
      </c>
    </row>
    <row r="143" spans="1:21" ht="16.5" thickBot="1">
      <c r="A143" s="1188" t="s">
        <v>4533</v>
      </c>
      <c r="B143" s="1192">
        <f t="shared" si="6"/>
        <v>110</v>
      </c>
      <c r="C143" s="1192" t="s">
        <v>3</v>
      </c>
      <c r="D143" s="1192">
        <f t="shared" si="7"/>
        <v>300</v>
      </c>
      <c r="E143" s="1192" t="s">
        <v>3</v>
      </c>
      <c r="F143" s="1190">
        <f t="shared" si="8"/>
        <v>2200</v>
      </c>
      <c r="G143" s="1192" t="s">
        <v>3</v>
      </c>
      <c r="H143" s="1189">
        <v>2</v>
      </c>
      <c r="I143" s="1191" t="s">
        <v>40</v>
      </c>
      <c r="J143" s="149">
        <v>110</v>
      </c>
      <c r="K143" s="66">
        <v>300</v>
      </c>
      <c r="L143" s="66">
        <v>2200</v>
      </c>
      <c r="M143" s="156">
        <v>27.795161293635246</v>
      </c>
      <c r="N143" s="78">
        <v>1514.732832628318</v>
      </c>
      <c r="O143" s="113">
        <v>41817.401217077713</v>
      </c>
      <c r="P143" s="111">
        <v>51585.863435583095</v>
      </c>
      <c r="Q143" s="254">
        <v>29216.883540407438</v>
      </c>
      <c r="R143" s="263">
        <v>71034.284757485148</v>
      </c>
      <c r="S143" s="259">
        <v>80802.746975990536</v>
      </c>
      <c r="U143" s="7" t="s">
        <v>4960</v>
      </c>
    </row>
    <row r="144" spans="1:21" ht="16.5" thickBot="1">
      <c r="A144" s="1188" t="s">
        <v>4533</v>
      </c>
      <c r="B144" s="1192">
        <f t="shared" si="6"/>
        <v>110</v>
      </c>
      <c r="C144" s="1192" t="s">
        <v>3</v>
      </c>
      <c r="D144" s="1192">
        <f t="shared" si="7"/>
        <v>300</v>
      </c>
      <c r="E144" s="1192" t="s">
        <v>3</v>
      </c>
      <c r="F144" s="1190">
        <f t="shared" si="8"/>
        <v>2250</v>
      </c>
      <c r="G144" s="1192" t="s">
        <v>3</v>
      </c>
      <c r="H144" s="1189">
        <v>2</v>
      </c>
      <c r="I144" s="1191" t="s">
        <v>40</v>
      </c>
      <c r="J144" s="149">
        <v>110</v>
      </c>
      <c r="K144" s="66">
        <v>300</v>
      </c>
      <c r="L144" s="66">
        <v>2250</v>
      </c>
      <c r="M144" s="156">
        <v>28.37606775310751</v>
      </c>
      <c r="N144" s="78">
        <v>1555.6715578344886</v>
      </c>
      <c r="O144" s="113">
        <v>42554.01803242317</v>
      </c>
      <c r="P144" s="111">
        <v>52516.374123550057</v>
      </c>
      <c r="Q144" s="254">
        <v>29740.525173379188</v>
      </c>
      <c r="R144" s="263">
        <v>72294.543205802358</v>
      </c>
      <c r="S144" s="259">
        <v>82256.899296929245</v>
      </c>
      <c r="U144" s="7" t="s">
        <v>4961</v>
      </c>
    </row>
    <row r="145" spans="1:21" ht="16.5" thickBot="1">
      <c r="A145" s="1188" t="s">
        <v>4533</v>
      </c>
      <c r="B145" s="1192">
        <f t="shared" si="6"/>
        <v>110</v>
      </c>
      <c r="C145" s="1192" t="s">
        <v>3</v>
      </c>
      <c r="D145" s="1192">
        <f t="shared" si="7"/>
        <v>300</v>
      </c>
      <c r="E145" s="1192" t="s">
        <v>3</v>
      </c>
      <c r="F145" s="1190">
        <f t="shared" si="8"/>
        <v>2300</v>
      </c>
      <c r="G145" s="1192" t="s">
        <v>3</v>
      </c>
      <c r="H145" s="1189">
        <v>2</v>
      </c>
      <c r="I145" s="1191" t="s">
        <v>40</v>
      </c>
      <c r="J145" s="149">
        <v>110</v>
      </c>
      <c r="K145" s="66">
        <v>300</v>
      </c>
      <c r="L145" s="66">
        <v>2300</v>
      </c>
      <c r="M145" s="156">
        <v>28.95697421257978</v>
      </c>
      <c r="N145" s="78">
        <v>1596.6102830406594</v>
      </c>
      <c r="O145" s="113">
        <v>43290.634847768626</v>
      </c>
      <c r="P145" s="111">
        <v>53446.884964545796</v>
      </c>
      <c r="Q145" s="254">
        <v>30264.166959379701</v>
      </c>
      <c r="R145" s="263">
        <v>73554.801807148324</v>
      </c>
      <c r="S145" s="259">
        <v>83711.051923925494</v>
      </c>
      <c r="U145" s="7" t="s">
        <v>4962</v>
      </c>
    </row>
    <row r="146" spans="1:21" ht="16.5" thickBot="1">
      <c r="A146" s="1188" t="s">
        <v>4533</v>
      </c>
      <c r="B146" s="1192">
        <f t="shared" si="6"/>
        <v>110</v>
      </c>
      <c r="C146" s="1192" t="s">
        <v>3</v>
      </c>
      <c r="D146" s="1192">
        <f t="shared" si="7"/>
        <v>300</v>
      </c>
      <c r="E146" s="1192" t="s">
        <v>3</v>
      </c>
      <c r="F146" s="1190">
        <f t="shared" si="8"/>
        <v>2350</v>
      </c>
      <c r="G146" s="1192" t="s">
        <v>3</v>
      </c>
      <c r="H146" s="1189">
        <v>2</v>
      </c>
      <c r="I146" s="1191" t="s">
        <v>40</v>
      </c>
      <c r="J146" s="149">
        <v>110</v>
      </c>
      <c r="K146" s="66">
        <v>300</v>
      </c>
      <c r="L146" s="66">
        <v>2350</v>
      </c>
      <c r="M146" s="156">
        <v>29.537880672052058</v>
      </c>
      <c r="N146" s="78">
        <v>1637.5490082468302</v>
      </c>
      <c r="O146" s="113">
        <v>44027.25166311409</v>
      </c>
      <c r="P146" s="111">
        <v>54377.395652512758</v>
      </c>
      <c r="Q146" s="254">
        <v>31039.142730135216</v>
      </c>
      <c r="R146" s="263">
        <v>75066.394393249298</v>
      </c>
      <c r="S146" s="259">
        <v>85416.538382647967</v>
      </c>
      <c r="U146" s="7" t="s">
        <v>4963</v>
      </c>
    </row>
    <row r="147" spans="1:21" ht="16.5" thickBot="1">
      <c r="A147" s="1188" t="s">
        <v>4533</v>
      </c>
      <c r="B147" s="1192">
        <f t="shared" si="6"/>
        <v>110</v>
      </c>
      <c r="C147" s="1192" t="s">
        <v>3</v>
      </c>
      <c r="D147" s="1192">
        <f t="shared" si="7"/>
        <v>300</v>
      </c>
      <c r="E147" s="1192" t="s">
        <v>3</v>
      </c>
      <c r="F147" s="1190">
        <f t="shared" si="8"/>
        <v>2400</v>
      </c>
      <c r="G147" s="1192" t="s">
        <v>3</v>
      </c>
      <c r="H147" s="1189">
        <v>2</v>
      </c>
      <c r="I147" s="1191" t="s">
        <v>40</v>
      </c>
      <c r="J147" s="149">
        <v>110</v>
      </c>
      <c r="K147" s="66">
        <v>300</v>
      </c>
      <c r="L147" s="66">
        <v>2400</v>
      </c>
      <c r="M147" s="156">
        <v>30.118787131524318</v>
      </c>
      <c r="N147" s="78">
        <v>1678.4877334530008</v>
      </c>
      <c r="O147" s="113">
        <v>44763.868478459539</v>
      </c>
      <c r="P147" s="111">
        <v>55307.90634047972</v>
      </c>
      <c r="Q147" s="254">
        <v>31562.784363106966</v>
      </c>
      <c r="R147" s="263">
        <v>76326.652841566509</v>
      </c>
      <c r="S147" s="259">
        <v>86870.69070358669</v>
      </c>
      <c r="U147" s="7" t="s">
        <v>4964</v>
      </c>
    </row>
    <row r="148" spans="1:21" ht="16.5" thickBot="1">
      <c r="A148" s="1188" t="s">
        <v>4533</v>
      </c>
      <c r="B148" s="1192">
        <f t="shared" si="6"/>
        <v>110</v>
      </c>
      <c r="C148" s="1192" t="s">
        <v>3</v>
      </c>
      <c r="D148" s="1192">
        <f t="shared" si="7"/>
        <v>300</v>
      </c>
      <c r="E148" s="1192" t="s">
        <v>3</v>
      </c>
      <c r="F148" s="1190">
        <f t="shared" si="8"/>
        <v>2450</v>
      </c>
      <c r="G148" s="1192" t="s">
        <v>3</v>
      </c>
      <c r="H148" s="1189">
        <v>2</v>
      </c>
      <c r="I148" s="1191" t="s">
        <v>40</v>
      </c>
      <c r="J148" s="149">
        <v>110</v>
      </c>
      <c r="K148" s="66">
        <v>300</v>
      </c>
      <c r="L148" s="66">
        <v>2450</v>
      </c>
      <c r="M148" s="156">
        <v>30.699693590996596</v>
      </c>
      <c r="N148" s="78">
        <v>1719.4264586591719</v>
      </c>
      <c r="O148" s="113">
        <v>45500.48529380485</v>
      </c>
      <c r="P148" s="111">
        <v>56238.417181475459</v>
      </c>
      <c r="Q148" s="254">
        <v>32337.760286891244</v>
      </c>
      <c r="R148" s="263">
        <v>77838.245580696093</v>
      </c>
      <c r="S148" s="259">
        <v>88576.177468366703</v>
      </c>
      <c r="U148" s="7" t="s">
        <v>4965</v>
      </c>
    </row>
    <row r="149" spans="1:21" ht="16.5" thickBot="1">
      <c r="A149" s="1188" t="s">
        <v>4533</v>
      </c>
      <c r="B149" s="1192">
        <f t="shared" si="6"/>
        <v>110</v>
      </c>
      <c r="C149" s="1192" t="s">
        <v>3</v>
      </c>
      <c r="D149" s="1192">
        <f t="shared" si="7"/>
        <v>300</v>
      </c>
      <c r="E149" s="1192" t="s">
        <v>3</v>
      </c>
      <c r="F149" s="1190">
        <f t="shared" si="8"/>
        <v>2500</v>
      </c>
      <c r="G149" s="1192" t="s">
        <v>3</v>
      </c>
      <c r="H149" s="1189">
        <v>2</v>
      </c>
      <c r="I149" s="1191" t="s">
        <v>40</v>
      </c>
      <c r="J149" s="149">
        <v>110</v>
      </c>
      <c r="K149" s="66">
        <v>300</v>
      </c>
      <c r="L149" s="66">
        <v>2500</v>
      </c>
      <c r="M149" s="156">
        <v>31.625366850468861</v>
      </c>
      <c r="N149" s="78">
        <v>1760.3651838653425</v>
      </c>
      <c r="O149" s="113">
        <v>47025.880003318889</v>
      </c>
      <c r="P149" s="111">
        <v>58174.031663825757</v>
      </c>
      <c r="Q149" s="254">
        <v>32861.40191986299</v>
      </c>
      <c r="R149" s="263">
        <v>79887.281923181872</v>
      </c>
      <c r="S149" s="259">
        <v>91035.433583688748</v>
      </c>
      <c r="U149" s="7" t="s">
        <v>4966</v>
      </c>
    </row>
    <row r="150" spans="1:21" ht="16.5" thickBot="1">
      <c r="A150" s="1188" t="s">
        <v>4533</v>
      </c>
      <c r="B150" s="1192">
        <f t="shared" si="6"/>
        <v>110</v>
      </c>
      <c r="C150" s="1192" t="s">
        <v>3</v>
      </c>
      <c r="D150" s="1192">
        <f t="shared" si="7"/>
        <v>300</v>
      </c>
      <c r="E150" s="1192" t="s">
        <v>3</v>
      </c>
      <c r="F150" s="1190">
        <f t="shared" si="8"/>
        <v>2550</v>
      </c>
      <c r="G150" s="1192" t="s">
        <v>3</v>
      </c>
      <c r="H150" s="1189">
        <v>2</v>
      </c>
      <c r="I150" s="1191" t="s">
        <v>40</v>
      </c>
      <c r="J150" s="149">
        <v>110</v>
      </c>
      <c r="K150" s="66">
        <v>300</v>
      </c>
      <c r="L150" s="66">
        <v>2550</v>
      </c>
      <c r="M150" s="156">
        <v>32.206273309941132</v>
      </c>
      <c r="N150" s="78">
        <v>1801.3039090715133</v>
      </c>
      <c r="O150" s="113">
        <v>48156.119091635301</v>
      </c>
      <c r="P150" s="111">
        <v>59119.845228305217</v>
      </c>
      <c r="Q150" s="254">
        <v>33636.377843647271</v>
      </c>
      <c r="R150" s="263">
        <v>81792.496935282572</v>
      </c>
      <c r="S150" s="259">
        <v>92756.223071952496</v>
      </c>
      <c r="U150" s="7" t="s">
        <v>4967</v>
      </c>
    </row>
    <row r="151" spans="1:21" ht="16.5" thickBot="1">
      <c r="A151" s="1188" t="s">
        <v>4533</v>
      </c>
      <c r="B151" s="1189">
        <f t="shared" si="6"/>
        <v>110</v>
      </c>
      <c r="C151" s="1189" t="s">
        <v>3</v>
      </c>
      <c r="D151" s="1189">
        <f t="shared" si="7"/>
        <v>300</v>
      </c>
      <c r="E151" s="1189" t="s">
        <v>3</v>
      </c>
      <c r="F151" s="1190">
        <f t="shared" si="8"/>
        <v>2600</v>
      </c>
      <c r="G151" s="1189" t="s">
        <v>3</v>
      </c>
      <c r="H151" s="1189">
        <v>2</v>
      </c>
      <c r="I151" s="1191" t="s">
        <v>40</v>
      </c>
      <c r="J151" s="149">
        <v>110</v>
      </c>
      <c r="K151" s="66">
        <v>300</v>
      </c>
      <c r="L151" s="66">
        <v>2600</v>
      </c>
      <c r="M151" s="156">
        <v>32.787179769413399</v>
      </c>
      <c r="N151" s="78">
        <v>1842.2426342776839</v>
      </c>
      <c r="O151" s="113">
        <v>48892.73590698075</v>
      </c>
      <c r="P151" s="111">
        <v>60050.356069300957</v>
      </c>
      <c r="Q151" s="254">
        <v>34160.019476619018</v>
      </c>
      <c r="R151" s="263">
        <v>83052.755383599768</v>
      </c>
      <c r="S151" s="259">
        <v>94210.375545919975</v>
      </c>
      <c r="U151" s="7" t="s">
        <v>4968</v>
      </c>
    </row>
    <row r="152" spans="1:21" ht="16.5" thickBot="1">
      <c r="A152" s="1188" t="s">
        <v>4533</v>
      </c>
      <c r="B152" s="1192">
        <f t="shared" si="6"/>
        <v>110</v>
      </c>
      <c r="C152" s="1192" t="s">
        <v>3</v>
      </c>
      <c r="D152" s="1192">
        <f t="shared" si="7"/>
        <v>300</v>
      </c>
      <c r="E152" s="1192" t="s">
        <v>3</v>
      </c>
      <c r="F152" s="1190">
        <f t="shared" si="8"/>
        <v>2650</v>
      </c>
      <c r="G152" s="1192" t="s">
        <v>3</v>
      </c>
      <c r="H152" s="1189">
        <v>2</v>
      </c>
      <c r="I152" s="1191" t="s">
        <v>40</v>
      </c>
      <c r="J152" s="149">
        <v>110</v>
      </c>
      <c r="K152" s="66">
        <v>300</v>
      </c>
      <c r="L152" s="66">
        <v>2650</v>
      </c>
      <c r="M152" s="156">
        <v>33.368086228885673</v>
      </c>
      <c r="N152" s="78">
        <v>1883.1813594838545</v>
      </c>
      <c r="O152" s="113">
        <v>49629.352722326214</v>
      </c>
      <c r="P152" s="111">
        <v>60980.866757267926</v>
      </c>
      <c r="Q152" s="254">
        <v>34934.995247374536</v>
      </c>
      <c r="R152" s="263">
        <v>84564.347969700757</v>
      </c>
      <c r="S152" s="259">
        <v>95915.862004642462</v>
      </c>
      <c r="U152" s="7" t="s">
        <v>4969</v>
      </c>
    </row>
    <row r="153" spans="1:21" ht="16.5" thickBot="1">
      <c r="A153" s="1188" t="s">
        <v>4533</v>
      </c>
      <c r="B153" s="1192">
        <f t="shared" si="6"/>
        <v>110</v>
      </c>
      <c r="C153" s="1192" t="s">
        <v>3</v>
      </c>
      <c r="D153" s="1192">
        <f t="shared" si="7"/>
        <v>300</v>
      </c>
      <c r="E153" s="1192" t="s">
        <v>3</v>
      </c>
      <c r="F153" s="1190">
        <f t="shared" si="8"/>
        <v>2700</v>
      </c>
      <c r="G153" s="1192" t="s">
        <v>3</v>
      </c>
      <c r="H153" s="1189">
        <v>2</v>
      </c>
      <c r="I153" s="1191" t="s">
        <v>40</v>
      </c>
      <c r="J153" s="149">
        <v>110</v>
      </c>
      <c r="K153" s="66">
        <v>300</v>
      </c>
      <c r="L153" s="66">
        <v>2700</v>
      </c>
      <c r="M153" s="156">
        <v>33.948992688357947</v>
      </c>
      <c r="N153" s="78">
        <v>1924.1200846900256</v>
      </c>
      <c r="O153" s="113">
        <v>50365.96953767167</v>
      </c>
      <c r="P153" s="111">
        <v>61911.377445234888</v>
      </c>
      <c r="Q153" s="254">
        <v>35458.637033375046</v>
      </c>
      <c r="R153" s="263">
        <v>85824.606571046723</v>
      </c>
      <c r="S153" s="259">
        <v>97370.014478609926</v>
      </c>
      <c r="U153" s="7" t="s">
        <v>4970</v>
      </c>
    </row>
    <row r="154" spans="1:21" ht="16.5" thickBot="1">
      <c r="A154" s="1188" t="s">
        <v>4533</v>
      </c>
      <c r="B154" s="1192">
        <f t="shared" si="6"/>
        <v>110</v>
      </c>
      <c r="C154" s="1192" t="s">
        <v>3</v>
      </c>
      <c r="D154" s="1192">
        <f t="shared" si="7"/>
        <v>300</v>
      </c>
      <c r="E154" s="1192" t="s">
        <v>3</v>
      </c>
      <c r="F154" s="1190">
        <f t="shared" si="8"/>
        <v>2750</v>
      </c>
      <c r="G154" s="1192" t="s">
        <v>3</v>
      </c>
      <c r="H154" s="1189">
        <v>2</v>
      </c>
      <c r="I154" s="1191" t="s">
        <v>40</v>
      </c>
      <c r="J154" s="149">
        <v>110</v>
      </c>
      <c r="K154" s="66">
        <v>300</v>
      </c>
      <c r="L154" s="66">
        <v>2750</v>
      </c>
      <c r="M154" s="156">
        <v>34.529899147830214</v>
      </c>
      <c r="N154" s="78">
        <v>1965.0588098961962</v>
      </c>
      <c r="O154" s="113">
        <v>51102.586353017126</v>
      </c>
      <c r="P154" s="111">
        <v>62841.888286230627</v>
      </c>
      <c r="Q154" s="254">
        <v>35982.278666346792</v>
      </c>
      <c r="R154" s="263">
        <v>87084.865019363919</v>
      </c>
      <c r="S154" s="259">
        <v>98824.16695257742</v>
      </c>
      <c r="U154" s="7" t="s">
        <v>4971</v>
      </c>
    </row>
    <row r="155" spans="1:21" ht="16.5" thickBot="1">
      <c r="A155" s="1188" t="s">
        <v>4533</v>
      </c>
      <c r="B155" s="1192">
        <f t="shared" si="6"/>
        <v>110</v>
      </c>
      <c r="C155" s="1192" t="s">
        <v>3</v>
      </c>
      <c r="D155" s="1192">
        <f t="shared" si="7"/>
        <v>300</v>
      </c>
      <c r="E155" s="1192" t="s">
        <v>3</v>
      </c>
      <c r="F155" s="1190">
        <f t="shared" si="8"/>
        <v>2800</v>
      </c>
      <c r="G155" s="1192" t="s">
        <v>3</v>
      </c>
      <c r="H155" s="1189">
        <v>2</v>
      </c>
      <c r="I155" s="1191" t="s">
        <v>40</v>
      </c>
      <c r="J155" s="149">
        <v>110</v>
      </c>
      <c r="K155" s="66">
        <v>300</v>
      </c>
      <c r="L155" s="66">
        <v>2800</v>
      </c>
      <c r="M155" s="156">
        <v>35.110805607302488</v>
      </c>
      <c r="N155" s="78">
        <v>2005.9975351023672</v>
      </c>
      <c r="O155" s="113">
        <v>51839.20316836259</v>
      </c>
      <c r="P155" s="111">
        <v>63772.398974197589</v>
      </c>
      <c r="Q155" s="254">
        <v>36757.25443710231</v>
      </c>
      <c r="R155" s="263">
        <v>88596.457605464908</v>
      </c>
      <c r="S155" s="259">
        <v>100529.65341129989</v>
      </c>
      <c r="U155" s="7" t="s">
        <v>4972</v>
      </c>
    </row>
    <row r="156" spans="1:21" ht="16.5" thickBot="1">
      <c r="A156" s="1188" t="s">
        <v>4533</v>
      </c>
      <c r="B156" s="1192">
        <f t="shared" si="6"/>
        <v>110</v>
      </c>
      <c r="C156" s="1192" t="s">
        <v>3</v>
      </c>
      <c r="D156" s="1192">
        <f t="shared" si="7"/>
        <v>300</v>
      </c>
      <c r="E156" s="1192" t="s">
        <v>3</v>
      </c>
      <c r="F156" s="1190">
        <f t="shared" si="8"/>
        <v>2850</v>
      </c>
      <c r="G156" s="1192" t="s">
        <v>3</v>
      </c>
      <c r="H156" s="1189">
        <v>2</v>
      </c>
      <c r="I156" s="1191" t="s">
        <v>40</v>
      </c>
      <c r="J156" s="149">
        <v>110</v>
      </c>
      <c r="K156" s="66">
        <v>300</v>
      </c>
      <c r="L156" s="66">
        <v>2850</v>
      </c>
      <c r="M156" s="156">
        <v>35.691712066774755</v>
      </c>
      <c r="N156" s="78">
        <v>2046.9362603085378</v>
      </c>
      <c r="O156" s="113">
        <v>52575.819983708046</v>
      </c>
      <c r="P156" s="111">
        <v>64702.909815193329</v>
      </c>
      <c r="Q156" s="254">
        <v>37280.89622310282</v>
      </c>
      <c r="R156" s="263">
        <v>89856.716206810874</v>
      </c>
      <c r="S156" s="259">
        <v>101983.80603829614</v>
      </c>
      <c r="U156" s="7" t="s">
        <v>4973</v>
      </c>
    </row>
    <row r="157" spans="1:21" ht="16.5" thickBot="1">
      <c r="A157" s="1188" t="s">
        <v>4533</v>
      </c>
      <c r="B157" s="1192">
        <f t="shared" si="6"/>
        <v>110</v>
      </c>
      <c r="C157" s="1192" t="s">
        <v>3</v>
      </c>
      <c r="D157" s="1192">
        <f t="shared" si="7"/>
        <v>300</v>
      </c>
      <c r="E157" s="1192" t="s">
        <v>3</v>
      </c>
      <c r="F157" s="1190">
        <f t="shared" si="8"/>
        <v>2900</v>
      </c>
      <c r="G157" s="1192" t="s">
        <v>3</v>
      </c>
      <c r="H157" s="1189">
        <v>2</v>
      </c>
      <c r="I157" s="1191" t="s">
        <v>40</v>
      </c>
      <c r="J157" s="149">
        <v>110</v>
      </c>
      <c r="K157" s="66">
        <v>300</v>
      </c>
      <c r="L157" s="66">
        <v>2900</v>
      </c>
      <c r="M157" s="156">
        <v>36.272618526247022</v>
      </c>
      <c r="N157" s="78">
        <v>2087.8749855147084</v>
      </c>
      <c r="O157" s="113">
        <v>53312.43679905335</v>
      </c>
      <c r="P157" s="111">
        <v>65633.420503160291</v>
      </c>
      <c r="Q157" s="254">
        <v>38055.871993858338</v>
      </c>
      <c r="R157" s="263">
        <v>91368.308792911688</v>
      </c>
      <c r="S157" s="259">
        <v>103689.29249701863</v>
      </c>
      <c r="U157" s="7" t="s">
        <v>4974</v>
      </c>
    </row>
    <row r="158" spans="1:21" ht="16.5" thickBot="1">
      <c r="A158" s="1188" t="s">
        <v>4533</v>
      </c>
      <c r="B158" s="1192">
        <f t="shared" si="6"/>
        <v>110</v>
      </c>
      <c r="C158" s="1192" t="s">
        <v>3</v>
      </c>
      <c r="D158" s="1192">
        <f t="shared" si="7"/>
        <v>300</v>
      </c>
      <c r="E158" s="1192" t="s">
        <v>3</v>
      </c>
      <c r="F158" s="1190">
        <f t="shared" si="8"/>
        <v>2950</v>
      </c>
      <c r="G158" s="1192" t="s">
        <v>3</v>
      </c>
      <c r="H158" s="1189">
        <v>2</v>
      </c>
      <c r="I158" s="1191" t="s">
        <v>40</v>
      </c>
      <c r="J158" s="149">
        <v>110</v>
      </c>
      <c r="K158" s="66">
        <v>300</v>
      </c>
      <c r="L158" s="66">
        <v>2950</v>
      </c>
      <c r="M158" s="156">
        <v>36.853524985719289</v>
      </c>
      <c r="N158" s="78">
        <v>2128.8137107208795</v>
      </c>
      <c r="O158" s="113">
        <v>54049.053614398967</v>
      </c>
      <c r="P158" s="111">
        <v>66563.931191127267</v>
      </c>
      <c r="Q158" s="254">
        <v>38579.513779858848</v>
      </c>
      <c r="R158" s="263">
        <v>92628.567394257814</v>
      </c>
      <c r="S158" s="259">
        <v>105143.44497098611</v>
      </c>
      <c r="U158" s="7" t="s">
        <v>4975</v>
      </c>
    </row>
    <row r="159" spans="1:21" ht="16.5" thickBot="1">
      <c r="A159" s="1193" t="s">
        <v>4533</v>
      </c>
      <c r="B159" s="1194">
        <f t="shared" si="6"/>
        <v>110</v>
      </c>
      <c r="C159" s="1194" t="s">
        <v>3</v>
      </c>
      <c r="D159" s="1194">
        <f t="shared" si="7"/>
        <v>300</v>
      </c>
      <c r="E159" s="1194" t="s">
        <v>3</v>
      </c>
      <c r="F159" s="1195">
        <f t="shared" si="8"/>
        <v>3000</v>
      </c>
      <c r="G159" s="1194" t="s">
        <v>3</v>
      </c>
      <c r="H159" s="1196">
        <v>2</v>
      </c>
      <c r="I159" s="1197" t="s">
        <v>40</v>
      </c>
      <c r="J159" s="265">
        <v>110</v>
      </c>
      <c r="K159" s="266">
        <v>300</v>
      </c>
      <c r="L159" s="266">
        <v>3000</v>
      </c>
      <c r="M159" s="281">
        <v>37.668539445191563</v>
      </c>
      <c r="N159" s="250">
        <v>2169.7524359270501</v>
      </c>
      <c r="O159" s="251">
        <v>55049.736866844112</v>
      </c>
      <c r="P159" s="280">
        <v>67758.508469222696</v>
      </c>
      <c r="Q159" s="267">
        <v>39354.489550614366</v>
      </c>
      <c r="R159" s="268">
        <v>94404.226417458471</v>
      </c>
      <c r="S159" s="269">
        <v>107112.99801983706</v>
      </c>
      <c r="U159" s="7" t="s">
        <v>4976</v>
      </c>
    </row>
    <row r="160" spans="1:21" ht="21.75" thickBot="1">
      <c r="A160" s="2968" t="s">
        <v>475</v>
      </c>
      <c r="B160" s="2969"/>
      <c r="C160" s="2969"/>
      <c r="D160" s="2969"/>
      <c r="E160" s="2969"/>
      <c r="F160" s="2969"/>
      <c r="G160" s="2969"/>
      <c r="H160" s="2969"/>
      <c r="I160" s="2969"/>
      <c r="J160" s="2969"/>
      <c r="K160" s="2969"/>
      <c r="L160" s="2969"/>
      <c r="M160" s="2969"/>
      <c r="N160" s="2969"/>
      <c r="O160" s="2969"/>
      <c r="P160" s="2969"/>
      <c r="Q160" s="2969"/>
      <c r="R160" s="2969"/>
      <c r="S160" s="2970"/>
      <c r="U160" s="7"/>
    </row>
    <row r="161" spans="1:21" ht="16.5" thickBot="1">
      <c r="A161" s="2974" t="s">
        <v>4532</v>
      </c>
      <c r="B161" s="2975"/>
      <c r="C161" s="2975"/>
      <c r="D161" s="2975"/>
      <c r="E161" s="2975"/>
      <c r="F161" s="2975"/>
      <c r="G161" s="2975"/>
      <c r="H161" s="2975"/>
      <c r="I161" s="2975"/>
      <c r="J161" s="2975"/>
      <c r="K161" s="2975"/>
      <c r="L161" s="2975"/>
      <c r="M161" s="2975"/>
      <c r="N161" s="2975"/>
      <c r="O161" s="2975"/>
      <c r="P161" s="2975"/>
      <c r="Q161" s="2975"/>
      <c r="R161" s="2975"/>
      <c r="S161" s="2976"/>
      <c r="U161" s="7"/>
    </row>
    <row r="162" spans="1:21" ht="16.5" thickBot="1">
      <c r="A162" s="1188" t="s">
        <v>4533</v>
      </c>
      <c r="B162" s="1189">
        <f>J162</f>
        <v>110</v>
      </c>
      <c r="C162" s="1189" t="s">
        <v>3</v>
      </c>
      <c r="D162" s="1189">
        <f>K162</f>
        <v>360</v>
      </c>
      <c r="E162" s="1189" t="s">
        <v>3</v>
      </c>
      <c r="F162" s="1190">
        <f>L162</f>
        <v>600</v>
      </c>
      <c r="G162" s="1189" t="s">
        <v>3</v>
      </c>
      <c r="H162" s="1189">
        <v>2</v>
      </c>
      <c r="I162" s="1191" t="s">
        <v>40</v>
      </c>
      <c r="J162" s="270">
        <v>110</v>
      </c>
      <c r="K162" s="271">
        <v>360</v>
      </c>
      <c r="L162" s="271">
        <v>600</v>
      </c>
      <c r="M162" s="282">
        <v>9.9014353075752446</v>
      </c>
      <c r="N162" s="246">
        <v>257.37022667275915</v>
      </c>
      <c r="O162" s="247">
        <v>17417.670539589977</v>
      </c>
      <c r="P162" s="275">
        <v>22069.909199254958</v>
      </c>
      <c r="Q162" s="272">
        <v>10032.760953270536</v>
      </c>
      <c r="R162" s="273">
        <v>27450.431492860513</v>
      </c>
      <c r="S162" s="274">
        <v>32102.670152525494</v>
      </c>
      <c r="U162" s="7" t="s">
        <v>4977</v>
      </c>
    </row>
    <row r="163" spans="1:21" ht="16.5" thickBot="1">
      <c r="A163" s="1188" t="s">
        <v>4533</v>
      </c>
      <c r="B163" s="1192">
        <f t="shared" ref="B163:B210" si="9">J163</f>
        <v>110</v>
      </c>
      <c r="C163" s="1192" t="s">
        <v>3</v>
      </c>
      <c r="D163" s="1192">
        <f t="shared" ref="D163:D210" si="10">K163</f>
        <v>360</v>
      </c>
      <c r="E163" s="1192" t="s">
        <v>3</v>
      </c>
      <c r="F163" s="1190">
        <f t="shared" ref="F163:F210" si="11">L163</f>
        <v>650</v>
      </c>
      <c r="G163" s="1192" t="s">
        <v>3</v>
      </c>
      <c r="H163" s="1189">
        <v>2</v>
      </c>
      <c r="I163" s="1191" t="s">
        <v>40</v>
      </c>
      <c r="J163" s="149">
        <v>110</v>
      </c>
      <c r="K163" s="66">
        <v>360</v>
      </c>
      <c r="L163" s="66">
        <v>650</v>
      </c>
      <c r="M163" s="156">
        <v>10.550268393468569</v>
      </c>
      <c r="N163" s="78">
        <v>308.84427200731096</v>
      </c>
      <c r="O163" s="113">
        <v>18186.315051245976</v>
      </c>
      <c r="P163" s="111">
        <v>23054.819929907444</v>
      </c>
      <c r="Q163" s="254">
        <v>10636.181837508726</v>
      </c>
      <c r="R163" s="263">
        <v>28822.4968887547</v>
      </c>
      <c r="S163" s="259">
        <v>33691.001767416172</v>
      </c>
      <c r="U163" s="7" t="s">
        <v>4978</v>
      </c>
    </row>
    <row r="164" spans="1:21" ht="16.5" thickBot="1">
      <c r="A164" s="1188" t="s">
        <v>4533</v>
      </c>
      <c r="B164" s="1192">
        <f t="shared" si="9"/>
        <v>110</v>
      </c>
      <c r="C164" s="1192" t="s">
        <v>3</v>
      </c>
      <c r="D164" s="1192">
        <f t="shared" si="10"/>
        <v>360</v>
      </c>
      <c r="E164" s="1192" t="s">
        <v>3</v>
      </c>
      <c r="F164" s="1190">
        <f t="shared" si="11"/>
        <v>700</v>
      </c>
      <c r="G164" s="1192" t="s">
        <v>3</v>
      </c>
      <c r="H164" s="1189">
        <v>2</v>
      </c>
      <c r="I164" s="1191" t="s">
        <v>40</v>
      </c>
      <c r="J164" s="149">
        <v>110</v>
      </c>
      <c r="K164" s="66">
        <v>360</v>
      </c>
      <c r="L164" s="66">
        <v>700</v>
      </c>
      <c r="M164" s="156">
        <v>11.199101479361889</v>
      </c>
      <c r="N164" s="78">
        <v>360.31831734186278</v>
      </c>
      <c r="O164" s="113">
        <v>18954.959409873212</v>
      </c>
      <c r="P164" s="111">
        <v>24039.730507531171</v>
      </c>
      <c r="Q164" s="254">
        <v>11490.936859530682</v>
      </c>
      <c r="R164" s="263">
        <v>30445.896269403893</v>
      </c>
      <c r="S164" s="259">
        <v>35530.667367061855</v>
      </c>
      <c r="U164" s="7" t="s">
        <v>4979</v>
      </c>
    </row>
    <row r="165" spans="1:21" ht="16.5" thickBot="1">
      <c r="A165" s="1188" t="s">
        <v>4533</v>
      </c>
      <c r="B165" s="1192">
        <f t="shared" si="9"/>
        <v>110</v>
      </c>
      <c r="C165" s="1192" t="s">
        <v>3</v>
      </c>
      <c r="D165" s="1192">
        <f t="shared" si="10"/>
        <v>360</v>
      </c>
      <c r="E165" s="1192" t="s">
        <v>3</v>
      </c>
      <c r="F165" s="1190">
        <f t="shared" si="11"/>
        <v>750</v>
      </c>
      <c r="G165" s="1192" t="s">
        <v>3</v>
      </c>
      <c r="H165" s="1189">
        <v>2</v>
      </c>
      <c r="I165" s="1191" t="s">
        <v>40</v>
      </c>
      <c r="J165" s="149">
        <v>110</v>
      </c>
      <c r="K165" s="66">
        <v>360</v>
      </c>
      <c r="L165" s="66">
        <v>750</v>
      </c>
      <c r="M165" s="156">
        <v>11.84793456525521</v>
      </c>
      <c r="N165" s="78">
        <v>411.79236267641465</v>
      </c>
      <c r="O165" s="113">
        <v>19723.603768500445</v>
      </c>
      <c r="P165" s="111">
        <v>25024.64123818366</v>
      </c>
      <c r="Q165" s="254">
        <v>12094.357743768871</v>
      </c>
      <c r="R165" s="263">
        <v>31817.961512269314</v>
      </c>
      <c r="S165" s="259">
        <v>37118.998981952529</v>
      </c>
      <c r="U165" s="7" t="s">
        <v>4980</v>
      </c>
    </row>
    <row r="166" spans="1:21" ht="16.5" thickBot="1">
      <c r="A166" s="1188" t="s">
        <v>4533</v>
      </c>
      <c r="B166" s="1192">
        <f t="shared" si="9"/>
        <v>110</v>
      </c>
      <c r="C166" s="1192" t="s">
        <v>3</v>
      </c>
      <c r="D166" s="1192">
        <f t="shared" si="10"/>
        <v>360</v>
      </c>
      <c r="E166" s="1192" t="s">
        <v>3</v>
      </c>
      <c r="F166" s="1190">
        <f t="shared" si="11"/>
        <v>800</v>
      </c>
      <c r="G166" s="1192" t="s">
        <v>3</v>
      </c>
      <c r="H166" s="1189">
        <v>2</v>
      </c>
      <c r="I166" s="1191" t="s">
        <v>40</v>
      </c>
      <c r="J166" s="149">
        <v>110</v>
      </c>
      <c r="K166" s="66">
        <v>360</v>
      </c>
      <c r="L166" s="66">
        <v>800</v>
      </c>
      <c r="M166" s="156">
        <v>12.496767651148534</v>
      </c>
      <c r="N166" s="78">
        <v>463.26640801096647</v>
      </c>
      <c r="O166" s="113">
        <v>20888.133236448524</v>
      </c>
      <c r="P166" s="111">
        <v>26024.854845348647</v>
      </c>
      <c r="Q166" s="254">
        <v>12697.77862800706</v>
      </c>
      <c r="R166" s="263">
        <v>33585.911864455586</v>
      </c>
      <c r="S166" s="259">
        <v>38722.633473355709</v>
      </c>
      <c r="U166" s="7" t="s">
        <v>4981</v>
      </c>
    </row>
    <row r="167" spans="1:21" ht="16.5" thickBot="1">
      <c r="A167" s="1188" t="s">
        <v>4533</v>
      </c>
      <c r="B167" s="1192">
        <f t="shared" si="9"/>
        <v>110</v>
      </c>
      <c r="C167" s="1192" t="s">
        <v>3</v>
      </c>
      <c r="D167" s="1192">
        <f t="shared" si="10"/>
        <v>360</v>
      </c>
      <c r="E167" s="1192" t="s">
        <v>3</v>
      </c>
      <c r="F167" s="1190">
        <f t="shared" si="11"/>
        <v>850</v>
      </c>
      <c r="G167" s="1192" t="s">
        <v>3</v>
      </c>
      <c r="H167" s="1189">
        <v>2</v>
      </c>
      <c r="I167" s="1191" t="s">
        <v>40</v>
      </c>
      <c r="J167" s="149">
        <v>110</v>
      </c>
      <c r="K167" s="66">
        <v>360</v>
      </c>
      <c r="L167" s="66">
        <v>850</v>
      </c>
      <c r="M167" s="156">
        <v>13.145600737041857</v>
      </c>
      <c r="N167" s="78">
        <v>514.74045334551829</v>
      </c>
      <c r="O167" s="113">
        <v>21656.777748104523</v>
      </c>
      <c r="P167" s="111">
        <v>27009.765422972374</v>
      </c>
      <c r="Q167" s="254">
        <v>13552.533650029018</v>
      </c>
      <c r="R167" s="263">
        <v>35209.311398133541</v>
      </c>
      <c r="S167" s="259">
        <v>40562.299073001392</v>
      </c>
      <c r="U167" s="7" t="s">
        <v>4982</v>
      </c>
    </row>
    <row r="168" spans="1:21" ht="16.5" thickBot="1">
      <c r="A168" s="1188" t="s">
        <v>4533</v>
      </c>
      <c r="B168" s="1192">
        <f t="shared" si="9"/>
        <v>110</v>
      </c>
      <c r="C168" s="1192" t="s">
        <v>3</v>
      </c>
      <c r="D168" s="1192">
        <f t="shared" si="10"/>
        <v>360</v>
      </c>
      <c r="E168" s="1192" t="s">
        <v>3</v>
      </c>
      <c r="F168" s="1190">
        <f t="shared" si="11"/>
        <v>900</v>
      </c>
      <c r="G168" s="1192" t="s">
        <v>3</v>
      </c>
      <c r="H168" s="1189">
        <v>2</v>
      </c>
      <c r="I168" s="1191" t="s">
        <v>40</v>
      </c>
      <c r="J168" s="149">
        <v>110</v>
      </c>
      <c r="K168" s="66">
        <v>360</v>
      </c>
      <c r="L168" s="66">
        <v>900</v>
      </c>
      <c r="M168" s="156">
        <v>13.794433822935179</v>
      </c>
      <c r="N168" s="78">
        <v>566.21449868007016</v>
      </c>
      <c r="O168" s="113">
        <v>22425.422106731759</v>
      </c>
      <c r="P168" s="111">
        <v>27994.676153624863</v>
      </c>
      <c r="Q168" s="254">
        <v>14155.954534267206</v>
      </c>
      <c r="R168" s="263">
        <v>36581.376640998962</v>
      </c>
      <c r="S168" s="259">
        <v>42150.630687892073</v>
      </c>
      <c r="U168" s="7" t="s">
        <v>4983</v>
      </c>
    </row>
    <row r="169" spans="1:21" ht="16.5" thickBot="1">
      <c r="A169" s="1188" t="s">
        <v>4533</v>
      </c>
      <c r="B169" s="1192">
        <f t="shared" si="9"/>
        <v>110</v>
      </c>
      <c r="C169" s="1192" t="s">
        <v>3</v>
      </c>
      <c r="D169" s="1192">
        <f t="shared" si="10"/>
        <v>360</v>
      </c>
      <c r="E169" s="1192" t="s">
        <v>3</v>
      </c>
      <c r="F169" s="1190">
        <f t="shared" si="11"/>
        <v>950</v>
      </c>
      <c r="G169" s="1192" t="s">
        <v>3</v>
      </c>
      <c r="H169" s="1189">
        <v>2</v>
      </c>
      <c r="I169" s="1191" t="s">
        <v>40</v>
      </c>
      <c r="J169" s="149">
        <v>110</v>
      </c>
      <c r="K169" s="66">
        <v>360</v>
      </c>
      <c r="L169" s="66">
        <v>950</v>
      </c>
      <c r="M169" s="156">
        <v>14.4432669088285</v>
      </c>
      <c r="N169" s="78">
        <v>617.68854401462193</v>
      </c>
      <c r="O169" s="113">
        <v>23194.066465358996</v>
      </c>
      <c r="P169" s="111">
        <v>28979.586884277353</v>
      </c>
      <c r="Q169" s="254">
        <v>15010.709556289165</v>
      </c>
      <c r="R169" s="263">
        <v>38204.776021648162</v>
      </c>
      <c r="S169" s="259">
        <v>43990.296440566519</v>
      </c>
      <c r="U169" s="7" t="s">
        <v>4984</v>
      </c>
    </row>
    <row r="170" spans="1:21" ht="16.5" thickBot="1">
      <c r="A170" s="1188" t="s">
        <v>4533</v>
      </c>
      <c r="B170" s="1192">
        <f t="shared" si="9"/>
        <v>110</v>
      </c>
      <c r="C170" s="1192" t="s">
        <v>3</v>
      </c>
      <c r="D170" s="1192">
        <f t="shared" si="10"/>
        <v>360</v>
      </c>
      <c r="E170" s="1192" t="s">
        <v>3</v>
      </c>
      <c r="F170" s="1190">
        <f t="shared" si="11"/>
        <v>1000</v>
      </c>
      <c r="G170" s="1192" t="s">
        <v>3</v>
      </c>
      <c r="H170" s="1189">
        <v>2</v>
      </c>
      <c r="I170" s="1191" t="s">
        <v>40</v>
      </c>
      <c r="J170" s="149">
        <v>110</v>
      </c>
      <c r="K170" s="66">
        <v>360</v>
      </c>
      <c r="L170" s="66">
        <v>1000</v>
      </c>
      <c r="M170" s="156">
        <v>15.232564794721824</v>
      </c>
      <c r="N170" s="78">
        <v>669.1625893491738</v>
      </c>
      <c r="O170" s="113">
        <v>24032.565394690489</v>
      </c>
      <c r="P170" s="111">
        <v>30034.35203260534</v>
      </c>
      <c r="Q170" s="254">
        <v>15614.130440527351</v>
      </c>
      <c r="R170" s="263">
        <v>39646.695835217841</v>
      </c>
      <c r="S170" s="259">
        <v>45648.482473132695</v>
      </c>
      <c r="U170" s="7" t="s">
        <v>4985</v>
      </c>
    </row>
    <row r="171" spans="1:21" ht="16.5" thickBot="1">
      <c r="A171" s="1188" t="s">
        <v>4533</v>
      </c>
      <c r="B171" s="1192">
        <f t="shared" si="9"/>
        <v>110</v>
      </c>
      <c r="C171" s="1192" t="s">
        <v>3</v>
      </c>
      <c r="D171" s="1192">
        <f t="shared" si="10"/>
        <v>360</v>
      </c>
      <c r="E171" s="1192" t="s">
        <v>3</v>
      </c>
      <c r="F171" s="1190">
        <f t="shared" si="11"/>
        <v>1050</v>
      </c>
      <c r="G171" s="1192" t="s">
        <v>3</v>
      </c>
      <c r="H171" s="1189">
        <v>2</v>
      </c>
      <c r="I171" s="1191" t="s">
        <v>40</v>
      </c>
      <c r="J171" s="149">
        <v>110</v>
      </c>
      <c r="K171" s="66">
        <v>360</v>
      </c>
      <c r="L171" s="66">
        <v>1050</v>
      </c>
      <c r="M171" s="156">
        <v>15.881397880615147</v>
      </c>
      <c r="N171" s="78">
        <v>720.63663468372556</v>
      </c>
      <c r="O171" s="113">
        <v>24801.209753317722</v>
      </c>
      <c r="P171" s="111">
        <v>31019.26276325783</v>
      </c>
      <c r="Q171" s="254">
        <v>16468.885462549311</v>
      </c>
      <c r="R171" s="263">
        <v>41270.095215867033</v>
      </c>
      <c r="S171" s="259">
        <v>47488.148225807141</v>
      </c>
      <c r="U171" s="7" t="s">
        <v>4986</v>
      </c>
    </row>
    <row r="172" spans="1:21" ht="16.5" thickBot="1">
      <c r="A172" s="1188" t="s">
        <v>4533</v>
      </c>
      <c r="B172" s="1189">
        <f t="shared" si="9"/>
        <v>110</v>
      </c>
      <c r="C172" s="1189" t="s">
        <v>3</v>
      </c>
      <c r="D172" s="1189">
        <f t="shared" si="10"/>
        <v>360</v>
      </c>
      <c r="E172" s="1189" t="s">
        <v>3</v>
      </c>
      <c r="F172" s="1190">
        <f t="shared" si="11"/>
        <v>1100</v>
      </c>
      <c r="G172" s="1189" t="s">
        <v>3</v>
      </c>
      <c r="H172" s="1189">
        <v>2</v>
      </c>
      <c r="I172" s="1191" t="s">
        <v>40</v>
      </c>
      <c r="J172" s="149">
        <v>110</v>
      </c>
      <c r="K172" s="66">
        <v>360</v>
      </c>
      <c r="L172" s="66">
        <v>1100</v>
      </c>
      <c r="M172" s="156">
        <v>16.530230966508469</v>
      </c>
      <c r="N172" s="78">
        <v>772.11068001827744</v>
      </c>
      <c r="O172" s="113">
        <v>25569.854264973721</v>
      </c>
      <c r="P172" s="111">
        <v>32004.173493910315</v>
      </c>
      <c r="Q172" s="254">
        <v>17072.3063467875</v>
      </c>
      <c r="R172" s="263">
        <v>42642.160611761225</v>
      </c>
      <c r="S172" s="259">
        <v>49076.479840697815</v>
      </c>
      <c r="U172" s="7" t="s">
        <v>4987</v>
      </c>
    </row>
    <row r="173" spans="1:21" ht="16.5" thickBot="1">
      <c r="A173" s="1188" t="s">
        <v>4533</v>
      </c>
      <c r="B173" s="1192">
        <f t="shared" si="9"/>
        <v>110</v>
      </c>
      <c r="C173" s="1192" t="s">
        <v>3</v>
      </c>
      <c r="D173" s="1192">
        <f t="shared" si="10"/>
        <v>360</v>
      </c>
      <c r="E173" s="1192" t="s">
        <v>3</v>
      </c>
      <c r="F173" s="1190">
        <f t="shared" si="11"/>
        <v>1150</v>
      </c>
      <c r="G173" s="1192" t="s">
        <v>3</v>
      </c>
      <c r="H173" s="1189">
        <v>2</v>
      </c>
      <c r="I173" s="1191" t="s">
        <v>40</v>
      </c>
      <c r="J173" s="149">
        <v>110</v>
      </c>
      <c r="K173" s="66">
        <v>360</v>
      </c>
      <c r="L173" s="66">
        <v>1150</v>
      </c>
      <c r="M173" s="156">
        <v>17.179064052401792</v>
      </c>
      <c r="N173" s="78">
        <v>823.58472535282931</v>
      </c>
      <c r="O173" s="113">
        <v>26338.498623600954</v>
      </c>
      <c r="P173" s="111">
        <v>32989.084071534046</v>
      </c>
      <c r="Q173" s="254">
        <v>17675.727231025689</v>
      </c>
      <c r="R173" s="263">
        <v>44014.225854626638</v>
      </c>
      <c r="S173" s="259">
        <v>50664.811302559734</v>
      </c>
      <c r="U173" s="7" t="s">
        <v>4988</v>
      </c>
    </row>
    <row r="174" spans="1:21" ht="16.5" thickBot="1">
      <c r="A174" s="1188" t="s">
        <v>4533</v>
      </c>
      <c r="B174" s="1192">
        <f t="shared" si="9"/>
        <v>110</v>
      </c>
      <c r="C174" s="1192" t="s">
        <v>3</v>
      </c>
      <c r="D174" s="1192">
        <f t="shared" si="10"/>
        <v>360</v>
      </c>
      <c r="E174" s="1192" t="s">
        <v>3</v>
      </c>
      <c r="F174" s="1190">
        <f t="shared" si="11"/>
        <v>1200</v>
      </c>
      <c r="G174" s="1192" t="s">
        <v>3</v>
      </c>
      <c r="H174" s="1189">
        <v>2</v>
      </c>
      <c r="I174" s="1191" t="s">
        <v>40</v>
      </c>
      <c r="J174" s="149">
        <v>110</v>
      </c>
      <c r="K174" s="66">
        <v>360</v>
      </c>
      <c r="L174" s="66">
        <v>1200</v>
      </c>
      <c r="M174" s="156">
        <v>17.827897138295111</v>
      </c>
      <c r="N174" s="78">
        <v>875.05877068738107</v>
      </c>
      <c r="O174" s="113">
        <v>27107.142982228193</v>
      </c>
      <c r="P174" s="111">
        <v>33973.994802186535</v>
      </c>
      <c r="Q174" s="254">
        <v>18530.482406076411</v>
      </c>
      <c r="R174" s="263">
        <v>45637.625388304601</v>
      </c>
      <c r="S174" s="259">
        <v>52504.47720826295</v>
      </c>
      <c r="U174" s="7" t="s">
        <v>4989</v>
      </c>
    </row>
    <row r="175" spans="1:21" ht="16.5" thickBot="1">
      <c r="A175" s="1188" t="s">
        <v>4533</v>
      </c>
      <c r="B175" s="1192">
        <f t="shared" si="9"/>
        <v>110</v>
      </c>
      <c r="C175" s="1192" t="s">
        <v>3</v>
      </c>
      <c r="D175" s="1192">
        <f t="shared" si="10"/>
        <v>360</v>
      </c>
      <c r="E175" s="1192" t="s">
        <v>3</v>
      </c>
      <c r="F175" s="1190">
        <f t="shared" si="11"/>
        <v>1250</v>
      </c>
      <c r="G175" s="1192" t="s">
        <v>3</v>
      </c>
      <c r="H175" s="1189">
        <v>2</v>
      </c>
      <c r="I175" s="1191" t="s">
        <v>40</v>
      </c>
      <c r="J175" s="149">
        <v>110</v>
      </c>
      <c r="K175" s="66">
        <v>360</v>
      </c>
      <c r="L175" s="66">
        <v>1250</v>
      </c>
      <c r="M175" s="156">
        <v>18.476730224188437</v>
      </c>
      <c r="N175" s="78">
        <v>926.53281602193294</v>
      </c>
      <c r="O175" s="113">
        <v>27875.787340855426</v>
      </c>
      <c r="P175" s="111">
        <v>34958.905532839017</v>
      </c>
      <c r="Q175" s="254">
        <v>19133.9032903146</v>
      </c>
      <c r="R175" s="263">
        <v>47009.69063117003</v>
      </c>
      <c r="S175" s="259">
        <v>54092.808823153617</v>
      </c>
      <c r="U175" s="7" t="s">
        <v>4990</v>
      </c>
    </row>
    <row r="176" spans="1:21" ht="16.5" thickBot="1">
      <c r="A176" s="1188" t="s">
        <v>4533</v>
      </c>
      <c r="B176" s="1192">
        <f t="shared" si="9"/>
        <v>110</v>
      </c>
      <c r="C176" s="1192" t="s">
        <v>3</v>
      </c>
      <c r="D176" s="1192">
        <f t="shared" si="10"/>
        <v>360</v>
      </c>
      <c r="E176" s="1192" t="s">
        <v>3</v>
      </c>
      <c r="F176" s="1190">
        <f t="shared" si="11"/>
        <v>1300</v>
      </c>
      <c r="G176" s="1192" t="s">
        <v>3</v>
      </c>
      <c r="H176" s="1189">
        <v>2</v>
      </c>
      <c r="I176" s="1191" t="s">
        <v>40</v>
      </c>
      <c r="J176" s="149">
        <v>110</v>
      </c>
      <c r="K176" s="66">
        <v>360</v>
      </c>
      <c r="L176" s="66">
        <v>1300</v>
      </c>
      <c r="M176" s="156">
        <v>19.125563310081759</v>
      </c>
      <c r="N176" s="78">
        <v>978.00686135648471</v>
      </c>
      <c r="O176" s="113">
        <v>28644.431699482662</v>
      </c>
      <c r="P176" s="111">
        <v>35943.816110462743</v>
      </c>
      <c r="Q176" s="254">
        <v>19988.658312336556</v>
      </c>
      <c r="R176" s="263">
        <v>48633.090011819222</v>
      </c>
      <c r="S176" s="259">
        <v>55932.4744227993</v>
      </c>
      <c r="U176" s="7" t="s">
        <v>4991</v>
      </c>
    </row>
    <row r="177" spans="1:21" ht="16.5" thickBot="1">
      <c r="A177" s="1188" t="s">
        <v>4533</v>
      </c>
      <c r="B177" s="1192">
        <f t="shared" si="9"/>
        <v>110</v>
      </c>
      <c r="C177" s="1192" t="s">
        <v>3</v>
      </c>
      <c r="D177" s="1192">
        <f t="shared" si="10"/>
        <v>360</v>
      </c>
      <c r="E177" s="1192" t="s">
        <v>3</v>
      </c>
      <c r="F177" s="1190">
        <f t="shared" si="11"/>
        <v>1350</v>
      </c>
      <c r="G177" s="1192" t="s">
        <v>3</v>
      </c>
      <c r="H177" s="1189">
        <v>2</v>
      </c>
      <c r="I177" s="1191" t="s">
        <v>40</v>
      </c>
      <c r="J177" s="149">
        <v>110</v>
      </c>
      <c r="K177" s="66">
        <v>360</v>
      </c>
      <c r="L177" s="66">
        <v>1350</v>
      </c>
      <c r="M177" s="156">
        <v>19.774396395975081</v>
      </c>
      <c r="N177" s="78">
        <v>1029.4809066910366</v>
      </c>
      <c r="O177" s="113">
        <v>29413.076211138661</v>
      </c>
      <c r="P177" s="111">
        <v>36928.726841115233</v>
      </c>
      <c r="Q177" s="254">
        <v>20592.079196574745</v>
      </c>
      <c r="R177" s="263">
        <v>50005.155407713406</v>
      </c>
      <c r="S177" s="259">
        <v>57520.806037689981</v>
      </c>
      <c r="U177" s="7" t="s">
        <v>4992</v>
      </c>
    </row>
    <row r="178" spans="1:21" ht="16.5" thickBot="1">
      <c r="A178" s="1188" t="s">
        <v>4533</v>
      </c>
      <c r="B178" s="1192">
        <f t="shared" si="9"/>
        <v>110</v>
      </c>
      <c r="C178" s="1192" t="s">
        <v>3</v>
      </c>
      <c r="D178" s="1192">
        <f t="shared" si="10"/>
        <v>360</v>
      </c>
      <c r="E178" s="1192" t="s">
        <v>3</v>
      </c>
      <c r="F178" s="1190">
        <f t="shared" si="11"/>
        <v>1400</v>
      </c>
      <c r="G178" s="1192" t="s">
        <v>3</v>
      </c>
      <c r="H178" s="1189">
        <v>2</v>
      </c>
      <c r="I178" s="1191" t="s">
        <v>40</v>
      </c>
      <c r="J178" s="149">
        <v>110</v>
      </c>
      <c r="K178" s="66">
        <v>360</v>
      </c>
      <c r="L178" s="66">
        <v>1400</v>
      </c>
      <c r="M178" s="156">
        <v>20.423229481868404</v>
      </c>
      <c r="N178" s="78">
        <v>1080.9549520255885</v>
      </c>
      <c r="O178" s="113">
        <v>30181.720569765894</v>
      </c>
      <c r="P178" s="111">
        <v>37913.637571767722</v>
      </c>
      <c r="Q178" s="254">
        <v>21446.834218596705</v>
      </c>
      <c r="R178" s="263">
        <v>51628.554788362599</v>
      </c>
      <c r="S178" s="259">
        <v>59360.471790364427</v>
      </c>
      <c r="U178" s="7" t="s">
        <v>4993</v>
      </c>
    </row>
    <row r="179" spans="1:21" ht="16.5" thickBot="1">
      <c r="A179" s="1188" t="s">
        <v>4533</v>
      </c>
      <c r="B179" s="1192">
        <f t="shared" si="9"/>
        <v>110</v>
      </c>
      <c r="C179" s="1192" t="s">
        <v>3</v>
      </c>
      <c r="D179" s="1192">
        <f t="shared" si="10"/>
        <v>360</v>
      </c>
      <c r="E179" s="1192" t="s">
        <v>3</v>
      </c>
      <c r="F179" s="1190">
        <f t="shared" si="11"/>
        <v>1450</v>
      </c>
      <c r="G179" s="1192" t="s">
        <v>3</v>
      </c>
      <c r="H179" s="1189">
        <v>2</v>
      </c>
      <c r="I179" s="1191" t="s">
        <v>40</v>
      </c>
      <c r="J179" s="149">
        <v>110</v>
      </c>
      <c r="K179" s="66">
        <v>360</v>
      </c>
      <c r="L179" s="66">
        <v>1450</v>
      </c>
      <c r="M179" s="156">
        <v>21.072062567761726</v>
      </c>
      <c r="N179" s="78">
        <v>1132.4289973601403</v>
      </c>
      <c r="O179" s="113">
        <v>30950.364928393134</v>
      </c>
      <c r="P179" s="111">
        <v>38898.548149391449</v>
      </c>
      <c r="Q179" s="254">
        <v>22050.255102834893</v>
      </c>
      <c r="R179" s="263">
        <v>53000.620031228027</v>
      </c>
      <c r="S179" s="259">
        <v>60948.803252226338</v>
      </c>
      <c r="U179" s="7" t="s">
        <v>4994</v>
      </c>
    </row>
    <row r="180" spans="1:21" ht="16.5" thickBot="1">
      <c r="A180" s="1188" t="s">
        <v>4533</v>
      </c>
      <c r="B180" s="1192">
        <f t="shared" si="9"/>
        <v>110</v>
      </c>
      <c r="C180" s="1192" t="s">
        <v>3</v>
      </c>
      <c r="D180" s="1192">
        <f t="shared" si="10"/>
        <v>360</v>
      </c>
      <c r="E180" s="1192" t="s">
        <v>3</v>
      </c>
      <c r="F180" s="1190">
        <f t="shared" si="11"/>
        <v>1500</v>
      </c>
      <c r="G180" s="1192" t="s">
        <v>3</v>
      </c>
      <c r="H180" s="1189">
        <v>2</v>
      </c>
      <c r="I180" s="1191" t="s">
        <v>40</v>
      </c>
      <c r="J180" s="149">
        <v>110</v>
      </c>
      <c r="K180" s="66">
        <v>360</v>
      </c>
      <c r="L180" s="66">
        <v>1500</v>
      </c>
      <c r="M180" s="156">
        <v>22.13523125365505</v>
      </c>
      <c r="N180" s="78">
        <v>1183.903042694692</v>
      </c>
      <c r="O180" s="113">
        <v>32582.656504526207</v>
      </c>
      <c r="P180" s="111">
        <v>41007.281931324942</v>
      </c>
      <c r="Q180" s="254">
        <v>22905.01012485685</v>
      </c>
      <c r="R180" s="263">
        <v>55487.666629383057</v>
      </c>
      <c r="S180" s="259">
        <v>63912.292056181788</v>
      </c>
      <c r="U180" s="7" t="s">
        <v>4995</v>
      </c>
    </row>
    <row r="181" spans="1:21" ht="16.5" thickBot="1">
      <c r="A181" s="1188" t="s">
        <v>4533</v>
      </c>
      <c r="B181" s="1192">
        <f t="shared" si="9"/>
        <v>110</v>
      </c>
      <c r="C181" s="1192" t="s">
        <v>3</v>
      </c>
      <c r="D181" s="1192">
        <f t="shared" si="10"/>
        <v>360</v>
      </c>
      <c r="E181" s="1192" t="s">
        <v>3</v>
      </c>
      <c r="F181" s="1190">
        <f t="shared" si="11"/>
        <v>1550</v>
      </c>
      <c r="G181" s="1192" t="s">
        <v>3</v>
      </c>
      <c r="H181" s="1189">
        <v>2</v>
      </c>
      <c r="I181" s="1191" t="s">
        <v>40</v>
      </c>
      <c r="J181" s="149">
        <v>110</v>
      </c>
      <c r="K181" s="66">
        <v>360</v>
      </c>
      <c r="L181" s="66">
        <v>1550</v>
      </c>
      <c r="M181" s="156">
        <v>22.784064339548372</v>
      </c>
      <c r="N181" s="78">
        <v>1235.3770880292439</v>
      </c>
      <c r="O181" s="113">
        <v>33351.300863153439</v>
      </c>
      <c r="P181" s="111">
        <v>41992.192661977431</v>
      </c>
      <c r="Q181" s="254">
        <v>23508.431009095038</v>
      </c>
      <c r="R181" s="263">
        <v>56859.731872248478</v>
      </c>
      <c r="S181" s="259">
        <v>65500.62367107247</v>
      </c>
      <c r="U181" s="7" t="s">
        <v>4996</v>
      </c>
    </row>
    <row r="182" spans="1:21" ht="16.5" thickBot="1">
      <c r="A182" s="1188" t="s">
        <v>4533</v>
      </c>
      <c r="B182" s="1189">
        <f t="shared" si="9"/>
        <v>110</v>
      </c>
      <c r="C182" s="1189" t="s">
        <v>3</v>
      </c>
      <c r="D182" s="1189">
        <f t="shared" si="10"/>
        <v>360</v>
      </c>
      <c r="E182" s="1189" t="s">
        <v>3</v>
      </c>
      <c r="F182" s="1190">
        <f t="shared" si="11"/>
        <v>1600</v>
      </c>
      <c r="G182" s="1189" t="s">
        <v>3</v>
      </c>
      <c r="H182" s="1189">
        <v>2</v>
      </c>
      <c r="I182" s="1191" t="s">
        <v>40</v>
      </c>
      <c r="J182" s="149">
        <v>110</v>
      </c>
      <c r="K182" s="66">
        <v>360</v>
      </c>
      <c r="L182" s="66">
        <v>1600</v>
      </c>
      <c r="M182" s="156">
        <v>23.432897425441691</v>
      </c>
      <c r="N182" s="78">
        <v>1286.8511333637957</v>
      </c>
      <c r="O182" s="113">
        <v>34119.945221780676</v>
      </c>
      <c r="P182" s="111">
        <v>42977.103239601158</v>
      </c>
      <c r="Q182" s="254">
        <v>24111.851893333227</v>
      </c>
      <c r="R182" s="263">
        <v>58231.797115113906</v>
      </c>
      <c r="S182" s="259">
        <v>67088.955132934381</v>
      </c>
      <c r="U182" s="7" t="s">
        <v>4997</v>
      </c>
    </row>
    <row r="183" spans="1:21" ht="16.5" thickBot="1">
      <c r="A183" s="1188" t="s">
        <v>4533</v>
      </c>
      <c r="B183" s="1192">
        <f t="shared" si="9"/>
        <v>110</v>
      </c>
      <c r="C183" s="1192" t="s">
        <v>3</v>
      </c>
      <c r="D183" s="1192">
        <f t="shared" si="10"/>
        <v>360</v>
      </c>
      <c r="E183" s="1192" t="s">
        <v>3</v>
      </c>
      <c r="F183" s="1190">
        <f t="shared" si="11"/>
        <v>1650</v>
      </c>
      <c r="G183" s="1192" t="s">
        <v>3</v>
      </c>
      <c r="H183" s="1189">
        <v>2</v>
      </c>
      <c r="I183" s="1191" t="s">
        <v>40</v>
      </c>
      <c r="J183" s="149">
        <v>110</v>
      </c>
      <c r="K183" s="66">
        <v>360</v>
      </c>
      <c r="L183" s="66">
        <v>1650</v>
      </c>
      <c r="M183" s="156">
        <v>24.081730511335017</v>
      </c>
      <c r="N183" s="78">
        <v>1338.3251786983476</v>
      </c>
      <c r="O183" s="113">
        <v>34888.589733436675</v>
      </c>
      <c r="P183" s="111">
        <v>43962.013970253647</v>
      </c>
      <c r="Q183" s="254">
        <v>24966.606915355183</v>
      </c>
      <c r="R183" s="263">
        <v>59855.196648791854</v>
      </c>
      <c r="S183" s="259">
        <v>68928.620885608834</v>
      </c>
      <c r="U183" s="7" t="s">
        <v>4998</v>
      </c>
    </row>
    <row r="184" spans="1:21" ht="16.5" thickBot="1">
      <c r="A184" s="1188" t="s">
        <v>4533</v>
      </c>
      <c r="B184" s="1192">
        <f t="shared" si="9"/>
        <v>110</v>
      </c>
      <c r="C184" s="1192" t="s">
        <v>3</v>
      </c>
      <c r="D184" s="1192">
        <f t="shared" si="10"/>
        <v>360</v>
      </c>
      <c r="E184" s="1192" t="s">
        <v>3</v>
      </c>
      <c r="F184" s="1190">
        <f t="shared" si="11"/>
        <v>1700</v>
      </c>
      <c r="G184" s="1192" t="s">
        <v>3</v>
      </c>
      <c r="H184" s="1189">
        <v>2</v>
      </c>
      <c r="I184" s="1191" t="s">
        <v>40</v>
      </c>
      <c r="J184" s="149">
        <v>110</v>
      </c>
      <c r="K184" s="66">
        <v>360</v>
      </c>
      <c r="L184" s="66">
        <v>1700</v>
      </c>
      <c r="M184" s="156">
        <v>24.73056359722834</v>
      </c>
      <c r="N184" s="78">
        <v>1389.7992240328995</v>
      </c>
      <c r="O184" s="113">
        <v>35657.234092063911</v>
      </c>
      <c r="P184" s="111">
        <v>44946.924700906136</v>
      </c>
      <c r="Q184" s="254">
        <v>25570.027799593372</v>
      </c>
      <c r="R184" s="263">
        <v>61227.261891657283</v>
      </c>
      <c r="S184" s="259">
        <v>70516.952500499508</v>
      </c>
      <c r="U184" s="7" t="s">
        <v>4999</v>
      </c>
    </row>
    <row r="185" spans="1:21" ht="16.5" thickBot="1">
      <c r="A185" s="1188" t="s">
        <v>4533</v>
      </c>
      <c r="B185" s="1192">
        <f t="shared" si="9"/>
        <v>110</v>
      </c>
      <c r="C185" s="1192" t="s">
        <v>3</v>
      </c>
      <c r="D185" s="1192">
        <f t="shared" si="10"/>
        <v>360</v>
      </c>
      <c r="E185" s="1192" t="s">
        <v>3</v>
      </c>
      <c r="F185" s="1190">
        <f t="shared" si="11"/>
        <v>1750</v>
      </c>
      <c r="G185" s="1192" t="s">
        <v>3</v>
      </c>
      <c r="H185" s="1189">
        <v>2</v>
      </c>
      <c r="I185" s="1191" t="s">
        <v>40</v>
      </c>
      <c r="J185" s="149">
        <v>110</v>
      </c>
      <c r="K185" s="66">
        <v>360</v>
      </c>
      <c r="L185" s="66">
        <v>1750</v>
      </c>
      <c r="M185" s="156">
        <v>25.379396683121659</v>
      </c>
      <c r="N185" s="78">
        <v>1441.2732693674511</v>
      </c>
      <c r="O185" s="113">
        <v>36425.87845069114</v>
      </c>
      <c r="P185" s="111">
        <v>45931.835278529863</v>
      </c>
      <c r="Q185" s="254">
        <v>26424.782821615332</v>
      </c>
      <c r="R185" s="263">
        <v>62850.661272306475</v>
      </c>
      <c r="S185" s="259">
        <v>72356.618100145191</v>
      </c>
      <c r="U185" s="7" t="s">
        <v>5000</v>
      </c>
    </row>
    <row r="186" spans="1:21" ht="16.5" thickBot="1">
      <c r="A186" s="1188" t="s">
        <v>4533</v>
      </c>
      <c r="B186" s="1192">
        <f t="shared" si="9"/>
        <v>110</v>
      </c>
      <c r="C186" s="1192" t="s">
        <v>3</v>
      </c>
      <c r="D186" s="1192">
        <f t="shared" si="10"/>
        <v>360</v>
      </c>
      <c r="E186" s="1192" t="s">
        <v>3</v>
      </c>
      <c r="F186" s="1190">
        <f t="shared" si="11"/>
        <v>1800</v>
      </c>
      <c r="G186" s="1192" t="s">
        <v>3</v>
      </c>
      <c r="H186" s="1189">
        <v>2</v>
      </c>
      <c r="I186" s="1191" t="s">
        <v>40</v>
      </c>
      <c r="J186" s="149">
        <v>110</v>
      </c>
      <c r="K186" s="66">
        <v>360</v>
      </c>
      <c r="L186" s="66">
        <v>1800</v>
      </c>
      <c r="M186" s="156">
        <v>26.028229769014985</v>
      </c>
      <c r="N186" s="78">
        <v>1492.747314702003</v>
      </c>
      <c r="O186" s="113">
        <v>37194.522809318376</v>
      </c>
      <c r="P186" s="111">
        <v>46916.746009182352</v>
      </c>
      <c r="Q186" s="254">
        <v>27028.203705853517</v>
      </c>
      <c r="R186" s="263">
        <v>64222.726515171889</v>
      </c>
      <c r="S186" s="259">
        <v>73944.949715035866</v>
      </c>
      <c r="U186" s="7" t="s">
        <v>5001</v>
      </c>
    </row>
    <row r="187" spans="1:21" ht="16.5" thickBot="1">
      <c r="A187" s="1188" t="s">
        <v>4533</v>
      </c>
      <c r="B187" s="1192">
        <f t="shared" si="9"/>
        <v>110</v>
      </c>
      <c r="C187" s="1192" t="s">
        <v>3</v>
      </c>
      <c r="D187" s="1192">
        <f t="shared" si="10"/>
        <v>360</v>
      </c>
      <c r="E187" s="1192" t="s">
        <v>3</v>
      </c>
      <c r="F187" s="1190">
        <f t="shared" si="11"/>
        <v>1850</v>
      </c>
      <c r="G187" s="1192" t="s">
        <v>3</v>
      </c>
      <c r="H187" s="1189">
        <v>2</v>
      </c>
      <c r="I187" s="1191" t="s">
        <v>40</v>
      </c>
      <c r="J187" s="149">
        <v>110</v>
      </c>
      <c r="K187" s="66">
        <v>360</v>
      </c>
      <c r="L187" s="66">
        <v>1850</v>
      </c>
      <c r="M187" s="156">
        <v>26.677062854908304</v>
      </c>
      <c r="N187" s="78">
        <v>1544.2213600365549</v>
      </c>
      <c r="O187" s="113">
        <v>37963.167167945612</v>
      </c>
      <c r="P187" s="111">
        <v>47901.656739834834</v>
      </c>
      <c r="Q187" s="254">
        <v>27882.958880904247</v>
      </c>
      <c r="R187" s="263">
        <v>65846.126048849866</v>
      </c>
      <c r="S187" s="259">
        <v>75784.615620739089</v>
      </c>
      <c r="U187" s="7" t="s">
        <v>5002</v>
      </c>
    </row>
    <row r="188" spans="1:21" ht="16.5" thickBot="1">
      <c r="A188" s="1188" t="s">
        <v>4533</v>
      </c>
      <c r="B188" s="1192">
        <f t="shared" si="9"/>
        <v>110</v>
      </c>
      <c r="C188" s="1192" t="s">
        <v>3</v>
      </c>
      <c r="D188" s="1192">
        <f t="shared" si="10"/>
        <v>360</v>
      </c>
      <c r="E188" s="1192" t="s">
        <v>3</v>
      </c>
      <c r="F188" s="1190">
        <f t="shared" si="11"/>
        <v>1900</v>
      </c>
      <c r="G188" s="1192" t="s">
        <v>3</v>
      </c>
      <c r="H188" s="1189">
        <v>2</v>
      </c>
      <c r="I188" s="1191" t="s">
        <v>40</v>
      </c>
      <c r="J188" s="149">
        <v>110</v>
      </c>
      <c r="K188" s="66">
        <v>360</v>
      </c>
      <c r="L188" s="66">
        <v>1900</v>
      </c>
      <c r="M188" s="156">
        <v>27.32589594080163</v>
      </c>
      <c r="N188" s="78">
        <v>1595.6954053711067</v>
      </c>
      <c r="O188" s="113">
        <v>38731.811679601611</v>
      </c>
      <c r="P188" s="111">
        <v>48886.567317458561</v>
      </c>
      <c r="Q188" s="254">
        <v>28486.379765142432</v>
      </c>
      <c r="R188" s="263">
        <v>67218.191444744036</v>
      </c>
      <c r="S188" s="259">
        <v>77372.947082600993</v>
      </c>
      <c r="U188" s="7" t="s">
        <v>5003</v>
      </c>
    </row>
    <row r="189" spans="1:21" ht="16.5" thickBot="1">
      <c r="A189" s="1188" t="s">
        <v>4533</v>
      </c>
      <c r="B189" s="1192">
        <f t="shared" si="9"/>
        <v>110</v>
      </c>
      <c r="C189" s="1192" t="s">
        <v>3</v>
      </c>
      <c r="D189" s="1192">
        <f t="shared" si="10"/>
        <v>360</v>
      </c>
      <c r="E189" s="1192" t="s">
        <v>3</v>
      </c>
      <c r="F189" s="1190">
        <f t="shared" si="11"/>
        <v>1950</v>
      </c>
      <c r="G189" s="1192" t="s">
        <v>3</v>
      </c>
      <c r="H189" s="1189">
        <v>2</v>
      </c>
      <c r="I189" s="1191" t="s">
        <v>40</v>
      </c>
      <c r="J189" s="149">
        <v>110</v>
      </c>
      <c r="K189" s="66">
        <v>360</v>
      </c>
      <c r="L189" s="66">
        <v>1950</v>
      </c>
      <c r="M189" s="156">
        <v>27.974729026694948</v>
      </c>
      <c r="N189" s="78">
        <v>1647.1694507056586</v>
      </c>
      <c r="O189" s="113">
        <v>39500.456038228847</v>
      </c>
      <c r="P189" s="111">
        <v>49871.47804811105</v>
      </c>
      <c r="Q189" s="254">
        <v>29089.800649380621</v>
      </c>
      <c r="R189" s="263">
        <v>68590.256687609464</v>
      </c>
      <c r="S189" s="259">
        <v>78961.278697491667</v>
      </c>
      <c r="U189" s="7" t="s">
        <v>5004</v>
      </c>
    </row>
    <row r="190" spans="1:21" ht="16.5" thickBot="1">
      <c r="A190" s="1188" t="s">
        <v>4533</v>
      </c>
      <c r="B190" s="1192">
        <f t="shared" si="9"/>
        <v>110</v>
      </c>
      <c r="C190" s="1192" t="s">
        <v>3</v>
      </c>
      <c r="D190" s="1192">
        <f t="shared" si="10"/>
        <v>360</v>
      </c>
      <c r="E190" s="1192" t="s">
        <v>3</v>
      </c>
      <c r="F190" s="1190">
        <f t="shared" si="11"/>
        <v>2000</v>
      </c>
      <c r="G190" s="1192" t="s">
        <v>3</v>
      </c>
      <c r="H190" s="1189">
        <v>2</v>
      </c>
      <c r="I190" s="1191" t="s">
        <v>40</v>
      </c>
      <c r="J190" s="149">
        <v>110</v>
      </c>
      <c r="K190" s="66">
        <v>360</v>
      </c>
      <c r="L190" s="66">
        <v>2000</v>
      </c>
      <c r="M190" s="156">
        <v>28.764026912588267</v>
      </c>
      <c r="N190" s="78">
        <v>1698.6434960402103</v>
      </c>
      <c r="O190" s="113">
        <v>40777.076016055689</v>
      </c>
      <c r="P190" s="111">
        <v>51038.872520599805</v>
      </c>
      <c r="Q190" s="254">
        <v>29944.555671402581</v>
      </c>
      <c r="R190" s="263">
        <v>70721.63168745827</v>
      </c>
      <c r="S190" s="259">
        <v>80983.428192002379</v>
      </c>
      <c r="U190" s="7" t="s">
        <v>5005</v>
      </c>
    </row>
    <row r="191" spans="1:21" ht="16.5" thickBot="1">
      <c r="A191" s="1188" t="s">
        <v>4533</v>
      </c>
      <c r="B191" s="1192">
        <f t="shared" si="9"/>
        <v>110</v>
      </c>
      <c r="C191" s="1192" t="s">
        <v>3</v>
      </c>
      <c r="D191" s="1192">
        <f t="shared" si="10"/>
        <v>360</v>
      </c>
      <c r="E191" s="1192" t="s">
        <v>3</v>
      </c>
      <c r="F191" s="1190">
        <f t="shared" si="11"/>
        <v>2050</v>
      </c>
      <c r="G191" s="1192" t="s">
        <v>3</v>
      </c>
      <c r="H191" s="1189">
        <v>2</v>
      </c>
      <c r="I191" s="1191" t="s">
        <v>40</v>
      </c>
      <c r="J191" s="149">
        <v>110</v>
      </c>
      <c r="K191" s="66">
        <v>360</v>
      </c>
      <c r="L191" s="66">
        <v>2050</v>
      </c>
      <c r="M191" s="156">
        <v>29.412859998481597</v>
      </c>
      <c r="N191" s="78">
        <v>1750.1175413747621</v>
      </c>
      <c r="O191" s="113">
        <v>41545.720374682918</v>
      </c>
      <c r="P191" s="111">
        <v>52023.783098223532</v>
      </c>
      <c r="Q191" s="254">
        <v>30547.976555640766</v>
      </c>
      <c r="R191" s="263">
        <v>72093.696930323684</v>
      </c>
      <c r="S191" s="259">
        <v>82571.759653864297</v>
      </c>
      <c r="U191" s="7" t="s">
        <v>5006</v>
      </c>
    </row>
    <row r="192" spans="1:21" ht="16.5" thickBot="1">
      <c r="A192" s="1188" t="s">
        <v>4533</v>
      </c>
      <c r="B192" s="1189">
        <f t="shared" si="9"/>
        <v>110</v>
      </c>
      <c r="C192" s="1189" t="s">
        <v>3</v>
      </c>
      <c r="D192" s="1189">
        <f t="shared" si="10"/>
        <v>360</v>
      </c>
      <c r="E192" s="1189" t="s">
        <v>3</v>
      </c>
      <c r="F192" s="1190">
        <f t="shared" si="11"/>
        <v>2100</v>
      </c>
      <c r="G192" s="1189" t="s">
        <v>3</v>
      </c>
      <c r="H192" s="1189">
        <v>2</v>
      </c>
      <c r="I192" s="1191" t="s">
        <v>40</v>
      </c>
      <c r="J192" s="149">
        <v>110</v>
      </c>
      <c r="K192" s="66">
        <v>360</v>
      </c>
      <c r="L192" s="66">
        <v>2100</v>
      </c>
      <c r="M192" s="156">
        <v>30.061693084374916</v>
      </c>
      <c r="N192" s="78">
        <v>1801.591586709314</v>
      </c>
      <c r="O192" s="113">
        <v>42314.364886338917</v>
      </c>
      <c r="P192" s="111">
        <v>53008.693828876021</v>
      </c>
      <c r="Q192" s="254">
        <v>31402.731577662726</v>
      </c>
      <c r="R192" s="263">
        <v>73717.096464001646</v>
      </c>
      <c r="S192" s="259">
        <v>84411.42540653875</v>
      </c>
      <c r="U192" s="7" t="s">
        <v>5007</v>
      </c>
    </row>
    <row r="193" spans="1:21" ht="16.5" thickBot="1">
      <c r="A193" s="1188" t="s">
        <v>4533</v>
      </c>
      <c r="B193" s="1192">
        <f t="shared" si="9"/>
        <v>110</v>
      </c>
      <c r="C193" s="1192" t="s">
        <v>3</v>
      </c>
      <c r="D193" s="1192">
        <f t="shared" si="10"/>
        <v>360</v>
      </c>
      <c r="E193" s="1192" t="s">
        <v>3</v>
      </c>
      <c r="F193" s="1190">
        <f t="shared" si="11"/>
        <v>2150</v>
      </c>
      <c r="G193" s="1192" t="s">
        <v>3</v>
      </c>
      <c r="H193" s="1189">
        <v>2</v>
      </c>
      <c r="I193" s="1191" t="s">
        <v>40</v>
      </c>
      <c r="J193" s="149">
        <v>110</v>
      </c>
      <c r="K193" s="66">
        <v>360</v>
      </c>
      <c r="L193" s="66">
        <v>2150</v>
      </c>
      <c r="M193" s="156">
        <v>30.710526170268242</v>
      </c>
      <c r="N193" s="78">
        <v>1853.0656320438659</v>
      </c>
      <c r="O193" s="113">
        <v>43083.009244966153</v>
      </c>
      <c r="P193" s="111">
        <v>53993.60455952851</v>
      </c>
      <c r="Q193" s="254">
        <v>32006.152461900914</v>
      </c>
      <c r="R193" s="263">
        <v>75089.161706867075</v>
      </c>
      <c r="S193" s="259">
        <v>85999.757021429425</v>
      </c>
      <c r="U193" s="7" t="s">
        <v>5008</v>
      </c>
    </row>
    <row r="194" spans="1:21" ht="16.5" thickBot="1">
      <c r="A194" s="1188" t="s">
        <v>4533</v>
      </c>
      <c r="B194" s="1192">
        <f t="shared" si="9"/>
        <v>110</v>
      </c>
      <c r="C194" s="1192" t="s">
        <v>3</v>
      </c>
      <c r="D194" s="1192">
        <f t="shared" si="10"/>
        <v>360</v>
      </c>
      <c r="E194" s="1192" t="s">
        <v>3</v>
      </c>
      <c r="F194" s="1190">
        <f t="shared" si="11"/>
        <v>2200</v>
      </c>
      <c r="G194" s="1192" t="s">
        <v>3</v>
      </c>
      <c r="H194" s="1189">
        <v>2</v>
      </c>
      <c r="I194" s="1191" t="s">
        <v>40</v>
      </c>
      <c r="J194" s="149">
        <v>110</v>
      </c>
      <c r="K194" s="66">
        <v>360</v>
      </c>
      <c r="L194" s="66">
        <v>2200</v>
      </c>
      <c r="M194" s="156">
        <v>31.359359256161561</v>
      </c>
      <c r="N194" s="78">
        <v>1904.5396773784178</v>
      </c>
      <c r="O194" s="113">
        <v>43851.65360359339</v>
      </c>
      <c r="P194" s="111">
        <v>54978.515137152237</v>
      </c>
      <c r="Q194" s="254">
        <v>32860.907483922878</v>
      </c>
      <c r="R194" s="263">
        <v>76712.561087516267</v>
      </c>
      <c r="S194" s="259">
        <v>87839.422621075122</v>
      </c>
      <c r="U194" s="7" t="s">
        <v>5009</v>
      </c>
    </row>
    <row r="195" spans="1:21" ht="16.5" thickBot="1">
      <c r="A195" s="1188" t="s">
        <v>4533</v>
      </c>
      <c r="B195" s="1192">
        <f t="shared" si="9"/>
        <v>110</v>
      </c>
      <c r="C195" s="1192" t="s">
        <v>3</v>
      </c>
      <c r="D195" s="1192">
        <f t="shared" si="10"/>
        <v>360</v>
      </c>
      <c r="E195" s="1192" t="s">
        <v>3</v>
      </c>
      <c r="F195" s="1190">
        <f t="shared" si="11"/>
        <v>2250</v>
      </c>
      <c r="G195" s="1192" t="s">
        <v>3</v>
      </c>
      <c r="H195" s="1189">
        <v>2</v>
      </c>
      <c r="I195" s="1191" t="s">
        <v>40</v>
      </c>
      <c r="J195" s="149">
        <v>110</v>
      </c>
      <c r="K195" s="66">
        <v>360</v>
      </c>
      <c r="L195" s="66">
        <v>2250</v>
      </c>
      <c r="M195" s="156">
        <v>32.00819234205489</v>
      </c>
      <c r="N195" s="78">
        <v>1956.0137227129694</v>
      </c>
      <c r="O195" s="113">
        <v>44620.297962220626</v>
      </c>
      <c r="P195" s="111">
        <v>55963.425867804726</v>
      </c>
      <c r="Q195" s="254">
        <v>33464.328368161063</v>
      </c>
      <c r="R195" s="263">
        <v>78084.626330381696</v>
      </c>
      <c r="S195" s="259">
        <v>89427.754235965782</v>
      </c>
      <c r="U195" s="7" t="s">
        <v>5010</v>
      </c>
    </row>
    <row r="196" spans="1:21" ht="16.5" thickBot="1">
      <c r="A196" s="1188" t="s">
        <v>4533</v>
      </c>
      <c r="B196" s="1192">
        <f t="shared" si="9"/>
        <v>110</v>
      </c>
      <c r="C196" s="1192" t="s">
        <v>3</v>
      </c>
      <c r="D196" s="1192">
        <f t="shared" si="10"/>
        <v>360</v>
      </c>
      <c r="E196" s="1192" t="s">
        <v>3</v>
      </c>
      <c r="F196" s="1190">
        <f t="shared" si="11"/>
        <v>2300</v>
      </c>
      <c r="G196" s="1192" t="s">
        <v>3</v>
      </c>
      <c r="H196" s="1189">
        <v>2</v>
      </c>
      <c r="I196" s="1191" t="s">
        <v>40</v>
      </c>
      <c r="J196" s="149">
        <v>110</v>
      </c>
      <c r="K196" s="66">
        <v>360</v>
      </c>
      <c r="L196" s="66">
        <v>2300</v>
      </c>
      <c r="M196" s="156">
        <v>32.657025427948206</v>
      </c>
      <c r="N196" s="78">
        <v>2007.4877680475213</v>
      </c>
      <c r="O196" s="113">
        <v>45388.942320847862</v>
      </c>
      <c r="P196" s="111">
        <v>56948.336598457208</v>
      </c>
      <c r="Q196" s="254">
        <v>34067.749252399248</v>
      </c>
      <c r="R196" s="263">
        <v>79456.69157324711</v>
      </c>
      <c r="S196" s="259">
        <v>91016.085850856456</v>
      </c>
      <c r="U196" s="7" t="s">
        <v>5011</v>
      </c>
    </row>
    <row r="197" spans="1:21" ht="16.5" thickBot="1">
      <c r="A197" s="1188" t="s">
        <v>4533</v>
      </c>
      <c r="B197" s="1192">
        <f t="shared" si="9"/>
        <v>110</v>
      </c>
      <c r="C197" s="1192" t="s">
        <v>3</v>
      </c>
      <c r="D197" s="1192">
        <f t="shared" si="10"/>
        <v>360</v>
      </c>
      <c r="E197" s="1192" t="s">
        <v>3</v>
      </c>
      <c r="F197" s="1190">
        <f t="shared" si="11"/>
        <v>2350</v>
      </c>
      <c r="G197" s="1192" t="s">
        <v>3</v>
      </c>
      <c r="H197" s="1189">
        <v>2</v>
      </c>
      <c r="I197" s="1191" t="s">
        <v>40</v>
      </c>
      <c r="J197" s="149">
        <v>110</v>
      </c>
      <c r="K197" s="66">
        <v>360</v>
      </c>
      <c r="L197" s="66">
        <v>2350</v>
      </c>
      <c r="M197" s="156">
        <v>33.305858513841528</v>
      </c>
      <c r="N197" s="78">
        <v>2058.9618133820732</v>
      </c>
      <c r="O197" s="113">
        <v>46157.586832503861</v>
      </c>
      <c r="P197" s="111">
        <v>57933.247176080942</v>
      </c>
      <c r="Q197" s="254">
        <v>34922.504274421211</v>
      </c>
      <c r="R197" s="263">
        <v>81080.091106925072</v>
      </c>
      <c r="S197" s="259">
        <v>92855.751450502154</v>
      </c>
      <c r="U197" s="7" t="s">
        <v>5012</v>
      </c>
    </row>
    <row r="198" spans="1:21" ht="16.5" thickBot="1">
      <c r="A198" s="1188" t="s">
        <v>4533</v>
      </c>
      <c r="B198" s="1192">
        <f t="shared" si="9"/>
        <v>110</v>
      </c>
      <c r="C198" s="1192" t="s">
        <v>3</v>
      </c>
      <c r="D198" s="1192">
        <f t="shared" si="10"/>
        <v>360</v>
      </c>
      <c r="E198" s="1192" t="s">
        <v>3</v>
      </c>
      <c r="F198" s="1190">
        <f t="shared" si="11"/>
        <v>2400</v>
      </c>
      <c r="G198" s="1192" t="s">
        <v>3</v>
      </c>
      <c r="H198" s="1189">
        <v>2</v>
      </c>
      <c r="I198" s="1191" t="s">
        <v>40</v>
      </c>
      <c r="J198" s="149">
        <v>110</v>
      </c>
      <c r="K198" s="66">
        <v>360</v>
      </c>
      <c r="L198" s="66">
        <v>2400</v>
      </c>
      <c r="M198" s="156">
        <v>33.954691599734851</v>
      </c>
      <c r="N198" s="78">
        <v>2110.4358587166248</v>
      </c>
      <c r="O198" s="113">
        <v>46926.23119113109</v>
      </c>
      <c r="P198" s="111">
        <v>58918.157906733424</v>
      </c>
      <c r="Q198" s="254">
        <v>35525.925158659396</v>
      </c>
      <c r="R198" s="263">
        <v>82452.156349790486</v>
      </c>
      <c r="S198" s="259">
        <v>94444.083065392828</v>
      </c>
      <c r="U198" s="7" t="s">
        <v>5013</v>
      </c>
    </row>
    <row r="199" spans="1:21" ht="16.5" thickBot="1">
      <c r="A199" s="1188" t="s">
        <v>4533</v>
      </c>
      <c r="B199" s="1192">
        <f t="shared" si="9"/>
        <v>110</v>
      </c>
      <c r="C199" s="1192" t="s">
        <v>3</v>
      </c>
      <c r="D199" s="1192">
        <f t="shared" si="10"/>
        <v>360</v>
      </c>
      <c r="E199" s="1192" t="s">
        <v>3</v>
      </c>
      <c r="F199" s="1190">
        <f t="shared" si="11"/>
        <v>2450</v>
      </c>
      <c r="G199" s="1192" t="s">
        <v>3</v>
      </c>
      <c r="H199" s="1189">
        <v>2</v>
      </c>
      <c r="I199" s="1191" t="s">
        <v>40</v>
      </c>
      <c r="J199" s="149">
        <v>110</v>
      </c>
      <c r="K199" s="66">
        <v>360</v>
      </c>
      <c r="L199" s="66">
        <v>2450</v>
      </c>
      <c r="M199" s="156">
        <v>34.60352468562818</v>
      </c>
      <c r="N199" s="78">
        <v>2161.9099040511769</v>
      </c>
      <c r="O199" s="113">
        <v>47694.875549758326</v>
      </c>
      <c r="P199" s="111">
        <v>59903.068637385913</v>
      </c>
      <c r="Q199" s="254">
        <v>36380.680180681353</v>
      </c>
      <c r="R199" s="263">
        <v>84075.555730439679</v>
      </c>
      <c r="S199" s="259">
        <v>96283.748818067266</v>
      </c>
      <c r="U199" s="7" t="s">
        <v>5014</v>
      </c>
    </row>
    <row r="200" spans="1:21" ht="16.5" thickBot="1">
      <c r="A200" s="1188" t="s">
        <v>4533</v>
      </c>
      <c r="B200" s="1192">
        <f t="shared" si="9"/>
        <v>110</v>
      </c>
      <c r="C200" s="1192" t="s">
        <v>3</v>
      </c>
      <c r="D200" s="1192">
        <f t="shared" si="10"/>
        <v>360</v>
      </c>
      <c r="E200" s="1192" t="s">
        <v>3</v>
      </c>
      <c r="F200" s="1190">
        <f t="shared" si="11"/>
        <v>2500</v>
      </c>
      <c r="G200" s="1192" t="s">
        <v>3</v>
      </c>
      <c r="H200" s="1189">
        <v>2</v>
      </c>
      <c r="I200" s="1191" t="s">
        <v>40</v>
      </c>
      <c r="J200" s="149">
        <v>110</v>
      </c>
      <c r="K200" s="66">
        <v>360</v>
      </c>
      <c r="L200" s="66">
        <v>2500</v>
      </c>
      <c r="M200" s="156">
        <v>35.666693371521497</v>
      </c>
      <c r="N200" s="78">
        <v>2213.3839493857286</v>
      </c>
      <c r="O200" s="113">
        <v>49327.167125891407</v>
      </c>
      <c r="P200" s="111">
        <v>62011.802266290644</v>
      </c>
      <c r="Q200" s="254">
        <v>36984.101064919538</v>
      </c>
      <c r="R200" s="263">
        <v>86311.268190810952</v>
      </c>
      <c r="S200" s="259">
        <v>98995.903331210182</v>
      </c>
      <c r="U200" s="7" t="s">
        <v>5015</v>
      </c>
    </row>
    <row r="201" spans="1:21" ht="16.5" thickBot="1">
      <c r="A201" s="1188" t="s">
        <v>4533</v>
      </c>
      <c r="B201" s="1192">
        <f t="shared" si="9"/>
        <v>110</v>
      </c>
      <c r="C201" s="1192" t="s">
        <v>3</v>
      </c>
      <c r="D201" s="1192">
        <f t="shared" si="10"/>
        <v>360</v>
      </c>
      <c r="E201" s="1192" t="s">
        <v>3</v>
      </c>
      <c r="F201" s="1190">
        <f t="shared" si="11"/>
        <v>2550</v>
      </c>
      <c r="G201" s="1192" t="s">
        <v>3</v>
      </c>
      <c r="H201" s="1189">
        <v>2</v>
      </c>
      <c r="I201" s="1191" t="s">
        <v>40</v>
      </c>
      <c r="J201" s="149">
        <v>110</v>
      </c>
      <c r="K201" s="66">
        <v>360</v>
      </c>
      <c r="L201" s="66">
        <v>2550</v>
      </c>
      <c r="M201" s="156">
        <v>36.315526457414819</v>
      </c>
      <c r="N201" s="78">
        <v>2264.8579947202807</v>
      </c>
      <c r="O201" s="113">
        <v>50491.696593839479</v>
      </c>
      <c r="P201" s="111">
        <v>63012.015873455632</v>
      </c>
      <c r="Q201" s="254">
        <v>37838.856239970264</v>
      </c>
      <c r="R201" s="263">
        <v>88330.55283380975</v>
      </c>
      <c r="S201" s="259">
        <v>100850.8721134259</v>
      </c>
      <c r="U201" s="7" t="s">
        <v>5016</v>
      </c>
    </row>
    <row r="202" spans="1:21" ht="16.5" thickBot="1">
      <c r="A202" s="1188" t="s">
        <v>4533</v>
      </c>
      <c r="B202" s="1189">
        <f t="shared" si="9"/>
        <v>110</v>
      </c>
      <c r="C202" s="1189" t="s">
        <v>3</v>
      </c>
      <c r="D202" s="1189">
        <f t="shared" si="10"/>
        <v>360</v>
      </c>
      <c r="E202" s="1189" t="s">
        <v>3</v>
      </c>
      <c r="F202" s="1190">
        <f t="shared" si="11"/>
        <v>2600</v>
      </c>
      <c r="G202" s="1189" t="s">
        <v>3</v>
      </c>
      <c r="H202" s="1189">
        <v>2</v>
      </c>
      <c r="I202" s="1191" t="s">
        <v>40</v>
      </c>
      <c r="J202" s="149">
        <v>110</v>
      </c>
      <c r="K202" s="66">
        <v>360</v>
      </c>
      <c r="L202" s="66">
        <v>2600</v>
      </c>
      <c r="M202" s="156">
        <v>36.964359543308142</v>
      </c>
      <c r="N202" s="78">
        <v>2316.3320400548323</v>
      </c>
      <c r="O202" s="113">
        <v>51260.341105495485</v>
      </c>
      <c r="P202" s="111">
        <v>63996.926604108121</v>
      </c>
      <c r="Q202" s="254">
        <v>38442.277124208456</v>
      </c>
      <c r="R202" s="263">
        <v>89702.618229703949</v>
      </c>
      <c r="S202" s="259">
        <v>102439.20372831658</v>
      </c>
      <c r="U202" s="7" t="s">
        <v>5017</v>
      </c>
    </row>
    <row r="203" spans="1:21" ht="16.5" thickBot="1">
      <c r="A203" s="1188" t="s">
        <v>4533</v>
      </c>
      <c r="B203" s="1192">
        <f t="shared" si="9"/>
        <v>110</v>
      </c>
      <c r="C203" s="1192" t="s">
        <v>3</v>
      </c>
      <c r="D203" s="1192">
        <f t="shared" si="10"/>
        <v>360</v>
      </c>
      <c r="E203" s="1192" t="s">
        <v>3</v>
      </c>
      <c r="F203" s="1190">
        <f t="shared" si="11"/>
        <v>2650</v>
      </c>
      <c r="G203" s="1192" t="s">
        <v>3</v>
      </c>
      <c r="H203" s="1189">
        <v>2</v>
      </c>
      <c r="I203" s="1191" t="s">
        <v>40</v>
      </c>
      <c r="J203" s="149">
        <v>110</v>
      </c>
      <c r="K203" s="66">
        <v>360</v>
      </c>
      <c r="L203" s="66">
        <v>2650</v>
      </c>
      <c r="M203" s="156">
        <v>37.613192629201464</v>
      </c>
      <c r="N203" s="78">
        <v>2367.806085389384</v>
      </c>
      <c r="O203" s="113">
        <v>52028.985464122714</v>
      </c>
      <c r="P203" s="111">
        <v>64981.837181731848</v>
      </c>
      <c r="Q203" s="254">
        <v>39297.032146230413</v>
      </c>
      <c r="R203" s="263">
        <v>91326.017610353127</v>
      </c>
      <c r="S203" s="259">
        <v>104278.86932796225</v>
      </c>
      <c r="U203" s="7" t="s">
        <v>5018</v>
      </c>
    </row>
    <row r="204" spans="1:21" ht="16.5" thickBot="1">
      <c r="A204" s="1188" t="s">
        <v>4533</v>
      </c>
      <c r="B204" s="1192">
        <f t="shared" si="9"/>
        <v>110</v>
      </c>
      <c r="C204" s="1192" t="s">
        <v>3</v>
      </c>
      <c r="D204" s="1192">
        <f t="shared" si="10"/>
        <v>360</v>
      </c>
      <c r="E204" s="1192" t="s">
        <v>3</v>
      </c>
      <c r="F204" s="1190">
        <f t="shared" si="11"/>
        <v>2700</v>
      </c>
      <c r="G204" s="1192" t="s">
        <v>3</v>
      </c>
      <c r="H204" s="1189">
        <v>2</v>
      </c>
      <c r="I204" s="1191" t="s">
        <v>40</v>
      </c>
      <c r="J204" s="149">
        <v>110</v>
      </c>
      <c r="K204" s="66">
        <v>360</v>
      </c>
      <c r="L204" s="66">
        <v>2700</v>
      </c>
      <c r="M204" s="156">
        <v>38.262025715094786</v>
      </c>
      <c r="N204" s="78">
        <v>2419.2801307239361</v>
      </c>
      <c r="O204" s="113">
        <v>52797.62982274995</v>
      </c>
      <c r="P204" s="111">
        <v>65966.747912384337</v>
      </c>
      <c r="Q204" s="254">
        <v>39900.453030468605</v>
      </c>
      <c r="R204" s="263">
        <v>92698.082853218555</v>
      </c>
      <c r="S204" s="259">
        <v>105867.20094285294</v>
      </c>
      <c r="U204" s="7" t="s">
        <v>5019</v>
      </c>
    </row>
    <row r="205" spans="1:21" ht="16.5" thickBot="1">
      <c r="A205" s="1188" t="s">
        <v>4533</v>
      </c>
      <c r="B205" s="1192">
        <f t="shared" si="9"/>
        <v>110</v>
      </c>
      <c r="C205" s="1192" t="s">
        <v>3</v>
      </c>
      <c r="D205" s="1192">
        <f t="shared" si="10"/>
        <v>360</v>
      </c>
      <c r="E205" s="1192" t="s">
        <v>3</v>
      </c>
      <c r="F205" s="1190">
        <f t="shared" si="11"/>
        <v>2750</v>
      </c>
      <c r="G205" s="1192" t="s">
        <v>3</v>
      </c>
      <c r="H205" s="1189">
        <v>2</v>
      </c>
      <c r="I205" s="1191" t="s">
        <v>40</v>
      </c>
      <c r="J205" s="149">
        <v>110</v>
      </c>
      <c r="K205" s="66">
        <v>360</v>
      </c>
      <c r="L205" s="66">
        <v>2750</v>
      </c>
      <c r="M205" s="156">
        <v>38.910858800988102</v>
      </c>
      <c r="N205" s="78">
        <v>2470.7541760584877</v>
      </c>
      <c r="O205" s="113">
        <v>53566.274181377179</v>
      </c>
      <c r="P205" s="111">
        <v>66951.658643036819</v>
      </c>
      <c r="Q205" s="254">
        <v>40503.87391470679</v>
      </c>
      <c r="R205" s="263">
        <v>94070.148096083969</v>
      </c>
      <c r="S205" s="259">
        <v>107455.5325577436</v>
      </c>
      <c r="U205" s="7" t="s">
        <v>5020</v>
      </c>
    </row>
    <row r="206" spans="1:21" ht="16.5" thickBot="1">
      <c r="A206" s="1188" t="s">
        <v>4533</v>
      </c>
      <c r="B206" s="1192">
        <f t="shared" si="9"/>
        <v>110</v>
      </c>
      <c r="C206" s="1192" t="s">
        <v>3</v>
      </c>
      <c r="D206" s="1192">
        <f t="shared" si="10"/>
        <v>360</v>
      </c>
      <c r="E206" s="1192" t="s">
        <v>3</v>
      </c>
      <c r="F206" s="1190">
        <f t="shared" si="11"/>
        <v>2800</v>
      </c>
      <c r="G206" s="1192" t="s">
        <v>3</v>
      </c>
      <c r="H206" s="1189">
        <v>2</v>
      </c>
      <c r="I206" s="1191" t="s">
        <v>40</v>
      </c>
      <c r="J206" s="149">
        <v>110</v>
      </c>
      <c r="K206" s="66">
        <v>360</v>
      </c>
      <c r="L206" s="66">
        <v>2800</v>
      </c>
      <c r="M206" s="156">
        <v>39.559691886881431</v>
      </c>
      <c r="N206" s="78">
        <v>2522.2282213930398</v>
      </c>
      <c r="O206" s="113">
        <v>54334.918540004423</v>
      </c>
      <c r="P206" s="111">
        <v>67936.569220660545</v>
      </c>
      <c r="Q206" s="254">
        <v>41358.628936728746</v>
      </c>
      <c r="R206" s="263">
        <v>95693.547476733162</v>
      </c>
      <c r="S206" s="259">
        <v>109295.1981573893</v>
      </c>
      <c r="U206" s="7" t="s">
        <v>5021</v>
      </c>
    </row>
    <row r="207" spans="1:21" ht="16.5" thickBot="1">
      <c r="A207" s="1188" t="s">
        <v>4533</v>
      </c>
      <c r="B207" s="1192">
        <f t="shared" si="9"/>
        <v>110</v>
      </c>
      <c r="C207" s="1192" t="s">
        <v>3</v>
      </c>
      <c r="D207" s="1192">
        <f t="shared" si="10"/>
        <v>360</v>
      </c>
      <c r="E207" s="1192" t="s">
        <v>3</v>
      </c>
      <c r="F207" s="1190">
        <f t="shared" si="11"/>
        <v>2850</v>
      </c>
      <c r="G207" s="1192" t="s">
        <v>3</v>
      </c>
      <c r="H207" s="1189">
        <v>2</v>
      </c>
      <c r="I207" s="1191" t="s">
        <v>40</v>
      </c>
      <c r="J207" s="149">
        <v>110</v>
      </c>
      <c r="K207" s="66">
        <v>360</v>
      </c>
      <c r="L207" s="66">
        <v>2850</v>
      </c>
      <c r="M207" s="156">
        <v>40.208524972774754</v>
      </c>
      <c r="N207" s="78">
        <v>2573.7022667275915</v>
      </c>
      <c r="O207" s="113">
        <v>55103.563051660421</v>
      </c>
      <c r="P207" s="111">
        <v>68921.479951313042</v>
      </c>
      <c r="Q207" s="254">
        <v>41962.049820966939</v>
      </c>
      <c r="R207" s="263">
        <v>97065.61287262736</v>
      </c>
      <c r="S207" s="259">
        <v>110883.52977227999</v>
      </c>
      <c r="U207" s="7" t="s">
        <v>5022</v>
      </c>
    </row>
    <row r="208" spans="1:21" ht="16.5" thickBot="1">
      <c r="A208" s="1188" t="s">
        <v>4533</v>
      </c>
      <c r="B208" s="1192">
        <f t="shared" si="9"/>
        <v>110</v>
      </c>
      <c r="C208" s="1192" t="s">
        <v>3</v>
      </c>
      <c r="D208" s="1192">
        <f t="shared" si="10"/>
        <v>360</v>
      </c>
      <c r="E208" s="1192" t="s">
        <v>3</v>
      </c>
      <c r="F208" s="1190">
        <f t="shared" si="11"/>
        <v>2900</v>
      </c>
      <c r="G208" s="1192" t="s">
        <v>3</v>
      </c>
      <c r="H208" s="1189">
        <v>2</v>
      </c>
      <c r="I208" s="1191" t="s">
        <v>40</v>
      </c>
      <c r="J208" s="149">
        <v>110</v>
      </c>
      <c r="K208" s="66">
        <v>360</v>
      </c>
      <c r="L208" s="66">
        <v>2900</v>
      </c>
      <c r="M208" s="156">
        <v>40.857358058668076</v>
      </c>
      <c r="N208" s="78">
        <v>2625.1763120621431</v>
      </c>
      <c r="O208" s="113">
        <v>55872.20741028765</v>
      </c>
      <c r="P208" s="111">
        <v>69906.390681965524</v>
      </c>
      <c r="Q208" s="254">
        <v>42816.804842988895</v>
      </c>
      <c r="R208" s="263">
        <v>98689.012253276538</v>
      </c>
      <c r="S208" s="259">
        <v>112723.19552495441</v>
      </c>
      <c r="U208" s="7" t="s">
        <v>5023</v>
      </c>
    </row>
    <row r="209" spans="1:21" ht="16.5" thickBot="1">
      <c r="A209" s="1188" t="s">
        <v>4533</v>
      </c>
      <c r="B209" s="1192">
        <f t="shared" si="9"/>
        <v>110</v>
      </c>
      <c r="C209" s="1192" t="s">
        <v>3</v>
      </c>
      <c r="D209" s="1192">
        <f t="shared" si="10"/>
        <v>360</v>
      </c>
      <c r="E209" s="1192" t="s">
        <v>3</v>
      </c>
      <c r="F209" s="1190">
        <f t="shared" si="11"/>
        <v>2950</v>
      </c>
      <c r="G209" s="1192" t="s">
        <v>3</v>
      </c>
      <c r="H209" s="1189">
        <v>2</v>
      </c>
      <c r="I209" s="1191" t="s">
        <v>40</v>
      </c>
      <c r="J209" s="149">
        <v>110</v>
      </c>
      <c r="K209" s="66">
        <v>360</v>
      </c>
      <c r="L209" s="66">
        <v>2950</v>
      </c>
      <c r="M209" s="156">
        <v>41.506191144561399</v>
      </c>
      <c r="N209" s="78">
        <v>2676.6503573966952</v>
      </c>
      <c r="O209" s="113">
        <v>56640.851768914894</v>
      </c>
      <c r="P209" s="111">
        <v>70891.301259589251</v>
      </c>
      <c r="Q209" s="254">
        <v>43420.22572722708</v>
      </c>
      <c r="R209" s="263">
        <v>100061.07749614198</v>
      </c>
      <c r="S209" s="259">
        <v>114311.52698681633</v>
      </c>
      <c r="U209" s="7" t="s">
        <v>5024</v>
      </c>
    </row>
    <row r="210" spans="1:21" ht="16.5" thickBot="1">
      <c r="A210" s="1193" t="s">
        <v>4533</v>
      </c>
      <c r="B210" s="1194">
        <f t="shared" si="9"/>
        <v>110</v>
      </c>
      <c r="C210" s="1194" t="s">
        <v>3</v>
      </c>
      <c r="D210" s="1194">
        <f t="shared" si="10"/>
        <v>360</v>
      </c>
      <c r="E210" s="1194" t="s">
        <v>3</v>
      </c>
      <c r="F210" s="1195">
        <f t="shared" si="11"/>
        <v>3000</v>
      </c>
      <c r="G210" s="1194" t="s">
        <v>3</v>
      </c>
      <c r="H210" s="1196">
        <v>2</v>
      </c>
      <c r="I210" s="1197" t="s">
        <v>40</v>
      </c>
      <c r="J210" s="265">
        <v>110</v>
      </c>
      <c r="K210" s="266">
        <v>360</v>
      </c>
      <c r="L210" s="266">
        <v>3000</v>
      </c>
      <c r="M210" s="281">
        <v>42.435953830454721</v>
      </c>
      <c r="N210" s="250">
        <v>2728.1244027312468</v>
      </c>
      <c r="O210" s="251">
        <v>57696.847421543243</v>
      </c>
      <c r="P210" s="280">
        <v>72163.56328424286</v>
      </c>
      <c r="Q210" s="267">
        <v>44274.980749249036</v>
      </c>
      <c r="R210" s="268">
        <v>101971.82817079229</v>
      </c>
      <c r="S210" s="269">
        <v>116438.5440334919</v>
      </c>
      <c r="U210" s="7" t="s">
        <v>5025</v>
      </c>
    </row>
    <row r="211" spans="1:21" ht="21.75" thickBot="1">
      <c r="A211" s="2968" t="s">
        <v>475</v>
      </c>
      <c r="B211" s="2969"/>
      <c r="C211" s="2969"/>
      <c r="D211" s="2969"/>
      <c r="E211" s="2969"/>
      <c r="F211" s="2969"/>
      <c r="G211" s="2969"/>
      <c r="H211" s="2969"/>
      <c r="I211" s="2969"/>
      <c r="J211" s="2969"/>
      <c r="K211" s="2969"/>
      <c r="L211" s="2969"/>
      <c r="M211" s="2969"/>
      <c r="N211" s="2969"/>
      <c r="O211" s="2969"/>
      <c r="P211" s="2969"/>
      <c r="Q211" s="2969"/>
      <c r="R211" s="2969"/>
      <c r="S211" s="2970"/>
      <c r="U211" s="7"/>
    </row>
    <row r="212" spans="1:21" ht="16.5" thickBot="1">
      <c r="A212" s="2974" t="s">
        <v>4534</v>
      </c>
      <c r="B212" s="2975"/>
      <c r="C212" s="2975"/>
      <c r="D212" s="2975"/>
      <c r="E212" s="2975"/>
      <c r="F212" s="2975"/>
      <c r="G212" s="2975"/>
      <c r="H212" s="2975"/>
      <c r="I212" s="2975"/>
      <c r="J212" s="2975"/>
      <c r="K212" s="2975"/>
      <c r="L212" s="2975"/>
      <c r="M212" s="2975"/>
      <c r="N212" s="2975"/>
      <c r="O212" s="2975"/>
      <c r="P212" s="2975"/>
      <c r="Q212" s="2975"/>
      <c r="R212" s="2975"/>
      <c r="S212" s="2976"/>
      <c r="U212" s="7"/>
    </row>
    <row r="213" spans="1:21" ht="16.5" thickBot="1">
      <c r="A213" s="1188" t="s">
        <v>4533</v>
      </c>
      <c r="B213" s="1189">
        <f>J213</f>
        <v>110</v>
      </c>
      <c r="C213" s="1189" t="s">
        <v>3</v>
      </c>
      <c r="D213" s="1189">
        <f>K213</f>
        <v>360</v>
      </c>
      <c r="E213" s="1189" t="s">
        <v>3</v>
      </c>
      <c r="F213" s="1190">
        <f>L213</f>
        <v>600</v>
      </c>
      <c r="G213" s="1189" t="s">
        <v>3</v>
      </c>
      <c r="H213" s="1189">
        <v>4</v>
      </c>
      <c r="I213" s="1191" t="s">
        <v>40</v>
      </c>
      <c r="J213" s="270">
        <v>110</v>
      </c>
      <c r="K213" s="271">
        <v>360</v>
      </c>
      <c r="L213" s="271">
        <v>600</v>
      </c>
      <c r="M213" s="282">
        <v>10.555127540203118</v>
      </c>
      <c r="N213" s="246">
        <v>282.82442491511995</v>
      </c>
      <c r="O213" s="247">
        <v>23638.544022700098</v>
      </c>
      <c r="P213" s="275">
        <v>28290.782529336317</v>
      </c>
      <c r="Q213" s="272">
        <v>10032.760953270536</v>
      </c>
      <c r="R213" s="273">
        <v>33671.304975970634</v>
      </c>
      <c r="S213" s="274">
        <v>38323.543482606852</v>
      </c>
      <c r="U213" s="7" t="s">
        <v>5026</v>
      </c>
    </row>
    <row r="214" spans="1:21" ht="16.5" thickBot="1">
      <c r="A214" s="1188" t="s">
        <v>4533</v>
      </c>
      <c r="B214" s="1192">
        <f t="shared" ref="B214:B261" si="12">J214</f>
        <v>110</v>
      </c>
      <c r="C214" s="1192" t="s">
        <v>3</v>
      </c>
      <c r="D214" s="1192">
        <f t="shared" ref="D214:D261" si="13">K214</f>
        <v>360</v>
      </c>
      <c r="E214" s="1192" t="s">
        <v>3</v>
      </c>
      <c r="F214" s="1190">
        <f t="shared" ref="F214:F261" si="14">L214</f>
        <v>650</v>
      </c>
      <c r="G214" s="1192" t="s">
        <v>3</v>
      </c>
      <c r="H214" s="1189">
        <v>4</v>
      </c>
      <c r="I214" s="1191" t="s">
        <v>40</v>
      </c>
      <c r="J214" s="149">
        <v>110</v>
      </c>
      <c r="K214" s="66">
        <v>360</v>
      </c>
      <c r="L214" s="66">
        <v>650</v>
      </c>
      <c r="M214" s="156">
        <v>11.31744623241082</v>
      </c>
      <c r="N214" s="78">
        <v>339.38930989814395</v>
      </c>
      <c r="O214" s="113">
        <v>24836.829799889576</v>
      </c>
      <c r="P214" s="111">
        <v>29705.334678551048</v>
      </c>
      <c r="Q214" s="254">
        <v>10636.181837508726</v>
      </c>
      <c r="R214" s="263">
        <v>35473.011637398304</v>
      </c>
      <c r="S214" s="259">
        <v>40341.516516059775</v>
      </c>
      <c r="U214" s="7" t="s">
        <v>5027</v>
      </c>
    </row>
    <row r="215" spans="1:21" ht="16.5" thickBot="1">
      <c r="A215" s="1188" t="s">
        <v>4533</v>
      </c>
      <c r="B215" s="1192">
        <f t="shared" si="12"/>
        <v>110</v>
      </c>
      <c r="C215" s="1192" t="s">
        <v>3</v>
      </c>
      <c r="D215" s="1192">
        <f t="shared" si="13"/>
        <v>360</v>
      </c>
      <c r="E215" s="1192" t="s">
        <v>3</v>
      </c>
      <c r="F215" s="1190">
        <f t="shared" si="14"/>
        <v>700</v>
      </c>
      <c r="G215" s="1192" t="s">
        <v>3</v>
      </c>
      <c r="H215" s="1189">
        <v>4</v>
      </c>
      <c r="I215" s="1191" t="s">
        <v>40</v>
      </c>
      <c r="J215" s="149">
        <v>110</v>
      </c>
      <c r="K215" s="66">
        <v>360</v>
      </c>
      <c r="L215" s="66">
        <v>700</v>
      </c>
      <c r="M215" s="156">
        <v>12.079764924618514</v>
      </c>
      <c r="N215" s="78">
        <v>395.95419488116789</v>
      </c>
      <c r="O215" s="113">
        <v>26035.115730107809</v>
      </c>
      <c r="P215" s="111">
        <v>31119.886827765775</v>
      </c>
      <c r="Q215" s="254">
        <v>11490.936859530682</v>
      </c>
      <c r="R215" s="263">
        <v>37526.052589638493</v>
      </c>
      <c r="S215" s="259">
        <v>42610.823687296455</v>
      </c>
      <c r="U215" s="7" t="s">
        <v>5028</v>
      </c>
    </row>
    <row r="216" spans="1:21" ht="16.5" thickBot="1">
      <c r="A216" s="1188" t="s">
        <v>4533</v>
      </c>
      <c r="B216" s="1192">
        <f t="shared" si="12"/>
        <v>110</v>
      </c>
      <c r="C216" s="1192" t="s">
        <v>3</v>
      </c>
      <c r="D216" s="1192">
        <f t="shared" si="13"/>
        <v>360</v>
      </c>
      <c r="E216" s="1192" t="s">
        <v>3</v>
      </c>
      <c r="F216" s="1190">
        <f t="shared" si="14"/>
        <v>750</v>
      </c>
      <c r="G216" s="1192" t="s">
        <v>3</v>
      </c>
      <c r="H216" s="1189">
        <v>4</v>
      </c>
      <c r="I216" s="1191" t="s">
        <v>40</v>
      </c>
      <c r="J216" s="149">
        <v>110</v>
      </c>
      <c r="K216" s="66">
        <v>360</v>
      </c>
      <c r="L216" s="66">
        <v>750</v>
      </c>
      <c r="M216" s="156">
        <v>12.84208361682621</v>
      </c>
      <c r="N216" s="78">
        <v>452.51907986419195</v>
      </c>
      <c r="O216" s="113">
        <v>27233.401507297283</v>
      </c>
      <c r="P216" s="111">
        <v>32534.438976980502</v>
      </c>
      <c r="Q216" s="254">
        <v>12094.357743768871</v>
      </c>
      <c r="R216" s="263">
        <v>39327.759251066156</v>
      </c>
      <c r="S216" s="259">
        <v>44628.796720749371</v>
      </c>
      <c r="U216" s="7" t="s">
        <v>5029</v>
      </c>
    </row>
    <row r="217" spans="1:21" ht="16.5" thickBot="1">
      <c r="A217" s="1188" t="s">
        <v>4533</v>
      </c>
      <c r="B217" s="1192">
        <f t="shared" si="12"/>
        <v>110</v>
      </c>
      <c r="C217" s="1192" t="s">
        <v>3</v>
      </c>
      <c r="D217" s="1192">
        <f t="shared" si="13"/>
        <v>360</v>
      </c>
      <c r="E217" s="1192" t="s">
        <v>3</v>
      </c>
      <c r="F217" s="1190">
        <f t="shared" si="14"/>
        <v>800</v>
      </c>
      <c r="G217" s="1192" t="s">
        <v>3</v>
      </c>
      <c r="H217" s="1189">
        <v>4</v>
      </c>
      <c r="I217" s="1191" t="s">
        <v>40</v>
      </c>
      <c r="J217" s="149">
        <v>110</v>
      </c>
      <c r="K217" s="66">
        <v>360</v>
      </c>
      <c r="L217" s="66">
        <v>800</v>
      </c>
      <c r="M217" s="156">
        <v>13.604402309033912</v>
      </c>
      <c r="N217" s="78">
        <v>509.0839648472159</v>
      </c>
      <c r="O217" s="113">
        <v>28827.572546836363</v>
      </c>
      <c r="P217" s="111">
        <v>33964.294002707727</v>
      </c>
      <c r="Q217" s="254">
        <v>12697.77862800706</v>
      </c>
      <c r="R217" s="263">
        <v>41525.351174843425</v>
      </c>
      <c r="S217" s="259">
        <v>46662.072630714785</v>
      </c>
      <c r="U217" s="7" t="s">
        <v>5030</v>
      </c>
    </row>
    <row r="218" spans="1:21" ht="16.5" thickBot="1">
      <c r="A218" s="1188" t="s">
        <v>4533</v>
      </c>
      <c r="B218" s="1192">
        <f t="shared" si="12"/>
        <v>110</v>
      </c>
      <c r="C218" s="1192" t="s">
        <v>3</v>
      </c>
      <c r="D218" s="1192">
        <f t="shared" si="13"/>
        <v>360</v>
      </c>
      <c r="E218" s="1192" t="s">
        <v>3</v>
      </c>
      <c r="F218" s="1190">
        <f t="shared" si="14"/>
        <v>850</v>
      </c>
      <c r="G218" s="1192" t="s">
        <v>3</v>
      </c>
      <c r="H218" s="1189">
        <v>4</v>
      </c>
      <c r="I218" s="1191" t="s">
        <v>40</v>
      </c>
      <c r="J218" s="149">
        <v>110</v>
      </c>
      <c r="K218" s="66">
        <v>360</v>
      </c>
      <c r="L218" s="66">
        <v>850</v>
      </c>
      <c r="M218" s="156">
        <v>14.366721001241604</v>
      </c>
      <c r="N218" s="78">
        <v>565.6488498302399</v>
      </c>
      <c r="O218" s="113">
        <v>30025.858324025841</v>
      </c>
      <c r="P218" s="111">
        <v>35378.846151922451</v>
      </c>
      <c r="Q218" s="254">
        <v>13552.533650029018</v>
      </c>
      <c r="R218" s="263">
        <v>43578.391974054859</v>
      </c>
      <c r="S218" s="259">
        <v>48931.379801951465</v>
      </c>
      <c r="U218" s="7" t="s">
        <v>5031</v>
      </c>
    </row>
    <row r="219" spans="1:21" ht="16.5" thickBot="1">
      <c r="A219" s="1188" t="s">
        <v>4533</v>
      </c>
      <c r="B219" s="1192">
        <f t="shared" si="12"/>
        <v>110</v>
      </c>
      <c r="C219" s="1192" t="s">
        <v>3</v>
      </c>
      <c r="D219" s="1192">
        <f t="shared" si="13"/>
        <v>360</v>
      </c>
      <c r="E219" s="1192" t="s">
        <v>3</v>
      </c>
      <c r="F219" s="1190">
        <f t="shared" si="14"/>
        <v>900</v>
      </c>
      <c r="G219" s="1192" t="s">
        <v>3</v>
      </c>
      <c r="H219" s="1189">
        <v>4</v>
      </c>
      <c r="I219" s="1191" t="s">
        <v>40</v>
      </c>
      <c r="J219" s="149">
        <v>110</v>
      </c>
      <c r="K219" s="66">
        <v>360</v>
      </c>
      <c r="L219" s="66">
        <v>900</v>
      </c>
      <c r="M219" s="156">
        <v>15.129039693449306</v>
      </c>
      <c r="N219" s="78">
        <v>622.21373481326395</v>
      </c>
      <c r="O219" s="113">
        <v>31224.144254244075</v>
      </c>
      <c r="P219" s="111">
        <v>36793.398301137182</v>
      </c>
      <c r="Q219" s="254">
        <v>14155.954534267206</v>
      </c>
      <c r="R219" s="263">
        <v>45380.098788511285</v>
      </c>
      <c r="S219" s="259">
        <v>50949.352835404388</v>
      </c>
      <c r="U219" s="7" t="s">
        <v>5032</v>
      </c>
    </row>
    <row r="220" spans="1:21" ht="16.5" thickBot="1">
      <c r="A220" s="1188" t="s">
        <v>4533</v>
      </c>
      <c r="B220" s="1192">
        <f t="shared" si="12"/>
        <v>110</v>
      </c>
      <c r="C220" s="1192" t="s">
        <v>3</v>
      </c>
      <c r="D220" s="1192">
        <f t="shared" si="13"/>
        <v>360</v>
      </c>
      <c r="E220" s="1192" t="s">
        <v>3</v>
      </c>
      <c r="F220" s="1190">
        <f t="shared" si="14"/>
        <v>950</v>
      </c>
      <c r="G220" s="1192" t="s">
        <v>3</v>
      </c>
      <c r="H220" s="1189">
        <v>4</v>
      </c>
      <c r="I220" s="1191" t="s">
        <v>40</v>
      </c>
      <c r="J220" s="149">
        <v>110</v>
      </c>
      <c r="K220" s="66">
        <v>360</v>
      </c>
      <c r="L220" s="66">
        <v>950</v>
      </c>
      <c r="M220" s="156">
        <v>15.891358385657002</v>
      </c>
      <c r="N220" s="78">
        <v>678.7786197962879</v>
      </c>
      <c r="O220" s="113">
        <v>32422.430031433552</v>
      </c>
      <c r="P220" s="111">
        <v>38207.950450351906</v>
      </c>
      <c r="Q220" s="254">
        <v>15010.709556289165</v>
      </c>
      <c r="R220" s="263">
        <v>47433.139587722719</v>
      </c>
      <c r="S220" s="259">
        <v>53218.660006641068</v>
      </c>
      <c r="U220" s="7" t="s">
        <v>5033</v>
      </c>
    </row>
    <row r="221" spans="1:21" ht="16.5" thickBot="1">
      <c r="A221" s="1188" t="s">
        <v>4533</v>
      </c>
      <c r="B221" s="1192">
        <f t="shared" si="12"/>
        <v>110</v>
      </c>
      <c r="C221" s="1192" t="s">
        <v>3</v>
      </c>
      <c r="D221" s="1192">
        <f t="shared" si="13"/>
        <v>360</v>
      </c>
      <c r="E221" s="1192" t="s">
        <v>3</v>
      </c>
      <c r="F221" s="1190">
        <f t="shared" si="14"/>
        <v>1000</v>
      </c>
      <c r="G221" s="1192" t="s">
        <v>3</v>
      </c>
      <c r="H221" s="1189">
        <v>4</v>
      </c>
      <c r="I221" s="1191" t="s">
        <v>40</v>
      </c>
      <c r="J221" s="149">
        <v>110</v>
      </c>
      <c r="K221" s="66">
        <v>360</v>
      </c>
      <c r="L221" s="66">
        <v>1000</v>
      </c>
      <c r="M221" s="156">
        <v>16.7941418778647</v>
      </c>
      <c r="N221" s="78">
        <v>735.34350477931184</v>
      </c>
      <c r="O221" s="113">
        <v>33690.570532356047</v>
      </c>
      <c r="P221" s="111">
        <v>39692.357170270901</v>
      </c>
      <c r="Q221" s="254">
        <v>15614.130440527351</v>
      </c>
      <c r="R221" s="263">
        <v>49304.700972883395</v>
      </c>
      <c r="S221" s="259">
        <v>55306.487610798256</v>
      </c>
      <c r="U221" s="7" t="s">
        <v>5034</v>
      </c>
    </row>
    <row r="222" spans="1:21" ht="16.5" thickBot="1">
      <c r="A222" s="1188" t="s">
        <v>4533</v>
      </c>
      <c r="B222" s="1192">
        <f t="shared" si="12"/>
        <v>110</v>
      </c>
      <c r="C222" s="1192" t="s">
        <v>3</v>
      </c>
      <c r="D222" s="1192">
        <f t="shared" si="13"/>
        <v>360</v>
      </c>
      <c r="E222" s="1192" t="s">
        <v>3</v>
      </c>
      <c r="F222" s="1190">
        <f t="shared" si="14"/>
        <v>1050</v>
      </c>
      <c r="G222" s="1192" t="s">
        <v>3</v>
      </c>
      <c r="H222" s="1189">
        <v>4</v>
      </c>
      <c r="I222" s="1191" t="s">
        <v>40</v>
      </c>
      <c r="J222" s="149">
        <v>110</v>
      </c>
      <c r="K222" s="66">
        <v>360</v>
      </c>
      <c r="L222" s="66">
        <v>1050</v>
      </c>
      <c r="M222" s="156">
        <v>17.556460570072399</v>
      </c>
      <c r="N222" s="78">
        <v>791.90838976233579</v>
      </c>
      <c r="O222" s="113">
        <v>34888.856309545517</v>
      </c>
      <c r="P222" s="111">
        <v>41106.909319485625</v>
      </c>
      <c r="Q222" s="254">
        <v>16468.885462549311</v>
      </c>
      <c r="R222" s="263">
        <v>51357.741772094829</v>
      </c>
      <c r="S222" s="259">
        <v>57575.794782034936</v>
      </c>
      <c r="U222" s="7" t="s">
        <v>5035</v>
      </c>
    </row>
    <row r="223" spans="1:21" ht="16.5" thickBot="1">
      <c r="A223" s="1188" t="s">
        <v>4533</v>
      </c>
      <c r="B223" s="1189">
        <f t="shared" si="12"/>
        <v>110</v>
      </c>
      <c r="C223" s="1189" t="s">
        <v>3</v>
      </c>
      <c r="D223" s="1189">
        <f t="shared" si="13"/>
        <v>360</v>
      </c>
      <c r="E223" s="1189" t="s">
        <v>3</v>
      </c>
      <c r="F223" s="1190">
        <f t="shared" si="14"/>
        <v>1100</v>
      </c>
      <c r="G223" s="1189" t="s">
        <v>3</v>
      </c>
      <c r="H223" s="1189">
        <v>4</v>
      </c>
      <c r="I223" s="1191" t="s">
        <v>40</v>
      </c>
      <c r="J223" s="149">
        <v>110</v>
      </c>
      <c r="K223" s="66">
        <v>360</v>
      </c>
      <c r="L223" s="66">
        <v>1100</v>
      </c>
      <c r="M223" s="156">
        <v>18.318779262280092</v>
      </c>
      <c r="N223" s="78">
        <v>848.47327474535984</v>
      </c>
      <c r="O223" s="113">
        <v>36087.142239763758</v>
      </c>
      <c r="P223" s="111">
        <v>42521.461468700356</v>
      </c>
      <c r="Q223" s="254">
        <v>17072.3063467875</v>
      </c>
      <c r="R223" s="263">
        <v>53159.448586551254</v>
      </c>
      <c r="S223" s="259">
        <v>59593.767815487852</v>
      </c>
      <c r="U223" s="7" t="s">
        <v>5036</v>
      </c>
    </row>
    <row r="224" spans="1:21" ht="16.5" thickBot="1">
      <c r="A224" s="1188" t="s">
        <v>4533</v>
      </c>
      <c r="B224" s="1192">
        <f t="shared" si="12"/>
        <v>110</v>
      </c>
      <c r="C224" s="1192" t="s">
        <v>3</v>
      </c>
      <c r="D224" s="1192">
        <f t="shared" si="13"/>
        <v>360</v>
      </c>
      <c r="E224" s="1192" t="s">
        <v>3</v>
      </c>
      <c r="F224" s="1190">
        <f t="shared" si="14"/>
        <v>1150</v>
      </c>
      <c r="G224" s="1192" t="s">
        <v>3</v>
      </c>
      <c r="H224" s="1189">
        <v>4</v>
      </c>
      <c r="I224" s="1191" t="s">
        <v>40</v>
      </c>
      <c r="J224" s="149">
        <v>110</v>
      </c>
      <c r="K224" s="66">
        <v>360</v>
      </c>
      <c r="L224" s="66">
        <v>1150</v>
      </c>
      <c r="M224" s="156">
        <v>19.081097954487788</v>
      </c>
      <c r="N224" s="78">
        <v>905.0381597283839</v>
      </c>
      <c r="O224" s="113">
        <v>37285.428016953236</v>
      </c>
      <c r="P224" s="111">
        <v>43936.01361791508</v>
      </c>
      <c r="Q224" s="254">
        <v>17675.727231025689</v>
      </c>
      <c r="R224" s="263">
        <v>54961.155247978924</v>
      </c>
      <c r="S224" s="259">
        <v>61611.740848940768</v>
      </c>
      <c r="U224" s="7" t="s">
        <v>5037</v>
      </c>
    </row>
    <row r="225" spans="1:21" ht="16.5" thickBot="1">
      <c r="A225" s="1188" t="s">
        <v>4533</v>
      </c>
      <c r="B225" s="1192">
        <f t="shared" si="12"/>
        <v>110</v>
      </c>
      <c r="C225" s="1192" t="s">
        <v>3</v>
      </c>
      <c r="D225" s="1192">
        <f t="shared" si="13"/>
        <v>360</v>
      </c>
      <c r="E225" s="1192" t="s">
        <v>3</v>
      </c>
      <c r="F225" s="1190">
        <f t="shared" si="14"/>
        <v>1200</v>
      </c>
      <c r="G225" s="1192" t="s">
        <v>3</v>
      </c>
      <c r="H225" s="1189">
        <v>4</v>
      </c>
      <c r="I225" s="1191" t="s">
        <v>40</v>
      </c>
      <c r="J225" s="149">
        <v>110</v>
      </c>
      <c r="K225" s="66">
        <v>360</v>
      </c>
      <c r="L225" s="66">
        <v>1200</v>
      </c>
      <c r="M225" s="156">
        <v>19.843416646695488</v>
      </c>
      <c r="N225" s="78">
        <v>961.60304471140785</v>
      </c>
      <c r="O225" s="113">
        <v>38483.713947171469</v>
      </c>
      <c r="P225" s="111">
        <v>45350.56576712981</v>
      </c>
      <c r="Q225" s="254">
        <v>18530.482406076411</v>
      </c>
      <c r="R225" s="263">
        <v>57014.196353247884</v>
      </c>
      <c r="S225" s="259">
        <v>63881.048173206218</v>
      </c>
      <c r="U225" s="7" t="s">
        <v>5038</v>
      </c>
    </row>
    <row r="226" spans="1:21" ht="16.5" thickBot="1">
      <c r="A226" s="1188" t="s">
        <v>4533</v>
      </c>
      <c r="B226" s="1192">
        <f t="shared" si="12"/>
        <v>110</v>
      </c>
      <c r="C226" s="1192" t="s">
        <v>3</v>
      </c>
      <c r="D226" s="1192">
        <f t="shared" si="13"/>
        <v>360</v>
      </c>
      <c r="E226" s="1192" t="s">
        <v>3</v>
      </c>
      <c r="F226" s="1190">
        <f t="shared" si="14"/>
        <v>1250</v>
      </c>
      <c r="G226" s="1192" t="s">
        <v>3</v>
      </c>
      <c r="H226" s="1189">
        <v>4</v>
      </c>
      <c r="I226" s="1191" t="s">
        <v>40</v>
      </c>
      <c r="J226" s="149">
        <v>110</v>
      </c>
      <c r="K226" s="66">
        <v>360</v>
      </c>
      <c r="L226" s="66">
        <v>1250</v>
      </c>
      <c r="M226" s="156">
        <v>20.605735338903187</v>
      </c>
      <c r="N226" s="78">
        <v>1018.1679296944318</v>
      </c>
      <c r="O226" s="113">
        <v>39681.999724360947</v>
      </c>
      <c r="P226" s="111">
        <v>46765.117916344541</v>
      </c>
      <c r="Q226" s="254">
        <v>19133.9032903146</v>
      </c>
      <c r="R226" s="263">
        <v>58815.903014675547</v>
      </c>
      <c r="S226" s="259">
        <v>65899.021206659148</v>
      </c>
      <c r="U226" s="7" t="s">
        <v>5039</v>
      </c>
    </row>
    <row r="227" spans="1:21" ht="16.5" thickBot="1">
      <c r="A227" s="1188" t="s">
        <v>4533</v>
      </c>
      <c r="B227" s="1192">
        <f t="shared" si="12"/>
        <v>110</v>
      </c>
      <c r="C227" s="1192" t="s">
        <v>3</v>
      </c>
      <c r="D227" s="1192">
        <f t="shared" si="13"/>
        <v>360</v>
      </c>
      <c r="E227" s="1192" t="s">
        <v>3</v>
      </c>
      <c r="F227" s="1190">
        <f t="shared" si="14"/>
        <v>1300</v>
      </c>
      <c r="G227" s="1192" t="s">
        <v>3</v>
      </c>
      <c r="H227" s="1189">
        <v>4</v>
      </c>
      <c r="I227" s="1191" t="s">
        <v>40</v>
      </c>
      <c r="J227" s="149">
        <v>110</v>
      </c>
      <c r="K227" s="66">
        <v>360</v>
      </c>
      <c r="L227" s="66">
        <v>1300</v>
      </c>
      <c r="M227" s="156">
        <v>21.368054031110887</v>
      </c>
      <c r="N227" s="78">
        <v>1074.7328146774557</v>
      </c>
      <c r="O227" s="113">
        <v>40880.28565457918</v>
      </c>
      <c r="P227" s="111">
        <v>48179.670065559265</v>
      </c>
      <c r="Q227" s="254">
        <v>19988.658312336556</v>
      </c>
      <c r="R227" s="263">
        <v>60868.943966915736</v>
      </c>
      <c r="S227" s="259">
        <v>68168.328377895814</v>
      </c>
      <c r="U227" s="7" t="s">
        <v>5040</v>
      </c>
    </row>
    <row r="228" spans="1:21" ht="16.5" thickBot="1">
      <c r="A228" s="1188" t="s">
        <v>4533</v>
      </c>
      <c r="B228" s="1192">
        <f t="shared" si="12"/>
        <v>110</v>
      </c>
      <c r="C228" s="1192" t="s">
        <v>3</v>
      </c>
      <c r="D228" s="1192">
        <f t="shared" si="13"/>
        <v>360</v>
      </c>
      <c r="E228" s="1192" t="s">
        <v>3</v>
      </c>
      <c r="F228" s="1190">
        <f t="shared" si="14"/>
        <v>1350</v>
      </c>
      <c r="G228" s="1192" t="s">
        <v>3</v>
      </c>
      <c r="H228" s="1189">
        <v>4</v>
      </c>
      <c r="I228" s="1191" t="s">
        <v>40</v>
      </c>
      <c r="J228" s="149">
        <v>110</v>
      </c>
      <c r="K228" s="66">
        <v>360</v>
      </c>
      <c r="L228" s="66">
        <v>1350</v>
      </c>
      <c r="M228" s="156">
        <v>22.13037272331858</v>
      </c>
      <c r="N228" s="78">
        <v>1131.2976996604798</v>
      </c>
      <c r="O228" s="113">
        <v>42078.571431768658</v>
      </c>
      <c r="P228" s="111">
        <v>49594.222214773996</v>
      </c>
      <c r="Q228" s="254">
        <v>20592.079196574745</v>
      </c>
      <c r="R228" s="263">
        <v>62670.650628343399</v>
      </c>
      <c r="S228" s="259">
        <v>70186.301411348744</v>
      </c>
      <c r="U228" s="7" t="s">
        <v>5041</v>
      </c>
    </row>
    <row r="229" spans="1:21" ht="16.5" thickBot="1">
      <c r="A229" s="1188" t="s">
        <v>4533</v>
      </c>
      <c r="B229" s="1192">
        <f t="shared" si="12"/>
        <v>110</v>
      </c>
      <c r="C229" s="1192" t="s">
        <v>3</v>
      </c>
      <c r="D229" s="1192">
        <f t="shared" si="13"/>
        <v>360</v>
      </c>
      <c r="E229" s="1192" t="s">
        <v>3</v>
      </c>
      <c r="F229" s="1190">
        <f t="shared" si="14"/>
        <v>1400</v>
      </c>
      <c r="G229" s="1192" t="s">
        <v>3</v>
      </c>
      <c r="H229" s="1189">
        <v>4</v>
      </c>
      <c r="I229" s="1191" t="s">
        <v>40</v>
      </c>
      <c r="J229" s="149">
        <v>110</v>
      </c>
      <c r="K229" s="66">
        <v>360</v>
      </c>
      <c r="L229" s="66">
        <v>1400</v>
      </c>
      <c r="M229" s="156">
        <v>22.892691415526279</v>
      </c>
      <c r="N229" s="78">
        <v>1187.8625846435039</v>
      </c>
      <c r="O229" s="113">
        <v>43276.857361986891</v>
      </c>
      <c r="P229" s="111">
        <v>51008.774363988574</v>
      </c>
      <c r="Q229" s="254">
        <v>21446.834218596705</v>
      </c>
      <c r="R229" s="263">
        <v>64723.691580583596</v>
      </c>
      <c r="S229" s="259">
        <v>72455.608582585279</v>
      </c>
      <c r="U229" s="7" t="s">
        <v>5042</v>
      </c>
    </row>
    <row r="230" spans="1:21" ht="16.5" thickBot="1">
      <c r="A230" s="1188" t="s">
        <v>4533</v>
      </c>
      <c r="B230" s="1192">
        <f t="shared" si="12"/>
        <v>110</v>
      </c>
      <c r="C230" s="1192" t="s">
        <v>3</v>
      </c>
      <c r="D230" s="1192">
        <f t="shared" si="13"/>
        <v>360</v>
      </c>
      <c r="E230" s="1192" t="s">
        <v>3</v>
      </c>
      <c r="F230" s="1190">
        <f t="shared" si="14"/>
        <v>1450</v>
      </c>
      <c r="G230" s="1192" t="s">
        <v>3</v>
      </c>
      <c r="H230" s="1189">
        <v>4</v>
      </c>
      <c r="I230" s="1191" t="s">
        <v>40</v>
      </c>
      <c r="J230" s="149">
        <v>110</v>
      </c>
      <c r="K230" s="66">
        <v>360</v>
      </c>
      <c r="L230" s="66">
        <v>1450</v>
      </c>
      <c r="M230" s="156">
        <v>23.655010107733979</v>
      </c>
      <c r="N230" s="78">
        <v>1244.4274696265279</v>
      </c>
      <c r="O230" s="113">
        <v>44475.143139176369</v>
      </c>
      <c r="P230" s="111">
        <v>52423.326513203443</v>
      </c>
      <c r="Q230" s="254">
        <v>22050.255102834893</v>
      </c>
      <c r="R230" s="263">
        <v>66525.398242011259</v>
      </c>
      <c r="S230" s="259">
        <v>74473.58161603834</v>
      </c>
      <c r="U230" s="7" t="s">
        <v>5043</v>
      </c>
    </row>
    <row r="231" spans="1:21" ht="16.5" thickBot="1">
      <c r="A231" s="1188" t="s">
        <v>4533</v>
      </c>
      <c r="B231" s="1192">
        <f t="shared" si="12"/>
        <v>110</v>
      </c>
      <c r="C231" s="1192" t="s">
        <v>3</v>
      </c>
      <c r="D231" s="1192">
        <f t="shared" si="13"/>
        <v>360</v>
      </c>
      <c r="E231" s="1192" t="s">
        <v>3</v>
      </c>
      <c r="F231" s="1190">
        <f t="shared" si="14"/>
        <v>1500</v>
      </c>
      <c r="G231" s="1192" t="s">
        <v>3</v>
      </c>
      <c r="H231" s="1189">
        <v>4</v>
      </c>
      <c r="I231" s="1191" t="s">
        <v>40</v>
      </c>
      <c r="J231" s="149">
        <v>110</v>
      </c>
      <c r="K231" s="66">
        <v>360</v>
      </c>
      <c r="L231" s="66">
        <v>1500</v>
      </c>
      <c r="M231" s="156">
        <v>24.83166439994168</v>
      </c>
      <c r="N231" s="78">
        <v>1300.9923546095517</v>
      </c>
      <c r="O231" s="113">
        <v>46537.076133871684</v>
      </c>
      <c r="P231" s="111">
        <v>54961.701560670415</v>
      </c>
      <c r="Q231" s="254">
        <v>22905.01012485685</v>
      </c>
      <c r="R231" s="263">
        <v>69442.086258728537</v>
      </c>
      <c r="S231" s="259">
        <v>77866.711685527262</v>
      </c>
      <c r="U231" s="7" t="s">
        <v>5044</v>
      </c>
    </row>
    <row r="232" spans="1:21" ht="16.5" thickBot="1">
      <c r="A232" s="1188" t="s">
        <v>4533</v>
      </c>
      <c r="B232" s="1192">
        <f t="shared" si="12"/>
        <v>110</v>
      </c>
      <c r="C232" s="1192" t="s">
        <v>3</v>
      </c>
      <c r="D232" s="1192">
        <f t="shared" si="13"/>
        <v>360</v>
      </c>
      <c r="E232" s="1192" t="s">
        <v>3</v>
      </c>
      <c r="F232" s="1190">
        <f t="shared" si="14"/>
        <v>1550</v>
      </c>
      <c r="G232" s="1192" t="s">
        <v>3</v>
      </c>
      <c r="H232" s="1189">
        <v>4</v>
      </c>
      <c r="I232" s="1191" t="s">
        <v>40</v>
      </c>
      <c r="J232" s="149">
        <v>110</v>
      </c>
      <c r="K232" s="66">
        <v>360</v>
      </c>
      <c r="L232" s="66">
        <v>1550</v>
      </c>
      <c r="M232" s="156">
        <v>25.593983092149376</v>
      </c>
      <c r="N232" s="78">
        <v>1357.5572395925758</v>
      </c>
      <c r="O232" s="113">
        <v>47735.362064089917</v>
      </c>
      <c r="P232" s="111">
        <v>56376.253709885146</v>
      </c>
      <c r="Q232" s="254">
        <v>23508.431009095038</v>
      </c>
      <c r="R232" s="263">
        <v>71243.793073184963</v>
      </c>
      <c r="S232" s="259">
        <v>79884.684718980192</v>
      </c>
      <c r="U232" s="7" t="s">
        <v>5045</v>
      </c>
    </row>
    <row r="233" spans="1:21" ht="16.5" thickBot="1">
      <c r="A233" s="1188" t="s">
        <v>4533</v>
      </c>
      <c r="B233" s="1189">
        <f t="shared" si="12"/>
        <v>110</v>
      </c>
      <c r="C233" s="1189" t="s">
        <v>3</v>
      </c>
      <c r="D233" s="1189">
        <f t="shared" si="13"/>
        <v>360</v>
      </c>
      <c r="E233" s="1189" t="s">
        <v>3</v>
      </c>
      <c r="F233" s="1190">
        <f t="shared" si="14"/>
        <v>1600</v>
      </c>
      <c r="G233" s="1189" t="s">
        <v>3</v>
      </c>
      <c r="H233" s="1189">
        <v>4</v>
      </c>
      <c r="I233" s="1191" t="s">
        <v>40</v>
      </c>
      <c r="J233" s="149">
        <v>110</v>
      </c>
      <c r="K233" s="66">
        <v>360</v>
      </c>
      <c r="L233" s="66">
        <v>1600</v>
      </c>
      <c r="M233" s="156">
        <v>26.356301784357065</v>
      </c>
      <c r="N233" s="78">
        <v>1414.1221245755996</v>
      </c>
      <c r="O233" s="113">
        <v>48933.647841279395</v>
      </c>
      <c r="P233" s="111">
        <v>57790.80585909987</v>
      </c>
      <c r="Q233" s="254">
        <v>24111.851893333227</v>
      </c>
      <c r="R233" s="263">
        <v>73045.499734612618</v>
      </c>
      <c r="S233" s="259">
        <v>81902.657752433093</v>
      </c>
      <c r="U233" s="7" t="s">
        <v>5046</v>
      </c>
    </row>
    <row r="234" spans="1:21" ht="16.5" thickBot="1">
      <c r="A234" s="1188" t="s">
        <v>4533</v>
      </c>
      <c r="B234" s="1192">
        <f t="shared" si="12"/>
        <v>110</v>
      </c>
      <c r="C234" s="1192" t="s">
        <v>3</v>
      </c>
      <c r="D234" s="1192">
        <f t="shared" si="13"/>
        <v>360</v>
      </c>
      <c r="E234" s="1192" t="s">
        <v>3</v>
      </c>
      <c r="F234" s="1190">
        <f t="shared" si="14"/>
        <v>1650</v>
      </c>
      <c r="G234" s="1192" t="s">
        <v>3</v>
      </c>
      <c r="H234" s="1189">
        <v>4</v>
      </c>
      <c r="I234" s="1191" t="s">
        <v>40</v>
      </c>
      <c r="J234" s="149">
        <v>110</v>
      </c>
      <c r="K234" s="66">
        <v>360</v>
      </c>
      <c r="L234" s="66">
        <v>1650</v>
      </c>
      <c r="M234" s="156">
        <v>27.118620476564764</v>
      </c>
      <c r="N234" s="78">
        <v>1470.6870095586237</v>
      </c>
      <c r="O234" s="113">
        <v>50131.933771497628</v>
      </c>
      <c r="P234" s="111">
        <v>59205.358008314601</v>
      </c>
      <c r="Q234" s="254">
        <v>24966.606915355183</v>
      </c>
      <c r="R234" s="263">
        <v>75098.540686852808</v>
      </c>
      <c r="S234" s="259">
        <v>84171.964923669788</v>
      </c>
      <c r="U234" s="7" t="s">
        <v>5047</v>
      </c>
    </row>
    <row r="235" spans="1:21" ht="16.5" thickBot="1">
      <c r="A235" s="1188" t="s">
        <v>4533</v>
      </c>
      <c r="B235" s="1192">
        <f t="shared" si="12"/>
        <v>110</v>
      </c>
      <c r="C235" s="1192" t="s">
        <v>3</v>
      </c>
      <c r="D235" s="1192">
        <f t="shared" si="13"/>
        <v>360</v>
      </c>
      <c r="E235" s="1192" t="s">
        <v>3</v>
      </c>
      <c r="F235" s="1190">
        <f t="shared" si="14"/>
        <v>1700</v>
      </c>
      <c r="G235" s="1192" t="s">
        <v>3</v>
      </c>
      <c r="H235" s="1189">
        <v>4</v>
      </c>
      <c r="I235" s="1191" t="s">
        <v>40</v>
      </c>
      <c r="J235" s="149">
        <v>110</v>
      </c>
      <c r="K235" s="66">
        <v>360</v>
      </c>
      <c r="L235" s="66">
        <v>1700</v>
      </c>
      <c r="M235" s="156">
        <v>27.880939168772464</v>
      </c>
      <c r="N235" s="78">
        <v>1527.2518945416477</v>
      </c>
      <c r="O235" s="113">
        <v>51330.219548687106</v>
      </c>
      <c r="P235" s="111">
        <v>60619.910157529332</v>
      </c>
      <c r="Q235" s="254">
        <v>25570.027799593372</v>
      </c>
      <c r="R235" s="263">
        <v>76900.247348280478</v>
      </c>
      <c r="S235" s="259">
        <v>86189.937957122704</v>
      </c>
      <c r="U235" s="7" t="s">
        <v>5048</v>
      </c>
    </row>
    <row r="236" spans="1:21" ht="16.5" thickBot="1">
      <c r="A236" s="1188" t="s">
        <v>4533</v>
      </c>
      <c r="B236" s="1192">
        <f t="shared" si="12"/>
        <v>110</v>
      </c>
      <c r="C236" s="1192" t="s">
        <v>3</v>
      </c>
      <c r="D236" s="1192">
        <f t="shared" si="13"/>
        <v>360</v>
      </c>
      <c r="E236" s="1192" t="s">
        <v>3</v>
      </c>
      <c r="F236" s="1190">
        <f t="shared" si="14"/>
        <v>1750</v>
      </c>
      <c r="G236" s="1192" t="s">
        <v>3</v>
      </c>
      <c r="H236" s="1189">
        <v>4</v>
      </c>
      <c r="I236" s="1191" t="s">
        <v>40</v>
      </c>
      <c r="J236" s="149">
        <v>110</v>
      </c>
      <c r="K236" s="66">
        <v>360</v>
      </c>
      <c r="L236" s="66">
        <v>1750</v>
      </c>
      <c r="M236" s="156">
        <v>28.64325786098016</v>
      </c>
      <c r="N236" s="78">
        <v>1583.8167795246716</v>
      </c>
      <c r="O236" s="113">
        <v>52528.505478905339</v>
      </c>
      <c r="P236" s="111">
        <v>62034.462306744055</v>
      </c>
      <c r="Q236" s="254">
        <v>26424.782821615332</v>
      </c>
      <c r="R236" s="263">
        <v>78953.288300520668</v>
      </c>
      <c r="S236" s="259">
        <v>88459.245128359384</v>
      </c>
      <c r="U236" s="7" t="s">
        <v>5049</v>
      </c>
    </row>
    <row r="237" spans="1:21" ht="16.5" thickBot="1">
      <c r="A237" s="1188" t="s">
        <v>4533</v>
      </c>
      <c r="B237" s="1192">
        <f t="shared" si="12"/>
        <v>110</v>
      </c>
      <c r="C237" s="1192" t="s">
        <v>3</v>
      </c>
      <c r="D237" s="1192">
        <f t="shared" si="13"/>
        <v>360</v>
      </c>
      <c r="E237" s="1192" t="s">
        <v>3</v>
      </c>
      <c r="F237" s="1190">
        <f t="shared" si="14"/>
        <v>1800</v>
      </c>
      <c r="G237" s="1192" t="s">
        <v>3</v>
      </c>
      <c r="H237" s="1189">
        <v>4</v>
      </c>
      <c r="I237" s="1191" t="s">
        <v>40</v>
      </c>
      <c r="J237" s="149">
        <v>110</v>
      </c>
      <c r="K237" s="66">
        <v>360</v>
      </c>
      <c r="L237" s="66">
        <v>1800</v>
      </c>
      <c r="M237" s="156">
        <v>29.40557655318786</v>
      </c>
      <c r="N237" s="78">
        <v>1640.3816645076956</v>
      </c>
      <c r="O237" s="113">
        <v>53726.79125609481</v>
      </c>
      <c r="P237" s="111">
        <v>63449.014455958786</v>
      </c>
      <c r="Q237" s="254">
        <v>27028.203705853517</v>
      </c>
      <c r="R237" s="263">
        <v>80754.994961948323</v>
      </c>
      <c r="S237" s="259">
        <v>90477.2181618123</v>
      </c>
      <c r="U237" s="7" t="s">
        <v>5050</v>
      </c>
    </row>
    <row r="238" spans="1:21" ht="16.5" thickBot="1">
      <c r="A238" s="1188" t="s">
        <v>4533</v>
      </c>
      <c r="B238" s="1192">
        <f t="shared" si="12"/>
        <v>110</v>
      </c>
      <c r="C238" s="1192" t="s">
        <v>3</v>
      </c>
      <c r="D238" s="1192">
        <f t="shared" si="13"/>
        <v>360</v>
      </c>
      <c r="E238" s="1192" t="s">
        <v>3</v>
      </c>
      <c r="F238" s="1190">
        <f t="shared" si="14"/>
        <v>1850</v>
      </c>
      <c r="G238" s="1192" t="s">
        <v>3</v>
      </c>
      <c r="H238" s="1189">
        <v>4</v>
      </c>
      <c r="I238" s="1191" t="s">
        <v>40</v>
      </c>
      <c r="J238" s="149">
        <v>110</v>
      </c>
      <c r="K238" s="66">
        <v>360</v>
      </c>
      <c r="L238" s="66">
        <v>1850</v>
      </c>
      <c r="M238" s="156">
        <v>30.167895245395549</v>
      </c>
      <c r="N238" s="78">
        <v>1696.9465494907197</v>
      </c>
      <c r="O238" s="113">
        <v>54925.077186313058</v>
      </c>
      <c r="P238" s="111">
        <v>64863.56660517351</v>
      </c>
      <c r="Q238" s="254">
        <v>27882.958880904247</v>
      </c>
      <c r="R238" s="263">
        <v>82808.036067217297</v>
      </c>
      <c r="S238" s="259">
        <v>92746.525486077764</v>
      </c>
      <c r="U238" s="7" t="s">
        <v>5051</v>
      </c>
    </row>
    <row r="239" spans="1:21" ht="16.5" thickBot="1">
      <c r="A239" s="1188" t="s">
        <v>4533</v>
      </c>
      <c r="B239" s="1192">
        <f t="shared" si="12"/>
        <v>110</v>
      </c>
      <c r="C239" s="1192" t="s">
        <v>3</v>
      </c>
      <c r="D239" s="1192">
        <f t="shared" si="13"/>
        <v>360</v>
      </c>
      <c r="E239" s="1192" t="s">
        <v>3</v>
      </c>
      <c r="F239" s="1190">
        <f t="shared" si="14"/>
        <v>1900</v>
      </c>
      <c r="G239" s="1192" t="s">
        <v>3</v>
      </c>
      <c r="H239" s="1189">
        <v>4</v>
      </c>
      <c r="I239" s="1191" t="s">
        <v>40</v>
      </c>
      <c r="J239" s="149">
        <v>110</v>
      </c>
      <c r="K239" s="66">
        <v>360</v>
      </c>
      <c r="L239" s="66">
        <v>1900</v>
      </c>
      <c r="M239" s="156">
        <v>30.930213937603252</v>
      </c>
      <c r="N239" s="78">
        <v>1753.5114344737437</v>
      </c>
      <c r="O239" s="113">
        <v>56123.362963502528</v>
      </c>
      <c r="P239" s="111">
        <v>66278.118754388241</v>
      </c>
      <c r="Q239" s="254">
        <v>28486.379765142432</v>
      </c>
      <c r="R239" s="263">
        <v>84609.742728644953</v>
      </c>
      <c r="S239" s="259">
        <v>94764.498519530665</v>
      </c>
      <c r="U239" s="7" t="s">
        <v>5052</v>
      </c>
    </row>
    <row r="240" spans="1:21" ht="16.5" thickBot="1">
      <c r="A240" s="1188" t="s">
        <v>4533</v>
      </c>
      <c r="B240" s="1192">
        <f t="shared" si="12"/>
        <v>110</v>
      </c>
      <c r="C240" s="1192" t="s">
        <v>3</v>
      </c>
      <c r="D240" s="1192">
        <f t="shared" si="13"/>
        <v>360</v>
      </c>
      <c r="E240" s="1192" t="s">
        <v>3</v>
      </c>
      <c r="F240" s="1190">
        <f t="shared" si="14"/>
        <v>1950</v>
      </c>
      <c r="G240" s="1192" t="s">
        <v>3</v>
      </c>
      <c r="H240" s="1189">
        <v>4</v>
      </c>
      <c r="I240" s="1191" t="s">
        <v>40</v>
      </c>
      <c r="J240" s="149">
        <v>110</v>
      </c>
      <c r="K240" s="66">
        <v>360</v>
      </c>
      <c r="L240" s="66">
        <v>1950</v>
      </c>
      <c r="M240" s="156">
        <v>31.692532629810955</v>
      </c>
      <c r="N240" s="78">
        <v>1810.0763194567678</v>
      </c>
      <c r="O240" s="113">
        <v>57321.648893720761</v>
      </c>
      <c r="P240" s="111">
        <v>67692.670903602964</v>
      </c>
      <c r="Q240" s="254">
        <v>29089.800649380621</v>
      </c>
      <c r="R240" s="263">
        <v>86411.449543101378</v>
      </c>
      <c r="S240" s="259">
        <v>96782.471552983581</v>
      </c>
      <c r="U240" s="7" t="s">
        <v>5053</v>
      </c>
    </row>
    <row r="241" spans="1:21" ht="16.5" thickBot="1">
      <c r="A241" s="1188" t="s">
        <v>4533</v>
      </c>
      <c r="B241" s="1192">
        <f t="shared" si="12"/>
        <v>110</v>
      </c>
      <c r="C241" s="1192" t="s">
        <v>3</v>
      </c>
      <c r="D241" s="1192">
        <f t="shared" si="13"/>
        <v>360</v>
      </c>
      <c r="E241" s="1192" t="s">
        <v>3</v>
      </c>
      <c r="F241" s="1190">
        <f t="shared" si="14"/>
        <v>2000</v>
      </c>
      <c r="G241" s="1192" t="s">
        <v>3</v>
      </c>
      <c r="H241" s="1189">
        <v>4</v>
      </c>
      <c r="I241" s="1191" t="s">
        <v>40</v>
      </c>
      <c r="J241" s="149">
        <v>110</v>
      </c>
      <c r="K241" s="66">
        <v>360</v>
      </c>
      <c r="L241" s="66">
        <v>2000</v>
      </c>
      <c r="M241" s="156">
        <v>32.595316122018644</v>
      </c>
      <c r="N241" s="78">
        <v>1866.6412044397916</v>
      </c>
      <c r="O241" s="113">
        <v>59027.9104431386</v>
      </c>
      <c r="P241" s="111">
        <v>69289.706794653961</v>
      </c>
      <c r="Q241" s="254">
        <v>29944.555671402581</v>
      </c>
      <c r="R241" s="263">
        <v>88972.466114541181</v>
      </c>
      <c r="S241" s="259">
        <v>99234.262466056534</v>
      </c>
      <c r="U241" s="7" t="s">
        <v>5054</v>
      </c>
    </row>
    <row r="242" spans="1:21" ht="16.5" thickBot="1">
      <c r="A242" s="1188" t="s">
        <v>4533</v>
      </c>
      <c r="B242" s="1192">
        <f t="shared" si="12"/>
        <v>110</v>
      </c>
      <c r="C242" s="1192" t="s">
        <v>3</v>
      </c>
      <c r="D242" s="1192">
        <f t="shared" si="13"/>
        <v>360</v>
      </c>
      <c r="E242" s="1192" t="s">
        <v>3</v>
      </c>
      <c r="F242" s="1190">
        <f t="shared" si="14"/>
        <v>2050</v>
      </c>
      <c r="G242" s="1192" t="s">
        <v>3</v>
      </c>
      <c r="H242" s="1189">
        <v>4</v>
      </c>
      <c r="I242" s="1191" t="s">
        <v>40</v>
      </c>
      <c r="J242" s="149">
        <v>110</v>
      </c>
      <c r="K242" s="66">
        <v>360</v>
      </c>
      <c r="L242" s="66">
        <v>2050</v>
      </c>
      <c r="M242" s="156">
        <v>33.357634814226344</v>
      </c>
      <c r="N242" s="78">
        <v>1923.2060894228157</v>
      </c>
      <c r="O242" s="113">
        <v>60226.196220328071</v>
      </c>
      <c r="P242" s="111">
        <v>70704.258943868685</v>
      </c>
      <c r="Q242" s="254">
        <v>30547.976555640766</v>
      </c>
      <c r="R242" s="263">
        <v>90774.172775968837</v>
      </c>
      <c r="S242" s="259">
        <v>101252.23549950945</v>
      </c>
      <c r="U242" s="7" t="s">
        <v>5055</v>
      </c>
    </row>
    <row r="243" spans="1:21" ht="16.5" thickBot="1">
      <c r="A243" s="1188" t="s">
        <v>4533</v>
      </c>
      <c r="B243" s="1189">
        <f t="shared" si="12"/>
        <v>110</v>
      </c>
      <c r="C243" s="1189" t="s">
        <v>3</v>
      </c>
      <c r="D243" s="1189">
        <f t="shared" si="13"/>
        <v>360</v>
      </c>
      <c r="E243" s="1189" t="s">
        <v>3</v>
      </c>
      <c r="F243" s="1190">
        <f t="shared" si="14"/>
        <v>2100</v>
      </c>
      <c r="G243" s="1189" t="s">
        <v>3</v>
      </c>
      <c r="H243" s="1189">
        <v>4</v>
      </c>
      <c r="I243" s="1191" t="s">
        <v>40</v>
      </c>
      <c r="J243" s="149">
        <v>110</v>
      </c>
      <c r="K243" s="66">
        <v>360</v>
      </c>
      <c r="L243" s="66">
        <v>2100</v>
      </c>
      <c r="M243" s="156">
        <v>34.119953506434044</v>
      </c>
      <c r="N243" s="78">
        <v>1979.7709744058398</v>
      </c>
      <c r="O243" s="113">
        <v>61424.481997517549</v>
      </c>
      <c r="P243" s="111">
        <v>72118.811093083408</v>
      </c>
      <c r="Q243" s="254">
        <v>31402.731577662726</v>
      </c>
      <c r="R243" s="263">
        <v>92827.213575180271</v>
      </c>
      <c r="S243" s="259">
        <v>103521.54267074613</v>
      </c>
      <c r="U243" s="7" t="s">
        <v>5056</v>
      </c>
    </row>
    <row r="244" spans="1:21" ht="16.5" thickBot="1">
      <c r="A244" s="1188" t="s">
        <v>4533</v>
      </c>
      <c r="B244" s="1192">
        <f t="shared" si="12"/>
        <v>110</v>
      </c>
      <c r="C244" s="1192" t="s">
        <v>3</v>
      </c>
      <c r="D244" s="1192">
        <f t="shared" si="13"/>
        <v>360</v>
      </c>
      <c r="E244" s="1192" t="s">
        <v>3</v>
      </c>
      <c r="F244" s="1190">
        <f t="shared" si="14"/>
        <v>2150</v>
      </c>
      <c r="G244" s="1192" t="s">
        <v>3</v>
      </c>
      <c r="H244" s="1189">
        <v>4</v>
      </c>
      <c r="I244" s="1191" t="s">
        <v>40</v>
      </c>
      <c r="J244" s="149">
        <v>110</v>
      </c>
      <c r="K244" s="66">
        <v>360</v>
      </c>
      <c r="L244" s="66">
        <v>2150</v>
      </c>
      <c r="M244" s="156">
        <v>34.882272198641743</v>
      </c>
      <c r="N244" s="78">
        <v>2036.3358593888636</v>
      </c>
      <c r="O244" s="113">
        <v>62622.767927735789</v>
      </c>
      <c r="P244" s="111">
        <v>73533.363242298146</v>
      </c>
      <c r="Q244" s="254">
        <v>32006.152461900914</v>
      </c>
      <c r="R244" s="263">
        <v>94628.920389636711</v>
      </c>
      <c r="S244" s="259">
        <v>105539.51570419906</v>
      </c>
      <c r="U244" s="7" t="s">
        <v>5057</v>
      </c>
    </row>
    <row r="245" spans="1:21" ht="16.5" thickBot="1">
      <c r="A245" s="1188" t="s">
        <v>4533</v>
      </c>
      <c r="B245" s="1192">
        <f t="shared" si="12"/>
        <v>110</v>
      </c>
      <c r="C245" s="1192" t="s">
        <v>3</v>
      </c>
      <c r="D245" s="1192">
        <f t="shared" si="13"/>
        <v>360</v>
      </c>
      <c r="E245" s="1192" t="s">
        <v>3</v>
      </c>
      <c r="F245" s="1190">
        <f t="shared" si="14"/>
        <v>2200</v>
      </c>
      <c r="G245" s="1192" t="s">
        <v>3</v>
      </c>
      <c r="H245" s="1189">
        <v>4</v>
      </c>
      <c r="I245" s="1191" t="s">
        <v>40</v>
      </c>
      <c r="J245" s="149">
        <v>110</v>
      </c>
      <c r="K245" s="66">
        <v>360</v>
      </c>
      <c r="L245" s="66">
        <v>2200</v>
      </c>
      <c r="M245" s="156">
        <v>35.644590890849443</v>
      </c>
      <c r="N245" s="78">
        <v>2092.9007443718879</v>
      </c>
      <c r="O245" s="113">
        <v>63821.05370492526</v>
      </c>
      <c r="P245" s="111">
        <v>74947.91539151287</v>
      </c>
      <c r="Q245" s="254">
        <v>32860.907483922878</v>
      </c>
      <c r="R245" s="263">
        <v>96681.96118884813</v>
      </c>
      <c r="S245" s="259">
        <v>107808.82287543576</v>
      </c>
      <c r="U245" s="7" t="s">
        <v>5058</v>
      </c>
    </row>
    <row r="246" spans="1:21" ht="16.5" thickBot="1">
      <c r="A246" s="1188" t="s">
        <v>4533</v>
      </c>
      <c r="B246" s="1192">
        <f t="shared" si="12"/>
        <v>110</v>
      </c>
      <c r="C246" s="1192" t="s">
        <v>3</v>
      </c>
      <c r="D246" s="1192">
        <f t="shared" si="13"/>
        <v>360</v>
      </c>
      <c r="E246" s="1192" t="s">
        <v>3</v>
      </c>
      <c r="F246" s="1190">
        <f t="shared" si="14"/>
        <v>2250</v>
      </c>
      <c r="G246" s="1192" t="s">
        <v>3</v>
      </c>
      <c r="H246" s="1189">
        <v>4</v>
      </c>
      <c r="I246" s="1191" t="s">
        <v>40</v>
      </c>
      <c r="J246" s="149">
        <v>110</v>
      </c>
      <c r="K246" s="66">
        <v>360</v>
      </c>
      <c r="L246" s="66">
        <v>2250</v>
      </c>
      <c r="M246" s="156">
        <v>36.406909583057143</v>
      </c>
      <c r="N246" s="78">
        <v>2149.4656293549115</v>
      </c>
      <c r="O246" s="113">
        <v>65019.339635143493</v>
      </c>
      <c r="P246" s="111">
        <v>76362.467540727594</v>
      </c>
      <c r="Q246" s="254">
        <v>33464.328368161063</v>
      </c>
      <c r="R246" s="263">
        <v>98483.668003304556</v>
      </c>
      <c r="S246" s="259">
        <v>109826.79590888866</v>
      </c>
      <c r="U246" s="7" t="s">
        <v>5059</v>
      </c>
    </row>
    <row r="247" spans="1:21" ht="16.5" thickBot="1">
      <c r="A247" s="1188" t="s">
        <v>4533</v>
      </c>
      <c r="B247" s="1192">
        <f t="shared" si="12"/>
        <v>110</v>
      </c>
      <c r="C247" s="1192" t="s">
        <v>3</v>
      </c>
      <c r="D247" s="1192">
        <f t="shared" si="13"/>
        <v>360</v>
      </c>
      <c r="E247" s="1192" t="s">
        <v>3</v>
      </c>
      <c r="F247" s="1190">
        <f t="shared" si="14"/>
        <v>2300</v>
      </c>
      <c r="G247" s="1192" t="s">
        <v>3</v>
      </c>
      <c r="H247" s="1189">
        <v>4</v>
      </c>
      <c r="I247" s="1191" t="s">
        <v>40</v>
      </c>
      <c r="J247" s="149">
        <v>110</v>
      </c>
      <c r="K247" s="66">
        <v>360</v>
      </c>
      <c r="L247" s="66">
        <v>2300</v>
      </c>
      <c r="M247" s="156">
        <v>37.169228275264828</v>
      </c>
      <c r="N247" s="78">
        <v>2206.0305143379355</v>
      </c>
      <c r="O247" s="113">
        <v>66217.625412332971</v>
      </c>
      <c r="P247" s="111">
        <v>77777.019689942332</v>
      </c>
      <c r="Q247" s="254">
        <v>34067.749252399248</v>
      </c>
      <c r="R247" s="263">
        <v>100285.37466473223</v>
      </c>
      <c r="S247" s="259">
        <v>111844.76894234159</v>
      </c>
      <c r="U247" s="7" t="s">
        <v>5060</v>
      </c>
    </row>
    <row r="248" spans="1:21" ht="16.5" thickBot="1">
      <c r="A248" s="1188" t="s">
        <v>4533</v>
      </c>
      <c r="B248" s="1192">
        <f t="shared" si="12"/>
        <v>110</v>
      </c>
      <c r="C248" s="1192" t="s">
        <v>3</v>
      </c>
      <c r="D248" s="1192">
        <f t="shared" si="13"/>
        <v>360</v>
      </c>
      <c r="E248" s="1192" t="s">
        <v>3</v>
      </c>
      <c r="F248" s="1190">
        <f t="shared" si="14"/>
        <v>2350</v>
      </c>
      <c r="G248" s="1192" t="s">
        <v>3</v>
      </c>
      <c r="H248" s="1189">
        <v>4</v>
      </c>
      <c r="I248" s="1191" t="s">
        <v>40</v>
      </c>
      <c r="J248" s="149">
        <v>110</v>
      </c>
      <c r="K248" s="66">
        <v>360</v>
      </c>
      <c r="L248" s="66">
        <v>2350</v>
      </c>
      <c r="M248" s="156">
        <v>37.931546967472535</v>
      </c>
      <c r="N248" s="78">
        <v>2262.5953993209596</v>
      </c>
      <c r="O248" s="113">
        <v>67415.911342551219</v>
      </c>
      <c r="P248" s="111">
        <v>79191.571839157055</v>
      </c>
      <c r="Q248" s="254">
        <v>34922.504274421211</v>
      </c>
      <c r="R248" s="263">
        <v>102338.41561697243</v>
      </c>
      <c r="S248" s="259">
        <v>114114.07611357827</v>
      </c>
      <c r="U248" s="7" t="s">
        <v>5061</v>
      </c>
    </row>
    <row r="249" spans="1:21" ht="16.5" thickBot="1">
      <c r="A249" s="1188" t="s">
        <v>4533</v>
      </c>
      <c r="B249" s="1192">
        <f t="shared" si="12"/>
        <v>110</v>
      </c>
      <c r="C249" s="1192" t="s">
        <v>3</v>
      </c>
      <c r="D249" s="1192">
        <f t="shared" si="13"/>
        <v>360</v>
      </c>
      <c r="E249" s="1192" t="s">
        <v>3</v>
      </c>
      <c r="F249" s="1190">
        <f t="shared" si="14"/>
        <v>2400</v>
      </c>
      <c r="G249" s="1192" t="s">
        <v>3</v>
      </c>
      <c r="H249" s="1189">
        <v>4</v>
      </c>
      <c r="I249" s="1191" t="s">
        <v>40</v>
      </c>
      <c r="J249" s="149">
        <v>110</v>
      </c>
      <c r="K249" s="66">
        <v>360</v>
      </c>
      <c r="L249" s="66">
        <v>2400</v>
      </c>
      <c r="M249" s="156">
        <v>38.69386565968022</v>
      </c>
      <c r="N249" s="78">
        <v>2319.1602843039832</v>
      </c>
      <c r="O249" s="113">
        <v>68614.197119740682</v>
      </c>
      <c r="P249" s="111">
        <v>80606.123988371779</v>
      </c>
      <c r="Q249" s="254">
        <v>35525.925158659396</v>
      </c>
      <c r="R249" s="263">
        <v>104140.12227840009</v>
      </c>
      <c r="S249" s="259">
        <v>116132.04914703118</v>
      </c>
      <c r="U249" s="7" t="s">
        <v>5062</v>
      </c>
    </row>
    <row r="250" spans="1:21" ht="16.5" thickBot="1">
      <c r="A250" s="1188" t="s">
        <v>4533</v>
      </c>
      <c r="B250" s="1192">
        <f t="shared" si="12"/>
        <v>110</v>
      </c>
      <c r="C250" s="1192" t="s">
        <v>3</v>
      </c>
      <c r="D250" s="1192">
        <f t="shared" si="13"/>
        <v>360</v>
      </c>
      <c r="E250" s="1192" t="s">
        <v>3</v>
      </c>
      <c r="F250" s="1190">
        <f t="shared" si="14"/>
        <v>2450</v>
      </c>
      <c r="G250" s="1192" t="s">
        <v>3</v>
      </c>
      <c r="H250" s="1189">
        <v>4</v>
      </c>
      <c r="I250" s="1191" t="s">
        <v>40</v>
      </c>
      <c r="J250" s="149">
        <v>110</v>
      </c>
      <c r="K250" s="66">
        <v>360</v>
      </c>
      <c r="L250" s="66">
        <v>2450</v>
      </c>
      <c r="M250" s="156">
        <v>39.456184351887927</v>
      </c>
      <c r="N250" s="78">
        <v>2375.7251692870077</v>
      </c>
      <c r="O250" s="113">
        <v>69812.483049958915</v>
      </c>
      <c r="P250" s="111">
        <v>82020.676137586503</v>
      </c>
      <c r="Q250" s="254">
        <v>36380.680180681353</v>
      </c>
      <c r="R250" s="263">
        <v>106193.16323064026</v>
      </c>
      <c r="S250" s="259">
        <v>118401.35631826785</v>
      </c>
      <c r="U250" s="7" t="s">
        <v>5063</v>
      </c>
    </row>
    <row r="251" spans="1:21" ht="16.5" thickBot="1">
      <c r="A251" s="1188" t="s">
        <v>4533</v>
      </c>
      <c r="B251" s="1192">
        <f t="shared" si="12"/>
        <v>110</v>
      </c>
      <c r="C251" s="1192" t="s">
        <v>3</v>
      </c>
      <c r="D251" s="1192">
        <f t="shared" si="13"/>
        <v>360</v>
      </c>
      <c r="E251" s="1192" t="s">
        <v>3</v>
      </c>
      <c r="F251" s="1190">
        <f t="shared" si="14"/>
        <v>2500</v>
      </c>
      <c r="G251" s="1192" t="s">
        <v>3</v>
      </c>
      <c r="H251" s="1189">
        <v>4</v>
      </c>
      <c r="I251" s="1191" t="s">
        <v>40</v>
      </c>
      <c r="J251" s="149">
        <v>110</v>
      </c>
      <c r="K251" s="66">
        <v>360</v>
      </c>
      <c r="L251" s="66">
        <v>2500</v>
      </c>
      <c r="M251" s="156">
        <v>40.632838644095621</v>
      </c>
      <c r="N251" s="78">
        <v>2432.2900542700313</v>
      </c>
      <c r="O251" s="113">
        <v>71874.416044654237</v>
      </c>
      <c r="P251" s="111">
        <v>84559.051185053468</v>
      </c>
      <c r="Q251" s="254">
        <v>36984.101064919538</v>
      </c>
      <c r="R251" s="263">
        <v>108858.51710957378</v>
      </c>
      <c r="S251" s="259">
        <v>121543.15224997301</v>
      </c>
      <c r="U251" s="7" t="s">
        <v>5064</v>
      </c>
    </row>
    <row r="252" spans="1:21" ht="16.5" thickBot="1">
      <c r="A252" s="1188" t="s">
        <v>4533</v>
      </c>
      <c r="B252" s="1192">
        <f t="shared" si="12"/>
        <v>110</v>
      </c>
      <c r="C252" s="1192" t="s">
        <v>3</v>
      </c>
      <c r="D252" s="1192">
        <f t="shared" si="13"/>
        <v>360</v>
      </c>
      <c r="E252" s="1192" t="s">
        <v>3</v>
      </c>
      <c r="F252" s="1190">
        <f t="shared" si="14"/>
        <v>2550</v>
      </c>
      <c r="G252" s="1192" t="s">
        <v>3</v>
      </c>
      <c r="H252" s="1189">
        <v>4</v>
      </c>
      <c r="I252" s="1191" t="s">
        <v>40</v>
      </c>
      <c r="J252" s="149">
        <v>110</v>
      </c>
      <c r="K252" s="66">
        <v>360</v>
      </c>
      <c r="L252" s="66">
        <v>2550</v>
      </c>
      <c r="M252" s="156">
        <v>41.395157336303328</v>
      </c>
      <c r="N252" s="78">
        <v>2488.8549392530558</v>
      </c>
      <c r="O252" s="113">
        <v>73468.587084193321</v>
      </c>
      <c r="P252" s="111">
        <v>85988.906210780697</v>
      </c>
      <c r="Q252" s="254">
        <v>37838.856239970264</v>
      </c>
      <c r="R252" s="263">
        <v>111307.44332416359</v>
      </c>
      <c r="S252" s="259">
        <v>123827.76245075096</v>
      </c>
      <c r="U252" s="7" t="s">
        <v>5065</v>
      </c>
    </row>
    <row r="253" spans="1:21" ht="16.5" thickBot="1">
      <c r="A253" s="1188" t="s">
        <v>4533</v>
      </c>
      <c r="B253" s="1189">
        <f t="shared" si="12"/>
        <v>110</v>
      </c>
      <c r="C253" s="1189" t="s">
        <v>3</v>
      </c>
      <c r="D253" s="1189">
        <f t="shared" si="13"/>
        <v>360</v>
      </c>
      <c r="E253" s="1189" t="s">
        <v>3</v>
      </c>
      <c r="F253" s="1190">
        <f t="shared" si="14"/>
        <v>2600</v>
      </c>
      <c r="G253" s="1189" t="s">
        <v>3</v>
      </c>
      <c r="H253" s="1189">
        <v>4</v>
      </c>
      <c r="I253" s="1191" t="s">
        <v>40</v>
      </c>
      <c r="J253" s="149">
        <v>110</v>
      </c>
      <c r="K253" s="66">
        <v>360</v>
      </c>
      <c r="L253" s="66">
        <v>2600</v>
      </c>
      <c r="M253" s="156">
        <v>42.15747602851102</v>
      </c>
      <c r="N253" s="78">
        <v>2545.4198242360794</v>
      </c>
      <c r="O253" s="113">
        <v>74666.872861382784</v>
      </c>
      <c r="P253" s="111">
        <v>87403.45835999542</v>
      </c>
      <c r="Q253" s="254">
        <v>38442.277124208456</v>
      </c>
      <c r="R253" s="263">
        <v>113109.14998559124</v>
      </c>
      <c r="S253" s="259">
        <v>125845.73548420388</v>
      </c>
      <c r="U253" s="7" t="s">
        <v>5066</v>
      </c>
    </row>
    <row r="254" spans="1:21" ht="16.5" thickBot="1">
      <c r="A254" s="1188" t="s">
        <v>4533</v>
      </c>
      <c r="B254" s="1192">
        <f t="shared" si="12"/>
        <v>110</v>
      </c>
      <c r="C254" s="1192" t="s">
        <v>3</v>
      </c>
      <c r="D254" s="1192">
        <f t="shared" si="13"/>
        <v>360</v>
      </c>
      <c r="E254" s="1192" t="s">
        <v>3</v>
      </c>
      <c r="F254" s="1190">
        <f t="shared" si="14"/>
        <v>2650</v>
      </c>
      <c r="G254" s="1192" t="s">
        <v>3</v>
      </c>
      <c r="H254" s="1189">
        <v>4</v>
      </c>
      <c r="I254" s="1191" t="s">
        <v>40</v>
      </c>
      <c r="J254" s="149">
        <v>110</v>
      </c>
      <c r="K254" s="66">
        <v>360</v>
      </c>
      <c r="L254" s="66">
        <v>2650</v>
      </c>
      <c r="M254" s="156">
        <v>42.919794720718713</v>
      </c>
      <c r="N254" s="78">
        <v>2601.9847092191035</v>
      </c>
      <c r="O254" s="113">
        <v>75865.158791601032</v>
      </c>
      <c r="P254" s="111">
        <v>88818.010509210158</v>
      </c>
      <c r="Q254" s="254">
        <v>39297.032146230413</v>
      </c>
      <c r="R254" s="263">
        <v>115162.19093783144</v>
      </c>
      <c r="S254" s="259">
        <v>128115.04265544057</v>
      </c>
      <c r="U254" s="7" t="s">
        <v>5067</v>
      </c>
    </row>
    <row r="255" spans="1:21" ht="16.5" thickBot="1">
      <c r="A255" s="1188" t="s">
        <v>4533</v>
      </c>
      <c r="B255" s="1192">
        <f t="shared" si="12"/>
        <v>110</v>
      </c>
      <c r="C255" s="1192" t="s">
        <v>3</v>
      </c>
      <c r="D255" s="1192">
        <f t="shared" si="13"/>
        <v>360</v>
      </c>
      <c r="E255" s="1192" t="s">
        <v>3</v>
      </c>
      <c r="F255" s="1190">
        <f t="shared" si="14"/>
        <v>2700</v>
      </c>
      <c r="G255" s="1192" t="s">
        <v>3</v>
      </c>
      <c r="H255" s="1189">
        <v>4</v>
      </c>
      <c r="I255" s="1191" t="s">
        <v>40</v>
      </c>
      <c r="J255" s="149">
        <v>110</v>
      </c>
      <c r="K255" s="66">
        <v>360</v>
      </c>
      <c r="L255" s="66">
        <v>2700</v>
      </c>
      <c r="M255" s="156">
        <v>43.682113412926412</v>
      </c>
      <c r="N255" s="78">
        <v>2658.5495942021275</v>
      </c>
      <c r="O255" s="113">
        <v>77063.44456879051</v>
      </c>
      <c r="P255" s="111">
        <v>90232.562658424882</v>
      </c>
      <c r="Q255" s="254">
        <v>39900.453030468605</v>
      </c>
      <c r="R255" s="263">
        <v>116963.89759925911</v>
      </c>
      <c r="S255" s="259">
        <v>130133.01568889349</v>
      </c>
      <c r="U255" s="7" t="s">
        <v>5068</v>
      </c>
    </row>
    <row r="256" spans="1:21" ht="16.5" thickBot="1">
      <c r="A256" s="1188" t="s">
        <v>4533</v>
      </c>
      <c r="B256" s="1192">
        <f t="shared" si="12"/>
        <v>110</v>
      </c>
      <c r="C256" s="1192" t="s">
        <v>3</v>
      </c>
      <c r="D256" s="1192">
        <f t="shared" si="13"/>
        <v>360</v>
      </c>
      <c r="E256" s="1192" t="s">
        <v>3</v>
      </c>
      <c r="F256" s="1190">
        <f t="shared" si="14"/>
        <v>2750</v>
      </c>
      <c r="G256" s="1192" t="s">
        <v>3</v>
      </c>
      <c r="H256" s="1189">
        <v>4</v>
      </c>
      <c r="I256" s="1191" t="s">
        <v>40</v>
      </c>
      <c r="J256" s="149">
        <v>110</v>
      </c>
      <c r="K256" s="66">
        <v>360</v>
      </c>
      <c r="L256" s="66">
        <v>2750</v>
      </c>
      <c r="M256" s="156">
        <v>44.444432105134098</v>
      </c>
      <c r="N256" s="78">
        <v>2715.1144791851516</v>
      </c>
      <c r="O256" s="113">
        <v>78261.730499008743</v>
      </c>
      <c r="P256" s="111">
        <v>91647.114807639606</v>
      </c>
      <c r="Q256" s="254">
        <v>40503.87391470679</v>
      </c>
      <c r="R256" s="263">
        <v>118765.60441371554</v>
      </c>
      <c r="S256" s="259">
        <v>132150.9887223464</v>
      </c>
      <c r="U256" s="7" t="s">
        <v>5069</v>
      </c>
    </row>
    <row r="257" spans="1:21" ht="16.5" thickBot="1">
      <c r="A257" s="1188" t="s">
        <v>4533</v>
      </c>
      <c r="B257" s="1192">
        <f t="shared" si="12"/>
        <v>110</v>
      </c>
      <c r="C257" s="1192" t="s">
        <v>3</v>
      </c>
      <c r="D257" s="1192">
        <f t="shared" si="13"/>
        <v>360</v>
      </c>
      <c r="E257" s="1192" t="s">
        <v>3</v>
      </c>
      <c r="F257" s="1190">
        <f t="shared" si="14"/>
        <v>2800</v>
      </c>
      <c r="G257" s="1192" t="s">
        <v>3</v>
      </c>
      <c r="H257" s="1189">
        <v>4</v>
      </c>
      <c r="I257" s="1191" t="s">
        <v>40</v>
      </c>
      <c r="J257" s="149">
        <v>110</v>
      </c>
      <c r="K257" s="66">
        <v>360</v>
      </c>
      <c r="L257" s="66">
        <v>2800</v>
      </c>
      <c r="M257" s="156">
        <v>45.206750797341819</v>
      </c>
      <c r="N257" s="78">
        <v>2771.6793641681757</v>
      </c>
      <c r="O257" s="113">
        <v>79460.016276198206</v>
      </c>
      <c r="P257" s="111">
        <v>93061.666956854344</v>
      </c>
      <c r="Q257" s="254">
        <v>41358.628936728746</v>
      </c>
      <c r="R257" s="263">
        <v>120818.64521292696</v>
      </c>
      <c r="S257" s="259">
        <v>134420.2958935831</v>
      </c>
      <c r="U257" s="7" t="s">
        <v>5070</v>
      </c>
    </row>
    <row r="258" spans="1:21" ht="16.5" thickBot="1">
      <c r="A258" s="1188" t="s">
        <v>4533</v>
      </c>
      <c r="B258" s="1192">
        <f t="shared" si="12"/>
        <v>110</v>
      </c>
      <c r="C258" s="1192" t="s">
        <v>3</v>
      </c>
      <c r="D258" s="1192">
        <f t="shared" si="13"/>
        <v>360</v>
      </c>
      <c r="E258" s="1192" t="s">
        <v>3</v>
      </c>
      <c r="F258" s="1190">
        <f t="shared" si="14"/>
        <v>2850</v>
      </c>
      <c r="G258" s="1192" t="s">
        <v>3</v>
      </c>
      <c r="H258" s="1189">
        <v>4</v>
      </c>
      <c r="I258" s="1191" t="s">
        <v>40</v>
      </c>
      <c r="J258" s="149">
        <v>110</v>
      </c>
      <c r="K258" s="66">
        <v>360</v>
      </c>
      <c r="L258" s="66">
        <v>2850</v>
      </c>
      <c r="M258" s="156">
        <v>45.969069489549504</v>
      </c>
      <c r="N258" s="78">
        <v>2828.2442491511993</v>
      </c>
      <c r="O258" s="113">
        <v>80658.302206416454</v>
      </c>
      <c r="P258" s="111">
        <v>94476.219106069067</v>
      </c>
      <c r="Q258" s="254">
        <v>41962.049820966939</v>
      </c>
      <c r="R258" s="263">
        <v>122620.3520273834</v>
      </c>
      <c r="S258" s="259">
        <v>136438.268927036</v>
      </c>
      <c r="U258" s="7" t="s">
        <v>5071</v>
      </c>
    </row>
    <row r="259" spans="1:21" ht="16.5" thickBot="1">
      <c r="A259" s="1188" t="s">
        <v>4533</v>
      </c>
      <c r="B259" s="1192">
        <f t="shared" si="12"/>
        <v>110</v>
      </c>
      <c r="C259" s="1192" t="s">
        <v>3</v>
      </c>
      <c r="D259" s="1192">
        <f t="shared" si="13"/>
        <v>360</v>
      </c>
      <c r="E259" s="1192" t="s">
        <v>3</v>
      </c>
      <c r="F259" s="1190">
        <f t="shared" si="14"/>
        <v>2900</v>
      </c>
      <c r="G259" s="1192" t="s">
        <v>3</v>
      </c>
      <c r="H259" s="1189">
        <v>4</v>
      </c>
      <c r="I259" s="1191" t="s">
        <v>40</v>
      </c>
      <c r="J259" s="149">
        <v>110</v>
      </c>
      <c r="K259" s="66">
        <v>360</v>
      </c>
      <c r="L259" s="66">
        <v>2900</v>
      </c>
      <c r="M259" s="156">
        <v>46.731388181757204</v>
      </c>
      <c r="N259" s="78">
        <v>2884.8091341342233</v>
      </c>
      <c r="O259" s="113">
        <v>81856.587983605932</v>
      </c>
      <c r="P259" s="111">
        <v>95890.771255283791</v>
      </c>
      <c r="Q259" s="254">
        <v>42816.804842988895</v>
      </c>
      <c r="R259" s="263">
        <v>124673.39282659482</v>
      </c>
      <c r="S259" s="259">
        <v>138707.57609827269</v>
      </c>
      <c r="U259" s="7" t="s">
        <v>5072</v>
      </c>
    </row>
    <row r="260" spans="1:21" ht="16.5" thickBot="1">
      <c r="A260" s="1188" t="s">
        <v>4533</v>
      </c>
      <c r="B260" s="1192">
        <f t="shared" si="12"/>
        <v>110</v>
      </c>
      <c r="C260" s="1192" t="s">
        <v>3</v>
      </c>
      <c r="D260" s="1192">
        <f t="shared" si="13"/>
        <v>360</v>
      </c>
      <c r="E260" s="1192" t="s">
        <v>3</v>
      </c>
      <c r="F260" s="1190">
        <f t="shared" si="14"/>
        <v>2950</v>
      </c>
      <c r="G260" s="1192" t="s">
        <v>3</v>
      </c>
      <c r="H260" s="1189">
        <v>4</v>
      </c>
      <c r="I260" s="1191" t="s">
        <v>40</v>
      </c>
      <c r="J260" s="149">
        <v>110</v>
      </c>
      <c r="K260" s="66">
        <v>360</v>
      </c>
      <c r="L260" s="66">
        <v>2950</v>
      </c>
      <c r="M260" s="156">
        <v>47.493706873964911</v>
      </c>
      <c r="N260" s="78">
        <v>2941.3740191172474</v>
      </c>
      <c r="O260" s="113">
        <v>83054.873913824165</v>
      </c>
      <c r="P260" s="111">
        <v>97305.323404498515</v>
      </c>
      <c r="Q260" s="254">
        <v>43420.22572722708</v>
      </c>
      <c r="R260" s="263">
        <v>126475.09964105125</v>
      </c>
      <c r="S260" s="259">
        <v>140725.54913172559</v>
      </c>
      <c r="U260" s="7" t="s">
        <v>5073</v>
      </c>
    </row>
    <row r="261" spans="1:21" ht="16.5" thickBot="1">
      <c r="A261" s="1193" t="s">
        <v>4533</v>
      </c>
      <c r="B261" s="1194">
        <f t="shared" si="12"/>
        <v>110</v>
      </c>
      <c r="C261" s="1194" t="s">
        <v>3</v>
      </c>
      <c r="D261" s="1194">
        <f t="shared" si="13"/>
        <v>360</v>
      </c>
      <c r="E261" s="1194" t="s">
        <v>3</v>
      </c>
      <c r="F261" s="1195">
        <f t="shared" si="14"/>
        <v>3000</v>
      </c>
      <c r="G261" s="1194" t="s">
        <v>3</v>
      </c>
      <c r="H261" s="1196">
        <v>4</v>
      </c>
      <c r="I261" s="1197" t="s">
        <v>40</v>
      </c>
      <c r="J261" s="265">
        <v>110</v>
      </c>
      <c r="K261" s="266">
        <v>360</v>
      </c>
      <c r="L261" s="266">
        <v>3000</v>
      </c>
      <c r="M261" s="281">
        <v>48.536955166172596</v>
      </c>
      <c r="N261" s="250">
        <v>2997.9389041002714</v>
      </c>
      <c r="O261" s="251">
        <v>84540.510985014756</v>
      </c>
      <c r="P261" s="280">
        <v>99007.226847714381</v>
      </c>
      <c r="Q261" s="267">
        <v>44274.980749249036</v>
      </c>
      <c r="R261" s="268">
        <v>128815.49173426379</v>
      </c>
      <c r="S261" s="269">
        <v>143282.20759696342</v>
      </c>
      <c r="U261" s="7" t="s">
        <v>5074</v>
      </c>
    </row>
    <row r="262" spans="1:21" ht="21.75" thickBot="1">
      <c r="A262" s="2968" t="s">
        <v>476</v>
      </c>
      <c r="B262" s="2969"/>
      <c r="C262" s="2969"/>
      <c r="D262" s="2969"/>
      <c r="E262" s="2969"/>
      <c r="F262" s="2969"/>
      <c r="G262" s="2969"/>
      <c r="H262" s="2969"/>
      <c r="I262" s="2969"/>
      <c r="J262" s="2969"/>
      <c r="K262" s="2969"/>
      <c r="L262" s="2969"/>
      <c r="M262" s="2969"/>
      <c r="N262" s="2969"/>
      <c r="O262" s="2969"/>
      <c r="P262" s="2969"/>
      <c r="Q262" s="2969"/>
      <c r="R262" s="2969"/>
      <c r="S262" s="2970"/>
      <c r="U262" s="7"/>
    </row>
    <row r="263" spans="1:21" ht="16.5" thickBot="1">
      <c r="A263" s="2974" t="s">
        <v>4534</v>
      </c>
      <c r="B263" s="2975"/>
      <c r="C263" s="2975"/>
      <c r="D263" s="2975"/>
      <c r="E263" s="2975"/>
      <c r="F263" s="2975"/>
      <c r="G263" s="2975"/>
      <c r="H263" s="2975"/>
      <c r="I263" s="2975"/>
      <c r="J263" s="2975"/>
      <c r="K263" s="2975"/>
      <c r="L263" s="2975"/>
      <c r="M263" s="2975"/>
      <c r="N263" s="2975"/>
      <c r="O263" s="2975"/>
      <c r="P263" s="2975"/>
      <c r="Q263" s="2975"/>
      <c r="R263" s="2975"/>
      <c r="S263" s="2976"/>
      <c r="U263" s="7"/>
    </row>
    <row r="264" spans="1:21" ht="16.5" thickBot="1">
      <c r="A264" s="1188" t="s">
        <v>4533</v>
      </c>
      <c r="B264" s="1189">
        <f>J264</f>
        <v>110</v>
      </c>
      <c r="C264" s="1189" t="s">
        <v>3</v>
      </c>
      <c r="D264" s="1189">
        <f>K264</f>
        <v>400</v>
      </c>
      <c r="E264" s="1189" t="s">
        <v>3</v>
      </c>
      <c r="F264" s="1190">
        <f>L264</f>
        <v>600</v>
      </c>
      <c r="G264" s="1189" t="s">
        <v>3</v>
      </c>
      <c r="H264" s="1189">
        <v>4</v>
      </c>
      <c r="I264" s="1191" t="s">
        <v>40</v>
      </c>
      <c r="J264" s="270">
        <v>110</v>
      </c>
      <c r="K264" s="271">
        <v>400</v>
      </c>
      <c r="L264" s="271">
        <v>600</v>
      </c>
      <c r="M264" s="282">
        <v>11.34005629893996</v>
      </c>
      <c r="N264" s="246">
        <v>295.74414864368867</v>
      </c>
      <c r="O264" s="247">
        <v>24235.352840054769</v>
      </c>
      <c r="P264" s="275">
        <v>29289.69768742922</v>
      </c>
      <c r="Q264" s="272">
        <v>10760.15380676932</v>
      </c>
      <c r="R264" s="273">
        <v>34995.506646824091</v>
      </c>
      <c r="S264" s="274">
        <v>40049.851494198541</v>
      </c>
      <c r="U264" s="7" t="s">
        <v>5075</v>
      </c>
    </row>
    <row r="265" spans="1:21" ht="16.5" thickBot="1">
      <c r="A265" s="1188" t="s">
        <v>4533</v>
      </c>
      <c r="B265" s="1192">
        <f t="shared" ref="B265:B312" si="15">J265</f>
        <v>110</v>
      </c>
      <c r="C265" s="1192" t="s">
        <v>3</v>
      </c>
      <c r="D265" s="1192">
        <f t="shared" ref="D265:D312" si="16">K265</f>
        <v>400</v>
      </c>
      <c r="E265" s="1192" t="s">
        <v>3</v>
      </c>
      <c r="F265" s="1190">
        <f t="shared" ref="F265:F312" si="17">L265</f>
        <v>650</v>
      </c>
      <c r="G265" s="1192" t="s">
        <v>3</v>
      </c>
      <c r="H265" s="1189">
        <v>4</v>
      </c>
      <c r="I265" s="1191" t="s">
        <v>40</v>
      </c>
      <c r="J265" s="149">
        <v>110</v>
      </c>
      <c r="K265" s="66">
        <v>400</v>
      </c>
      <c r="L265" s="66">
        <v>650</v>
      </c>
      <c r="M265" s="156">
        <v>12.142283721042396</v>
      </c>
      <c r="N265" s="78">
        <v>354.8929783724264</v>
      </c>
      <c r="O265" s="113">
        <v>25454.99041478445</v>
      </c>
      <c r="P265" s="111">
        <v>30740.516429748452</v>
      </c>
      <c r="Q265" s="254">
        <v>11416.760909528057</v>
      </c>
      <c r="R265" s="263">
        <v>36871.751324312507</v>
      </c>
      <c r="S265" s="259">
        <v>42157.277339276508</v>
      </c>
      <c r="U265" s="7" t="s">
        <v>5076</v>
      </c>
    </row>
    <row r="266" spans="1:21" ht="16.5" thickBot="1">
      <c r="A266" s="1188" t="s">
        <v>4533</v>
      </c>
      <c r="B266" s="1192">
        <f t="shared" si="15"/>
        <v>110</v>
      </c>
      <c r="C266" s="1192" t="s">
        <v>3</v>
      </c>
      <c r="D266" s="1192">
        <f t="shared" si="16"/>
        <v>400</v>
      </c>
      <c r="E266" s="1192" t="s">
        <v>3</v>
      </c>
      <c r="F266" s="1190">
        <f t="shared" si="17"/>
        <v>700</v>
      </c>
      <c r="G266" s="1192" t="s">
        <v>3</v>
      </c>
      <c r="H266" s="1189">
        <v>4</v>
      </c>
      <c r="I266" s="1191" t="s">
        <v>40</v>
      </c>
      <c r="J266" s="149">
        <v>110</v>
      </c>
      <c r="K266" s="66">
        <v>400</v>
      </c>
      <c r="L266" s="66">
        <v>700</v>
      </c>
      <c r="M266" s="156">
        <v>12.94451114314483</v>
      </c>
      <c r="N266" s="78">
        <v>414.04180810116412</v>
      </c>
      <c r="O266" s="113">
        <v>26674.627989514436</v>
      </c>
      <c r="P266" s="111">
        <v>32191.33517206768</v>
      </c>
      <c r="Q266" s="254">
        <v>12324.7019970418</v>
      </c>
      <c r="R266" s="263">
        <v>38999.329986556237</v>
      </c>
      <c r="S266" s="259">
        <v>44516.037169109477</v>
      </c>
      <c r="U266" s="7" t="s">
        <v>5077</v>
      </c>
    </row>
    <row r="267" spans="1:21" ht="16.5" thickBot="1">
      <c r="A267" s="1188" t="s">
        <v>4533</v>
      </c>
      <c r="B267" s="1192">
        <f t="shared" si="15"/>
        <v>110</v>
      </c>
      <c r="C267" s="1192" t="s">
        <v>3</v>
      </c>
      <c r="D267" s="1192">
        <f t="shared" si="16"/>
        <v>400</v>
      </c>
      <c r="E267" s="1192" t="s">
        <v>3</v>
      </c>
      <c r="F267" s="1190">
        <f t="shared" si="17"/>
        <v>750</v>
      </c>
      <c r="G267" s="1192" t="s">
        <v>3</v>
      </c>
      <c r="H267" s="1189">
        <v>4</v>
      </c>
      <c r="I267" s="1191" t="s">
        <v>40</v>
      </c>
      <c r="J267" s="149">
        <v>110</v>
      </c>
      <c r="K267" s="66">
        <v>400</v>
      </c>
      <c r="L267" s="66">
        <v>750</v>
      </c>
      <c r="M267" s="156">
        <v>13.746738565247263</v>
      </c>
      <c r="N267" s="78">
        <v>473.1906378299019</v>
      </c>
      <c r="O267" s="113">
        <v>27894.26556424427</v>
      </c>
      <c r="P267" s="111">
        <v>33642.153914386916</v>
      </c>
      <c r="Q267" s="254">
        <v>12981.309099800537</v>
      </c>
      <c r="R267" s="263">
        <v>40875.574664044805</v>
      </c>
      <c r="S267" s="259">
        <v>46623.463014187451</v>
      </c>
      <c r="U267" s="7" t="s">
        <v>5078</v>
      </c>
    </row>
    <row r="268" spans="1:21" ht="16.5" thickBot="1">
      <c r="A268" s="1188" t="s">
        <v>4533</v>
      </c>
      <c r="B268" s="1192">
        <f t="shared" si="15"/>
        <v>110</v>
      </c>
      <c r="C268" s="1192" t="s">
        <v>3</v>
      </c>
      <c r="D268" s="1192">
        <f t="shared" si="16"/>
        <v>400</v>
      </c>
      <c r="E268" s="1192" t="s">
        <v>3</v>
      </c>
      <c r="F268" s="1190">
        <f t="shared" si="17"/>
        <v>800</v>
      </c>
      <c r="G268" s="1192" t="s">
        <v>3</v>
      </c>
      <c r="H268" s="1189">
        <v>4</v>
      </c>
      <c r="I268" s="1191" t="s">
        <v>40</v>
      </c>
      <c r="J268" s="149">
        <v>110</v>
      </c>
      <c r="K268" s="66">
        <v>400</v>
      </c>
      <c r="L268" s="66">
        <v>800</v>
      </c>
      <c r="M268" s="156">
        <v>14.548965987349698</v>
      </c>
      <c r="N268" s="78">
        <v>532.33946755863963</v>
      </c>
      <c r="O268" s="113">
        <v>29511.296805861548</v>
      </c>
      <c r="P268" s="111">
        <v>35108.27553321865</v>
      </c>
      <c r="Q268" s="254">
        <v>13637.916049530511</v>
      </c>
      <c r="R268" s="263">
        <v>43149.212855392063</v>
      </c>
      <c r="S268" s="259">
        <v>48746.191582749161</v>
      </c>
      <c r="U268" s="7" t="s">
        <v>5079</v>
      </c>
    </row>
    <row r="269" spans="1:21" ht="16.5" thickBot="1">
      <c r="A269" s="1188" t="s">
        <v>4533</v>
      </c>
      <c r="B269" s="1192">
        <f t="shared" si="15"/>
        <v>110</v>
      </c>
      <c r="C269" s="1192" t="s">
        <v>3</v>
      </c>
      <c r="D269" s="1192">
        <f t="shared" si="16"/>
        <v>400</v>
      </c>
      <c r="E269" s="1192" t="s">
        <v>3</v>
      </c>
      <c r="F269" s="1190">
        <f t="shared" si="17"/>
        <v>850</v>
      </c>
      <c r="G269" s="1192" t="s">
        <v>3</v>
      </c>
      <c r="H269" s="1189">
        <v>4</v>
      </c>
      <c r="I269" s="1191" t="s">
        <v>40</v>
      </c>
      <c r="J269" s="149">
        <v>110</v>
      </c>
      <c r="K269" s="66">
        <v>400</v>
      </c>
      <c r="L269" s="66">
        <v>850</v>
      </c>
      <c r="M269" s="156">
        <v>15.351193409452133</v>
      </c>
      <c r="N269" s="78">
        <v>591.48829728737735</v>
      </c>
      <c r="O269" s="113">
        <v>30730.934380591389</v>
      </c>
      <c r="P269" s="111">
        <v>36559.094275537878</v>
      </c>
      <c r="Q269" s="254">
        <v>14545.85729007302</v>
      </c>
      <c r="R269" s="263">
        <v>45276.79167066441</v>
      </c>
      <c r="S269" s="259">
        <v>51104.9515656109</v>
      </c>
      <c r="U269" s="7" t="s">
        <v>5080</v>
      </c>
    </row>
    <row r="270" spans="1:21" ht="16.5" thickBot="1">
      <c r="A270" s="1188" t="s">
        <v>4533</v>
      </c>
      <c r="B270" s="1192">
        <f t="shared" si="15"/>
        <v>110</v>
      </c>
      <c r="C270" s="1192" t="s">
        <v>3</v>
      </c>
      <c r="D270" s="1192">
        <f t="shared" si="16"/>
        <v>400</v>
      </c>
      <c r="E270" s="1192" t="s">
        <v>3</v>
      </c>
      <c r="F270" s="1190">
        <f t="shared" si="17"/>
        <v>900</v>
      </c>
      <c r="G270" s="1192" t="s">
        <v>3</v>
      </c>
      <c r="H270" s="1189">
        <v>4</v>
      </c>
      <c r="I270" s="1191" t="s">
        <v>40</v>
      </c>
      <c r="J270" s="149">
        <v>110</v>
      </c>
      <c r="K270" s="66">
        <v>400</v>
      </c>
      <c r="L270" s="66">
        <v>900</v>
      </c>
      <c r="M270" s="156">
        <v>16.153420831554566</v>
      </c>
      <c r="N270" s="78">
        <v>650.63712701611519</v>
      </c>
      <c r="O270" s="113">
        <v>31950.571955321218</v>
      </c>
      <c r="P270" s="111">
        <v>38009.913170885877</v>
      </c>
      <c r="Q270" s="254">
        <v>15202.464239802994</v>
      </c>
      <c r="R270" s="263">
        <v>47153.036195124208</v>
      </c>
      <c r="S270" s="259">
        <v>53212.377410688874</v>
      </c>
      <c r="U270" s="7" t="s">
        <v>5081</v>
      </c>
    </row>
    <row r="271" spans="1:21" ht="16.5" thickBot="1">
      <c r="A271" s="1188" t="s">
        <v>4533</v>
      </c>
      <c r="B271" s="1192">
        <f t="shared" si="15"/>
        <v>110</v>
      </c>
      <c r="C271" s="1192" t="s">
        <v>3</v>
      </c>
      <c r="D271" s="1192">
        <f t="shared" si="16"/>
        <v>400</v>
      </c>
      <c r="E271" s="1192" t="s">
        <v>3</v>
      </c>
      <c r="F271" s="1190">
        <f t="shared" si="17"/>
        <v>950</v>
      </c>
      <c r="G271" s="1192" t="s">
        <v>3</v>
      </c>
      <c r="H271" s="1189">
        <v>4</v>
      </c>
      <c r="I271" s="1191" t="s">
        <v>40</v>
      </c>
      <c r="J271" s="149">
        <v>110</v>
      </c>
      <c r="K271" s="66">
        <v>400</v>
      </c>
      <c r="L271" s="66">
        <v>950</v>
      </c>
      <c r="M271" s="156">
        <v>16.955648253657003</v>
      </c>
      <c r="N271" s="78">
        <v>709.7859567448528</v>
      </c>
      <c r="O271" s="113">
        <v>33170.209530051048</v>
      </c>
      <c r="P271" s="111">
        <v>39460.731913205105</v>
      </c>
      <c r="Q271" s="254">
        <v>16110.4054803455</v>
      </c>
      <c r="R271" s="263">
        <v>49280.615010396548</v>
      </c>
      <c r="S271" s="259">
        <v>55571.137393550605</v>
      </c>
      <c r="U271" s="7" t="s">
        <v>5082</v>
      </c>
    </row>
    <row r="272" spans="1:21" ht="16.5" thickBot="1">
      <c r="A272" s="1188" t="s">
        <v>4533</v>
      </c>
      <c r="B272" s="1192">
        <f t="shared" si="15"/>
        <v>110</v>
      </c>
      <c r="C272" s="1192" t="s">
        <v>3</v>
      </c>
      <c r="D272" s="1192">
        <f t="shared" si="16"/>
        <v>400</v>
      </c>
      <c r="E272" s="1192" t="s">
        <v>3</v>
      </c>
      <c r="F272" s="1190">
        <f t="shared" si="17"/>
        <v>1000</v>
      </c>
      <c r="G272" s="1192" t="s">
        <v>3</v>
      </c>
      <c r="H272" s="1189">
        <v>4</v>
      </c>
      <c r="I272" s="1191" t="s">
        <v>40</v>
      </c>
      <c r="J272" s="149">
        <v>110</v>
      </c>
      <c r="K272" s="66">
        <v>400</v>
      </c>
      <c r="L272" s="66">
        <v>1000</v>
      </c>
      <c r="M272" s="156">
        <v>17.913947675759438</v>
      </c>
      <c r="N272" s="78">
        <v>768.93478647359063</v>
      </c>
      <c r="O272" s="113">
        <v>34467.463294452282</v>
      </c>
      <c r="P272" s="111">
        <v>40989.166845195738</v>
      </c>
      <c r="Q272" s="254">
        <v>16767.012583104239</v>
      </c>
      <c r="R272" s="263">
        <v>51234.475877556521</v>
      </c>
      <c r="S272" s="259">
        <v>57756.179428299976</v>
      </c>
      <c r="U272" s="7" t="s">
        <v>5083</v>
      </c>
    </row>
    <row r="273" spans="1:21" ht="16.5" thickBot="1">
      <c r="A273" s="1188" t="s">
        <v>4533</v>
      </c>
      <c r="B273" s="1192">
        <f t="shared" si="15"/>
        <v>110</v>
      </c>
      <c r="C273" s="1192" t="s">
        <v>3</v>
      </c>
      <c r="D273" s="1192">
        <f t="shared" si="16"/>
        <v>400</v>
      </c>
      <c r="E273" s="1192" t="s">
        <v>3</v>
      </c>
      <c r="F273" s="1190">
        <f t="shared" si="17"/>
        <v>1050</v>
      </c>
      <c r="G273" s="1192" t="s">
        <v>3</v>
      </c>
      <c r="H273" s="1189">
        <v>4</v>
      </c>
      <c r="I273" s="1191" t="s">
        <v>40</v>
      </c>
      <c r="J273" s="149">
        <v>110</v>
      </c>
      <c r="K273" s="66">
        <v>400</v>
      </c>
      <c r="L273" s="66">
        <v>1050</v>
      </c>
      <c r="M273" s="156">
        <v>18.716175097861871</v>
      </c>
      <c r="N273" s="78">
        <v>828.08361620232824</v>
      </c>
      <c r="O273" s="113">
        <v>35687.100869182119</v>
      </c>
      <c r="P273" s="111">
        <v>42439.985587514973</v>
      </c>
      <c r="Q273" s="254">
        <v>17674.953670617982</v>
      </c>
      <c r="R273" s="263">
        <v>53362.054539800098</v>
      </c>
      <c r="S273" s="259">
        <v>60114.939258132959</v>
      </c>
      <c r="U273" s="7" t="s">
        <v>5084</v>
      </c>
    </row>
    <row r="274" spans="1:21" ht="16.5" thickBot="1">
      <c r="A274" s="1188" t="s">
        <v>4533</v>
      </c>
      <c r="B274" s="1189">
        <f t="shared" si="15"/>
        <v>110</v>
      </c>
      <c r="C274" s="1189" t="s">
        <v>3</v>
      </c>
      <c r="D274" s="1189">
        <f t="shared" si="16"/>
        <v>400</v>
      </c>
      <c r="E274" s="1189" t="s">
        <v>3</v>
      </c>
      <c r="F274" s="1190">
        <f t="shared" si="17"/>
        <v>1100</v>
      </c>
      <c r="G274" s="1189" t="s">
        <v>3</v>
      </c>
      <c r="H274" s="1189">
        <v>4</v>
      </c>
      <c r="I274" s="1191" t="s">
        <v>40</v>
      </c>
      <c r="J274" s="149">
        <v>110</v>
      </c>
      <c r="K274" s="66">
        <v>400</v>
      </c>
      <c r="L274" s="66">
        <v>1100</v>
      </c>
      <c r="M274" s="156">
        <v>19.518402519964305</v>
      </c>
      <c r="N274" s="78">
        <v>887.23244593106597</v>
      </c>
      <c r="O274" s="113">
        <v>36906.738443911956</v>
      </c>
      <c r="P274" s="111">
        <v>43890.804329834202</v>
      </c>
      <c r="Q274" s="254">
        <v>18331.560773376717</v>
      </c>
      <c r="R274" s="263">
        <v>55238.299217288673</v>
      </c>
      <c r="S274" s="259">
        <v>62222.365103210919</v>
      </c>
      <c r="U274" s="7" t="s">
        <v>5085</v>
      </c>
    </row>
    <row r="275" spans="1:21" ht="16.5" thickBot="1">
      <c r="A275" s="1188" t="s">
        <v>4533</v>
      </c>
      <c r="B275" s="1192">
        <f t="shared" si="15"/>
        <v>110</v>
      </c>
      <c r="C275" s="1192" t="s">
        <v>3</v>
      </c>
      <c r="D275" s="1192">
        <f t="shared" si="16"/>
        <v>400</v>
      </c>
      <c r="E275" s="1192" t="s">
        <v>3</v>
      </c>
      <c r="F275" s="1190">
        <f t="shared" si="17"/>
        <v>1150</v>
      </c>
      <c r="G275" s="1192" t="s">
        <v>3</v>
      </c>
      <c r="H275" s="1189">
        <v>4</v>
      </c>
      <c r="I275" s="1191" t="s">
        <v>40</v>
      </c>
      <c r="J275" s="149">
        <v>110</v>
      </c>
      <c r="K275" s="66">
        <v>400</v>
      </c>
      <c r="L275" s="66">
        <v>1150</v>
      </c>
      <c r="M275" s="156">
        <v>20.320629942066738</v>
      </c>
      <c r="N275" s="78">
        <v>946.3812756598038</v>
      </c>
      <c r="O275" s="113">
        <v>38126.375865613023</v>
      </c>
      <c r="P275" s="111">
        <v>45341.623072153438</v>
      </c>
      <c r="Q275" s="254">
        <v>18988.167723106693</v>
      </c>
      <c r="R275" s="263">
        <v>57114.543588719716</v>
      </c>
      <c r="S275" s="259">
        <v>64329.790795260131</v>
      </c>
      <c r="U275" s="7" t="s">
        <v>5086</v>
      </c>
    </row>
    <row r="276" spans="1:21" ht="16.5" thickBot="1">
      <c r="A276" s="1188" t="s">
        <v>4533</v>
      </c>
      <c r="B276" s="1192">
        <f t="shared" si="15"/>
        <v>110</v>
      </c>
      <c r="C276" s="1192" t="s">
        <v>3</v>
      </c>
      <c r="D276" s="1192">
        <f t="shared" si="16"/>
        <v>400</v>
      </c>
      <c r="E276" s="1192" t="s">
        <v>3</v>
      </c>
      <c r="F276" s="1190">
        <f t="shared" si="17"/>
        <v>1200</v>
      </c>
      <c r="G276" s="1192" t="s">
        <v>3</v>
      </c>
      <c r="H276" s="1189">
        <v>4</v>
      </c>
      <c r="I276" s="1191" t="s">
        <v>40</v>
      </c>
      <c r="J276" s="149">
        <v>110</v>
      </c>
      <c r="K276" s="66">
        <v>400</v>
      </c>
      <c r="L276" s="66">
        <v>1200</v>
      </c>
      <c r="M276" s="156">
        <v>21.122857364169175</v>
      </c>
      <c r="N276" s="78">
        <v>1005.5301053885414</v>
      </c>
      <c r="O276" s="113">
        <v>39346.013440342853</v>
      </c>
      <c r="P276" s="111">
        <v>46792.441967501436</v>
      </c>
      <c r="Q276" s="254">
        <v>19896.1089636492</v>
      </c>
      <c r="R276" s="263">
        <v>59242.122403992049</v>
      </c>
      <c r="S276" s="259">
        <v>66688.550931150632</v>
      </c>
      <c r="U276" s="7" t="s">
        <v>5087</v>
      </c>
    </row>
    <row r="277" spans="1:21" ht="16.5" thickBot="1">
      <c r="A277" s="1188" t="s">
        <v>4533</v>
      </c>
      <c r="B277" s="1192">
        <f t="shared" si="15"/>
        <v>110</v>
      </c>
      <c r="C277" s="1192" t="s">
        <v>3</v>
      </c>
      <c r="D277" s="1192">
        <f t="shared" si="16"/>
        <v>400</v>
      </c>
      <c r="E277" s="1192" t="s">
        <v>3</v>
      </c>
      <c r="F277" s="1190">
        <f t="shared" si="17"/>
        <v>1250</v>
      </c>
      <c r="G277" s="1192" t="s">
        <v>3</v>
      </c>
      <c r="H277" s="1189">
        <v>4</v>
      </c>
      <c r="I277" s="1191" t="s">
        <v>40</v>
      </c>
      <c r="J277" s="149">
        <v>110</v>
      </c>
      <c r="K277" s="66">
        <v>400</v>
      </c>
      <c r="L277" s="66">
        <v>1250</v>
      </c>
      <c r="M277" s="156">
        <v>21.925084786271611</v>
      </c>
      <c r="N277" s="78">
        <v>1064.6789351172793</v>
      </c>
      <c r="O277" s="113">
        <v>40565.65101507269</v>
      </c>
      <c r="P277" s="111">
        <v>48243.260709820664</v>
      </c>
      <c r="Q277" s="254">
        <v>20552.715913379172</v>
      </c>
      <c r="R277" s="263">
        <v>61118.366928451862</v>
      </c>
      <c r="S277" s="259">
        <v>68795.976623199836</v>
      </c>
      <c r="U277" s="7" t="s">
        <v>5088</v>
      </c>
    </row>
    <row r="278" spans="1:21" ht="16.5" thickBot="1">
      <c r="A278" s="1188" t="s">
        <v>4533</v>
      </c>
      <c r="B278" s="1192">
        <f t="shared" si="15"/>
        <v>110</v>
      </c>
      <c r="C278" s="1192" t="s">
        <v>3</v>
      </c>
      <c r="D278" s="1192">
        <f t="shared" si="16"/>
        <v>400</v>
      </c>
      <c r="E278" s="1192" t="s">
        <v>3</v>
      </c>
      <c r="F278" s="1190">
        <f t="shared" si="17"/>
        <v>1300</v>
      </c>
      <c r="G278" s="1192" t="s">
        <v>3</v>
      </c>
      <c r="H278" s="1189">
        <v>4</v>
      </c>
      <c r="I278" s="1191" t="s">
        <v>40</v>
      </c>
      <c r="J278" s="149">
        <v>110</v>
      </c>
      <c r="K278" s="66">
        <v>400</v>
      </c>
      <c r="L278" s="66">
        <v>1300</v>
      </c>
      <c r="M278" s="156">
        <v>22.727312208374045</v>
      </c>
      <c r="N278" s="78">
        <v>1123.8277648460169</v>
      </c>
      <c r="O278" s="113">
        <v>41785.288589802527</v>
      </c>
      <c r="P278" s="111">
        <v>49694.0794521399</v>
      </c>
      <c r="Q278" s="254">
        <v>21460.657153921682</v>
      </c>
      <c r="R278" s="263">
        <v>63245.945743724209</v>
      </c>
      <c r="S278" s="259">
        <v>71154.736606061575</v>
      </c>
      <c r="U278" s="7" t="s">
        <v>5089</v>
      </c>
    </row>
    <row r="279" spans="1:21" ht="16.5" thickBot="1">
      <c r="A279" s="1188" t="s">
        <v>4533</v>
      </c>
      <c r="B279" s="1192">
        <f t="shared" si="15"/>
        <v>110</v>
      </c>
      <c r="C279" s="1192" t="s">
        <v>3</v>
      </c>
      <c r="D279" s="1192">
        <f t="shared" si="16"/>
        <v>400</v>
      </c>
      <c r="E279" s="1192" t="s">
        <v>3</v>
      </c>
      <c r="F279" s="1190">
        <f t="shared" si="17"/>
        <v>1350</v>
      </c>
      <c r="G279" s="1192" t="s">
        <v>3</v>
      </c>
      <c r="H279" s="1189">
        <v>4</v>
      </c>
      <c r="I279" s="1191" t="s">
        <v>40</v>
      </c>
      <c r="J279" s="149">
        <v>110</v>
      </c>
      <c r="K279" s="66">
        <v>400</v>
      </c>
      <c r="L279" s="66">
        <v>1350</v>
      </c>
      <c r="M279" s="156">
        <v>23.529539630476474</v>
      </c>
      <c r="N279" s="78">
        <v>1182.9765945747547</v>
      </c>
      <c r="O279" s="113">
        <v>43004.926164532357</v>
      </c>
      <c r="P279" s="111">
        <v>51144.898194459136</v>
      </c>
      <c r="Q279" s="254">
        <v>22117.264103651651</v>
      </c>
      <c r="R279" s="263">
        <v>65122.190268184007</v>
      </c>
      <c r="S279" s="259">
        <v>73262.162298110779</v>
      </c>
      <c r="U279" s="7" t="s">
        <v>5090</v>
      </c>
    </row>
    <row r="280" spans="1:21" ht="16.5" thickBot="1">
      <c r="A280" s="1188" t="s">
        <v>4533</v>
      </c>
      <c r="B280" s="1192">
        <f t="shared" si="15"/>
        <v>110</v>
      </c>
      <c r="C280" s="1192" t="s">
        <v>3</v>
      </c>
      <c r="D280" s="1192">
        <f t="shared" si="16"/>
        <v>400</v>
      </c>
      <c r="E280" s="1192" t="s">
        <v>3</v>
      </c>
      <c r="F280" s="1190">
        <f t="shared" si="17"/>
        <v>1400</v>
      </c>
      <c r="G280" s="1192" t="s">
        <v>3</v>
      </c>
      <c r="H280" s="1189">
        <v>4</v>
      </c>
      <c r="I280" s="1191" t="s">
        <v>40</v>
      </c>
      <c r="J280" s="149">
        <v>110</v>
      </c>
      <c r="K280" s="66">
        <v>400</v>
      </c>
      <c r="L280" s="66">
        <v>1400</v>
      </c>
      <c r="M280" s="156">
        <v>24.331767052578915</v>
      </c>
      <c r="N280" s="78">
        <v>1242.1254243034925</v>
      </c>
      <c r="O280" s="113">
        <v>44224.563739262194</v>
      </c>
      <c r="P280" s="111">
        <v>52595.716936778357</v>
      </c>
      <c r="Q280" s="254">
        <v>23025.205344194161</v>
      </c>
      <c r="R280" s="263">
        <v>67249.769083456355</v>
      </c>
      <c r="S280" s="259">
        <v>75620.922280972518</v>
      </c>
      <c r="U280" s="7" t="s">
        <v>5091</v>
      </c>
    </row>
    <row r="281" spans="1:21" ht="16.5" thickBot="1">
      <c r="A281" s="1188" t="s">
        <v>4533</v>
      </c>
      <c r="B281" s="1192">
        <f t="shared" si="15"/>
        <v>110</v>
      </c>
      <c r="C281" s="1192" t="s">
        <v>3</v>
      </c>
      <c r="D281" s="1192">
        <f t="shared" si="16"/>
        <v>400</v>
      </c>
      <c r="E281" s="1192" t="s">
        <v>3</v>
      </c>
      <c r="F281" s="1190">
        <f t="shared" si="17"/>
        <v>1450</v>
      </c>
      <c r="G281" s="1192" t="s">
        <v>3</v>
      </c>
      <c r="H281" s="1189">
        <v>4</v>
      </c>
      <c r="I281" s="1191" t="s">
        <v>40</v>
      </c>
      <c r="J281" s="149">
        <v>110</v>
      </c>
      <c r="K281" s="66">
        <v>400</v>
      </c>
      <c r="L281" s="66">
        <v>1450</v>
      </c>
      <c r="M281" s="156">
        <v>25.133994474681348</v>
      </c>
      <c r="N281" s="78">
        <v>1301.2742540322304</v>
      </c>
      <c r="O281" s="113">
        <v>45444.201313992024</v>
      </c>
      <c r="P281" s="111">
        <v>54046.535679097593</v>
      </c>
      <c r="Q281" s="254">
        <v>23681.812293924133</v>
      </c>
      <c r="R281" s="263">
        <v>69126.01360791616</v>
      </c>
      <c r="S281" s="259">
        <v>77728.347973021722</v>
      </c>
      <c r="U281" s="7" t="s">
        <v>5092</v>
      </c>
    </row>
    <row r="282" spans="1:21" ht="16.5" thickBot="1">
      <c r="A282" s="1188" t="s">
        <v>4533</v>
      </c>
      <c r="B282" s="1192">
        <f t="shared" si="15"/>
        <v>110</v>
      </c>
      <c r="C282" s="1192" t="s">
        <v>3</v>
      </c>
      <c r="D282" s="1192">
        <f t="shared" si="16"/>
        <v>400</v>
      </c>
      <c r="E282" s="1192" t="s">
        <v>3</v>
      </c>
      <c r="F282" s="1190">
        <f t="shared" si="17"/>
        <v>1500</v>
      </c>
      <c r="G282" s="1192" t="s">
        <v>3</v>
      </c>
      <c r="H282" s="1189">
        <v>4</v>
      </c>
      <c r="I282" s="1191" t="s">
        <v>40</v>
      </c>
      <c r="J282" s="149">
        <v>110</v>
      </c>
      <c r="K282" s="66">
        <v>400</v>
      </c>
      <c r="L282" s="66">
        <v>1500</v>
      </c>
      <c r="M282" s="156">
        <v>26.396936696783783</v>
      </c>
      <c r="N282" s="78">
        <v>1360.4230837609678</v>
      </c>
      <c r="O282" s="113">
        <v>47579.949416861797</v>
      </c>
      <c r="P282" s="111">
        <v>56702.874174391283</v>
      </c>
      <c r="Q282" s="254">
        <v>24589.753534466639</v>
      </c>
      <c r="R282" s="263">
        <v>72169.702951328436</v>
      </c>
      <c r="S282" s="259">
        <v>81292.627708857923</v>
      </c>
      <c r="U282" s="7" t="s">
        <v>5093</v>
      </c>
    </row>
    <row r="283" spans="1:21" ht="16.5" thickBot="1">
      <c r="A283" s="1188" t="s">
        <v>4533</v>
      </c>
      <c r="B283" s="1192">
        <f t="shared" si="15"/>
        <v>110</v>
      </c>
      <c r="C283" s="1192" t="s">
        <v>3</v>
      </c>
      <c r="D283" s="1192">
        <f t="shared" si="16"/>
        <v>400</v>
      </c>
      <c r="E283" s="1192" t="s">
        <v>3</v>
      </c>
      <c r="F283" s="1190">
        <f t="shared" si="17"/>
        <v>1550</v>
      </c>
      <c r="G283" s="1192" t="s">
        <v>3</v>
      </c>
      <c r="H283" s="1189">
        <v>4</v>
      </c>
      <c r="I283" s="1191" t="s">
        <v>40</v>
      </c>
      <c r="J283" s="149">
        <v>110</v>
      </c>
      <c r="K283" s="66">
        <v>400</v>
      </c>
      <c r="L283" s="66">
        <v>1550</v>
      </c>
      <c r="M283" s="156">
        <v>27.199164118886216</v>
      </c>
      <c r="N283" s="78">
        <v>1419.5719134897056</v>
      </c>
      <c r="O283" s="113">
        <v>48799.586991591634</v>
      </c>
      <c r="P283" s="111">
        <v>58153.692916710519</v>
      </c>
      <c r="Q283" s="254">
        <v>25246.360484196612</v>
      </c>
      <c r="R283" s="263">
        <v>74045.947475788242</v>
      </c>
      <c r="S283" s="259">
        <v>83400.053400907127</v>
      </c>
      <c r="U283" s="7" t="s">
        <v>5094</v>
      </c>
    </row>
    <row r="284" spans="1:21" ht="16.5" thickBot="1">
      <c r="A284" s="1188" t="s">
        <v>4533</v>
      </c>
      <c r="B284" s="1189">
        <f t="shared" si="15"/>
        <v>110</v>
      </c>
      <c r="C284" s="1189" t="s">
        <v>3</v>
      </c>
      <c r="D284" s="1189">
        <f t="shared" si="16"/>
        <v>400</v>
      </c>
      <c r="E284" s="1189" t="s">
        <v>3</v>
      </c>
      <c r="F284" s="1190">
        <f t="shared" si="17"/>
        <v>1600</v>
      </c>
      <c r="G284" s="1189" t="s">
        <v>3</v>
      </c>
      <c r="H284" s="1189">
        <v>4</v>
      </c>
      <c r="I284" s="1191" t="s">
        <v>40</v>
      </c>
      <c r="J284" s="149">
        <v>110</v>
      </c>
      <c r="K284" s="66">
        <v>400</v>
      </c>
      <c r="L284" s="66">
        <v>1600</v>
      </c>
      <c r="M284" s="156">
        <v>28.001391540988649</v>
      </c>
      <c r="N284" s="78">
        <v>1478.7207432184434</v>
      </c>
      <c r="O284" s="113">
        <v>50019.224566321471</v>
      </c>
      <c r="P284" s="111">
        <v>59604.511659029755</v>
      </c>
      <c r="Q284" s="254">
        <v>25902.96758695535</v>
      </c>
      <c r="R284" s="263">
        <v>75922.192153276817</v>
      </c>
      <c r="S284" s="259">
        <v>85507.479245985101</v>
      </c>
      <c r="U284" s="7" t="s">
        <v>5095</v>
      </c>
    </row>
    <row r="285" spans="1:21" ht="16.5" thickBot="1">
      <c r="A285" s="1188" t="s">
        <v>4533</v>
      </c>
      <c r="B285" s="1192">
        <f t="shared" si="15"/>
        <v>110</v>
      </c>
      <c r="C285" s="1192" t="s">
        <v>3</v>
      </c>
      <c r="D285" s="1192">
        <f t="shared" si="16"/>
        <v>400</v>
      </c>
      <c r="E285" s="1192" t="s">
        <v>3</v>
      </c>
      <c r="F285" s="1190">
        <f t="shared" si="17"/>
        <v>1650</v>
      </c>
      <c r="G285" s="1192" t="s">
        <v>3</v>
      </c>
      <c r="H285" s="1189">
        <v>4</v>
      </c>
      <c r="I285" s="1191" t="s">
        <v>40</v>
      </c>
      <c r="J285" s="149">
        <v>110</v>
      </c>
      <c r="K285" s="66">
        <v>400</v>
      </c>
      <c r="L285" s="66">
        <v>1650</v>
      </c>
      <c r="M285" s="156">
        <v>28.803618963091086</v>
      </c>
      <c r="N285" s="78">
        <v>1537.8695729471813</v>
      </c>
      <c r="O285" s="113">
        <v>51238.862141051301</v>
      </c>
      <c r="P285" s="111">
        <v>61055.330401348983</v>
      </c>
      <c r="Q285" s="254">
        <v>26810.908827497857</v>
      </c>
      <c r="R285" s="263">
        <v>78049.770968549157</v>
      </c>
      <c r="S285" s="259">
        <v>87866.23922884684</v>
      </c>
      <c r="U285" s="7" t="s">
        <v>5096</v>
      </c>
    </row>
    <row r="286" spans="1:21" ht="16.5" thickBot="1">
      <c r="A286" s="1188" t="s">
        <v>4533</v>
      </c>
      <c r="B286" s="1192">
        <f t="shared" si="15"/>
        <v>110</v>
      </c>
      <c r="C286" s="1192" t="s">
        <v>3</v>
      </c>
      <c r="D286" s="1192">
        <f t="shared" si="16"/>
        <v>400</v>
      </c>
      <c r="E286" s="1192" t="s">
        <v>3</v>
      </c>
      <c r="F286" s="1190">
        <f t="shared" si="17"/>
        <v>1700</v>
      </c>
      <c r="G286" s="1192" t="s">
        <v>3</v>
      </c>
      <c r="H286" s="1189">
        <v>4</v>
      </c>
      <c r="I286" s="1191" t="s">
        <v>40</v>
      </c>
      <c r="J286" s="149">
        <v>110</v>
      </c>
      <c r="K286" s="66">
        <v>400</v>
      </c>
      <c r="L286" s="66">
        <v>1700</v>
      </c>
      <c r="M286" s="156">
        <v>29.605846385193523</v>
      </c>
      <c r="N286" s="78">
        <v>1597.0184026759189</v>
      </c>
      <c r="O286" s="113">
        <v>52458.49971578113</v>
      </c>
      <c r="P286" s="111">
        <v>62506.149296696974</v>
      </c>
      <c r="Q286" s="254">
        <v>27467.515777227836</v>
      </c>
      <c r="R286" s="263">
        <v>79926.015493008963</v>
      </c>
      <c r="S286" s="259">
        <v>89973.665073924814</v>
      </c>
      <c r="U286" s="7" t="s">
        <v>5097</v>
      </c>
    </row>
    <row r="287" spans="1:21" ht="16.5" thickBot="1">
      <c r="A287" s="1188" t="s">
        <v>4533</v>
      </c>
      <c r="B287" s="1192">
        <f t="shared" si="15"/>
        <v>110</v>
      </c>
      <c r="C287" s="1192" t="s">
        <v>3</v>
      </c>
      <c r="D287" s="1192">
        <f t="shared" si="16"/>
        <v>400</v>
      </c>
      <c r="E287" s="1192" t="s">
        <v>3</v>
      </c>
      <c r="F287" s="1190">
        <f t="shared" si="17"/>
        <v>1750</v>
      </c>
      <c r="G287" s="1192" t="s">
        <v>3</v>
      </c>
      <c r="H287" s="1189">
        <v>4</v>
      </c>
      <c r="I287" s="1191" t="s">
        <v>40</v>
      </c>
      <c r="J287" s="149">
        <v>110</v>
      </c>
      <c r="K287" s="66">
        <v>400</v>
      </c>
      <c r="L287" s="66">
        <v>1750</v>
      </c>
      <c r="M287" s="156">
        <v>30.408073807295956</v>
      </c>
      <c r="N287" s="78">
        <v>1656.1672324046565</v>
      </c>
      <c r="O287" s="113">
        <v>53678.137290510975</v>
      </c>
      <c r="P287" s="111">
        <v>63956.968039016218</v>
      </c>
      <c r="Q287" s="254">
        <v>28375.457017770343</v>
      </c>
      <c r="R287" s="263">
        <v>82053.594308281317</v>
      </c>
      <c r="S287" s="259">
        <v>92332.425056786567</v>
      </c>
      <c r="U287" s="7" t="s">
        <v>5098</v>
      </c>
    </row>
    <row r="288" spans="1:21" ht="16.5" thickBot="1">
      <c r="A288" s="1188" t="s">
        <v>4533</v>
      </c>
      <c r="B288" s="1192">
        <f t="shared" si="15"/>
        <v>110</v>
      </c>
      <c r="C288" s="1192" t="s">
        <v>3</v>
      </c>
      <c r="D288" s="1192">
        <f t="shared" si="16"/>
        <v>400</v>
      </c>
      <c r="E288" s="1192" t="s">
        <v>3</v>
      </c>
      <c r="F288" s="1190">
        <f t="shared" si="17"/>
        <v>1800</v>
      </c>
      <c r="G288" s="1192" t="s">
        <v>3</v>
      </c>
      <c r="H288" s="1189">
        <v>4</v>
      </c>
      <c r="I288" s="1191" t="s">
        <v>40</v>
      </c>
      <c r="J288" s="149">
        <v>110</v>
      </c>
      <c r="K288" s="66">
        <v>400</v>
      </c>
      <c r="L288" s="66">
        <v>1800</v>
      </c>
      <c r="M288" s="156">
        <v>31.210301229398389</v>
      </c>
      <c r="N288" s="78">
        <v>1715.3160621333943</v>
      </c>
      <c r="O288" s="113">
        <v>54897.774865240805</v>
      </c>
      <c r="P288" s="111">
        <v>65407.786781335439</v>
      </c>
      <c r="Q288" s="254">
        <v>29032.063967500315</v>
      </c>
      <c r="R288" s="263">
        <v>83929.838832741123</v>
      </c>
      <c r="S288" s="259">
        <v>94439.850748835757</v>
      </c>
      <c r="U288" s="7" t="s">
        <v>5099</v>
      </c>
    </row>
    <row r="289" spans="1:21" ht="16.5" thickBot="1">
      <c r="A289" s="1188" t="s">
        <v>4533</v>
      </c>
      <c r="B289" s="1192">
        <f t="shared" si="15"/>
        <v>110</v>
      </c>
      <c r="C289" s="1192" t="s">
        <v>3</v>
      </c>
      <c r="D289" s="1192">
        <f t="shared" si="16"/>
        <v>400</v>
      </c>
      <c r="E289" s="1192" t="s">
        <v>3</v>
      </c>
      <c r="F289" s="1190">
        <f t="shared" si="17"/>
        <v>1850</v>
      </c>
      <c r="G289" s="1192" t="s">
        <v>3</v>
      </c>
      <c r="H289" s="1189">
        <v>4</v>
      </c>
      <c r="I289" s="1191" t="s">
        <v>40</v>
      </c>
      <c r="J289" s="149">
        <v>110</v>
      </c>
      <c r="K289" s="66">
        <v>400</v>
      </c>
      <c r="L289" s="66">
        <v>1850</v>
      </c>
      <c r="M289" s="156">
        <v>32.012528651500823</v>
      </c>
      <c r="N289" s="78">
        <v>1774.4648918621319</v>
      </c>
      <c r="O289" s="113">
        <v>56117.412286941879</v>
      </c>
      <c r="P289" s="111">
        <v>66858.605523654682</v>
      </c>
      <c r="Q289" s="254">
        <v>29940.005208042821</v>
      </c>
      <c r="R289" s="263">
        <v>86057.417494984693</v>
      </c>
      <c r="S289" s="259">
        <v>96798.610731697496</v>
      </c>
      <c r="U289" s="7" t="s">
        <v>5100</v>
      </c>
    </row>
    <row r="290" spans="1:21" ht="16.5" thickBot="1">
      <c r="A290" s="1188" t="s">
        <v>4533</v>
      </c>
      <c r="B290" s="1192">
        <f t="shared" si="15"/>
        <v>110</v>
      </c>
      <c r="C290" s="1192" t="s">
        <v>3</v>
      </c>
      <c r="D290" s="1192">
        <f t="shared" si="16"/>
        <v>400</v>
      </c>
      <c r="E290" s="1192" t="s">
        <v>3</v>
      </c>
      <c r="F290" s="1190">
        <f t="shared" si="17"/>
        <v>1900</v>
      </c>
      <c r="G290" s="1192" t="s">
        <v>3</v>
      </c>
      <c r="H290" s="1189">
        <v>4</v>
      </c>
      <c r="I290" s="1191" t="s">
        <v>40</v>
      </c>
      <c r="J290" s="149">
        <v>110</v>
      </c>
      <c r="K290" s="66">
        <v>400</v>
      </c>
      <c r="L290" s="66">
        <v>1900</v>
      </c>
      <c r="M290" s="156">
        <v>32.814756073603256</v>
      </c>
      <c r="N290" s="78">
        <v>1833.6137215908698</v>
      </c>
      <c r="O290" s="113">
        <v>57337.049861671709</v>
      </c>
      <c r="P290" s="111">
        <v>68309.42426597391</v>
      </c>
      <c r="Q290" s="254">
        <v>30596.612157772794</v>
      </c>
      <c r="R290" s="263">
        <v>87933.662019444499</v>
      </c>
      <c r="S290" s="259">
        <v>98906.0364237467</v>
      </c>
      <c r="U290" s="7" t="s">
        <v>5101</v>
      </c>
    </row>
    <row r="291" spans="1:21" ht="16.5" thickBot="1">
      <c r="A291" s="1188" t="s">
        <v>4533</v>
      </c>
      <c r="B291" s="1192">
        <f t="shared" si="15"/>
        <v>110</v>
      </c>
      <c r="C291" s="1192" t="s">
        <v>3</v>
      </c>
      <c r="D291" s="1192">
        <f t="shared" si="16"/>
        <v>400</v>
      </c>
      <c r="E291" s="1192" t="s">
        <v>3</v>
      </c>
      <c r="F291" s="1190">
        <f t="shared" si="17"/>
        <v>1950</v>
      </c>
      <c r="G291" s="1192" t="s">
        <v>3</v>
      </c>
      <c r="H291" s="1189">
        <v>4</v>
      </c>
      <c r="I291" s="1191" t="s">
        <v>40</v>
      </c>
      <c r="J291" s="149">
        <v>110</v>
      </c>
      <c r="K291" s="66">
        <v>400</v>
      </c>
      <c r="L291" s="66">
        <v>1950</v>
      </c>
      <c r="M291" s="156">
        <v>33.616983495705696</v>
      </c>
      <c r="N291" s="78">
        <v>1892.7625513196076</v>
      </c>
      <c r="O291" s="113">
        <v>58556.687436401538</v>
      </c>
      <c r="P291" s="111">
        <v>69760.243008293139</v>
      </c>
      <c r="Q291" s="254">
        <v>31253.219260531532</v>
      </c>
      <c r="R291" s="263">
        <v>89809.906696933074</v>
      </c>
      <c r="S291" s="259">
        <v>101013.46226882467</v>
      </c>
      <c r="U291" s="7" t="s">
        <v>5102</v>
      </c>
    </row>
    <row r="292" spans="1:21" ht="16.5" thickBot="1">
      <c r="A292" s="1188" t="s">
        <v>4533</v>
      </c>
      <c r="B292" s="1192">
        <f t="shared" si="15"/>
        <v>110</v>
      </c>
      <c r="C292" s="1192" t="s">
        <v>3</v>
      </c>
      <c r="D292" s="1192">
        <f t="shared" si="16"/>
        <v>400</v>
      </c>
      <c r="E292" s="1192" t="s">
        <v>3</v>
      </c>
      <c r="F292" s="1190">
        <f t="shared" si="17"/>
        <v>2000</v>
      </c>
      <c r="G292" s="1192" t="s">
        <v>3</v>
      </c>
      <c r="H292" s="1189">
        <v>4</v>
      </c>
      <c r="I292" s="1191" t="s">
        <v>40</v>
      </c>
      <c r="J292" s="149">
        <v>110</v>
      </c>
      <c r="K292" s="66">
        <v>400</v>
      </c>
      <c r="L292" s="66">
        <v>2000</v>
      </c>
      <c r="M292" s="156">
        <v>34.575282917808124</v>
      </c>
      <c r="N292" s="78">
        <v>1951.9113810483452</v>
      </c>
      <c r="O292" s="113">
        <v>60293.570806864729</v>
      </c>
      <c r="P292" s="111">
        <v>71401.307264444535</v>
      </c>
      <c r="Q292" s="254">
        <v>32161.160348045276</v>
      </c>
      <c r="R292" s="263">
        <v>92454.731154909998</v>
      </c>
      <c r="S292" s="259">
        <v>103562.46761248981</v>
      </c>
      <c r="U292" s="7" t="s">
        <v>5103</v>
      </c>
    </row>
    <row r="293" spans="1:21" ht="16.5" thickBot="1">
      <c r="A293" s="1188" t="s">
        <v>4533</v>
      </c>
      <c r="B293" s="1192">
        <f t="shared" si="15"/>
        <v>110</v>
      </c>
      <c r="C293" s="1192" t="s">
        <v>3</v>
      </c>
      <c r="D293" s="1192">
        <f t="shared" si="16"/>
        <v>400</v>
      </c>
      <c r="E293" s="1192" t="s">
        <v>3</v>
      </c>
      <c r="F293" s="1190">
        <f t="shared" si="17"/>
        <v>2050</v>
      </c>
      <c r="G293" s="1192" t="s">
        <v>3</v>
      </c>
      <c r="H293" s="1189">
        <v>4</v>
      </c>
      <c r="I293" s="1191" t="s">
        <v>40</v>
      </c>
      <c r="J293" s="149">
        <v>110</v>
      </c>
      <c r="K293" s="66">
        <v>400</v>
      </c>
      <c r="L293" s="66">
        <v>2050</v>
      </c>
      <c r="M293" s="156">
        <v>35.377510339910557</v>
      </c>
      <c r="N293" s="78">
        <v>2011.0602107770828</v>
      </c>
      <c r="O293" s="113">
        <v>61513.208381594559</v>
      </c>
      <c r="P293" s="111">
        <v>72852.126006763778</v>
      </c>
      <c r="Q293" s="254">
        <v>32817.767450804015</v>
      </c>
      <c r="R293" s="263">
        <v>94330.975832398573</v>
      </c>
      <c r="S293" s="259">
        <v>105669.89345756778</v>
      </c>
      <c r="U293" s="7" t="s">
        <v>5104</v>
      </c>
    </row>
    <row r="294" spans="1:21" ht="16.5" thickBot="1">
      <c r="A294" s="1188" t="s">
        <v>4533</v>
      </c>
      <c r="B294" s="1189">
        <f t="shared" si="15"/>
        <v>110</v>
      </c>
      <c r="C294" s="1189" t="s">
        <v>3</v>
      </c>
      <c r="D294" s="1189">
        <f t="shared" si="16"/>
        <v>400</v>
      </c>
      <c r="E294" s="1189" t="s">
        <v>3</v>
      </c>
      <c r="F294" s="1190">
        <f t="shared" si="17"/>
        <v>2100</v>
      </c>
      <c r="G294" s="1189" t="s">
        <v>3</v>
      </c>
      <c r="H294" s="1189">
        <v>4</v>
      </c>
      <c r="I294" s="1191" t="s">
        <v>40</v>
      </c>
      <c r="J294" s="149">
        <v>110</v>
      </c>
      <c r="K294" s="66">
        <v>400</v>
      </c>
      <c r="L294" s="66">
        <v>2100</v>
      </c>
      <c r="M294" s="156">
        <v>36.179737762012991</v>
      </c>
      <c r="N294" s="78">
        <v>2070.2090405058207</v>
      </c>
      <c r="O294" s="113">
        <v>62732.845956324389</v>
      </c>
      <c r="P294" s="111">
        <v>74302.944749082992</v>
      </c>
      <c r="Q294" s="254">
        <v>33725.708538317755</v>
      </c>
      <c r="R294" s="263">
        <v>96458.554494642143</v>
      </c>
      <c r="S294" s="259">
        <v>108028.65328740075</v>
      </c>
      <c r="U294" s="7" t="s">
        <v>5105</v>
      </c>
    </row>
    <row r="295" spans="1:21" ht="16.5" thickBot="1">
      <c r="A295" s="1188" t="s">
        <v>4533</v>
      </c>
      <c r="B295" s="1192">
        <f t="shared" si="15"/>
        <v>110</v>
      </c>
      <c r="C295" s="1192" t="s">
        <v>3</v>
      </c>
      <c r="D295" s="1192">
        <f t="shared" si="16"/>
        <v>400</v>
      </c>
      <c r="E295" s="1192" t="s">
        <v>3</v>
      </c>
      <c r="F295" s="1190">
        <f t="shared" si="17"/>
        <v>2150</v>
      </c>
      <c r="G295" s="1192" t="s">
        <v>3</v>
      </c>
      <c r="H295" s="1189">
        <v>4</v>
      </c>
      <c r="I295" s="1191" t="s">
        <v>40</v>
      </c>
      <c r="J295" s="149">
        <v>110</v>
      </c>
      <c r="K295" s="66">
        <v>400</v>
      </c>
      <c r="L295" s="66">
        <v>2150</v>
      </c>
      <c r="M295" s="156">
        <v>36.981965184115431</v>
      </c>
      <c r="N295" s="78">
        <v>2129.3578702345585</v>
      </c>
      <c r="O295" s="113">
        <v>63952.483531054226</v>
      </c>
      <c r="P295" s="111">
        <v>75753.763491402235</v>
      </c>
      <c r="Q295" s="254">
        <v>34382.315641076493</v>
      </c>
      <c r="R295" s="263">
        <v>98334.799172130719</v>
      </c>
      <c r="S295" s="259">
        <v>110136.07913247873</v>
      </c>
      <c r="U295" s="7" t="s">
        <v>5106</v>
      </c>
    </row>
    <row r="296" spans="1:21" ht="16.5" thickBot="1">
      <c r="A296" s="1188" t="s">
        <v>4533</v>
      </c>
      <c r="B296" s="1192">
        <f t="shared" si="15"/>
        <v>110</v>
      </c>
      <c r="C296" s="1192" t="s">
        <v>3</v>
      </c>
      <c r="D296" s="1192">
        <f t="shared" si="16"/>
        <v>400</v>
      </c>
      <c r="E296" s="1192" t="s">
        <v>3</v>
      </c>
      <c r="F296" s="1190">
        <f t="shared" si="17"/>
        <v>2200</v>
      </c>
      <c r="G296" s="1192" t="s">
        <v>3</v>
      </c>
      <c r="H296" s="1189">
        <v>4</v>
      </c>
      <c r="I296" s="1191" t="s">
        <v>40</v>
      </c>
      <c r="J296" s="149">
        <v>110</v>
      </c>
      <c r="K296" s="66">
        <v>400</v>
      </c>
      <c r="L296" s="66">
        <v>2200</v>
      </c>
      <c r="M296" s="156">
        <v>37.784192606217864</v>
      </c>
      <c r="N296" s="78">
        <v>2188.5066999632963</v>
      </c>
      <c r="O296" s="113">
        <v>65172.121105784056</v>
      </c>
      <c r="P296" s="111">
        <v>77204.582233721463</v>
      </c>
      <c r="Q296" s="254">
        <v>35290.256728590233</v>
      </c>
      <c r="R296" s="263">
        <v>100462.37783437429</v>
      </c>
      <c r="S296" s="259">
        <v>112494.8389623117</v>
      </c>
      <c r="U296" s="7" t="s">
        <v>5107</v>
      </c>
    </row>
    <row r="297" spans="1:21" ht="16.5" thickBot="1">
      <c r="A297" s="1188" t="s">
        <v>4533</v>
      </c>
      <c r="B297" s="1192">
        <f t="shared" si="15"/>
        <v>110</v>
      </c>
      <c r="C297" s="1192" t="s">
        <v>3</v>
      </c>
      <c r="D297" s="1192">
        <f t="shared" si="16"/>
        <v>400</v>
      </c>
      <c r="E297" s="1192" t="s">
        <v>3</v>
      </c>
      <c r="F297" s="1190">
        <f t="shared" si="17"/>
        <v>2250</v>
      </c>
      <c r="G297" s="1192" t="s">
        <v>3</v>
      </c>
      <c r="H297" s="1189">
        <v>4</v>
      </c>
      <c r="I297" s="1191" t="s">
        <v>40</v>
      </c>
      <c r="J297" s="149">
        <v>110</v>
      </c>
      <c r="K297" s="66">
        <v>400</v>
      </c>
      <c r="L297" s="66">
        <v>2250</v>
      </c>
      <c r="M297" s="156">
        <v>38.586420028320298</v>
      </c>
      <c r="N297" s="78">
        <v>2247.6555296920337</v>
      </c>
      <c r="O297" s="113">
        <v>66391.758680513885</v>
      </c>
      <c r="P297" s="111">
        <v>78655.400976040692</v>
      </c>
      <c r="Q297" s="254">
        <v>35946.863831348819</v>
      </c>
      <c r="R297" s="263">
        <v>102338.6225118627</v>
      </c>
      <c r="S297" s="259">
        <v>114602.26480738951</v>
      </c>
      <c r="U297" s="7" t="s">
        <v>5108</v>
      </c>
    </row>
    <row r="298" spans="1:21" ht="16.5" thickBot="1">
      <c r="A298" s="1188" t="s">
        <v>4533</v>
      </c>
      <c r="B298" s="1192">
        <f t="shared" si="15"/>
        <v>110</v>
      </c>
      <c r="C298" s="1192" t="s">
        <v>3</v>
      </c>
      <c r="D298" s="1192">
        <f t="shared" si="16"/>
        <v>400</v>
      </c>
      <c r="E298" s="1192" t="s">
        <v>3</v>
      </c>
      <c r="F298" s="1190">
        <f t="shared" si="17"/>
        <v>2300</v>
      </c>
      <c r="G298" s="1192" t="s">
        <v>3</v>
      </c>
      <c r="H298" s="1189">
        <v>4</v>
      </c>
      <c r="I298" s="1191" t="s">
        <v>40</v>
      </c>
      <c r="J298" s="149">
        <v>110</v>
      </c>
      <c r="K298" s="66">
        <v>400</v>
      </c>
      <c r="L298" s="66">
        <v>2300</v>
      </c>
      <c r="M298" s="156">
        <v>39.388647450422724</v>
      </c>
      <c r="N298" s="78">
        <v>2306.8043594207716</v>
      </c>
      <c r="O298" s="113">
        <v>67611.39625524373</v>
      </c>
      <c r="P298" s="111">
        <v>80106.219718359935</v>
      </c>
      <c r="Q298" s="254">
        <v>36603.470781078948</v>
      </c>
      <c r="R298" s="263">
        <v>104214.86703632268</v>
      </c>
      <c r="S298" s="259">
        <v>116709.69049943888</v>
      </c>
      <c r="U298" s="7" t="s">
        <v>5109</v>
      </c>
    </row>
    <row r="299" spans="1:21" ht="16.5" thickBot="1">
      <c r="A299" s="1188" t="s">
        <v>4533</v>
      </c>
      <c r="B299" s="1192">
        <f t="shared" si="15"/>
        <v>110</v>
      </c>
      <c r="C299" s="1192" t="s">
        <v>3</v>
      </c>
      <c r="D299" s="1192">
        <f t="shared" si="16"/>
        <v>400</v>
      </c>
      <c r="E299" s="1192" t="s">
        <v>3</v>
      </c>
      <c r="F299" s="1190">
        <f t="shared" si="17"/>
        <v>2350</v>
      </c>
      <c r="G299" s="1192" t="s">
        <v>3</v>
      </c>
      <c r="H299" s="1189">
        <v>4</v>
      </c>
      <c r="I299" s="1191" t="s">
        <v>40</v>
      </c>
      <c r="J299" s="149">
        <v>110</v>
      </c>
      <c r="K299" s="66">
        <v>400</v>
      </c>
      <c r="L299" s="66">
        <v>2350</v>
      </c>
      <c r="M299" s="156">
        <v>40.190874872525171</v>
      </c>
      <c r="N299" s="78">
        <v>2365.9531891495094</v>
      </c>
      <c r="O299" s="113">
        <v>68831.033829973559</v>
      </c>
      <c r="P299" s="111">
        <v>81557.038613707933</v>
      </c>
      <c r="Q299" s="254">
        <v>37511.412021621458</v>
      </c>
      <c r="R299" s="263">
        <v>106342.44585159502</v>
      </c>
      <c r="S299" s="259">
        <v>119068.45063532938</v>
      </c>
      <c r="U299" s="7" t="s">
        <v>5110</v>
      </c>
    </row>
    <row r="300" spans="1:21" ht="16.5" thickBot="1">
      <c r="A300" s="1188" t="s">
        <v>4533</v>
      </c>
      <c r="B300" s="1192">
        <f t="shared" si="15"/>
        <v>110</v>
      </c>
      <c r="C300" s="1192" t="s">
        <v>3</v>
      </c>
      <c r="D300" s="1192">
        <f t="shared" si="16"/>
        <v>400</v>
      </c>
      <c r="E300" s="1192" t="s">
        <v>3</v>
      </c>
      <c r="F300" s="1190">
        <f t="shared" si="17"/>
        <v>2400</v>
      </c>
      <c r="G300" s="1192" t="s">
        <v>3</v>
      </c>
      <c r="H300" s="1189">
        <v>4</v>
      </c>
      <c r="I300" s="1191" t="s">
        <v>40</v>
      </c>
      <c r="J300" s="149">
        <v>110</v>
      </c>
      <c r="K300" s="66">
        <v>400</v>
      </c>
      <c r="L300" s="66">
        <v>2400</v>
      </c>
      <c r="M300" s="156">
        <v>40.993102294627597</v>
      </c>
      <c r="N300" s="78">
        <v>2425.1020188782468</v>
      </c>
      <c r="O300" s="113">
        <v>70050.671251674634</v>
      </c>
      <c r="P300" s="111">
        <v>83007.857356027147</v>
      </c>
      <c r="Q300" s="254">
        <v>38168.019124380196</v>
      </c>
      <c r="R300" s="263">
        <v>108218.69037605483</v>
      </c>
      <c r="S300" s="259">
        <v>121175.87648040734</v>
      </c>
      <c r="U300" s="7" t="s">
        <v>5111</v>
      </c>
    </row>
    <row r="301" spans="1:21" ht="16.5" thickBot="1">
      <c r="A301" s="1188" t="s">
        <v>4533</v>
      </c>
      <c r="B301" s="1192">
        <f t="shared" si="15"/>
        <v>110</v>
      </c>
      <c r="C301" s="1192" t="s">
        <v>3</v>
      </c>
      <c r="D301" s="1192">
        <f t="shared" si="16"/>
        <v>400</v>
      </c>
      <c r="E301" s="1192" t="s">
        <v>3</v>
      </c>
      <c r="F301" s="1190">
        <f t="shared" si="17"/>
        <v>2450</v>
      </c>
      <c r="G301" s="1192" t="s">
        <v>3</v>
      </c>
      <c r="H301" s="1189">
        <v>4</v>
      </c>
      <c r="I301" s="1191" t="s">
        <v>40</v>
      </c>
      <c r="J301" s="149">
        <v>110</v>
      </c>
      <c r="K301" s="66">
        <v>400</v>
      </c>
      <c r="L301" s="66">
        <v>2450</v>
      </c>
      <c r="M301" s="156">
        <v>41.795329716730031</v>
      </c>
      <c r="N301" s="78">
        <v>2484.2508486069851</v>
      </c>
      <c r="O301" s="113">
        <v>71270.308826404464</v>
      </c>
      <c r="P301" s="111">
        <v>84458.67609834639</v>
      </c>
      <c r="Q301" s="254">
        <v>39075.960211893937</v>
      </c>
      <c r="R301" s="263">
        <v>110346.2690382984</v>
      </c>
      <c r="S301" s="259">
        <v>123534.63631024033</v>
      </c>
      <c r="U301" s="7" t="s">
        <v>5112</v>
      </c>
    </row>
    <row r="302" spans="1:21" ht="16.5" thickBot="1">
      <c r="A302" s="1188" t="s">
        <v>4533</v>
      </c>
      <c r="B302" s="1192">
        <f t="shared" si="15"/>
        <v>110</v>
      </c>
      <c r="C302" s="1192" t="s">
        <v>3</v>
      </c>
      <c r="D302" s="1192">
        <f t="shared" si="16"/>
        <v>400</v>
      </c>
      <c r="E302" s="1192" t="s">
        <v>3</v>
      </c>
      <c r="F302" s="1190">
        <f t="shared" si="17"/>
        <v>2500</v>
      </c>
      <c r="G302" s="1192" t="s">
        <v>3</v>
      </c>
      <c r="H302" s="1189">
        <v>4</v>
      </c>
      <c r="I302" s="1191" t="s">
        <v>40</v>
      </c>
      <c r="J302" s="149">
        <v>110</v>
      </c>
      <c r="K302" s="66">
        <v>400</v>
      </c>
      <c r="L302" s="66">
        <v>2500</v>
      </c>
      <c r="M302" s="156">
        <v>43.058271938832462</v>
      </c>
      <c r="N302" s="78">
        <v>2543.3996783357225</v>
      </c>
      <c r="O302" s="113">
        <v>73406.057082302999</v>
      </c>
      <c r="P302" s="111">
        <v>87115.014593640095</v>
      </c>
      <c r="Q302" s="254">
        <v>39732.567314652675</v>
      </c>
      <c r="R302" s="263">
        <v>113138.62439695568</v>
      </c>
      <c r="S302" s="259">
        <v>126847.58190829278</v>
      </c>
      <c r="U302" s="7" t="s">
        <v>5113</v>
      </c>
    </row>
    <row r="303" spans="1:21" ht="16.5" thickBot="1">
      <c r="A303" s="1188" t="s">
        <v>4533</v>
      </c>
      <c r="B303" s="1192">
        <f t="shared" si="15"/>
        <v>110</v>
      </c>
      <c r="C303" s="1192" t="s">
        <v>3</v>
      </c>
      <c r="D303" s="1192">
        <f t="shared" si="16"/>
        <v>400</v>
      </c>
      <c r="E303" s="1192" t="s">
        <v>3</v>
      </c>
      <c r="F303" s="1190">
        <f t="shared" si="17"/>
        <v>2550</v>
      </c>
      <c r="G303" s="1192" t="s">
        <v>3</v>
      </c>
      <c r="H303" s="1189">
        <v>4</v>
      </c>
      <c r="I303" s="1191" t="s">
        <v>40</v>
      </c>
      <c r="J303" s="149">
        <v>110</v>
      </c>
      <c r="K303" s="66">
        <v>400</v>
      </c>
      <c r="L303" s="66">
        <v>2550</v>
      </c>
      <c r="M303" s="156">
        <v>43.860499360934909</v>
      </c>
      <c r="N303" s="78">
        <v>2602.5485080644607</v>
      </c>
      <c r="O303" s="113">
        <v>75023.088323920281</v>
      </c>
      <c r="P303" s="111">
        <v>88581.136212471814</v>
      </c>
      <c r="Q303" s="254">
        <v>40640.508402166415</v>
      </c>
      <c r="R303" s="263">
        <v>115663.59672608669</v>
      </c>
      <c r="S303" s="259">
        <v>129221.64461463824</v>
      </c>
      <c r="U303" s="7" t="s">
        <v>5114</v>
      </c>
    </row>
    <row r="304" spans="1:21" ht="16.5" thickBot="1">
      <c r="A304" s="1188" t="s">
        <v>4533</v>
      </c>
      <c r="B304" s="1189">
        <f t="shared" si="15"/>
        <v>110</v>
      </c>
      <c r="C304" s="1189" t="s">
        <v>3</v>
      </c>
      <c r="D304" s="1189">
        <f t="shared" si="16"/>
        <v>400</v>
      </c>
      <c r="E304" s="1189" t="s">
        <v>3</v>
      </c>
      <c r="F304" s="1190">
        <f t="shared" si="17"/>
        <v>2600</v>
      </c>
      <c r="G304" s="1189" t="s">
        <v>3</v>
      </c>
      <c r="H304" s="1189">
        <v>4</v>
      </c>
      <c r="I304" s="1191" t="s">
        <v>40</v>
      </c>
      <c r="J304" s="149">
        <v>110</v>
      </c>
      <c r="K304" s="66">
        <v>400</v>
      </c>
      <c r="L304" s="66">
        <v>2600</v>
      </c>
      <c r="M304" s="156">
        <v>44.662726783037343</v>
      </c>
      <c r="N304" s="78">
        <v>2661.6973377931981</v>
      </c>
      <c r="O304" s="113">
        <v>76242.725898650126</v>
      </c>
      <c r="P304" s="111">
        <v>90031.954954791043</v>
      </c>
      <c r="Q304" s="254">
        <v>41297.115504925154</v>
      </c>
      <c r="R304" s="263">
        <v>117539.84140357528</v>
      </c>
      <c r="S304" s="259">
        <v>131329.0704597162</v>
      </c>
      <c r="U304" s="7" t="s">
        <v>5115</v>
      </c>
    </row>
    <row r="305" spans="1:21" ht="16.5" thickBot="1">
      <c r="A305" s="1188" t="s">
        <v>4533</v>
      </c>
      <c r="B305" s="1192">
        <f t="shared" si="15"/>
        <v>110</v>
      </c>
      <c r="C305" s="1192" t="s">
        <v>3</v>
      </c>
      <c r="D305" s="1192">
        <f t="shared" si="16"/>
        <v>400</v>
      </c>
      <c r="E305" s="1192" t="s">
        <v>3</v>
      </c>
      <c r="F305" s="1190">
        <f t="shared" si="17"/>
        <v>2650</v>
      </c>
      <c r="G305" s="1192" t="s">
        <v>3</v>
      </c>
      <c r="H305" s="1189">
        <v>4</v>
      </c>
      <c r="I305" s="1191" t="s">
        <v>40</v>
      </c>
      <c r="J305" s="149">
        <v>110</v>
      </c>
      <c r="K305" s="66">
        <v>400</v>
      </c>
      <c r="L305" s="66">
        <v>2650</v>
      </c>
      <c r="M305" s="156">
        <v>45.464954205139776</v>
      </c>
      <c r="N305" s="78">
        <v>2720.8461675219355</v>
      </c>
      <c r="O305" s="113">
        <v>77462.363473379955</v>
      </c>
      <c r="P305" s="111">
        <v>91482.773697110271</v>
      </c>
      <c r="Q305" s="254">
        <v>42205.056592438901</v>
      </c>
      <c r="R305" s="263">
        <v>119667.42006581885</v>
      </c>
      <c r="S305" s="259">
        <v>133687.83028954917</v>
      </c>
      <c r="U305" s="7" t="s">
        <v>5116</v>
      </c>
    </row>
    <row r="306" spans="1:21" ht="16.5" thickBot="1">
      <c r="A306" s="1188" t="s">
        <v>4533</v>
      </c>
      <c r="B306" s="1192">
        <f t="shared" si="15"/>
        <v>110</v>
      </c>
      <c r="C306" s="1192" t="s">
        <v>3</v>
      </c>
      <c r="D306" s="1192">
        <f t="shared" si="16"/>
        <v>400</v>
      </c>
      <c r="E306" s="1192" t="s">
        <v>3</v>
      </c>
      <c r="F306" s="1190">
        <f t="shared" si="17"/>
        <v>2700</v>
      </c>
      <c r="G306" s="1192" t="s">
        <v>3</v>
      </c>
      <c r="H306" s="1189">
        <v>4</v>
      </c>
      <c r="I306" s="1191" t="s">
        <v>40</v>
      </c>
      <c r="J306" s="149">
        <v>110</v>
      </c>
      <c r="K306" s="66">
        <v>400</v>
      </c>
      <c r="L306" s="66">
        <v>2700</v>
      </c>
      <c r="M306" s="156">
        <v>46.267181627242209</v>
      </c>
      <c r="N306" s="78">
        <v>2779.9949972506738</v>
      </c>
      <c r="O306" s="113">
        <v>78682.001048109785</v>
      </c>
      <c r="P306" s="111">
        <v>92933.592439429514</v>
      </c>
      <c r="Q306" s="254">
        <v>42861.66369519764</v>
      </c>
      <c r="R306" s="263">
        <v>121543.66474330742</v>
      </c>
      <c r="S306" s="259">
        <v>135795.25613462715</v>
      </c>
      <c r="U306" s="7" t="s">
        <v>5117</v>
      </c>
    </row>
    <row r="307" spans="1:21" ht="16.5" thickBot="1">
      <c r="A307" s="1188" t="s">
        <v>4533</v>
      </c>
      <c r="B307" s="1192">
        <f t="shared" si="15"/>
        <v>110</v>
      </c>
      <c r="C307" s="1192" t="s">
        <v>3</v>
      </c>
      <c r="D307" s="1192">
        <f t="shared" si="16"/>
        <v>400</v>
      </c>
      <c r="E307" s="1192" t="s">
        <v>3</v>
      </c>
      <c r="F307" s="1190">
        <f t="shared" si="17"/>
        <v>2750</v>
      </c>
      <c r="G307" s="1192" t="s">
        <v>3</v>
      </c>
      <c r="H307" s="1189">
        <v>4</v>
      </c>
      <c r="I307" s="1191" t="s">
        <v>40</v>
      </c>
      <c r="J307" s="149">
        <v>110</v>
      </c>
      <c r="K307" s="66">
        <v>400</v>
      </c>
      <c r="L307" s="66">
        <v>2750</v>
      </c>
      <c r="M307" s="156">
        <v>47.069409049344635</v>
      </c>
      <c r="N307" s="78">
        <v>2839.1438269794112</v>
      </c>
      <c r="O307" s="113">
        <v>79901.638622839455</v>
      </c>
      <c r="P307" s="111">
        <v>94384.411181748743</v>
      </c>
      <c r="Q307" s="254">
        <v>43518.270644927608</v>
      </c>
      <c r="R307" s="263">
        <v>123419.90926776707</v>
      </c>
      <c r="S307" s="259">
        <v>137902.68182667636</v>
      </c>
      <c r="U307" s="7" t="s">
        <v>5118</v>
      </c>
    </row>
    <row r="308" spans="1:21" ht="16.5" thickBot="1">
      <c r="A308" s="1188" t="s">
        <v>4533</v>
      </c>
      <c r="B308" s="1192">
        <f t="shared" si="15"/>
        <v>110</v>
      </c>
      <c r="C308" s="1192" t="s">
        <v>3</v>
      </c>
      <c r="D308" s="1192">
        <f t="shared" si="16"/>
        <v>400</v>
      </c>
      <c r="E308" s="1192" t="s">
        <v>3</v>
      </c>
      <c r="F308" s="1190">
        <f t="shared" si="17"/>
        <v>2800</v>
      </c>
      <c r="G308" s="1192" t="s">
        <v>3</v>
      </c>
      <c r="H308" s="1189">
        <v>4</v>
      </c>
      <c r="I308" s="1191" t="s">
        <v>40</v>
      </c>
      <c r="J308" s="149">
        <v>110</v>
      </c>
      <c r="K308" s="66">
        <v>400</v>
      </c>
      <c r="L308" s="66">
        <v>2800</v>
      </c>
      <c r="M308" s="156">
        <v>47.87163647144709</v>
      </c>
      <c r="N308" s="78">
        <v>2898.292656708149</v>
      </c>
      <c r="O308" s="113">
        <v>81121.276197569445</v>
      </c>
      <c r="P308" s="111">
        <v>95835.230077096741</v>
      </c>
      <c r="Q308" s="254">
        <v>44426.211885470118</v>
      </c>
      <c r="R308" s="263">
        <v>125547.48808303956</v>
      </c>
      <c r="S308" s="259">
        <v>140261.44196256687</v>
      </c>
      <c r="U308" s="7" t="s">
        <v>5119</v>
      </c>
    </row>
    <row r="309" spans="1:21" ht="16.5" thickBot="1">
      <c r="A309" s="1188" t="s">
        <v>4533</v>
      </c>
      <c r="B309" s="1192">
        <f t="shared" si="15"/>
        <v>110</v>
      </c>
      <c r="C309" s="1192" t="s">
        <v>3</v>
      </c>
      <c r="D309" s="1192">
        <f t="shared" si="16"/>
        <v>400</v>
      </c>
      <c r="E309" s="1192" t="s">
        <v>3</v>
      </c>
      <c r="F309" s="1190">
        <f t="shared" si="17"/>
        <v>2850</v>
      </c>
      <c r="G309" s="1192" t="s">
        <v>3</v>
      </c>
      <c r="H309" s="1189">
        <v>4</v>
      </c>
      <c r="I309" s="1191" t="s">
        <v>40</v>
      </c>
      <c r="J309" s="149">
        <v>110</v>
      </c>
      <c r="K309" s="66">
        <v>400</v>
      </c>
      <c r="L309" s="66">
        <v>2850</v>
      </c>
      <c r="M309" s="156">
        <v>48.673863893549509</v>
      </c>
      <c r="N309" s="78">
        <v>2957.4414864368869</v>
      </c>
      <c r="O309" s="113">
        <v>82340.913619270519</v>
      </c>
      <c r="P309" s="111">
        <v>97286.04881941597</v>
      </c>
      <c r="Q309" s="254">
        <v>45082.818835200087</v>
      </c>
      <c r="R309" s="263">
        <v>127423.73245447061</v>
      </c>
      <c r="S309" s="259">
        <v>142368.86765461607</v>
      </c>
      <c r="U309" s="7" t="s">
        <v>5120</v>
      </c>
    </row>
    <row r="310" spans="1:21" ht="16.5" thickBot="1">
      <c r="A310" s="1188" t="s">
        <v>4533</v>
      </c>
      <c r="B310" s="1192">
        <f t="shared" si="15"/>
        <v>110</v>
      </c>
      <c r="C310" s="1192" t="s">
        <v>3</v>
      </c>
      <c r="D310" s="1192">
        <f t="shared" si="16"/>
        <v>400</v>
      </c>
      <c r="E310" s="1192" t="s">
        <v>3</v>
      </c>
      <c r="F310" s="1190">
        <f t="shared" si="17"/>
        <v>2900</v>
      </c>
      <c r="G310" s="1192" t="s">
        <v>3</v>
      </c>
      <c r="H310" s="1189">
        <v>4</v>
      </c>
      <c r="I310" s="1191" t="s">
        <v>40</v>
      </c>
      <c r="J310" s="149">
        <v>110</v>
      </c>
      <c r="K310" s="66">
        <v>400</v>
      </c>
      <c r="L310" s="66">
        <v>2900</v>
      </c>
      <c r="M310" s="156">
        <v>49.476091315651935</v>
      </c>
      <c r="N310" s="78">
        <v>3016.5903161656242</v>
      </c>
      <c r="O310" s="113">
        <v>83560.551194000349</v>
      </c>
      <c r="P310" s="111">
        <v>98736.867561735213</v>
      </c>
      <c r="Q310" s="254">
        <v>45990.760075742597</v>
      </c>
      <c r="R310" s="263">
        <v>129551.31126974295</v>
      </c>
      <c r="S310" s="259">
        <v>144727.62763747782</v>
      </c>
      <c r="U310" s="7" t="s">
        <v>5121</v>
      </c>
    </row>
    <row r="311" spans="1:21" ht="16.5" thickBot="1">
      <c r="A311" s="1188" t="s">
        <v>4533</v>
      </c>
      <c r="B311" s="1192">
        <f t="shared" si="15"/>
        <v>110</v>
      </c>
      <c r="C311" s="1192" t="s">
        <v>3</v>
      </c>
      <c r="D311" s="1192">
        <f t="shared" si="16"/>
        <v>400</v>
      </c>
      <c r="E311" s="1192" t="s">
        <v>3</v>
      </c>
      <c r="F311" s="1190">
        <f t="shared" si="17"/>
        <v>2950</v>
      </c>
      <c r="G311" s="1192" t="s">
        <v>3</v>
      </c>
      <c r="H311" s="1189">
        <v>4</v>
      </c>
      <c r="I311" s="1191" t="s">
        <v>40</v>
      </c>
      <c r="J311" s="149">
        <v>110</v>
      </c>
      <c r="K311" s="66">
        <v>400</v>
      </c>
      <c r="L311" s="66">
        <v>2950</v>
      </c>
      <c r="M311" s="156">
        <v>50.27831873775439</v>
      </c>
      <c r="N311" s="78">
        <v>3075.7391458943625</v>
      </c>
      <c r="O311" s="113">
        <v>84780.188768730179</v>
      </c>
      <c r="P311" s="111">
        <v>100187.68630405443</v>
      </c>
      <c r="Q311" s="254">
        <v>46647.367025472573</v>
      </c>
      <c r="R311" s="263">
        <v>131427.55579420275</v>
      </c>
      <c r="S311" s="259">
        <v>146835.053329527</v>
      </c>
      <c r="U311" s="7" t="s">
        <v>5122</v>
      </c>
    </row>
    <row r="312" spans="1:21" ht="16.5" thickBot="1">
      <c r="A312" s="1188" t="s">
        <v>4533</v>
      </c>
      <c r="B312" s="1192">
        <f t="shared" si="15"/>
        <v>110</v>
      </c>
      <c r="C312" s="1192" t="s">
        <v>3</v>
      </c>
      <c r="D312" s="1192">
        <f t="shared" si="16"/>
        <v>400</v>
      </c>
      <c r="E312" s="1192" t="s">
        <v>3</v>
      </c>
      <c r="F312" s="1190">
        <f t="shared" si="17"/>
        <v>3000</v>
      </c>
      <c r="G312" s="1192" t="s">
        <v>3</v>
      </c>
      <c r="H312" s="1189">
        <v>4</v>
      </c>
      <c r="I312" s="1191" t="s">
        <v>40</v>
      </c>
      <c r="J312" s="151">
        <v>110</v>
      </c>
      <c r="K312" s="126">
        <v>400</v>
      </c>
      <c r="L312" s="126">
        <v>3000</v>
      </c>
      <c r="M312" s="157">
        <v>51.392690159856812</v>
      </c>
      <c r="N312" s="127">
        <v>3134.8879756230999</v>
      </c>
      <c r="O312" s="128">
        <v>86302.700875395429</v>
      </c>
      <c r="P312" s="135">
        <v>101941.37957830906</v>
      </c>
      <c r="Q312" s="255">
        <v>47555.308266015076</v>
      </c>
      <c r="R312" s="264">
        <v>133858.0091414105</v>
      </c>
      <c r="S312" s="261">
        <v>149496.68784432413</v>
      </c>
      <c r="U312" s="7" t="s">
        <v>5123</v>
      </c>
    </row>
  </sheetData>
  <mergeCells count="21">
    <mergeCell ref="A58:S58"/>
    <mergeCell ref="A4:I6"/>
    <mergeCell ref="J4:M5"/>
    <mergeCell ref="N4:N6"/>
    <mergeCell ref="O4:O5"/>
    <mergeCell ref="P4:P5"/>
    <mergeCell ref="Q4:Q5"/>
    <mergeCell ref="R4:R5"/>
    <mergeCell ref="S4:S5"/>
    <mergeCell ref="O6:S6"/>
    <mergeCell ref="A7:S7"/>
    <mergeCell ref="A8:S8"/>
    <mergeCell ref="A212:S212"/>
    <mergeCell ref="A262:S262"/>
    <mergeCell ref="A263:S263"/>
    <mergeCell ref="A59:S59"/>
    <mergeCell ref="A109:S109"/>
    <mergeCell ref="A110:S110"/>
    <mergeCell ref="A160:S160"/>
    <mergeCell ref="A161:S161"/>
    <mergeCell ref="A211:S211"/>
  </mergeCells>
  <hyperlinks>
    <hyperlink ref="A1:I1" location="Главная!A1" display="Вернуться на главную страницу" xr:uid="{442A83A3-081F-4C5D-BB46-3CECFC40EB53}"/>
    <hyperlink ref="A2" location="'Калькулятор теплоотдач ВК'!R1C1" display="Вернуться Калькулятор теплоотдач ВК" xr:uid="{A820E1DD-3B1E-4D5D-8A16-50D4B89E5BD5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BF773-9125-4D44-BE76-AFEE5DA08D70}">
  <sheetPr>
    <tabColor rgb="FFFF9900"/>
  </sheetPr>
  <dimension ref="A1:U312"/>
  <sheetViews>
    <sheetView zoomScale="70" zoomScaleNormal="70" workbookViewId="0">
      <pane ySplit="6" topLeftCell="A7" activePane="bottomLeft" state="frozen"/>
      <selection pane="bottomLeft" activeCell="AA6" sqref="AA6"/>
    </sheetView>
  </sheetViews>
  <sheetFormatPr defaultRowHeight="15"/>
  <cols>
    <col min="1" max="1" width="10" customWidth="1"/>
    <col min="2" max="2" width="6" customWidth="1"/>
    <col min="3" max="3" width="3" customWidth="1"/>
    <col min="4" max="4" width="6" customWidth="1"/>
    <col min="5" max="5" width="3" customWidth="1"/>
    <col min="6" max="6" width="7.7109375" customWidth="1"/>
    <col min="7" max="7" width="3" customWidth="1"/>
    <col min="8" max="8" width="6" customWidth="1"/>
    <col min="9" max="9" width="4.5703125" customWidth="1"/>
    <col min="10" max="12" width="11.28515625" customWidth="1"/>
    <col min="13" max="13" width="15.5703125" customWidth="1"/>
    <col min="14" max="14" width="19.140625" customWidth="1"/>
    <col min="15" max="16" width="27.7109375" customWidth="1"/>
    <col min="17" max="17" width="26.28515625" customWidth="1"/>
    <col min="18" max="19" width="27.7109375" customWidth="1"/>
    <col min="21" max="21" width="27.140625" customWidth="1"/>
  </cols>
  <sheetData>
    <row r="1" spans="1:21" ht="15.75">
      <c r="A1" s="1183" t="s">
        <v>9</v>
      </c>
      <c r="B1" s="1183"/>
      <c r="C1" s="1183"/>
      <c r="D1" s="1183"/>
      <c r="E1" s="1183"/>
      <c r="F1" s="88"/>
      <c r="G1" s="1183"/>
      <c r="H1" s="1183"/>
      <c r="I1" s="1183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ht="15.75">
      <c r="A2" s="895" t="s">
        <v>346</v>
      </c>
      <c r="B2" s="1183"/>
      <c r="C2" s="1183"/>
      <c r="D2" s="1183"/>
      <c r="E2" s="1183"/>
      <c r="F2" s="88"/>
      <c r="G2" s="1183"/>
      <c r="H2" s="1183"/>
      <c r="I2" s="1183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ht="16.5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  <c r="U3" s="65"/>
    </row>
    <row r="4" spans="1:21" ht="69.75" customHeight="1">
      <c r="A4" s="3053" t="s">
        <v>8</v>
      </c>
      <c r="B4" s="3054"/>
      <c r="C4" s="3054"/>
      <c r="D4" s="3054"/>
      <c r="E4" s="3054"/>
      <c r="F4" s="3054"/>
      <c r="G4" s="3054"/>
      <c r="H4" s="3054"/>
      <c r="I4" s="3055"/>
      <c r="J4" s="3062" t="s">
        <v>78</v>
      </c>
      <c r="K4" s="3063"/>
      <c r="L4" s="3063"/>
      <c r="M4" s="3064"/>
      <c r="N4" s="3068" t="s">
        <v>77</v>
      </c>
      <c r="O4" s="3071" t="s">
        <v>142</v>
      </c>
      <c r="P4" s="3008" t="s">
        <v>138</v>
      </c>
      <c r="Q4" s="3071" t="s">
        <v>143</v>
      </c>
      <c r="R4" s="3073" t="s">
        <v>420</v>
      </c>
      <c r="S4" s="2981" t="s">
        <v>421</v>
      </c>
    </row>
    <row r="5" spans="1:21" ht="70.5" customHeight="1" thickBot="1">
      <c r="A5" s="3056"/>
      <c r="B5" s="3057"/>
      <c r="C5" s="3057"/>
      <c r="D5" s="3057"/>
      <c r="E5" s="3057"/>
      <c r="F5" s="3057"/>
      <c r="G5" s="3057"/>
      <c r="H5" s="3057"/>
      <c r="I5" s="3058"/>
      <c r="J5" s="3065"/>
      <c r="K5" s="3066"/>
      <c r="L5" s="3066"/>
      <c r="M5" s="3067"/>
      <c r="N5" s="3069"/>
      <c r="O5" s="3072"/>
      <c r="P5" s="3009"/>
      <c r="Q5" s="3072"/>
      <c r="R5" s="3074"/>
      <c r="S5" s="2982"/>
    </row>
    <row r="6" spans="1:21" ht="61.5" customHeight="1" thickBot="1">
      <c r="A6" s="3059"/>
      <c r="B6" s="3060"/>
      <c r="C6" s="3060"/>
      <c r="D6" s="3060"/>
      <c r="E6" s="3060"/>
      <c r="F6" s="3060"/>
      <c r="G6" s="3060"/>
      <c r="H6" s="3060"/>
      <c r="I6" s="3061"/>
      <c r="J6" s="1185" t="s">
        <v>0</v>
      </c>
      <c r="K6" s="1200" t="s">
        <v>1</v>
      </c>
      <c r="L6" s="1200" t="s">
        <v>2</v>
      </c>
      <c r="M6" s="1201" t="s">
        <v>75</v>
      </c>
      <c r="N6" s="3070"/>
      <c r="O6" s="3075" t="s">
        <v>141</v>
      </c>
      <c r="P6" s="3076"/>
      <c r="Q6" s="3076"/>
      <c r="R6" s="3076"/>
      <c r="S6" s="3077"/>
    </row>
    <row r="7" spans="1:21" ht="21.75" thickBot="1">
      <c r="A7" s="2968" t="s">
        <v>473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ht="16.5" thickBot="1">
      <c r="A8" s="2974" t="s">
        <v>4532</v>
      </c>
      <c r="B8" s="2975"/>
      <c r="C8" s="2975"/>
      <c r="D8" s="2975"/>
      <c r="E8" s="2975"/>
      <c r="F8" s="2975"/>
      <c r="G8" s="2975"/>
      <c r="H8" s="2975"/>
      <c r="I8" s="2975"/>
      <c r="J8" s="2975"/>
      <c r="K8" s="2975"/>
      <c r="L8" s="2975"/>
      <c r="M8" s="2975"/>
      <c r="N8" s="2975"/>
      <c r="O8" s="2975"/>
      <c r="P8" s="2975"/>
      <c r="Q8" s="2975"/>
      <c r="R8" s="3022"/>
      <c r="S8" s="3023"/>
    </row>
    <row r="9" spans="1:21" ht="16.5" thickBot="1">
      <c r="A9" s="1188" t="s">
        <v>4533</v>
      </c>
      <c r="B9" s="1189">
        <f>J9</f>
        <v>150</v>
      </c>
      <c r="C9" s="1189" t="s">
        <v>3</v>
      </c>
      <c r="D9" s="1189">
        <f>K9</f>
        <v>200</v>
      </c>
      <c r="E9" s="1189" t="s">
        <v>3</v>
      </c>
      <c r="F9" s="1190">
        <f>L9</f>
        <v>600</v>
      </c>
      <c r="G9" s="1189" t="s">
        <v>3</v>
      </c>
      <c r="H9" s="1189">
        <v>2</v>
      </c>
      <c r="I9" s="1191" t="s">
        <v>40</v>
      </c>
      <c r="J9" s="146">
        <v>150</v>
      </c>
      <c r="K9" s="122">
        <v>200</v>
      </c>
      <c r="L9" s="122">
        <v>600</v>
      </c>
      <c r="M9" s="163">
        <v>7.2879338936805063</v>
      </c>
      <c r="N9" s="123">
        <v>194.1</v>
      </c>
      <c r="O9" s="124">
        <v>15788.167147557477</v>
      </c>
      <c r="P9" s="153">
        <v>19423.804961715294</v>
      </c>
      <c r="Q9" s="253">
        <v>7123.1890801891068</v>
      </c>
      <c r="R9" s="262">
        <v>22911.356227746583</v>
      </c>
      <c r="S9" s="257">
        <v>26546.9940419044</v>
      </c>
      <c r="U9" s="7" t="s">
        <v>5124</v>
      </c>
    </row>
    <row r="10" spans="1:21" ht="16.5" thickBot="1">
      <c r="A10" s="1188" t="s">
        <v>4533</v>
      </c>
      <c r="B10" s="1192">
        <f t="shared" ref="B10:B57" si="0">J10</f>
        <v>150</v>
      </c>
      <c r="C10" s="1192" t="s">
        <v>3</v>
      </c>
      <c r="D10" s="1192">
        <f t="shared" ref="D10:D57" si="1">K10</f>
        <v>200</v>
      </c>
      <c r="E10" s="1192" t="s">
        <v>3</v>
      </c>
      <c r="F10" s="1190">
        <f t="shared" ref="F10:F57" si="2">L10</f>
        <v>650</v>
      </c>
      <c r="G10" s="1192" t="s">
        <v>3</v>
      </c>
      <c r="H10" s="1189">
        <v>2</v>
      </c>
      <c r="I10" s="1191" t="s">
        <v>40</v>
      </c>
      <c r="J10" s="149">
        <v>150</v>
      </c>
      <c r="K10" s="66">
        <v>200</v>
      </c>
      <c r="L10" s="66">
        <v>650</v>
      </c>
      <c r="M10" s="164">
        <v>7.8004685284159345</v>
      </c>
      <c r="N10" s="78">
        <v>232.92</v>
      </c>
      <c r="O10" s="113">
        <v>16509.211143648758</v>
      </c>
      <c r="P10" s="109">
        <v>20331.285432646011</v>
      </c>
      <c r="Q10" s="254">
        <v>7513.8655494313916</v>
      </c>
      <c r="R10" s="263">
        <v>24023.076693080147</v>
      </c>
      <c r="S10" s="259">
        <v>27845.150982077401</v>
      </c>
      <c r="U10" s="7" t="s">
        <v>5125</v>
      </c>
    </row>
    <row r="11" spans="1:21" ht="16.5" thickBot="1">
      <c r="A11" s="1188" t="s">
        <v>4533</v>
      </c>
      <c r="B11" s="1192">
        <f t="shared" si="0"/>
        <v>150</v>
      </c>
      <c r="C11" s="1192" t="s">
        <v>3</v>
      </c>
      <c r="D11" s="1192">
        <f t="shared" si="1"/>
        <v>200</v>
      </c>
      <c r="E11" s="1192" t="s">
        <v>3</v>
      </c>
      <c r="F11" s="1190">
        <f t="shared" si="2"/>
        <v>700</v>
      </c>
      <c r="G11" s="1192" t="s">
        <v>3</v>
      </c>
      <c r="H11" s="1189">
        <v>2</v>
      </c>
      <c r="I11" s="1191" t="s">
        <v>40</v>
      </c>
      <c r="J11" s="149">
        <v>150</v>
      </c>
      <c r="K11" s="66">
        <v>200</v>
      </c>
      <c r="L11" s="66">
        <v>700</v>
      </c>
      <c r="M11" s="164">
        <v>8.313003163151361</v>
      </c>
      <c r="N11" s="78">
        <v>271.73999999999995</v>
      </c>
      <c r="O11" s="113">
        <v>17230.255292768798</v>
      </c>
      <c r="P11" s="109">
        <v>21238.766056605491</v>
      </c>
      <c r="Q11" s="254">
        <v>8155.8760034286815</v>
      </c>
      <c r="R11" s="263">
        <v>25386.13129619748</v>
      </c>
      <c r="S11" s="259">
        <v>29394.642060034173</v>
      </c>
      <c r="U11" s="7" t="s">
        <v>5126</v>
      </c>
    </row>
    <row r="12" spans="1:21" ht="16.5" thickBot="1">
      <c r="A12" s="1188" t="s">
        <v>4533</v>
      </c>
      <c r="B12" s="1192">
        <f t="shared" si="0"/>
        <v>150</v>
      </c>
      <c r="C12" s="1192" t="s">
        <v>3</v>
      </c>
      <c r="D12" s="1192">
        <f t="shared" si="1"/>
        <v>200</v>
      </c>
      <c r="E12" s="1192" t="s">
        <v>3</v>
      </c>
      <c r="F12" s="1190">
        <f t="shared" si="2"/>
        <v>750</v>
      </c>
      <c r="G12" s="1192" t="s">
        <v>3</v>
      </c>
      <c r="H12" s="1189">
        <v>2</v>
      </c>
      <c r="I12" s="1191" t="s">
        <v>40</v>
      </c>
      <c r="J12" s="149">
        <v>150</v>
      </c>
      <c r="K12" s="66">
        <v>200</v>
      </c>
      <c r="L12" s="66">
        <v>750</v>
      </c>
      <c r="M12" s="164">
        <v>8.8255377978867902</v>
      </c>
      <c r="N12" s="78">
        <v>310.56</v>
      </c>
      <c r="O12" s="113">
        <v>17951.299288860078</v>
      </c>
      <c r="P12" s="109">
        <v>22146.246527536208</v>
      </c>
      <c r="Q12" s="254">
        <v>8546.5523196422018</v>
      </c>
      <c r="R12" s="263">
        <v>26497.851608502278</v>
      </c>
      <c r="S12" s="259">
        <v>30692.798847178412</v>
      </c>
      <c r="U12" s="7" t="s">
        <v>5127</v>
      </c>
    </row>
    <row r="13" spans="1:21" ht="16.5" thickBot="1">
      <c r="A13" s="1188" t="s">
        <v>4533</v>
      </c>
      <c r="B13" s="1192">
        <f t="shared" si="0"/>
        <v>150</v>
      </c>
      <c r="C13" s="1192" t="s">
        <v>3</v>
      </c>
      <c r="D13" s="1192">
        <f t="shared" si="1"/>
        <v>200</v>
      </c>
      <c r="E13" s="1192" t="s">
        <v>3</v>
      </c>
      <c r="F13" s="1190">
        <f t="shared" si="2"/>
        <v>800</v>
      </c>
      <c r="G13" s="1192" t="s">
        <v>3</v>
      </c>
      <c r="H13" s="1189">
        <v>2</v>
      </c>
      <c r="I13" s="1191" t="s">
        <v>40</v>
      </c>
      <c r="J13" s="149">
        <v>150</v>
      </c>
      <c r="K13" s="66">
        <v>200</v>
      </c>
      <c r="L13" s="66">
        <v>800</v>
      </c>
      <c r="M13" s="164">
        <v>9.3380724326222193</v>
      </c>
      <c r="N13" s="78">
        <v>349.38</v>
      </c>
      <c r="O13" s="113">
        <v>19062.194164005788</v>
      </c>
      <c r="P13" s="109">
        <v>23069.029874979424</v>
      </c>
      <c r="Q13" s="254">
        <v>8937.2286358557212</v>
      </c>
      <c r="R13" s="263">
        <v>27999.42279986151</v>
      </c>
      <c r="S13" s="259">
        <v>32006.258510835145</v>
      </c>
      <c r="U13" s="7" t="s">
        <v>5128</v>
      </c>
    </row>
    <row r="14" spans="1:21" ht="16.5" thickBot="1">
      <c r="A14" s="1188" t="s">
        <v>4533</v>
      </c>
      <c r="B14" s="1192">
        <f t="shared" si="0"/>
        <v>150</v>
      </c>
      <c r="C14" s="1192" t="s">
        <v>3</v>
      </c>
      <c r="D14" s="1192">
        <f t="shared" si="1"/>
        <v>200</v>
      </c>
      <c r="E14" s="1192" t="s">
        <v>3</v>
      </c>
      <c r="F14" s="1190">
        <f t="shared" si="2"/>
        <v>850</v>
      </c>
      <c r="G14" s="1192" t="s">
        <v>3</v>
      </c>
      <c r="H14" s="1189">
        <v>2</v>
      </c>
      <c r="I14" s="1191" t="s">
        <v>40</v>
      </c>
      <c r="J14" s="149">
        <v>150</v>
      </c>
      <c r="K14" s="66">
        <v>200</v>
      </c>
      <c r="L14" s="66">
        <v>850</v>
      </c>
      <c r="M14" s="164">
        <v>9.8506070673576449</v>
      </c>
      <c r="N14" s="78">
        <v>388.2</v>
      </c>
      <c r="O14" s="113">
        <v>19783.238160097066</v>
      </c>
      <c r="P14" s="109">
        <v>23976.510498938904</v>
      </c>
      <c r="Q14" s="254">
        <v>9579.239089853012</v>
      </c>
      <c r="R14" s="263">
        <v>29362.477249950076</v>
      </c>
      <c r="S14" s="259">
        <v>33555.749588791914</v>
      </c>
      <c r="U14" s="7" t="s">
        <v>5129</v>
      </c>
    </row>
    <row r="15" spans="1:21" ht="16.5" thickBot="1">
      <c r="A15" s="1188" t="s">
        <v>4533</v>
      </c>
      <c r="B15" s="1192">
        <f t="shared" si="0"/>
        <v>150</v>
      </c>
      <c r="C15" s="1192" t="s">
        <v>3</v>
      </c>
      <c r="D15" s="1192">
        <f t="shared" si="1"/>
        <v>200</v>
      </c>
      <c r="E15" s="1192" t="s">
        <v>3</v>
      </c>
      <c r="F15" s="1190">
        <f t="shared" si="2"/>
        <v>900</v>
      </c>
      <c r="G15" s="1192" t="s">
        <v>3</v>
      </c>
      <c r="H15" s="1189">
        <v>2</v>
      </c>
      <c r="I15" s="1191" t="s">
        <v>40</v>
      </c>
      <c r="J15" s="149">
        <v>150</v>
      </c>
      <c r="K15" s="66">
        <v>200</v>
      </c>
      <c r="L15" s="66">
        <v>900</v>
      </c>
      <c r="M15" s="164">
        <v>10.363141702093074</v>
      </c>
      <c r="N15" s="78">
        <v>427.02000000000004</v>
      </c>
      <c r="O15" s="113">
        <v>20504.282309217109</v>
      </c>
      <c r="P15" s="109">
        <v>24883.990969869621</v>
      </c>
      <c r="Q15" s="254">
        <v>9969.915559095296</v>
      </c>
      <c r="R15" s="263">
        <v>30474.197868312403</v>
      </c>
      <c r="S15" s="259">
        <v>34853.906528964915</v>
      </c>
      <c r="U15" s="7" t="s">
        <v>5130</v>
      </c>
    </row>
    <row r="16" spans="1:21" ht="16.5" thickBot="1">
      <c r="A16" s="1188" t="s">
        <v>4533</v>
      </c>
      <c r="B16" s="1192">
        <f t="shared" si="0"/>
        <v>150</v>
      </c>
      <c r="C16" s="1192" t="s">
        <v>3</v>
      </c>
      <c r="D16" s="1192">
        <f t="shared" si="1"/>
        <v>200</v>
      </c>
      <c r="E16" s="1192" t="s">
        <v>3</v>
      </c>
      <c r="F16" s="1190">
        <f t="shared" si="2"/>
        <v>950</v>
      </c>
      <c r="G16" s="1192" t="s">
        <v>3</v>
      </c>
      <c r="H16" s="1189">
        <v>2</v>
      </c>
      <c r="I16" s="1191" t="s">
        <v>40</v>
      </c>
      <c r="J16" s="149">
        <v>150</v>
      </c>
      <c r="K16" s="66">
        <v>200</v>
      </c>
      <c r="L16" s="66">
        <v>950</v>
      </c>
      <c r="M16" s="164">
        <v>10.875676336828501</v>
      </c>
      <c r="N16" s="78">
        <v>465.84</v>
      </c>
      <c r="O16" s="113">
        <v>21225.326305308387</v>
      </c>
      <c r="P16" s="109">
        <v>25791.471440800338</v>
      </c>
      <c r="Q16" s="254">
        <v>10611.926013092587</v>
      </c>
      <c r="R16" s="263">
        <v>31837.252318400973</v>
      </c>
      <c r="S16" s="259">
        <v>36403.397453892925</v>
      </c>
      <c r="U16" s="7" t="s">
        <v>5131</v>
      </c>
    </row>
    <row r="17" spans="1:21" ht="16.5" thickBot="1">
      <c r="A17" s="1188" t="s">
        <v>4533</v>
      </c>
      <c r="B17" s="1192">
        <f t="shared" si="0"/>
        <v>150</v>
      </c>
      <c r="C17" s="1192" t="s">
        <v>3</v>
      </c>
      <c r="D17" s="1192">
        <f t="shared" si="1"/>
        <v>200</v>
      </c>
      <c r="E17" s="1192" t="s">
        <v>3</v>
      </c>
      <c r="F17" s="1190">
        <f t="shared" si="2"/>
        <v>1000</v>
      </c>
      <c r="G17" s="1192" t="s">
        <v>3</v>
      </c>
      <c r="H17" s="1189">
        <v>2</v>
      </c>
      <c r="I17" s="1191" t="s">
        <v>40</v>
      </c>
      <c r="J17" s="149">
        <v>150</v>
      </c>
      <c r="K17" s="66">
        <v>200</v>
      </c>
      <c r="L17" s="66">
        <v>1000</v>
      </c>
      <c r="M17" s="164">
        <v>11.46624697156393</v>
      </c>
      <c r="N17" s="78">
        <v>504.66</v>
      </c>
      <c r="O17" s="113">
        <v>21985.178549264132</v>
      </c>
      <c r="P17" s="109">
        <v>26737.760006566754</v>
      </c>
      <c r="Q17" s="254">
        <v>11002.602329306106</v>
      </c>
      <c r="R17" s="263">
        <v>32987.780878570236</v>
      </c>
      <c r="S17" s="259">
        <v>37740.362335872858</v>
      </c>
      <c r="U17" s="7" t="s">
        <v>5132</v>
      </c>
    </row>
    <row r="18" spans="1:21" ht="16.5" thickBot="1">
      <c r="A18" s="1188" t="s">
        <v>4533</v>
      </c>
      <c r="B18" s="1192">
        <f t="shared" si="0"/>
        <v>150</v>
      </c>
      <c r="C18" s="1192" t="s">
        <v>3</v>
      </c>
      <c r="D18" s="1192">
        <f t="shared" si="1"/>
        <v>200</v>
      </c>
      <c r="E18" s="1192" t="s">
        <v>3</v>
      </c>
      <c r="F18" s="1190">
        <f t="shared" si="2"/>
        <v>1050</v>
      </c>
      <c r="G18" s="1192" t="s">
        <v>3</v>
      </c>
      <c r="H18" s="1189">
        <v>2</v>
      </c>
      <c r="I18" s="1191" t="s">
        <v>40</v>
      </c>
      <c r="J18" s="149">
        <v>150</v>
      </c>
      <c r="K18" s="66">
        <v>200</v>
      </c>
      <c r="L18" s="66">
        <v>1050</v>
      </c>
      <c r="M18" s="164">
        <v>11.978781606299359</v>
      </c>
      <c r="N18" s="78">
        <v>543.4799999999999</v>
      </c>
      <c r="O18" s="113">
        <v>22706.222545355406</v>
      </c>
      <c r="P18" s="109">
        <v>27645.240630526234</v>
      </c>
      <c r="Q18" s="254">
        <v>11644.612783303395</v>
      </c>
      <c r="R18" s="263">
        <v>34350.835328658803</v>
      </c>
      <c r="S18" s="259">
        <v>39289.853413829631</v>
      </c>
      <c r="U18" s="7" t="s">
        <v>5133</v>
      </c>
    </row>
    <row r="19" spans="1:21" ht="16.5" thickBot="1">
      <c r="A19" s="1188" t="s">
        <v>4533</v>
      </c>
      <c r="B19" s="1189">
        <f t="shared" si="0"/>
        <v>150</v>
      </c>
      <c r="C19" s="1189" t="s">
        <v>3</v>
      </c>
      <c r="D19" s="1189">
        <f t="shared" si="1"/>
        <v>200</v>
      </c>
      <c r="E19" s="1189" t="s">
        <v>3</v>
      </c>
      <c r="F19" s="1190">
        <f t="shared" si="2"/>
        <v>1100</v>
      </c>
      <c r="G19" s="1189" t="s">
        <v>3</v>
      </c>
      <c r="H19" s="1189">
        <v>2</v>
      </c>
      <c r="I19" s="1191" t="s">
        <v>40</v>
      </c>
      <c r="J19" s="149">
        <v>150</v>
      </c>
      <c r="K19" s="66">
        <v>200</v>
      </c>
      <c r="L19" s="66">
        <v>1100</v>
      </c>
      <c r="M19" s="164">
        <v>12.491316241034784</v>
      </c>
      <c r="N19" s="78">
        <v>582.29999999999995</v>
      </c>
      <c r="O19" s="113">
        <v>23427.266541446686</v>
      </c>
      <c r="P19" s="109">
        <v>28552.721101456955</v>
      </c>
      <c r="Q19" s="254">
        <v>12035.289252545683</v>
      </c>
      <c r="R19" s="263">
        <v>35462.555793992367</v>
      </c>
      <c r="S19" s="259">
        <v>40588.010354002639</v>
      </c>
      <c r="U19" s="7" t="s">
        <v>5134</v>
      </c>
    </row>
    <row r="20" spans="1:21" ht="16.5" thickBot="1">
      <c r="A20" s="1188" t="s">
        <v>4533</v>
      </c>
      <c r="B20" s="1192">
        <f t="shared" si="0"/>
        <v>150</v>
      </c>
      <c r="C20" s="1192" t="s">
        <v>3</v>
      </c>
      <c r="D20" s="1192">
        <f t="shared" si="1"/>
        <v>200</v>
      </c>
      <c r="E20" s="1192" t="s">
        <v>3</v>
      </c>
      <c r="F20" s="1190">
        <f t="shared" si="2"/>
        <v>1150</v>
      </c>
      <c r="G20" s="1192" t="s">
        <v>3</v>
      </c>
      <c r="H20" s="1189">
        <v>2</v>
      </c>
      <c r="I20" s="1191" t="s">
        <v>40</v>
      </c>
      <c r="J20" s="149">
        <v>150</v>
      </c>
      <c r="K20" s="66">
        <v>200</v>
      </c>
      <c r="L20" s="66">
        <v>1150</v>
      </c>
      <c r="M20" s="164">
        <v>13.003850875770212</v>
      </c>
      <c r="N20" s="78">
        <v>621.12</v>
      </c>
      <c r="O20" s="113">
        <v>24148.31069056673</v>
      </c>
      <c r="P20" s="109">
        <v>29460.201572387668</v>
      </c>
      <c r="Q20" s="254">
        <v>12425.965568759202</v>
      </c>
      <c r="R20" s="263">
        <v>36574.276259325932</v>
      </c>
      <c r="S20" s="259">
        <v>41886.167141146871</v>
      </c>
      <c r="U20" s="7" t="s">
        <v>5135</v>
      </c>
    </row>
    <row r="21" spans="1:21" ht="16.5" thickBot="1">
      <c r="A21" s="1188" t="s">
        <v>4533</v>
      </c>
      <c r="B21" s="1192">
        <f t="shared" si="0"/>
        <v>150</v>
      </c>
      <c r="C21" s="1192" t="s">
        <v>3</v>
      </c>
      <c r="D21" s="1192">
        <f t="shared" si="1"/>
        <v>200</v>
      </c>
      <c r="E21" s="1192" t="s">
        <v>3</v>
      </c>
      <c r="F21" s="1190">
        <f t="shared" si="2"/>
        <v>1200</v>
      </c>
      <c r="G21" s="1192" t="s">
        <v>3</v>
      </c>
      <c r="H21" s="1189">
        <v>2</v>
      </c>
      <c r="I21" s="1191" t="s">
        <v>40</v>
      </c>
      <c r="J21" s="149">
        <v>150</v>
      </c>
      <c r="K21" s="66">
        <v>200</v>
      </c>
      <c r="L21" s="66">
        <v>1200</v>
      </c>
      <c r="M21" s="164">
        <v>13.516385510505639</v>
      </c>
      <c r="N21" s="78">
        <v>659.93999999999994</v>
      </c>
      <c r="O21" s="113">
        <v>24869.354686658007</v>
      </c>
      <c r="P21" s="109">
        <v>30367.682196347152</v>
      </c>
      <c r="Q21" s="254">
        <v>13067.976022756491</v>
      </c>
      <c r="R21" s="263">
        <v>37937.330709414498</v>
      </c>
      <c r="S21" s="259">
        <v>43435.658219103643</v>
      </c>
      <c r="U21" s="7" t="s">
        <v>5136</v>
      </c>
    </row>
    <row r="22" spans="1:21" ht="16.5" thickBot="1">
      <c r="A22" s="1188" t="s">
        <v>4533</v>
      </c>
      <c r="B22" s="1192">
        <f t="shared" si="0"/>
        <v>150</v>
      </c>
      <c r="C22" s="1192" t="s">
        <v>3</v>
      </c>
      <c r="D22" s="1192">
        <f t="shared" si="1"/>
        <v>200</v>
      </c>
      <c r="E22" s="1192" t="s">
        <v>3</v>
      </c>
      <c r="F22" s="1190">
        <f t="shared" si="2"/>
        <v>1250</v>
      </c>
      <c r="G22" s="1192" t="s">
        <v>3</v>
      </c>
      <c r="H22" s="1189">
        <v>2</v>
      </c>
      <c r="I22" s="1191" t="s">
        <v>40</v>
      </c>
      <c r="J22" s="149">
        <v>150</v>
      </c>
      <c r="K22" s="66">
        <v>200</v>
      </c>
      <c r="L22" s="66">
        <v>1250</v>
      </c>
      <c r="M22" s="164">
        <v>14.028920145241067</v>
      </c>
      <c r="N22" s="78">
        <v>698.76</v>
      </c>
      <c r="O22" s="113">
        <v>25590.398835778047</v>
      </c>
      <c r="P22" s="109">
        <v>31275.162667277866</v>
      </c>
      <c r="Q22" s="254">
        <v>13458.652338970012</v>
      </c>
      <c r="R22" s="263">
        <v>39049.051174748063</v>
      </c>
      <c r="S22" s="259">
        <v>44733.815006247882</v>
      </c>
      <c r="U22" s="7" t="s">
        <v>5137</v>
      </c>
    </row>
    <row r="23" spans="1:21" ht="16.5" thickBot="1">
      <c r="A23" s="1188" t="s">
        <v>4533</v>
      </c>
      <c r="B23" s="1192">
        <f t="shared" si="0"/>
        <v>150</v>
      </c>
      <c r="C23" s="1192" t="s">
        <v>3</v>
      </c>
      <c r="D23" s="1192">
        <f t="shared" si="1"/>
        <v>200</v>
      </c>
      <c r="E23" s="1192" t="s">
        <v>3</v>
      </c>
      <c r="F23" s="1190">
        <f t="shared" si="2"/>
        <v>1300</v>
      </c>
      <c r="G23" s="1192" t="s">
        <v>3</v>
      </c>
      <c r="H23" s="1189">
        <v>2</v>
      </c>
      <c r="I23" s="1191" t="s">
        <v>40</v>
      </c>
      <c r="J23" s="149">
        <v>150</v>
      </c>
      <c r="K23" s="66">
        <v>200</v>
      </c>
      <c r="L23" s="66">
        <v>1300</v>
      </c>
      <c r="M23" s="164">
        <v>14.541454779976497</v>
      </c>
      <c r="N23" s="78">
        <v>737.57999999999993</v>
      </c>
      <c r="O23" s="113">
        <v>26311.442831869324</v>
      </c>
      <c r="P23" s="109">
        <v>32182.64313820843</v>
      </c>
      <c r="Q23" s="254">
        <v>14100.662792967301</v>
      </c>
      <c r="R23" s="263">
        <v>40412.105624836622</v>
      </c>
      <c r="S23" s="259">
        <v>46283.305931175732</v>
      </c>
      <c r="U23" s="7" t="s">
        <v>5138</v>
      </c>
    </row>
    <row r="24" spans="1:21" ht="16.5" thickBot="1">
      <c r="A24" s="1188" t="s">
        <v>4533</v>
      </c>
      <c r="B24" s="1192">
        <f t="shared" si="0"/>
        <v>150</v>
      </c>
      <c r="C24" s="1192" t="s">
        <v>3</v>
      </c>
      <c r="D24" s="1192">
        <f t="shared" si="1"/>
        <v>200</v>
      </c>
      <c r="E24" s="1192" t="s">
        <v>3</v>
      </c>
      <c r="F24" s="1190">
        <f t="shared" si="2"/>
        <v>1350</v>
      </c>
      <c r="G24" s="1192" t="s">
        <v>3</v>
      </c>
      <c r="H24" s="1189">
        <v>2</v>
      </c>
      <c r="I24" s="1191" t="s">
        <v>40</v>
      </c>
      <c r="J24" s="149">
        <v>150</v>
      </c>
      <c r="K24" s="66">
        <v>200</v>
      </c>
      <c r="L24" s="66">
        <v>1350</v>
      </c>
      <c r="M24" s="164">
        <v>15.053989414711921</v>
      </c>
      <c r="N24" s="78">
        <v>776.4</v>
      </c>
      <c r="O24" s="113">
        <v>27032.486827960605</v>
      </c>
      <c r="P24" s="109">
        <v>33090.123762168063</v>
      </c>
      <c r="Q24" s="254">
        <v>14491.339262209587</v>
      </c>
      <c r="R24" s="263">
        <v>41523.826090170194</v>
      </c>
      <c r="S24" s="259">
        <v>47581.463024377648</v>
      </c>
      <c r="U24" s="7" t="s">
        <v>5139</v>
      </c>
    </row>
    <row r="25" spans="1:21" ht="16.5" thickBot="1">
      <c r="A25" s="1188" t="s">
        <v>4533</v>
      </c>
      <c r="B25" s="1192">
        <f t="shared" si="0"/>
        <v>150</v>
      </c>
      <c r="C25" s="1192" t="s">
        <v>3</v>
      </c>
      <c r="D25" s="1192">
        <f t="shared" si="1"/>
        <v>200</v>
      </c>
      <c r="E25" s="1192" t="s">
        <v>3</v>
      </c>
      <c r="F25" s="1190">
        <f t="shared" si="2"/>
        <v>1400</v>
      </c>
      <c r="G25" s="1192" t="s">
        <v>3</v>
      </c>
      <c r="H25" s="1189">
        <v>2</v>
      </c>
      <c r="I25" s="1191" t="s">
        <v>40</v>
      </c>
      <c r="J25" s="149">
        <v>150</v>
      </c>
      <c r="K25" s="66">
        <v>200</v>
      </c>
      <c r="L25" s="66">
        <v>1400</v>
      </c>
      <c r="M25" s="164">
        <v>15.566524049447349</v>
      </c>
      <c r="N25" s="78">
        <v>815.22</v>
      </c>
      <c r="O25" s="113">
        <v>27753.530977080645</v>
      </c>
      <c r="P25" s="109">
        <v>33997.604233098784</v>
      </c>
      <c r="Q25" s="254">
        <v>15133.349716206876</v>
      </c>
      <c r="R25" s="263">
        <v>42886.880693287523</v>
      </c>
      <c r="S25" s="259">
        <v>49130.953949305658</v>
      </c>
      <c r="U25" s="7" t="s">
        <v>5140</v>
      </c>
    </row>
    <row r="26" spans="1:21" ht="16.5" thickBot="1">
      <c r="A26" s="1188" t="s">
        <v>4533</v>
      </c>
      <c r="B26" s="1192">
        <f t="shared" si="0"/>
        <v>150</v>
      </c>
      <c r="C26" s="1192" t="s">
        <v>3</v>
      </c>
      <c r="D26" s="1192">
        <f t="shared" si="1"/>
        <v>200</v>
      </c>
      <c r="E26" s="1192" t="s">
        <v>3</v>
      </c>
      <c r="F26" s="1190">
        <f t="shared" si="2"/>
        <v>1450</v>
      </c>
      <c r="G26" s="1192" t="s">
        <v>3</v>
      </c>
      <c r="H26" s="1189">
        <v>2</v>
      </c>
      <c r="I26" s="1191" t="s">
        <v>40</v>
      </c>
      <c r="J26" s="149">
        <v>150</v>
      </c>
      <c r="K26" s="66">
        <v>200</v>
      </c>
      <c r="L26" s="66">
        <v>1450</v>
      </c>
      <c r="M26" s="164">
        <v>16.079058684182776</v>
      </c>
      <c r="N26" s="78">
        <v>854.04000000000008</v>
      </c>
      <c r="O26" s="113">
        <v>28474.574973171922</v>
      </c>
      <c r="P26" s="109">
        <v>34905.084704029498</v>
      </c>
      <c r="Q26" s="254">
        <v>15524.026032420395</v>
      </c>
      <c r="R26" s="263">
        <v>43998.601005592318</v>
      </c>
      <c r="S26" s="259">
        <v>50429.110736449889</v>
      </c>
      <c r="U26" s="7" t="s">
        <v>5141</v>
      </c>
    </row>
    <row r="27" spans="1:21" ht="16.5" thickBot="1">
      <c r="A27" s="1188" t="s">
        <v>4533</v>
      </c>
      <c r="B27" s="1192">
        <f t="shared" si="0"/>
        <v>150</v>
      </c>
      <c r="C27" s="1192" t="s">
        <v>3</v>
      </c>
      <c r="D27" s="1192">
        <f t="shared" si="1"/>
        <v>200</v>
      </c>
      <c r="E27" s="1192" t="s">
        <v>3</v>
      </c>
      <c r="F27" s="1190">
        <f t="shared" si="2"/>
        <v>1500</v>
      </c>
      <c r="G27" s="1192" t="s">
        <v>3</v>
      </c>
      <c r="H27" s="1189">
        <v>2</v>
      </c>
      <c r="I27" s="1191" t="s">
        <v>40</v>
      </c>
      <c r="J27" s="149">
        <v>150</v>
      </c>
      <c r="K27" s="66">
        <v>200</v>
      </c>
      <c r="L27" s="66">
        <v>1500</v>
      </c>
      <c r="M27" s="164">
        <v>16.881956118918204</v>
      </c>
      <c r="N27" s="78">
        <v>892.8599999999999</v>
      </c>
      <c r="O27" s="113">
        <v>29938.816174537802</v>
      </c>
      <c r="P27" s="109">
        <v>36757.471737948785</v>
      </c>
      <c r="Q27" s="254">
        <v>16166.036486417688</v>
      </c>
      <c r="R27" s="263">
        <v>46104.85266095549</v>
      </c>
      <c r="S27" s="259">
        <v>52923.508224366473</v>
      </c>
      <c r="U27" s="7" t="s">
        <v>5142</v>
      </c>
    </row>
    <row r="28" spans="1:21" ht="16.5" thickBot="1">
      <c r="A28" s="1188" t="s">
        <v>4533</v>
      </c>
      <c r="B28" s="1192">
        <f t="shared" si="0"/>
        <v>150</v>
      </c>
      <c r="C28" s="1192" t="s">
        <v>3</v>
      </c>
      <c r="D28" s="1192">
        <f t="shared" si="1"/>
        <v>200</v>
      </c>
      <c r="E28" s="1192" t="s">
        <v>3</v>
      </c>
      <c r="F28" s="1190">
        <f t="shared" si="2"/>
        <v>1550</v>
      </c>
      <c r="G28" s="1192" t="s">
        <v>3</v>
      </c>
      <c r="H28" s="1189">
        <v>2</v>
      </c>
      <c r="I28" s="1191" t="s">
        <v>40</v>
      </c>
      <c r="J28" s="149">
        <v>150</v>
      </c>
      <c r="K28" s="66">
        <v>200</v>
      </c>
      <c r="L28" s="66">
        <v>1550</v>
      </c>
      <c r="M28" s="164">
        <v>17.394490753653631</v>
      </c>
      <c r="N28" s="78">
        <v>931.68</v>
      </c>
      <c r="O28" s="113">
        <v>30659.860170629076</v>
      </c>
      <c r="P28" s="109">
        <v>37664.952208879498</v>
      </c>
      <c r="Q28" s="254">
        <v>16556.712955659972</v>
      </c>
      <c r="R28" s="263">
        <v>47216.573126289048</v>
      </c>
      <c r="S28" s="259">
        <v>54221.665164539474</v>
      </c>
      <c r="U28" s="7" t="s">
        <v>5143</v>
      </c>
    </row>
    <row r="29" spans="1:21" ht="16.5" thickBot="1">
      <c r="A29" s="1188" t="s">
        <v>4533</v>
      </c>
      <c r="B29" s="1189">
        <f t="shared" si="0"/>
        <v>150</v>
      </c>
      <c r="C29" s="1189" t="s">
        <v>3</v>
      </c>
      <c r="D29" s="1189">
        <f t="shared" si="1"/>
        <v>200</v>
      </c>
      <c r="E29" s="1189" t="s">
        <v>3</v>
      </c>
      <c r="F29" s="1190">
        <f t="shared" si="2"/>
        <v>1600</v>
      </c>
      <c r="G29" s="1189" t="s">
        <v>3</v>
      </c>
      <c r="H29" s="1189">
        <v>2</v>
      </c>
      <c r="I29" s="1191" t="s">
        <v>40</v>
      </c>
      <c r="J29" s="149">
        <v>150</v>
      </c>
      <c r="K29" s="66">
        <v>200</v>
      </c>
      <c r="L29" s="66">
        <v>1600</v>
      </c>
      <c r="M29" s="164">
        <v>17.907025388389062</v>
      </c>
      <c r="N29" s="78">
        <v>970.5</v>
      </c>
      <c r="O29" s="113">
        <v>31380.904319749123</v>
      </c>
      <c r="P29" s="109">
        <v>38572.432679810219</v>
      </c>
      <c r="Q29" s="254">
        <v>16947.389271873493</v>
      </c>
      <c r="R29" s="263">
        <v>48328.293591622612</v>
      </c>
      <c r="S29" s="259">
        <v>55519.821951683713</v>
      </c>
      <c r="U29" s="7" t="s">
        <v>5144</v>
      </c>
    </row>
    <row r="30" spans="1:21" ht="16.5" thickBot="1">
      <c r="A30" s="1188" t="s">
        <v>4533</v>
      </c>
      <c r="B30" s="1192">
        <f t="shared" si="0"/>
        <v>150</v>
      </c>
      <c r="C30" s="1192" t="s">
        <v>3</v>
      </c>
      <c r="D30" s="1192">
        <f t="shared" si="1"/>
        <v>200</v>
      </c>
      <c r="E30" s="1192" t="s">
        <v>3</v>
      </c>
      <c r="F30" s="1190">
        <f t="shared" si="2"/>
        <v>1650</v>
      </c>
      <c r="G30" s="1192" t="s">
        <v>3</v>
      </c>
      <c r="H30" s="1189">
        <v>2</v>
      </c>
      <c r="I30" s="1191" t="s">
        <v>40</v>
      </c>
      <c r="J30" s="149">
        <v>150</v>
      </c>
      <c r="K30" s="66">
        <v>200</v>
      </c>
      <c r="L30" s="66">
        <v>1650</v>
      </c>
      <c r="M30" s="164">
        <v>18.41956002312449</v>
      </c>
      <c r="N30" s="78">
        <v>1009.32</v>
      </c>
      <c r="O30" s="113">
        <v>32101.9483158404</v>
      </c>
      <c r="P30" s="109">
        <v>39479.913303769703</v>
      </c>
      <c r="Q30" s="254">
        <v>17589.399725870782</v>
      </c>
      <c r="R30" s="263">
        <v>49691.348041711186</v>
      </c>
      <c r="S30" s="259">
        <v>57069.313029640485</v>
      </c>
      <c r="U30" s="7" t="s">
        <v>5145</v>
      </c>
    </row>
    <row r="31" spans="1:21" ht="16.5" thickBot="1">
      <c r="A31" s="1188" t="s">
        <v>4533</v>
      </c>
      <c r="B31" s="1192">
        <f t="shared" si="0"/>
        <v>150</v>
      </c>
      <c r="C31" s="1192" t="s">
        <v>3</v>
      </c>
      <c r="D31" s="1192">
        <f t="shared" si="1"/>
        <v>200</v>
      </c>
      <c r="E31" s="1192" t="s">
        <v>3</v>
      </c>
      <c r="F31" s="1190">
        <f t="shared" si="2"/>
        <v>1700</v>
      </c>
      <c r="G31" s="1192" t="s">
        <v>3</v>
      </c>
      <c r="H31" s="1189">
        <v>2</v>
      </c>
      <c r="I31" s="1191" t="s">
        <v>40</v>
      </c>
      <c r="J31" s="149">
        <v>150</v>
      </c>
      <c r="K31" s="66">
        <v>200</v>
      </c>
      <c r="L31" s="66">
        <v>1700</v>
      </c>
      <c r="M31" s="164">
        <v>18.932094657859917</v>
      </c>
      <c r="N31" s="78">
        <v>1048.1400000000001</v>
      </c>
      <c r="O31" s="113">
        <v>32822.992464960436</v>
      </c>
      <c r="P31" s="109">
        <v>40387.393774700417</v>
      </c>
      <c r="Q31" s="254">
        <v>17980.076042084303</v>
      </c>
      <c r="R31" s="263">
        <v>50803.068507044736</v>
      </c>
      <c r="S31" s="259">
        <v>58367.469816784724</v>
      </c>
      <c r="U31" s="7" t="s">
        <v>5146</v>
      </c>
    </row>
    <row r="32" spans="1:21" ht="16.5" thickBot="1">
      <c r="A32" s="1188" t="s">
        <v>4533</v>
      </c>
      <c r="B32" s="1192">
        <f t="shared" si="0"/>
        <v>150</v>
      </c>
      <c r="C32" s="1192" t="s">
        <v>3</v>
      </c>
      <c r="D32" s="1192">
        <f t="shared" si="1"/>
        <v>200</v>
      </c>
      <c r="E32" s="1192" t="s">
        <v>3</v>
      </c>
      <c r="F32" s="1190">
        <f t="shared" si="2"/>
        <v>1750</v>
      </c>
      <c r="G32" s="1192" t="s">
        <v>3</v>
      </c>
      <c r="H32" s="1189">
        <v>2</v>
      </c>
      <c r="I32" s="1191" t="s">
        <v>40</v>
      </c>
      <c r="J32" s="149">
        <v>150</v>
      </c>
      <c r="K32" s="66">
        <v>200</v>
      </c>
      <c r="L32" s="66">
        <v>1750</v>
      </c>
      <c r="M32" s="164">
        <v>19.444629292595344</v>
      </c>
      <c r="N32" s="78">
        <v>1086.9599999999998</v>
      </c>
      <c r="O32" s="113">
        <v>33544.036461051721</v>
      </c>
      <c r="P32" s="109">
        <v>41294.87424563113</v>
      </c>
      <c r="Q32" s="254">
        <v>18622.086496081592</v>
      </c>
      <c r="R32" s="263">
        <v>52166.12295713331</v>
      </c>
      <c r="S32" s="259">
        <v>59916.960741712726</v>
      </c>
      <c r="U32" s="7" t="s">
        <v>5147</v>
      </c>
    </row>
    <row r="33" spans="1:21" ht="16.5" thickBot="1">
      <c r="A33" s="1188" t="s">
        <v>4533</v>
      </c>
      <c r="B33" s="1192">
        <f t="shared" si="0"/>
        <v>150</v>
      </c>
      <c r="C33" s="1192" t="s">
        <v>3</v>
      </c>
      <c r="D33" s="1192">
        <f t="shared" si="1"/>
        <v>200</v>
      </c>
      <c r="E33" s="1192" t="s">
        <v>3</v>
      </c>
      <c r="F33" s="1190">
        <f t="shared" si="2"/>
        <v>1800</v>
      </c>
      <c r="G33" s="1192" t="s">
        <v>3</v>
      </c>
      <c r="H33" s="1189">
        <v>2</v>
      </c>
      <c r="I33" s="1191" t="s">
        <v>40</v>
      </c>
      <c r="J33" s="149">
        <v>150</v>
      </c>
      <c r="K33" s="66">
        <v>200</v>
      </c>
      <c r="L33" s="66">
        <v>1800</v>
      </c>
      <c r="M33" s="164">
        <v>19.957163927330775</v>
      </c>
      <c r="N33" s="78">
        <v>1125.78</v>
      </c>
      <c r="O33" s="113">
        <v>34265.080457142998</v>
      </c>
      <c r="P33" s="109">
        <v>42202.354869590614</v>
      </c>
      <c r="Q33" s="254">
        <v>19012.762965323876</v>
      </c>
      <c r="R33" s="263">
        <v>53277.843422466874</v>
      </c>
      <c r="S33" s="259">
        <v>61215.11783491449</v>
      </c>
      <c r="U33" s="7" t="s">
        <v>5148</v>
      </c>
    </row>
    <row r="34" spans="1:21" ht="16.5" thickBot="1">
      <c r="A34" s="1188" t="s">
        <v>4533</v>
      </c>
      <c r="B34" s="1192">
        <f t="shared" si="0"/>
        <v>150</v>
      </c>
      <c r="C34" s="1192" t="s">
        <v>3</v>
      </c>
      <c r="D34" s="1192">
        <f t="shared" si="1"/>
        <v>200</v>
      </c>
      <c r="E34" s="1192" t="s">
        <v>3</v>
      </c>
      <c r="F34" s="1190">
        <f t="shared" si="2"/>
        <v>1850</v>
      </c>
      <c r="G34" s="1192" t="s">
        <v>3</v>
      </c>
      <c r="H34" s="1189">
        <v>2</v>
      </c>
      <c r="I34" s="1191" t="s">
        <v>40</v>
      </c>
      <c r="J34" s="149">
        <v>150</v>
      </c>
      <c r="K34" s="66">
        <v>200</v>
      </c>
      <c r="L34" s="66">
        <v>1850</v>
      </c>
      <c r="M34" s="164">
        <v>20.469698562066199</v>
      </c>
      <c r="N34" s="78">
        <v>1164.5999999999999</v>
      </c>
      <c r="O34" s="113">
        <v>34986.124606263038</v>
      </c>
      <c r="P34" s="109">
        <v>43109.835340521327</v>
      </c>
      <c r="Q34" s="254">
        <v>19654.773419321165</v>
      </c>
      <c r="R34" s="263">
        <v>54640.898025584203</v>
      </c>
      <c r="S34" s="259">
        <v>62764.608759842493</v>
      </c>
      <c r="U34" s="7" t="s">
        <v>5149</v>
      </c>
    </row>
    <row r="35" spans="1:21" ht="16.5" thickBot="1">
      <c r="A35" s="1188" t="s">
        <v>4533</v>
      </c>
      <c r="B35" s="1192">
        <f t="shared" si="0"/>
        <v>150</v>
      </c>
      <c r="C35" s="1192" t="s">
        <v>3</v>
      </c>
      <c r="D35" s="1192">
        <f t="shared" si="1"/>
        <v>200</v>
      </c>
      <c r="E35" s="1192" t="s">
        <v>3</v>
      </c>
      <c r="F35" s="1190">
        <f t="shared" si="2"/>
        <v>1900</v>
      </c>
      <c r="G35" s="1192" t="s">
        <v>3</v>
      </c>
      <c r="H35" s="1189">
        <v>2</v>
      </c>
      <c r="I35" s="1191" t="s">
        <v>40</v>
      </c>
      <c r="J35" s="149">
        <v>150</v>
      </c>
      <c r="K35" s="66">
        <v>200</v>
      </c>
      <c r="L35" s="66">
        <v>1900</v>
      </c>
      <c r="M35" s="164">
        <v>20.982233196801626</v>
      </c>
      <c r="N35" s="78">
        <v>1203.42</v>
      </c>
      <c r="O35" s="113">
        <v>35707.168602354315</v>
      </c>
      <c r="P35" s="109">
        <v>44017.315811452048</v>
      </c>
      <c r="Q35" s="254">
        <v>20045.449735534687</v>
      </c>
      <c r="R35" s="263">
        <v>55752.618337888998</v>
      </c>
      <c r="S35" s="259">
        <v>64062.765546986731</v>
      </c>
      <c r="U35" s="7" t="s">
        <v>5150</v>
      </c>
    </row>
    <row r="36" spans="1:21" ht="16.5" thickBot="1">
      <c r="A36" s="1188" t="s">
        <v>4533</v>
      </c>
      <c r="B36" s="1192">
        <f t="shared" si="0"/>
        <v>150</v>
      </c>
      <c r="C36" s="1192" t="s">
        <v>3</v>
      </c>
      <c r="D36" s="1192">
        <f t="shared" si="1"/>
        <v>200</v>
      </c>
      <c r="E36" s="1192" t="s">
        <v>3</v>
      </c>
      <c r="F36" s="1190">
        <f t="shared" si="2"/>
        <v>1950</v>
      </c>
      <c r="G36" s="1192" t="s">
        <v>3</v>
      </c>
      <c r="H36" s="1189">
        <v>2</v>
      </c>
      <c r="I36" s="1191" t="s">
        <v>40</v>
      </c>
      <c r="J36" s="149">
        <v>150</v>
      </c>
      <c r="K36" s="66">
        <v>200</v>
      </c>
      <c r="L36" s="66">
        <v>1950</v>
      </c>
      <c r="M36" s="164">
        <v>21.494767831537054</v>
      </c>
      <c r="N36" s="78">
        <v>1242.24</v>
      </c>
      <c r="O36" s="113">
        <v>36428.212751474362</v>
      </c>
      <c r="P36" s="109">
        <v>44924.796282382762</v>
      </c>
      <c r="Q36" s="254">
        <v>20436.126051748208</v>
      </c>
      <c r="R36" s="263">
        <v>56864.33880322257</v>
      </c>
      <c r="S36" s="259">
        <v>65360.92233413097</v>
      </c>
      <c r="U36" s="7" t="s">
        <v>5151</v>
      </c>
    </row>
    <row r="37" spans="1:21" ht="16.5" thickBot="1">
      <c r="A37" s="1188" t="s">
        <v>4533</v>
      </c>
      <c r="B37" s="1192">
        <f t="shared" si="0"/>
        <v>150</v>
      </c>
      <c r="C37" s="1192" t="s">
        <v>3</v>
      </c>
      <c r="D37" s="1192">
        <f t="shared" si="1"/>
        <v>200</v>
      </c>
      <c r="E37" s="1192" t="s">
        <v>3</v>
      </c>
      <c r="F37" s="1190">
        <f t="shared" si="2"/>
        <v>2000</v>
      </c>
      <c r="G37" s="1192" t="s">
        <v>3</v>
      </c>
      <c r="H37" s="1189">
        <v>2</v>
      </c>
      <c r="I37" s="1191" t="s">
        <v>40</v>
      </c>
      <c r="J37" s="149">
        <v>150</v>
      </c>
      <c r="K37" s="66">
        <v>200</v>
      </c>
      <c r="L37" s="66">
        <v>2000</v>
      </c>
      <c r="M37" s="164">
        <v>22.085338466272482</v>
      </c>
      <c r="N37" s="78">
        <v>1281.06</v>
      </c>
      <c r="O37" s="113">
        <v>37620.151660630276</v>
      </c>
      <c r="P37" s="109">
        <v>45983.714172309948</v>
      </c>
      <c r="Q37" s="254">
        <v>21078.136658774263</v>
      </c>
      <c r="R37" s="263">
        <v>58698.288319404543</v>
      </c>
      <c r="S37" s="259">
        <v>67061.850831084215</v>
      </c>
      <c r="U37" s="7" t="s">
        <v>5152</v>
      </c>
    </row>
    <row r="38" spans="1:21" ht="16.5" thickBot="1">
      <c r="A38" s="1188" t="s">
        <v>4533</v>
      </c>
      <c r="B38" s="1192">
        <f t="shared" si="0"/>
        <v>150</v>
      </c>
      <c r="C38" s="1192" t="s">
        <v>3</v>
      </c>
      <c r="D38" s="1192">
        <f t="shared" si="1"/>
        <v>200</v>
      </c>
      <c r="E38" s="1192" t="s">
        <v>3</v>
      </c>
      <c r="F38" s="1190">
        <f t="shared" si="2"/>
        <v>2050</v>
      </c>
      <c r="G38" s="1192" t="s">
        <v>3</v>
      </c>
      <c r="H38" s="1189">
        <v>2</v>
      </c>
      <c r="I38" s="1191" t="s">
        <v>40</v>
      </c>
      <c r="J38" s="149">
        <v>150</v>
      </c>
      <c r="K38" s="66">
        <v>200</v>
      </c>
      <c r="L38" s="66">
        <v>2050</v>
      </c>
      <c r="M38" s="164">
        <v>22.597873101007913</v>
      </c>
      <c r="N38" s="78">
        <v>1319.8799999999999</v>
      </c>
      <c r="O38" s="113">
        <v>38341.195656721546</v>
      </c>
      <c r="P38" s="109">
        <v>46891.194643240662</v>
      </c>
      <c r="Q38" s="254">
        <v>21468.812974987781</v>
      </c>
      <c r="R38" s="263">
        <v>59810.008631709323</v>
      </c>
      <c r="S38" s="259">
        <v>68360.007618228439</v>
      </c>
      <c r="U38" s="7" t="s">
        <v>5153</v>
      </c>
    </row>
    <row r="39" spans="1:21" ht="16.5" thickBot="1">
      <c r="A39" s="1188" t="s">
        <v>4533</v>
      </c>
      <c r="B39" s="1189">
        <f t="shared" si="0"/>
        <v>150</v>
      </c>
      <c r="C39" s="1189" t="s">
        <v>3</v>
      </c>
      <c r="D39" s="1189">
        <f t="shared" si="1"/>
        <v>200</v>
      </c>
      <c r="E39" s="1189" t="s">
        <v>3</v>
      </c>
      <c r="F39" s="1190">
        <f t="shared" si="2"/>
        <v>2100</v>
      </c>
      <c r="G39" s="1189" t="s">
        <v>3</v>
      </c>
      <c r="H39" s="1189">
        <v>2</v>
      </c>
      <c r="I39" s="1191" t="s">
        <v>40</v>
      </c>
      <c r="J39" s="149">
        <v>150</v>
      </c>
      <c r="K39" s="66">
        <v>200</v>
      </c>
      <c r="L39" s="66">
        <v>2100</v>
      </c>
      <c r="M39" s="164">
        <v>23.110407735743337</v>
      </c>
      <c r="N39" s="78">
        <v>1358.7</v>
      </c>
      <c r="O39" s="113">
        <v>39062.23965281283</v>
      </c>
      <c r="P39" s="109">
        <v>47798.675114171383</v>
      </c>
      <c r="Q39" s="254">
        <v>22110.823428985073</v>
      </c>
      <c r="R39" s="263">
        <v>61173.063081797904</v>
      </c>
      <c r="S39" s="259">
        <v>69909.498543156456</v>
      </c>
      <c r="U39" s="7" t="s">
        <v>5154</v>
      </c>
    </row>
    <row r="40" spans="1:21" ht="16.5" thickBot="1">
      <c r="A40" s="1188" t="s">
        <v>4533</v>
      </c>
      <c r="B40" s="1192">
        <f t="shared" si="0"/>
        <v>150</v>
      </c>
      <c r="C40" s="1192" t="s">
        <v>3</v>
      </c>
      <c r="D40" s="1192">
        <f t="shared" si="1"/>
        <v>200</v>
      </c>
      <c r="E40" s="1192" t="s">
        <v>3</v>
      </c>
      <c r="F40" s="1190">
        <f t="shared" si="2"/>
        <v>2150</v>
      </c>
      <c r="G40" s="1192" t="s">
        <v>3</v>
      </c>
      <c r="H40" s="1189">
        <v>2</v>
      </c>
      <c r="I40" s="1191" t="s">
        <v>40</v>
      </c>
      <c r="J40" s="149">
        <v>150</v>
      </c>
      <c r="K40" s="66">
        <v>200</v>
      </c>
      <c r="L40" s="66">
        <v>2150</v>
      </c>
      <c r="M40" s="164">
        <v>23.622942370478768</v>
      </c>
      <c r="N40" s="78">
        <v>1397.52</v>
      </c>
      <c r="O40" s="113">
        <v>39783.28380193287</v>
      </c>
      <c r="P40" s="109">
        <v>48706.155738130859</v>
      </c>
      <c r="Q40" s="254">
        <v>22501.499745198591</v>
      </c>
      <c r="R40" s="263">
        <v>62284.783547131461</v>
      </c>
      <c r="S40" s="259">
        <v>71207.65548332945</v>
      </c>
      <c r="U40" s="7" t="s">
        <v>5155</v>
      </c>
    </row>
    <row r="41" spans="1:21" ht="16.5" thickBot="1">
      <c r="A41" s="1188" t="s">
        <v>4533</v>
      </c>
      <c r="B41" s="1192">
        <f t="shared" si="0"/>
        <v>150</v>
      </c>
      <c r="C41" s="1192" t="s">
        <v>3</v>
      </c>
      <c r="D41" s="1192">
        <f t="shared" si="1"/>
        <v>200</v>
      </c>
      <c r="E41" s="1192" t="s">
        <v>3</v>
      </c>
      <c r="F41" s="1190">
        <f t="shared" si="2"/>
        <v>2200</v>
      </c>
      <c r="G41" s="1192" t="s">
        <v>3</v>
      </c>
      <c r="H41" s="1189">
        <v>2</v>
      </c>
      <c r="I41" s="1191" t="s">
        <v>40</v>
      </c>
      <c r="J41" s="149">
        <v>150</v>
      </c>
      <c r="K41" s="66">
        <v>200</v>
      </c>
      <c r="L41" s="66">
        <v>2200</v>
      </c>
      <c r="M41" s="164">
        <v>24.135477005214199</v>
      </c>
      <c r="N41" s="78">
        <v>1436.34</v>
      </c>
      <c r="O41" s="113">
        <v>40504.327798024155</v>
      </c>
      <c r="P41" s="109">
        <v>49613.63620906158</v>
      </c>
      <c r="Q41" s="254">
        <v>23143.510199195884</v>
      </c>
      <c r="R41" s="263">
        <v>63647.837997220035</v>
      </c>
      <c r="S41" s="259">
        <v>72757.146408257468</v>
      </c>
      <c r="U41" s="7" t="s">
        <v>5156</v>
      </c>
    </row>
    <row r="42" spans="1:21" ht="16.5" thickBot="1">
      <c r="A42" s="1188" t="s">
        <v>4533</v>
      </c>
      <c r="B42" s="1192">
        <f t="shared" si="0"/>
        <v>150</v>
      </c>
      <c r="C42" s="1192" t="s">
        <v>3</v>
      </c>
      <c r="D42" s="1192">
        <f t="shared" si="1"/>
        <v>200</v>
      </c>
      <c r="E42" s="1192" t="s">
        <v>3</v>
      </c>
      <c r="F42" s="1190">
        <f t="shared" si="2"/>
        <v>2250</v>
      </c>
      <c r="G42" s="1192" t="s">
        <v>3</v>
      </c>
      <c r="H42" s="1189">
        <v>2</v>
      </c>
      <c r="I42" s="1191" t="s">
        <v>40</v>
      </c>
      <c r="J42" s="149">
        <v>150</v>
      </c>
      <c r="K42" s="66">
        <v>200</v>
      </c>
      <c r="L42" s="66">
        <v>2250</v>
      </c>
      <c r="M42" s="164">
        <v>24.648011639949623</v>
      </c>
      <c r="N42" s="78">
        <v>1475.1599999999999</v>
      </c>
      <c r="O42" s="113">
        <v>41225.371794115425</v>
      </c>
      <c r="P42" s="109">
        <v>50521.116679992294</v>
      </c>
      <c r="Q42" s="254">
        <v>23534.186668438168</v>
      </c>
      <c r="R42" s="263">
        <v>64759.558462553592</v>
      </c>
      <c r="S42" s="259">
        <v>74055.303348430461</v>
      </c>
      <c r="U42" s="7" t="s">
        <v>5157</v>
      </c>
    </row>
    <row r="43" spans="1:21" ht="16.5" thickBot="1">
      <c r="A43" s="1188" t="s">
        <v>4533</v>
      </c>
      <c r="B43" s="1192">
        <f t="shared" si="0"/>
        <v>150</v>
      </c>
      <c r="C43" s="1192" t="s">
        <v>3</v>
      </c>
      <c r="D43" s="1192">
        <f t="shared" si="1"/>
        <v>200</v>
      </c>
      <c r="E43" s="1192" t="s">
        <v>3</v>
      </c>
      <c r="F43" s="1190">
        <f t="shared" si="2"/>
        <v>2300</v>
      </c>
      <c r="G43" s="1192" t="s">
        <v>3</v>
      </c>
      <c r="H43" s="1189">
        <v>2</v>
      </c>
      <c r="I43" s="1191" t="s">
        <v>40</v>
      </c>
      <c r="J43" s="149">
        <v>150</v>
      </c>
      <c r="K43" s="66">
        <v>200</v>
      </c>
      <c r="L43" s="66">
        <v>2300</v>
      </c>
      <c r="M43" s="164">
        <v>25.16054627468505</v>
      </c>
      <c r="N43" s="78">
        <v>1513.98</v>
      </c>
      <c r="O43" s="113">
        <v>41946.415943235472</v>
      </c>
      <c r="P43" s="109">
        <v>51428.597150923008</v>
      </c>
      <c r="Q43" s="254">
        <v>23924.862984651689</v>
      </c>
      <c r="R43" s="263">
        <v>65871.278927887164</v>
      </c>
      <c r="S43" s="259">
        <v>75353.4601355747</v>
      </c>
      <c r="U43" s="7" t="s">
        <v>5158</v>
      </c>
    </row>
    <row r="44" spans="1:21" ht="16.5" thickBot="1">
      <c r="A44" s="1188" t="s">
        <v>4533</v>
      </c>
      <c r="B44" s="1192">
        <f t="shared" si="0"/>
        <v>150</v>
      </c>
      <c r="C44" s="1192" t="s">
        <v>3</v>
      </c>
      <c r="D44" s="1192">
        <f t="shared" si="1"/>
        <v>200</v>
      </c>
      <c r="E44" s="1192" t="s">
        <v>3</v>
      </c>
      <c r="F44" s="1190">
        <f t="shared" si="2"/>
        <v>2350</v>
      </c>
      <c r="G44" s="1192" t="s">
        <v>3</v>
      </c>
      <c r="H44" s="1189">
        <v>2</v>
      </c>
      <c r="I44" s="1191" t="s">
        <v>40</v>
      </c>
      <c r="J44" s="149">
        <v>150</v>
      </c>
      <c r="K44" s="66">
        <v>200</v>
      </c>
      <c r="L44" s="66">
        <v>2350</v>
      </c>
      <c r="M44" s="164">
        <v>25.673080909420477</v>
      </c>
      <c r="N44" s="78">
        <v>1552.8</v>
      </c>
      <c r="O44" s="113">
        <v>42667.459939326749</v>
      </c>
      <c r="P44" s="109">
        <v>52336.077774882498</v>
      </c>
      <c r="Q44" s="254">
        <v>24566.873438648978</v>
      </c>
      <c r="R44" s="263">
        <v>67234.333377975723</v>
      </c>
      <c r="S44" s="259">
        <v>76902.951213531473</v>
      </c>
      <c r="U44" s="7" t="s">
        <v>5159</v>
      </c>
    </row>
    <row r="45" spans="1:21" ht="16.5" thickBot="1">
      <c r="A45" s="1188" t="s">
        <v>4533</v>
      </c>
      <c r="B45" s="1192">
        <f t="shared" si="0"/>
        <v>150</v>
      </c>
      <c r="C45" s="1192" t="s">
        <v>3</v>
      </c>
      <c r="D45" s="1192">
        <f t="shared" si="1"/>
        <v>200</v>
      </c>
      <c r="E45" s="1192" t="s">
        <v>3</v>
      </c>
      <c r="F45" s="1190">
        <f t="shared" si="2"/>
        <v>2400</v>
      </c>
      <c r="G45" s="1192" t="s">
        <v>3</v>
      </c>
      <c r="H45" s="1189">
        <v>2</v>
      </c>
      <c r="I45" s="1191" t="s">
        <v>40</v>
      </c>
      <c r="J45" s="149">
        <v>150</v>
      </c>
      <c r="K45" s="66">
        <v>200</v>
      </c>
      <c r="L45" s="66">
        <v>2400</v>
      </c>
      <c r="M45" s="164">
        <v>26.185615544155901</v>
      </c>
      <c r="N45" s="78">
        <v>1591.62</v>
      </c>
      <c r="O45" s="113">
        <v>43388.504088446789</v>
      </c>
      <c r="P45" s="109">
        <v>53243.558245813212</v>
      </c>
      <c r="Q45" s="254">
        <v>24957.549754862499</v>
      </c>
      <c r="R45" s="263">
        <v>68346.053843309288</v>
      </c>
      <c r="S45" s="259">
        <v>78201.108000675711</v>
      </c>
      <c r="U45" s="7" t="s">
        <v>5160</v>
      </c>
    </row>
    <row r="46" spans="1:21" ht="16.5" thickBot="1">
      <c r="A46" s="1188" t="s">
        <v>4533</v>
      </c>
      <c r="B46" s="1192">
        <f t="shared" si="0"/>
        <v>150</v>
      </c>
      <c r="C46" s="1192" t="s">
        <v>3</v>
      </c>
      <c r="D46" s="1192">
        <f t="shared" si="1"/>
        <v>200</v>
      </c>
      <c r="E46" s="1192" t="s">
        <v>3</v>
      </c>
      <c r="F46" s="1190">
        <f t="shared" si="2"/>
        <v>2450</v>
      </c>
      <c r="G46" s="1192" t="s">
        <v>3</v>
      </c>
      <c r="H46" s="1189">
        <v>2</v>
      </c>
      <c r="I46" s="1191" t="s">
        <v>40</v>
      </c>
      <c r="J46" s="149">
        <v>150</v>
      </c>
      <c r="K46" s="66">
        <v>200</v>
      </c>
      <c r="L46" s="66">
        <v>2450</v>
      </c>
      <c r="M46" s="164">
        <v>26.698150178891332</v>
      </c>
      <c r="N46" s="78">
        <v>1630.44</v>
      </c>
      <c r="O46" s="113">
        <v>44109.548084538066</v>
      </c>
      <c r="P46" s="109">
        <v>54151.038716743926</v>
      </c>
      <c r="Q46" s="254">
        <v>25599.560361888554</v>
      </c>
      <c r="R46" s="263">
        <v>69709.108446426617</v>
      </c>
      <c r="S46" s="259">
        <v>79750.599078632484</v>
      </c>
      <c r="U46" s="7" t="s">
        <v>5161</v>
      </c>
    </row>
    <row r="47" spans="1:21" ht="16.5" thickBot="1">
      <c r="A47" s="1188" t="s">
        <v>4533</v>
      </c>
      <c r="B47" s="1192">
        <f t="shared" si="0"/>
        <v>150</v>
      </c>
      <c r="C47" s="1192" t="s">
        <v>3</v>
      </c>
      <c r="D47" s="1192">
        <f t="shared" si="1"/>
        <v>200</v>
      </c>
      <c r="E47" s="1192" t="s">
        <v>3</v>
      </c>
      <c r="F47" s="1190">
        <f t="shared" si="2"/>
        <v>2500</v>
      </c>
      <c r="G47" s="1192" t="s">
        <v>3</v>
      </c>
      <c r="H47" s="1189">
        <v>2</v>
      </c>
      <c r="I47" s="1191" t="s">
        <v>40</v>
      </c>
      <c r="J47" s="149">
        <v>150</v>
      </c>
      <c r="K47" s="66">
        <v>200</v>
      </c>
      <c r="L47" s="66">
        <v>2500</v>
      </c>
      <c r="M47" s="164">
        <v>27.501047613626763</v>
      </c>
      <c r="N47" s="78">
        <v>1669.26</v>
      </c>
      <c r="O47" s="113">
        <v>45573.789285903942</v>
      </c>
      <c r="P47" s="109">
        <v>56003.42575066322</v>
      </c>
      <c r="Q47" s="254">
        <v>25990.236678102072</v>
      </c>
      <c r="R47" s="263">
        <v>71564.02596400601</v>
      </c>
      <c r="S47" s="259">
        <v>81993.662428765296</v>
      </c>
      <c r="U47" s="7" t="s">
        <v>5162</v>
      </c>
    </row>
    <row r="48" spans="1:21" ht="16.5" thickBot="1">
      <c r="A48" s="1188" t="s">
        <v>4533</v>
      </c>
      <c r="B48" s="1192">
        <f t="shared" si="0"/>
        <v>150</v>
      </c>
      <c r="C48" s="1192" t="s">
        <v>3</v>
      </c>
      <c r="D48" s="1192">
        <f t="shared" si="1"/>
        <v>200</v>
      </c>
      <c r="E48" s="1192" t="s">
        <v>3</v>
      </c>
      <c r="F48" s="1190">
        <f t="shared" si="2"/>
        <v>2550</v>
      </c>
      <c r="G48" s="1192" t="s">
        <v>3</v>
      </c>
      <c r="H48" s="1189">
        <v>2</v>
      </c>
      <c r="I48" s="1191" t="s">
        <v>40</v>
      </c>
      <c r="J48" s="149">
        <v>150</v>
      </c>
      <c r="K48" s="66">
        <v>200</v>
      </c>
      <c r="L48" s="66">
        <v>2550</v>
      </c>
      <c r="M48" s="164">
        <v>28.013582248362191</v>
      </c>
      <c r="N48" s="78">
        <v>1708.0800000000002</v>
      </c>
      <c r="O48" s="113">
        <v>46684.684161049656</v>
      </c>
      <c r="P48" s="109">
        <v>56926.209098106432</v>
      </c>
      <c r="Q48" s="254">
        <v>26632.247132099365</v>
      </c>
      <c r="R48" s="263">
        <v>73316.931293149013</v>
      </c>
      <c r="S48" s="259">
        <v>83558.456230205804</v>
      </c>
      <c r="U48" s="7" t="s">
        <v>5163</v>
      </c>
    </row>
    <row r="49" spans="1:21" ht="16.5" thickBot="1">
      <c r="A49" s="1188" t="s">
        <v>4533</v>
      </c>
      <c r="B49" s="1189">
        <f t="shared" si="0"/>
        <v>150</v>
      </c>
      <c r="C49" s="1189" t="s">
        <v>3</v>
      </c>
      <c r="D49" s="1189">
        <f t="shared" si="1"/>
        <v>200</v>
      </c>
      <c r="E49" s="1189" t="s">
        <v>3</v>
      </c>
      <c r="F49" s="1190">
        <f t="shared" si="2"/>
        <v>2600</v>
      </c>
      <c r="G49" s="1189" t="s">
        <v>3</v>
      </c>
      <c r="H49" s="1189">
        <v>2</v>
      </c>
      <c r="I49" s="1191" t="s">
        <v>40</v>
      </c>
      <c r="J49" s="149">
        <v>150</v>
      </c>
      <c r="K49" s="66">
        <v>200</v>
      </c>
      <c r="L49" s="66">
        <v>2600</v>
      </c>
      <c r="M49" s="164">
        <v>28.526116883097618</v>
      </c>
      <c r="N49" s="78">
        <v>1746.8999999999999</v>
      </c>
      <c r="O49" s="113">
        <v>47405.728157140933</v>
      </c>
      <c r="P49" s="109">
        <v>57833.689722065908</v>
      </c>
      <c r="Q49" s="254">
        <v>27022.923448312882</v>
      </c>
      <c r="R49" s="263">
        <v>74428.651605453808</v>
      </c>
      <c r="S49" s="259">
        <v>84856.613170378783</v>
      </c>
      <c r="U49" s="7" t="s">
        <v>5164</v>
      </c>
    </row>
    <row r="50" spans="1:21" ht="16.5" thickBot="1">
      <c r="A50" s="1188" t="s">
        <v>4533</v>
      </c>
      <c r="B50" s="1192">
        <f t="shared" si="0"/>
        <v>150</v>
      </c>
      <c r="C50" s="1192" t="s">
        <v>3</v>
      </c>
      <c r="D50" s="1192">
        <f t="shared" si="1"/>
        <v>200</v>
      </c>
      <c r="E50" s="1192" t="s">
        <v>3</v>
      </c>
      <c r="F50" s="1190">
        <f t="shared" si="2"/>
        <v>2650</v>
      </c>
      <c r="G50" s="1192" t="s">
        <v>3</v>
      </c>
      <c r="H50" s="1189">
        <v>2</v>
      </c>
      <c r="I50" s="1191" t="s">
        <v>40</v>
      </c>
      <c r="J50" s="149">
        <v>150</v>
      </c>
      <c r="K50" s="66">
        <v>200</v>
      </c>
      <c r="L50" s="66">
        <v>2650</v>
      </c>
      <c r="M50" s="164">
        <v>29.038651517833046</v>
      </c>
      <c r="N50" s="78">
        <v>1785.7199999999998</v>
      </c>
      <c r="O50" s="113">
        <v>48126.772306260973</v>
      </c>
      <c r="P50" s="109">
        <v>58741.170192996622</v>
      </c>
      <c r="Q50" s="254">
        <v>27664.933902310175</v>
      </c>
      <c r="R50" s="263">
        <v>75791.706208571151</v>
      </c>
      <c r="S50" s="259">
        <v>86406.1040953068</v>
      </c>
      <c r="U50" s="7" t="s">
        <v>5165</v>
      </c>
    </row>
    <row r="51" spans="1:21" ht="16.5" thickBot="1">
      <c r="A51" s="1188" t="s">
        <v>4533</v>
      </c>
      <c r="B51" s="1192">
        <f t="shared" si="0"/>
        <v>150</v>
      </c>
      <c r="C51" s="1192" t="s">
        <v>3</v>
      </c>
      <c r="D51" s="1192">
        <f t="shared" si="1"/>
        <v>200</v>
      </c>
      <c r="E51" s="1192" t="s">
        <v>3</v>
      </c>
      <c r="F51" s="1190">
        <f t="shared" si="2"/>
        <v>2700</v>
      </c>
      <c r="G51" s="1192" t="s">
        <v>3</v>
      </c>
      <c r="H51" s="1189">
        <v>2</v>
      </c>
      <c r="I51" s="1191" t="s">
        <v>40</v>
      </c>
      <c r="J51" s="149">
        <v>150</v>
      </c>
      <c r="K51" s="66">
        <v>200</v>
      </c>
      <c r="L51" s="66">
        <v>2700</v>
      </c>
      <c r="M51" s="164">
        <v>29.551186152568473</v>
      </c>
      <c r="N51" s="78">
        <v>1824.54</v>
      </c>
      <c r="O51" s="113">
        <v>48847.816302352257</v>
      </c>
      <c r="P51" s="109">
        <v>59648.65066392735</v>
      </c>
      <c r="Q51" s="254">
        <v>28055.610371552459</v>
      </c>
      <c r="R51" s="263">
        <v>76903.426673904716</v>
      </c>
      <c r="S51" s="259">
        <v>87704.261035479809</v>
      </c>
      <c r="U51" s="7" t="s">
        <v>5166</v>
      </c>
    </row>
    <row r="52" spans="1:21" ht="16.5" thickBot="1">
      <c r="A52" s="1188" t="s">
        <v>4533</v>
      </c>
      <c r="B52" s="1192">
        <f t="shared" si="0"/>
        <v>150</v>
      </c>
      <c r="C52" s="1192" t="s">
        <v>3</v>
      </c>
      <c r="D52" s="1192">
        <f t="shared" si="1"/>
        <v>200</v>
      </c>
      <c r="E52" s="1192" t="s">
        <v>3</v>
      </c>
      <c r="F52" s="1190">
        <f t="shared" si="2"/>
        <v>2750</v>
      </c>
      <c r="G52" s="1192" t="s">
        <v>3</v>
      </c>
      <c r="H52" s="1189">
        <v>2</v>
      </c>
      <c r="I52" s="1191" t="s">
        <v>40</v>
      </c>
      <c r="J52" s="149">
        <v>150</v>
      </c>
      <c r="K52" s="66">
        <v>200</v>
      </c>
      <c r="L52" s="66">
        <v>2750</v>
      </c>
      <c r="M52" s="164">
        <v>30.0637207873039</v>
      </c>
      <c r="N52" s="78">
        <v>1863.36</v>
      </c>
      <c r="O52" s="113">
        <v>49568.860451472297</v>
      </c>
      <c r="P52" s="109">
        <v>60556.131134858064</v>
      </c>
      <c r="Q52" s="254">
        <v>28446.286687765976</v>
      </c>
      <c r="R52" s="263">
        <v>78015.147139238281</v>
      </c>
      <c r="S52" s="259">
        <v>89002.417822624033</v>
      </c>
      <c r="U52" s="7" t="s">
        <v>5167</v>
      </c>
    </row>
    <row r="53" spans="1:21" ht="16.5" thickBot="1">
      <c r="A53" s="1188" t="s">
        <v>4533</v>
      </c>
      <c r="B53" s="1192">
        <f t="shared" si="0"/>
        <v>150</v>
      </c>
      <c r="C53" s="1192" t="s">
        <v>3</v>
      </c>
      <c r="D53" s="1192">
        <f t="shared" si="1"/>
        <v>200</v>
      </c>
      <c r="E53" s="1192" t="s">
        <v>3</v>
      </c>
      <c r="F53" s="1190">
        <f t="shared" si="2"/>
        <v>2800</v>
      </c>
      <c r="G53" s="1192" t="s">
        <v>3</v>
      </c>
      <c r="H53" s="1189">
        <v>2</v>
      </c>
      <c r="I53" s="1191" t="s">
        <v>40</v>
      </c>
      <c r="J53" s="149">
        <v>150</v>
      </c>
      <c r="K53" s="66">
        <v>200</v>
      </c>
      <c r="L53" s="66">
        <v>2800</v>
      </c>
      <c r="M53" s="164">
        <v>30.576255422039331</v>
      </c>
      <c r="N53" s="78">
        <v>1902.18</v>
      </c>
      <c r="O53" s="113">
        <v>50289.904447563575</v>
      </c>
      <c r="P53" s="109">
        <v>61463.61175881754</v>
      </c>
      <c r="Q53" s="254">
        <v>29088.297141763269</v>
      </c>
      <c r="R53" s="263">
        <v>79378.20158932684</v>
      </c>
      <c r="S53" s="259">
        <v>90551.908900580805</v>
      </c>
      <c r="U53" s="7" t="s">
        <v>5168</v>
      </c>
    </row>
    <row r="54" spans="1:21" ht="16.5" thickBot="1">
      <c r="A54" s="1188" t="s">
        <v>4533</v>
      </c>
      <c r="B54" s="1192">
        <f t="shared" si="0"/>
        <v>150</v>
      </c>
      <c r="C54" s="1192" t="s">
        <v>3</v>
      </c>
      <c r="D54" s="1192">
        <f t="shared" si="1"/>
        <v>200</v>
      </c>
      <c r="E54" s="1192" t="s">
        <v>3</v>
      </c>
      <c r="F54" s="1190">
        <f t="shared" si="2"/>
        <v>2850</v>
      </c>
      <c r="G54" s="1192" t="s">
        <v>3</v>
      </c>
      <c r="H54" s="1189">
        <v>2</v>
      </c>
      <c r="I54" s="1191" t="s">
        <v>40</v>
      </c>
      <c r="J54" s="149">
        <v>150</v>
      </c>
      <c r="K54" s="66">
        <v>200</v>
      </c>
      <c r="L54" s="66">
        <v>2850</v>
      </c>
      <c r="M54" s="164">
        <v>31.088790056774755</v>
      </c>
      <c r="N54" s="78">
        <v>1941</v>
      </c>
      <c r="O54" s="113">
        <v>51010.948443654852</v>
      </c>
      <c r="P54" s="109">
        <v>62371.092229748254</v>
      </c>
      <c r="Q54" s="254">
        <v>29478.973457976786</v>
      </c>
      <c r="R54" s="263">
        <v>80489.921901631635</v>
      </c>
      <c r="S54" s="259">
        <v>91850.065687725044</v>
      </c>
      <c r="U54" s="7" t="s">
        <v>5169</v>
      </c>
    </row>
    <row r="55" spans="1:21" ht="16.5" thickBot="1">
      <c r="A55" s="1188" t="s">
        <v>4533</v>
      </c>
      <c r="B55" s="1192">
        <f t="shared" si="0"/>
        <v>150</v>
      </c>
      <c r="C55" s="1192" t="s">
        <v>3</v>
      </c>
      <c r="D55" s="1192">
        <f t="shared" si="1"/>
        <v>200</v>
      </c>
      <c r="E55" s="1192" t="s">
        <v>3</v>
      </c>
      <c r="F55" s="1190">
        <f t="shared" si="2"/>
        <v>2900</v>
      </c>
      <c r="G55" s="1192" t="s">
        <v>3</v>
      </c>
      <c r="H55" s="1189">
        <v>2</v>
      </c>
      <c r="I55" s="1191" t="s">
        <v>40</v>
      </c>
      <c r="J55" s="149">
        <v>150</v>
      </c>
      <c r="K55" s="66">
        <v>200</v>
      </c>
      <c r="L55" s="66">
        <v>2900</v>
      </c>
      <c r="M55" s="164">
        <v>31.601324691510186</v>
      </c>
      <c r="N55" s="78">
        <v>1979.8199999999997</v>
      </c>
      <c r="O55" s="113">
        <v>51731.992592774892</v>
      </c>
      <c r="P55" s="109">
        <v>63278.572700678968</v>
      </c>
      <c r="Q55" s="254">
        <v>30120.983911974079</v>
      </c>
      <c r="R55" s="263">
        <v>81852.976504748978</v>
      </c>
      <c r="S55" s="259">
        <v>93399.556612653047</v>
      </c>
      <c r="U55" s="7" t="s">
        <v>5170</v>
      </c>
    </row>
    <row r="56" spans="1:21" ht="16.5" thickBot="1">
      <c r="A56" s="1188" t="s">
        <v>4533</v>
      </c>
      <c r="B56" s="1192">
        <f t="shared" si="0"/>
        <v>150</v>
      </c>
      <c r="C56" s="1192" t="s">
        <v>3</v>
      </c>
      <c r="D56" s="1192">
        <f t="shared" si="1"/>
        <v>200</v>
      </c>
      <c r="E56" s="1192" t="s">
        <v>3</v>
      </c>
      <c r="F56" s="1190">
        <f t="shared" si="2"/>
        <v>2950</v>
      </c>
      <c r="G56" s="1192" t="s">
        <v>3</v>
      </c>
      <c r="H56" s="1189">
        <v>2</v>
      </c>
      <c r="I56" s="1191" t="s">
        <v>40</v>
      </c>
      <c r="J56" s="149">
        <v>150</v>
      </c>
      <c r="K56" s="66">
        <v>200</v>
      </c>
      <c r="L56" s="66">
        <v>2950</v>
      </c>
      <c r="M56" s="164">
        <v>32.113859326245617</v>
      </c>
      <c r="N56" s="78">
        <v>2018.64</v>
      </c>
      <c r="O56" s="113">
        <v>52453.036588866169</v>
      </c>
      <c r="P56" s="109">
        <v>64186.053324638458</v>
      </c>
      <c r="Q56" s="254">
        <v>30511.660381216363</v>
      </c>
      <c r="R56" s="263">
        <v>82964.696970082528</v>
      </c>
      <c r="S56" s="259">
        <v>94697.713705854825</v>
      </c>
      <c r="U56" s="7" t="s">
        <v>5171</v>
      </c>
    </row>
    <row r="57" spans="1:21" ht="16.5" thickBot="1">
      <c r="A57" s="1188" t="s">
        <v>4533</v>
      </c>
      <c r="B57" s="1194">
        <f t="shared" si="0"/>
        <v>150</v>
      </c>
      <c r="C57" s="1194" t="s">
        <v>3</v>
      </c>
      <c r="D57" s="1194">
        <f t="shared" si="1"/>
        <v>200</v>
      </c>
      <c r="E57" s="1194" t="s">
        <v>3</v>
      </c>
      <c r="F57" s="1195">
        <f t="shared" si="2"/>
        <v>3000</v>
      </c>
      <c r="G57" s="1194" t="s">
        <v>3</v>
      </c>
      <c r="H57" s="1189">
        <v>2</v>
      </c>
      <c r="I57" s="1191" t="s">
        <v>40</v>
      </c>
      <c r="J57" s="151">
        <v>150</v>
      </c>
      <c r="K57" s="126">
        <v>200</v>
      </c>
      <c r="L57" s="126">
        <v>3000</v>
      </c>
      <c r="M57" s="171">
        <v>32.782465960981042</v>
      </c>
      <c r="N57" s="127">
        <v>2057.46</v>
      </c>
      <c r="O57" s="128">
        <v>53399.338927221455</v>
      </c>
      <c r="P57" s="154">
        <v>65318.792137833167</v>
      </c>
      <c r="Q57" s="255">
        <v>31153.670835213656</v>
      </c>
      <c r="R57" s="264">
        <v>84553.009762435104</v>
      </c>
      <c r="S57" s="261">
        <v>96472.462973046815</v>
      </c>
      <c r="U57" s="7" t="s">
        <v>5172</v>
      </c>
    </row>
    <row r="58" spans="1:21" ht="16.5" thickBot="1">
      <c r="A58" s="3010" t="s">
        <v>45</v>
      </c>
      <c r="B58" s="3011"/>
      <c r="C58" s="3011"/>
      <c r="D58" s="3011"/>
      <c r="E58" s="3011"/>
      <c r="F58" s="3011"/>
      <c r="G58" s="3011"/>
      <c r="H58" s="3011"/>
      <c r="I58" s="3011"/>
      <c r="J58" s="3011"/>
      <c r="K58" s="3011"/>
      <c r="L58" s="3011"/>
      <c r="M58" s="3011"/>
      <c r="N58" s="3011"/>
      <c r="O58" s="3011"/>
      <c r="P58" s="3011"/>
      <c r="Q58" s="3011"/>
      <c r="R58" s="3047"/>
      <c r="S58" s="3048"/>
      <c r="U58" s="7"/>
    </row>
    <row r="59" spans="1:21" ht="16.5" thickBot="1">
      <c r="A59" s="2974" t="s">
        <v>4532</v>
      </c>
      <c r="B59" s="2975"/>
      <c r="C59" s="2975"/>
      <c r="D59" s="2975"/>
      <c r="E59" s="2975"/>
      <c r="F59" s="2975"/>
      <c r="G59" s="2975"/>
      <c r="H59" s="2975"/>
      <c r="I59" s="2975"/>
      <c r="J59" s="2975"/>
      <c r="K59" s="2975"/>
      <c r="L59" s="2975"/>
      <c r="M59" s="2975"/>
      <c r="N59" s="2975"/>
      <c r="O59" s="2975"/>
      <c r="P59" s="2975"/>
      <c r="Q59" s="2975"/>
      <c r="R59" s="2975"/>
      <c r="S59" s="2976"/>
      <c r="U59" s="7"/>
    </row>
    <row r="60" spans="1:21" ht="16.5" thickBot="1">
      <c r="A60" s="1188" t="s">
        <v>4533</v>
      </c>
      <c r="B60" s="1189">
        <f>J60</f>
        <v>150</v>
      </c>
      <c r="C60" s="1189" t="s">
        <v>3</v>
      </c>
      <c r="D60" s="1189">
        <f>K60</f>
        <v>260</v>
      </c>
      <c r="E60" s="1189" t="s">
        <v>3</v>
      </c>
      <c r="F60" s="1190">
        <f>L60</f>
        <v>600</v>
      </c>
      <c r="G60" s="1189" t="s">
        <v>3</v>
      </c>
      <c r="H60" s="1189">
        <v>2</v>
      </c>
      <c r="I60" s="1191" t="s">
        <v>40</v>
      </c>
      <c r="J60" s="146">
        <v>150</v>
      </c>
      <c r="K60" s="122">
        <v>260</v>
      </c>
      <c r="L60" s="122">
        <v>600</v>
      </c>
      <c r="M60" s="163">
        <v>8.5406870317857688</v>
      </c>
      <c r="N60" s="123">
        <v>251.65882160999999</v>
      </c>
      <c r="O60" s="124">
        <v>16793.244620993199</v>
      </c>
      <c r="P60" s="153">
        <v>21103.633393446798</v>
      </c>
      <c r="Q60" s="139">
        <v>8214.2785134660462</v>
      </c>
      <c r="R60" s="262">
        <v>25007.523134459247</v>
      </c>
      <c r="S60" s="257">
        <v>29317.911906912843</v>
      </c>
      <c r="U60" s="7" t="s">
        <v>5173</v>
      </c>
    </row>
    <row r="61" spans="1:21" ht="16.5" thickBot="1">
      <c r="A61" s="1188" t="s">
        <v>4533</v>
      </c>
      <c r="B61" s="1192">
        <f t="shared" ref="B61:B108" si="3">J61</f>
        <v>150</v>
      </c>
      <c r="C61" s="1192" t="s">
        <v>3</v>
      </c>
      <c r="D61" s="1192">
        <f t="shared" ref="D61:D108" si="4">K61</f>
        <v>260</v>
      </c>
      <c r="E61" s="1192" t="s">
        <v>3</v>
      </c>
      <c r="F61" s="1190">
        <f t="shared" ref="F61:F108" si="5">L61</f>
        <v>650</v>
      </c>
      <c r="G61" s="1192" t="s">
        <v>3</v>
      </c>
      <c r="H61" s="1189">
        <v>2</v>
      </c>
      <c r="I61" s="1191" t="s">
        <v>40</v>
      </c>
      <c r="J61" s="149">
        <v>150</v>
      </c>
      <c r="K61" s="66">
        <v>260</v>
      </c>
      <c r="L61" s="66">
        <v>650</v>
      </c>
      <c r="M61" s="164">
        <v>9.1130847613633037</v>
      </c>
      <c r="N61" s="78">
        <v>301.99058593199999</v>
      </c>
      <c r="O61" s="113">
        <v>17546.316313395022</v>
      </c>
      <c r="P61" s="109">
        <v>22065.513907063036</v>
      </c>
      <c r="Q61" s="110">
        <v>8684.7340809460093</v>
      </c>
      <c r="R61" s="263">
        <v>26231.050394341029</v>
      </c>
      <c r="S61" s="259">
        <v>30750.247988009047</v>
      </c>
      <c r="U61" s="7" t="s">
        <v>5174</v>
      </c>
    </row>
    <row r="62" spans="1:21" ht="16.5" thickBot="1">
      <c r="A62" s="1188" t="s">
        <v>4533</v>
      </c>
      <c r="B62" s="1192">
        <f t="shared" si="3"/>
        <v>150</v>
      </c>
      <c r="C62" s="1192" t="s">
        <v>3</v>
      </c>
      <c r="D62" s="1192">
        <f t="shared" si="4"/>
        <v>260</v>
      </c>
      <c r="E62" s="1192" t="s">
        <v>3</v>
      </c>
      <c r="F62" s="1190">
        <f t="shared" si="5"/>
        <v>700</v>
      </c>
      <c r="G62" s="1192" t="s">
        <v>3</v>
      </c>
      <c r="H62" s="1189">
        <v>2</v>
      </c>
      <c r="I62" s="1191" t="s">
        <v>40</v>
      </c>
      <c r="J62" s="149">
        <v>150</v>
      </c>
      <c r="K62" s="66">
        <v>260</v>
      </c>
      <c r="L62" s="66">
        <v>700</v>
      </c>
      <c r="M62" s="164">
        <v>9.6854824909408368</v>
      </c>
      <c r="N62" s="78">
        <v>352.32235025399996</v>
      </c>
      <c r="O62" s="113">
        <v>18299.387852768075</v>
      </c>
      <c r="P62" s="109">
        <v>23027.39426765051</v>
      </c>
      <c r="Q62" s="110">
        <v>9406.5237862097401</v>
      </c>
      <c r="R62" s="263">
        <v>27705.911638977814</v>
      </c>
      <c r="S62" s="259">
        <v>32433.918053860252</v>
      </c>
      <c r="U62" s="7" t="s">
        <v>5175</v>
      </c>
    </row>
    <row r="63" spans="1:21" ht="16.5" thickBot="1">
      <c r="A63" s="1188" t="s">
        <v>4533</v>
      </c>
      <c r="B63" s="1192">
        <f t="shared" si="3"/>
        <v>150</v>
      </c>
      <c r="C63" s="1192" t="s">
        <v>3</v>
      </c>
      <c r="D63" s="1192">
        <f t="shared" si="4"/>
        <v>260</v>
      </c>
      <c r="E63" s="1192" t="s">
        <v>3</v>
      </c>
      <c r="F63" s="1190">
        <f t="shared" si="5"/>
        <v>750</v>
      </c>
      <c r="G63" s="1192" t="s">
        <v>3</v>
      </c>
      <c r="H63" s="1189">
        <v>2</v>
      </c>
      <c r="I63" s="1191" t="s">
        <v>40</v>
      </c>
      <c r="J63" s="149">
        <v>150</v>
      </c>
      <c r="K63" s="66">
        <v>260</v>
      </c>
      <c r="L63" s="66">
        <v>750</v>
      </c>
      <c r="M63" s="164">
        <v>10.25788022051837</v>
      </c>
      <c r="N63" s="78">
        <v>402.65411457599998</v>
      </c>
      <c r="O63" s="113">
        <v>19052.459545169891</v>
      </c>
      <c r="P63" s="109">
        <v>23989.274781266748</v>
      </c>
      <c r="Q63" s="110">
        <v>9876.9793536897032</v>
      </c>
      <c r="R63" s="263">
        <v>28929.438898859597</v>
      </c>
      <c r="S63" s="259">
        <v>33866.254134956449</v>
      </c>
      <c r="U63" s="7" t="s">
        <v>5176</v>
      </c>
    </row>
    <row r="64" spans="1:21" ht="16.5" thickBot="1">
      <c r="A64" s="1188" t="s">
        <v>4533</v>
      </c>
      <c r="B64" s="1192">
        <f t="shared" si="3"/>
        <v>150</v>
      </c>
      <c r="C64" s="1192" t="s">
        <v>3</v>
      </c>
      <c r="D64" s="1192">
        <f t="shared" si="4"/>
        <v>260</v>
      </c>
      <c r="E64" s="1192" t="s">
        <v>3</v>
      </c>
      <c r="F64" s="1190">
        <f t="shared" si="5"/>
        <v>800</v>
      </c>
      <c r="G64" s="1192" t="s">
        <v>3</v>
      </c>
      <c r="H64" s="1189">
        <v>2</v>
      </c>
      <c r="I64" s="1191" t="s">
        <v>40</v>
      </c>
      <c r="J64" s="149">
        <v>150</v>
      </c>
      <c r="K64" s="66">
        <v>260</v>
      </c>
      <c r="L64" s="66">
        <v>800</v>
      </c>
      <c r="M64" s="164">
        <v>10.830277950095903</v>
      </c>
      <c r="N64" s="78">
        <v>452.98587889800001</v>
      </c>
      <c r="O64" s="113">
        <v>20197.644799947288</v>
      </c>
      <c r="P64" s="109">
        <v>24966.45801836672</v>
      </c>
      <c r="Q64" s="110">
        <v>10347.434921169664</v>
      </c>
      <c r="R64" s="263">
        <v>30545.079721116952</v>
      </c>
      <c r="S64" s="259">
        <v>35313.892939536381</v>
      </c>
      <c r="U64" s="7" t="s">
        <v>5177</v>
      </c>
    </row>
    <row r="65" spans="1:21" ht="16.5" thickBot="1">
      <c r="A65" s="1188" t="s">
        <v>4533</v>
      </c>
      <c r="B65" s="1192">
        <f t="shared" si="3"/>
        <v>150</v>
      </c>
      <c r="C65" s="1192" t="s">
        <v>3</v>
      </c>
      <c r="D65" s="1192">
        <f t="shared" si="4"/>
        <v>260</v>
      </c>
      <c r="E65" s="1192" t="s">
        <v>3</v>
      </c>
      <c r="F65" s="1190">
        <f t="shared" si="5"/>
        <v>850</v>
      </c>
      <c r="G65" s="1192" t="s">
        <v>3</v>
      </c>
      <c r="H65" s="1189">
        <v>2</v>
      </c>
      <c r="I65" s="1191" t="s">
        <v>40</v>
      </c>
      <c r="J65" s="149">
        <v>150</v>
      </c>
      <c r="K65" s="66">
        <v>260</v>
      </c>
      <c r="L65" s="66">
        <v>850</v>
      </c>
      <c r="M65" s="164">
        <v>11.402675679673436</v>
      </c>
      <c r="N65" s="78">
        <v>503.31764321999998</v>
      </c>
      <c r="O65" s="113">
        <v>20950.716492349104</v>
      </c>
      <c r="P65" s="109">
        <v>25928.338531982954</v>
      </c>
      <c r="Q65" s="110">
        <v>11069.224626433395</v>
      </c>
      <c r="R65" s="263">
        <v>32019.941118782499</v>
      </c>
      <c r="S65" s="259">
        <v>36997.563158416349</v>
      </c>
      <c r="U65" s="7" t="s">
        <v>5178</v>
      </c>
    </row>
    <row r="66" spans="1:21" ht="16.5" thickBot="1">
      <c r="A66" s="1188" t="s">
        <v>4533</v>
      </c>
      <c r="B66" s="1192">
        <f t="shared" si="3"/>
        <v>150</v>
      </c>
      <c r="C66" s="1192" t="s">
        <v>3</v>
      </c>
      <c r="D66" s="1192">
        <f t="shared" si="4"/>
        <v>260</v>
      </c>
      <c r="E66" s="1192" t="s">
        <v>3</v>
      </c>
      <c r="F66" s="1190">
        <f t="shared" si="5"/>
        <v>900</v>
      </c>
      <c r="G66" s="1192" t="s">
        <v>3</v>
      </c>
      <c r="H66" s="1189">
        <v>2</v>
      </c>
      <c r="I66" s="1191" t="s">
        <v>40</v>
      </c>
      <c r="J66" s="149">
        <v>150</v>
      </c>
      <c r="K66" s="66">
        <v>260</v>
      </c>
      <c r="L66" s="66">
        <v>900</v>
      </c>
      <c r="M66" s="164">
        <v>11.975073409250971</v>
      </c>
      <c r="N66" s="78">
        <v>553.64940754200006</v>
      </c>
      <c r="O66" s="113">
        <v>21703.788031722161</v>
      </c>
      <c r="P66" s="109">
        <v>26890.218892570425</v>
      </c>
      <c r="Q66" s="110">
        <v>11539.680193913358</v>
      </c>
      <c r="R66" s="263">
        <v>33243.468225635515</v>
      </c>
      <c r="S66" s="259">
        <v>38429.899086483783</v>
      </c>
      <c r="U66" s="7" t="s">
        <v>5179</v>
      </c>
    </row>
    <row r="67" spans="1:21" ht="16.5" thickBot="1">
      <c r="A67" s="1188" t="s">
        <v>4533</v>
      </c>
      <c r="B67" s="1192">
        <f t="shared" si="3"/>
        <v>150</v>
      </c>
      <c r="C67" s="1192" t="s">
        <v>3</v>
      </c>
      <c r="D67" s="1192">
        <f t="shared" si="4"/>
        <v>260</v>
      </c>
      <c r="E67" s="1192" t="s">
        <v>3</v>
      </c>
      <c r="F67" s="1190">
        <f t="shared" si="5"/>
        <v>950</v>
      </c>
      <c r="G67" s="1192" t="s">
        <v>3</v>
      </c>
      <c r="H67" s="1189">
        <v>2</v>
      </c>
      <c r="I67" s="1191" t="s">
        <v>40</v>
      </c>
      <c r="J67" s="149">
        <v>150</v>
      </c>
      <c r="K67" s="66">
        <v>260</v>
      </c>
      <c r="L67" s="66">
        <v>950</v>
      </c>
      <c r="M67" s="164">
        <v>12.547471138828502</v>
      </c>
      <c r="N67" s="78">
        <v>603.98117186399998</v>
      </c>
      <c r="O67" s="113">
        <v>22456.85972412398</v>
      </c>
      <c r="P67" s="109">
        <v>27852.099406186666</v>
      </c>
      <c r="Q67" s="110">
        <v>12261.469899177091</v>
      </c>
      <c r="R67" s="263">
        <v>34718.32962330107</v>
      </c>
      <c r="S67" s="259">
        <v>40113.569305363759</v>
      </c>
      <c r="U67" s="7" t="s">
        <v>5180</v>
      </c>
    </row>
    <row r="68" spans="1:21" ht="16.5" thickBot="1">
      <c r="A68" s="1188" t="s">
        <v>4533</v>
      </c>
      <c r="B68" s="1192">
        <f t="shared" si="3"/>
        <v>150</v>
      </c>
      <c r="C68" s="1192" t="s">
        <v>3</v>
      </c>
      <c r="D68" s="1192">
        <f t="shared" si="4"/>
        <v>260</v>
      </c>
      <c r="E68" s="1192" t="s">
        <v>3</v>
      </c>
      <c r="F68" s="1190">
        <f t="shared" si="5"/>
        <v>1000</v>
      </c>
      <c r="G68" s="1192" t="s">
        <v>3</v>
      </c>
      <c r="H68" s="1189">
        <v>2</v>
      </c>
      <c r="I68" s="1191" t="s">
        <v>40</v>
      </c>
      <c r="J68" s="149">
        <v>150</v>
      </c>
      <c r="K68" s="66">
        <v>260</v>
      </c>
      <c r="L68" s="66">
        <v>1000</v>
      </c>
      <c r="M68" s="164">
        <v>13.221315668406035</v>
      </c>
      <c r="N68" s="78">
        <v>654.312936186</v>
      </c>
      <c r="O68" s="113">
        <v>23260.381786783444</v>
      </c>
      <c r="P68" s="109">
        <v>28864.430443089313</v>
      </c>
      <c r="Q68" s="110">
        <v>12731.925466657052</v>
      </c>
      <c r="R68" s="263">
        <v>35992.307253440493</v>
      </c>
      <c r="S68" s="259">
        <v>41596.355909746366</v>
      </c>
      <c r="U68" s="7" t="s">
        <v>5181</v>
      </c>
    </row>
    <row r="69" spans="1:21" ht="16.5" thickBot="1">
      <c r="A69" s="1188" t="s">
        <v>4533</v>
      </c>
      <c r="B69" s="1192">
        <f t="shared" si="3"/>
        <v>150</v>
      </c>
      <c r="C69" s="1192" t="s">
        <v>3</v>
      </c>
      <c r="D69" s="1192">
        <f t="shared" si="4"/>
        <v>260</v>
      </c>
      <c r="E69" s="1192" t="s">
        <v>3</v>
      </c>
      <c r="F69" s="1190">
        <f t="shared" si="5"/>
        <v>1050</v>
      </c>
      <c r="G69" s="1192" t="s">
        <v>3</v>
      </c>
      <c r="H69" s="1189">
        <v>2</v>
      </c>
      <c r="I69" s="1191" t="s">
        <v>40</v>
      </c>
      <c r="J69" s="149">
        <v>150</v>
      </c>
      <c r="K69" s="66">
        <v>260</v>
      </c>
      <c r="L69" s="66">
        <v>1050</v>
      </c>
      <c r="M69" s="164">
        <v>13.793713397983568</v>
      </c>
      <c r="N69" s="78">
        <v>704.64470050799991</v>
      </c>
      <c r="O69" s="113">
        <v>24013.45347918526</v>
      </c>
      <c r="P69" s="109">
        <v>29826.310803676788</v>
      </c>
      <c r="Q69" s="110">
        <v>13453.71501889202</v>
      </c>
      <c r="R69" s="263">
        <v>37467.168498077284</v>
      </c>
      <c r="S69" s="259">
        <v>43280.025822568809</v>
      </c>
      <c r="U69" s="7" t="s">
        <v>5182</v>
      </c>
    </row>
    <row r="70" spans="1:21" ht="16.5" thickBot="1">
      <c r="A70" s="1188" t="s">
        <v>4533</v>
      </c>
      <c r="B70" s="1189">
        <f t="shared" si="3"/>
        <v>150</v>
      </c>
      <c r="C70" s="1189" t="s">
        <v>3</v>
      </c>
      <c r="D70" s="1189">
        <f t="shared" si="4"/>
        <v>260</v>
      </c>
      <c r="E70" s="1189" t="s">
        <v>3</v>
      </c>
      <c r="F70" s="1190">
        <f t="shared" si="5"/>
        <v>1100</v>
      </c>
      <c r="G70" s="1189" t="s">
        <v>3</v>
      </c>
      <c r="H70" s="1189">
        <v>2</v>
      </c>
      <c r="I70" s="1191" t="s">
        <v>40</v>
      </c>
      <c r="J70" s="149">
        <v>150</v>
      </c>
      <c r="K70" s="66">
        <v>260</v>
      </c>
      <c r="L70" s="66">
        <v>1100</v>
      </c>
      <c r="M70" s="164">
        <v>14.366111127561101</v>
      </c>
      <c r="N70" s="78">
        <v>754.97646482999994</v>
      </c>
      <c r="O70" s="113">
        <v>24766.525018558314</v>
      </c>
      <c r="P70" s="109">
        <v>30788.191317293025</v>
      </c>
      <c r="Q70" s="110">
        <v>13924.170586371982</v>
      </c>
      <c r="R70" s="263">
        <v>38690.695604930297</v>
      </c>
      <c r="S70" s="259">
        <v>44712.361903665005</v>
      </c>
      <c r="U70" s="7" t="s">
        <v>5183</v>
      </c>
    </row>
    <row r="71" spans="1:21" ht="16.5" thickBot="1">
      <c r="A71" s="1188" t="s">
        <v>4533</v>
      </c>
      <c r="B71" s="1192">
        <f t="shared" si="3"/>
        <v>150</v>
      </c>
      <c r="C71" s="1192" t="s">
        <v>3</v>
      </c>
      <c r="D71" s="1192">
        <f t="shared" si="4"/>
        <v>260</v>
      </c>
      <c r="E71" s="1192" t="s">
        <v>3</v>
      </c>
      <c r="F71" s="1190">
        <f t="shared" si="5"/>
        <v>1150</v>
      </c>
      <c r="G71" s="1192" t="s">
        <v>3</v>
      </c>
      <c r="H71" s="1189">
        <v>2</v>
      </c>
      <c r="I71" s="1191" t="s">
        <v>40</v>
      </c>
      <c r="J71" s="149">
        <v>150</v>
      </c>
      <c r="K71" s="66">
        <v>260</v>
      </c>
      <c r="L71" s="66">
        <v>1150</v>
      </c>
      <c r="M71" s="164">
        <v>14.938508857138633</v>
      </c>
      <c r="N71" s="78">
        <v>805.30822915199997</v>
      </c>
      <c r="O71" s="113">
        <v>25519.596710960137</v>
      </c>
      <c r="P71" s="109">
        <v>31750.071677880496</v>
      </c>
      <c r="Q71" s="110">
        <v>14394.626153851941</v>
      </c>
      <c r="R71" s="263">
        <v>39914.22286481208</v>
      </c>
      <c r="S71" s="259">
        <v>46144.697831732439</v>
      </c>
      <c r="U71" s="7" t="s">
        <v>5184</v>
      </c>
    </row>
    <row r="72" spans="1:21" ht="16.5" thickBot="1">
      <c r="A72" s="1188" t="s">
        <v>4533</v>
      </c>
      <c r="B72" s="1192">
        <f t="shared" si="3"/>
        <v>150</v>
      </c>
      <c r="C72" s="1192" t="s">
        <v>3</v>
      </c>
      <c r="D72" s="1192">
        <f t="shared" si="4"/>
        <v>260</v>
      </c>
      <c r="E72" s="1192" t="s">
        <v>3</v>
      </c>
      <c r="F72" s="1190">
        <f t="shared" si="5"/>
        <v>1200</v>
      </c>
      <c r="G72" s="1192" t="s">
        <v>3</v>
      </c>
      <c r="H72" s="1189">
        <v>2</v>
      </c>
      <c r="I72" s="1191" t="s">
        <v>40</v>
      </c>
      <c r="J72" s="149">
        <v>150</v>
      </c>
      <c r="K72" s="66">
        <v>260</v>
      </c>
      <c r="L72" s="66">
        <v>1200</v>
      </c>
      <c r="M72" s="164">
        <v>15.510906586716164</v>
      </c>
      <c r="N72" s="78">
        <v>855.63999347399999</v>
      </c>
      <c r="O72" s="113">
        <v>26272.668250333187</v>
      </c>
      <c r="P72" s="109">
        <v>32711.952191496734</v>
      </c>
      <c r="Q72" s="110">
        <v>15116.415859115676</v>
      </c>
      <c r="R72" s="263">
        <v>41389.084109448864</v>
      </c>
      <c r="S72" s="259">
        <v>47828.368050612407</v>
      </c>
      <c r="U72" s="7" t="s">
        <v>5185</v>
      </c>
    </row>
    <row r="73" spans="1:21" ht="16.5" thickBot="1">
      <c r="A73" s="1188" t="s">
        <v>4533</v>
      </c>
      <c r="B73" s="1192">
        <f t="shared" si="3"/>
        <v>150</v>
      </c>
      <c r="C73" s="1192" t="s">
        <v>3</v>
      </c>
      <c r="D73" s="1192">
        <f t="shared" si="4"/>
        <v>260</v>
      </c>
      <c r="E73" s="1192" t="s">
        <v>3</v>
      </c>
      <c r="F73" s="1190">
        <f t="shared" si="5"/>
        <v>1250</v>
      </c>
      <c r="G73" s="1192" t="s">
        <v>3</v>
      </c>
      <c r="H73" s="1189">
        <v>2</v>
      </c>
      <c r="I73" s="1191" t="s">
        <v>40</v>
      </c>
      <c r="J73" s="149">
        <v>150</v>
      </c>
      <c r="K73" s="66">
        <v>260</v>
      </c>
      <c r="L73" s="66">
        <v>1250</v>
      </c>
      <c r="M73" s="164">
        <v>16.083304316293699</v>
      </c>
      <c r="N73" s="78">
        <v>905.97175779600002</v>
      </c>
      <c r="O73" s="113">
        <v>27025.73994273501</v>
      </c>
      <c r="P73" s="109">
        <v>33673.832552084205</v>
      </c>
      <c r="Q73" s="110">
        <v>15586.871426595639</v>
      </c>
      <c r="R73" s="263">
        <v>42612.611369330647</v>
      </c>
      <c r="S73" s="259">
        <v>49260.703978679841</v>
      </c>
      <c r="U73" s="7" t="s">
        <v>5186</v>
      </c>
    </row>
    <row r="74" spans="1:21" ht="16.5" thickBot="1">
      <c r="A74" s="1188" t="s">
        <v>4533</v>
      </c>
      <c r="B74" s="1192">
        <f t="shared" si="3"/>
        <v>150</v>
      </c>
      <c r="C74" s="1192" t="s">
        <v>3</v>
      </c>
      <c r="D74" s="1192">
        <f t="shared" si="4"/>
        <v>260</v>
      </c>
      <c r="E74" s="1192" t="s">
        <v>3</v>
      </c>
      <c r="F74" s="1190">
        <f t="shared" si="5"/>
        <v>1300</v>
      </c>
      <c r="G74" s="1192" t="s">
        <v>3</v>
      </c>
      <c r="H74" s="1189">
        <v>2</v>
      </c>
      <c r="I74" s="1191" t="s">
        <v>40</v>
      </c>
      <c r="J74" s="149">
        <v>150</v>
      </c>
      <c r="K74" s="66">
        <v>260</v>
      </c>
      <c r="L74" s="66">
        <v>1300</v>
      </c>
      <c r="M74" s="164">
        <v>16.655702045871234</v>
      </c>
      <c r="N74" s="78">
        <v>956.30352211799993</v>
      </c>
      <c r="O74" s="113">
        <v>27778.811482108064</v>
      </c>
      <c r="P74" s="109">
        <v>34635.713065700445</v>
      </c>
      <c r="Q74" s="110">
        <v>16308.66113185937</v>
      </c>
      <c r="R74" s="263">
        <v>44087.472613967431</v>
      </c>
      <c r="S74" s="259">
        <v>50944.374197559817</v>
      </c>
      <c r="U74" s="7" t="s">
        <v>5187</v>
      </c>
    </row>
    <row r="75" spans="1:21" ht="16.5" thickBot="1">
      <c r="A75" s="1188" t="s">
        <v>4533</v>
      </c>
      <c r="B75" s="1192">
        <f t="shared" si="3"/>
        <v>150</v>
      </c>
      <c r="C75" s="1192" t="s">
        <v>3</v>
      </c>
      <c r="D75" s="1192">
        <f t="shared" si="4"/>
        <v>260</v>
      </c>
      <c r="E75" s="1192" t="s">
        <v>3</v>
      </c>
      <c r="F75" s="1190">
        <f t="shared" si="5"/>
        <v>1350</v>
      </c>
      <c r="G75" s="1192" t="s">
        <v>3</v>
      </c>
      <c r="H75" s="1189">
        <v>2</v>
      </c>
      <c r="I75" s="1191" t="s">
        <v>40</v>
      </c>
      <c r="J75" s="149">
        <v>150</v>
      </c>
      <c r="K75" s="66">
        <v>260</v>
      </c>
      <c r="L75" s="66">
        <v>1350</v>
      </c>
      <c r="M75" s="164">
        <v>17.228099775448761</v>
      </c>
      <c r="N75" s="78">
        <v>1006.63528644</v>
      </c>
      <c r="O75" s="113">
        <v>28531.88317450988</v>
      </c>
      <c r="P75" s="109">
        <v>35597.593579316686</v>
      </c>
      <c r="Q75" s="110">
        <v>16779.116699339331</v>
      </c>
      <c r="R75" s="263">
        <v>45310.999873849214</v>
      </c>
      <c r="S75" s="259">
        <v>52376.710278656014</v>
      </c>
      <c r="U75" s="7" t="s">
        <v>5188</v>
      </c>
    </row>
    <row r="76" spans="1:21" ht="16.5" thickBot="1">
      <c r="A76" s="1188" t="s">
        <v>4533</v>
      </c>
      <c r="B76" s="1192">
        <f t="shared" si="3"/>
        <v>150</v>
      </c>
      <c r="C76" s="1192" t="s">
        <v>3</v>
      </c>
      <c r="D76" s="1192">
        <f t="shared" si="4"/>
        <v>260</v>
      </c>
      <c r="E76" s="1192" t="s">
        <v>3</v>
      </c>
      <c r="F76" s="1190">
        <f t="shared" si="5"/>
        <v>1400</v>
      </c>
      <c r="G76" s="1192" t="s">
        <v>3</v>
      </c>
      <c r="H76" s="1189">
        <v>2</v>
      </c>
      <c r="I76" s="1191" t="s">
        <v>40</v>
      </c>
      <c r="J76" s="149">
        <v>150</v>
      </c>
      <c r="K76" s="66">
        <v>260</v>
      </c>
      <c r="L76" s="66">
        <v>1400</v>
      </c>
      <c r="M76" s="164">
        <v>17.8004975050263</v>
      </c>
      <c r="N76" s="78">
        <v>1056.9670507620001</v>
      </c>
      <c r="O76" s="113">
        <v>29284.954713882937</v>
      </c>
      <c r="P76" s="109">
        <v>36559.473939904157</v>
      </c>
      <c r="Q76" s="110">
        <v>17500.906404603062</v>
      </c>
      <c r="R76" s="263">
        <v>46785.861118485998</v>
      </c>
      <c r="S76" s="259">
        <v>54060.380344507219</v>
      </c>
      <c r="U76" s="7" t="s">
        <v>5189</v>
      </c>
    </row>
    <row r="77" spans="1:21" ht="16.5" thickBot="1">
      <c r="A77" s="1188" t="s">
        <v>4533</v>
      </c>
      <c r="B77" s="1192">
        <f t="shared" si="3"/>
        <v>150</v>
      </c>
      <c r="C77" s="1192" t="s">
        <v>3</v>
      </c>
      <c r="D77" s="1192">
        <f t="shared" si="4"/>
        <v>260</v>
      </c>
      <c r="E77" s="1192" t="s">
        <v>3</v>
      </c>
      <c r="F77" s="1190">
        <f t="shared" si="5"/>
        <v>1450</v>
      </c>
      <c r="G77" s="1192" t="s">
        <v>3</v>
      </c>
      <c r="H77" s="1189">
        <v>2</v>
      </c>
      <c r="I77" s="1191" t="s">
        <v>40</v>
      </c>
      <c r="J77" s="149">
        <v>150</v>
      </c>
      <c r="K77" s="66">
        <v>260</v>
      </c>
      <c r="L77" s="66">
        <v>1450</v>
      </c>
      <c r="M77" s="164">
        <v>18.372895234603835</v>
      </c>
      <c r="N77" s="78">
        <v>1107.2988150840001</v>
      </c>
      <c r="O77" s="113">
        <v>30038.026406284756</v>
      </c>
      <c r="P77" s="109">
        <v>37521.354453520391</v>
      </c>
      <c r="Q77" s="110">
        <v>17971.361972083025</v>
      </c>
      <c r="R77" s="263">
        <v>48009.388378367781</v>
      </c>
      <c r="S77" s="259">
        <v>55492.716425603416</v>
      </c>
      <c r="U77" s="7" t="s">
        <v>5190</v>
      </c>
    </row>
    <row r="78" spans="1:21" ht="16.5" thickBot="1">
      <c r="A78" s="1188" t="s">
        <v>4533</v>
      </c>
      <c r="B78" s="1192">
        <f t="shared" si="3"/>
        <v>150</v>
      </c>
      <c r="C78" s="1192" t="s">
        <v>3</v>
      </c>
      <c r="D78" s="1192">
        <f t="shared" si="4"/>
        <v>260</v>
      </c>
      <c r="E78" s="1192" t="s">
        <v>3</v>
      </c>
      <c r="F78" s="1190">
        <f t="shared" si="5"/>
        <v>1500</v>
      </c>
      <c r="G78" s="1192" t="s">
        <v>3</v>
      </c>
      <c r="H78" s="1189">
        <v>2</v>
      </c>
      <c r="I78" s="1191" t="s">
        <v>40</v>
      </c>
      <c r="J78" s="149">
        <v>150</v>
      </c>
      <c r="K78" s="66">
        <v>260</v>
      </c>
      <c r="L78" s="66">
        <v>1500</v>
      </c>
      <c r="M78" s="164">
        <v>19.324064564181363</v>
      </c>
      <c r="N78" s="78">
        <v>1157.6305794059999</v>
      </c>
      <c r="O78" s="113">
        <v>31631.848387210586</v>
      </c>
      <c r="P78" s="109">
        <v>39587.442332217615</v>
      </c>
      <c r="Q78" s="110">
        <v>18693.151677346756</v>
      </c>
      <c r="R78" s="263">
        <v>50325.000064557345</v>
      </c>
      <c r="S78" s="259">
        <v>58280.594009564375</v>
      </c>
      <c r="U78" s="7" t="s">
        <v>5191</v>
      </c>
    </row>
    <row r="79" spans="1:21" ht="16.5" thickBot="1">
      <c r="A79" s="1188" t="s">
        <v>4533</v>
      </c>
      <c r="B79" s="1192">
        <f t="shared" si="3"/>
        <v>150</v>
      </c>
      <c r="C79" s="1192" t="s">
        <v>3</v>
      </c>
      <c r="D79" s="1192">
        <f t="shared" si="4"/>
        <v>260</v>
      </c>
      <c r="E79" s="1192" t="s">
        <v>3</v>
      </c>
      <c r="F79" s="1190">
        <f t="shared" si="5"/>
        <v>1550</v>
      </c>
      <c r="G79" s="1192" t="s">
        <v>3</v>
      </c>
      <c r="H79" s="1189">
        <v>2</v>
      </c>
      <c r="I79" s="1191" t="s">
        <v>40</v>
      </c>
      <c r="J79" s="149">
        <v>150</v>
      </c>
      <c r="K79" s="66">
        <v>260</v>
      </c>
      <c r="L79" s="66">
        <v>1550</v>
      </c>
      <c r="M79" s="164">
        <v>19.896462293758894</v>
      </c>
      <c r="N79" s="78">
        <v>1207.962343728</v>
      </c>
      <c r="O79" s="113">
        <v>32384.920079612406</v>
      </c>
      <c r="P79" s="109">
        <v>40549.322845833856</v>
      </c>
      <c r="Q79" s="110">
        <v>19163.607244826719</v>
      </c>
      <c r="R79" s="263">
        <v>51548.527324439128</v>
      </c>
      <c r="S79" s="259">
        <v>59712.930090660579</v>
      </c>
      <c r="U79" s="7" t="s">
        <v>5192</v>
      </c>
    </row>
    <row r="80" spans="1:21" ht="16.5" thickBot="1">
      <c r="A80" s="1188" t="s">
        <v>4533</v>
      </c>
      <c r="B80" s="1189">
        <f t="shared" si="3"/>
        <v>150</v>
      </c>
      <c r="C80" s="1189" t="s">
        <v>3</v>
      </c>
      <c r="D80" s="1189">
        <f t="shared" si="4"/>
        <v>260</v>
      </c>
      <c r="E80" s="1189" t="s">
        <v>3</v>
      </c>
      <c r="F80" s="1190">
        <f t="shared" si="5"/>
        <v>1600</v>
      </c>
      <c r="G80" s="1189" t="s">
        <v>3</v>
      </c>
      <c r="H80" s="1189">
        <v>2</v>
      </c>
      <c r="I80" s="1191" t="s">
        <v>40</v>
      </c>
      <c r="J80" s="149">
        <v>150</v>
      </c>
      <c r="K80" s="66">
        <v>260</v>
      </c>
      <c r="L80" s="66">
        <v>1600</v>
      </c>
      <c r="M80" s="164">
        <v>20.468860023336433</v>
      </c>
      <c r="N80" s="78">
        <v>1258.29410805</v>
      </c>
      <c r="O80" s="113">
        <v>33137.991618985463</v>
      </c>
      <c r="P80" s="109">
        <v>41511.20335945009</v>
      </c>
      <c r="Q80" s="110">
        <v>19634.062812306682</v>
      </c>
      <c r="R80" s="263">
        <v>52772.054431292141</v>
      </c>
      <c r="S80" s="259">
        <v>61145.266171756768</v>
      </c>
      <c r="U80" s="7" t="s">
        <v>5193</v>
      </c>
    </row>
    <row r="81" spans="1:21" ht="16.5" thickBot="1">
      <c r="A81" s="1188" t="s">
        <v>4533</v>
      </c>
      <c r="B81" s="1192">
        <f t="shared" si="3"/>
        <v>150</v>
      </c>
      <c r="C81" s="1192" t="s">
        <v>3</v>
      </c>
      <c r="D81" s="1192">
        <f t="shared" si="4"/>
        <v>260</v>
      </c>
      <c r="E81" s="1192" t="s">
        <v>3</v>
      </c>
      <c r="F81" s="1190">
        <f t="shared" si="5"/>
        <v>1650</v>
      </c>
      <c r="G81" s="1192" t="s">
        <v>3</v>
      </c>
      <c r="H81" s="1189">
        <v>2</v>
      </c>
      <c r="I81" s="1191" t="s">
        <v>40</v>
      </c>
      <c r="J81" s="149">
        <v>150</v>
      </c>
      <c r="K81" s="66">
        <v>260</v>
      </c>
      <c r="L81" s="66">
        <v>1650</v>
      </c>
      <c r="M81" s="164">
        <v>21.041257752913964</v>
      </c>
      <c r="N81" s="78">
        <v>1308.625872372</v>
      </c>
      <c r="O81" s="113">
        <v>33891.063311387283</v>
      </c>
      <c r="P81" s="109">
        <v>42473.083720037561</v>
      </c>
      <c r="Q81" s="110">
        <v>20355.852364541646</v>
      </c>
      <c r="R81" s="263">
        <v>54246.915675928933</v>
      </c>
      <c r="S81" s="259">
        <v>62828.936084579211</v>
      </c>
      <c r="U81" s="7" t="s">
        <v>5194</v>
      </c>
    </row>
    <row r="82" spans="1:21" ht="16.5" thickBot="1">
      <c r="A82" s="1188" t="s">
        <v>4533</v>
      </c>
      <c r="B82" s="1192">
        <f t="shared" si="3"/>
        <v>150</v>
      </c>
      <c r="C82" s="1192" t="s">
        <v>3</v>
      </c>
      <c r="D82" s="1192">
        <f t="shared" si="4"/>
        <v>260</v>
      </c>
      <c r="E82" s="1192" t="s">
        <v>3</v>
      </c>
      <c r="F82" s="1190">
        <f t="shared" si="5"/>
        <v>1700</v>
      </c>
      <c r="G82" s="1192" t="s">
        <v>3</v>
      </c>
      <c r="H82" s="1189">
        <v>2</v>
      </c>
      <c r="I82" s="1191" t="s">
        <v>40</v>
      </c>
      <c r="J82" s="149">
        <v>150</v>
      </c>
      <c r="K82" s="66">
        <v>260</v>
      </c>
      <c r="L82" s="66">
        <v>1700</v>
      </c>
      <c r="M82" s="164">
        <v>21.613655482491495</v>
      </c>
      <c r="N82" s="78">
        <v>1358.957636694</v>
      </c>
      <c r="O82" s="113">
        <v>34644.134850760332</v>
      </c>
      <c r="P82" s="109">
        <v>43434.964233653802</v>
      </c>
      <c r="Q82" s="110">
        <v>20826.307932021609</v>
      </c>
      <c r="R82" s="263">
        <v>55470.442782781945</v>
      </c>
      <c r="S82" s="259">
        <v>64261.272165675415</v>
      </c>
      <c r="U82" s="7" t="s">
        <v>5195</v>
      </c>
    </row>
    <row r="83" spans="1:21" ht="16.5" thickBot="1">
      <c r="A83" s="1188" t="s">
        <v>4533</v>
      </c>
      <c r="B83" s="1192">
        <f t="shared" si="3"/>
        <v>150</v>
      </c>
      <c r="C83" s="1192" t="s">
        <v>3</v>
      </c>
      <c r="D83" s="1192">
        <f t="shared" si="4"/>
        <v>260</v>
      </c>
      <c r="E83" s="1192" t="s">
        <v>3</v>
      </c>
      <c r="F83" s="1190">
        <f t="shared" si="5"/>
        <v>1750</v>
      </c>
      <c r="G83" s="1192" t="s">
        <v>3</v>
      </c>
      <c r="H83" s="1189">
        <v>2</v>
      </c>
      <c r="I83" s="1191" t="s">
        <v>40</v>
      </c>
      <c r="J83" s="149">
        <v>150</v>
      </c>
      <c r="K83" s="66">
        <v>260</v>
      </c>
      <c r="L83" s="66">
        <v>1750</v>
      </c>
      <c r="M83" s="164">
        <v>22.186053212069027</v>
      </c>
      <c r="N83" s="78">
        <v>1409.2894010159998</v>
      </c>
      <c r="O83" s="113">
        <v>35397.206543162152</v>
      </c>
      <c r="P83" s="109">
        <v>44396.844594241273</v>
      </c>
      <c r="Q83" s="110">
        <v>21548.09763728534</v>
      </c>
      <c r="R83" s="263">
        <v>56945.304180447492</v>
      </c>
      <c r="S83" s="259">
        <v>65944.942231526613</v>
      </c>
      <c r="U83" s="7" t="s">
        <v>5196</v>
      </c>
    </row>
    <row r="84" spans="1:21" ht="16.5" thickBot="1">
      <c r="A84" s="1188" t="s">
        <v>4533</v>
      </c>
      <c r="B84" s="1192">
        <f t="shared" si="3"/>
        <v>150</v>
      </c>
      <c r="C84" s="1192" t="s">
        <v>3</v>
      </c>
      <c r="D84" s="1192">
        <f t="shared" si="4"/>
        <v>260</v>
      </c>
      <c r="E84" s="1192" t="s">
        <v>3</v>
      </c>
      <c r="F84" s="1190">
        <f t="shared" si="5"/>
        <v>1800</v>
      </c>
      <c r="G84" s="1192" t="s">
        <v>3</v>
      </c>
      <c r="H84" s="1189">
        <v>2</v>
      </c>
      <c r="I84" s="1191" t="s">
        <v>40</v>
      </c>
      <c r="J84" s="149">
        <v>150</v>
      </c>
      <c r="K84" s="66">
        <v>260</v>
      </c>
      <c r="L84" s="66">
        <v>1800</v>
      </c>
      <c r="M84" s="164">
        <v>22.758450941646565</v>
      </c>
      <c r="N84" s="78">
        <v>1459.6211653379999</v>
      </c>
      <c r="O84" s="113">
        <v>36150.278082535209</v>
      </c>
      <c r="P84" s="109">
        <v>45358.725107857514</v>
      </c>
      <c r="Q84" s="110">
        <v>22018.553204765303</v>
      </c>
      <c r="R84" s="263">
        <v>58168.831287300512</v>
      </c>
      <c r="S84" s="259">
        <v>67377.278312622817</v>
      </c>
      <c r="U84" s="7" t="s">
        <v>5197</v>
      </c>
    </row>
    <row r="85" spans="1:21" ht="16.5" thickBot="1">
      <c r="A85" s="1188" t="s">
        <v>4533</v>
      </c>
      <c r="B85" s="1192">
        <f t="shared" si="3"/>
        <v>150</v>
      </c>
      <c r="C85" s="1192" t="s">
        <v>3</v>
      </c>
      <c r="D85" s="1192">
        <f t="shared" si="4"/>
        <v>260</v>
      </c>
      <c r="E85" s="1192" t="s">
        <v>3</v>
      </c>
      <c r="F85" s="1190">
        <f t="shared" si="5"/>
        <v>1850</v>
      </c>
      <c r="G85" s="1192" t="s">
        <v>3</v>
      </c>
      <c r="H85" s="1189">
        <v>2</v>
      </c>
      <c r="I85" s="1191" t="s">
        <v>40</v>
      </c>
      <c r="J85" s="149">
        <v>150</v>
      </c>
      <c r="K85" s="66">
        <v>260</v>
      </c>
      <c r="L85" s="66">
        <v>1850</v>
      </c>
      <c r="M85" s="164">
        <v>23.330848671224096</v>
      </c>
      <c r="N85" s="78">
        <v>1509.9529296599999</v>
      </c>
      <c r="O85" s="113">
        <v>36903.349774937022</v>
      </c>
      <c r="P85" s="109">
        <v>46320.605468444985</v>
      </c>
      <c r="Q85" s="110">
        <v>22740.342910029034</v>
      </c>
      <c r="R85" s="263">
        <v>59643.692684966052</v>
      </c>
      <c r="S85" s="259">
        <v>69060.948378474015</v>
      </c>
      <c r="U85" s="7" t="s">
        <v>5198</v>
      </c>
    </row>
    <row r="86" spans="1:21" ht="16.5" thickBot="1">
      <c r="A86" s="1188" t="s">
        <v>4533</v>
      </c>
      <c r="B86" s="1192">
        <f t="shared" si="3"/>
        <v>150</v>
      </c>
      <c r="C86" s="1192" t="s">
        <v>3</v>
      </c>
      <c r="D86" s="1192">
        <f t="shared" si="4"/>
        <v>260</v>
      </c>
      <c r="E86" s="1192" t="s">
        <v>3</v>
      </c>
      <c r="F86" s="1190">
        <f t="shared" si="5"/>
        <v>1900</v>
      </c>
      <c r="G86" s="1192" t="s">
        <v>3</v>
      </c>
      <c r="H86" s="1189">
        <v>2</v>
      </c>
      <c r="I86" s="1191" t="s">
        <v>40</v>
      </c>
      <c r="J86" s="149">
        <v>150</v>
      </c>
      <c r="K86" s="66">
        <v>260</v>
      </c>
      <c r="L86" s="66">
        <v>1900</v>
      </c>
      <c r="M86" s="164">
        <v>23.903246400801628</v>
      </c>
      <c r="N86" s="78">
        <v>1560.2846939819999</v>
      </c>
      <c r="O86" s="113">
        <v>37656.421314310079</v>
      </c>
      <c r="P86" s="109">
        <v>47282.485982061226</v>
      </c>
      <c r="Q86" s="110">
        <v>23210.798477508997</v>
      </c>
      <c r="R86" s="263">
        <v>60867.21979181908</v>
      </c>
      <c r="S86" s="259">
        <v>70493.284459570219</v>
      </c>
      <c r="U86" s="7" t="s">
        <v>5199</v>
      </c>
    </row>
    <row r="87" spans="1:21" ht="16.5" thickBot="1">
      <c r="A87" s="1188" t="s">
        <v>4533</v>
      </c>
      <c r="B87" s="1192">
        <f t="shared" si="3"/>
        <v>150</v>
      </c>
      <c r="C87" s="1192" t="s">
        <v>3</v>
      </c>
      <c r="D87" s="1192">
        <f t="shared" si="4"/>
        <v>260</v>
      </c>
      <c r="E87" s="1192" t="s">
        <v>3</v>
      </c>
      <c r="F87" s="1190">
        <f t="shared" si="5"/>
        <v>1950</v>
      </c>
      <c r="G87" s="1192" t="s">
        <v>3</v>
      </c>
      <c r="H87" s="1189">
        <v>2</v>
      </c>
      <c r="I87" s="1191" t="s">
        <v>40</v>
      </c>
      <c r="J87" s="149">
        <v>150</v>
      </c>
      <c r="K87" s="66">
        <v>260</v>
      </c>
      <c r="L87" s="66">
        <v>1950</v>
      </c>
      <c r="M87" s="164">
        <v>24.475644130379166</v>
      </c>
      <c r="N87" s="78">
        <v>1610.6164583039999</v>
      </c>
      <c r="O87" s="113">
        <v>38409.492853683136</v>
      </c>
      <c r="P87" s="109">
        <v>48244.366495677459</v>
      </c>
      <c r="Q87" s="110">
        <v>23681.25404498896</v>
      </c>
      <c r="R87" s="263">
        <v>62090.746898672092</v>
      </c>
      <c r="S87" s="259">
        <v>71925.620540666423</v>
      </c>
      <c r="U87" s="7" t="s">
        <v>5200</v>
      </c>
    </row>
    <row r="88" spans="1:21" ht="16.5" thickBot="1">
      <c r="A88" s="1188" t="s">
        <v>4533</v>
      </c>
      <c r="B88" s="1192">
        <f t="shared" si="3"/>
        <v>150</v>
      </c>
      <c r="C88" s="1192" t="s">
        <v>3</v>
      </c>
      <c r="D88" s="1192">
        <f t="shared" si="4"/>
        <v>260</v>
      </c>
      <c r="E88" s="1192" t="s">
        <v>3</v>
      </c>
      <c r="F88" s="1190">
        <f t="shared" si="5"/>
        <v>2000</v>
      </c>
      <c r="G88" s="1192" t="s">
        <v>3</v>
      </c>
      <c r="H88" s="1189">
        <v>2</v>
      </c>
      <c r="I88" s="1191" t="s">
        <v>40</v>
      </c>
      <c r="J88" s="149">
        <v>150</v>
      </c>
      <c r="K88" s="66">
        <v>260</v>
      </c>
      <c r="L88" s="66">
        <v>2000</v>
      </c>
      <c r="M88" s="164">
        <v>25.149488659956692</v>
      </c>
      <c r="N88" s="78">
        <v>1660.9482226259997</v>
      </c>
      <c r="O88" s="113">
        <v>39647.364723950202</v>
      </c>
      <c r="P88" s="109">
        <v>49369.326550683341</v>
      </c>
      <c r="Q88" s="110">
        <v>24403.043750252691</v>
      </c>
      <c r="R88" s="263">
        <v>64050.408474202894</v>
      </c>
      <c r="S88" s="259">
        <v>73772.370300936032</v>
      </c>
      <c r="U88" s="7" t="s">
        <v>5201</v>
      </c>
    </row>
    <row r="89" spans="1:21" ht="16.5" thickBot="1">
      <c r="A89" s="1188" t="s">
        <v>4533</v>
      </c>
      <c r="B89" s="1192">
        <f t="shared" si="3"/>
        <v>150</v>
      </c>
      <c r="C89" s="1192" t="s">
        <v>3</v>
      </c>
      <c r="D89" s="1192">
        <f t="shared" si="4"/>
        <v>260</v>
      </c>
      <c r="E89" s="1192" t="s">
        <v>3</v>
      </c>
      <c r="F89" s="1190">
        <f t="shared" si="5"/>
        <v>2050</v>
      </c>
      <c r="G89" s="1192" t="s">
        <v>3</v>
      </c>
      <c r="H89" s="1189">
        <v>2</v>
      </c>
      <c r="I89" s="1191" t="s">
        <v>40</v>
      </c>
      <c r="J89" s="149">
        <v>150</v>
      </c>
      <c r="K89" s="66">
        <v>260</v>
      </c>
      <c r="L89" s="66">
        <v>2050</v>
      </c>
      <c r="M89" s="164">
        <v>25.721886389534227</v>
      </c>
      <c r="N89" s="78">
        <v>1711.279986948</v>
      </c>
      <c r="O89" s="113">
        <v>40400.436263323259</v>
      </c>
      <c r="P89" s="109">
        <v>50331.207064299582</v>
      </c>
      <c r="Q89" s="110">
        <v>24873.499317732651</v>
      </c>
      <c r="R89" s="263">
        <v>65273.935581055906</v>
      </c>
      <c r="S89" s="259">
        <v>75204.706382032236</v>
      </c>
      <c r="U89" s="7" t="s">
        <v>5202</v>
      </c>
    </row>
    <row r="90" spans="1:21" ht="16.5" thickBot="1">
      <c r="A90" s="1188" t="s">
        <v>4533</v>
      </c>
      <c r="B90" s="1189">
        <f t="shared" si="3"/>
        <v>150</v>
      </c>
      <c r="C90" s="1189" t="s">
        <v>3</v>
      </c>
      <c r="D90" s="1189">
        <f t="shared" si="4"/>
        <v>260</v>
      </c>
      <c r="E90" s="1189" t="s">
        <v>3</v>
      </c>
      <c r="F90" s="1190">
        <f t="shared" si="5"/>
        <v>2100</v>
      </c>
      <c r="G90" s="1189" t="s">
        <v>3</v>
      </c>
      <c r="H90" s="1189">
        <v>2</v>
      </c>
      <c r="I90" s="1191" t="s">
        <v>40</v>
      </c>
      <c r="J90" s="149">
        <v>150</v>
      </c>
      <c r="K90" s="66">
        <v>260</v>
      </c>
      <c r="L90" s="66">
        <v>2100</v>
      </c>
      <c r="M90" s="164">
        <v>26.294284119111758</v>
      </c>
      <c r="N90" s="78">
        <v>1761.61175127</v>
      </c>
      <c r="O90" s="113">
        <v>41153.507955725072</v>
      </c>
      <c r="P90" s="109">
        <v>51293.087424887046</v>
      </c>
      <c r="Q90" s="110">
        <v>25595.289022996385</v>
      </c>
      <c r="R90" s="263">
        <v>66748.796978721453</v>
      </c>
      <c r="S90" s="259">
        <v>76888.376447883435</v>
      </c>
      <c r="U90" s="7" t="s">
        <v>5203</v>
      </c>
    </row>
    <row r="91" spans="1:21" ht="16.5" thickBot="1">
      <c r="A91" s="1188" t="s">
        <v>4533</v>
      </c>
      <c r="B91" s="1192">
        <f t="shared" si="3"/>
        <v>150</v>
      </c>
      <c r="C91" s="1192" t="s">
        <v>3</v>
      </c>
      <c r="D91" s="1192">
        <f t="shared" si="4"/>
        <v>260</v>
      </c>
      <c r="E91" s="1192" t="s">
        <v>3</v>
      </c>
      <c r="F91" s="1190">
        <f t="shared" si="5"/>
        <v>2150</v>
      </c>
      <c r="G91" s="1192" t="s">
        <v>3</v>
      </c>
      <c r="H91" s="1189">
        <v>2</v>
      </c>
      <c r="I91" s="1191" t="s">
        <v>40</v>
      </c>
      <c r="J91" s="149">
        <v>150</v>
      </c>
      <c r="K91" s="66">
        <v>260</v>
      </c>
      <c r="L91" s="66">
        <v>2150</v>
      </c>
      <c r="M91" s="164">
        <v>26.866681848689293</v>
      </c>
      <c r="N91" s="78">
        <v>1811.943515592</v>
      </c>
      <c r="O91" s="113">
        <v>41906.579495098129</v>
      </c>
      <c r="P91" s="109">
        <v>52254.967938503287</v>
      </c>
      <c r="Q91" s="110">
        <v>26065.744590476344</v>
      </c>
      <c r="R91" s="263">
        <v>67972.324085574481</v>
      </c>
      <c r="S91" s="259">
        <v>78320.712528979639</v>
      </c>
      <c r="U91" s="7" t="s">
        <v>5204</v>
      </c>
    </row>
    <row r="92" spans="1:21" ht="16.5" thickBot="1">
      <c r="A92" s="1188" t="s">
        <v>4533</v>
      </c>
      <c r="B92" s="1192">
        <f t="shared" si="3"/>
        <v>150</v>
      </c>
      <c r="C92" s="1192" t="s">
        <v>3</v>
      </c>
      <c r="D92" s="1192">
        <f t="shared" si="4"/>
        <v>260</v>
      </c>
      <c r="E92" s="1192" t="s">
        <v>3</v>
      </c>
      <c r="F92" s="1190">
        <f t="shared" si="5"/>
        <v>2200</v>
      </c>
      <c r="G92" s="1192" t="s">
        <v>3</v>
      </c>
      <c r="H92" s="1189">
        <v>2</v>
      </c>
      <c r="I92" s="1191" t="s">
        <v>40</v>
      </c>
      <c r="J92" s="149">
        <v>150</v>
      </c>
      <c r="K92" s="66">
        <v>260</v>
      </c>
      <c r="L92" s="66">
        <v>2200</v>
      </c>
      <c r="M92" s="164">
        <v>27.439079578266828</v>
      </c>
      <c r="N92" s="78">
        <v>1862.2752799140001</v>
      </c>
      <c r="O92" s="113">
        <v>42659.651187499949</v>
      </c>
      <c r="P92" s="109">
        <v>53216.848452119521</v>
      </c>
      <c r="Q92" s="110">
        <v>26787.534295740079</v>
      </c>
      <c r="R92" s="263">
        <v>69447.185483240028</v>
      </c>
      <c r="S92" s="259">
        <v>80004.382747859607</v>
      </c>
      <c r="U92" s="7" t="s">
        <v>5205</v>
      </c>
    </row>
    <row r="93" spans="1:21" ht="16.5" thickBot="1">
      <c r="A93" s="1188" t="s">
        <v>4533</v>
      </c>
      <c r="B93" s="1192">
        <f t="shared" si="3"/>
        <v>150</v>
      </c>
      <c r="C93" s="1192" t="s">
        <v>3</v>
      </c>
      <c r="D93" s="1192">
        <f t="shared" si="4"/>
        <v>260</v>
      </c>
      <c r="E93" s="1192" t="s">
        <v>3</v>
      </c>
      <c r="F93" s="1190">
        <f t="shared" si="5"/>
        <v>2250</v>
      </c>
      <c r="G93" s="1192" t="s">
        <v>3</v>
      </c>
      <c r="H93" s="1189">
        <v>2</v>
      </c>
      <c r="I93" s="1191" t="s">
        <v>40</v>
      </c>
      <c r="J93" s="149">
        <v>150</v>
      </c>
      <c r="K93" s="66">
        <v>260</v>
      </c>
      <c r="L93" s="66">
        <v>2250</v>
      </c>
      <c r="M93" s="164">
        <v>28.011477307844359</v>
      </c>
      <c r="N93" s="78">
        <v>1912.6070442359999</v>
      </c>
      <c r="O93" s="113">
        <v>43412.722726872998</v>
      </c>
      <c r="P93" s="109">
        <v>54178.728812706999</v>
      </c>
      <c r="Q93" s="110">
        <v>27257.989710191272</v>
      </c>
      <c r="R93" s="263">
        <v>70670.71243706427</v>
      </c>
      <c r="S93" s="259">
        <v>81436.718522898271</v>
      </c>
      <c r="U93" s="7" t="s">
        <v>5206</v>
      </c>
    </row>
    <row r="94" spans="1:21" ht="16.5" thickBot="1">
      <c r="A94" s="1188" t="s">
        <v>4533</v>
      </c>
      <c r="B94" s="1192">
        <f t="shared" si="3"/>
        <v>150</v>
      </c>
      <c r="C94" s="1192" t="s">
        <v>3</v>
      </c>
      <c r="D94" s="1192">
        <f t="shared" si="4"/>
        <v>260</v>
      </c>
      <c r="E94" s="1192" t="s">
        <v>3</v>
      </c>
      <c r="F94" s="1190">
        <f t="shared" si="5"/>
        <v>2300</v>
      </c>
      <c r="G94" s="1192" t="s">
        <v>3</v>
      </c>
      <c r="H94" s="1189">
        <v>2</v>
      </c>
      <c r="I94" s="1191" t="s">
        <v>40</v>
      </c>
      <c r="J94" s="149">
        <v>150</v>
      </c>
      <c r="K94" s="66">
        <v>260</v>
      </c>
      <c r="L94" s="66">
        <v>2300</v>
      </c>
      <c r="M94" s="164">
        <v>28.58387503742189</v>
      </c>
      <c r="N94" s="78">
        <v>1962.9388085579999</v>
      </c>
      <c r="O94" s="113">
        <v>44165.794419274818</v>
      </c>
      <c r="P94" s="109">
        <v>55140.60932632324</v>
      </c>
      <c r="Q94" s="110">
        <v>27728.445277671239</v>
      </c>
      <c r="R94" s="263">
        <v>71894.239696946053</v>
      </c>
      <c r="S94" s="259">
        <v>82869.054603994475</v>
      </c>
      <c r="U94" s="7" t="s">
        <v>5207</v>
      </c>
    </row>
    <row r="95" spans="1:21" ht="16.5" thickBot="1">
      <c r="A95" s="1188" t="s">
        <v>4533</v>
      </c>
      <c r="B95" s="1192">
        <f t="shared" si="3"/>
        <v>150</v>
      </c>
      <c r="C95" s="1192" t="s">
        <v>3</v>
      </c>
      <c r="D95" s="1192">
        <f t="shared" si="4"/>
        <v>260</v>
      </c>
      <c r="E95" s="1192" t="s">
        <v>3</v>
      </c>
      <c r="F95" s="1190">
        <f t="shared" si="5"/>
        <v>2350</v>
      </c>
      <c r="G95" s="1192" t="s">
        <v>3</v>
      </c>
      <c r="H95" s="1189">
        <v>2</v>
      </c>
      <c r="I95" s="1191" t="s">
        <v>40</v>
      </c>
      <c r="J95" s="149">
        <v>150</v>
      </c>
      <c r="K95" s="66">
        <v>260</v>
      </c>
      <c r="L95" s="66">
        <v>2350</v>
      </c>
      <c r="M95" s="164">
        <v>29.156272766999429</v>
      </c>
      <c r="N95" s="78">
        <v>2013.2705728799999</v>
      </c>
      <c r="O95" s="113">
        <v>44918.865958647875</v>
      </c>
      <c r="P95" s="109">
        <v>56102.489686910703</v>
      </c>
      <c r="Q95" s="110">
        <v>28450.234982934966</v>
      </c>
      <c r="R95" s="263">
        <v>73369.100941582845</v>
      </c>
      <c r="S95" s="259">
        <v>84552.724669845673</v>
      </c>
      <c r="U95" s="7" t="s">
        <v>5208</v>
      </c>
    </row>
    <row r="96" spans="1:21" ht="16.5" thickBot="1">
      <c r="A96" s="1188" t="s">
        <v>4533</v>
      </c>
      <c r="B96" s="1192">
        <f t="shared" si="3"/>
        <v>150</v>
      </c>
      <c r="C96" s="1192" t="s">
        <v>3</v>
      </c>
      <c r="D96" s="1192">
        <f t="shared" si="4"/>
        <v>260</v>
      </c>
      <c r="E96" s="1192" t="s">
        <v>3</v>
      </c>
      <c r="F96" s="1190">
        <f t="shared" si="5"/>
        <v>2400</v>
      </c>
      <c r="G96" s="1192" t="s">
        <v>3</v>
      </c>
      <c r="H96" s="1189">
        <v>2</v>
      </c>
      <c r="I96" s="1191" t="s">
        <v>40</v>
      </c>
      <c r="J96" s="149">
        <v>150</v>
      </c>
      <c r="K96" s="66">
        <v>260</v>
      </c>
      <c r="L96" s="66">
        <v>2400</v>
      </c>
      <c r="M96" s="164">
        <v>29.728670496576953</v>
      </c>
      <c r="N96" s="78">
        <v>2063.6023372019999</v>
      </c>
      <c r="O96" s="113">
        <v>45671.937651049695</v>
      </c>
      <c r="P96" s="109">
        <v>57064.370200526944</v>
      </c>
      <c r="Q96" s="110">
        <v>28920.690550414929</v>
      </c>
      <c r="R96" s="263">
        <v>74592.628201464628</v>
      </c>
      <c r="S96" s="259">
        <v>85985.060750941877</v>
      </c>
      <c r="U96" s="7" t="s">
        <v>5209</v>
      </c>
    </row>
    <row r="97" spans="1:21" ht="16.5" thickBot="1">
      <c r="A97" s="1188" t="s">
        <v>4533</v>
      </c>
      <c r="B97" s="1192">
        <f t="shared" si="3"/>
        <v>150</v>
      </c>
      <c r="C97" s="1192" t="s">
        <v>3</v>
      </c>
      <c r="D97" s="1192">
        <f t="shared" si="4"/>
        <v>260</v>
      </c>
      <c r="E97" s="1192" t="s">
        <v>3</v>
      </c>
      <c r="F97" s="1190">
        <f t="shared" si="5"/>
        <v>2450</v>
      </c>
      <c r="G97" s="1192" t="s">
        <v>3</v>
      </c>
      <c r="H97" s="1189">
        <v>2</v>
      </c>
      <c r="I97" s="1191" t="s">
        <v>40</v>
      </c>
      <c r="J97" s="149">
        <v>150</v>
      </c>
      <c r="K97" s="66">
        <v>260</v>
      </c>
      <c r="L97" s="66">
        <v>2450</v>
      </c>
      <c r="M97" s="164">
        <v>30.301068226154499</v>
      </c>
      <c r="N97" s="78">
        <v>2113.9341015240002</v>
      </c>
      <c r="O97" s="113">
        <v>46425.009190422752</v>
      </c>
      <c r="P97" s="109">
        <v>58026.250561114422</v>
      </c>
      <c r="Q97" s="110">
        <v>29642.480255678664</v>
      </c>
      <c r="R97" s="263">
        <v>76067.489446101419</v>
      </c>
      <c r="S97" s="259">
        <v>87668.73081679309</v>
      </c>
      <c r="U97" s="7" t="s">
        <v>5210</v>
      </c>
    </row>
    <row r="98" spans="1:21" ht="16.5" thickBot="1">
      <c r="A98" s="1188" t="s">
        <v>4533</v>
      </c>
      <c r="B98" s="1192">
        <f t="shared" si="3"/>
        <v>150</v>
      </c>
      <c r="C98" s="1192" t="s">
        <v>3</v>
      </c>
      <c r="D98" s="1192">
        <f t="shared" si="4"/>
        <v>260</v>
      </c>
      <c r="E98" s="1192" t="s">
        <v>3</v>
      </c>
      <c r="F98" s="1190">
        <f t="shared" si="5"/>
        <v>2500</v>
      </c>
      <c r="G98" s="1192" t="s">
        <v>3</v>
      </c>
      <c r="H98" s="1189">
        <v>2</v>
      </c>
      <c r="I98" s="1191" t="s">
        <v>40</v>
      </c>
      <c r="J98" s="149">
        <v>150</v>
      </c>
      <c r="K98" s="66">
        <v>260</v>
      </c>
      <c r="L98" s="66">
        <v>2500</v>
      </c>
      <c r="M98" s="164">
        <v>31.252237555732023</v>
      </c>
      <c r="N98" s="78">
        <v>2164.265865846</v>
      </c>
      <c r="O98" s="113">
        <v>48018.831324377352</v>
      </c>
      <c r="P98" s="109">
        <v>60092.33859284041</v>
      </c>
      <c r="Q98" s="110">
        <v>30112.935823158623</v>
      </c>
      <c r="R98" s="263">
        <v>78131.767147535982</v>
      </c>
      <c r="S98" s="259">
        <v>90205.27441599904</v>
      </c>
      <c r="U98" s="7" t="s">
        <v>5211</v>
      </c>
    </row>
    <row r="99" spans="1:21" ht="16.5" thickBot="1">
      <c r="A99" s="1188" t="s">
        <v>4533</v>
      </c>
      <c r="B99" s="1192">
        <f t="shared" si="3"/>
        <v>150</v>
      </c>
      <c r="C99" s="1192" t="s">
        <v>3</v>
      </c>
      <c r="D99" s="1192">
        <f t="shared" si="4"/>
        <v>260</v>
      </c>
      <c r="E99" s="1192" t="s">
        <v>3</v>
      </c>
      <c r="F99" s="1190">
        <f t="shared" si="5"/>
        <v>2550</v>
      </c>
      <c r="G99" s="1192" t="s">
        <v>3</v>
      </c>
      <c r="H99" s="1189">
        <v>2</v>
      </c>
      <c r="I99" s="1191" t="s">
        <v>40</v>
      </c>
      <c r="J99" s="149">
        <v>150</v>
      </c>
      <c r="K99" s="66">
        <v>260</v>
      </c>
      <c r="L99" s="66">
        <v>2550</v>
      </c>
      <c r="M99" s="164">
        <v>31.824635285309558</v>
      </c>
      <c r="N99" s="78">
        <v>2214.5976301680003</v>
      </c>
      <c r="O99" s="113">
        <v>49164.016579154741</v>
      </c>
      <c r="P99" s="109">
        <v>61069.521982969149</v>
      </c>
      <c r="Q99" s="110">
        <v>30834.725528422357</v>
      </c>
      <c r="R99" s="263">
        <v>79998.742107577098</v>
      </c>
      <c r="S99" s="259">
        <v>91904.247511391499</v>
      </c>
      <c r="U99" s="7" t="s">
        <v>5212</v>
      </c>
    </row>
    <row r="100" spans="1:21" ht="16.5" thickBot="1">
      <c r="A100" s="1188" t="s">
        <v>4533</v>
      </c>
      <c r="B100" s="1189">
        <f t="shared" si="3"/>
        <v>150</v>
      </c>
      <c r="C100" s="1189" t="s">
        <v>3</v>
      </c>
      <c r="D100" s="1189">
        <f t="shared" si="4"/>
        <v>260</v>
      </c>
      <c r="E100" s="1189" t="s">
        <v>3</v>
      </c>
      <c r="F100" s="1190">
        <f t="shared" si="5"/>
        <v>2600</v>
      </c>
      <c r="G100" s="1189" t="s">
        <v>3</v>
      </c>
      <c r="H100" s="1189">
        <v>2</v>
      </c>
      <c r="I100" s="1191" t="s">
        <v>40</v>
      </c>
      <c r="J100" s="149">
        <v>150</v>
      </c>
      <c r="K100" s="66">
        <v>260</v>
      </c>
      <c r="L100" s="66">
        <v>2600</v>
      </c>
      <c r="M100" s="164">
        <v>32.397033014887093</v>
      </c>
      <c r="N100" s="78">
        <v>2264.92939449</v>
      </c>
      <c r="O100" s="113">
        <v>49917.08827155656</v>
      </c>
      <c r="P100" s="109">
        <v>62031.402343556612</v>
      </c>
      <c r="Q100" s="110">
        <v>31305.181095902317</v>
      </c>
      <c r="R100" s="263">
        <v>81222.269367458881</v>
      </c>
      <c r="S100" s="259">
        <v>93336.583439458933</v>
      </c>
      <c r="U100" s="7" t="s">
        <v>5213</v>
      </c>
    </row>
    <row r="101" spans="1:21" ht="16.5" thickBot="1">
      <c r="A101" s="1188" t="s">
        <v>4533</v>
      </c>
      <c r="B101" s="1192">
        <f t="shared" si="3"/>
        <v>150</v>
      </c>
      <c r="C101" s="1192" t="s">
        <v>3</v>
      </c>
      <c r="D101" s="1192">
        <f t="shared" si="4"/>
        <v>260</v>
      </c>
      <c r="E101" s="1192" t="s">
        <v>3</v>
      </c>
      <c r="F101" s="1190">
        <f t="shared" si="5"/>
        <v>2650</v>
      </c>
      <c r="G101" s="1192" t="s">
        <v>3</v>
      </c>
      <c r="H101" s="1189">
        <v>2</v>
      </c>
      <c r="I101" s="1191" t="s">
        <v>40</v>
      </c>
      <c r="J101" s="149">
        <v>150</v>
      </c>
      <c r="K101" s="66">
        <v>260</v>
      </c>
      <c r="L101" s="66">
        <v>2650</v>
      </c>
      <c r="M101" s="164">
        <v>32.969430744464624</v>
      </c>
      <c r="N101" s="78">
        <v>2315.2611588119998</v>
      </c>
      <c r="O101" s="113">
        <v>50670.15981092961</v>
      </c>
      <c r="P101" s="109">
        <v>62993.282857172853</v>
      </c>
      <c r="Q101" s="110">
        <v>32026.970801166051</v>
      </c>
      <c r="R101" s="263">
        <v>82697.130612095658</v>
      </c>
      <c r="S101" s="259">
        <v>95020.253658338901</v>
      </c>
      <c r="U101" s="7" t="s">
        <v>5214</v>
      </c>
    </row>
    <row r="102" spans="1:21" ht="16.5" thickBot="1">
      <c r="A102" s="1188" t="s">
        <v>4533</v>
      </c>
      <c r="B102" s="1192">
        <f t="shared" si="3"/>
        <v>150</v>
      </c>
      <c r="C102" s="1192" t="s">
        <v>3</v>
      </c>
      <c r="D102" s="1192">
        <f t="shared" si="4"/>
        <v>260</v>
      </c>
      <c r="E102" s="1192" t="s">
        <v>3</v>
      </c>
      <c r="F102" s="1190">
        <f t="shared" si="5"/>
        <v>2700</v>
      </c>
      <c r="G102" s="1192" t="s">
        <v>3</v>
      </c>
      <c r="H102" s="1189">
        <v>2</v>
      </c>
      <c r="I102" s="1191" t="s">
        <v>40</v>
      </c>
      <c r="J102" s="149">
        <v>150</v>
      </c>
      <c r="K102" s="66">
        <v>260</v>
      </c>
      <c r="L102" s="66">
        <v>2700</v>
      </c>
      <c r="M102" s="164">
        <v>33.541828474042156</v>
      </c>
      <c r="N102" s="78">
        <v>2365.5929231340001</v>
      </c>
      <c r="O102" s="113">
        <v>51423.23150333143</v>
      </c>
      <c r="P102" s="109">
        <v>63955.163217760331</v>
      </c>
      <c r="Q102" s="110">
        <v>32497.426368646011</v>
      </c>
      <c r="R102" s="263">
        <v>83920.657871977441</v>
      </c>
      <c r="S102" s="259">
        <v>96452.589586406335</v>
      </c>
      <c r="U102" s="7" t="s">
        <v>5215</v>
      </c>
    </row>
    <row r="103" spans="1:21" ht="16.5" thickBot="1">
      <c r="A103" s="1188" t="s">
        <v>4533</v>
      </c>
      <c r="B103" s="1192">
        <f t="shared" si="3"/>
        <v>150</v>
      </c>
      <c r="C103" s="1192" t="s">
        <v>3</v>
      </c>
      <c r="D103" s="1192">
        <f t="shared" si="4"/>
        <v>260</v>
      </c>
      <c r="E103" s="1192" t="s">
        <v>3</v>
      </c>
      <c r="F103" s="1190">
        <f t="shared" si="5"/>
        <v>2750</v>
      </c>
      <c r="G103" s="1192" t="s">
        <v>3</v>
      </c>
      <c r="H103" s="1189">
        <v>2</v>
      </c>
      <c r="I103" s="1191" t="s">
        <v>40</v>
      </c>
      <c r="J103" s="149">
        <v>150</v>
      </c>
      <c r="K103" s="66">
        <v>260</v>
      </c>
      <c r="L103" s="66">
        <v>2750</v>
      </c>
      <c r="M103" s="164">
        <v>34.114226203619687</v>
      </c>
      <c r="N103" s="78">
        <v>2415.9246874559999</v>
      </c>
      <c r="O103" s="113">
        <v>52176.303042704487</v>
      </c>
      <c r="P103" s="109">
        <v>64917.043731376565</v>
      </c>
      <c r="Q103" s="110">
        <v>32967.881936125974</v>
      </c>
      <c r="R103" s="263">
        <v>85144.184978830453</v>
      </c>
      <c r="S103" s="259">
        <v>97884.925667502539</v>
      </c>
      <c r="U103" s="7" t="s">
        <v>5216</v>
      </c>
    </row>
    <row r="104" spans="1:21" ht="16.5" thickBot="1">
      <c r="A104" s="1188" t="s">
        <v>4533</v>
      </c>
      <c r="B104" s="1192">
        <f t="shared" si="3"/>
        <v>150</v>
      </c>
      <c r="C104" s="1192" t="s">
        <v>3</v>
      </c>
      <c r="D104" s="1192">
        <f t="shared" si="4"/>
        <v>260</v>
      </c>
      <c r="E104" s="1192" t="s">
        <v>3</v>
      </c>
      <c r="F104" s="1190">
        <f t="shared" si="5"/>
        <v>2800</v>
      </c>
      <c r="G104" s="1192" t="s">
        <v>3</v>
      </c>
      <c r="H104" s="1189">
        <v>2</v>
      </c>
      <c r="I104" s="1191" t="s">
        <v>40</v>
      </c>
      <c r="J104" s="149">
        <v>150</v>
      </c>
      <c r="K104" s="66">
        <v>260</v>
      </c>
      <c r="L104" s="66">
        <v>2800</v>
      </c>
      <c r="M104" s="164">
        <v>34.686623933197225</v>
      </c>
      <c r="N104" s="78">
        <v>2466.2564517780002</v>
      </c>
      <c r="O104" s="113">
        <v>52929.374582077544</v>
      </c>
      <c r="P104" s="109">
        <v>65878.924244992799</v>
      </c>
      <c r="Q104" s="110">
        <v>33689.671488360938</v>
      </c>
      <c r="R104" s="263">
        <v>86619.04607043849</v>
      </c>
      <c r="S104" s="259">
        <v>99568.595733353737</v>
      </c>
      <c r="U104" s="7" t="s">
        <v>5217</v>
      </c>
    </row>
    <row r="105" spans="1:21" ht="16.5" thickBot="1">
      <c r="A105" s="1188" t="s">
        <v>4533</v>
      </c>
      <c r="B105" s="1192">
        <f t="shared" si="3"/>
        <v>150</v>
      </c>
      <c r="C105" s="1192" t="s">
        <v>3</v>
      </c>
      <c r="D105" s="1192">
        <f t="shared" si="4"/>
        <v>260</v>
      </c>
      <c r="E105" s="1192" t="s">
        <v>3</v>
      </c>
      <c r="F105" s="1190">
        <f t="shared" si="5"/>
        <v>2850</v>
      </c>
      <c r="G105" s="1192" t="s">
        <v>3</v>
      </c>
      <c r="H105" s="1189">
        <v>2</v>
      </c>
      <c r="I105" s="1191" t="s">
        <v>40</v>
      </c>
      <c r="J105" s="149">
        <v>150</v>
      </c>
      <c r="K105" s="66">
        <v>260</v>
      </c>
      <c r="L105" s="66">
        <v>2850</v>
      </c>
      <c r="M105" s="164">
        <v>35.259021662774749</v>
      </c>
      <c r="N105" s="78">
        <v>2516.5882161</v>
      </c>
      <c r="O105" s="113">
        <v>53682.446274479364</v>
      </c>
      <c r="P105" s="109">
        <v>66840.80460558027</v>
      </c>
      <c r="Q105" s="110">
        <v>34160.127055840901</v>
      </c>
      <c r="R105" s="263">
        <v>87842.573330320272</v>
      </c>
      <c r="S105" s="259">
        <v>101000.93166142117</v>
      </c>
      <c r="U105" s="7" t="s">
        <v>5218</v>
      </c>
    </row>
    <row r="106" spans="1:21" ht="16.5" thickBot="1">
      <c r="A106" s="1188" t="s">
        <v>4533</v>
      </c>
      <c r="B106" s="1192">
        <f t="shared" si="3"/>
        <v>150</v>
      </c>
      <c r="C106" s="1192" t="s">
        <v>3</v>
      </c>
      <c r="D106" s="1192">
        <f t="shared" si="4"/>
        <v>260</v>
      </c>
      <c r="E106" s="1192" t="s">
        <v>3</v>
      </c>
      <c r="F106" s="1190">
        <f t="shared" si="5"/>
        <v>2900</v>
      </c>
      <c r="G106" s="1192" t="s">
        <v>3</v>
      </c>
      <c r="H106" s="1189">
        <v>2</v>
      </c>
      <c r="I106" s="1191" t="s">
        <v>40</v>
      </c>
      <c r="J106" s="149">
        <v>150</v>
      </c>
      <c r="K106" s="66">
        <v>260</v>
      </c>
      <c r="L106" s="66">
        <v>2900</v>
      </c>
      <c r="M106" s="164">
        <v>35.831419392352288</v>
      </c>
      <c r="N106" s="78">
        <v>2566.9199804219998</v>
      </c>
      <c r="O106" s="113">
        <v>54435.517813852421</v>
      </c>
      <c r="P106" s="109">
        <v>67802.685119196511</v>
      </c>
      <c r="Q106" s="110">
        <v>34881.916761104636</v>
      </c>
      <c r="R106" s="263">
        <v>89317.434574957064</v>
      </c>
      <c r="S106" s="259">
        <v>102684.60188030114</v>
      </c>
      <c r="U106" s="7" t="s">
        <v>5219</v>
      </c>
    </row>
    <row r="107" spans="1:21" ht="16.5" thickBot="1">
      <c r="A107" s="1188" t="s">
        <v>4533</v>
      </c>
      <c r="B107" s="1192">
        <f t="shared" si="3"/>
        <v>150</v>
      </c>
      <c r="C107" s="1192" t="s">
        <v>3</v>
      </c>
      <c r="D107" s="1192">
        <f t="shared" si="4"/>
        <v>260</v>
      </c>
      <c r="E107" s="1192" t="s">
        <v>3</v>
      </c>
      <c r="F107" s="1190">
        <f t="shared" si="5"/>
        <v>2950</v>
      </c>
      <c r="G107" s="1192" t="s">
        <v>3</v>
      </c>
      <c r="H107" s="1189">
        <v>2</v>
      </c>
      <c r="I107" s="1191" t="s">
        <v>40</v>
      </c>
      <c r="J107" s="149">
        <v>150</v>
      </c>
      <c r="K107" s="66">
        <v>260</v>
      </c>
      <c r="L107" s="66">
        <v>2950</v>
      </c>
      <c r="M107" s="164">
        <v>36.403817121929819</v>
      </c>
      <c r="N107" s="78">
        <v>2617.251744744</v>
      </c>
      <c r="O107" s="113">
        <v>55188.589506254233</v>
      </c>
      <c r="P107" s="109">
        <v>68764.565479783982</v>
      </c>
      <c r="Q107" s="110">
        <v>35352.372328584599</v>
      </c>
      <c r="R107" s="263">
        <v>90540.961834838832</v>
      </c>
      <c r="S107" s="259">
        <v>104116.93780836859</v>
      </c>
      <c r="U107" s="7" t="s">
        <v>5220</v>
      </c>
    </row>
    <row r="108" spans="1:21" ht="16.5" thickBot="1">
      <c r="A108" s="1188" t="s">
        <v>4533</v>
      </c>
      <c r="B108" s="1194">
        <f t="shared" si="3"/>
        <v>150</v>
      </c>
      <c r="C108" s="1194" t="s">
        <v>3</v>
      </c>
      <c r="D108" s="1194">
        <f t="shared" si="4"/>
        <v>260</v>
      </c>
      <c r="E108" s="1194" t="s">
        <v>3</v>
      </c>
      <c r="F108" s="1195">
        <f t="shared" si="5"/>
        <v>3000</v>
      </c>
      <c r="G108" s="1194" t="s">
        <v>3</v>
      </c>
      <c r="H108" s="1189">
        <v>2</v>
      </c>
      <c r="I108" s="1191" t="s">
        <v>40</v>
      </c>
      <c r="J108" s="151">
        <v>150</v>
      </c>
      <c r="K108" s="126">
        <v>260</v>
      </c>
      <c r="L108" s="126">
        <v>3000</v>
      </c>
      <c r="M108" s="171">
        <v>37.179108451507346</v>
      </c>
      <c r="N108" s="127">
        <v>2667.5835090659998</v>
      </c>
      <c r="O108" s="128">
        <v>56190.204244792709</v>
      </c>
      <c r="P108" s="154">
        <v>69974.989192565641</v>
      </c>
      <c r="Q108" s="136">
        <v>36074.162033848326</v>
      </c>
      <c r="R108" s="264">
        <v>92264.366278641042</v>
      </c>
      <c r="S108" s="261">
        <v>106049.15122641396</v>
      </c>
      <c r="U108" s="7" t="s">
        <v>5221</v>
      </c>
    </row>
    <row r="109" spans="1:21" ht="16.5" thickBot="1">
      <c r="A109" s="3010" t="s">
        <v>43</v>
      </c>
      <c r="B109" s="3011"/>
      <c r="C109" s="3011"/>
      <c r="D109" s="3011"/>
      <c r="E109" s="3011"/>
      <c r="F109" s="3011"/>
      <c r="G109" s="3011"/>
      <c r="H109" s="3011"/>
      <c r="I109" s="3011"/>
      <c r="J109" s="3011"/>
      <c r="K109" s="3011"/>
      <c r="L109" s="3011"/>
      <c r="M109" s="3011"/>
      <c r="N109" s="3011"/>
      <c r="O109" s="3011"/>
      <c r="P109" s="3011"/>
      <c r="Q109" s="3011"/>
      <c r="R109" s="3011"/>
      <c r="S109" s="3012"/>
      <c r="U109" s="7"/>
    </row>
    <row r="110" spans="1:21" ht="16.5" thickBot="1">
      <c r="A110" s="2974" t="s">
        <v>4532</v>
      </c>
      <c r="B110" s="2975"/>
      <c r="C110" s="2975"/>
      <c r="D110" s="2975"/>
      <c r="E110" s="2975"/>
      <c r="F110" s="2975"/>
      <c r="G110" s="2975"/>
      <c r="H110" s="2975"/>
      <c r="I110" s="2975"/>
      <c r="J110" s="2975"/>
      <c r="K110" s="2975"/>
      <c r="L110" s="2975"/>
      <c r="M110" s="2975"/>
      <c r="N110" s="2975"/>
      <c r="O110" s="2975"/>
      <c r="P110" s="2975"/>
      <c r="Q110" s="2975"/>
      <c r="R110" s="2975"/>
      <c r="S110" s="2976"/>
      <c r="U110" s="7"/>
    </row>
    <row r="111" spans="1:21" ht="16.5" thickBot="1">
      <c r="A111" s="1188" t="s">
        <v>4533</v>
      </c>
      <c r="B111" s="1189">
        <f>J111</f>
        <v>150</v>
      </c>
      <c r="C111" s="1189" t="s">
        <v>3</v>
      </c>
      <c r="D111" s="1189">
        <f>K111</f>
        <v>300</v>
      </c>
      <c r="E111" s="1189" t="s">
        <v>3</v>
      </c>
      <c r="F111" s="1190">
        <f>L111</f>
        <v>600</v>
      </c>
      <c r="G111" s="1189" t="s">
        <v>3</v>
      </c>
      <c r="H111" s="1189">
        <v>2</v>
      </c>
      <c r="I111" s="1191" t="s">
        <v>40</v>
      </c>
      <c r="J111" s="146">
        <v>150</v>
      </c>
      <c r="K111" s="122">
        <v>300</v>
      </c>
      <c r="L111" s="122">
        <v>600</v>
      </c>
      <c r="M111" s="163">
        <v>9.3758557905226105</v>
      </c>
      <c r="N111" s="123">
        <v>276.82799999999997</v>
      </c>
      <c r="O111" s="124">
        <v>17442.892587629114</v>
      </c>
      <c r="P111" s="148">
        <v>22203.11507723196</v>
      </c>
      <c r="Q111" s="139">
        <v>8941.6715199935952</v>
      </c>
      <c r="R111" s="262">
        <v>26384.564107622711</v>
      </c>
      <c r="S111" s="257">
        <v>31144.786597225553</v>
      </c>
      <c r="U111" s="7" t="s">
        <v>5222</v>
      </c>
    </row>
    <row r="112" spans="1:21" ht="16.5" thickBot="1">
      <c r="A112" s="1188" t="s">
        <v>4533</v>
      </c>
      <c r="B112" s="1192">
        <f t="shared" ref="B112:B159" si="6">J112</f>
        <v>150</v>
      </c>
      <c r="C112" s="1192" t="s">
        <v>3</v>
      </c>
      <c r="D112" s="1192">
        <f t="shared" ref="D112:D159" si="7">K112</f>
        <v>300</v>
      </c>
      <c r="E112" s="1192" t="s">
        <v>3</v>
      </c>
      <c r="F112" s="1190">
        <f t="shared" ref="F112:F159" si="8">L112</f>
        <v>650</v>
      </c>
      <c r="G112" s="1192" t="s">
        <v>3</v>
      </c>
      <c r="H112" s="1189">
        <v>2</v>
      </c>
      <c r="I112" s="1191" t="s">
        <v>40</v>
      </c>
      <c r="J112" s="149">
        <v>150</v>
      </c>
      <c r="K112" s="66">
        <v>300</v>
      </c>
      <c r="L112" s="66">
        <v>650</v>
      </c>
      <c r="M112" s="164">
        <v>9.9881622499948826</v>
      </c>
      <c r="N112" s="78">
        <v>332.19359999999995</v>
      </c>
      <c r="O112" s="113">
        <v>18217.31592454253</v>
      </c>
      <c r="P112" s="111">
        <v>23201.262183952702</v>
      </c>
      <c r="Q112" s="110">
        <v>9465.3131529653438</v>
      </c>
      <c r="R112" s="263">
        <v>27682.629077507874</v>
      </c>
      <c r="S112" s="259">
        <v>32666.575336918046</v>
      </c>
      <c r="U112" s="7" t="s">
        <v>5223</v>
      </c>
    </row>
    <row r="113" spans="1:21" ht="16.5" thickBot="1">
      <c r="A113" s="1188" t="s">
        <v>4533</v>
      </c>
      <c r="B113" s="1192">
        <f t="shared" si="6"/>
        <v>150</v>
      </c>
      <c r="C113" s="1192" t="s">
        <v>3</v>
      </c>
      <c r="D113" s="1192">
        <f t="shared" si="7"/>
        <v>300</v>
      </c>
      <c r="E113" s="1192" t="s">
        <v>3</v>
      </c>
      <c r="F113" s="1190">
        <f t="shared" si="8"/>
        <v>700</v>
      </c>
      <c r="G113" s="1192" t="s">
        <v>3</v>
      </c>
      <c r="H113" s="1189">
        <v>2</v>
      </c>
      <c r="I113" s="1191" t="s">
        <v>40</v>
      </c>
      <c r="J113" s="149">
        <v>150</v>
      </c>
      <c r="K113" s="66">
        <v>300</v>
      </c>
      <c r="L113" s="66">
        <v>700</v>
      </c>
      <c r="M113" s="164">
        <v>10.600468709467151</v>
      </c>
      <c r="N113" s="78">
        <v>387.55919999999992</v>
      </c>
      <c r="O113" s="113">
        <v>18991.739261455943</v>
      </c>
      <c r="P113" s="111">
        <v>24199.409290673444</v>
      </c>
      <c r="Q113" s="110">
        <v>10240.289076749623</v>
      </c>
      <c r="R113" s="263">
        <v>29232.028338205564</v>
      </c>
      <c r="S113" s="259">
        <v>34439.698367423065</v>
      </c>
      <c r="U113" s="7" t="s">
        <v>5224</v>
      </c>
    </row>
    <row r="114" spans="1:21" ht="16.5" thickBot="1">
      <c r="A114" s="1188" t="s">
        <v>4533</v>
      </c>
      <c r="B114" s="1192">
        <f t="shared" si="6"/>
        <v>150</v>
      </c>
      <c r="C114" s="1192" t="s">
        <v>3</v>
      </c>
      <c r="D114" s="1192">
        <f t="shared" si="7"/>
        <v>300</v>
      </c>
      <c r="E114" s="1192" t="s">
        <v>3</v>
      </c>
      <c r="F114" s="1190">
        <f t="shared" si="8"/>
        <v>750</v>
      </c>
      <c r="G114" s="1192" t="s">
        <v>3</v>
      </c>
      <c r="H114" s="1189">
        <v>2</v>
      </c>
      <c r="I114" s="1191" t="s">
        <v>40</v>
      </c>
      <c r="J114" s="149">
        <v>150</v>
      </c>
      <c r="K114" s="66">
        <v>300</v>
      </c>
      <c r="L114" s="66">
        <v>750</v>
      </c>
      <c r="M114" s="164">
        <v>11.212775168939423</v>
      </c>
      <c r="N114" s="78">
        <v>442.9248</v>
      </c>
      <c r="O114" s="113">
        <v>19766.162445340593</v>
      </c>
      <c r="P114" s="111">
        <v>25197.556397394186</v>
      </c>
      <c r="Q114" s="110">
        <v>10763.930709721371</v>
      </c>
      <c r="R114" s="263">
        <v>30530.093155061964</v>
      </c>
      <c r="S114" s="259">
        <v>35961.487107115558</v>
      </c>
      <c r="U114" s="7" t="s">
        <v>5225</v>
      </c>
    </row>
    <row r="115" spans="1:21" ht="16.5" thickBot="1">
      <c r="A115" s="1188" t="s">
        <v>4533</v>
      </c>
      <c r="B115" s="1192">
        <f t="shared" si="6"/>
        <v>150</v>
      </c>
      <c r="C115" s="1192" t="s">
        <v>3</v>
      </c>
      <c r="D115" s="1192">
        <f t="shared" si="7"/>
        <v>300</v>
      </c>
      <c r="E115" s="1192" t="s">
        <v>3</v>
      </c>
      <c r="F115" s="1190">
        <f t="shared" si="8"/>
        <v>800</v>
      </c>
      <c r="G115" s="1192" t="s">
        <v>3</v>
      </c>
      <c r="H115" s="1189">
        <v>2</v>
      </c>
      <c r="I115" s="1191" t="s">
        <v>40</v>
      </c>
      <c r="J115" s="149">
        <v>150</v>
      </c>
      <c r="K115" s="66">
        <v>300</v>
      </c>
      <c r="L115" s="66">
        <v>800</v>
      </c>
      <c r="M115" s="164">
        <v>11.825081628411692</v>
      </c>
      <c r="N115" s="78">
        <v>498.29039999999998</v>
      </c>
      <c r="O115" s="113">
        <v>20934.20805522495</v>
      </c>
      <c r="P115" s="111">
        <v>26211.006380627427</v>
      </c>
      <c r="Q115" s="110">
        <v>11287.572342693116</v>
      </c>
      <c r="R115" s="263">
        <v>32221.780397918068</v>
      </c>
      <c r="S115" s="259">
        <v>37498.578723320541</v>
      </c>
      <c r="U115" s="7" t="s">
        <v>5226</v>
      </c>
    </row>
    <row r="116" spans="1:21" ht="16.5" thickBot="1">
      <c r="A116" s="1188" t="s">
        <v>4533</v>
      </c>
      <c r="B116" s="1192">
        <f t="shared" si="6"/>
        <v>150</v>
      </c>
      <c r="C116" s="1192" t="s">
        <v>3</v>
      </c>
      <c r="D116" s="1192">
        <f t="shared" si="7"/>
        <v>300</v>
      </c>
      <c r="E116" s="1192" t="s">
        <v>3</v>
      </c>
      <c r="F116" s="1190">
        <f t="shared" si="8"/>
        <v>850</v>
      </c>
      <c r="G116" s="1192" t="s">
        <v>3</v>
      </c>
      <c r="H116" s="1189">
        <v>2</v>
      </c>
      <c r="I116" s="1191" t="s">
        <v>40</v>
      </c>
      <c r="J116" s="149">
        <v>150</v>
      </c>
      <c r="K116" s="66">
        <v>300</v>
      </c>
      <c r="L116" s="66">
        <v>850</v>
      </c>
      <c r="M116" s="164">
        <v>12.43738808788396</v>
      </c>
      <c r="N116" s="78">
        <v>553.65599999999995</v>
      </c>
      <c r="O116" s="113">
        <v>21708.631392138366</v>
      </c>
      <c r="P116" s="111">
        <v>27209.153334319402</v>
      </c>
      <c r="Q116" s="110">
        <v>12062.548266477399</v>
      </c>
      <c r="R116" s="263">
        <v>33771.179658615765</v>
      </c>
      <c r="S116" s="259">
        <v>39271.701600796805</v>
      </c>
      <c r="U116" s="7" t="s">
        <v>5227</v>
      </c>
    </row>
    <row r="117" spans="1:21" ht="16.5" thickBot="1">
      <c r="A117" s="1188" t="s">
        <v>4533</v>
      </c>
      <c r="B117" s="1192">
        <f t="shared" si="6"/>
        <v>150</v>
      </c>
      <c r="C117" s="1192" t="s">
        <v>3</v>
      </c>
      <c r="D117" s="1192">
        <f t="shared" si="7"/>
        <v>300</v>
      </c>
      <c r="E117" s="1192" t="s">
        <v>3</v>
      </c>
      <c r="F117" s="1190">
        <f t="shared" si="8"/>
        <v>900</v>
      </c>
      <c r="G117" s="1192" t="s">
        <v>3</v>
      </c>
      <c r="H117" s="1189">
        <v>2</v>
      </c>
      <c r="I117" s="1191" t="s">
        <v>40</v>
      </c>
      <c r="J117" s="149">
        <v>150</v>
      </c>
      <c r="K117" s="66">
        <v>300</v>
      </c>
      <c r="L117" s="66">
        <v>900</v>
      </c>
      <c r="M117" s="164">
        <v>13.049694547356232</v>
      </c>
      <c r="N117" s="78">
        <v>609.02160000000003</v>
      </c>
      <c r="O117" s="113">
        <v>22483.054729051779</v>
      </c>
      <c r="P117" s="111">
        <v>28207.300441040145</v>
      </c>
      <c r="Q117" s="110">
        <v>12586.189899449146</v>
      </c>
      <c r="R117" s="263">
        <v>35069.244628500921</v>
      </c>
      <c r="S117" s="259">
        <v>40793.49034048929</v>
      </c>
      <c r="U117" s="7" t="s">
        <v>5228</v>
      </c>
    </row>
    <row r="118" spans="1:21" ht="16.5" thickBot="1">
      <c r="A118" s="1188" t="s">
        <v>4533</v>
      </c>
      <c r="B118" s="1192">
        <f t="shared" si="6"/>
        <v>150</v>
      </c>
      <c r="C118" s="1192" t="s">
        <v>3</v>
      </c>
      <c r="D118" s="1192">
        <f t="shared" si="7"/>
        <v>300</v>
      </c>
      <c r="E118" s="1192" t="s">
        <v>3</v>
      </c>
      <c r="F118" s="1190">
        <f t="shared" si="8"/>
        <v>950</v>
      </c>
      <c r="G118" s="1192" t="s">
        <v>3</v>
      </c>
      <c r="H118" s="1189">
        <v>2</v>
      </c>
      <c r="I118" s="1191" t="s">
        <v>40</v>
      </c>
      <c r="J118" s="149">
        <v>150</v>
      </c>
      <c r="K118" s="66">
        <v>300</v>
      </c>
      <c r="L118" s="66">
        <v>950</v>
      </c>
      <c r="M118" s="164">
        <v>13.6620010068285</v>
      </c>
      <c r="N118" s="78">
        <v>664.38719999999989</v>
      </c>
      <c r="O118" s="113">
        <v>23257.478065965195</v>
      </c>
      <c r="P118" s="111">
        <v>29205.447547760883</v>
      </c>
      <c r="Q118" s="110">
        <v>13361.165670204662</v>
      </c>
      <c r="R118" s="263">
        <v>36618.643736169855</v>
      </c>
      <c r="S118" s="259">
        <v>42566.613217965547</v>
      </c>
      <c r="U118" s="7" t="s">
        <v>5229</v>
      </c>
    </row>
    <row r="119" spans="1:21" ht="16.5" thickBot="1">
      <c r="A119" s="1188" t="s">
        <v>4533</v>
      </c>
      <c r="B119" s="1192">
        <f t="shared" si="6"/>
        <v>150</v>
      </c>
      <c r="C119" s="1192" t="s">
        <v>3</v>
      </c>
      <c r="D119" s="1192">
        <f t="shared" si="7"/>
        <v>300</v>
      </c>
      <c r="E119" s="1192" t="s">
        <v>3</v>
      </c>
      <c r="F119" s="1190">
        <f t="shared" si="8"/>
        <v>1000</v>
      </c>
      <c r="G119" s="1192" t="s">
        <v>3</v>
      </c>
      <c r="H119" s="1189">
        <v>2</v>
      </c>
      <c r="I119" s="1191" t="s">
        <v>40</v>
      </c>
      <c r="J119" s="149">
        <v>150</v>
      </c>
      <c r="K119" s="66">
        <v>300</v>
      </c>
      <c r="L119" s="66">
        <v>1000</v>
      </c>
      <c r="M119" s="164">
        <v>14.391361466300769</v>
      </c>
      <c r="N119" s="78">
        <v>719.75279999999998</v>
      </c>
      <c r="O119" s="113">
        <v>24090.113545132161</v>
      </c>
      <c r="P119" s="111">
        <v>30261.806796735178</v>
      </c>
      <c r="Q119" s="110">
        <v>13884.807456205173</v>
      </c>
      <c r="R119" s="263">
        <v>37974.921001337338</v>
      </c>
      <c r="S119" s="259">
        <v>44146.614252940351</v>
      </c>
      <c r="U119" s="7" t="s">
        <v>5230</v>
      </c>
    </row>
    <row r="120" spans="1:21" ht="16.5" thickBot="1">
      <c r="A120" s="1188" t="s">
        <v>4533</v>
      </c>
      <c r="B120" s="1192">
        <f t="shared" si="6"/>
        <v>150</v>
      </c>
      <c r="C120" s="1192" t="s">
        <v>3</v>
      </c>
      <c r="D120" s="1192">
        <f t="shared" si="7"/>
        <v>300</v>
      </c>
      <c r="E120" s="1192" t="s">
        <v>3</v>
      </c>
      <c r="F120" s="1190">
        <f t="shared" si="8"/>
        <v>1050</v>
      </c>
      <c r="G120" s="1192" t="s">
        <v>3</v>
      </c>
      <c r="H120" s="1189">
        <v>2</v>
      </c>
      <c r="I120" s="1191" t="s">
        <v>40</v>
      </c>
      <c r="J120" s="149">
        <v>150</v>
      </c>
      <c r="K120" s="66">
        <v>300</v>
      </c>
      <c r="L120" s="66">
        <v>1050</v>
      </c>
      <c r="M120" s="164">
        <v>15.003667925773041</v>
      </c>
      <c r="N120" s="78">
        <v>775.11839999999984</v>
      </c>
      <c r="O120" s="113">
        <v>24864.536882045577</v>
      </c>
      <c r="P120" s="111">
        <v>31259.95375042715</v>
      </c>
      <c r="Q120" s="110">
        <v>14659.78322696069</v>
      </c>
      <c r="R120" s="263">
        <v>39524.320109006265</v>
      </c>
      <c r="S120" s="259">
        <v>45919.736977387838</v>
      </c>
      <c r="U120" s="7" t="s">
        <v>5231</v>
      </c>
    </row>
    <row r="121" spans="1:21" ht="16.5" thickBot="1">
      <c r="A121" s="1188" t="s">
        <v>4533</v>
      </c>
      <c r="B121" s="1189">
        <f t="shared" si="6"/>
        <v>150</v>
      </c>
      <c r="C121" s="1189" t="s">
        <v>3</v>
      </c>
      <c r="D121" s="1189">
        <f t="shared" si="7"/>
        <v>300</v>
      </c>
      <c r="E121" s="1189" t="s">
        <v>3</v>
      </c>
      <c r="F121" s="1190">
        <f t="shared" si="8"/>
        <v>1100</v>
      </c>
      <c r="G121" s="1189" t="s">
        <v>3</v>
      </c>
      <c r="H121" s="1189">
        <v>2</v>
      </c>
      <c r="I121" s="1191" t="s">
        <v>40</v>
      </c>
      <c r="J121" s="149">
        <v>150</v>
      </c>
      <c r="K121" s="66">
        <v>300</v>
      </c>
      <c r="L121" s="66">
        <v>1100</v>
      </c>
      <c r="M121" s="164">
        <v>15.615974385245309</v>
      </c>
      <c r="N121" s="78">
        <v>830.48399999999992</v>
      </c>
      <c r="O121" s="113">
        <v>25638.960218958993</v>
      </c>
      <c r="P121" s="111">
        <v>32258.100857147896</v>
      </c>
      <c r="Q121" s="110">
        <v>15183.425012961201</v>
      </c>
      <c r="R121" s="263">
        <v>40822.385231920198</v>
      </c>
      <c r="S121" s="259">
        <v>47441.525870109093</v>
      </c>
      <c r="U121" s="7" t="s">
        <v>5232</v>
      </c>
    </row>
    <row r="122" spans="1:21" ht="16.5" thickBot="1">
      <c r="A122" s="1188" t="s">
        <v>4533</v>
      </c>
      <c r="B122" s="1192">
        <f t="shared" si="6"/>
        <v>150</v>
      </c>
      <c r="C122" s="1192" t="s">
        <v>3</v>
      </c>
      <c r="D122" s="1192">
        <f t="shared" si="7"/>
        <v>300</v>
      </c>
      <c r="E122" s="1192" t="s">
        <v>3</v>
      </c>
      <c r="F122" s="1190">
        <f t="shared" si="8"/>
        <v>1150</v>
      </c>
      <c r="G122" s="1192" t="s">
        <v>3</v>
      </c>
      <c r="H122" s="1189">
        <v>2</v>
      </c>
      <c r="I122" s="1191" t="s">
        <v>40</v>
      </c>
      <c r="J122" s="149">
        <v>150</v>
      </c>
      <c r="K122" s="66">
        <v>300</v>
      </c>
      <c r="L122" s="66">
        <v>1150</v>
      </c>
      <c r="M122" s="164">
        <v>16.228280844717581</v>
      </c>
      <c r="N122" s="78">
        <v>885.84960000000001</v>
      </c>
      <c r="O122" s="113">
        <v>26413.383555872402</v>
      </c>
      <c r="P122" s="111">
        <v>33256.247963868642</v>
      </c>
      <c r="Q122" s="110">
        <v>15707.066645932946</v>
      </c>
      <c r="R122" s="263">
        <v>42120.450201805346</v>
      </c>
      <c r="S122" s="259">
        <v>48963.314609801586</v>
      </c>
      <c r="U122" s="7" t="s">
        <v>5233</v>
      </c>
    </row>
    <row r="123" spans="1:21" ht="16.5" thickBot="1">
      <c r="A123" s="1188" t="s">
        <v>4533</v>
      </c>
      <c r="B123" s="1192">
        <f t="shared" si="6"/>
        <v>150</v>
      </c>
      <c r="C123" s="1192" t="s">
        <v>3</v>
      </c>
      <c r="D123" s="1192">
        <f t="shared" si="7"/>
        <v>300</v>
      </c>
      <c r="E123" s="1192" t="s">
        <v>3</v>
      </c>
      <c r="F123" s="1190">
        <f t="shared" si="8"/>
        <v>1200</v>
      </c>
      <c r="G123" s="1192" t="s">
        <v>3</v>
      </c>
      <c r="H123" s="1189">
        <v>2</v>
      </c>
      <c r="I123" s="1191" t="s">
        <v>40</v>
      </c>
      <c r="J123" s="149">
        <v>150</v>
      </c>
      <c r="K123" s="66">
        <v>300</v>
      </c>
      <c r="L123" s="66">
        <v>1200</v>
      </c>
      <c r="M123" s="164">
        <v>16.840587304189846</v>
      </c>
      <c r="N123" s="78">
        <v>941.21519999999987</v>
      </c>
      <c r="O123" s="113">
        <v>27187.806739757052</v>
      </c>
      <c r="P123" s="111">
        <v>34254.39507058938</v>
      </c>
      <c r="Q123" s="110">
        <v>16482.042416688462</v>
      </c>
      <c r="R123" s="263">
        <v>43669.849156445518</v>
      </c>
      <c r="S123" s="259">
        <v>50736.437487277843</v>
      </c>
      <c r="U123" s="7" t="s">
        <v>5234</v>
      </c>
    </row>
    <row r="124" spans="1:21" ht="16.5" thickBot="1">
      <c r="A124" s="1188" t="s">
        <v>4533</v>
      </c>
      <c r="B124" s="1192">
        <f t="shared" si="6"/>
        <v>150</v>
      </c>
      <c r="C124" s="1192" t="s">
        <v>3</v>
      </c>
      <c r="D124" s="1192">
        <f t="shared" si="7"/>
        <v>300</v>
      </c>
      <c r="E124" s="1192" t="s">
        <v>3</v>
      </c>
      <c r="F124" s="1190">
        <f t="shared" si="8"/>
        <v>1250</v>
      </c>
      <c r="G124" s="1192" t="s">
        <v>3</v>
      </c>
      <c r="H124" s="1189">
        <v>2</v>
      </c>
      <c r="I124" s="1191" t="s">
        <v>40</v>
      </c>
      <c r="J124" s="149">
        <v>150</v>
      </c>
      <c r="K124" s="66">
        <v>300</v>
      </c>
      <c r="L124" s="66">
        <v>1250</v>
      </c>
      <c r="M124" s="164">
        <v>17.452893763662122</v>
      </c>
      <c r="N124" s="78">
        <v>996.58079999999995</v>
      </c>
      <c r="O124" s="113">
        <v>27962.230076670468</v>
      </c>
      <c r="P124" s="111">
        <v>35252.542024281356</v>
      </c>
      <c r="Q124" s="110">
        <v>17005.684202688975</v>
      </c>
      <c r="R124" s="263">
        <v>44967.914279359444</v>
      </c>
      <c r="S124" s="259">
        <v>52258.226226970335</v>
      </c>
      <c r="U124" s="7" t="s">
        <v>5235</v>
      </c>
    </row>
    <row r="125" spans="1:21" ht="16.5" thickBot="1">
      <c r="A125" s="1188" t="s">
        <v>4533</v>
      </c>
      <c r="B125" s="1192">
        <f t="shared" si="6"/>
        <v>150</v>
      </c>
      <c r="C125" s="1192" t="s">
        <v>3</v>
      </c>
      <c r="D125" s="1192">
        <f t="shared" si="7"/>
        <v>300</v>
      </c>
      <c r="E125" s="1192" t="s">
        <v>3</v>
      </c>
      <c r="F125" s="1190">
        <f t="shared" si="8"/>
        <v>1300</v>
      </c>
      <c r="G125" s="1192" t="s">
        <v>3</v>
      </c>
      <c r="H125" s="1189">
        <v>2</v>
      </c>
      <c r="I125" s="1191" t="s">
        <v>40</v>
      </c>
      <c r="J125" s="149">
        <v>150</v>
      </c>
      <c r="K125" s="66">
        <v>300</v>
      </c>
      <c r="L125" s="66">
        <v>1300</v>
      </c>
      <c r="M125" s="164">
        <v>18.06520022313439</v>
      </c>
      <c r="N125" s="78">
        <v>1051.9463999999998</v>
      </c>
      <c r="O125" s="113">
        <v>28736.653413583885</v>
      </c>
      <c r="P125" s="111">
        <v>36250.689131002095</v>
      </c>
      <c r="Q125" s="110">
        <v>17780.65997344449</v>
      </c>
      <c r="R125" s="263">
        <v>46517.313387028378</v>
      </c>
      <c r="S125" s="259">
        <v>54031.349104446585</v>
      </c>
      <c r="U125" s="7" t="s">
        <v>5236</v>
      </c>
    </row>
    <row r="126" spans="1:21" ht="16.5" thickBot="1">
      <c r="A126" s="1188" t="s">
        <v>4533</v>
      </c>
      <c r="B126" s="1192">
        <f t="shared" si="6"/>
        <v>150</v>
      </c>
      <c r="C126" s="1192" t="s">
        <v>3</v>
      </c>
      <c r="D126" s="1192">
        <f t="shared" si="7"/>
        <v>300</v>
      </c>
      <c r="E126" s="1192" t="s">
        <v>3</v>
      </c>
      <c r="F126" s="1190">
        <f t="shared" si="8"/>
        <v>1350</v>
      </c>
      <c r="G126" s="1192" t="s">
        <v>3</v>
      </c>
      <c r="H126" s="1189">
        <v>2</v>
      </c>
      <c r="I126" s="1191" t="s">
        <v>40</v>
      </c>
      <c r="J126" s="149">
        <v>150</v>
      </c>
      <c r="K126" s="66">
        <v>300</v>
      </c>
      <c r="L126" s="66">
        <v>1350</v>
      </c>
      <c r="M126" s="164">
        <v>18.677506682606655</v>
      </c>
      <c r="N126" s="78">
        <v>1107.3119999999999</v>
      </c>
      <c r="O126" s="113">
        <v>29511.076750497305</v>
      </c>
      <c r="P126" s="111">
        <v>37248.836237722833</v>
      </c>
      <c r="Q126" s="110">
        <v>18304.301606416237</v>
      </c>
      <c r="R126" s="263">
        <v>47815.378356913541</v>
      </c>
      <c r="S126" s="259">
        <v>55553.13784413907</v>
      </c>
      <c r="U126" s="7" t="s">
        <v>5237</v>
      </c>
    </row>
    <row r="127" spans="1:21" ht="16.5" thickBot="1">
      <c r="A127" s="1188" t="s">
        <v>4533</v>
      </c>
      <c r="B127" s="1192">
        <f t="shared" si="6"/>
        <v>150</v>
      </c>
      <c r="C127" s="1192" t="s">
        <v>3</v>
      </c>
      <c r="D127" s="1192">
        <f t="shared" si="7"/>
        <v>300</v>
      </c>
      <c r="E127" s="1192" t="s">
        <v>3</v>
      </c>
      <c r="F127" s="1190">
        <f t="shared" si="8"/>
        <v>1400</v>
      </c>
      <c r="G127" s="1192" t="s">
        <v>3</v>
      </c>
      <c r="H127" s="1189">
        <v>2</v>
      </c>
      <c r="I127" s="1191" t="s">
        <v>40</v>
      </c>
      <c r="J127" s="149">
        <v>150</v>
      </c>
      <c r="K127" s="66">
        <v>300</v>
      </c>
      <c r="L127" s="66">
        <v>1400</v>
      </c>
      <c r="M127" s="164">
        <v>19.289813142078927</v>
      </c>
      <c r="N127" s="78">
        <v>1162.6776</v>
      </c>
      <c r="O127" s="113">
        <v>30285.500087410714</v>
      </c>
      <c r="P127" s="111">
        <v>38246.983344443579</v>
      </c>
      <c r="Q127" s="110">
        <v>19079.277530200521</v>
      </c>
      <c r="R127" s="263">
        <v>49364.777617611238</v>
      </c>
      <c r="S127" s="259">
        <v>57326.260874644096</v>
      </c>
      <c r="U127" s="7" t="s">
        <v>5238</v>
      </c>
    </row>
    <row r="128" spans="1:21" ht="16.5" thickBot="1">
      <c r="A128" s="1188" t="s">
        <v>4533</v>
      </c>
      <c r="B128" s="1192">
        <f t="shared" si="6"/>
        <v>150</v>
      </c>
      <c r="C128" s="1192" t="s">
        <v>3</v>
      </c>
      <c r="D128" s="1192">
        <f t="shared" si="7"/>
        <v>300</v>
      </c>
      <c r="E128" s="1192" t="s">
        <v>3</v>
      </c>
      <c r="F128" s="1190">
        <f t="shared" si="8"/>
        <v>1450</v>
      </c>
      <c r="G128" s="1192" t="s">
        <v>3</v>
      </c>
      <c r="H128" s="1189">
        <v>2</v>
      </c>
      <c r="I128" s="1191" t="s">
        <v>40</v>
      </c>
      <c r="J128" s="149">
        <v>150</v>
      </c>
      <c r="K128" s="66">
        <v>300</v>
      </c>
      <c r="L128" s="66">
        <v>1450</v>
      </c>
      <c r="M128" s="164">
        <v>19.902119601551199</v>
      </c>
      <c r="N128" s="78">
        <v>1218.0432000000001</v>
      </c>
      <c r="O128" s="113">
        <v>31059.92342432413</v>
      </c>
      <c r="P128" s="111">
        <v>39245.130451164317</v>
      </c>
      <c r="Q128" s="110">
        <v>19602.919163172111</v>
      </c>
      <c r="R128" s="263">
        <v>50662.842587496241</v>
      </c>
      <c r="S128" s="259">
        <v>58848.049614336429</v>
      </c>
      <c r="U128" s="7" t="s">
        <v>5239</v>
      </c>
    </row>
    <row r="129" spans="1:21" ht="16.5" thickBot="1">
      <c r="A129" s="1188" t="s">
        <v>4533</v>
      </c>
      <c r="B129" s="1192">
        <f t="shared" si="6"/>
        <v>150</v>
      </c>
      <c r="C129" s="1192" t="s">
        <v>3</v>
      </c>
      <c r="D129" s="1192">
        <f t="shared" si="7"/>
        <v>300</v>
      </c>
      <c r="E129" s="1192" t="s">
        <v>3</v>
      </c>
      <c r="F129" s="1190">
        <f t="shared" si="8"/>
        <v>1500</v>
      </c>
      <c r="G129" s="1192" t="s">
        <v>3</v>
      </c>
      <c r="H129" s="1189">
        <v>2</v>
      </c>
      <c r="I129" s="1191" t="s">
        <v>40</v>
      </c>
      <c r="J129" s="149">
        <v>150</v>
      </c>
      <c r="K129" s="66">
        <v>300</v>
      </c>
      <c r="L129" s="66">
        <v>1500</v>
      </c>
      <c r="M129" s="164">
        <v>20.952136861023469</v>
      </c>
      <c r="N129" s="78">
        <v>1273.4087999999997</v>
      </c>
      <c r="O129" s="113">
        <v>32742.683122051607</v>
      </c>
      <c r="P129" s="111">
        <v>41456.236192161021</v>
      </c>
      <c r="Q129" s="110">
        <v>20377.895086956549</v>
      </c>
      <c r="R129" s="263">
        <v>53120.578209008156</v>
      </c>
      <c r="S129" s="259">
        <v>61834.131279117573</v>
      </c>
      <c r="U129" s="7" t="s">
        <v>5240</v>
      </c>
    </row>
    <row r="130" spans="1:21" ht="16.5" thickBot="1">
      <c r="A130" s="1188" t="s">
        <v>4533</v>
      </c>
      <c r="B130" s="1192">
        <f t="shared" si="6"/>
        <v>150</v>
      </c>
      <c r="C130" s="1192" t="s">
        <v>3</v>
      </c>
      <c r="D130" s="1192">
        <f t="shared" si="7"/>
        <v>300</v>
      </c>
      <c r="E130" s="1192" t="s">
        <v>3</v>
      </c>
      <c r="F130" s="1190">
        <f t="shared" si="8"/>
        <v>1550</v>
      </c>
      <c r="G130" s="1192" t="s">
        <v>3</v>
      </c>
      <c r="H130" s="1189">
        <v>2</v>
      </c>
      <c r="I130" s="1191" t="s">
        <v>40</v>
      </c>
      <c r="J130" s="149">
        <v>150</v>
      </c>
      <c r="K130" s="66">
        <v>300</v>
      </c>
      <c r="L130" s="66">
        <v>1550</v>
      </c>
      <c r="M130" s="164">
        <v>21.564443320495741</v>
      </c>
      <c r="N130" s="78">
        <v>1328.7743999999998</v>
      </c>
      <c r="O130" s="113">
        <v>33517.106458965027</v>
      </c>
      <c r="P130" s="111">
        <v>42454.383298881759</v>
      </c>
      <c r="Q130" s="110">
        <v>20901.536719928292</v>
      </c>
      <c r="R130" s="263">
        <v>54418.643178893319</v>
      </c>
      <c r="S130" s="259">
        <v>63355.920018810051</v>
      </c>
      <c r="U130" s="7" t="s">
        <v>5241</v>
      </c>
    </row>
    <row r="131" spans="1:21" ht="16.5" thickBot="1">
      <c r="A131" s="1188" t="s">
        <v>4533</v>
      </c>
      <c r="B131" s="1189">
        <f t="shared" si="6"/>
        <v>150</v>
      </c>
      <c r="C131" s="1189" t="s">
        <v>3</v>
      </c>
      <c r="D131" s="1189">
        <f t="shared" si="7"/>
        <v>300</v>
      </c>
      <c r="E131" s="1189" t="s">
        <v>3</v>
      </c>
      <c r="F131" s="1190">
        <f t="shared" si="8"/>
        <v>1600</v>
      </c>
      <c r="G131" s="1189" t="s">
        <v>3</v>
      </c>
      <c r="H131" s="1189">
        <v>2</v>
      </c>
      <c r="I131" s="1191" t="s">
        <v>40</v>
      </c>
      <c r="J131" s="149">
        <v>150</v>
      </c>
      <c r="K131" s="66">
        <v>300</v>
      </c>
      <c r="L131" s="66">
        <v>1600</v>
      </c>
      <c r="M131" s="164">
        <v>22.176749779968009</v>
      </c>
      <c r="N131" s="78">
        <v>1384.1399999999999</v>
      </c>
      <c r="O131" s="113">
        <v>34291.529795878436</v>
      </c>
      <c r="P131" s="111">
        <v>43452.530252573735</v>
      </c>
      <c r="Q131" s="110">
        <v>21425.178352900039</v>
      </c>
      <c r="R131" s="263">
        <v>55716.708148778474</v>
      </c>
      <c r="S131" s="259">
        <v>64877.708605473774</v>
      </c>
      <c r="U131" s="7" t="s">
        <v>5242</v>
      </c>
    </row>
    <row r="132" spans="1:21" ht="16.5" thickBot="1">
      <c r="A132" s="1188" t="s">
        <v>4533</v>
      </c>
      <c r="B132" s="1192">
        <f t="shared" si="6"/>
        <v>150</v>
      </c>
      <c r="C132" s="1192" t="s">
        <v>3</v>
      </c>
      <c r="D132" s="1192">
        <f t="shared" si="7"/>
        <v>300</v>
      </c>
      <c r="E132" s="1192" t="s">
        <v>3</v>
      </c>
      <c r="F132" s="1190">
        <f t="shared" si="8"/>
        <v>1650</v>
      </c>
      <c r="G132" s="1192" t="s">
        <v>3</v>
      </c>
      <c r="H132" s="1189">
        <v>2</v>
      </c>
      <c r="I132" s="1191" t="s">
        <v>40</v>
      </c>
      <c r="J132" s="149">
        <v>150</v>
      </c>
      <c r="K132" s="66">
        <v>300</v>
      </c>
      <c r="L132" s="66">
        <v>1650</v>
      </c>
      <c r="M132" s="164">
        <v>22.789056239440278</v>
      </c>
      <c r="N132" s="78">
        <v>1439.5056</v>
      </c>
      <c r="O132" s="113">
        <v>35065.953132791852</v>
      </c>
      <c r="P132" s="111">
        <v>44450.677359294474</v>
      </c>
      <c r="Q132" s="110">
        <v>22200.154276684319</v>
      </c>
      <c r="R132" s="263">
        <v>57266.107409476172</v>
      </c>
      <c r="S132" s="259">
        <v>66650.8316359788</v>
      </c>
      <c r="U132" s="7" t="s">
        <v>5243</v>
      </c>
    </row>
    <row r="133" spans="1:21" ht="16.5" thickBot="1">
      <c r="A133" s="1188" t="s">
        <v>4533</v>
      </c>
      <c r="B133" s="1192">
        <f t="shared" si="6"/>
        <v>150</v>
      </c>
      <c r="C133" s="1192" t="s">
        <v>3</v>
      </c>
      <c r="D133" s="1192">
        <f t="shared" si="7"/>
        <v>300</v>
      </c>
      <c r="E133" s="1192" t="s">
        <v>3</v>
      </c>
      <c r="F133" s="1190">
        <f t="shared" si="8"/>
        <v>1700</v>
      </c>
      <c r="G133" s="1192" t="s">
        <v>3</v>
      </c>
      <c r="H133" s="1189">
        <v>2</v>
      </c>
      <c r="I133" s="1191" t="s">
        <v>40</v>
      </c>
      <c r="J133" s="149">
        <v>150</v>
      </c>
      <c r="K133" s="66">
        <v>300</v>
      </c>
      <c r="L133" s="66">
        <v>1700</v>
      </c>
      <c r="M133" s="164">
        <v>23.40136269891255</v>
      </c>
      <c r="N133" s="78">
        <v>1494.8712</v>
      </c>
      <c r="O133" s="113">
        <v>35840.376469705268</v>
      </c>
      <c r="P133" s="111">
        <v>45448.824466015212</v>
      </c>
      <c r="Q133" s="110">
        <v>22723.795909656066</v>
      </c>
      <c r="R133" s="263">
        <v>58564.172379361335</v>
      </c>
      <c r="S133" s="259">
        <v>68172.620375671278</v>
      </c>
      <c r="U133" s="7" t="s">
        <v>5244</v>
      </c>
    </row>
    <row r="134" spans="1:21" ht="16.5" thickBot="1">
      <c r="A134" s="1188" t="s">
        <v>4533</v>
      </c>
      <c r="B134" s="1192">
        <f t="shared" si="6"/>
        <v>150</v>
      </c>
      <c r="C134" s="1192" t="s">
        <v>3</v>
      </c>
      <c r="D134" s="1192">
        <f t="shared" si="7"/>
        <v>300</v>
      </c>
      <c r="E134" s="1192" t="s">
        <v>3</v>
      </c>
      <c r="F134" s="1190">
        <f t="shared" si="8"/>
        <v>1750</v>
      </c>
      <c r="G134" s="1192" t="s">
        <v>3</v>
      </c>
      <c r="H134" s="1189">
        <v>2</v>
      </c>
      <c r="I134" s="1191" t="s">
        <v>40</v>
      </c>
      <c r="J134" s="149">
        <v>150</v>
      </c>
      <c r="K134" s="66">
        <v>300</v>
      </c>
      <c r="L134" s="66">
        <v>1750</v>
      </c>
      <c r="M134" s="164">
        <v>24.013669158384815</v>
      </c>
      <c r="N134" s="78">
        <v>1550.2367999999997</v>
      </c>
      <c r="O134" s="113">
        <v>36614.799806618677</v>
      </c>
      <c r="P134" s="111">
        <v>46446.971572735958</v>
      </c>
      <c r="Q134" s="110">
        <v>23498.771833440347</v>
      </c>
      <c r="R134" s="263">
        <v>60113.571640059025</v>
      </c>
      <c r="S134" s="259">
        <v>69945.743406176305</v>
      </c>
      <c r="U134" s="7" t="s">
        <v>5245</v>
      </c>
    </row>
    <row r="135" spans="1:21" ht="16.5" thickBot="1">
      <c r="A135" s="1188" t="s">
        <v>4533</v>
      </c>
      <c r="B135" s="1192">
        <f t="shared" si="6"/>
        <v>150</v>
      </c>
      <c r="C135" s="1192" t="s">
        <v>3</v>
      </c>
      <c r="D135" s="1192">
        <f t="shared" si="7"/>
        <v>300</v>
      </c>
      <c r="E135" s="1192" t="s">
        <v>3</v>
      </c>
      <c r="F135" s="1190">
        <f t="shared" si="8"/>
        <v>1800</v>
      </c>
      <c r="G135" s="1192" t="s">
        <v>3</v>
      </c>
      <c r="H135" s="1189">
        <v>2</v>
      </c>
      <c r="I135" s="1191" t="s">
        <v>40</v>
      </c>
      <c r="J135" s="149">
        <v>150</v>
      </c>
      <c r="K135" s="66">
        <v>300</v>
      </c>
      <c r="L135" s="66">
        <v>1800</v>
      </c>
      <c r="M135" s="164">
        <v>24.625975617857087</v>
      </c>
      <c r="N135" s="78">
        <v>1605.6023999999998</v>
      </c>
      <c r="O135" s="113">
        <v>37389.223143532094</v>
      </c>
      <c r="P135" s="111">
        <v>47445.118526427934</v>
      </c>
      <c r="Q135" s="110">
        <v>24022.413466412094</v>
      </c>
      <c r="R135" s="263">
        <v>61411.636609944188</v>
      </c>
      <c r="S135" s="259">
        <v>71467.531992840028</v>
      </c>
      <c r="U135" s="7" t="s">
        <v>5246</v>
      </c>
    </row>
    <row r="136" spans="1:21" ht="16.5" thickBot="1">
      <c r="A136" s="1188" t="s">
        <v>4533</v>
      </c>
      <c r="B136" s="1192">
        <f t="shared" si="6"/>
        <v>150</v>
      </c>
      <c r="C136" s="1192" t="s">
        <v>3</v>
      </c>
      <c r="D136" s="1192">
        <f t="shared" si="7"/>
        <v>300</v>
      </c>
      <c r="E136" s="1192" t="s">
        <v>3</v>
      </c>
      <c r="F136" s="1190">
        <f t="shared" si="8"/>
        <v>1850</v>
      </c>
      <c r="G136" s="1192" t="s">
        <v>3</v>
      </c>
      <c r="H136" s="1189">
        <v>2</v>
      </c>
      <c r="I136" s="1191" t="s">
        <v>40</v>
      </c>
      <c r="J136" s="149">
        <v>150</v>
      </c>
      <c r="K136" s="66">
        <v>300</v>
      </c>
      <c r="L136" s="66">
        <v>1850</v>
      </c>
      <c r="M136" s="164">
        <v>25.238282077329359</v>
      </c>
      <c r="N136" s="78">
        <v>1660.9679999999998</v>
      </c>
      <c r="O136" s="113">
        <v>38163.64648044551</v>
      </c>
      <c r="P136" s="111">
        <v>48443.26563314868</v>
      </c>
      <c r="Q136" s="110">
        <v>24797.389237167612</v>
      </c>
      <c r="R136" s="263">
        <v>62961.035717613122</v>
      </c>
      <c r="S136" s="259">
        <v>73240.654870316299</v>
      </c>
      <c r="U136" s="7" t="s">
        <v>5247</v>
      </c>
    </row>
    <row r="137" spans="1:21" ht="16.5" thickBot="1">
      <c r="A137" s="1188" t="s">
        <v>4533</v>
      </c>
      <c r="B137" s="1192">
        <f t="shared" si="6"/>
        <v>150</v>
      </c>
      <c r="C137" s="1192" t="s">
        <v>3</v>
      </c>
      <c r="D137" s="1192">
        <f t="shared" si="7"/>
        <v>300</v>
      </c>
      <c r="E137" s="1192" t="s">
        <v>3</v>
      </c>
      <c r="F137" s="1190">
        <f t="shared" si="8"/>
        <v>1900</v>
      </c>
      <c r="G137" s="1192" t="s">
        <v>3</v>
      </c>
      <c r="H137" s="1189">
        <v>2</v>
      </c>
      <c r="I137" s="1191" t="s">
        <v>40</v>
      </c>
      <c r="J137" s="149">
        <v>150</v>
      </c>
      <c r="K137" s="66">
        <v>300</v>
      </c>
      <c r="L137" s="66">
        <v>1900</v>
      </c>
      <c r="M137" s="164">
        <v>25.850588536801624</v>
      </c>
      <c r="N137" s="78">
        <v>1716.3335999999999</v>
      </c>
      <c r="O137" s="113">
        <v>38938.069817358926</v>
      </c>
      <c r="P137" s="111">
        <v>49441.412739869418</v>
      </c>
      <c r="Q137" s="110">
        <v>25321.031023168125</v>
      </c>
      <c r="R137" s="263">
        <v>64259.100840527055</v>
      </c>
      <c r="S137" s="259">
        <v>74762.443763037547</v>
      </c>
      <c r="U137" s="7" t="s">
        <v>5248</v>
      </c>
    </row>
    <row r="138" spans="1:21" ht="16.5" thickBot="1">
      <c r="A138" s="1188" t="s">
        <v>4533</v>
      </c>
      <c r="B138" s="1192">
        <f t="shared" si="6"/>
        <v>150</v>
      </c>
      <c r="C138" s="1192" t="s">
        <v>3</v>
      </c>
      <c r="D138" s="1192">
        <f t="shared" si="7"/>
        <v>300</v>
      </c>
      <c r="E138" s="1192" t="s">
        <v>3</v>
      </c>
      <c r="F138" s="1190">
        <f t="shared" si="8"/>
        <v>1950</v>
      </c>
      <c r="G138" s="1192" t="s">
        <v>3</v>
      </c>
      <c r="H138" s="1189">
        <v>2</v>
      </c>
      <c r="I138" s="1191" t="s">
        <v>40</v>
      </c>
      <c r="J138" s="149">
        <v>150</v>
      </c>
      <c r="K138" s="66">
        <v>300</v>
      </c>
      <c r="L138" s="66">
        <v>1950</v>
      </c>
      <c r="M138" s="164">
        <v>26.462894996273896</v>
      </c>
      <c r="N138" s="78">
        <v>1771.6992</v>
      </c>
      <c r="O138" s="113">
        <v>39712.49300124358</v>
      </c>
      <c r="P138" s="111">
        <v>50439.559846590164</v>
      </c>
      <c r="Q138" s="110">
        <v>25844.672656139872</v>
      </c>
      <c r="R138" s="263">
        <v>65557.165657383448</v>
      </c>
      <c r="S138" s="259">
        <v>76284.232502730039</v>
      </c>
      <c r="U138" s="7" t="s">
        <v>5249</v>
      </c>
    </row>
    <row r="139" spans="1:21" ht="16.5" thickBot="1">
      <c r="A139" s="1188" t="s">
        <v>4533</v>
      </c>
      <c r="B139" s="1192">
        <f t="shared" si="6"/>
        <v>150</v>
      </c>
      <c r="C139" s="1192" t="s">
        <v>3</v>
      </c>
      <c r="D139" s="1192">
        <f t="shared" si="7"/>
        <v>300</v>
      </c>
      <c r="E139" s="1192" t="s">
        <v>3</v>
      </c>
      <c r="F139" s="1190">
        <f t="shared" si="8"/>
        <v>2000</v>
      </c>
      <c r="G139" s="1192" t="s">
        <v>3</v>
      </c>
      <c r="H139" s="1189">
        <v>2</v>
      </c>
      <c r="I139" s="1191" t="s">
        <v>40</v>
      </c>
      <c r="J139" s="149">
        <v>150</v>
      </c>
      <c r="K139" s="66">
        <v>300</v>
      </c>
      <c r="L139" s="66">
        <v>2000</v>
      </c>
      <c r="M139" s="164">
        <v>27.192255455746164</v>
      </c>
      <c r="N139" s="78">
        <v>1827.0647999999997</v>
      </c>
      <c r="O139" s="113">
        <v>40980.986692555984</v>
      </c>
      <c r="P139" s="111">
        <v>51608.548266696453</v>
      </c>
      <c r="Q139" s="110">
        <v>26619.648426895383</v>
      </c>
      <c r="R139" s="263">
        <v>67600.63511945137</v>
      </c>
      <c r="S139" s="259">
        <v>78228.196693591832</v>
      </c>
      <c r="U139" s="7" t="s">
        <v>5250</v>
      </c>
    </row>
    <row r="140" spans="1:21" ht="16.5" thickBot="1">
      <c r="A140" s="1188" t="s">
        <v>4533</v>
      </c>
      <c r="B140" s="1192">
        <f t="shared" si="6"/>
        <v>150</v>
      </c>
      <c r="C140" s="1192" t="s">
        <v>3</v>
      </c>
      <c r="D140" s="1192">
        <f t="shared" si="7"/>
        <v>300</v>
      </c>
      <c r="E140" s="1192" t="s">
        <v>3</v>
      </c>
      <c r="F140" s="1190">
        <f t="shared" si="8"/>
        <v>2050</v>
      </c>
      <c r="G140" s="1192" t="s">
        <v>3</v>
      </c>
      <c r="H140" s="1189">
        <v>2</v>
      </c>
      <c r="I140" s="1191" t="s">
        <v>40</v>
      </c>
      <c r="J140" s="149">
        <v>150</v>
      </c>
      <c r="K140" s="66">
        <v>300</v>
      </c>
      <c r="L140" s="66">
        <v>2050</v>
      </c>
      <c r="M140" s="164">
        <v>27.804561915218436</v>
      </c>
      <c r="N140" s="78">
        <v>1882.4303999999997</v>
      </c>
      <c r="O140" s="113">
        <v>41755.4100294694</v>
      </c>
      <c r="P140" s="111">
        <v>52606.695220388421</v>
      </c>
      <c r="Q140" s="110">
        <v>27143.290212895896</v>
      </c>
      <c r="R140" s="263">
        <v>68898.700242365303</v>
      </c>
      <c r="S140" s="259">
        <v>79749.98543328431</v>
      </c>
      <c r="U140" s="7" t="s">
        <v>5251</v>
      </c>
    </row>
    <row r="141" spans="1:21" ht="16.5" thickBot="1">
      <c r="A141" s="1188" t="s">
        <v>4533</v>
      </c>
      <c r="B141" s="1189">
        <f t="shared" si="6"/>
        <v>150</v>
      </c>
      <c r="C141" s="1189" t="s">
        <v>3</v>
      </c>
      <c r="D141" s="1189">
        <f t="shared" si="7"/>
        <v>300</v>
      </c>
      <c r="E141" s="1189" t="s">
        <v>3</v>
      </c>
      <c r="F141" s="1190">
        <f t="shared" si="8"/>
        <v>2100</v>
      </c>
      <c r="G141" s="1189" t="s">
        <v>3</v>
      </c>
      <c r="H141" s="1189">
        <v>2</v>
      </c>
      <c r="I141" s="1191" t="s">
        <v>40</v>
      </c>
      <c r="J141" s="149">
        <v>150</v>
      </c>
      <c r="K141" s="66">
        <v>300</v>
      </c>
      <c r="L141" s="66">
        <v>2100</v>
      </c>
      <c r="M141" s="164">
        <v>28.416868374690704</v>
      </c>
      <c r="N141" s="78">
        <v>1937.7959999999998</v>
      </c>
      <c r="O141" s="113">
        <v>42529.833366382809</v>
      </c>
      <c r="P141" s="111">
        <v>53604.842327109174</v>
      </c>
      <c r="Q141" s="110">
        <v>27918.265983651414</v>
      </c>
      <c r="R141" s="263">
        <v>70448.09935003423</v>
      </c>
      <c r="S141" s="259">
        <v>81523.108310760581</v>
      </c>
      <c r="U141" s="7" t="s">
        <v>5252</v>
      </c>
    </row>
    <row r="142" spans="1:21" ht="16.5" thickBot="1">
      <c r="A142" s="1188" t="s">
        <v>4533</v>
      </c>
      <c r="B142" s="1192">
        <f t="shared" si="6"/>
        <v>150</v>
      </c>
      <c r="C142" s="1192" t="s">
        <v>3</v>
      </c>
      <c r="D142" s="1192">
        <f t="shared" si="7"/>
        <v>300</v>
      </c>
      <c r="E142" s="1192" t="s">
        <v>3</v>
      </c>
      <c r="F142" s="1190">
        <f t="shared" si="8"/>
        <v>2150</v>
      </c>
      <c r="G142" s="1192" t="s">
        <v>3</v>
      </c>
      <c r="H142" s="1189">
        <v>2</v>
      </c>
      <c r="I142" s="1191" t="s">
        <v>40</v>
      </c>
      <c r="J142" s="149">
        <v>150</v>
      </c>
      <c r="K142" s="66">
        <v>300</v>
      </c>
      <c r="L142" s="66">
        <v>2150</v>
      </c>
      <c r="M142" s="164">
        <v>29.029174834162973</v>
      </c>
      <c r="N142" s="78">
        <v>1993.1615999999999</v>
      </c>
      <c r="O142" s="113">
        <v>43304.256703296225</v>
      </c>
      <c r="P142" s="111">
        <v>54602.989433829905</v>
      </c>
      <c r="Q142" s="110">
        <v>28441.907769651927</v>
      </c>
      <c r="R142" s="263">
        <v>71746.164472948149</v>
      </c>
      <c r="S142" s="259">
        <v>83044.897203481829</v>
      </c>
      <c r="U142" s="7" t="s">
        <v>5253</v>
      </c>
    </row>
    <row r="143" spans="1:21" ht="16.5" thickBot="1">
      <c r="A143" s="1188" t="s">
        <v>4533</v>
      </c>
      <c r="B143" s="1192">
        <f t="shared" si="6"/>
        <v>150</v>
      </c>
      <c r="C143" s="1192" t="s">
        <v>3</v>
      </c>
      <c r="D143" s="1192">
        <f t="shared" si="7"/>
        <v>300</v>
      </c>
      <c r="E143" s="1192" t="s">
        <v>3</v>
      </c>
      <c r="F143" s="1190">
        <f t="shared" si="8"/>
        <v>2200</v>
      </c>
      <c r="G143" s="1192" t="s">
        <v>3</v>
      </c>
      <c r="H143" s="1189">
        <v>2</v>
      </c>
      <c r="I143" s="1191" t="s">
        <v>40</v>
      </c>
      <c r="J143" s="149">
        <v>150</v>
      </c>
      <c r="K143" s="66">
        <v>300</v>
      </c>
      <c r="L143" s="66">
        <v>2200</v>
      </c>
      <c r="M143" s="164">
        <v>29.641481293635248</v>
      </c>
      <c r="N143" s="78">
        <v>2048.5272</v>
      </c>
      <c r="O143" s="113">
        <v>44078.680040209641</v>
      </c>
      <c r="P143" s="111">
        <v>55601.136540550651</v>
      </c>
      <c r="Q143" s="110">
        <v>29216.883540407438</v>
      </c>
      <c r="R143" s="263">
        <v>73295.563580617076</v>
      </c>
      <c r="S143" s="259">
        <v>84818.020080958086</v>
      </c>
      <c r="U143" s="7" t="s">
        <v>5254</v>
      </c>
    </row>
    <row r="144" spans="1:21" ht="16.5" thickBot="1">
      <c r="A144" s="1188" t="s">
        <v>4533</v>
      </c>
      <c r="B144" s="1192">
        <f t="shared" si="6"/>
        <v>150</v>
      </c>
      <c r="C144" s="1192" t="s">
        <v>3</v>
      </c>
      <c r="D144" s="1192">
        <f t="shared" si="7"/>
        <v>300</v>
      </c>
      <c r="E144" s="1192" t="s">
        <v>3</v>
      </c>
      <c r="F144" s="1190">
        <f t="shared" si="8"/>
        <v>2250</v>
      </c>
      <c r="G144" s="1192" t="s">
        <v>3</v>
      </c>
      <c r="H144" s="1189">
        <v>2</v>
      </c>
      <c r="I144" s="1191" t="s">
        <v>40</v>
      </c>
      <c r="J144" s="149">
        <v>150</v>
      </c>
      <c r="K144" s="66">
        <v>300</v>
      </c>
      <c r="L144" s="66">
        <v>2250</v>
      </c>
      <c r="M144" s="164">
        <v>30.25378775310751</v>
      </c>
      <c r="N144" s="78">
        <v>2103.8927999999996</v>
      </c>
      <c r="O144" s="113">
        <v>44853.103377123058</v>
      </c>
      <c r="P144" s="111">
        <v>56599.283494242627</v>
      </c>
      <c r="Q144" s="110">
        <v>29740.525173379188</v>
      </c>
      <c r="R144" s="263">
        <v>74593.628550502239</v>
      </c>
      <c r="S144" s="259">
        <v>86339.808667621808</v>
      </c>
      <c r="U144" s="7" t="s">
        <v>5255</v>
      </c>
    </row>
    <row r="145" spans="1:21" ht="16.5" thickBot="1">
      <c r="A145" s="1188" t="s">
        <v>4533</v>
      </c>
      <c r="B145" s="1192">
        <f t="shared" si="6"/>
        <v>150</v>
      </c>
      <c r="C145" s="1192" t="s">
        <v>3</v>
      </c>
      <c r="D145" s="1192">
        <f t="shared" si="7"/>
        <v>300</v>
      </c>
      <c r="E145" s="1192" t="s">
        <v>3</v>
      </c>
      <c r="F145" s="1190">
        <f t="shared" si="8"/>
        <v>2300</v>
      </c>
      <c r="G145" s="1192" t="s">
        <v>3</v>
      </c>
      <c r="H145" s="1189">
        <v>2</v>
      </c>
      <c r="I145" s="1191" t="s">
        <v>40</v>
      </c>
      <c r="J145" s="149">
        <v>150</v>
      </c>
      <c r="K145" s="66">
        <v>300</v>
      </c>
      <c r="L145" s="66">
        <v>2300</v>
      </c>
      <c r="M145" s="164">
        <v>30.866094212579785</v>
      </c>
      <c r="N145" s="78">
        <v>2159.2583999999997</v>
      </c>
      <c r="O145" s="113">
        <v>45627.526714036474</v>
      </c>
      <c r="P145" s="111">
        <v>57597.430600963373</v>
      </c>
      <c r="Q145" s="110">
        <v>30264.166959379701</v>
      </c>
      <c r="R145" s="263">
        <v>75891.693673416172</v>
      </c>
      <c r="S145" s="259">
        <v>87861.597560343071</v>
      </c>
      <c r="U145" s="7" t="s">
        <v>5256</v>
      </c>
    </row>
    <row r="146" spans="1:21" ht="16.5" thickBot="1">
      <c r="A146" s="1188" t="s">
        <v>4533</v>
      </c>
      <c r="B146" s="1192">
        <f t="shared" si="6"/>
        <v>150</v>
      </c>
      <c r="C146" s="1192" t="s">
        <v>3</v>
      </c>
      <c r="D146" s="1192">
        <f t="shared" si="7"/>
        <v>300</v>
      </c>
      <c r="E146" s="1192" t="s">
        <v>3</v>
      </c>
      <c r="F146" s="1190">
        <f t="shared" si="8"/>
        <v>2350</v>
      </c>
      <c r="G146" s="1192" t="s">
        <v>3</v>
      </c>
      <c r="H146" s="1189">
        <v>2</v>
      </c>
      <c r="I146" s="1191" t="s">
        <v>40</v>
      </c>
      <c r="J146" s="149">
        <v>150</v>
      </c>
      <c r="K146" s="66">
        <v>300</v>
      </c>
      <c r="L146" s="66">
        <v>2350</v>
      </c>
      <c r="M146" s="164">
        <v>31.478400672052057</v>
      </c>
      <c r="N146" s="78">
        <v>2214.6239999999998</v>
      </c>
      <c r="O146" s="113">
        <v>46401.95005094989</v>
      </c>
      <c r="P146" s="111">
        <v>58595.577707684111</v>
      </c>
      <c r="Q146" s="110">
        <v>31039.142730135216</v>
      </c>
      <c r="R146" s="263">
        <v>77441.092781085114</v>
      </c>
      <c r="S146" s="259">
        <v>89634.720437819327</v>
      </c>
      <c r="U146" s="7" t="s">
        <v>5257</v>
      </c>
    </row>
    <row r="147" spans="1:21" ht="16.5" thickBot="1">
      <c r="A147" s="1188" t="s">
        <v>4533</v>
      </c>
      <c r="B147" s="1192">
        <f t="shared" si="6"/>
        <v>150</v>
      </c>
      <c r="C147" s="1192" t="s">
        <v>3</v>
      </c>
      <c r="D147" s="1192">
        <f t="shared" si="7"/>
        <v>300</v>
      </c>
      <c r="E147" s="1192" t="s">
        <v>3</v>
      </c>
      <c r="F147" s="1190">
        <f t="shared" si="8"/>
        <v>2400</v>
      </c>
      <c r="G147" s="1192" t="s">
        <v>3</v>
      </c>
      <c r="H147" s="1189">
        <v>2</v>
      </c>
      <c r="I147" s="1191" t="s">
        <v>40</v>
      </c>
      <c r="J147" s="149">
        <v>150</v>
      </c>
      <c r="K147" s="66">
        <v>300</v>
      </c>
      <c r="L147" s="66">
        <v>2400</v>
      </c>
      <c r="M147" s="164">
        <v>32.090707131524319</v>
      </c>
      <c r="N147" s="78">
        <v>2269.9895999999994</v>
      </c>
      <c r="O147" s="113">
        <v>47176.373234834537</v>
      </c>
      <c r="P147" s="111">
        <v>59593.724814404857</v>
      </c>
      <c r="Q147" s="110">
        <v>31562.784363106966</v>
      </c>
      <c r="R147" s="263">
        <v>78739.157597941507</v>
      </c>
      <c r="S147" s="259">
        <v>91156.50917751182</v>
      </c>
      <c r="U147" s="7" t="s">
        <v>5258</v>
      </c>
    </row>
    <row r="148" spans="1:21" ht="16.5" thickBot="1">
      <c r="A148" s="1188" t="s">
        <v>4533</v>
      </c>
      <c r="B148" s="1192">
        <f t="shared" si="6"/>
        <v>150</v>
      </c>
      <c r="C148" s="1192" t="s">
        <v>3</v>
      </c>
      <c r="D148" s="1192">
        <f t="shared" si="7"/>
        <v>300</v>
      </c>
      <c r="E148" s="1192" t="s">
        <v>3</v>
      </c>
      <c r="F148" s="1190">
        <f t="shared" si="8"/>
        <v>2450</v>
      </c>
      <c r="G148" s="1192" t="s">
        <v>3</v>
      </c>
      <c r="H148" s="1189">
        <v>2</v>
      </c>
      <c r="I148" s="1191" t="s">
        <v>40</v>
      </c>
      <c r="J148" s="149">
        <v>150</v>
      </c>
      <c r="K148" s="66">
        <v>300</v>
      </c>
      <c r="L148" s="66">
        <v>2450</v>
      </c>
      <c r="M148" s="164">
        <v>32.703013590996598</v>
      </c>
      <c r="N148" s="78">
        <v>2325.3552</v>
      </c>
      <c r="O148" s="113">
        <v>47950.796571747953</v>
      </c>
      <c r="P148" s="111">
        <v>60591.871768096833</v>
      </c>
      <c r="Q148" s="110">
        <v>32337.760286891244</v>
      </c>
      <c r="R148" s="263">
        <v>80288.556858639204</v>
      </c>
      <c r="S148" s="259">
        <v>92929.632054988077</v>
      </c>
      <c r="U148" s="7" t="s">
        <v>5259</v>
      </c>
    </row>
    <row r="149" spans="1:21" ht="16.5" thickBot="1">
      <c r="A149" s="1188" t="s">
        <v>4533</v>
      </c>
      <c r="B149" s="1192">
        <f t="shared" si="6"/>
        <v>150</v>
      </c>
      <c r="C149" s="1192" t="s">
        <v>3</v>
      </c>
      <c r="D149" s="1192">
        <f t="shared" si="7"/>
        <v>300</v>
      </c>
      <c r="E149" s="1192" t="s">
        <v>3</v>
      </c>
      <c r="F149" s="1190">
        <f t="shared" si="8"/>
        <v>2500</v>
      </c>
      <c r="G149" s="1192" t="s">
        <v>3</v>
      </c>
      <c r="H149" s="1189">
        <v>2</v>
      </c>
      <c r="I149" s="1191" t="s">
        <v>40</v>
      </c>
      <c r="J149" s="149">
        <v>150</v>
      </c>
      <c r="K149" s="66">
        <v>300</v>
      </c>
      <c r="L149" s="66">
        <v>2500</v>
      </c>
      <c r="M149" s="164">
        <v>33.753030850468861</v>
      </c>
      <c r="N149" s="78">
        <v>2380.7207999999996</v>
      </c>
      <c r="O149" s="113">
        <v>49633.556422504196</v>
      </c>
      <c r="P149" s="111">
        <v>62802.977662122299</v>
      </c>
      <c r="Q149" s="110">
        <v>32861.40191986299</v>
      </c>
      <c r="R149" s="263">
        <v>82494.958342367187</v>
      </c>
      <c r="S149" s="259">
        <v>95664.379581985297</v>
      </c>
      <c r="U149" s="7" t="s">
        <v>5260</v>
      </c>
    </row>
    <row r="150" spans="1:21" ht="16.5" thickBot="1">
      <c r="A150" s="1188" t="s">
        <v>4533</v>
      </c>
      <c r="B150" s="1192">
        <f t="shared" si="6"/>
        <v>150</v>
      </c>
      <c r="C150" s="1192" t="s">
        <v>3</v>
      </c>
      <c r="D150" s="1192">
        <f t="shared" si="7"/>
        <v>300</v>
      </c>
      <c r="E150" s="1192" t="s">
        <v>3</v>
      </c>
      <c r="F150" s="1190">
        <f t="shared" si="8"/>
        <v>2550</v>
      </c>
      <c r="G150" s="1192" t="s">
        <v>3</v>
      </c>
      <c r="H150" s="1189">
        <v>2</v>
      </c>
      <c r="I150" s="1191" t="s">
        <v>40</v>
      </c>
      <c r="J150" s="149">
        <v>150</v>
      </c>
      <c r="K150" s="66">
        <v>300</v>
      </c>
      <c r="L150" s="66">
        <v>2550</v>
      </c>
      <c r="M150" s="164">
        <v>34.365337309941133</v>
      </c>
      <c r="N150" s="78">
        <v>2436.0864000000001</v>
      </c>
      <c r="O150" s="113">
        <v>50801.602032388553</v>
      </c>
      <c r="P150" s="111">
        <v>63816.427645355529</v>
      </c>
      <c r="Q150" s="110">
        <v>33636.377843647271</v>
      </c>
      <c r="R150" s="263">
        <v>84437.979876035824</v>
      </c>
      <c r="S150" s="259">
        <v>97452.8054890028</v>
      </c>
      <c r="U150" s="7" t="s">
        <v>5261</v>
      </c>
    </row>
    <row r="151" spans="1:21" ht="16.5" thickBot="1">
      <c r="A151" s="1188" t="s">
        <v>4533</v>
      </c>
      <c r="B151" s="1189">
        <f t="shared" si="6"/>
        <v>150</v>
      </c>
      <c r="C151" s="1189" t="s">
        <v>3</v>
      </c>
      <c r="D151" s="1189">
        <f t="shared" si="7"/>
        <v>300</v>
      </c>
      <c r="E151" s="1189" t="s">
        <v>3</v>
      </c>
      <c r="F151" s="1190">
        <f t="shared" si="8"/>
        <v>2600</v>
      </c>
      <c r="G151" s="1189" t="s">
        <v>3</v>
      </c>
      <c r="H151" s="1189">
        <v>2</v>
      </c>
      <c r="I151" s="1191" t="s">
        <v>40</v>
      </c>
      <c r="J151" s="149">
        <v>150</v>
      </c>
      <c r="K151" s="66">
        <v>300</v>
      </c>
      <c r="L151" s="66">
        <v>2600</v>
      </c>
      <c r="M151" s="164">
        <v>34.977643769413405</v>
      </c>
      <c r="N151" s="78">
        <v>2491.4519999999998</v>
      </c>
      <c r="O151" s="113">
        <v>51576.025369301962</v>
      </c>
      <c r="P151" s="111">
        <v>64814.574599047504</v>
      </c>
      <c r="Q151" s="110">
        <v>34160.019476619018</v>
      </c>
      <c r="R151" s="263">
        <v>85736.044845920987</v>
      </c>
      <c r="S151" s="259">
        <v>98974.594075666522</v>
      </c>
      <c r="U151" s="7" t="s">
        <v>5262</v>
      </c>
    </row>
    <row r="152" spans="1:21" ht="16.5" thickBot="1">
      <c r="A152" s="1188" t="s">
        <v>4533</v>
      </c>
      <c r="B152" s="1192">
        <f t="shared" si="6"/>
        <v>150</v>
      </c>
      <c r="C152" s="1192" t="s">
        <v>3</v>
      </c>
      <c r="D152" s="1192">
        <f t="shared" si="7"/>
        <v>300</v>
      </c>
      <c r="E152" s="1192" t="s">
        <v>3</v>
      </c>
      <c r="F152" s="1190">
        <f t="shared" si="8"/>
        <v>2650</v>
      </c>
      <c r="G152" s="1192" t="s">
        <v>3</v>
      </c>
      <c r="H152" s="1189">
        <v>2</v>
      </c>
      <c r="I152" s="1191" t="s">
        <v>40</v>
      </c>
      <c r="J152" s="149">
        <v>150</v>
      </c>
      <c r="K152" s="66">
        <v>300</v>
      </c>
      <c r="L152" s="66">
        <v>2650</v>
      </c>
      <c r="M152" s="164">
        <v>35.589950228885677</v>
      </c>
      <c r="N152" s="78">
        <v>2546.8175999999994</v>
      </c>
      <c r="O152" s="113">
        <v>52350.448706215378</v>
      </c>
      <c r="P152" s="111">
        <v>65812.721705768257</v>
      </c>
      <c r="Q152" s="110">
        <v>34934.995247374536</v>
      </c>
      <c r="R152" s="263">
        <v>87285.443953589915</v>
      </c>
      <c r="S152" s="259">
        <v>100747.71695314279</v>
      </c>
      <c r="U152" s="7" t="s">
        <v>5263</v>
      </c>
    </row>
    <row r="153" spans="1:21" ht="16.5" thickBot="1">
      <c r="A153" s="1188" t="s">
        <v>4533</v>
      </c>
      <c r="B153" s="1192">
        <f t="shared" si="6"/>
        <v>150</v>
      </c>
      <c r="C153" s="1192" t="s">
        <v>3</v>
      </c>
      <c r="D153" s="1192">
        <f t="shared" si="7"/>
        <v>300</v>
      </c>
      <c r="E153" s="1192" t="s">
        <v>3</v>
      </c>
      <c r="F153" s="1190">
        <f t="shared" si="8"/>
        <v>2700</v>
      </c>
      <c r="G153" s="1192" t="s">
        <v>3</v>
      </c>
      <c r="H153" s="1189">
        <v>2</v>
      </c>
      <c r="I153" s="1191" t="s">
        <v>40</v>
      </c>
      <c r="J153" s="149">
        <v>150</v>
      </c>
      <c r="K153" s="66">
        <v>300</v>
      </c>
      <c r="L153" s="66">
        <v>2700</v>
      </c>
      <c r="M153" s="164">
        <v>36.202256688357949</v>
      </c>
      <c r="N153" s="78">
        <v>2602.1831999999999</v>
      </c>
      <c r="O153" s="113">
        <v>53124.871890100032</v>
      </c>
      <c r="P153" s="111">
        <v>66810.868812488989</v>
      </c>
      <c r="Q153" s="110">
        <v>35458.637033375046</v>
      </c>
      <c r="R153" s="263">
        <v>88583.508923475078</v>
      </c>
      <c r="S153" s="259">
        <v>102269.50584586404</v>
      </c>
      <c r="U153" s="7" t="s">
        <v>5264</v>
      </c>
    </row>
    <row r="154" spans="1:21" ht="16.5" thickBot="1">
      <c r="A154" s="1188" t="s">
        <v>4533</v>
      </c>
      <c r="B154" s="1192">
        <f t="shared" si="6"/>
        <v>150</v>
      </c>
      <c r="C154" s="1192" t="s">
        <v>3</v>
      </c>
      <c r="D154" s="1192">
        <f t="shared" si="7"/>
        <v>300</v>
      </c>
      <c r="E154" s="1192" t="s">
        <v>3</v>
      </c>
      <c r="F154" s="1190">
        <f t="shared" si="8"/>
        <v>2750</v>
      </c>
      <c r="G154" s="1192" t="s">
        <v>3</v>
      </c>
      <c r="H154" s="1189">
        <v>2</v>
      </c>
      <c r="I154" s="1191" t="s">
        <v>40</v>
      </c>
      <c r="J154" s="149">
        <v>150</v>
      </c>
      <c r="K154" s="66">
        <v>300</v>
      </c>
      <c r="L154" s="66">
        <v>2750</v>
      </c>
      <c r="M154" s="164">
        <v>36.814563147830214</v>
      </c>
      <c r="N154" s="78">
        <v>2657.5487999999996</v>
      </c>
      <c r="O154" s="113">
        <v>53899.295227013448</v>
      </c>
      <c r="P154" s="111">
        <v>67809.015919209734</v>
      </c>
      <c r="Q154" s="110">
        <v>35982.278666346792</v>
      </c>
      <c r="R154" s="263">
        <v>89881.573893360241</v>
      </c>
      <c r="S154" s="259">
        <v>103791.29458555652</v>
      </c>
      <c r="U154" s="7" t="s">
        <v>5265</v>
      </c>
    </row>
    <row r="155" spans="1:21" ht="16.5" thickBot="1">
      <c r="A155" s="1188" t="s">
        <v>4533</v>
      </c>
      <c r="B155" s="1192">
        <f t="shared" si="6"/>
        <v>150</v>
      </c>
      <c r="C155" s="1192" t="s">
        <v>3</v>
      </c>
      <c r="D155" s="1192">
        <f t="shared" si="7"/>
        <v>300</v>
      </c>
      <c r="E155" s="1192" t="s">
        <v>3</v>
      </c>
      <c r="F155" s="1190">
        <f t="shared" si="8"/>
        <v>2800</v>
      </c>
      <c r="G155" s="1192" t="s">
        <v>3</v>
      </c>
      <c r="H155" s="1189">
        <v>2</v>
      </c>
      <c r="I155" s="1191" t="s">
        <v>40</v>
      </c>
      <c r="J155" s="149">
        <v>150</v>
      </c>
      <c r="K155" s="66">
        <v>300</v>
      </c>
      <c r="L155" s="66">
        <v>2800</v>
      </c>
      <c r="M155" s="164">
        <v>37.426869607302493</v>
      </c>
      <c r="N155" s="78">
        <v>2712.9144000000001</v>
      </c>
      <c r="O155" s="113">
        <v>54673.718563926865</v>
      </c>
      <c r="P155" s="111">
        <v>68807.16287290171</v>
      </c>
      <c r="Q155" s="110">
        <v>36757.25443710231</v>
      </c>
      <c r="R155" s="263">
        <v>91430.973001029168</v>
      </c>
      <c r="S155" s="259">
        <v>105564.41731000402</v>
      </c>
      <c r="U155" s="7" t="s">
        <v>5266</v>
      </c>
    </row>
    <row r="156" spans="1:21" ht="16.5" thickBot="1">
      <c r="A156" s="1188" t="s">
        <v>4533</v>
      </c>
      <c r="B156" s="1192">
        <f t="shared" si="6"/>
        <v>150</v>
      </c>
      <c r="C156" s="1192" t="s">
        <v>3</v>
      </c>
      <c r="D156" s="1192">
        <f t="shared" si="7"/>
        <v>300</v>
      </c>
      <c r="E156" s="1192" t="s">
        <v>3</v>
      </c>
      <c r="F156" s="1190">
        <f t="shared" si="8"/>
        <v>2850</v>
      </c>
      <c r="G156" s="1192" t="s">
        <v>3</v>
      </c>
      <c r="H156" s="1189">
        <v>2</v>
      </c>
      <c r="I156" s="1191" t="s">
        <v>40</v>
      </c>
      <c r="J156" s="149">
        <v>150</v>
      </c>
      <c r="K156" s="66">
        <v>300</v>
      </c>
      <c r="L156" s="66">
        <v>2850</v>
      </c>
      <c r="M156" s="164">
        <v>38.039176066774758</v>
      </c>
      <c r="N156" s="78">
        <v>2768.2799999999997</v>
      </c>
      <c r="O156" s="113">
        <v>55448.141900840274</v>
      </c>
      <c r="P156" s="111">
        <v>69805.309979622456</v>
      </c>
      <c r="Q156" s="110">
        <v>37280.89622310282</v>
      </c>
      <c r="R156" s="263">
        <v>92729.038123943086</v>
      </c>
      <c r="S156" s="259">
        <v>107086.20620272527</v>
      </c>
      <c r="U156" s="7" t="s">
        <v>5267</v>
      </c>
    </row>
    <row r="157" spans="1:21" ht="16.5" thickBot="1">
      <c r="A157" s="1188" t="s">
        <v>4533</v>
      </c>
      <c r="B157" s="1192">
        <f t="shared" si="6"/>
        <v>150</v>
      </c>
      <c r="C157" s="1192" t="s">
        <v>3</v>
      </c>
      <c r="D157" s="1192">
        <f t="shared" si="7"/>
        <v>300</v>
      </c>
      <c r="E157" s="1192" t="s">
        <v>3</v>
      </c>
      <c r="F157" s="1190">
        <f t="shared" si="8"/>
        <v>2900</v>
      </c>
      <c r="G157" s="1192" t="s">
        <v>3</v>
      </c>
      <c r="H157" s="1189">
        <v>2</v>
      </c>
      <c r="I157" s="1191" t="s">
        <v>40</v>
      </c>
      <c r="J157" s="149">
        <v>150</v>
      </c>
      <c r="K157" s="66">
        <v>300</v>
      </c>
      <c r="L157" s="66">
        <v>2900</v>
      </c>
      <c r="M157" s="164">
        <v>38.65148252624703</v>
      </c>
      <c r="N157" s="78">
        <v>2823.6455999999994</v>
      </c>
      <c r="O157" s="113">
        <v>56222.56523775369</v>
      </c>
      <c r="P157" s="111">
        <v>70803.457086343187</v>
      </c>
      <c r="Q157" s="110">
        <v>38055.871993858338</v>
      </c>
      <c r="R157" s="263">
        <v>94278.437231612028</v>
      </c>
      <c r="S157" s="259">
        <v>108859.32908020153</v>
      </c>
      <c r="U157" s="7" t="s">
        <v>5268</v>
      </c>
    </row>
    <row r="158" spans="1:21" ht="16.5" thickBot="1">
      <c r="A158" s="1188" t="s">
        <v>4533</v>
      </c>
      <c r="B158" s="1192">
        <f t="shared" si="6"/>
        <v>150</v>
      </c>
      <c r="C158" s="1192" t="s">
        <v>3</v>
      </c>
      <c r="D158" s="1192">
        <f t="shared" si="7"/>
        <v>300</v>
      </c>
      <c r="E158" s="1192" t="s">
        <v>3</v>
      </c>
      <c r="F158" s="1190">
        <f t="shared" si="8"/>
        <v>2950</v>
      </c>
      <c r="G158" s="1192" t="s">
        <v>3</v>
      </c>
      <c r="H158" s="1189">
        <v>2</v>
      </c>
      <c r="I158" s="1191" t="s">
        <v>40</v>
      </c>
      <c r="J158" s="149">
        <v>150</v>
      </c>
      <c r="K158" s="66">
        <v>300</v>
      </c>
      <c r="L158" s="66">
        <v>2950</v>
      </c>
      <c r="M158" s="164">
        <v>39.263788985719295</v>
      </c>
      <c r="N158" s="78">
        <v>2879.0111999999999</v>
      </c>
      <c r="O158" s="113">
        <v>56996.988574667106</v>
      </c>
      <c r="P158" s="111">
        <v>71801.604193063933</v>
      </c>
      <c r="Q158" s="110">
        <v>38579.513779858848</v>
      </c>
      <c r="R158" s="263">
        <v>95576.502354525961</v>
      </c>
      <c r="S158" s="259">
        <v>110381.11797292277</v>
      </c>
      <c r="U158" s="7" t="s">
        <v>5269</v>
      </c>
    </row>
    <row r="159" spans="1:21" ht="16.5" thickBot="1">
      <c r="A159" s="1188" t="s">
        <v>4533</v>
      </c>
      <c r="B159" s="1194">
        <f t="shared" si="6"/>
        <v>150</v>
      </c>
      <c r="C159" s="1194" t="s">
        <v>3</v>
      </c>
      <c r="D159" s="1194">
        <f t="shared" si="7"/>
        <v>300</v>
      </c>
      <c r="E159" s="1194" t="s">
        <v>3</v>
      </c>
      <c r="F159" s="1195">
        <f t="shared" si="8"/>
        <v>3000</v>
      </c>
      <c r="G159" s="1194" t="s">
        <v>3</v>
      </c>
      <c r="H159" s="1189">
        <v>2</v>
      </c>
      <c r="I159" s="1191" t="s">
        <v>40</v>
      </c>
      <c r="J159" s="151">
        <v>150</v>
      </c>
      <c r="K159" s="126">
        <v>300</v>
      </c>
      <c r="L159" s="126">
        <v>3000</v>
      </c>
      <c r="M159" s="171">
        <v>40.110203445191573</v>
      </c>
      <c r="N159" s="127">
        <v>2934.3767999999995</v>
      </c>
      <c r="O159" s="128">
        <v>58035.478348680073</v>
      </c>
      <c r="P159" s="135">
        <v>73063.817583855605</v>
      </c>
      <c r="Q159" s="136">
        <v>39354.489550614366</v>
      </c>
      <c r="R159" s="264">
        <v>97389.967899294439</v>
      </c>
      <c r="S159" s="261">
        <v>112418.30713446997</v>
      </c>
      <c r="U159" s="7" t="s">
        <v>5270</v>
      </c>
    </row>
    <row r="160" spans="1:21" ht="16.5" thickBot="1">
      <c r="A160" s="3010" t="s">
        <v>44</v>
      </c>
      <c r="B160" s="3011"/>
      <c r="C160" s="3011"/>
      <c r="D160" s="3011"/>
      <c r="E160" s="3011"/>
      <c r="F160" s="3011"/>
      <c r="G160" s="3011"/>
      <c r="H160" s="3011"/>
      <c r="I160" s="3011"/>
      <c r="J160" s="3011"/>
      <c r="K160" s="3011"/>
      <c r="L160" s="3011"/>
      <c r="M160" s="3011"/>
      <c r="N160" s="3011"/>
      <c r="O160" s="3011"/>
      <c r="P160" s="3011"/>
      <c r="Q160" s="3011"/>
      <c r="R160" s="3011"/>
      <c r="S160" s="3012"/>
      <c r="U160" s="7"/>
    </row>
    <row r="161" spans="1:21" ht="16.5" thickBot="1">
      <c r="A161" s="2974" t="s">
        <v>4532</v>
      </c>
      <c r="B161" s="2975"/>
      <c r="C161" s="2975"/>
      <c r="D161" s="2975"/>
      <c r="E161" s="2975"/>
      <c r="F161" s="2975"/>
      <c r="G161" s="2975"/>
      <c r="H161" s="2975"/>
      <c r="I161" s="2975"/>
      <c r="J161" s="2975"/>
      <c r="K161" s="2975"/>
      <c r="L161" s="2975"/>
      <c r="M161" s="2975"/>
      <c r="N161" s="2975"/>
      <c r="O161" s="2975"/>
      <c r="P161" s="2975"/>
      <c r="Q161" s="2975"/>
      <c r="R161" s="2975"/>
      <c r="S161" s="2976"/>
      <c r="U161" s="7"/>
    </row>
    <row r="162" spans="1:21" ht="16.5" thickBot="1">
      <c r="A162" s="1188" t="s">
        <v>4533</v>
      </c>
      <c r="B162" s="1189">
        <f>J162</f>
        <v>150</v>
      </c>
      <c r="C162" s="1189" t="s">
        <v>3</v>
      </c>
      <c r="D162" s="1189">
        <f>K162</f>
        <v>360</v>
      </c>
      <c r="E162" s="1189" t="s">
        <v>3</v>
      </c>
      <c r="F162" s="1190">
        <f>L162</f>
        <v>600</v>
      </c>
      <c r="G162" s="1189" t="s">
        <v>3</v>
      </c>
      <c r="H162" s="1189">
        <v>2</v>
      </c>
      <c r="I162" s="1191" t="s">
        <v>40</v>
      </c>
      <c r="J162" s="146">
        <v>150</v>
      </c>
      <c r="K162" s="122">
        <v>360</v>
      </c>
      <c r="L162" s="122">
        <v>600</v>
      </c>
      <c r="M162" s="163">
        <v>10.725371307575244</v>
      </c>
      <c r="N162" s="123">
        <v>288.51886074920998</v>
      </c>
      <c r="O162" s="124">
        <v>18447.970061064836</v>
      </c>
      <c r="P162" s="148">
        <v>23882.943508963468</v>
      </c>
      <c r="Q162" s="139">
        <v>10032.760953270536</v>
      </c>
      <c r="R162" s="262">
        <v>28480.731014335372</v>
      </c>
      <c r="S162" s="257">
        <v>33915.704462234004</v>
      </c>
      <c r="U162" s="7" t="s">
        <v>5271</v>
      </c>
    </row>
    <row r="163" spans="1:21" ht="16.5" thickBot="1">
      <c r="A163" s="1188" t="s">
        <v>4533</v>
      </c>
      <c r="B163" s="1192">
        <f t="shared" ref="B163:B210" si="9">J163</f>
        <v>150</v>
      </c>
      <c r="C163" s="1192" t="s">
        <v>3</v>
      </c>
      <c r="D163" s="1192">
        <f t="shared" ref="D163:D210" si="10">K163</f>
        <v>360</v>
      </c>
      <c r="E163" s="1192" t="s">
        <v>3</v>
      </c>
      <c r="F163" s="1190">
        <f t="shared" ref="F163:F210" si="11">L163</f>
        <v>650</v>
      </c>
      <c r="G163" s="1192" t="s">
        <v>3</v>
      </c>
      <c r="H163" s="1189">
        <v>2</v>
      </c>
      <c r="I163" s="1191" t="s">
        <v>40</v>
      </c>
      <c r="J163" s="149">
        <v>150</v>
      </c>
      <c r="K163" s="66">
        <v>360</v>
      </c>
      <c r="L163" s="66">
        <v>650</v>
      </c>
      <c r="M163" s="164">
        <v>11.405604393468568</v>
      </c>
      <c r="N163" s="78">
        <v>346.22263289905197</v>
      </c>
      <c r="O163" s="113">
        <v>19254.420941260028</v>
      </c>
      <c r="P163" s="111">
        <v>24935.490505340964</v>
      </c>
      <c r="Q163" s="110">
        <v>10636.181837508726</v>
      </c>
      <c r="R163" s="263">
        <v>29890.602778768756</v>
      </c>
      <c r="S163" s="259">
        <v>35571.672342849692</v>
      </c>
      <c r="U163" s="7" t="s">
        <v>5272</v>
      </c>
    </row>
    <row r="164" spans="1:21" ht="16.5" thickBot="1">
      <c r="A164" s="1188" t="s">
        <v>4533</v>
      </c>
      <c r="B164" s="1192">
        <f t="shared" si="9"/>
        <v>150</v>
      </c>
      <c r="C164" s="1192" t="s">
        <v>3</v>
      </c>
      <c r="D164" s="1192">
        <f t="shared" si="10"/>
        <v>360</v>
      </c>
      <c r="E164" s="1192" t="s">
        <v>3</v>
      </c>
      <c r="F164" s="1190">
        <f t="shared" si="11"/>
        <v>700</v>
      </c>
      <c r="G164" s="1192" t="s">
        <v>3</v>
      </c>
      <c r="H164" s="1189">
        <v>2</v>
      </c>
      <c r="I164" s="1191" t="s">
        <v>40</v>
      </c>
      <c r="J164" s="149">
        <v>150</v>
      </c>
      <c r="K164" s="66">
        <v>360</v>
      </c>
      <c r="L164" s="66">
        <v>700</v>
      </c>
      <c r="M164" s="164">
        <v>12.085837479361889</v>
      </c>
      <c r="N164" s="78">
        <v>403.92640504889397</v>
      </c>
      <c r="O164" s="113">
        <v>20060.871821455221</v>
      </c>
      <c r="P164" s="111">
        <v>25988.037501718463</v>
      </c>
      <c r="Q164" s="110">
        <v>11490.936859530682</v>
      </c>
      <c r="R164" s="263">
        <v>31551.808680985901</v>
      </c>
      <c r="S164" s="259">
        <v>37478.974361249144</v>
      </c>
      <c r="U164" s="7" t="s">
        <v>5273</v>
      </c>
    </row>
    <row r="165" spans="1:21" ht="16.5" thickBot="1">
      <c r="A165" s="1188" t="s">
        <v>4533</v>
      </c>
      <c r="B165" s="1192">
        <f t="shared" si="9"/>
        <v>150</v>
      </c>
      <c r="C165" s="1192" t="s">
        <v>3</v>
      </c>
      <c r="D165" s="1192">
        <f t="shared" si="10"/>
        <v>360</v>
      </c>
      <c r="E165" s="1192" t="s">
        <v>3</v>
      </c>
      <c r="F165" s="1190">
        <f t="shared" si="11"/>
        <v>750</v>
      </c>
      <c r="G165" s="1192" t="s">
        <v>3</v>
      </c>
      <c r="H165" s="1189">
        <v>2</v>
      </c>
      <c r="I165" s="1191" t="s">
        <v>40</v>
      </c>
      <c r="J165" s="149">
        <v>150</v>
      </c>
      <c r="K165" s="66">
        <v>360</v>
      </c>
      <c r="L165" s="66">
        <v>750</v>
      </c>
      <c r="M165" s="164">
        <v>12.766070565255212</v>
      </c>
      <c r="N165" s="78">
        <v>461.63017719873596</v>
      </c>
      <c r="O165" s="113">
        <v>20867.322701650413</v>
      </c>
      <c r="P165" s="111">
        <v>27040.584498095959</v>
      </c>
      <c r="Q165" s="110">
        <v>12094.357743768871</v>
      </c>
      <c r="R165" s="263">
        <v>32961.680445419282</v>
      </c>
      <c r="S165" s="259">
        <v>39134.942241864832</v>
      </c>
      <c r="U165" s="7" t="s">
        <v>5274</v>
      </c>
    </row>
    <row r="166" spans="1:21" ht="16.5" thickBot="1">
      <c r="A166" s="1188" t="s">
        <v>4533</v>
      </c>
      <c r="B166" s="1192">
        <f t="shared" si="9"/>
        <v>150</v>
      </c>
      <c r="C166" s="1192" t="s">
        <v>3</v>
      </c>
      <c r="D166" s="1192">
        <f t="shared" si="10"/>
        <v>360</v>
      </c>
      <c r="E166" s="1192" t="s">
        <v>3</v>
      </c>
      <c r="F166" s="1190">
        <f t="shared" si="11"/>
        <v>800</v>
      </c>
      <c r="G166" s="1192" t="s">
        <v>3</v>
      </c>
      <c r="H166" s="1189">
        <v>2</v>
      </c>
      <c r="I166" s="1191" t="s">
        <v>40</v>
      </c>
      <c r="J166" s="149">
        <v>150</v>
      </c>
      <c r="K166" s="66">
        <v>360</v>
      </c>
      <c r="L166" s="66">
        <v>800</v>
      </c>
      <c r="M166" s="164">
        <v>13.446303651148536</v>
      </c>
      <c r="N166" s="78">
        <v>519.33394934857802</v>
      </c>
      <c r="O166" s="113">
        <v>22069.658844195212</v>
      </c>
      <c r="P166" s="111">
        <v>28108.434370985957</v>
      </c>
      <c r="Q166" s="110">
        <v>12697.77862800706</v>
      </c>
      <c r="R166" s="263">
        <v>34767.437472202269</v>
      </c>
      <c r="S166" s="259">
        <v>40806.212998993018</v>
      </c>
      <c r="U166" s="7" t="s">
        <v>5275</v>
      </c>
    </row>
    <row r="167" spans="1:21" ht="16.5" thickBot="1">
      <c r="A167" s="1188" t="s">
        <v>4533</v>
      </c>
      <c r="B167" s="1192">
        <f t="shared" si="9"/>
        <v>150</v>
      </c>
      <c r="C167" s="1192" t="s">
        <v>3</v>
      </c>
      <c r="D167" s="1192">
        <f t="shared" si="10"/>
        <v>360</v>
      </c>
      <c r="E167" s="1192" t="s">
        <v>3</v>
      </c>
      <c r="F167" s="1190">
        <f t="shared" si="11"/>
        <v>850</v>
      </c>
      <c r="G167" s="1192" t="s">
        <v>3</v>
      </c>
      <c r="H167" s="1189">
        <v>2</v>
      </c>
      <c r="I167" s="1191" t="s">
        <v>40</v>
      </c>
      <c r="J167" s="149">
        <v>150</v>
      </c>
      <c r="K167" s="66">
        <v>360</v>
      </c>
      <c r="L167" s="66">
        <v>850</v>
      </c>
      <c r="M167" s="164">
        <v>14.126536737041857</v>
      </c>
      <c r="N167" s="78">
        <v>577.03772149841996</v>
      </c>
      <c r="O167" s="113">
        <v>22876.109724390404</v>
      </c>
      <c r="P167" s="111">
        <v>29160.981367363456</v>
      </c>
      <c r="Q167" s="110">
        <v>13552.533650029018</v>
      </c>
      <c r="R167" s="263">
        <v>36428.643374419422</v>
      </c>
      <c r="S167" s="259">
        <v>42713.515017392478</v>
      </c>
      <c r="U167" s="7" t="s">
        <v>5276</v>
      </c>
    </row>
    <row r="168" spans="1:21" ht="16.5" thickBot="1">
      <c r="A168" s="1188" t="s">
        <v>4533</v>
      </c>
      <c r="B168" s="1192">
        <f t="shared" si="9"/>
        <v>150</v>
      </c>
      <c r="C168" s="1192" t="s">
        <v>3</v>
      </c>
      <c r="D168" s="1192">
        <f t="shared" si="10"/>
        <v>360</v>
      </c>
      <c r="E168" s="1192" t="s">
        <v>3</v>
      </c>
      <c r="F168" s="1190">
        <f t="shared" si="11"/>
        <v>900</v>
      </c>
      <c r="G168" s="1192" t="s">
        <v>3</v>
      </c>
      <c r="H168" s="1189">
        <v>2</v>
      </c>
      <c r="I168" s="1191" t="s">
        <v>40</v>
      </c>
      <c r="J168" s="149">
        <v>150</v>
      </c>
      <c r="K168" s="66">
        <v>360</v>
      </c>
      <c r="L168" s="66">
        <v>900</v>
      </c>
      <c r="M168" s="164">
        <v>14.806769822935181</v>
      </c>
      <c r="N168" s="78">
        <v>634.74149364826201</v>
      </c>
      <c r="O168" s="113">
        <v>23682.560604585593</v>
      </c>
      <c r="P168" s="111">
        <v>30213.528516769715</v>
      </c>
      <c r="Q168" s="110">
        <v>14155.954534267206</v>
      </c>
      <c r="R168" s="263">
        <v>37838.515138852803</v>
      </c>
      <c r="S168" s="259">
        <v>44369.483051036921</v>
      </c>
      <c r="U168" s="7" t="s">
        <v>5277</v>
      </c>
    </row>
    <row r="169" spans="1:21" ht="16.5" thickBot="1">
      <c r="A169" s="1188" t="s">
        <v>4533</v>
      </c>
      <c r="B169" s="1192">
        <f t="shared" si="9"/>
        <v>150</v>
      </c>
      <c r="C169" s="1192" t="s">
        <v>3</v>
      </c>
      <c r="D169" s="1192">
        <f t="shared" si="10"/>
        <v>360</v>
      </c>
      <c r="E169" s="1192" t="s">
        <v>3</v>
      </c>
      <c r="F169" s="1190">
        <f t="shared" si="11"/>
        <v>950</v>
      </c>
      <c r="G169" s="1192" t="s">
        <v>3</v>
      </c>
      <c r="H169" s="1189">
        <v>2</v>
      </c>
      <c r="I169" s="1191" t="s">
        <v>40</v>
      </c>
      <c r="J169" s="149">
        <v>150</v>
      </c>
      <c r="K169" s="66">
        <v>360</v>
      </c>
      <c r="L169" s="66">
        <v>950</v>
      </c>
      <c r="M169" s="164">
        <v>15.487002908828501</v>
      </c>
      <c r="N169" s="78">
        <v>692.44526579810395</v>
      </c>
      <c r="O169" s="113">
        <v>24489.011484780785</v>
      </c>
      <c r="P169" s="111">
        <v>31266.075513147214</v>
      </c>
      <c r="Q169" s="110">
        <v>15010.709556289165</v>
      </c>
      <c r="R169" s="263">
        <v>39499.721041069948</v>
      </c>
      <c r="S169" s="259">
        <v>46276.785069436381</v>
      </c>
      <c r="U169" s="7" t="s">
        <v>5278</v>
      </c>
    </row>
    <row r="170" spans="1:21" ht="16.5" thickBot="1">
      <c r="A170" s="1188" t="s">
        <v>4533</v>
      </c>
      <c r="B170" s="1192">
        <f t="shared" si="9"/>
        <v>150</v>
      </c>
      <c r="C170" s="1192" t="s">
        <v>3</v>
      </c>
      <c r="D170" s="1192">
        <f t="shared" si="10"/>
        <v>360</v>
      </c>
      <c r="E170" s="1192" t="s">
        <v>3</v>
      </c>
      <c r="F170" s="1190">
        <f t="shared" si="11"/>
        <v>1000</v>
      </c>
      <c r="G170" s="1192" t="s">
        <v>3</v>
      </c>
      <c r="H170" s="1189">
        <v>2</v>
      </c>
      <c r="I170" s="1191" t="s">
        <v>40</v>
      </c>
      <c r="J170" s="149">
        <v>150</v>
      </c>
      <c r="K170" s="66">
        <v>360</v>
      </c>
      <c r="L170" s="66">
        <v>1000</v>
      </c>
      <c r="M170" s="164">
        <v>16.307700794721825</v>
      </c>
      <c r="N170" s="78">
        <v>750.149037947946</v>
      </c>
      <c r="O170" s="113">
        <v>25365.316935680235</v>
      </c>
      <c r="P170" s="111">
        <v>32388.477080228971</v>
      </c>
      <c r="Q170" s="110">
        <v>15614.130440527351</v>
      </c>
      <c r="R170" s="263">
        <v>40979.447376207587</v>
      </c>
      <c r="S170" s="259">
        <v>48002.607520756326</v>
      </c>
      <c r="U170" s="7" t="s">
        <v>5279</v>
      </c>
    </row>
    <row r="171" spans="1:21" ht="16.5" thickBot="1">
      <c r="A171" s="1188" t="s">
        <v>4533</v>
      </c>
      <c r="B171" s="1192">
        <f t="shared" si="9"/>
        <v>150</v>
      </c>
      <c r="C171" s="1192" t="s">
        <v>3</v>
      </c>
      <c r="D171" s="1192">
        <f t="shared" si="10"/>
        <v>360</v>
      </c>
      <c r="E171" s="1192" t="s">
        <v>3</v>
      </c>
      <c r="F171" s="1190">
        <f t="shared" si="11"/>
        <v>1050</v>
      </c>
      <c r="G171" s="1192" t="s">
        <v>3</v>
      </c>
      <c r="H171" s="1189">
        <v>2</v>
      </c>
      <c r="I171" s="1191" t="s">
        <v>40</v>
      </c>
      <c r="J171" s="149">
        <v>150</v>
      </c>
      <c r="K171" s="66">
        <v>360</v>
      </c>
      <c r="L171" s="66">
        <v>1050</v>
      </c>
      <c r="M171" s="164">
        <v>16.987933880615145</v>
      </c>
      <c r="N171" s="78">
        <v>807.85281009778794</v>
      </c>
      <c r="O171" s="113">
        <v>26171.767815875432</v>
      </c>
      <c r="P171" s="111">
        <v>33441.024076606467</v>
      </c>
      <c r="Q171" s="110">
        <v>16468.885462549311</v>
      </c>
      <c r="R171" s="263">
        <v>42640.653278424739</v>
      </c>
      <c r="S171" s="259">
        <v>49909.909539155778</v>
      </c>
      <c r="U171" s="7" t="s">
        <v>5280</v>
      </c>
    </row>
    <row r="172" spans="1:21" ht="16.5" thickBot="1">
      <c r="A172" s="1188" t="s">
        <v>4533</v>
      </c>
      <c r="B172" s="1189">
        <f t="shared" si="9"/>
        <v>150</v>
      </c>
      <c r="C172" s="1189" t="s">
        <v>3</v>
      </c>
      <c r="D172" s="1189">
        <f t="shared" si="10"/>
        <v>360</v>
      </c>
      <c r="E172" s="1189" t="s">
        <v>3</v>
      </c>
      <c r="F172" s="1190">
        <f t="shared" si="11"/>
        <v>1100</v>
      </c>
      <c r="G172" s="1189" t="s">
        <v>3</v>
      </c>
      <c r="H172" s="1189">
        <v>2</v>
      </c>
      <c r="I172" s="1191" t="s">
        <v>40</v>
      </c>
      <c r="J172" s="149">
        <v>150</v>
      </c>
      <c r="K172" s="66">
        <v>360</v>
      </c>
      <c r="L172" s="66">
        <v>1100</v>
      </c>
      <c r="M172" s="164">
        <v>17.668166966508466</v>
      </c>
      <c r="N172" s="78">
        <v>865.55658224762988</v>
      </c>
      <c r="O172" s="113">
        <v>26978.21869607062</v>
      </c>
      <c r="P172" s="111">
        <v>34493.57107298397</v>
      </c>
      <c r="Q172" s="110">
        <v>17072.3063467875</v>
      </c>
      <c r="R172" s="263">
        <v>44050.52504285812</v>
      </c>
      <c r="S172" s="259">
        <v>51565.877419771467</v>
      </c>
      <c r="U172" s="7" t="s">
        <v>5281</v>
      </c>
    </row>
    <row r="173" spans="1:21" ht="16.5" thickBot="1">
      <c r="A173" s="1188" t="s">
        <v>4533</v>
      </c>
      <c r="B173" s="1192">
        <f t="shared" si="9"/>
        <v>150</v>
      </c>
      <c r="C173" s="1192" t="s">
        <v>3</v>
      </c>
      <c r="D173" s="1192">
        <f t="shared" si="10"/>
        <v>360</v>
      </c>
      <c r="E173" s="1192" t="s">
        <v>3</v>
      </c>
      <c r="F173" s="1190">
        <f t="shared" si="11"/>
        <v>1150</v>
      </c>
      <c r="G173" s="1192" t="s">
        <v>3</v>
      </c>
      <c r="H173" s="1189">
        <v>2</v>
      </c>
      <c r="I173" s="1191" t="s">
        <v>40</v>
      </c>
      <c r="J173" s="149">
        <v>150</v>
      </c>
      <c r="K173" s="66">
        <v>360</v>
      </c>
      <c r="L173" s="66">
        <v>1150</v>
      </c>
      <c r="M173" s="164">
        <v>18.348400052401789</v>
      </c>
      <c r="N173" s="78">
        <v>923.26035439747193</v>
      </c>
      <c r="O173" s="113">
        <v>27784.66942323705</v>
      </c>
      <c r="P173" s="111">
        <v>35546.118069361466</v>
      </c>
      <c r="Q173" s="110">
        <v>17675.727231025689</v>
      </c>
      <c r="R173" s="263">
        <v>45460.396654262739</v>
      </c>
      <c r="S173" s="259">
        <v>53221.845300387155</v>
      </c>
      <c r="U173" s="7" t="s">
        <v>5282</v>
      </c>
    </row>
    <row r="174" spans="1:21" ht="16.5" thickBot="1">
      <c r="A174" s="1188" t="s">
        <v>4533</v>
      </c>
      <c r="B174" s="1192">
        <f t="shared" si="9"/>
        <v>150</v>
      </c>
      <c r="C174" s="1192" t="s">
        <v>3</v>
      </c>
      <c r="D174" s="1192">
        <f t="shared" si="10"/>
        <v>360</v>
      </c>
      <c r="E174" s="1192" t="s">
        <v>3</v>
      </c>
      <c r="F174" s="1190">
        <f t="shared" si="11"/>
        <v>1200</v>
      </c>
      <c r="G174" s="1192" t="s">
        <v>3</v>
      </c>
      <c r="H174" s="1189">
        <v>2</v>
      </c>
      <c r="I174" s="1191" t="s">
        <v>40</v>
      </c>
      <c r="J174" s="149">
        <v>150</v>
      </c>
      <c r="K174" s="66">
        <v>360</v>
      </c>
      <c r="L174" s="66">
        <v>1200</v>
      </c>
      <c r="M174" s="164">
        <v>19.02863313829511</v>
      </c>
      <c r="N174" s="78">
        <v>980.96412654731387</v>
      </c>
      <c r="O174" s="113">
        <v>28591.120303432239</v>
      </c>
      <c r="P174" s="111">
        <v>36598.665065738962</v>
      </c>
      <c r="Q174" s="110">
        <v>18530.482406076411</v>
      </c>
      <c r="R174" s="263">
        <v>47121.602709508647</v>
      </c>
      <c r="S174" s="259">
        <v>55129.147471815377</v>
      </c>
      <c r="U174" s="7" t="s">
        <v>5283</v>
      </c>
    </row>
    <row r="175" spans="1:21" ht="16.5" thickBot="1">
      <c r="A175" s="1188" t="s">
        <v>4533</v>
      </c>
      <c r="B175" s="1192">
        <f t="shared" si="9"/>
        <v>150</v>
      </c>
      <c r="C175" s="1192" t="s">
        <v>3</v>
      </c>
      <c r="D175" s="1192">
        <f t="shared" si="10"/>
        <v>360</v>
      </c>
      <c r="E175" s="1192" t="s">
        <v>3</v>
      </c>
      <c r="F175" s="1190">
        <f t="shared" si="11"/>
        <v>1250</v>
      </c>
      <c r="G175" s="1192" t="s">
        <v>3</v>
      </c>
      <c r="H175" s="1189">
        <v>2</v>
      </c>
      <c r="I175" s="1191" t="s">
        <v>40</v>
      </c>
      <c r="J175" s="149">
        <v>150</v>
      </c>
      <c r="K175" s="66">
        <v>360</v>
      </c>
      <c r="L175" s="66">
        <v>1250</v>
      </c>
      <c r="M175" s="164">
        <v>19.708866224188434</v>
      </c>
      <c r="N175" s="78">
        <v>1038.667898697156</v>
      </c>
      <c r="O175" s="113">
        <v>29397.571183627428</v>
      </c>
      <c r="P175" s="111">
        <v>37651.212062116465</v>
      </c>
      <c r="Q175" s="110">
        <v>19133.9032903146</v>
      </c>
      <c r="R175" s="263">
        <v>48531.474473942028</v>
      </c>
      <c r="S175" s="259">
        <v>56785.115352431065</v>
      </c>
      <c r="U175" s="7" t="s">
        <v>5284</v>
      </c>
    </row>
    <row r="176" spans="1:21" ht="16.5" thickBot="1">
      <c r="A176" s="1188" t="s">
        <v>4533</v>
      </c>
      <c r="B176" s="1192">
        <f t="shared" si="9"/>
        <v>150</v>
      </c>
      <c r="C176" s="1192" t="s">
        <v>3</v>
      </c>
      <c r="D176" s="1192">
        <f t="shared" si="10"/>
        <v>360</v>
      </c>
      <c r="E176" s="1192" t="s">
        <v>3</v>
      </c>
      <c r="F176" s="1190">
        <f t="shared" si="11"/>
        <v>1300</v>
      </c>
      <c r="G176" s="1192" t="s">
        <v>3</v>
      </c>
      <c r="H176" s="1189">
        <v>2</v>
      </c>
      <c r="I176" s="1191" t="s">
        <v>40</v>
      </c>
      <c r="J176" s="149">
        <v>150</v>
      </c>
      <c r="K176" s="66">
        <v>360</v>
      </c>
      <c r="L176" s="66">
        <v>1300</v>
      </c>
      <c r="M176" s="164">
        <v>20.389099310081761</v>
      </c>
      <c r="N176" s="78">
        <v>1096.3716708469979</v>
      </c>
      <c r="O176" s="113">
        <v>30204.022063822624</v>
      </c>
      <c r="P176" s="111">
        <v>38703.759058493961</v>
      </c>
      <c r="Q176" s="110">
        <v>19988.658312336556</v>
      </c>
      <c r="R176" s="263">
        <v>50192.68037615918</v>
      </c>
      <c r="S176" s="259">
        <v>58692.417370830517</v>
      </c>
      <c r="U176" s="7" t="s">
        <v>5285</v>
      </c>
    </row>
    <row r="177" spans="1:21" ht="16.5" thickBot="1">
      <c r="A177" s="1188" t="s">
        <v>4533</v>
      </c>
      <c r="B177" s="1192">
        <f t="shared" si="9"/>
        <v>150</v>
      </c>
      <c r="C177" s="1192" t="s">
        <v>3</v>
      </c>
      <c r="D177" s="1192">
        <f t="shared" si="10"/>
        <v>360</v>
      </c>
      <c r="E177" s="1192" t="s">
        <v>3</v>
      </c>
      <c r="F177" s="1190">
        <f t="shared" si="11"/>
        <v>1350</v>
      </c>
      <c r="G177" s="1192" t="s">
        <v>3</v>
      </c>
      <c r="H177" s="1189">
        <v>2</v>
      </c>
      <c r="I177" s="1191" t="s">
        <v>40</v>
      </c>
      <c r="J177" s="149">
        <v>150</v>
      </c>
      <c r="K177" s="66">
        <v>360</v>
      </c>
      <c r="L177" s="66">
        <v>1350</v>
      </c>
      <c r="M177" s="164">
        <v>21.069332395975081</v>
      </c>
      <c r="N177" s="78">
        <v>1154.0754429968399</v>
      </c>
      <c r="O177" s="113">
        <v>31010.472944017813</v>
      </c>
      <c r="P177" s="111">
        <v>39756.306054871457</v>
      </c>
      <c r="Q177" s="110">
        <v>20592.079196574745</v>
      </c>
      <c r="R177" s="263">
        <v>51602.552140592554</v>
      </c>
      <c r="S177" s="259">
        <v>60348.385251446205</v>
      </c>
      <c r="U177" s="7" t="s">
        <v>5286</v>
      </c>
    </row>
    <row r="178" spans="1:21" ht="16.5" thickBot="1">
      <c r="A178" s="1188" t="s">
        <v>4533</v>
      </c>
      <c r="B178" s="1192">
        <f t="shared" si="9"/>
        <v>150</v>
      </c>
      <c r="C178" s="1192" t="s">
        <v>3</v>
      </c>
      <c r="D178" s="1192">
        <f t="shared" si="10"/>
        <v>360</v>
      </c>
      <c r="E178" s="1192" t="s">
        <v>3</v>
      </c>
      <c r="F178" s="1190">
        <f t="shared" si="11"/>
        <v>1400</v>
      </c>
      <c r="G178" s="1192" t="s">
        <v>3</v>
      </c>
      <c r="H178" s="1189">
        <v>2</v>
      </c>
      <c r="I178" s="1191" t="s">
        <v>40</v>
      </c>
      <c r="J178" s="149">
        <v>150</v>
      </c>
      <c r="K178" s="66">
        <v>360</v>
      </c>
      <c r="L178" s="66">
        <v>1400</v>
      </c>
      <c r="M178" s="164">
        <v>21.749565481868402</v>
      </c>
      <c r="N178" s="78">
        <v>1211.779215146682</v>
      </c>
      <c r="O178" s="113">
        <v>31816.923824213005</v>
      </c>
      <c r="P178" s="111">
        <v>40808.853051248952</v>
      </c>
      <c r="Q178" s="110">
        <v>21446.834218596705</v>
      </c>
      <c r="R178" s="263">
        <v>53263.758042809714</v>
      </c>
      <c r="S178" s="259">
        <v>62255.687269845657</v>
      </c>
      <c r="U178" s="7" t="s">
        <v>5287</v>
      </c>
    </row>
    <row r="179" spans="1:21" ht="16.5" thickBot="1">
      <c r="A179" s="1188" t="s">
        <v>4533</v>
      </c>
      <c r="B179" s="1192">
        <f t="shared" si="9"/>
        <v>150</v>
      </c>
      <c r="C179" s="1192" t="s">
        <v>3</v>
      </c>
      <c r="D179" s="1192">
        <f t="shared" si="10"/>
        <v>360</v>
      </c>
      <c r="E179" s="1192" t="s">
        <v>3</v>
      </c>
      <c r="F179" s="1190">
        <f t="shared" si="11"/>
        <v>1450</v>
      </c>
      <c r="G179" s="1192" t="s">
        <v>3</v>
      </c>
      <c r="H179" s="1189">
        <v>2</v>
      </c>
      <c r="I179" s="1191" t="s">
        <v>40</v>
      </c>
      <c r="J179" s="149">
        <v>150</v>
      </c>
      <c r="K179" s="66">
        <v>360</v>
      </c>
      <c r="L179" s="66">
        <v>1450</v>
      </c>
      <c r="M179" s="164">
        <v>22.429798567761726</v>
      </c>
      <c r="N179" s="78">
        <v>1269.482987296524</v>
      </c>
      <c r="O179" s="113">
        <v>32623.374704408197</v>
      </c>
      <c r="P179" s="111">
        <v>41861.400047626448</v>
      </c>
      <c r="Q179" s="110">
        <v>22050.255102834893</v>
      </c>
      <c r="R179" s="263">
        <v>54673.629807243095</v>
      </c>
      <c r="S179" s="259">
        <v>63911.655150461345</v>
      </c>
      <c r="U179" s="7" t="s">
        <v>5288</v>
      </c>
    </row>
    <row r="180" spans="1:21" ht="16.5" thickBot="1">
      <c r="A180" s="1188" t="s">
        <v>4533</v>
      </c>
      <c r="B180" s="1192">
        <f t="shared" si="9"/>
        <v>150</v>
      </c>
      <c r="C180" s="1192" t="s">
        <v>3</v>
      </c>
      <c r="D180" s="1192">
        <f t="shared" si="10"/>
        <v>360</v>
      </c>
      <c r="E180" s="1192" t="s">
        <v>3</v>
      </c>
      <c r="F180" s="1190">
        <f t="shared" si="11"/>
        <v>1500</v>
      </c>
      <c r="G180" s="1192" t="s">
        <v>3</v>
      </c>
      <c r="H180" s="1189">
        <v>2</v>
      </c>
      <c r="I180" s="1191" t="s">
        <v>40</v>
      </c>
      <c r="J180" s="149">
        <v>150</v>
      </c>
      <c r="K180" s="66">
        <v>360</v>
      </c>
      <c r="L180" s="66">
        <v>1500</v>
      </c>
      <c r="M180" s="164">
        <v>23.636151253655044</v>
      </c>
      <c r="N180" s="78">
        <v>1327.1867594463658</v>
      </c>
      <c r="O180" s="113">
        <v>34435.715334724395</v>
      </c>
      <c r="P180" s="111">
        <v>44286.206786429844</v>
      </c>
      <c r="Q180" s="110">
        <v>22905.01012485685</v>
      </c>
      <c r="R180" s="263">
        <v>57340.725459581241</v>
      </c>
      <c r="S180" s="259">
        <v>67191.216911286698</v>
      </c>
      <c r="U180" s="7" t="s">
        <v>5289</v>
      </c>
    </row>
    <row r="181" spans="1:21" ht="16.5" thickBot="1">
      <c r="A181" s="1188" t="s">
        <v>4533</v>
      </c>
      <c r="B181" s="1192">
        <f t="shared" si="9"/>
        <v>150</v>
      </c>
      <c r="C181" s="1192" t="s">
        <v>3</v>
      </c>
      <c r="D181" s="1192">
        <f t="shared" si="10"/>
        <v>360</v>
      </c>
      <c r="E181" s="1192" t="s">
        <v>3</v>
      </c>
      <c r="F181" s="1190">
        <f t="shared" si="11"/>
        <v>1550</v>
      </c>
      <c r="G181" s="1192" t="s">
        <v>3</v>
      </c>
      <c r="H181" s="1189">
        <v>2</v>
      </c>
      <c r="I181" s="1191" t="s">
        <v>40</v>
      </c>
      <c r="J181" s="149">
        <v>150</v>
      </c>
      <c r="K181" s="66">
        <v>360</v>
      </c>
      <c r="L181" s="66">
        <v>1550</v>
      </c>
      <c r="M181" s="164">
        <v>24.316384339548371</v>
      </c>
      <c r="N181" s="78">
        <v>1384.8905315962079</v>
      </c>
      <c r="O181" s="113">
        <v>35242.166214919584</v>
      </c>
      <c r="P181" s="111">
        <v>45338.753935836103</v>
      </c>
      <c r="Q181" s="110">
        <v>23508.431009095038</v>
      </c>
      <c r="R181" s="263">
        <v>58750.597224014622</v>
      </c>
      <c r="S181" s="259">
        <v>68847.184944931141</v>
      </c>
      <c r="U181" s="7" t="s">
        <v>5290</v>
      </c>
    </row>
    <row r="182" spans="1:21" ht="16.5" thickBot="1">
      <c r="A182" s="1188" t="s">
        <v>4533</v>
      </c>
      <c r="B182" s="1189">
        <f t="shared" si="9"/>
        <v>150</v>
      </c>
      <c r="C182" s="1189" t="s">
        <v>3</v>
      </c>
      <c r="D182" s="1189">
        <f t="shared" si="10"/>
        <v>360</v>
      </c>
      <c r="E182" s="1189" t="s">
        <v>3</v>
      </c>
      <c r="F182" s="1190">
        <f t="shared" si="11"/>
        <v>1600</v>
      </c>
      <c r="G182" s="1189" t="s">
        <v>3</v>
      </c>
      <c r="H182" s="1189">
        <v>2</v>
      </c>
      <c r="I182" s="1191" t="s">
        <v>40</v>
      </c>
      <c r="J182" s="149">
        <v>150</v>
      </c>
      <c r="K182" s="66">
        <v>360</v>
      </c>
      <c r="L182" s="66">
        <v>1600</v>
      </c>
      <c r="M182" s="164">
        <v>24.996617425441691</v>
      </c>
      <c r="N182" s="78">
        <v>1442.5943037460499</v>
      </c>
      <c r="O182" s="113">
        <v>36048.617095114772</v>
      </c>
      <c r="P182" s="111">
        <v>46391.300932213606</v>
      </c>
      <c r="Q182" s="110">
        <v>24111.851893333227</v>
      </c>
      <c r="R182" s="263">
        <v>60160.468988448003</v>
      </c>
      <c r="S182" s="259">
        <v>70503.152825546829</v>
      </c>
      <c r="U182" s="7" t="s">
        <v>5291</v>
      </c>
    </row>
    <row r="183" spans="1:21" ht="16.5" thickBot="1">
      <c r="A183" s="1188" t="s">
        <v>4533</v>
      </c>
      <c r="B183" s="1192">
        <f t="shared" si="9"/>
        <v>150</v>
      </c>
      <c r="C183" s="1192" t="s">
        <v>3</v>
      </c>
      <c r="D183" s="1192">
        <f t="shared" si="10"/>
        <v>360</v>
      </c>
      <c r="E183" s="1192" t="s">
        <v>3</v>
      </c>
      <c r="F183" s="1190">
        <f t="shared" si="11"/>
        <v>1650</v>
      </c>
      <c r="G183" s="1192" t="s">
        <v>3</v>
      </c>
      <c r="H183" s="1189">
        <v>2</v>
      </c>
      <c r="I183" s="1191" t="s">
        <v>40</v>
      </c>
      <c r="J183" s="149">
        <v>150</v>
      </c>
      <c r="K183" s="66">
        <v>360</v>
      </c>
      <c r="L183" s="66">
        <v>1650</v>
      </c>
      <c r="M183" s="164">
        <v>25.676850511335015</v>
      </c>
      <c r="N183" s="78">
        <v>1500.298075895892</v>
      </c>
      <c r="O183" s="113">
        <v>36855.067975309961</v>
      </c>
      <c r="P183" s="111">
        <v>47443.847928591102</v>
      </c>
      <c r="Q183" s="110">
        <v>24966.606915355183</v>
      </c>
      <c r="R183" s="263">
        <v>61821.674890665148</v>
      </c>
      <c r="S183" s="259">
        <v>72410.454843946281</v>
      </c>
      <c r="U183" s="7" t="s">
        <v>5292</v>
      </c>
    </row>
    <row r="184" spans="1:21" ht="16.5" thickBot="1">
      <c r="A184" s="1188" t="s">
        <v>4533</v>
      </c>
      <c r="B184" s="1192">
        <f t="shared" si="9"/>
        <v>150</v>
      </c>
      <c r="C184" s="1192" t="s">
        <v>3</v>
      </c>
      <c r="D184" s="1192">
        <f t="shared" si="10"/>
        <v>360</v>
      </c>
      <c r="E184" s="1192" t="s">
        <v>3</v>
      </c>
      <c r="F184" s="1190">
        <f t="shared" si="11"/>
        <v>1700</v>
      </c>
      <c r="G184" s="1192" t="s">
        <v>3</v>
      </c>
      <c r="H184" s="1189">
        <v>2</v>
      </c>
      <c r="I184" s="1191" t="s">
        <v>40</v>
      </c>
      <c r="J184" s="149">
        <v>150</v>
      </c>
      <c r="K184" s="66">
        <v>360</v>
      </c>
      <c r="L184" s="66">
        <v>1700</v>
      </c>
      <c r="M184" s="164">
        <v>26.357083597228339</v>
      </c>
      <c r="N184" s="78">
        <v>1558.0018480457341</v>
      </c>
      <c r="O184" s="113">
        <v>37661.518855505157</v>
      </c>
      <c r="P184" s="111">
        <v>48496.394924968597</v>
      </c>
      <c r="Q184" s="110">
        <v>25570.027799593372</v>
      </c>
      <c r="R184" s="263">
        <v>63231.546655098529</v>
      </c>
      <c r="S184" s="259">
        <v>74066.42272456197</v>
      </c>
      <c r="U184" s="7" t="s">
        <v>5293</v>
      </c>
    </row>
    <row r="185" spans="1:21" ht="16.5" thickBot="1">
      <c r="A185" s="1188" t="s">
        <v>4533</v>
      </c>
      <c r="B185" s="1192">
        <f t="shared" si="9"/>
        <v>150</v>
      </c>
      <c r="C185" s="1192" t="s">
        <v>3</v>
      </c>
      <c r="D185" s="1192">
        <f t="shared" si="10"/>
        <v>360</v>
      </c>
      <c r="E185" s="1192" t="s">
        <v>3</v>
      </c>
      <c r="F185" s="1190">
        <f t="shared" si="11"/>
        <v>1750</v>
      </c>
      <c r="G185" s="1192" t="s">
        <v>3</v>
      </c>
      <c r="H185" s="1189">
        <v>2</v>
      </c>
      <c r="I185" s="1191" t="s">
        <v>40</v>
      </c>
      <c r="J185" s="149">
        <v>150</v>
      </c>
      <c r="K185" s="66">
        <v>360</v>
      </c>
      <c r="L185" s="66">
        <v>1750</v>
      </c>
      <c r="M185" s="164">
        <v>27.037316683121659</v>
      </c>
      <c r="N185" s="78">
        <v>1615.7056201955759</v>
      </c>
      <c r="O185" s="113">
        <v>38467.969735700346</v>
      </c>
      <c r="P185" s="111">
        <v>49548.941921346101</v>
      </c>
      <c r="Q185" s="110">
        <v>26424.782821615332</v>
      </c>
      <c r="R185" s="263">
        <v>64892.752557315674</v>
      </c>
      <c r="S185" s="259">
        <v>75973.724742961436</v>
      </c>
      <c r="U185" s="7" t="s">
        <v>5294</v>
      </c>
    </row>
    <row r="186" spans="1:21" ht="16.5" thickBot="1">
      <c r="A186" s="1188" t="s">
        <v>4533</v>
      </c>
      <c r="B186" s="1192">
        <f t="shared" si="9"/>
        <v>150</v>
      </c>
      <c r="C186" s="1192" t="s">
        <v>3</v>
      </c>
      <c r="D186" s="1192">
        <f t="shared" si="10"/>
        <v>360</v>
      </c>
      <c r="E186" s="1192" t="s">
        <v>3</v>
      </c>
      <c r="F186" s="1190">
        <f t="shared" si="11"/>
        <v>1800</v>
      </c>
      <c r="G186" s="1192" t="s">
        <v>3</v>
      </c>
      <c r="H186" s="1189">
        <v>2</v>
      </c>
      <c r="I186" s="1191" t="s">
        <v>40</v>
      </c>
      <c r="J186" s="149">
        <v>150</v>
      </c>
      <c r="K186" s="66">
        <v>360</v>
      </c>
      <c r="L186" s="66">
        <v>1800</v>
      </c>
      <c r="M186" s="164">
        <v>27.717549769014983</v>
      </c>
      <c r="N186" s="78">
        <v>1673.4093923454179</v>
      </c>
      <c r="O186" s="113">
        <v>39274.420615895542</v>
      </c>
      <c r="P186" s="111">
        <v>50601.488917723596</v>
      </c>
      <c r="Q186" s="110">
        <v>27028.203705853517</v>
      </c>
      <c r="R186" s="263">
        <v>66302.624321749056</v>
      </c>
      <c r="S186" s="259">
        <v>77629.69262357711</v>
      </c>
      <c r="U186" s="7" t="s">
        <v>5295</v>
      </c>
    </row>
    <row r="187" spans="1:21" ht="16.5" thickBot="1">
      <c r="A187" s="1188" t="s">
        <v>4533</v>
      </c>
      <c r="B187" s="1192">
        <f t="shared" si="9"/>
        <v>150</v>
      </c>
      <c r="C187" s="1192" t="s">
        <v>3</v>
      </c>
      <c r="D187" s="1192">
        <f t="shared" si="10"/>
        <v>360</v>
      </c>
      <c r="E187" s="1192" t="s">
        <v>3</v>
      </c>
      <c r="F187" s="1190">
        <f t="shared" si="11"/>
        <v>1850</v>
      </c>
      <c r="G187" s="1192" t="s">
        <v>3</v>
      </c>
      <c r="H187" s="1189">
        <v>2</v>
      </c>
      <c r="I187" s="1191" t="s">
        <v>40</v>
      </c>
      <c r="J187" s="149">
        <v>150</v>
      </c>
      <c r="K187" s="66">
        <v>360</v>
      </c>
      <c r="L187" s="66">
        <v>1850</v>
      </c>
      <c r="M187" s="164">
        <v>28.397782854908304</v>
      </c>
      <c r="N187" s="78">
        <v>1731.1131644952598</v>
      </c>
      <c r="O187" s="113">
        <v>40080.871496090731</v>
      </c>
      <c r="P187" s="111">
        <v>51654.035914101092</v>
      </c>
      <c r="Q187" s="110">
        <v>27882.958880904247</v>
      </c>
      <c r="R187" s="263">
        <v>67963.830376994971</v>
      </c>
      <c r="S187" s="259">
        <v>79536.994795005332</v>
      </c>
      <c r="U187" s="7" t="s">
        <v>5296</v>
      </c>
    </row>
    <row r="188" spans="1:21" ht="16.5" thickBot="1">
      <c r="A188" s="1188" t="s">
        <v>4533</v>
      </c>
      <c r="B188" s="1192">
        <f t="shared" si="9"/>
        <v>150</v>
      </c>
      <c r="C188" s="1192" t="s">
        <v>3</v>
      </c>
      <c r="D188" s="1192">
        <f t="shared" si="10"/>
        <v>360</v>
      </c>
      <c r="E188" s="1192" t="s">
        <v>3</v>
      </c>
      <c r="F188" s="1190">
        <f t="shared" si="11"/>
        <v>1900</v>
      </c>
      <c r="G188" s="1192" t="s">
        <v>3</v>
      </c>
      <c r="H188" s="1189">
        <v>2</v>
      </c>
      <c r="I188" s="1191" t="s">
        <v>40</v>
      </c>
      <c r="J188" s="149">
        <v>150</v>
      </c>
      <c r="K188" s="66">
        <v>360</v>
      </c>
      <c r="L188" s="66">
        <v>1900</v>
      </c>
      <c r="M188" s="164">
        <v>29.078015940801627</v>
      </c>
      <c r="N188" s="78">
        <v>1788.8169366451018</v>
      </c>
      <c r="O188" s="113">
        <v>40887.32237628592</v>
      </c>
      <c r="P188" s="111">
        <v>52706.582910478588</v>
      </c>
      <c r="Q188" s="110">
        <v>28486.379765142432</v>
      </c>
      <c r="R188" s="263">
        <v>69373.702141428352</v>
      </c>
      <c r="S188" s="259">
        <v>81192.96267562102</v>
      </c>
      <c r="U188" s="7" t="s">
        <v>5297</v>
      </c>
    </row>
    <row r="189" spans="1:21" ht="16.5" thickBot="1">
      <c r="A189" s="1188" t="s">
        <v>4533</v>
      </c>
      <c r="B189" s="1192">
        <f t="shared" si="9"/>
        <v>150</v>
      </c>
      <c r="C189" s="1192" t="s">
        <v>3</v>
      </c>
      <c r="D189" s="1192">
        <f t="shared" si="10"/>
        <v>360</v>
      </c>
      <c r="E189" s="1192" t="s">
        <v>3</v>
      </c>
      <c r="F189" s="1190">
        <f t="shared" si="11"/>
        <v>1950</v>
      </c>
      <c r="G189" s="1192" t="s">
        <v>3</v>
      </c>
      <c r="H189" s="1189">
        <v>2</v>
      </c>
      <c r="I189" s="1191" t="s">
        <v>40</v>
      </c>
      <c r="J189" s="149">
        <v>150</v>
      </c>
      <c r="K189" s="66">
        <v>360</v>
      </c>
      <c r="L189" s="66">
        <v>1950</v>
      </c>
      <c r="M189" s="164">
        <v>29.758249026694948</v>
      </c>
      <c r="N189" s="78">
        <v>1846.5207087949439</v>
      </c>
      <c r="O189" s="113">
        <v>41693.773256481116</v>
      </c>
      <c r="P189" s="111">
        <v>53759.129906856091</v>
      </c>
      <c r="Q189" s="110">
        <v>29089.800649380621</v>
      </c>
      <c r="R189" s="263">
        <v>70783.573905861733</v>
      </c>
      <c r="S189" s="259">
        <v>82848.930556236708</v>
      </c>
      <c r="U189" s="7" t="s">
        <v>5298</v>
      </c>
    </row>
    <row r="190" spans="1:21" ht="16.5" thickBot="1">
      <c r="A190" s="1188" t="s">
        <v>4533</v>
      </c>
      <c r="B190" s="1192">
        <f t="shared" si="9"/>
        <v>150</v>
      </c>
      <c r="C190" s="1192" t="s">
        <v>3</v>
      </c>
      <c r="D190" s="1192">
        <f t="shared" si="10"/>
        <v>360</v>
      </c>
      <c r="E190" s="1192" t="s">
        <v>3</v>
      </c>
      <c r="F190" s="1190">
        <f t="shared" si="11"/>
        <v>2000</v>
      </c>
      <c r="G190" s="1192" t="s">
        <v>3</v>
      </c>
      <c r="H190" s="1189">
        <v>2</v>
      </c>
      <c r="I190" s="1191" t="s">
        <v>40</v>
      </c>
      <c r="J190" s="149">
        <v>150</v>
      </c>
      <c r="K190" s="66">
        <v>360</v>
      </c>
      <c r="L190" s="66">
        <v>2000</v>
      </c>
      <c r="M190" s="164">
        <v>30.578946912588268</v>
      </c>
      <c r="N190" s="78">
        <v>1904.2244809447857</v>
      </c>
      <c r="O190" s="113">
        <v>43008.199908904673</v>
      </c>
      <c r="P190" s="111">
        <v>54994.160645069845</v>
      </c>
      <c r="Q190" s="110">
        <v>29944.555671402581</v>
      </c>
      <c r="R190" s="263">
        <v>72952.755580307246</v>
      </c>
      <c r="S190" s="259">
        <v>84938.716316472419</v>
      </c>
      <c r="U190" s="7" t="s">
        <v>5299</v>
      </c>
    </row>
    <row r="191" spans="1:21" ht="16.5" thickBot="1">
      <c r="A191" s="1188" t="s">
        <v>4533</v>
      </c>
      <c r="B191" s="1192">
        <f t="shared" si="9"/>
        <v>150</v>
      </c>
      <c r="C191" s="1192" t="s">
        <v>3</v>
      </c>
      <c r="D191" s="1192">
        <f t="shared" si="10"/>
        <v>360</v>
      </c>
      <c r="E191" s="1192" t="s">
        <v>3</v>
      </c>
      <c r="F191" s="1190">
        <f t="shared" si="11"/>
        <v>2050</v>
      </c>
      <c r="G191" s="1192" t="s">
        <v>3</v>
      </c>
      <c r="H191" s="1189">
        <v>2</v>
      </c>
      <c r="I191" s="1191" t="s">
        <v>40</v>
      </c>
      <c r="J191" s="149">
        <v>150</v>
      </c>
      <c r="K191" s="66">
        <v>360</v>
      </c>
      <c r="L191" s="66">
        <v>2050</v>
      </c>
      <c r="M191" s="164">
        <v>31.259179998481596</v>
      </c>
      <c r="N191" s="78">
        <v>1961.9282530946277</v>
      </c>
      <c r="O191" s="113">
        <v>43814.650789099869</v>
      </c>
      <c r="P191" s="111">
        <v>56046.707641447341</v>
      </c>
      <c r="Q191" s="110">
        <v>30547.976555640766</v>
      </c>
      <c r="R191" s="263">
        <v>74362.627344740642</v>
      </c>
      <c r="S191" s="259">
        <v>86594.684197088107</v>
      </c>
      <c r="U191" s="7" t="s">
        <v>5300</v>
      </c>
    </row>
    <row r="192" spans="1:21" ht="16.5" thickBot="1">
      <c r="A192" s="1188" t="s">
        <v>4533</v>
      </c>
      <c r="B192" s="1189">
        <f t="shared" si="9"/>
        <v>150</v>
      </c>
      <c r="C192" s="1189" t="s">
        <v>3</v>
      </c>
      <c r="D192" s="1189">
        <f t="shared" si="10"/>
        <v>360</v>
      </c>
      <c r="E192" s="1189" t="s">
        <v>3</v>
      </c>
      <c r="F192" s="1190">
        <f t="shared" si="11"/>
        <v>2100</v>
      </c>
      <c r="G192" s="1189" t="s">
        <v>3</v>
      </c>
      <c r="H192" s="1189">
        <v>2</v>
      </c>
      <c r="I192" s="1191" t="s">
        <v>40</v>
      </c>
      <c r="J192" s="149">
        <v>150</v>
      </c>
      <c r="K192" s="66">
        <v>360</v>
      </c>
      <c r="L192" s="66">
        <v>2100</v>
      </c>
      <c r="M192" s="164">
        <v>31.93941308437492</v>
      </c>
      <c r="N192" s="78">
        <v>2019.6320252444698</v>
      </c>
      <c r="O192" s="113">
        <v>44621.101669295058</v>
      </c>
      <c r="P192" s="111">
        <v>57099.254637824844</v>
      </c>
      <c r="Q192" s="110">
        <v>31402.731577662726</v>
      </c>
      <c r="R192" s="263">
        <v>76023.833246957787</v>
      </c>
      <c r="S192" s="259">
        <v>88501.986215487574</v>
      </c>
      <c r="U192" s="7" t="s">
        <v>5301</v>
      </c>
    </row>
    <row r="193" spans="1:21" ht="16.5" thickBot="1">
      <c r="A193" s="1188" t="s">
        <v>4533</v>
      </c>
      <c r="B193" s="1192">
        <f t="shared" si="9"/>
        <v>150</v>
      </c>
      <c r="C193" s="1192" t="s">
        <v>3</v>
      </c>
      <c r="D193" s="1192">
        <f t="shared" si="10"/>
        <v>360</v>
      </c>
      <c r="E193" s="1192" t="s">
        <v>3</v>
      </c>
      <c r="F193" s="1190">
        <f t="shared" si="11"/>
        <v>2150</v>
      </c>
      <c r="G193" s="1192" t="s">
        <v>3</v>
      </c>
      <c r="H193" s="1189">
        <v>2</v>
      </c>
      <c r="I193" s="1191" t="s">
        <v>40</v>
      </c>
      <c r="J193" s="149">
        <v>150</v>
      </c>
      <c r="K193" s="66">
        <v>360</v>
      </c>
      <c r="L193" s="66">
        <v>2150</v>
      </c>
      <c r="M193" s="164">
        <v>32.61964617026824</v>
      </c>
      <c r="N193" s="78">
        <v>2077.3357973943121</v>
      </c>
      <c r="O193" s="113">
        <v>45427.552549490254</v>
      </c>
      <c r="P193" s="111">
        <v>58151.80163420234</v>
      </c>
      <c r="Q193" s="110">
        <v>32006.152461900914</v>
      </c>
      <c r="R193" s="263">
        <v>77433.705011391168</v>
      </c>
      <c r="S193" s="259">
        <v>90157.954096103262</v>
      </c>
      <c r="U193" s="7" t="s">
        <v>5302</v>
      </c>
    </row>
    <row r="194" spans="1:21" ht="16.5" thickBot="1">
      <c r="A194" s="1188" t="s">
        <v>4533</v>
      </c>
      <c r="B194" s="1192">
        <f t="shared" si="9"/>
        <v>150</v>
      </c>
      <c r="C194" s="1192" t="s">
        <v>3</v>
      </c>
      <c r="D194" s="1192">
        <f t="shared" si="10"/>
        <v>360</v>
      </c>
      <c r="E194" s="1192" t="s">
        <v>3</v>
      </c>
      <c r="F194" s="1190">
        <f t="shared" si="11"/>
        <v>2200</v>
      </c>
      <c r="G194" s="1192" t="s">
        <v>3</v>
      </c>
      <c r="H194" s="1189">
        <v>2</v>
      </c>
      <c r="I194" s="1191" t="s">
        <v>40</v>
      </c>
      <c r="J194" s="149">
        <v>150</v>
      </c>
      <c r="K194" s="66">
        <v>360</v>
      </c>
      <c r="L194" s="66">
        <v>2200</v>
      </c>
      <c r="M194" s="164">
        <v>33.29987925616156</v>
      </c>
      <c r="N194" s="78">
        <v>2135.0395695441539</v>
      </c>
      <c r="O194" s="113">
        <v>46234.003429685443</v>
      </c>
      <c r="P194" s="111">
        <v>59204.348630579836</v>
      </c>
      <c r="Q194" s="110">
        <v>32860.907483922878</v>
      </c>
      <c r="R194" s="263">
        <v>79094.910913608328</v>
      </c>
      <c r="S194" s="259">
        <v>92065.256114502714</v>
      </c>
      <c r="U194" s="7" t="s">
        <v>5303</v>
      </c>
    </row>
    <row r="195" spans="1:21" ht="16.5" thickBot="1">
      <c r="A195" s="1188" t="s">
        <v>4533</v>
      </c>
      <c r="B195" s="1192">
        <f t="shared" si="9"/>
        <v>150</v>
      </c>
      <c r="C195" s="1192" t="s">
        <v>3</v>
      </c>
      <c r="D195" s="1192">
        <f t="shared" si="10"/>
        <v>360</v>
      </c>
      <c r="E195" s="1192" t="s">
        <v>3</v>
      </c>
      <c r="F195" s="1190">
        <f t="shared" si="11"/>
        <v>2250</v>
      </c>
      <c r="G195" s="1192" t="s">
        <v>3</v>
      </c>
      <c r="H195" s="1189">
        <v>2</v>
      </c>
      <c r="I195" s="1191" t="s">
        <v>40</v>
      </c>
      <c r="J195" s="149">
        <v>150</v>
      </c>
      <c r="K195" s="66">
        <v>360</v>
      </c>
      <c r="L195" s="66">
        <v>2250</v>
      </c>
      <c r="M195" s="164">
        <v>33.980112342054888</v>
      </c>
      <c r="N195" s="78">
        <v>2192.7433416939957</v>
      </c>
      <c r="O195" s="113">
        <v>47040.454309880632</v>
      </c>
      <c r="P195" s="111">
        <v>60256.895626957332</v>
      </c>
      <c r="Q195" s="110">
        <v>33464.328368161063</v>
      </c>
      <c r="R195" s="263">
        <v>80504.782678041694</v>
      </c>
      <c r="S195" s="259">
        <v>93721.223995118402</v>
      </c>
      <c r="U195" s="7" t="s">
        <v>5304</v>
      </c>
    </row>
    <row r="196" spans="1:21" ht="16.5" thickBot="1">
      <c r="A196" s="1188" t="s">
        <v>4533</v>
      </c>
      <c r="B196" s="1192">
        <f t="shared" si="9"/>
        <v>150</v>
      </c>
      <c r="C196" s="1192" t="s">
        <v>3</v>
      </c>
      <c r="D196" s="1192">
        <f t="shared" si="10"/>
        <v>360</v>
      </c>
      <c r="E196" s="1192" t="s">
        <v>3</v>
      </c>
      <c r="F196" s="1190">
        <f t="shared" si="11"/>
        <v>2300</v>
      </c>
      <c r="G196" s="1192" t="s">
        <v>3</v>
      </c>
      <c r="H196" s="1189">
        <v>2</v>
      </c>
      <c r="I196" s="1191" t="s">
        <v>40</v>
      </c>
      <c r="J196" s="149">
        <v>150</v>
      </c>
      <c r="K196" s="66">
        <v>360</v>
      </c>
      <c r="L196" s="66">
        <v>2300</v>
      </c>
      <c r="M196" s="164">
        <v>34.660345427948208</v>
      </c>
      <c r="N196" s="78">
        <v>2250.447113843838</v>
      </c>
      <c r="O196" s="113">
        <v>47846.905190075828</v>
      </c>
      <c r="P196" s="111">
        <v>61309.442623334835</v>
      </c>
      <c r="Q196" s="110">
        <v>34067.749252399248</v>
      </c>
      <c r="R196" s="263">
        <v>81914.654442475075</v>
      </c>
      <c r="S196" s="259">
        <v>95377.191875734075</v>
      </c>
      <c r="U196" s="7" t="s">
        <v>5305</v>
      </c>
    </row>
    <row r="197" spans="1:21" ht="16.5" thickBot="1">
      <c r="A197" s="1188" t="s">
        <v>4533</v>
      </c>
      <c r="B197" s="1192">
        <f t="shared" si="9"/>
        <v>150</v>
      </c>
      <c r="C197" s="1192" t="s">
        <v>3</v>
      </c>
      <c r="D197" s="1192">
        <f t="shared" si="10"/>
        <v>360</v>
      </c>
      <c r="E197" s="1192" t="s">
        <v>3</v>
      </c>
      <c r="F197" s="1190">
        <f t="shared" si="11"/>
        <v>2350</v>
      </c>
      <c r="G197" s="1192" t="s">
        <v>3</v>
      </c>
      <c r="H197" s="1189">
        <v>2</v>
      </c>
      <c r="I197" s="1191" t="s">
        <v>40</v>
      </c>
      <c r="J197" s="149">
        <v>150</v>
      </c>
      <c r="K197" s="66">
        <v>360</v>
      </c>
      <c r="L197" s="66">
        <v>2350</v>
      </c>
      <c r="M197" s="164">
        <v>35.340578513841528</v>
      </c>
      <c r="N197" s="78">
        <v>2308.1508859936798</v>
      </c>
      <c r="O197" s="113">
        <v>48653.356070270864</v>
      </c>
      <c r="P197" s="111">
        <v>62361.989619712331</v>
      </c>
      <c r="Q197" s="110">
        <v>34922.504274421211</v>
      </c>
      <c r="R197" s="263">
        <v>83575.860344692075</v>
      </c>
      <c r="S197" s="259">
        <v>97284.493894133542</v>
      </c>
      <c r="U197" s="7" t="s">
        <v>5306</v>
      </c>
    </row>
    <row r="198" spans="1:21" ht="16.5" thickBot="1">
      <c r="A198" s="1188" t="s">
        <v>4533</v>
      </c>
      <c r="B198" s="1192">
        <f t="shared" si="9"/>
        <v>150</v>
      </c>
      <c r="C198" s="1192" t="s">
        <v>3</v>
      </c>
      <c r="D198" s="1192">
        <f t="shared" si="10"/>
        <v>360</v>
      </c>
      <c r="E198" s="1192" t="s">
        <v>3</v>
      </c>
      <c r="F198" s="1190">
        <f t="shared" si="11"/>
        <v>2400</v>
      </c>
      <c r="G198" s="1192" t="s">
        <v>3</v>
      </c>
      <c r="H198" s="1189">
        <v>2</v>
      </c>
      <c r="I198" s="1191" t="s">
        <v>40</v>
      </c>
      <c r="J198" s="149">
        <v>150</v>
      </c>
      <c r="K198" s="66">
        <v>360</v>
      </c>
      <c r="L198" s="66">
        <v>2400</v>
      </c>
      <c r="M198" s="164">
        <v>36.020811599734849</v>
      </c>
      <c r="N198" s="78">
        <v>2365.8546581435216</v>
      </c>
      <c r="O198" s="113">
        <v>49459.806950466213</v>
      </c>
      <c r="P198" s="111">
        <v>63414.536769118589</v>
      </c>
      <c r="Q198" s="110">
        <v>35525.925158659396</v>
      </c>
      <c r="R198" s="263">
        <v>84985.732109125616</v>
      </c>
      <c r="S198" s="259">
        <v>98940.461927777986</v>
      </c>
      <c r="U198" s="7" t="s">
        <v>5307</v>
      </c>
    </row>
    <row r="199" spans="1:21" ht="16.5" thickBot="1">
      <c r="A199" s="1188" t="s">
        <v>4533</v>
      </c>
      <c r="B199" s="1192">
        <f t="shared" si="9"/>
        <v>150</v>
      </c>
      <c r="C199" s="1192" t="s">
        <v>3</v>
      </c>
      <c r="D199" s="1192">
        <f t="shared" si="10"/>
        <v>360</v>
      </c>
      <c r="E199" s="1192" t="s">
        <v>3</v>
      </c>
      <c r="F199" s="1190">
        <f t="shared" si="11"/>
        <v>2450</v>
      </c>
      <c r="G199" s="1192" t="s">
        <v>3</v>
      </c>
      <c r="H199" s="1189">
        <v>2</v>
      </c>
      <c r="I199" s="1191" t="s">
        <v>40</v>
      </c>
      <c r="J199" s="149">
        <v>150</v>
      </c>
      <c r="K199" s="66">
        <v>360</v>
      </c>
      <c r="L199" s="66">
        <v>2450</v>
      </c>
      <c r="M199" s="164">
        <v>36.701044685628176</v>
      </c>
      <c r="N199" s="78">
        <v>2423.5584302933639</v>
      </c>
      <c r="O199" s="113">
        <v>50266.257830661394</v>
      </c>
      <c r="P199" s="111">
        <v>64467.083765496085</v>
      </c>
      <c r="Q199" s="110">
        <v>36380.680180681353</v>
      </c>
      <c r="R199" s="263">
        <v>86646.938011342747</v>
      </c>
      <c r="S199" s="259">
        <v>100847.76394617744</v>
      </c>
      <c r="U199" s="7" t="s">
        <v>5308</v>
      </c>
    </row>
    <row r="200" spans="1:21" ht="16.5" thickBot="1">
      <c r="A200" s="1188" t="s">
        <v>4533</v>
      </c>
      <c r="B200" s="1192">
        <f t="shared" si="9"/>
        <v>150</v>
      </c>
      <c r="C200" s="1192" t="s">
        <v>3</v>
      </c>
      <c r="D200" s="1192">
        <f t="shared" si="10"/>
        <v>360</v>
      </c>
      <c r="E200" s="1192" t="s">
        <v>3</v>
      </c>
      <c r="F200" s="1190">
        <f t="shared" si="11"/>
        <v>2500</v>
      </c>
      <c r="G200" s="1192" t="s">
        <v>3</v>
      </c>
      <c r="H200" s="1189">
        <v>2</v>
      </c>
      <c r="I200" s="1191" t="s">
        <v>40</v>
      </c>
      <c r="J200" s="149">
        <v>150</v>
      </c>
      <c r="K200" s="66">
        <v>360</v>
      </c>
      <c r="L200" s="66">
        <v>2500</v>
      </c>
      <c r="M200" s="164">
        <v>37.907397371521498</v>
      </c>
      <c r="N200" s="78">
        <v>2481.2622024432058</v>
      </c>
      <c r="O200" s="113">
        <v>52078.598460977599</v>
      </c>
      <c r="P200" s="111">
        <v>66891.890504299488</v>
      </c>
      <c r="Q200" s="110">
        <v>36984.101064919538</v>
      </c>
      <c r="R200" s="263">
        <v>89062.699525897129</v>
      </c>
      <c r="S200" s="259">
        <v>103875.99156921903</v>
      </c>
      <c r="U200" s="7" t="s">
        <v>5309</v>
      </c>
    </row>
    <row r="201" spans="1:21" ht="16.5" thickBot="1">
      <c r="A201" s="1188" t="s">
        <v>4533</v>
      </c>
      <c r="B201" s="1192">
        <f t="shared" si="9"/>
        <v>150</v>
      </c>
      <c r="C201" s="1192" t="s">
        <v>3</v>
      </c>
      <c r="D201" s="1192">
        <f t="shared" si="10"/>
        <v>360</v>
      </c>
      <c r="E201" s="1192" t="s">
        <v>3</v>
      </c>
      <c r="F201" s="1190">
        <f t="shared" si="11"/>
        <v>2550</v>
      </c>
      <c r="G201" s="1192" t="s">
        <v>3</v>
      </c>
      <c r="H201" s="1189">
        <v>2</v>
      </c>
      <c r="I201" s="1191" t="s">
        <v>40</v>
      </c>
      <c r="J201" s="149">
        <v>150</v>
      </c>
      <c r="K201" s="66">
        <v>360</v>
      </c>
      <c r="L201" s="66">
        <v>2550</v>
      </c>
      <c r="M201" s="164">
        <v>38.587630457414818</v>
      </c>
      <c r="N201" s="78">
        <v>2538.965974593048</v>
      </c>
      <c r="O201" s="113">
        <v>53280.934450493631</v>
      </c>
      <c r="P201" s="111">
        <v>67959.74037718949</v>
      </c>
      <c r="Q201" s="110">
        <v>37838.856239970264</v>
      </c>
      <c r="R201" s="263">
        <v>91119.790690463895</v>
      </c>
      <c r="S201" s="259">
        <v>105798.59661715975</v>
      </c>
      <c r="U201" s="7" t="s">
        <v>5310</v>
      </c>
    </row>
    <row r="202" spans="1:21" ht="16.5" thickBot="1">
      <c r="A202" s="1188" t="s">
        <v>4533</v>
      </c>
      <c r="B202" s="1189">
        <f t="shared" si="9"/>
        <v>150</v>
      </c>
      <c r="C202" s="1189" t="s">
        <v>3</v>
      </c>
      <c r="D202" s="1189">
        <f t="shared" si="10"/>
        <v>360</v>
      </c>
      <c r="E202" s="1189" t="s">
        <v>3</v>
      </c>
      <c r="F202" s="1190">
        <f t="shared" si="11"/>
        <v>2600</v>
      </c>
      <c r="G202" s="1189" t="s">
        <v>3</v>
      </c>
      <c r="H202" s="1189">
        <v>2</v>
      </c>
      <c r="I202" s="1191" t="s">
        <v>40</v>
      </c>
      <c r="J202" s="149">
        <v>150</v>
      </c>
      <c r="K202" s="66">
        <v>360</v>
      </c>
      <c r="L202" s="66">
        <v>2600</v>
      </c>
      <c r="M202" s="164">
        <v>39.267863543308138</v>
      </c>
      <c r="N202" s="78">
        <v>2596.6697467428899</v>
      </c>
      <c r="O202" s="113">
        <v>54087.385330688827</v>
      </c>
      <c r="P202" s="111">
        <v>69012.287373566985</v>
      </c>
      <c r="Q202" s="110">
        <v>38442.277124208456</v>
      </c>
      <c r="R202" s="263">
        <v>92529.662454897276</v>
      </c>
      <c r="S202" s="259">
        <v>107454.56449777544</v>
      </c>
      <c r="U202" s="7" t="s">
        <v>5311</v>
      </c>
    </row>
    <row r="203" spans="1:21" ht="16.5" thickBot="1">
      <c r="A203" s="1188" t="s">
        <v>4533</v>
      </c>
      <c r="B203" s="1192">
        <f t="shared" si="9"/>
        <v>150</v>
      </c>
      <c r="C203" s="1192" t="s">
        <v>3</v>
      </c>
      <c r="D203" s="1192">
        <f t="shared" si="10"/>
        <v>360</v>
      </c>
      <c r="E203" s="1192" t="s">
        <v>3</v>
      </c>
      <c r="F203" s="1190">
        <f t="shared" si="11"/>
        <v>2650</v>
      </c>
      <c r="G203" s="1192" t="s">
        <v>3</v>
      </c>
      <c r="H203" s="1189">
        <v>2</v>
      </c>
      <c r="I203" s="1191" t="s">
        <v>40</v>
      </c>
      <c r="J203" s="149">
        <v>150</v>
      </c>
      <c r="K203" s="66">
        <v>360</v>
      </c>
      <c r="L203" s="66">
        <v>2650</v>
      </c>
      <c r="M203" s="164">
        <v>39.948096629201459</v>
      </c>
      <c r="N203" s="78">
        <v>2654.3735188927317</v>
      </c>
      <c r="O203" s="113">
        <v>54893.836210884008</v>
      </c>
      <c r="P203" s="111">
        <v>70064.834369944481</v>
      </c>
      <c r="Q203" s="110">
        <v>39297.032146230413</v>
      </c>
      <c r="R203" s="263">
        <v>94190.868357114421</v>
      </c>
      <c r="S203" s="259">
        <v>109361.86651617489</v>
      </c>
      <c r="U203" s="7" t="s">
        <v>5312</v>
      </c>
    </row>
    <row r="204" spans="1:21" ht="16.5" thickBot="1">
      <c r="A204" s="1188" t="s">
        <v>4533</v>
      </c>
      <c r="B204" s="1192">
        <f t="shared" si="9"/>
        <v>150</v>
      </c>
      <c r="C204" s="1192" t="s">
        <v>3</v>
      </c>
      <c r="D204" s="1192">
        <f t="shared" si="10"/>
        <v>360</v>
      </c>
      <c r="E204" s="1192" t="s">
        <v>3</v>
      </c>
      <c r="F204" s="1190">
        <f t="shared" si="11"/>
        <v>2700</v>
      </c>
      <c r="G204" s="1192" t="s">
        <v>3</v>
      </c>
      <c r="H204" s="1189">
        <v>2</v>
      </c>
      <c r="I204" s="1191" t="s">
        <v>40</v>
      </c>
      <c r="J204" s="149">
        <v>150</v>
      </c>
      <c r="K204" s="66">
        <v>360</v>
      </c>
      <c r="L204" s="66">
        <v>2700</v>
      </c>
      <c r="M204" s="164">
        <v>40.628329715094786</v>
      </c>
      <c r="N204" s="78">
        <v>2712.077291042574</v>
      </c>
      <c r="O204" s="113">
        <v>55700.287091079204</v>
      </c>
      <c r="P204" s="111">
        <v>71117.381366321977</v>
      </c>
      <c r="Q204" s="110">
        <v>39900.453030468605</v>
      </c>
      <c r="R204" s="263">
        <v>95600.740121547802</v>
      </c>
      <c r="S204" s="259">
        <v>111017.83439679058</v>
      </c>
      <c r="U204" s="7" t="s">
        <v>5313</v>
      </c>
    </row>
    <row r="205" spans="1:21" ht="16.5" thickBot="1">
      <c r="A205" s="1188" t="s">
        <v>4533</v>
      </c>
      <c r="B205" s="1192">
        <f t="shared" si="9"/>
        <v>150</v>
      </c>
      <c r="C205" s="1192" t="s">
        <v>3</v>
      </c>
      <c r="D205" s="1192">
        <f t="shared" si="10"/>
        <v>360</v>
      </c>
      <c r="E205" s="1192" t="s">
        <v>3</v>
      </c>
      <c r="F205" s="1190">
        <f t="shared" si="11"/>
        <v>2750</v>
      </c>
      <c r="G205" s="1192" t="s">
        <v>3</v>
      </c>
      <c r="H205" s="1189">
        <v>2</v>
      </c>
      <c r="I205" s="1191" t="s">
        <v>40</v>
      </c>
      <c r="J205" s="149">
        <v>150</v>
      </c>
      <c r="K205" s="66">
        <v>360</v>
      </c>
      <c r="L205" s="66">
        <v>2750</v>
      </c>
      <c r="M205" s="164">
        <v>41.308562800988099</v>
      </c>
      <c r="N205" s="78">
        <v>2769.7810631924158</v>
      </c>
      <c r="O205" s="113">
        <v>56506.7379712744</v>
      </c>
      <c r="P205" s="111">
        <v>72169.928362699473</v>
      </c>
      <c r="Q205" s="110">
        <v>40503.87391470679</v>
      </c>
      <c r="R205" s="263">
        <v>97010.611885981198</v>
      </c>
      <c r="S205" s="259">
        <v>112673.80227740627</v>
      </c>
      <c r="U205" s="7" t="s">
        <v>5314</v>
      </c>
    </row>
    <row r="206" spans="1:21" ht="16.5" thickBot="1">
      <c r="A206" s="1188" t="s">
        <v>4533</v>
      </c>
      <c r="B206" s="1192">
        <f t="shared" si="9"/>
        <v>150</v>
      </c>
      <c r="C206" s="1192" t="s">
        <v>3</v>
      </c>
      <c r="D206" s="1192">
        <f t="shared" si="10"/>
        <v>360</v>
      </c>
      <c r="E206" s="1192" t="s">
        <v>3</v>
      </c>
      <c r="F206" s="1190">
        <f t="shared" si="11"/>
        <v>2800</v>
      </c>
      <c r="G206" s="1192" t="s">
        <v>3</v>
      </c>
      <c r="H206" s="1189">
        <v>2</v>
      </c>
      <c r="I206" s="1191" t="s">
        <v>40</v>
      </c>
      <c r="J206" s="149">
        <v>150</v>
      </c>
      <c r="K206" s="66">
        <v>360</v>
      </c>
      <c r="L206" s="66">
        <v>2800</v>
      </c>
      <c r="M206" s="164">
        <v>41.988795886881434</v>
      </c>
      <c r="N206" s="78">
        <v>2827.4848353422581</v>
      </c>
      <c r="O206" s="113">
        <v>57313.188851469597</v>
      </c>
      <c r="P206" s="111">
        <v>73222.475359076969</v>
      </c>
      <c r="Q206" s="110">
        <v>41358.628936728746</v>
      </c>
      <c r="R206" s="263">
        <v>98671.817788198343</v>
      </c>
      <c r="S206" s="259">
        <v>114581.10429580571</v>
      </c>
      <c r="U206" s="7" t="s">
        <v>5315</v>
      </c>
    </row>
    <row r="207" spans="1:21" ht="16.5" thickBot="1">
      <c r="A207" s="1188" t="s">
        <v>4533</v>
      </c>
      <c r="B207" s="1192">
        <f t="shared" si="9"/>
        <v>150</v>
      </c>
      <c r="C207" s="1192" t="s">
        <v>3</v>
      </c>
      <c r="D207" s="1192">
        <f t="shared" si="10"/>
        <v>360</v>
      </c>
      <c r="E207" s="1192" t="s">
        <v>3</v>
      </c>
      <c r="F207" s="1190">
        <f t="shared" si="11"/>
        <v>2850</v>
      </c>
      <c r="G207" s="1192" t="s">
        <v>3</v>
      </c>
      <c r="H207" s="1189">
        <v>2</v>
      </c>
      <c r="I207" s="1191" t="s">
        <v>40</v>
      </c>
      <c r="J207" s="149">
        <v>150</v>
      </c>
      <c r="K207" s="66">
        <v>360</v>
      </c>
      <c r="L207" s="66">
        <v>2850</v>
      </c>
      <c r="M207" s="164">
        <v>42.669028972774754</v>
      </c>
      <c r="N207" s="78">
        <v>2885.1886074920999</v>
      </c>
      <c r="O207" s="113">
        <v>58119.639731664778</v>
      </c>
      <c r="P207" s="111">
        <v>74275.022355454479</v>
      </c>
      <c r="Q207" s="110">
        <v>41962.049820966939</v>
      </c>
      <c r="R207" s="263">
        <v>100081.68955263172</v>
      </c>
      <c r="S207" s="259">
        <v>116237.07217642141</v>
      </c>
      <c r="U207" s="7" t="s">
        <v>5316</v>
      </c>
    </row>
    <row r="208" spans="1:21" ht="16.5" thickBot="1">
      <c r="A208" s="1188" t="s">
        <v>4533</v>
      </c>
      <c r="B208" s="1192">
        <f t="shared" si="9"/>
        <v>150</v>
      </c>
      <c r="C208" s="1192" t="s">
        <v>3</v>
      </c>
      <c r="D208" s="1192">
        <f t="shared" si="10"/>
        <v>360</v>
      </c>
      <c r="E208" s="1192" t="s">
        <v>3</v>
      </c>
      <c r="F208" s="1190">
        <f t="shared" si="11"/>
        <v>2900</v>
      </c>
      <c r="G208" s="1192" t="s">
        <v>3</v>
      </c>
      <c r="H208" s="1189">
        <v>2</v>
      </c>
      <c r="I208" s="1191" t="s">
        <v>40</v>
      </c>
      <c r="J208" s="149">
        <v>150</v>
      </c>
      <c r="K208" s="66">
        <v>360</v>
      </c>
      <c r="L208" s="66">
        <v>2900</v>
      </c>
      <c r="M208" s="164">
        <v>43.349262058668074</v>
      </c>
      <c r="N208" s="78">
        <v>2942.8923796419417</v>
      </c>
      <c r="O208" s="113">
        <v>58926.090611859974</v>
      </c>
      <c r="P208" s="111">
        <v>75327.569351831975</v>
      </c>
      <c r="Q208" s="110">
        <v>42816.804842988895</v>
      </c>
      <c r="R208" s="263">
        <v>101742.89545484887</v>
      </c>
      <c r="S208" s="259">
        <v>118144.37419482088</v>
      </c>
      <c r="U208" s="7" t="s">
        <v>5317</v>
      </c>
    </row>
    <row r="209" spans="1:21" ht="16.5" thickBot="1">
      <c r="A209" s="1188" t="s">
        <v>4533</v>
      </c>
      <c r="B209" s="1192">
        <f t="shared" si="9"/>
        <v>150</v>
      </c>
      <c r="C209" s="1192" t="s">
        <v>3</v>
      </c>
      <c r="D209" s="1192">
        <f t="shared" si="10"/>
        <v>360</v>
      </c>
      <c r="E209" s="1192" t="s">
        <v>3</v>
      </c>
      <c r="F209" s="1190">
        <f t="shared" si="11"/>
        <v>2950</v>
      </c>
      <c r="G209" s="1192" t="s">
        <v>3</v>
      </c>
      <c r="H209" s="1189">
        <v>2</v>
      </c>
      <c r="I209" s="1191" t="s">
        <v>40</v>
      </c>
      <c r="J209" s="149">
        <v>150</v>
      </c>
      <c r="K209" s="66">
        <v>360</v>
      </c>
      <c r="L209" s="66">
        <v>2950</v>
      </c>
      <c r="M209" s="164">
        <v>44.029495144561395</v>
      </c>
      <c r="N209" s="78">
        <v>3000.596151791784</v>
      </c>
      <c r="O209" s="113">
        <v>59732.54149205517</v>
      </c>
      <c r="P209" s="111">
        <v>76380.116348209456</v>
      </c>
      <c r="Q209" s="110">
        <v>43420.22572722708</v>
      </c>
      <c r="R209" s="263">
        <v>103152.76721928225</v>
      </c>
      <c r="S209" s="259">
        <v>119800.34207543654</v>
      </c>
      <c r="U209" s="7" t="s">
        <v>5318</v>
      </c>
    </row>
    <row r="210" spans="1:21" ht="16.5" thickBot="1">
      <c r="A210" s="1188" t="s">
        <v>4533</v>
      </c>
      <c r="B210" s="1194">
        <f t="shared" si="9"/>
        <v>150</v>
      </c>
      <c r="C210" s="1194" t="s">
        <v>3</v>
      </c>
      <c r="D210" s="1194">
        <f t="shared" si="10"/>
        <v>360</v>
      </c>
      <c r="E210" s="1194" t="s">
        <v>3</v>
      </c>
      <c r="F210" s="1195">
        <f t="shared" si="11"/>
        <v>3000</v>
      </c>
      <c r="G210" s="1194" t="s">
        <v>3</v>
      </c>
      <c r="H210" s="1189">
        <v>2</v>
      </c>
      <c r="I210" s="1191" t="s">
        <v>40</v>
      </c>
      <c r="J210" s="151">
        <v>150</v>
      </c>
      <c r="K210" s="66">
        <v>360</v>
      </c>
      <c r="L210" s="126">
        <v>3000</v>
      </c>
      <c r="M210" s="171">
        <v>44.990657830454722</v>
      </c>
      <c r="N210" s="127">
        <v>3058.2999239416258</v>
      </c>
      <c r="O210" s="128">
        <v>60826.34366625148</v>
      </c>
      <c r="P210" s="135">
        <v>77720.01463858808</v>
      </c>
      <c r="Q210" s="136">
        <v>44274.980749249036</v>
      </c>
      <c r="R210" s="264">
        <v>105101.32441550051</v>
      </c>
      <c r="S210" s="261">
        <v>121994.99538783712</v>
      </c>
      <c r="U210" s="7" t="s">
        <v>5319</v>
      </c>
    </row>
    <row r="211" spans="1:21" ht="16.5" thickBot="1">
      <c r="A211" s="3010" t="s">
        <v>44</v>
      </c>
      <c r="B211" s="3011"/>
      <c r="C211" s="3011"/>
      <c r="D211" s="3011"/>
      <c r="E211" s="3011"/>
      <c r="F211" s="3011"/>
      <c r="G211" s="3011"/>
      <c r="H211" s="3011"/>
      <c r="I211" s="3011"/>
      <c r="J211" s="3011"/>
      <c r="K211" s="3011"/>
      <c r="L211" s="3011"/>
      <c r="M211" s="3011"/>
      <c r="N211" s="3011"/>
      <c r="O211" s="3011"/>
      <c r="P211" s="3011"/>
      <c r="Q211" s="3011"/>
      <c r="R211" s="3011"/>
      <c r="S211" s="3012"/>
      <c r="U211" s="7"/>
    </row>
    <row r="212" spans="1:21" ht="16.5" thickBot="1">
      <c r="A212" s="2974" t="s">
        <v>4534</v>
      </c>
      <c r="B212" s="2975"/>
      <c r="C212" s="2975"/>
      <c r="D212" s="2975"/>
      <c r="E212" s="2975"/>
      <c r="F212" s="2975"/>
      <c r="G212" s="2975"/>
      <c r="H212" s="2975"/>
      <c r="I212" s="2975"/>
      <c r="J212" s="2975"/>
      <c r="K212" s="2975"/>
      <c r="L212" s="2975"/>
      <c r="M212" s="2975"/>
      <c r="N212" s="2975"/>
      <c r="O212" s="2975"/>
      <c r="P212" s="2975"/>
      <c r="Q212" s="2975"/>
      <c r="R212" s="2975"/>
      <c r="S212" s="2976"/>
      <c r="U212" s="7"/>
    </row>
    <row r="213" spans="1:21" ht="16.5" thickBot="1">
      <c r="A213" s="1188" t="s">
        <v>4533</v>
      </c>
      <c r="B213" s="1189">
        <f>J213</f>
        <v>150</v>
      </c>
      <c r="C213" s="1189" t="s">
        <v>3</v>
      </c>
      <c r="D213" s="1189">
        <f>K213</f>
        <v>360</v>
      </c>
      <c r="E213" s="1189" t="s">
        <v>3</v>
      </c>
      <c r="F213" s="1190">
        <f>L213</f>
        <v>600</v>
      </c>
      <c r="G213" s="1189" t="s">
        <v>3</v>
      </c>
      <c r="H213" s="1189">
        <v>4</v>
      </c>
      <c r="I213" s="1191" t="s">
        <v>40</v>
      </c>
      <c r="J213" s="146">
        <v>150</v>
      </c>
      <c r="K213" s="122">
        <v>360</v>
      </c>
      <c r="L213" s="122">
        <v>600</v>
      </c>
      <c r="M213" s="163">
        <v>11.37906354020312</v>
      </c>
      <c r="N213" s="123">
        <v>317.05369313099999</v>
      </c>
      <c r="O213" s="124">
        <v>24668.843544174961</v>
      </c>
      <c r="P213" s="148">
        <v>30103.816839044826</v>
      </c>
      <c r="Q213" s="139">
        <v>10032.760953270536</v>
      </c>
      <c r="R213" s="262">
        <v>34701.6044974455</v>
      </c>
      <c r="S213" s="257">
        <v>40136.577792315366</v>
      </c>
      <c r="U213" s="7" t="s">
        <v>5320</v>
      </c>
    </row>
    <row r="214" spans="1:21" ht="16.5" thickBot="1">
      <c r="A214" s="1188" t="s">
        <v>4533</v>
      </c>
      <c r="B214" s="1192">
        <f t="shared" ref="B214:B261" si="12">J214</f>
        <v>150</v>
      </c>
      <c r="C214" s="1192" t="s">
        <v>3</v>
      </c>
      <c r="D214" s="1192">
        <f t="shared" ref="D214:D261" si="13">K214</f>
        <v>360</v>
      </c>
      <c r="E214" s="1192" t="s">
        <v>3</v>
      </c>
      <c r="F214" s="1190">
        <f t="shared" ref="F214:F261" si="14">L214</f>
        <v>650</v>
      </c>
      <c r="G214" s="1192" t="s">
        <v>3</v>
      </c>
      <c r="H214" s="1189">
        <v>4</v>
      </c>
      <c r="I214" s="1191" t="s">
        <v>40</v>
      </c>
      <c r="J214" s="149">
        <v>150</v>
      </c>
      <c r="K214" s="66">
        <v>360</v>
      </c>
      <c r="L214" s="66">
        <v>650</v>
      </c>
      <c r="M214" s="164">
        <v>12.172782232410817</v>
      </c>
      <c r="N214" s="78">
        <v>380.46443175719997</v>
      </c>
      <c r="O214" s="113">
        <v>25904.935842932391</v>
      </c>
      <c r="P214" s="111">
        <v>31586.005407013326</v>
      </c>
      <c r="Q214" s="110">
        <v>10636.181837508726</v>
      </c>
      <c r="R214" s="263">
        <v>36541.117680441115</v>
      </c>
      <c r="S214" s="259">
        <v>42222.187244522051</v>
      </c>
      <c r="U214" s="7" t="s">
        <v>5321</v>
      </c>
    </row>
    <row r="215" spans="1:21" ht="16.5" thickBot="1">
      <c r="A215" s="1188" t="s">
        <v>4533</v>
      </c>
      <c r="B215" s="1192">
        <f t="shared" si="12"/>
        <v>150</v>
      </c>
      <c r="C215" s="1192" t="s">
        <v>3</v>
      </c>
      <c r="D215" s="1192">
        <f t="shared" si="13"/>
        <v>360</v>
      </c>
      <c r="E215" s="1192" t="s">
        <v>3</v>
      </c>
      <c r="F215" s="1190">
        <f t="shared" si="14"/>
        <v>700</v>
      </c>
      <c r="G215" s="1192" t="s">
        <v>3</v>
      </c>
      <c r="H215" s="1189">
        <v>4</v>
      </c>
      <c r="I215" s="1191" t="s">
        <v>40</v>
      </c>
      <c r="J215" s="149">
        <v>150</v>
      </c>
      <c r="K215" s="66">
        <v>360</v>
      </c>
      <c r="L215" s="66">
        <v>700</v>
      </c>
      <c r="M215" s="164">
        <v>12.966500924618515</v>
      </c>
      <c r="N215" s="78">
        <v>443.87517038339996</v>
      </c>
      <c r="O215" s="113">
        <v>27141.028141689821</v>
      </c>
      <c r="P215" s="111">
        <v>33068.193821953064</v>
      </c>
      <c r="Q215" s="110">
        <v>11490.936859530682</v>
      </c>
      <c r="R215" s="263">
        <v>38631.965001220502</v>
      </c>
      <c r="S215" s="259">
        <v>44559.130681483744</v>
      </c>
      <c r="U215" s="7" t="s">
        <v>5322</v>
      </c>
    </row>
    <row r="216" spans="1:21" ht="16.5" thickBot="1">
      <c r="A216" s="1188" t="s">
        <v>4533</v>
      </c>
      <c r="B216" s="1192">
        <f t="shared" si="12"/>
        <v>150</v>
      </c>
      <c r="C216" s="1192" t="s">
        <v>3</v>
      </c>
      <c r="D216" s="1192">
        <f t="shared" si="13"/>
        <v>360</v>
      </c>
      <c r="E216" s="1192" t="s">
        <v>3</v>
      </c>
      <c r="F216" s="1190">
        <f t="shared" si="14"/>
        <v>750</v>
      </c>
      <c r="G216" s="1192" t="s">
        <v>3</v>
      </c>
      <c r="H216" s="1189">
        <v>4</v>
      </c>
      <c r="I216" s="1191" t="s">
        <v>40</v>
      </c>
      <c r="J216" s="149">
        <v>150</v>
      </c>
      <c r="K216" s="66">
        <v>360</v>
      </c>
      <c r="L216" s="66">
        <v>750</v>
      </c>
      <c r="M216" s="164">
        <v>13.760219616826213</v>
      </c>
      <c r="N216" s="78">
        <v>507.2859090096</v>
      </c>
      <c r="O216" s="113">
        <v>28377.120440447252</v>
      </c>
      <c r="P216" s="111">
        <v>34550.382236892794</v>
      </c>
      <c r="Q216" s="110">
        <v>12094.357743768871</v>
      </c>
      <c r="R216" s="263">
        <v>40471.478184216125</v>
      </c>
      <c r="S216" s="259">
        <v>46644.739980661667</v>
      </c>
      <c r="U216" s="7" t="s">
        <v>5323</v>
      </c>
    </row>
    <row r="217" spans="1:21" ht="16.5" thickBot="1">
      <c r="A217" s="1188" t="s">
        <v>4533</v>
      </c>
      <c r="B217" s="1192">
        <f t="shared" si="12"/>
        <v>150</v>
      </c>
      <c r="C217" s="1192" t="s">
        <v>3</v>
      </c>
      <c r="D217" s="1192">
        <f t="shared" si="13"/>
        <v>360</v>
      </c>
      <c r="E217" s="1192" t="s">
        <v>3</v>
      </c>
      <c r="F217" s="1190">
        <f t="shared" si="14"/>
        <v>800</v>
      </c>
      <c r="G217" s="1192" t="s">
        <v>3</v>
      </c>
      <c r="H217" s="1189">
        <v>4</v>
      </c>
      <c r="I217" s="1191" t="s">
        <v>40</v>
      </c>
      <c r="J217" s="149">
        <v>150</v>
      </c>
      <c r="K217" s="66">
        <v>360</v>
      </c>
      <c r="L217" s="66">
        <v>800</v>
      </c>
      <c r="M217" s="164">
        <v>14.55393830903391</v>
      </c>
      <c r="N217" s="78">
        <v>570.69664763579999</v>
      </c>
      <c r="O217" s="113">
        <v>30009.098001554288</v>
      </c>
      <c r="P217" s="111">
        <v>36047.8736813738</v>
      </c>
      <c r="Q217" s="110">
        <v>12697.77862800706</v>
      </c>
      <c r="R217" s="263">
        <v>42706.876629561346</v>
      </c>
      <c r="S217" s="259">
        <v>48745.652309380857</v>
      </c>
      <c r="U217" s="7" t="s">
        <v>5324</v>
      </c>
    </row>
    <row r="218" spans="1:21" ht="16.5" thickBot="1">
      <c r="A218" s="1188" t="s">
        <v>4533</v>
      </c>
      <c r="B218" s="1192">
        <f t="shared" si="12"/>
        <v>150</v>
      </c>
      <c r="C218" s="1192" t="s">
        <v>3</v>
      </c>
      <c r="D218" s="1192">
        <f t="shared" si="13"/>
        <v>360</v>
      </c>
      <c r="E218" s="1192" t="s">
        <v>3</v>
      </c>
      <c r="F218" s="1190">
        <f t="shared" si="14"/>
        <v>850</v>
      </c>
      <c r="G218" s="1192" t="s">
        <v>3</v>
      </c>
      <c r="H218" s="1189">
        <v>4</v>
      </c>
      <c r="I218" s="1191" t="s">
        <v>40</v>
      </c>
      <c r="J218" s="149">
        <v>150</v>
      </c>
      <c r="K218" s="66">
        <v>360</v>
      </c>
      <c r="L218" s="66">
        <v>850</v>
      </c>
      <c r="M218" s="164">
        <v>15.347657001241606</v>
      </c>
      <c r="N218" s="78">
        <v>634.10738626199998</v>
      </c>
      <c r="O218" s="113">
        <v>31245.190300311719</v>
      </c>
      <c r="P218" s="111">
        <v>37530.06209631353</v>
      </c>
      <c r="Q218" s="110">
        <v>13552.533650029018</v>
      </c>
      <c r="R218" s="263">
        <v>44797.723950340733</v>
      </c>
      <c r="S218" s="259">
        <v>51082.595746342544</v>
      </c>
      <c r="U218" s="7" t="s">
        <v>5325</v>
      </c>
    </row>
    <row r="219" spans="1:21" ht="16.5" thickBot="1">
      <c r="A219" s="1188" t="s">
        <v>4533</v>
      </c>
      <c r="B219" s="1192">
        <f t="shared" si="12"/>
        <v>150</v>
      </c>
      <c r="C219" s="1192" t="s">
        <v>3</v>
      </c>
      <c r="D219" s="1192">
        <f t="shared" si="13"/>
        <v>360</v>
      </c>
      <c r="E219" s="1192" t="s">
        <v>3</v>
      </c>
      <c r="F219" s="1190">
        <f t="shared" si="14"/>
        <v>900</v>
      </c>
      <c r="G219" s="1192" t="s">
        <v>3</v>
      </c>
      <c r="H219" s="1189">
        <v>4</v>
      </c>
      <c r="I219" s="1191" t="s">
        <v>40</v>
      </c>
      <c r="J219" s="149">
        <v>150</v>
      </c>
      <c r="K219" s="66">
        <v>360</v>
      </c>
      <c r="L219" s="66">
        <v>900</v>
      </c>
      <c r="M219" s="164">
        <v>16.141375693449305</v>
      </c>
      <c r="N219" s="78">
        <v>697.51812488820008</v>
      </c>
      <c r="O219" s="113">
        <v>32481.282752097915</v>
      </c>
      <c r="P219" s="111">
        <v>39012.250664282037</v>
      </c>
      <c r="Q219" s="110">
        <v>14155.954534267206</v>
      </c>
      <c r="R219" s="263">
        <v>46637.237286365125</v>
      </c>
      <c r="S219" s="259">
        <v>53168.205198549244</v>
      </c>
      <c r="U219" s="7" t="s">
        <v>5326</v>
      </c>
    </row>
    <row r="220" spans="1:21" ht="16.5" thickBot="1">
      <c r="A220" s="1188" t="s">
        <v>4533</v>
      </c>
      <c r="B220" s="1192">
        <f t="shared" si="12"/>
        <v>150</v>
      </c>
      <c r="C220" s="1192" t="s">
        <v>3</v>
      </c>
      <c r="D220" s="1192">
        <f t="shared" si="13"/>
        <v>360</v>
      </c>
      <c r="E220" s="1192" t="s">
        <v>3</v>
      </c>
      <c r="F220" s="1190">
        <f t="shared" si="14"/>
        <v>950</v>
      </c>
      <c r="G220" s="1192" t="s">
        <v>3</v>
      </c>
      <c r="H220" s="1189">
        <v>4</v>
      </c>
      <c r="I220" s="1191" t="s">
        <v>40</v>
      </c>
      <c r="J220" s="149">
        <v>150</v>
      </c>
      <c r="K220" s="66">
        <v>360</v>
      </c>
      <c r="L220" s="66">
        <v>950</v>
      </c>
      <c r="M220" s="164">
        <v>16.935094385657003</v>
      </c>
      <c r="N220" s="78">
        <v>760.92886351439995</v>
      </c>
      <c r="O220" s="113">
        <v>33717.375050855342</v>
      </c>
      <c r="P220" s="111">
        <v>40494.439079221767</v>
      </c>
      <c r="Q220" s="110">
        <v>15010.709556289165</v>
      </c>
      <c r="R220" s="263">
        <v>48728.084607144505</v>
      </c>
      <c r="S220" s="259">
        <v>55505.14863551093</v>
      </c>
      <c r="U220" s="7" t="s">
        <v>5327</v>
      </c>
    </row>
    <row r="221" spans="1:21" ht="16.5" thickBot="1">
      <c r="A221" s="1188" t="s">
        <v>4533</v>
      </c>
      <c r="B221" s="1192">
        <f t="shared" si="12"/>
        <v>150</v>
      </c>
      <c r="C221" s="1192" t="s">
        <v>3</v>
      </c>
      <c r="D221" s="1192">
        <f t="shared" si="13"/>
        <v>360</v>
      </c>
      <c r="E221" s="1192" t="s">
        <v>3</v>
      </c>
      <c r="F221" s="1190">
        <f t="shared" si="14"/>
        <v>1000</v>
      </c>
      <c r="G221" s="1192" t="s">
        <v>3</v>
      </c>
      <c r="H221" s="1189">
        <v>4</v>
      </c>
      <c r="I221" s="1191" t="s">
        <v>40</v>
      </c>
      <c r="J221" s="149">
        <v>150</v>
      </c>
      <c r="K221" s="66">
        <v>360</v>
      </c>
      <c r="L221" s="66">
        <v>1000</v>
      </c>
      <c r="M221" s="164">
        <v>17.8692778778647</v>
      </c>
      <c r="N221" s="78">
        <v>824.33960214060005</v>
      </c>
      <c r="O221" s="113">
        <v>35023.321920317037</v>
      </c>
      <c r="P221" s="111">
        <v>42046.48206486577</v>
      </c>
      <c r="Q221" s="110">
        <v>15614.130440527351</v>
      </c>
      <c r="R221" s="263">
        <v>50637.452360844385</v>
      </c>
      <c r="S221" s="259">
        <v>57660.612505393117</v>
      </c>
      <c r="U221" s="7" t="s">
        <v>5328</v>
      </c>
    </row>
    <row r="222" spans="1:21" ht="16.5" thickBot="1">
      <c r="A222" s="1188" t="s">
        <v>4533</v>
      </c>
      <c r="B222" s="1192">
        <f t="shared" si="12"/>
        <v>150</v>
      </c>
      <c r="C222" s="1192" t="s">
        <v>3</v>
      </c>
      <c r="D222" s="1192">
        <f t="shared" si="13"/>
        <v>360</v>
      </c>
      <c r="E222" s="1192" t="s">
        <v>3</v>
      </c>
      <c r="F222" s="1190">
        <f t="shared" si="14"/>
        <v>1050</v>
      </c>
      <c r="G222" s="1192" t="s">
        <v>3</v>
      </c>
      <c r="H222" s="1189">
        <v>4</v>
      </c>
      <c r="I222" s="1191" t="s">
        <v>40</v>
      </c>
      <c r="J222" s="149">
        <v>150</v>
      </c>
      <c r="K222" s="66">
        <v>360</v>
      </c>
      <c r="L222" s="66">
        <v>1050</v>
      </c>
      <c r="M222" s="164">
        <v>18.662996570072398</v>
      </c>
      <c r="N222" s="78">
        <v>887.75034076679992</v>
      </c>
      <c r="O222" s="113">
        <v>36259.414219074461</v>
      </c>
      <c r="P222" s="111">
        <v>43528.67063283427</v>
      </c>
      <c r="Q222" s="110">
        <v>16468.885462549311</v>
      </c>
      <c r="R222" s="263">
        <v>52728.299681623772</v>
      </c>
      <c r="S222" s="259">
        <v>59997.556095383581</v>
      </c>
      <c r="U222" s="7" t="s">
        <v>5329</v>
      </c>
    </row>
    <row r="223" spans="1:21" ht="16.5" thickBot="1">
      <c r="A223" s="1188" t="s">
        <v>4533</v>
      </c>
      <c r="B223" s="1189">
        <f t="shared" si="12"/>
        <v>150</v>
      </c>
      <c r="C223" s="1189" t="s">
        <v>3</v>
      </c>
      <c r="D223" s="1189">
        <f t="shared" si="13"/>
        <v>360</v>
      </c>
      <c r="E223" s="1189" t="s">
        <v>3</v>
      </c>
      <c r="F223" s="1190">
        <f t="shared" si="14"/>
        <v>1100</v>
      </c>
      <c r="G223" s="1189" t="s">
        <v>3</v>
      </c>
      <c r="H223" s="1189">
        <v>4</v>
      </c>
      <c r="I223" s="1191" t="s">
        <v>40</v>
      </c>
      <c r="J223" s="149">
        <v>150</v>
      </c>
      <c r="K223" s="66">
        <v>360</v>
      </c>
      <c r="L223" s="66">
        <v>1100</v>
      </c>
      <c r="M223" s="164">
        <v>19.456715262280092</v>
      </c>
      <c r="N223" s="78">
        <v>951.16107939299991</v>
      </c>
      <c r="O223" s="113">
        <v>37495.506670860661</v>
      </c>
      <c r="P223" s="111">
        <v>45010.859047774007</v>
      </c>
      <c r="Q223" s="110">
        <v>17072.3063467875</v>
      </c>
      <c r="R223" s="263">
        <v>54567.813017648165</v>
      </c>
      <c r="S223" s="259">
        <v>62083.165394561511</v>
      </c>
      <c r="U223" s="7" t="s">
        <v>5330</v>
      </c>
    </row>
    <row r="224" spans="1:21" ht="16.5" thickBot="1">
      <c r="A224" s="1188" t="s">
        <v>4533</v>
      </c>
      <c r="B224" s="1192">
        <f t="shared" si="12"/>
        <v>150</v>
      </c>
      <c r="C224" s="1192" t="s">
        <v>3</v>
      </c>
      <c r="D224" s="1192">
        <f t="shared" si="13"/>
        <v>360</v>
      </c>
      <c r="E224" s="1192" t="s">
        <v>3</v>
      </c>
      <c r="F224" s="1190">
        <f t="shared" si="14"/>
        <v>1150</v>
      </c>
      <c r="G224" s="1192" t="s">
        <v>3</v>
      </c>
      <c r="H224" s="1189">
        <v>4</v>
      </c>
      <c r="I224" s="1191" t="s">
        <v>40</v>
      </c>
      <c r="J224" s="149">
        <v>150</v>
      </c>
      <c r="K224" s="66">
        <v>360</v>
      </c>
      <c r="L224" s="66">
        <v>1150</v>
      </c>
      <c r="M224" s="164">
        <v>20.250433954487789</v>
      </c>
      <c r="N224" s="78">
        <v>1014.5718180192</v>
      </c>
      <c r="O224" s="113">
        <v>38731.598969618091</v>
      </c>
      <c r="P224" s="111">
        <v>46493.047462713737</v>
      </c>
      <c r="Q224" s="110">
        <v>17675.727231025689</v>
      </c>
      <c r="R224" s="263">
        <v>56407.32620064378</v>
      </c>
      <c r="S224" s="259">
        <v>64168.774693739426</v>
      </c>
      <c r="U224" s="7" t="s">
        <v>5331</v>
      </c>
    </row>
    <row r="225" spans="1:21" ht="16.5" thickBot="1">
      <c r="A225" s="1188" t="s">
        <v>4533</v>
      </c>
      <c r="B225" s="1192">
        <f t="shared" si="12"/>
        <v>150</v>
      </c>
      <c r="C225" s="1192" t="s">
        <v>3</v>
      </c>
      <c r="D225" s="1192">
        <f t="shared" si="13"/>
        <v>360</v>
      </c>
      <c r="E225" s="1192" t="s">
        <v>3</v>
      </c>
      <c r="F225" s="1190">
        <f t="shared" si="14"/>
        <v>1200</v>
      </c>
      <c r="G225" s="1192" t="s">
        <v>3</v>
      </c>
      <c r="H225" s="1189">
        <v>4</v>
      </c>
      <c r="I225" s="1191" t="s">
        <v>40</v>
      </c>
      <c r="J225" s="149">
        <v>150</v>
      </c>
      <c r="K225" s="66">
        <v>360</v>
      </c>
      <c r="L225" s="66">
        <v>1200</v>
      </c>
      <c r="M225" s="164">
        <v>21.044152646695487</v>
      </c>
      <c r="N225" s="78">
        <v>1077.9825566453999</v>
      </c>
      <c r="O225" s="113">
        <v>39967.691268375514</v>
      </c>
      <c r="P225" s="111">
        <v>47975.236030682245</v>
      </c>
      <c r="Q225" s="110">
        <v>18530.482406076411</v>
      </c>
      <c r="R225" s="263">
        <v>58498.173674451929</v>
      </c>
      <c r="S225" s="259">
        <v>66505.71843675866</v>
      </c>
      <c r="U225" s="7" t="s">
        <v>5332</v>
      </c>
    </row>
    <row r="226" spans="1:21" ht="16.5" thickBot="1">
      <c r="A226" s="1188" t="s">
        <v>4533</v>
      </c>
      <c r="B226" s="1192">
        <f t="shared" si="12"/>
        <v>150</v>
      </c>
      <c r="C226" s="1192" t="s">
        <v>3</v>
      </c>
      <c r="D226" s="1192">
        <f t="shared" si="13"/>
        <v>360</v>
      </c>
      <c r="E226" s="1192" t="s">
        <v>3</v>
      </c>
      <c r="F226" s="1190">
        <f t="shared" si="14"/>
        <v>1250</v>
      </c>
      <c r="G226" s="1192" t="s">
        <v>3</v>
      </c>
      <c r="H226" s="1189">
        <v>4</v>
      </c>
      <c r="I226" s="1191" t="s">
        <v>40</v>
      </c>
      <c r="J226" s="149">
        <v>150</v>
      </c>
      <c r="K226" s="66">
        <v>360</v>
      </c>
      <c r="L226" s="66">
        <v>1250</v>
      </c>
      <c r="M226" s="164">
        <v>21.837871338903188</v>
      </c>
      <c r="N226" s="78">
        <v>1141.3932952716</v>
      </c>
      <c r="O226" s="113">
        <v>41203.783567132945</v>
      </c>
      <c r="P226" s="111">
        <v>49457.424445621975</v>
      </c>
      <c r="Q226" s="110">
        <v>19133.9032903146</v>
      </c>
      <c r="R226" s="263">
        <v>60337.686857447545</v>
      </c>
      <c r="S226" s="259">
        <v>68591.327735936575</v>
      </c>
      <c r="U226" s="7" t="s">
        <v>5333</v>
      </c>
    </row>
    <row r="227" spans="1:21" ht="16.5" thickBot="1">
      <c r="A227" s="1188" t="s">
        <v>4533</v>
      </c>
      <c r="B227" s="1192">
        <f t="shared" si="12"/>
        <v>150</v>
      </c>
      <c r="C227" s="1192" t="s">
        <v>3</v>
      </c>
      <c r="D227" s="1192">
        <f t="shared" si="13"/>
        <v>360</v>
      </c>
      <c r="E227" s="1192" t="s">
        <v>3</v>
      </c>
      <c r="F227" s="1190">
        <f t="shared" si="14"/>
        <v>1300</v>
      </c>
      <c r="G227" s="1192" t="s">
        <v>3</v>
      </c>
      <c r="H227" s="1189">
        <v>4</v>
      </c>
      <c r="I227" s="1191" t="s">
        <v>40</v>
      </c>
      <c r="J227" s="149">
        <v>150</v>
      </c>
      <c r="K227" s="66">
        <v>360</v>
      </c>
      <c r="L227" s="66">
        <v>1300</v>
      </c>
      <c r="M227" s="164">
        <v>22.631590031110886</v>
      </c>
      <c r="N227" s="78">
        <v>1204.8040338977999</v>
      </c>
      <c r="O227" s="113">
        <v>42439.876018919145</v>
      </c>
      <c r="P227" s="111">
        <v>50939.612860561712</v>
      </c>
      <c r="Q227" s="110">
        <v>19988.658312336556</v>
      </c>
      <c r="R227" s="263">
        <v>62428.534331255702</v>
      </c>
      <c r="S227" s="259">
        <v>70928.271172898269</v>
      </c>
      <c r="U227" s="7" t="s">
        <v>5334</v>
      </c>
    </row>
    <row r="228" spans="1:21" ht="16.5" thickBot="1">
      <c r="A228" s="1188" t="s">
        <v>4533</v>
      </c>
      <c r="B228" s="1192">
        <f t="shared" si="12"/>
        <v>150</v>
      </c>
      <c r="C228" s="1192" t="s">
        <v>3</v>
      </c>
      <c r="D228" s="1192">
        <f t="shared" si="13"/>
        <v>360</v>
      </c>
      <c r="E228" s="1192" t="s">
        <v>3</v>
      </c>
      <c r="F228" s="1190">
        <f t="shared" si="14"/>
        <v>1350</v>
      </c>
      <c r="G228" s="1192" t="s">
        <v>3</v>
      </c>
      <c r="H228" s="1189">
        <v>4</v>
      </c>
      <c r="I228" s="1191" t="s">
        <v>40</v>
      </c>
      <c r="J228" s="149">
        <v>150</v>
      </c>
      <c r="K228" s="66">
        <v>360</v>
      </c>
      <c r="L228" s="66">
        <v>1350</v>
      </c>
      <c r="M228" s="164">
        <v>23.425308723318579</v>
      </c>
      <c r="N228" s="78">
        <v>1268.214772524</v>
      </c>
      <c r="O228" s="113">
        <v>43675.968317676568</v>
      </c>
      <c r="P228" s="111">
        <v>52421.801428530212</v>
      </c>
      <c r="Q228" s="110">
        <v>20592.079196574745</v>
      </c>
      <c r="R228" s="263">
        <v>64268.047514251317</v>
      </c>
      <c r="S228" s="259">
        <v>73013.880625104954</v>
      </c>
      <c r="U228" s="7" t="s">
        <v>5335</v>
      </c>
    </row>
    <row r="229" spans="1:21" ht="16.5" thickBot="1">
      <c r="A229" s="1188" t="s">
        <v>4533</v>
      </c>
      <c r="B229" s="1192">
        <f t="shared" si="12"/>
        <v>150</v>
      </c>
      <c r="C229" s="1192" t="s">
        <v>3</v>
      </c>
      <c r="D229" s="1192">
        <f t="shared" si="13"/>
        <v>360</v>
      </c>
      <c r="E229" s="1192" t="s">
        <v>3</v>
      </c>
      <c r="F229" s="1190">
        <f t="shared" si="14"/>
        <v>1400</v>
      </c>
      <c r="G229" s="1192" t="s">
        <v>3</v>
      </c>
      <c r="H229" s="1189">
        <v>4</v>
      </c>
      <c r="I229" s="1191" t="s">
        <v>40</v>
      </c>
      <c r="J229" s="149">
        <v>150</v>
      </c>
      <c r="K229" s="66">
        <v>360</v>
      </c>
      <c r="L229" s="66">
        <v>1400</v>
      </c>
      <c r="M229" s="164">
        <v>24.219027415526277</v>
      </c>
      <c r="N229" s="78">
        <v>1331.6255111502001</v>
      </c>
      <c r="O229" s="113">
        <v>44912.060616433999</v>
      </c>
      <c r="P229" s="111">
        <v>53903.98984346995</v>
      </c>
      <c r="Q229" s="110">
        <v>21446.834218596705</v>
      </c>
      <c r="R229" s="263">
        <v>66358.894835030704</v>
      </c>
      <c r="S229" s="259">
        <v>75350.824062066647</v>
      </c>
      <c r="U229" s="7" t="s">
        <v>5336</v>
      </c>
    </row>
    <row r="230" spans="1:21" ht="16.5" thickBot="1">
      <c r="A230" s="1188" t="s">
        <v>4533</v>
      </c>
      <c r="B230" s="1192">
        <f t="shared" si="12"/>
        <v>150</v>
      </c>
      <c r="C230" s="1192" t="s">
        <v>3</v>
      </c>
      <c r="D230" s="1192">
        <f t="shared" si="13"/>
        <v>360</v>
      </c>
      <c r="E230" s="1192" t="s">
        <v>3</v>
      </c>
      <c r="F230" s="1190">
        <f t="shared" si="14"/>
        <v>1450</v>
      </c>
      <c r="G230" s="1192" t="s">
        <v>3</v>
      </c>
      <c r="H230" s="1189">
        <v>4</v>
      </c>
      <c r="I230" s="1191" t="s">
        <v>40</v>
      </c>
      <c r="J230" s="149">
        <v>150</v>
      </c>
      <c r="K230" s="66">
        <v>360</v>
      </c>
      <c r="L230" s="66">
        <v>1450</v>
      </c>
      <c r="M230" s="164">
        <v>25.012746107733978</v>
      </c>
      <c r="N230" s="78">
        <v>1395.0362497764002</v>
      </c>
      <c r="O230" s="113">
        <v>46148.153068220199</v>
      </c>
      <c r="P230" s="111">
        <v>55386.178258409687</v>
      </c>
      <c r="Q230" s="110">
        <v>22050.255102834893</v>
      </c>
      <c r="R230" s="263">
        <v>68198.408171055096</v>
      </c>
      <c r="S230" s="259">
        <v>77436.433361244577</v>
      </c>
      <c r="U230" s="7" t="s">
        <v>5337</v>
      </c>
    </row>
    <row r="231" spans="1:21" ht="16.5" thickBot="1">
      <c r="A231" s="1188" t="s">
        <v>4533</v>
      </c>
      <c r="B231" s="1192">
        <f t="shared" si="12"/>
        <v>150</v>
      </c>
      <c r="C231" s="1192" t="s">
        <v>3</v>
      </c>
      <c r="D231" s="1192">
        <f t="shared" si="13"/>
        <v>360</v>
      </c>
      <c r="E231" s="1192" t="s">
        <v>3</v>
      </c>
      <c r="F231" s="1190">
        <f t="shared" si="14"/>
        <v>1500</v>
      </c>
      <c r="G231" s="1192" t="s">
        <v>3</v>
      </c>
      <c r="H231" s="1189">
        <v>4</v>
      </c>
      <c r="I231" s="1191" t="s">
        <v>40</v>
      </c>
      <c r="J231" s="149">
        <v>150</v>
      </c>
      <c r="K231" s="66">
        <v>360</v>
      </c>
      <c r="L231" s="66">
        <v>1500</v>
      </c>
      <c r="M231" s="164">
        <v>26.332584399941673</v>
      </c>
      <c r="N231" s="78">
        <v>1458.4469884025998</v>
      </c>
      <c r="O231" s="113">
        <v>48390.135117098631</v>
      </c>
      <c r="P231" s="111">
        <v>58240.626568804088</v>
      </c>
      <c r="Q231" s="110">
        <v>22905.01012485685</v>
      </c>
      <c r="R231" s="263">
        <v>71295.145241955484</v>
      </c>
      <c r="S231" s="259">
        <v>81145.636693660941</v>
      </c>
      <c r="U231" s="7" t="s">
        <v>5338</v>
      </c>
    </row>
    <row r="232" spans="1:21" ht="16.5" thickBot="1">
      <c r="A232" s="1188" t="s">
        <v>4533</v>
      </c>
      <c r="B232" s="1192">
        <f t="shared" si="12"/>
        <v>150</v>
      </c>
      <c r="C232" s="1192" t="s">
        <v>3</v>
      </c>
      <c r="D232" s="1192">
        <f t="shared" si="13"/>
        <v>360</v>
      </c>
      <c r="E232" s="1192" t="s">
        <v>3</v>
      </c>
      <c r="F232" s="1190">
        <f t="shared" si="14"/>
        <v>1550</v>
      </c>
      <c r="G232" s="1192" t="s">
        <v>3</v>
      </c>
      <c r="H232" s="1189">
        <v>4</v>
      </c>
      <c r="I232" s="1191" t="s">
        <v>40</v>
      </c>
      <c r="J232" s="149">
        <v>150</v>
      </c>
      <c r="K232" s="66">
        <v>360</v>
      </c>
      <c r="L232" s="66">
        <v>1550</v>
      </c>
      <c r="M232" s="164">
        <v>27.126303092149371</v>
      </c>
      <c r="N232" s="78">
        <v>1521.8577270287999</v>
      </c>
      <c r="O232" s="113">
        <v>49626.227415856061</v>
      </c>
      <c r="P232" s="111">
        <v>59722.814983743825</v>
      </c>
      <c r="Q232" s="110">
        <v>23508.431009095038</v>
      </c>
      <c r="R232" s="263">
        <v>73134.658424951107</v>
      </c>
      <c r="S232" s="259">
        <v>83231.245992838871</v>
      </c>
      <c r="U232" s="7" t="s">
        <v>5339</v>
      </c>
    </row>
    <row r="233" spans="1:21" ht="16.5" thickBot="1">
      <c r="A233" s="1188" t="s">
        <v>4533</v>
      </c>
      <c r="B233" s="1189">
        <f t="shared" si="12"/>
        <v>150</v>
      </c>
      <c r="C233" s="1189" t="s">
        <v>3</v>
      </c>
      <c r="D233" s="1189">
        <f t="shared" si="13"/>
        <v>360</v>
      </c>
      <c r="E233" s="1189" t="s">
        <v>3</v>
      </c>
      <c r="F233" s="1190">
        <f t="shared" si="14"/>
        <v>1600</v>
      </c>
      <c r="G233" s="1189" t="s">
        <v>3</v>
      </c>
      <c r="H233" s="1189">
        <v>4</v>
      </c>
      <c r="I233" s="1191" t="s">
        <v>40</v>
      </c>
      <c r="J233" s="149">
        <v>150</v>
      </c>
      <c r="K233" s="66">
        <v>360</v>
      </c>
      <c r="L233" s="66">
        <v>1600</v>
      </c>
      <c r="M233" s="164">
        <v>27.920021784357068</v>
      </c>
      <c r="N233" s="78">
        <v>1585.268465655</v>
      </c>
      <c r="O233" s="113">
        <v>50862.319714613492</v>
      </c>
      <c r="P233" s="111">
        <v>61205.003551712325</v>
      </c>
      <c r="Q233" s="110">
        <v>24111.851893333227</v>
      </c>
      <c r="R233" s="263">
        <v>74974.171607946715</v>
      </c>
      <c r="S233" s="259">
        <v>85316.855445045556</v>
      </c>
      <c r="U233" s="7" t="s">
        <v>5340</v>
      </c>
    </row>
    <row r="234" spans="1:21" ht="16.5" thickBot="1">
      <c r="A234" s="1188" t="s">
        <v>4533</v>
      </c>
      <c r="B234" s="1192">
        <f t="shared" si="12"/>
        <v>150</v>
      </c>
      <c r="C234" s="1192" t="s">
        <v>3</v>
      </c>
      <c r="D234" s="1192">
        <f t="shared" si="13"/>
        <v>360</v>
      </c>
      <c r="E234" s="1192" t="s">
        <v>3</v>
      </c>
      <c r="F234" s="1190">
        <f t="shared" si="14"/>
        <v>1650</v>
      </c>
      <c r="G234" s="1192" t="s">
        <v>3</v>
      </c>
      <c r="H234" s="1189">
        <v>4</v>
      </c>
      <c r="I234" s="1191" t="s">
        <v>40</v>
      </c>
      <c r="J234" s="149">
        <v>150</v>
      </c>
      <c r="K234" s="66">
        <v>360</v>
      </c>
      <c r="L234" s="66">
        <v>1650</v>
      </c>
      <c r="M234" s="164">
        <v>28.713740476564766</v>
      </c>
      <c r="N234" s="78">
        <v>1648.6792042812001</v>
      </c>
      <c r="O234" s="113">
        <v>52098.412166399685</v>
      </c>
      <c r="P234" s="111">
        <v>62687.191966652063</v>
      </c>
      <c r="Q234" s="110">
        <v>24966.606915355183</v>
      </c>
      <c r="R234" s="263">
        <v>77065.019081754872</v>
      </c>
      <c r="S234" s="259">
        <v>87653.79888200725</v>
      </c>
      <c r="U234" s="7" t="s">
        <v>5341</v>
      </c>
    </row>
    <row r="235" spans="1:21" ht="16.5" thickBot="1">
      <c r="A235" s="1188" t="s">
        <v>4533</v>
      </c>
      <c r="B235" s="1192">
        <f t="shared" si="12"/>
        <v>150</v>
      </c>
      <c r="C235" s="1192" t="s">
        <v>3</v>
      </c>
      <c r="D235" s="1192">
        <f t="shared" si="13"/>
        <v>360</v>
      </c>
      <c r="E235" s="1192" t="s">
        <v>3</v>
      </c>
      <c r="F235" s="1190">
        <f t="shared" si="14"/>
        <v>1700</v>
      </c>
      <c r="G235" s="1192" t="s">
        <v>3</v>
      </c>
      <c r="H235" s="1189">
        <v>4</v>
      </c>
      <c r="I235" s="1191" t="s">
        <v>40</v>
      </c>
      <c r="J235" s="149">
        <v>150</v>
      </c>
      <c r="K235" s="66">
        <v>360</v>
      </c>
      <c r="L235" s="66">
        <v>1700</v>
      </c>
      <c r="M235" s="164">
        <v>29.507459168772463</v>
      </c>
      <c r="N235" s="78">
        <v>1712.0899429074</v>
      </c>
      <c r="O235" s="113">
        <v>53334.504465157122</v>
      </c>
      <c r="P235" s="111">
        <v>64169.380381591785</v>
      </c>
      <c r="Q235" s="110">
        <v>25570.027799593372</v>
      </c>
      <c r="R235" s="263">
        <v>78904.532264750495</v>
      </c>
      <c r="S235" s="259">
        <v>89739.408181185165</v>
      </c>
      <c r="U235" s="7" t="s">
        <v>5342</v>
      </c>
    </row>
    <row r="236" spans="1:21" ht="16.5" thickBot="1">
      <c r="A236" s="1188" t="s">
        <v>4533</v>
      </c>
      <c r="B236" s="1192">
        <f t="shared" si="12"/>
        <v>150</v>
      </c>
      <c r="C236" s="1192" t="s">
        <v>3</v>
      </c>
      <c r="D236" s="1192">
        <f t="shared" si="13"/>
        <v>360</v>
      </c>
      <c r="E236" s="1192" t="s">
        <v>3</v>
      </c>
      <c r="F236" s="1190">
        <f t="shared" si="14"/>
        <v>1750</v>
      </c>
      <c r="G236" s="1192" t="s">
        <v>3</v>
      </c>
      <c r="H236" s="1189">
        <v>4</v>
      </c>
      <c r="I236" s="1191" t="s">
        <v>40</v>
      </c>
      <c r="J236" s="149">
        <v>150</v>
      </c>
      <c r="K236" s="66">
        <v>360</v>
      </c>
      <c r="L236" s="66">
        <v>1750</v>
      </c>
      <c r="M236" s="164">
        <v>30.301177860980161</v>
      </c>
      <c r="N236" s="78">
        <v>1775.5006815335998</v>
      </c>
      <c r="O236" s="113">
        <v>54570.596763914546</v>
      </c>
      <c r="P236" s="111">
        <v>65651.5689495603</v>
      </c>
      <c r="Q236" s="110">
        <v>26424.782821615332</v>
      </c>
      <c r="R236" s="263">
        <v>80995.379585529881</v>
      </c>
      <c r="S236" s="259">
        <v>92076.351771175629</v>
      </c>
      <c r="U236" s="7" t="s">
        <v>5343</v>
      </c>
    </row>
    <row r="237" spans="1:21" ht="16.5" thickBot="1">
      <c r="A237" s="1188" t="s">
        <v>4533</v>
      </c>
      <c r="B237" s="1192">
        <f t="shared" si="12"/>
        <v>150</v>
      </c>
      <c r="C237" s="1192" t="s">
        <v>3</v>
      </c>
      <c r="D237" s="1192">
        <f t="shared" si="13"/>
        <v>360</v>
      </c>
      <c r="E237" s="1192" t="s">
        <v>3</v>
      </c>
      <c r="F237" s="1190">
        <f t="shared" si="14"/>
        <v>1800</v>
      </c>
      <c r="G237" s="1192" t="s">
        <v>3</v>
      </c>
      <c r="H237" s="1189">
        <v>4</v>
      </c>
      <c r="I237" s="1191" t="s">
        <v>40</v>
      </c>
      <c r="J237" s="149">
        <v>150</v>
      </c>
      <c r="K237" s="66">
        <v>360</v>
      </c>
      <c r="L237" s="66">
        <v>1800</v>
      </c>
      <c r="M237" s="164">
        <v>31.094896553187859</v>
      </c>
      <c r="N237" s="78">
        <v>1838.9114201597999</v>
      </c>
      <c r="O237" s="113">
        <v>55806.689215700739</v>
      </c>
      <c r="P237" s="111">
        <v>67133.757364500023</v>
      </c>
      <c r="Q237" s="110">
        <v>27028.203705853517</v>
      </c>
      <c r="R237" s="263">
        <v>82834.892921554259</v>
      </c>
      <c r="S237" s="259">
        <v>94161.961070353544</v>
      </c>
      <c r="U237" s="7" t="s">
        <v>5344</v>
      </c>
    </row>
    <row r="238" spans="1:21" ht="16.5" thickBot="1">
      <c r="A238" s="1188" t="s">
        <v>4533</v>
      </c>
      <c r="B238" s="1192">
        <f t="shared" si="12"/>
        <v>150</v>
      </c>
      <c r="C238" s="1192" t="s">
        <v>3</v>
      </c>
      <c r="D238" s="1192">
        <f t="shared" si="13"/>
        <v>360</v>
      </c>
      <c r="E238" s="1192" t="s">
        <v>3</v>
      </c>
      <c r="F238" s="1190">
        <f t="shared" si="14"/>
        <v>1850</v>
      </c>
      <c r="G238" s="1192" t="s">
        <v>3</v>
      </c>
      <c r="H238" s="1189">
        <v>4</v>
      </c>
      <c r="I238" s="1191" t="s">
        <v>40</v>
      </c>
      <c r="J238" s="149">
        <v>150</v>
      </c>
      <c r="K238" s="66">
        <v>360</v>
      </c>
      <c r="L238" s="66">
        <v>1850</v>
      </c>
      <c r="M238" s="164">
        <v>31.888615245395549</v>
      </c>
      <c r="N238" s="78">
        <v>1902.3221587859998</v>
      </c>
      <c r="O238" s="113">
        <v>57042.781514458176</v>
      </c>
      <c r="P238" s="111">
        <v>68615.94577943976</v>
      </c>
      <c r="Q238" s="110">
        <v>27882.958880904247</v>
      </c>
      <c r="R238" s="263">
        <v>84925.740395362431</v>
      </c>
      <c r="S238" s="259">
        <v>96498.904660344007</v>
      </c>
      <c r="U238" s="7" t="s">
        <v>5345</v>
      </c>
    </row>
    <row r="239" spans="1:21" ht="16.5" thickBot="1">
      <c r="A239" s="1188" t="s">
        <v>4533</v>
      </c>
      <c r="B239" s="1192">
        <f t="shared" si="12"/>
        <v>150</v>
      </c>
      <c r="C239" s="1192" t="s">
        <v>3</v>
      </c>
      <c r="D239" s="1192">
        <f t="shared" si="13"/>
        <v>360</v>
      </c>
      <c r="E239" s="1192" t="s">
        <v>3</v>
      </c>
      <c r="F239" s="1190">
        <f t="shared" si="14"/>
        <v>1900</v>
      </c>
      <c r="G239" s="1192" t="s">
        <v>3</v>
      </c>
      <c r="H239" s="1189">
        <v>4</v>
      </c>
      <c r="I239" s="1191" t="s">
        <v>40</v>
      </c>
      <c r="J239" s="149">
        <v>150</v>
      </c>
      <c r="K239" s="66">
        <v>360</v>
      </c>
      <c r="L239" s="66">
        <v>1900</v>
      </c>
      <c r="M239" s="164">
        <v>32.682333937603246</v>
      </c>
      <c r="N239" s="78">
        <v>1965.7328974121999</v>
      </c>
      <c r="O239" s="113">
        <v>58278.8738132156</v>
      </c>
      <c r="P239" s="111">
        <v>70098.134347408268</v>
      </c>
      <c r="Q239" s="110">
        <v>28486.379765142432</v>
      </c>
      <c r="R239" s="263">
        <v>86765.253578358039</v>
      </c>
      <c r="S239" s="259">
        <v>98584.514112550707</v>
      </c>
      <c r="U239" s="7" t="s">
        <v>5346</v>
      </c>
    </row>
    <row r="240" spans="1:21" ht="16.5" thickBot="1">
      <c r="A240" s="1188" t="s">
        <v>4533</v>
      </c>
      <c r="B240" s="1192">
        <f t="shared" si="12"/>
        <v>150</v>
      </c>
      <c r="C240" s="1192" t="s">
        <v>3</v>
      </c>
      <c r="D240" s="1192">
        <f t="shared" si="13"/>
        <v>360</v>
      </c>
      <c r="E240" s="1192" t="s">
        <v>3</v>
      </c>
      <c r="F240" s="1190">
        <f t="shared" si="14"/>
        <v>1950</v>
      </c>
      <c r="G240" s="1192" t="s">
        <v>3</v>
      </c>
      <c r="H240" s="1189">
        <v>4</v>
      </c>
      <c r="I240" s="1191" t="s">
        <v>40</v>
      </c>
      <c r="J240" s="149">
        <v>150</v>
      </c>
      <c r="K240" s="66">
        <v>360</v>
      </c>
      <c r="L240" s="66">
        <v>1950</v>
      </c>
      <c r="M240" s="164">
        <v>33.476052629810951</v>
      </c>
      <c r="N240" s="78">
        <v>2029.1436360384</v>
      </c>
      <c r="O240" s="113">
        <v>59514.966111973037</v>
      </c>
      <c r="P240" s="111">
        <v>71580.322762348005</v>
      </c>
      <c r="Q240" s="110">
        <v>29089.800649380621</v>
      </c>
      <c r="R240" s="263">
        <v>88604.766761353661</v>
      </c>
      <c r="S240" s="259">
        <v>100670.12341172862</v>
      </c>
      <c r="U240" s="7" t="s">
        <v>5347</v>
      </c>
    </row>
    <row r="241" spans="1:21" ht="16.5" thickBot="1">
      <c r="A241" s="1188" t="s">
        <v>4533</v>
      </c>
      <c r="B241" s="1192">
        <f t="shared" si="12"/>
        <v>150</v>
      </c>
      <c r="C241" s="1192" t="s">
        <v>3</v>
      </c>
      <c r="D241" s="1192">
        <f t="shared" si="13"/>
        <v>360</v>
      </c>
      <c r="E241" s="1192" t="s">
        <v>3</v>
      </c>
      <c r="F241" s="1190">
        <f t="shared" si="14"/>
        <v>2000</v>
      </c>
      <c r="G241" s="1192" t="s">
        <v>3</v>
      </c>
      <c r="H241" s="1189">
        <v>4</v>
      </c>
      <c r="I241" s="1191" t="s">
        <v>40</v>
      </c>
      <c r="J241" s="149">
        <v>150</v>
      </c>
      <c r="K241" s="66">
        <v>360</v>
      </c>
      <c r="L241" s="66">
        <v>2000</v>
      </c>
      <c r="M241" s="164">
        <v>34.410236122018645</v>
      </c>
      <c r="N241" s="78">
        <v>2092.5543746645999</v>
      </c>
      <c r="O241" s="113">
        <v>61259.034182958829</v>
      </c>
      <c r="P241" s="111">
        <v>73244.994919124001</v>
      </c>
      <c r="Q241" s="110">
        <v>29944.555671402581</v>
      </c>
      <c r="R241" s="263">
        <v>91203.589854361402</v>
      </c>
      <c r="S241" s="259">
        <v>103189.55059052657</v>
      </c>
      <c r="U241" s="7" t="s">
        <v>5348</v>
      </c>
    </row>
    <row r="242" spans="1:21" ht="16.5" thickBot="1">
      <c r="A242" s="1188" t="s">
        <v>4533</v>
      </c>
      <c r="B242" s="1192">
        <f t="shared" si="12"/>
        <v>150</v>
      </c>
      <c r="C242" s="1192" t="s">
        <v>3</v>
      </c>
      <c r="D242" s="1192">
        <f t="shared" si="13"/>
        <v>360</v>
      </c>
      <c r="E242" s="1192" t="s">
        <v>3</v>
      </c>
      <c r="F242" s="1190">
        <f t="shared" si="14"/>
        <v>2050</v>
      </c>
      <c r="G242" s="1192" t="s">
        <v>3</v>
      </c>
      <c r="H242" s="1189">
        <v>4</v>
      </c>
      <c r="I242" s="1191" t="s">
        <v>40</v>
      </c>
      <c r="J242" s="149">
        <v>150</v>
      </c>
      <c r="K242" s="66">
        <v>360</v>
      </c>
      <c r="L242" s="66">
        <v>2050</v>
      </c>
      <c r="M242" s="164">
        <v>35.20395481422635</v>
      </c>
      <c r="N242" s="78">
        <v>2155.9651132907998</v>
      </c>
      <c r="O242" s="113">
        <v>62495.126481716259</v>
      </c>
      <c r="P242" s="111">
        <v>74727.183487092494</v>
      </c>
      <c r="Q242" s="110">
        <v>30547.976555640766</v>
      </c>
      <c r="R242" s="263">
        <v>93043.103037357025</v>
      </c>
      <c r="S242" s="259">
        <v>105275.16004273326</v>
      </c>
      <c r="U242" s="7" t="s">
        <v>5349</v>
      </c>
    </row>
    <row r="243" spans="1:21" ht="16.5" thickBot="1">
      <c r="A243" s="1188" t="s">
        <v>4533</v>
      </c>
      <c r="B243" s="1189">
        <f t="shared" si="12"/>
        <v>150</v>
      </c>
      <c r="C243" s="1189" t="s">
        <v>3</v>
      </c>
      <c r="D243" s="1189">
        <f t="shared" si="13"/>
        <v>360</v>
      </c>
      <c r="E243" s="1189" t="s">
        <v>3</v>
      </c>
      <c r="F243" s="1190">
        <f t="shared" si="14"/>
        <v>2100</v>
      </c>
      <c r="G243" s="1189" t="s">
        <v>3</v>
      </c>
      <c r="H243" s="1189">
        <v>4</v>
      </c>
      <c r="I243" s="1191" t="s">
        <v>40</v>
      </c>
      <c r="J243" s="149">
        <v>150</v>
      </c>
      <c r="K243" s="66">
        <v>360</v>
      </c>
      <c r="L243" s="66">
        <v>2100</v>
      </c>
      <c r="M243" s="164">
        <v>35.99767350643404</v>
      </c>
      <c r="N243" s="78">
        <v>2219.3758519170001</v>
      </c>
      <c r="O243" s="113">
        <v>63731.21893350246</v>
      </c>
      <c r="P243" s="111">
        <v>76209.371902032231</v>
      </c>
      <c r="Q243" s="110">
        <v>31402.731577662726</v>
      </c>
      <c r="R243" s="263">
        <v>95133.950511165182</v>
      </c>
      <c r="S243" s="259">
        <v>107612.10347969495</v>
      </c>
      <c r="U243" s="7" t="s">
        <v>5350</v>
      </c>
    </row>
    <row r="244" spans="1:21" ht="16.5" thickBot="1">
      <c r="A244" s="1188" t="s">
        <v>4533</v>
      </c>
      <c r="B244" s="1192">
        <f t="shared" si="12"/>
        <v>150</v>
      </c>
      <c r="C244" s="1192" t="s">
        <v>3</v>
      </c>
      <c r="D244" s="1192">
        <f t="shared" si="13"/>
        <v>360</v>
      </c>
      <c r="E244" s="1192" t="s">
        <v>3</v>
      </c>
      <c r="F244" s="1190">
        <f t="shared" si="14"/>
        <v>2150</v>
      </c>
      <c r="G244" s="1192" t="s">
        <v>3</v>
      </c>
      <c r="H244" s="1189">
        <v>4</v>
      </c>
      <c r="I244" s="1191" t="s">
        <v>40</v>
      </c>
      <c r="J244" s="149">
        <v>150</v>
      </c>
      <c r="K244" s="66">
        <v>360</v>
      </c>
      <c r="L244" s="66">
        <v>2150</v>
      </c>
      <c r="M244" s="164">
        <v>36.791392198641745</v>
      </c>
      <c r="N244" s="78">
        <v>2282.7865905432</v>
      </c>
      <c r="O244" s="113">
        <v>64967.311232259883</v>
      </c>
      <c r="P244" s="111">
        <v>77691.560316971969</v>
      </c>
      <c r="Q244" s="110">
        <v>32006.152461900914</v>
      </c>
      <c r="R244" s="263">
        <v>96973.463694160804</v>
      </c>
      <c r="S244" s="259">
        <v>109697.71277887288</v>
      </c>
      <c r="U244" s="7" t="s">
        <v>5351</v>
      </c>
    </row>
    <row r="245" spans="1:21" ht="16.5" thickBot="1">
      <c r="A245" s="1188" t="s">
        <v>4533</v>
      </c>
      <c r="B245" s="1192">
        <f t="shared" si="12"/>
        <v>150</v>
      </c>
      <c r="C245" s="1192" t="s">
        <v>3</v>
      </c>
      <c r="D245" s="1192">
        <f t="shared" si="13"/>
        <v>360</v>
      </c>
      <c r="E245" s="1192" t="s">
        <v>3</v>
      </c>
      <c r="F245" s="1190">
        <f t="shared" si="14"/>
        <v>2200</v>
      </c>
      <c r="G245" s="1192" t="s">
        <v>3</v>
      </c>
      <c r="H245" s="1189">
        <v>4</v>
      </c>
      <c r="I245" s="1191" t="s">
        <v>40</v>
      </c>
      <c r="J245" s="149">
        <v>150</v>
      </c>
      <c r="K245" s="66">
        <v>360</v>
      </c>
      <c r="L245" s="66">
        <v>2200</v>
      </c>
      <c r="M245" s="164">
        <v>37.585110890849442</v>
      </c>
      <c r="N245" s="78">
        <v>2346.1973291693998</v>
      </c>
      <c r="O245" s="113">
        <v>66203.40353101732</v>
      </c>
      <c r="P245" s="111">
        <v>79173.748884940476</v>
      </c>
      <c r="Q245" s="110">
        <v>32860.907483922878</v>
      </c>
      <c r="R245" s="263">
        <v>99064.311014940205</v>
      </c>
      <c r="S245" s="259">
        <v>112034.65636886336</v>
      </c>
      <c r="U245" s="7" t="s">
        <v>5352</v>
      </c>
    </row>
    <row r="246" spans="1:21" ht="16.5" thickBot="1">
      <c r="A246" s="1188" t="s">
        <v>4533</v>
      </c>
      <c r="B246" s="1192">
        <f t="shared" si="12"/>
        <v>150</v>
      </c>
      <c r="C246" s="1192" t="s">
        <v>3</v>
      </c>
      <c r="D246" s="1192">
        <f t="shared" si="13"/>
        <v>360</v>
      </c>
      <c r="E246" s="1192" t="s">
        <v>3</v>
      </c>
      <c r="F246" s="1190">
        <f t="shared" si="14"/>
        <v>2250</v>
      </c>
      <c r="G246" s="1192" t="s">
        <v>3</v>
      </c>
      <c r="H246" s="1189">
        <v>4</v>
      </c>
      <c r="I246" s="1191" t="s">
        <v>40</v>
      </c>
      <c r="J246" s="149">
        <v>150</v>
      </c>
      <c r="K246" s="66">
        <v>360</v>
      </c>
      <c r="L246" s="66">
        <v>2250</v>
      </c>
      <c r="M246" s="164">
        <v>38.37882958305714</v>
      </c>
      <c r="N246" s="78">
        <v>2409.6080677955997</v>
      </c>
      <c r="O246" s="113">
        <v>67439.495829774751</v>
      </c>
      <c r="P246" s="111">
        <v>80655.937299880214</v>
      </c>
      <c r="Q246" s="110">
        <v>33464.328368161063</v>
      </c>
      <c r="R246" s="263">
        <v>100903.82419793581</v>
      </c>
      <c r="S246" s="259">
        <v>114120.26566804128</v>
      </c>
      <c r="U246" s="7" t="s">
        <v>5353</v>
      </c>
    </row>
    <row r="247" spans="1:21" ht="16.5" thickBot="1">
      <c r="A247" s="1188" t="s">
        <v>4533</v>
      </c>
      <c r="B247" s="1192">
        <f t="shared" si="12"/>
        <v>150</v>
      </c>
      <c r="C247" s="1192" t="s">
        <v>3</v>
      </c>
      <c r="D247" s="1192">
        <f t="shared" si="13"/>
        <v>360</v>
      </c>
      <c r="E247" s="1192" t="s">
        <v>3</v>
      </c>
      <c r="F247" s="1190">
        <f t="shared" si="14"/>
        <v>2300</v>
      </c>
      <c r="G247" s="1192" t="s">
        <v>3</v>
      </c>
      <c r="H247" s="1189">
        <v>4</v>
      </c>
      <c r="I247" s="1191" t="s">
        <v>40</v>
      </c>
      <c r="J247" s="149">
        <v>150</v>
      </c>
      <c r="K247" s="66">
        <v>360</v>
      </c>
      <c r="L247" s="66">
        <v>2300</v>
      </c>
      <c r="M247" s="164">
        <v>39.17254827526483</v>
      </c>
      <c r="N247" s="78">
        <v>2473.0188064218</v>
      </c>
      <c r="O247" s="113">
        <v>68675.588281560937</v>
      </c>
      <c r="P247" s="111">
        <v>82138.125714819951</v>
      </c>
      <c r="Q247" s="110">
        <v>34067.749252399248</v>
      </c>
      <c r="R247" s="263">
        <v>102743.33753396018</v>
      </c>
      <c r="S247" s="259">
        <v>116205.87496721919</v>
      </c>
      <c r="U247" s="7" t="s">
        <v>5354</v>
      </c>
    </row>
    <row r="248" spans="1:21" ht="16.5" thickBot="1">
      <c r="A248" s="1188" t="s">
        <v>4533</v>
      </c>
      <c r="B248" s="1192">
        <f t="shared" si="12"/>
        <v>150</v>
      </c>
      <c r="C248" s="1192" t="s">
        <v>3</v>
      </c>
      <c r="D248" s="1192">
        <f t="shared" si="13"/>
        <v>360</v>
      </c>
      <c r="E248" s="1192" t="s">
        <v>3</v>
      </c>
      <c r="F248" s="1190">
        <f t="shared" si="14"/>
        <v>2350</v>
      </c>
      <c r="G248" s="1192" t="s">
        <v>3</v>
      </c>
      <c r="H248" s="1189">
        <v>4</v>
      </c>
      <c r="I248" s="1191" t="s">
        <v>40</v>
      </c>
      <c r="J248" s="149">
        <v>150</v>
      </c>
      <c r="K248" s="66">
        <v>360</v>
      </c>
      <c r="L248" s="66">
        <v>2350</v>
      </c>
      <c r="M248" s="164">
        <v>39.966266967472535</v>
      </c>
      <c r="N248" s="78">
        <v>2536.4295450479999</v>
      </c>
      <c r="O248" s="113">
        <v>69911.680580318367</v>
      </c>
      <c r="P248" s="111">
        <v>83620.314282788444</v>
      </c>
      <c r="Q248" s="110">
        <v>34922.504274421211</v>
      </c>
      <c r="R248" s="263">
        <v>104834.18485473958</v>
      </c>
      <c r="S248" s="259">
        <v>118542.81855720966</v>
      </c>
      <c r="U248" s="7" t="s">
        <v>5355</v>
      </c>
    </row>
    <row r="249" spans="1:21" ht="16.5" thickBot="1">
      <c r="A249" s="1188" t="s">
        <v>4533</v>
      </c>
      <c r="B249" s="1192">
        <f t="shared" si="12"/>
        <v>150</v>
      </c>
      <c r="C249" s="1192" t="s">
        <v>3</v>
      </c>
      <c r="D249" s="1192">
        <f t="shared" si="13"/>
        <v>360</v>
      </c>
      <c r="E249" s="1192" t="s">
        <v>3</v>
      </c>
      <c r="F249" s="1190">
        <f t="shared" si="14"/>
        <v>2400</v>
      </c>
      <c r="G249" s="1192" t="s">
        <v>3</v>
      </c>
      <c r="H249" s="1189">
        <v>4</v>
      </c>
      <c r="I249" s="1191" t="s">
        <v>40</v>
      </c>
      <c r="J249" s="149">
        <v>150</v>
      </c>
      <c r="K249" s="66">
        <v>360</v>
      </c>
      <c r="L249" s="66">
        <v>2400</v>
      </c>
      <c r="M249" s="164">
        <v>40.759985659680218</v>
      </c>
      <c r="N249" s="78">
        <v>2599.8402836741998</v>
      </c>
      <c r="O249" s="113">
        <v>71147.772879075797</v>
      </c>
      <c r="P249" s="111">
        <v>85102.502697728181</v>
      </c>
      <c r="Q249" s="110">
        <v>35525.925158659396</v>
      </c>
      <c r="R249" s="263">
        <v>106673.69803773519</v>
      </c>
      <c r="S249" s="259">
        <v>120628.42785638757</v>
      </c>
      <c r="U249" s="7" t="s">
        <v>5356</v>
      </c>
    </row>
    <row r="250" spans="1:21" ht="16.5" thickBot="1">
      <c r="A250" s="1188" t="s">
        <v>4533</v>
      </c>
      <c r="B250" s="1192">
        <f t="shared" si="12"/>
        <v>150</v>
      </c>
      <c r="C250" s="1192" t="s">
        <v>3</v>
      </c>
      <c r="D250" s="1192">
        <f t="shared" si="13"/>
        <v>360</v>
      </c>
      <c r="E250" s="1192" t="s">
        <v>3</v>
      </c>
      <c r="F250" s="1190">
        <f t="shared" si="14"/>
        <v>2450</v>
      </c>
      <c r="G250" s="1192" t="s">
        <v>3</v>
      </c>
      <c r="H250" s="1189">
        <v>4</v>
      </c>
      <c r="I250" s="1191" t="s">
        <v>40</v>
      </c>
      <c r="J250" s="149">
        <v>150</v>
      </c>
      <c r="K250" s="66">
        <v>360</v>
      </c>
      <c r="L250" s="66">
        <v>2450</v>
      </c>
      <c r="M250" s="164">
        <v>41.55370435188793</v>
      </c>
      <c r="N250" s="78">
        <v>2663.2510223004001</v>
      </c>
      <c r="O250" s="113">
        <v>72383.865177833228</v>
      </c>
      <c r="P250" s="111">
        <v>86584.691265696689</v>
      </c>
      <c r="Q250" s="110">
        <v>36380.680180681353</v>
      </c>
      <c r="R250" s="263">
        <v>108764.54535851459</v>
      </c>
      <c r="S250" s="259">
        <v>122965.37144637803</v>
      </c>
      <c r="U250" s="7" t="s">
        <v>5357</v>
      </c>
    </row>
    <row r="251" spans="1:21" ht="16.5" thickBot="1">
      <c r="A251" s="1188" t="s">
        <v>4533</v>
      </c>
      <c r="B251" s="1192">
        <f t="shared" si="12"/>
        <v>150</v>
      </c>
      <c r="C251" s="1192" t="s">
        <v>3</v>
      </c>
      <c r="D251" s="1192">
        <f t="shared" si="13"/>
        <v>360</v>
      </c>
      <c r="E251" s="1192" t="s">
        <v>3</v>
      </c>
      <c r="F251" s="1190">
        <f t="shared" si="14"/>
        <v>2500</v>
      </c>
      <c r="G251" s="1192" t="s">
        <v>3</v>
      </c>
      <c r="H251" s="1189">
        <v>4</v>
      </c>
      <c r="I251" s="1191" t="s">
        <v>40</v>
      </c>
      <c r="J251" s="149">
        <v>150</v>
      </c>
      <c r="K251" s="66">
        <v>360</v>
      </c>
      <c r="L251" s="66">
        <v>2500</v>
      </c>
      <c r="M251" s="164">
        <v>42.873542644095622</v>
      </c>
      <c r="N251" s="78">
        <v>2726.6617609266</v>
      </c>
      <c r="O251" s="113">
        <v>74625.847379740429</v>
      </c>
      <c r="P251" s="111">
        <v>89439.139423062326</v>
      </c>
      <c r="Q251" s="110">
        <v>36984.101064919538</v>
      </c>
      <c r="R251" s="263">
        <v>111609.94844465997</v>
      </c>
      <c r="S251" s="259">
        <v>126423.24048798186</v>
      </c>
      <c r="U251" s="7" t="s">
        <v>5358</v>
      </c>
    </row>
    <row r="252" spans="1:21" ht="16.5" thickBot="1">
      <c r="A252" s="1188" t="s">
        <v>4533</v>
      </c>
      <c r="B252" s="1192">
        <f t="shared" si="12"/>
        <v>150</v>
      </c>
      <c r="C252" s="1192" t="s">
        <v>3</v>
      </c>
      <c r="D252" s="1192">
        <f t="shared" si="13"/>
        <v>360</v>
      </c>
      <c r="E252" s="1192" t="s">
        <v>3</v>
      </c>
      <c r="F252" s="1190">
        <f t="shared" si="14"/>
        <v>2550</v>
      </c>
      <c r="G252" s="1192" t="s">
        <v>3</v>
      </c>
      <c r="H252" s="1189">
        <v>4</v>
      </c>
      <c r="I252" s="1191" t="s">
        <v>40</v>
      </c>
      <c r="J252" s="149">
        <v>150</v>
      </c>
      <c r="K252" s="66">
        <v>360</v>
      </c>
      <c r="L252" s="66">
        <v>2550</v>
      </c>
      <c r="M252" s="164">
        <v>43.667261336303326</v>
      </c>
      <c r="N252" s="78">
        <v>2790.0724995528003</v>
      </c>
      <c r="O252" s="113">
        <v>76257.82478781871</v>
      </c>
      <c r="P252" s="111">
        <v>90936.630714514555</v>
      </c>
      <c r="Q252" s="110">
        <v>37838.856239970264</v>
      </c>
      <c r="R252" s="263">
        <v>114096.68102778897</v>
      </c>
      <c r="S252" s="259">
        <v>128775.48695448482</v>
      </c>
      <c r="U252" s="7" t="s">
        <v>5359</v>
      </c>
    </row>
    <row r="253" spans="1:21" ht="16.5" thickBot="1">
      <c r="A253" s="1188" t="s">
        <v>4533</v>
      </c>
      <c r="B253" s="1189">
        <f t="shared" si="12"/>
        <v>150</v>
      </c>
      <c r="C253" s="1189" t="s">
        <v>3</v>
      </c>
      <c r="D253" s="1189">
        <f t="shared" si="13"/>
        <v>360</v>
      </c>
      <c r="E253" s="1189" t="s">
        <v>3</v>
      </c>
      <c r="F253" s="1190">
        <f t="shared" si="14"/>
        <v>2600</v>
      </c>
      <c r="G253" s="1189" t="s">
        <v>3</v>
      </c>
      <c r="H253" s="1189">
        <v>4</v>
      </c>
      <c r="I253" s="1191" t="s">
        <v>40</v>
      </c>
      <c r="J253" s="149">
        <v>150</v>
      </c>
      <c r="K253" s="66">
        <v>360</v>
      </c>
      <c r="L253" s="66">
        <v>2600</v>
      </c>
      <c r="M253" s="164">
        <v>44.460980028511017</v>
      </c>
      <c r="N253" s="78">
        <v>2853.4832381789997</v>
      </c>
      <c r="O253" s="113">
        <v>77493.917239604896</v>
      </c>
      <c r="P253" s="111">
        <v>92418.819282483062</v>
      </c>
      <c r="Q253" s="110">
        <v>38442.277124208456</v>
      </c>
      <c r="R253" s="263">
        <v>115936.19436381335</v>
      </c>
      <c r="S253" s="259">
        <v>130861.09640669152</v>
      </c>
      <c r="U253" s="7" t="s">
        <v>5360</v>
      </c>
    </row>
    <row r="254" spans="1:21" ht="16.5" thickBot="1">
      <c r="A254" s="1188" t="s">
        <v>4533</v>
      </c>
      <c r="B254" s="1192">
        <f t="shared" si="12"/>
        <v>150</v>
      </c>
      <c r="C254" s="1192" t="s">
        <v>3</v>
      </c>
      <c r="D254" s="1192">
        <f t="shared" si="13"/>
        <v>360</v>
      </c>
      <c r="E254" s="1192" t="s">
        <v>3</v>
      </c>
      <c r="F254" s="1190">
        <f t="shared" si="14"/>
        <v>2650</v>
      </c>
      <c r="G254" s="1192" t="s">
        <v>3</v>
      </c>
      <c r="H254" s="1189">
        <v>4</v>
      </c>
      <c r="I254" s="1191" t="s">
        <v>40</v>
      </c>
      <c r="J254" s="149">
        <v>150</v>
      </c>
      <c r="K254" s="66">
        <v>360</v>
      </c>
      <c r="L254" s="66">
        <v>2650</v>
      </c>
      <c r="M254" s="164">
        <v>45.254698720718714</v>
      </c>
      <c r="N254" s="78">
        <v>2916.8939768051996</v>
      </c>
      <c r="O254" s="113">
        <v>78730.009538362327</v>
      </c>
      <c r="P254" s="111">
        <v>93901.007697422785</v>
      </c>
      <c r="Q254" s="110">
        <v>39297.032146230413</v>
      </c>
      <c r="R254" s="263">
        <v>118027.04168459274</v>
      </c>
      <c r="S254" s="259">
        <v>133198.03984365321</v>
      </c>
      <c r="U254" s="7" t="s">
        <v>5361</v>
      </c>
    </row>
    <row r="255" spans="1:21" ht="16.5" thickBot="1">
      <c r="A255" s="1188" t="s">
        <v>4533</v>
      </c>
      <c r="B255" s="1192">
        <f t="shared" si="12"/>
        <v>150</v>
      </c>
      <c r="C255" s="1192" t="s">
        <v>3</v>
      </c>
      <c r="D255" s="1192">
        <f t="shared" si="13"/>
        <v>360</v>
      </c>
      <c r="E255" s="1192" t="s">
        <v>3</v>
      </c>
      <c r="F255" s="1190">
        <f t="shared" si="14"/>
        <v>2700</v>
      </c>
      <c r="G255" s="1192" t="s">
        <v>3</v>
      </c>
      <c r="H255" s="1189">
        <v>4</v>
      </c>
      <c r="I255" s="1191" t="s">
        <v>40</v>
      </c>
      <c r="J255" s="149">
        <v>150</v>
      </c>
      <c r="K255" s="66">
        <v>360</v>
      </c>
      <c r="L255" s="66">
        <v>2700</v>
      </c>
      <c r="M255" s="164">
        <v>46.048417412926412</v>
      </c>
      <c r="N255" s="78">
        <v>2980.3047154313999</v>
      </c>
      <c r="O255" s="113">
        <v>79966.101837119757</v>
      </c>
      <c r="P255" s="111">
        <v>95383.196112362522</v>
      </c>
      <c r="Q255" s="110">
        <v>39900.453030468605</v>
      </c>
      <c r="R255" s="263">
        <v>119866.55486758836</v>
      </c>
      <c r="S255" s="259">
        <v>135283.64914283113</v>
      </c>
      <c r="U255" s="7" t="s">
        <v>5362</v>
      </c>
    </row>
    <row r="256" spans="1:21" ht="16.5" thickBot="1">
      <c r="A256" s="1188" t="s">
        <v>4533</v>
      </c>
      <c r="B256" s="1192">
        <f t="shared" si="12"/>
        <v>150</v>
      </c>
      <c r="C256" s="1192" t="s">
        <v>3</v>
      </c>
      <c r="D256" s="1192">
        <f t="shared" si="13"/>
        <v>360</v>
      </c>
      <c r="E256" s="1192" t="s">
        <v>3</v>
      </c>
      <c r="F256" s="1190">
        <f t="shared" si="14"/>
        <v>2750</v>
      </c>
      <c r="G256" s="1192" t="s">
        <v>3</v>
      </c>
      <c r="H256" s="1189">
        <v>4</v>
      </c>
      <c r="I256" s="1191" t="s">
        <v>40</v>
      </c>
      <c r="J256" s="149">
        <v>150</v>
      </c>
      <c r="K256" s="66">
        <v>360</v>
      </c>
      <c r="L256" s="66">
        <v>2750</v>
      </c>
      <c r="M256" s="164">
        <v>46.842136105134102</v>
      </c>
      <c r="N256" s="78">
        <v>3043.7154540575998</v>
      </c>
      <c r="O256" s="113">
        <v>81202.194135877187</v>
      </c>
      <c r="P256" s="111">
        <v>96865.384680331015</v>
      </c>
      <c r="Q256" s="110">
        <v>40503.87391470679</v>
      </c>
      <c r="R256" s="263">
        <v>121706.06805058397</v>
      </c>
      <c r="S256" s="259">
        <v>137369.2585950378</v>
      </c>
      <c r="U256" s="7" t="s">
        <v>5363</v>
      </c>
    </row>
    <row r="257" spans="1:21" ht="16.5" thickBot="1">
      <c r="A257" s="1188" t="s">
        <v>4533</v>
      </c>
      <c r="B257" s="1192">
        <f t="shared" si="12"/>
        <v>150</v>
      </c>
      <c r="C257" s="1192" t="s">
        <v>3</v>
      </c>
      <c r="D257" s="1192">
        <f t="shared" si="13"/>
        <v>360</v>
      </c>
      <c r="E257" s="1192" t="s">
        <v>3</v>
      </c>
      <c r="F257" s="1190">
        <f t="shared" si="14"/>
        <v>2800</v>
      </c>
      <c r="G257" s="1192" t="s">
        <v>3</v>
      </c>
      <c r="H257" s="1189">
        <v>4</v>
      </c>
      <c r="I257" s="1191" t="s">
        <v>40</v>
      </c>
      <c r="J257" s="149">
        <v>150</v>
      </c>
      <c r="K257" s="66">
        <v>360</v>
      </c>
      <c r="L257" s="66">
        <v>2800</v>
      </c>
      <c r="M257" s="164">
        <v>47.635854797341821</v>
      </c>
      <c r="N257" s="78">
        <v>3107.1261926838001</v>
      </c>
      <c r="O257" s="113">
        <v>82438.286587663388</v>
      </c>
      <c r="P257" s="111">
        <v>98347.573095270753</v>
      </c>
      <c r="Q257" s="110">
        <v>41358.628936728746</v>
      </c>
      <c r="R257" s="263">
        <v>123796.91552439213</v>
      </c>
      <c r="S257" s="259">
        <v>139706.20203199951</v>
      </c>
      <c r="U257" s="7" t="s">
        <v>5364</v>
      </c>
    </row>
    <row r="258" spans="1:21" ht="16.5" thickBot="1">
      <c r="A258" s="1188" t="s">
        <v>4533</v>
      </c>
      <c r="B258" s="1192">
        <f t="shared" si="12"/>
        <v>150</v>
      </c>
      <c r="C258" s="1192" t="s">
        <v>3</v>
      </c>
      <c r="D258" s="1192">
        <f t="shared" si="13"/>
        <v>360</v>
      </c>
      <c r="E258" s="1192" t="s">
        <v>3</v>
      </c>
      <c r="F258" s="1190">
        <f t="shared" si="14"/>
        <v>2850</v>
      </c>
      <c r="G258" s="1192" t="s">
        <v>3</v>
      </c>
      <c r="H258" s="1189">
        <v>4</v>
      </c>
      <c r="I258" s="1191" t="s">
        <v>40</v>
      </c>
      <c r="J258" s="149">
        <v>150</v>
      </c>
      <c r="K258" s="66">
        <v>360</v>
      </c>
      <c r="L258" s="66">
        <v>2850</v>
      </c>
      <c r="M258" s="164">
        <v>48.429573489549512</v>
      </c>
      <c r="N258" s="78">
        <v>3170.53693131</v>
      </c>
      <c r="O258" s="113">
        <v>83674.378886420818</v>
      </c>
      <c r="P258" s="111">
        <v>99829.76166323926</v>
      </c>
      <c r="Q258" s="110">
        <v>41962.049820966939</v>
      </c>
      <c r="R258" s="263">
        <v>125636.42870738776</v>
      </c>
      <c r="S258" s="259">
        <v>141791.81148420621</v>
      </c>
      <c r="U258" s="7" t="s">
        <v>5365</v>
      </c>
    </row>
    <row r="259" spans="1:21" ht="16.5" thickBot="1">
      <c r="A259" s="1188" t="s">
        <v>4533</v>
      </c>
      <c r="B259" s="1192">
        <f t="shared" si="12"/>
        <v>150</v>
      </c>
      <c r="C259" s="1192" t="s">
        <v>3</v>
      </c>
      <c r="D259" s="1192">
        <f t="shared" si="13"/>
        <v>360</v>
      </c>
      <c r="E259" s="1192" t="s">
        <v>3</v>
      </c>
      <c r="F259" s="1190">
        <f t="shared" si="14"/>
        <v>2900</v>
      </c>
      <c r="G259" s="1192" t="s">
        <v>3</v>
      </c>
      <c r="H259" s="1189">
        <v>4</v>
      </c>
      <c r="I259" s="1191" t="s">
        <v>40</v>
      </c>
      <c r="J259" s="149">
        <v>150</v>
      </c>
      <c r="K259" s="66">
        <v>360</v>
      </c>
      <c r="L259" s="66">
        <v>2900</v>
      </c>
      <c r="M259" s="164">
        <v>49.223292181757202</v>
      </c>
      <c r="N259" s="78">
        <v>3233.9476699361999</v>
      </c>
      <c r="O259" s="113">
        <v>84910.471185178234</v>
      </c>
      <c r="P259" s="111">
        <v>101311.95007817901</v>
      </c>
      <c r="Q259" s="110">
        <v>42816.804842988895</v>
      </c>
      <c r="R259" s="263">
        <v>127727.27602816714</v>
      </c>
      <c r="S259" s="259">
        <v>144128.75492116791</v>
      </c>
      <c r="U259" s="7" t="s">
        <v>5366</v>
      </c>
    </row>
    <row r="260" spans="1:21" ht="16.5" thickBot="1">
      <c r="A260" s="1188" t="s">
        <v>4533</v>
      </c>
      <c r="B260" s="1192">
        <f t="shared" si="12"/>
        <v>150</v>
      </c>
      <c r="C260" s="1192" t="s">
        <v>3</v>
      </c>
      <c r="D260" s="1192">
        <f t="shared" si="13"/>
        <v>360</v>
      </c>
      <c r="E260" s="1192" t="s">
        <v>3</v>
      </c>
      <c r="F260" s="1190">
        <f t="shared" si="14"/>
        <v>2950</v>
      </c>
      <c r="G260" s="1192" t="s">
        <v>3</v>
      </c>
      <c r="H260" s="1189">
        <v>4</v>
      </c>
      <c r="I260" s="1191" t="s">
        <v>40</v>
      </c>
      <c r="J260" s="149">
        <v>150</v>
      </c>
      <c r="K260" s="66">
        <v>360</v>
      </c>
      <c r="L260" s="66">
        <v>2950</v>
      </c>
      <c r="M260" s="164">
        <v>50.017010873964907</v>
      </c>
      <c r="N260" s="78">
        <v>3297.3584085624002</v>
      </c>
      <c r="O260" s="113">
        <v>86146.563636964434</v>
      </c>
      <c r="P260" s="111">
        <v>102794.13849311873</v>
      </c>
      <c r="Q260" s="110">
        <v>43420.22572722708</v>
      </c>
      <c r="R260" s="263">
        <v>129566.78936419151</v>
      </c>
      <c r="S260" s="259">
        <v>146214.3642203458</v>
      </c>
      <c r="U260" s="7" t="s">
        <v>5367</v>
      </c>
    </row>
    <row r="261" spans="1:21" ht="16.5" thickBot="1">
      <c r="A261" s="1188" t="s">
        <v>4533</v>
      </c>
      <c r="B261" s="1194">
        <f t="shared" si="12"/>
        <v>150</v>
      </c>
      <c r="C261" s="1194" t="s">
        <v>3</v>
      </c>
      <c r="D261" s="1194">
        <f t="shared" si="13"/>
        <v>360</v>
      </c>
      <c r="E261" s="1194" t="s">
        <v>3</v>
      </c>
      <c r="F261" s="1195">
        <f t="shared" si="14"/>
        <v>3000</v>
      </c>
      <c r="G261" s="1194" t="s">
        <v>3</v>
      </c>
      <c r="H261" s="1189">
        <v>4</v>
      </c>
      <c r="I261" s="1191" t="s">
        <v>40</v>
      </c>
      <c r="J261" s="151">
        <v>150</v>
      </c>
      <c r="K261" s="126">
        <v>360</v>
      </c>
      <c r="L261" s="126">
        <v>3000</v>
      </c>
      <c r="M261" s="171">
        <v>51.091659166172597</v>
      </c>
      <c r="N261" s="127">
        <v>3360.7691471885996</v>
      </c>
      <c r="O261" s="128">
        <v>87670.007229722993</v>
      </c>
      <c r="P261" s="135">
        <v>104563.67835508836</v>
      </c>
      <c r="Q261" s="136">
        <v>44274.980749249036</v>
      </c>
      <c r="R261" s="264">
        <v>131944.98797897203</v>
      </c>
      <c r="S261" s="261">
        <v>148838.65910433739</v>
      </c>
      <c r="U261" s="7" t="s">
        <v>5368</v>
      </c>
    </row>
    <row r="262" spans="1:21" ht="16.5" thickBot="1">
      <c r="A262" s="3010" t="s">
        <v>60</v>
      </c>
      <c r="B262" s="3011"/>
      <c r="C262" s="3011"/>
      <c r="D262" s="3011"/>
      <c r="E262" s="3011"/>
      <c r="F262" s="3011"/>
      <c r="G262" s="3011"/>
      <c r="H262" s="3011"/>
      <c r="I262" s="3011"/>
      <c r="J262" s="3011"/>
      <c r="K262" s="3011"/>
      <c r="L262" s="3011"/>
      <c r="M262" s="3011"/>
      <c r="N262" s="3011"/>
      <c r="O262" s="3011"/>
      <c r="P262" s="3011"/>
      <c r="Q262" s="3011"/>
      <c r="R262" s="3011"/>
      <c r="S262" s="3012"/>
      <c r="U262" s="7"/>
    </row>
    <row r="263" spans="1:21" ht="16.5" thickBot="1">
      <c r="A263" s="2974" t="s">
        <v>4534</v>
      </c>
      <c r="B263" s="2975"/>
      <c r="C263" s="2975"/>
      <c r="D263" s="2975"/>
      <c r="E263" s="2975"/>
      <c r="F263" s="2975"/>
      <c r="G263" s="2975"/>
      <c r="H263" s="2975"/>
      <c r="I263" s="2975"/>
      <c r="J263" s="2975"/>
      <c r="K263" s="2975"/>
      <c r="L263" s="2975"/>
      <c r="M263" s="2975"/>
      <c r="N263" s="2975"/>
      <c r="O263" s="2975"/>
      <c r="P263" s="2975"/>
      <c r="Q263" s="2975"/>
      <c r="R263" s="2975"/>
      <c r="S263" s="2976"/>
      <c r="U263" s="7"/>
    </row>
    <row r="264" spans="1:21" ht="16.5" thickBot="1">
      <c r="A264" s="1188" t="s">
        <v>4533</v>
      </c>
      <c r="B264" s="1189">
        <f>J264</f>
        <v>150</v>
      </c>
      <c r="C264" s="1189" t="s">
        <v>3</v>
      </c>
      <c r="D264" s="1189">
        <f>K264</f>
        <v>400</v>
      </c>
      <c r="E264" s="1189" t="s">
        <v>3</v>
      </c>
      <c r="F264" s="1190">
        <f>L264</f>
        <v>600</v>
      </c>
      <c r="G264" s="1189" t="s">
        <v>3</v>
      </c>
      <c r="H264" s="1189">
        <v>4</v>
      </c>
      <c r="I264" s="1191" t="s">
        <v>40</v>
      </c>
      <c r="J264" s="146">
        <v>150</v>
      </c>
      <c r="K264" s="122">
        <v>400</v>
      </c>
      <c r="L264" s="122">
        <v>600</v>
      </c>
      <c r="M264" s="163">
        <v>12.214232298939962</v>
      </c>
      <c r="N264" s="123">
        <v>341.4</v>
      </c>
      <c r="O264" s="124">
        <v>25318.491357782106</v>
      </c>
      <c r="P264" s="148">
        <v>31203.29867585875</v>
      </c>
      <c r="Q264" s="139">
        <v>10760.15380676932</v>
      </c>
      <c r="R264" s="262">
        <v>36078.645164551424</v>
      </c>
      <c r="S264" s="257">
        <v>41963.452482628069</v>
      </c>
      <c r="U264" s="7" t="s">
        <v>5369</v>
      </c>
    </row>
    <row r="265" spans="1:21" ht="16.5" thickBot="1">
      <c r="A265" s="1188" t="s">
        <v>4533</v>
      </c>
      <c r="B265" s="1192">
        <f t="shared" ref="B265:B312" si="15">J265</f>
        <v>150</v>
      </c>
      <c r="C265" s="1192" t="s">
        <v>3</v>
      </c>
      <c r="D265" s="1192">
        <f t="shared" ref="D265:D312" si="16">K265</f>
        <v>400</v>
      </c>
      <c r="E265" s="1192" t="s">
        <v>3</v>
      </c>
      <c r="F265" s="1190">
        <f t="shared" ref="F265:F312" si="17">L265</f>
        <v>650</v>
      </c>
      <c r="G265" s="1192" t="s">
        <v>3</v>
      </c>
      <c r="H265" s="1189">
        <v>4</v>
      </c>
      <c r="I265" s="1191" t="s">
        <v>40</v>
      </c>
      <c r="J265" s="149">
        <v>150</v>
      </c>
      <c r="K265" s="66">
        <v>400</v>
      </c>
      <c r="L265" s="66">
        <v>650</v>
      </c>
      <c r="M265" s="164">
        <v>13.047859721042396</v>
      </c>
      <c r="N265" s="78">
        <v>409.67999999999995</v>
      </c>
      <c r="O265" s="113">
        <v>26575.935454079903</v>
      </c>
      <c r="P265" s="111">
        <v>32721.753683902989</v>
      </c>
      <c r="Q265" s="110">
        <v>11416.760909528057</v>
      </c>
      <c r="R265" s="263">
        <v>37992.69636360796</v>
      </c>
      <c r="S265" s="259">
        <v>44138.514593431042</v>
      </c>
      <c r="U265" s="7" t="s">
        <v>5370</v>
      </c>
    </row>
    <row r="266" spans="1:21" ht="16.5" thickBot="1">
      <c r="A266" s="1188" t="s">
        <v>4533</v>
      </c>
      <c r="B266" s="1192">
        <f t="shared" si="15"/>
        <v>150</v>
      </c>
      <c r="C266" s="1192" t="s">
        <v>3</v>
      </c>
      <c r="D266" s="1192">
        <f t="shared" si="16"/>
        <v>400</v>
      </c>
      <c r="E266" s="1192" t="s">
        <v>3</v>
      </c>
      <c r="F266" s="1190">
        <f t="shared" si="17"/>
        <v>700</v>
      </c>
      <c r="G266" s="1192" t="s">
        <v>3</v>
      </c>
      <c r="H266" s="1189">
        <v>4</v>
      </c>
      <c r="I266" s="1191" t="s">
        <v>40</v>
      </c>
      <c r="J266" s="149">
        <v>150</v>
      </c>
      <c r="K266" s="66">
        <v>400</v>
      </c>
      <c r="L266" s="66">
        <v>700</v>
      </c>
      <c r="M266" s="164">
        <v>13.881487143144831</v>
      </c>
      <c r="N266" s="78">
        <v>477.95999999999992</v>
      </c>
      <c r="O266" s="113">
        <v>27833.379397348923</v>
      </c>
      <c r="P266" s="111">
        <v>34240.208844975998</v>
      </c>
      <c r="Q266" s="110">
        <v>12324.7019970418</v>
      </c>
      <c r="R266" s="263">
        <v>40158.081394390727</v>
      </c>
      <c r="S266" s="259">
        <v>46564.910842017794</v>
      </c>
      <c r="U266" s="7" t="s">
        <v>5371</v>
      </c>
    </row>
    <row r="267" spans="1:21" ht="16.5" thickBot="1">
      <c r="A267" s="1188" t="s">
        <v>4533</v>
      </c>
      <c r="B267" s="1192">
        <f t="shared" si="15"/>
        <v>150</v>
      </c>
      <c r="C267" s="1192" t="s">
        <v>3</v>
      </c>
      <c r="D267" s="1192">
        <f t="shared" si="16"/>
        <v>400</v>
      </c>
      <c r="E267" s="1192" t="s">
        <v>3</v>
      </c>
      <c r="F267" s="1190">
        <f t="shared" si="17"/>
        <v>750</v>
      </c>
      <c r="G267" s="1192" t="s">
        <v>3</v>
      </c>
      <c r="H267" s="1189">
        <v>4</v>
      </c>
      <c r="I267" s="1191" t="s">
        <v>40</v>
      </c>
      <c r="J267" s="149">
        <v>150</v>
      </c>
      <c r="K267" s="66">
        <v>400</v>
      </c>
      <c r="L267" s="66">
        <v>750</v>
      </c>
      <c r="M267" s="164">
        <v>14.715114565247264</v>
      </c>
      <c r="N267" s="78">
        <v>546.24</v>
      </c>
      <c r="O267" s="113">
        <v>29090.82349364672</v>
      </c>
      <c r="P267" s="111">
        <v>35758.664006048995</v>
      </c>
      <c r="Q267" s="110">
        <v>12981.309099800537</v>
      </c>
      <c r="R267" s="263">
        <v>42072.132593447255</v>
      </c>
      <c r="S267" s="259">
        <v>48739.973105849531</v>
      </c>
      <c r="U267" s="7" t="s">
        <v>5372</v>
      </c>
    </row>
    <row r="268" spans="1:21" ht="16.5" thickBot="1">
      <c r="A268" s="1188" t="s">
        <v>4533</v>
      </c>
      <c r="B268" s="1192">
        <f t="shared" si="15"/>
        <v>150</v>
      </c>
      <c r="C268" s="1192" t="s">
        <v>3</v>
      </c>
      <c r="D268" s="1192">
        <f t="shared" si="16"/>
        <v>400</v>
      </c>
      <c r="E268" s="1192" t="s">
        <v>3</v>
      </c>
      <c r="F268" s="1190">
        <f t="shared" si="17"/>
        <v>800</v>
      </c>
      <c r="G268" s="1192" t="s">
        <v>3</v>
      </c>
      <c r="H268" s="1189">
        <v>4</v>
      </c>
      <c r="I268" s="1191" t="s">
        <v>40</v>
      </c>
      <c r="J268" s="149">
        <v>150</v>
      </c>
      <c r="K268" s="66">
        <v>400</v>
      </c>
      <c r="L268" s="66">
        <v>800</v>
      </c>
      <c r="M268" s="164">
        <v>15.548741987349697</v>
      </c>
      <c r="N268" s="78">
        <v>614.52</v>
      </c>
      <c r="O268" s="113">
        <v>30745.661256831954</v>
      </c>
      <c r="P268" s="111">
        <v>37292.421890605736</v>
      </c>
      <c r="Q268" s="110">
        <v>13637.916049530511</v>
      </c>
      <c r="R268" s="263">
        <v>44383.577306362466</v>
      </c>
      <c r="S268" s="259">
        <v>50930.337940136247</v>
      </c>
      <c r="U268" s="7" t="s">
        <v>5373</v>
      </c>
    </row>
    <row r="269" spans="1:21" ht="16.5" thickBot="1">
      <c r="A269" s="1188" t="s">
        <v>4533</v>
      </c>
      <c r="B269" s="1192">
        <f t="shared" si="15"/>
        <v>150</v>
      </c>
      <c r="C269" s="1192" t="s">
        <v>3</v>
      </c>
      <c r="D269" s="1192">
        <f t="shared" si="16"/>
        <v>400</v>
      </c>
      <c r="E269" s="1192" t="s">
        <v>3</v>
      </c>
      <c r="F269" s="1190">
        <f t="shared" si="17"/>
        <v>850</v>
      </c>
      <c r="G269" s="1192" t="s">
        <v>3</v>
      </c>
      <c r="H269" s="1189">
        <v>4</v>
      </c>
      <c r="I269" s="1191" t="s">
        <v>40</v>
      </c>
      <c r="J269" s="149">
        <v>150</v>
      </c>
      <c r="K269" s="66">
        <v>400</v>
      </c>
      <c r="L269" s="66">
        <v>850</v>
      </c>
      <c r="M269" s="164">
        <v>16.382369409452131</v>
      </c>
      <c r="N269" s="78">
        <v>682.8</v>
      </c>
      <c r="O269" s="113">
        <v>32003.105353129744</v>
      </c>
      <c r="P269" s="111">
        <v>38810.877051678748</v>
      </c>
      <c r="Q269" s="110">
        <v>14545.85729007302</v>
      </c>
      <c r="R269" s="263">
        <v>46548.962643202765</v>
      </c>
      <c r="S269" s="259">
        <v>53356.73434175177</v>
      </c>
      <c r="U269" s="7" t="s">
        <v>5374</v>
      </c>
    </row>
    <row r="270" spans="1:21" ht="16.5" thickBot="1">
      <c r="A270" s="1188" t="s">
        <v>4533</v>
      </c>
      <c r="B270" s="1192">
        <f t="shared" si="15"/>
        <v>150</v>
      </c>
      <c r="C270" s="1192" t="s">
        <v>3</v>
      </c>
      <c r="D270" s="1192">
        <f t="shared" si="16"/>
        <v>400</v>
      </c>
      <c r="E270" s="1192" t="s">
        <v>3</v>
      </c>
      <c r="F270" s="1190">
        <f t="shared" si="17"/>
        <v>900</v>
      </c>
      <c r="G270" s="1192" t="s">
        <v>3</v>
      </c>
      <c r="H270" s="1189">
        <v>4</v>
      </c>
      <c r="I270" s="1191" t="s">
        <v>40</v>
      </c>
      <c r="J270" s="149">
        <v>150</v>
      </c>
      <c r="K270" s="66">
        <v>400</v>
      </c>
      <c r="L270" s="66">
        <v>900</v>
      </c>
      <c r="M270" s="164">
        <v>17.215996831554563</v>
      </c>
      <c r="N270" s="78">
        <v>751.08</v>
      </c>
      <c r="O270" s="113">
        <v>33260.549296398771</v>
      </c>
      <c r="P270" s="111">
        <v>40329.33205972299</v>
      </c>
      <c r="Q270" s="110">
        <v>15202.464239802994</v>
      </c>
      <c r="R270" s="263">
        <v>48463.013536201761</v>
      </c>
      <c r="S270" s="259">
        <v>55531.796299525988</v>
      </c>
      <c r="U270" s="7" t="s">
        <v>5375</v>
      </c>
    </row>
    <row r="271" spans="1:21" ht="16.5" thickBot="1">
      <c r="A271" s="1188" t="s">
        <v>4533</v>
      </c>
      <c r="B271" s="1192">
        <f t="shared" si="15"/>
        <v>150</v>
      </c>
      <c r="C271" s="1192" t="s">
        <v>3</v>
      </c>
      <c r="D271" s="1192">
        <f t="shared" si="16"/>
        <v>400</v>
      </c>
      <c r="E271" s="1192" t="s">
        <v>3</v>
      </c>
      <c r="F271" s="1190">
        <f t="shared" si="17"/>
        <v>950</v>
      </c>
      <c r="G271" s="1192" t="s">
        <v>3</v>
      </c>
      <c r="H271" s="1189">
        <v>4</v>
      </c>
      <c r="I271" s="1191" t="s">
        <v>40</v>
      </c>
      <c r="J271" s="149">
        <v>150</v>
      </c>
      <c r="K271" s="66">
        <v>400</v>
      </c>
      <c r="L271" s="66">
        <v>950</v>
      </c>
      <c r="M271" s="164">
        <v>18.049624253657001</v>
      </c>
      <c r="N271" s="78">
        <v>819.3599999999999</v>
      </c>
      <c r="O271" s="113">
        <v>34517.993392696408</v>
      </c>
      <c r="P271" s="111">
        <v>41847.787220795988</v>
      </c>
      <c r="Q271" s="110">
        <v>16110.4054803455</v>
      </c>
      <c r="R271" s="263">
        <v>50628.398873041908</v>
      </c>
      <c r="S271" s="259">
        <v>57958.192701141488</v>
      </c>
      <c r="U271" s="7" t="s">
        <v>5376</v>
      </c>
    </row>
    <row r="272" spans="1:21" ht="16.5" thickBot="1">
      <c r="A272" s="1188" t="s">
        <v>4533</v>
      </c>
      <c r="B272" s="1192">
        <f t="shared" si="15"/>
        <v>150</v>
      </c>
      <c r="C272" s="1192" t="s">
        <v>3</v>
      </c>
      <c r="D272" s="1192">
        <f t="shared" si="16"/>
        <v>400</v>
      </c>
      <c r="E272" s="1192" t="s">
        <v>3</v>
      </c>
      <c r="F272" s="1190">
        <f t="shared" si="17"/>
        <v>1000</v>
      </c>
      <c r="G272" s="1192" t="s">
        <v>3</v>
      </c>
      <c r="H272" s="1189">
        <v>4</v>
      </c>
      <c r="I272" s="1191" t="s">
        <v>40</v>
      </c>
      <c r="J272" s="149">
        <v>150</v>
      </c>
      <c r="K272" s="66">
        <v>400</v>
      </c>
      <c r="L272" s="66">
        <v>1000</v>
      </c>
      <c r="M272" s="164">
        <v>19.039323675759441</v>
      </c>
      <c r="N272" s="78">
        <v>887.64</v>
      </c>
      <c r="O272" s="113">
        <v>35853.053678665754</v>
      </c>
      <c r="P272" s="111">
        <v>43443.858418511634</v>
      </c>
      <c r="Q272" s="110">
        <v>16767.012583104239</v>
      </c>
      <c r="R272" s="263">
        <v>52620.066261769993</v>
      </c>
      <c r="S272" s="259">
        <v>60210.871001615873</v>
      </c>
      <c r="U272" s="7" t="s">
        <v>5377</v>
      </c>
    </row>
    <row r="273" spans="1:21" ht="16.5" thickBot="1">
      <c r="A273" s="1188" t="s">
        <v>4533</v>
      </c>
      <c r="B273" s="1192">
        <f t="shared" si="15"/>
        <v>150</v>
      </c>
      <c r="C273" s="1192" t="s">
        <v>3</v>
      </c>
      <c r="D273" s="1192">
        <f t="shared" si="16"/>
        <v>400</v>
      </c>
      <c r="E273" s="1192" t="s">
        <v>3</v>
      </c>
      <c r="F273" s="1190">
        <f t="shared" si="17"/>
        <v>1050</v>
      </c>
      <c r="G273" s="1192" t="s">
        <v>3</v>
      </c>
      <c r="H273" s="1189">
        <v>4</v>
      </c>
      <c r="I273" s="1191" t="s">
        <v>40</v>
      </c>
      <c r="J273" s="149">
        <v>150</v>
      </c>
      <c r="K273" s="66">
        <v>400</v>
      </c>
      <c r="L273" s="66">
        <v>1050</v>
      </c>
      <c r="M273" s="164">
        <v>19.872951097861872</v>
      </c>
      <c r="N273" s="78">
        <v>955.91999999999985</v>
      </c>
      <c r="O273" s="113">
        <v>37110.497621934781</v>
      </c>
      <c r="P273" s="111">
        <v>44962.313579584639</v>
      </c>
      <c r="Q273" s="110">
        <v>17674.953670617982</v>
      </c>
      <c r="R273" s="263">
        <v>54785.451292552767</v>
      </c>
      <c r="S273" s="259">
        <v>62637.267250202625</v>
      </c>
      <c r="U273" s="7" t="s">
        <v>5378</v>
      </c>
    </row>
    <row r="274" spans="1:21" ht="16.5" thickBot="1">
      <c r="A274" s="1188" t="s">
        <v>4533</v>
      </c>
      <c r="B274" s="1189">
        <f t="shared" si="15"/>
        <v>150</v>
      </c>
      <c r="C274" s="1189" t="s">
        <v>3</v>
      </c>
      <c r="D274" s="1189">
        <f t="shared" si="16"/>
        <v>400</v>
      </c>
      <c r="E274" s="1189" t="s">
        <v>3</v>
      </c>
      <c r="F274" s="1190">
        <f t="shared" si="17"/>
        <v>1100</v>
      </c>
      <c r="G274" s="1189" t="s">
        <v>3</v>
      </c>
      <c r="H274" s="1189">
        <v>4</v>
      </c>
      <c r="I274" s="1191" t="s">
        <v>40</v>
      </c>
      <c r="J274" s="149">
        <v>150</v>
      </c>
      <c r="K274" s="66">
        <v>400</v>
      </c>
      <c r="L274" s="66">
        <v>1100</v>
      </c>
      <c r="M274" s="164">
        <v>20.706578519964303</v>
      </c>
      <c r="N274" s="78">
        <v>1024.1999999999998</v>
      </c>
      <c r="O274" s="113">
        <v>38367.941718232571</v>
      </c>
      <c r="P274" s="111">
        <v>46480.768587628874</v>
      </c>
      <c r="Q274" s="110">
        <v>18331.560773376717</v>
      </c>
      <c r="R274" s="263">
        <v>56699.502491609288</v>
      </c>
      <c r="S274" s="259">
        <v>64812.329361005592</v>
      </c>
      <c r="U274" s="7" t="s">
        <v>5379</v>
      </c>
    </row>
    <row r="275" spans="1:21" ht="16.5" thickBot="1">
      <c r="A275" s="1188" t="s">
        <v>4533</v>
      </c>
      <c r="B275" s="1192">
        <f t="shared" si="15"/>
        <v>150</v>
      </c>
      <c r="C275" s="1192" t="s">
        <v>3</v>
      </c>
      <c r="D275" s="1192">
        <f t="shared" si="16"/>
        <v>400</v>
      </c>
      <c r="E275" s="1192" t="s">
        <v>3</v>
      </c>
      <c r="F275" s="1190">
        <f t="shared" si="17"/>
        <v>1150</v>
      </c>
      <c r="G275" s="1192" t="s">
        <v>3</v>
      </c>
      <c r="H275" s="1189">
        <v>4</v>
      </c>
      <c r="I275" s="1191" t="s">
        <v>40</v>
      </c>
      <c r="J275" s="149">
        <v>150</v>
      </c>
      <c r="K275" s="66">
        <v>400</v>
      </c>
      <c r="L275" s="66">
        <v>1150</v>
      </c>
      <c r="M275" s="164">
        <v>21.540205942066738</v>
      </c>
      <c r="N275" s="78">
        <v>1092.48</v>
      </c>
      <c r="O275" s="113">
        <v>39625.38581453036</v>
      </c>
      <c r="P275" s="111">
        <v>47999.223748701726</v>
      </c>
      <c r="Q275" s="110">
        <v>18988.167723106693</v>
      </c>
      <c r="R275" s="263">
        <v>58613.553537637054</v>
      </c>
      <c r="S275" s="259">
        <v>66987.391471808427</v>
      </c>
      <c r="U275" s="7" t="s">
        <v>5380</v>
      </c>
    </row>
    <row r="276" spans="1:21" ht="16.5" thickBot="1">
      <c r="A276" s="1188" t="s">
        <v>4533</v>
      </c>
      <c r="B276" s="1192">
        <f t="shared" si="15"/>
        <v>150</v>
      </c>
      <c r="C276" s="1192" t="s">
        <v>3</v>
      </c>
      <c r="D276" s="1192">
        <f t="shared" si="16"/>
        <v>400</v>
      </c>
      <c r="E276" s="1192" t="s">
        <v>3</v>
      </c>
      <c r="F276" s="1190">
        <f t="shared" si="17"/>
        <v>1200</v>
      </c>
      <c r="G276" s="1192" t="s">
        <v>3</v>
      </c>
      <c r="H276" s="1189">
        <v>4</v>
      </c>
      <c r="I276" s="1191" t="s">
        <v>40</v>
      </c>
      <c r="J276" s="149">
        <v>150</v>
      </c>
      <c r="K276" s="66">
        <v>400</v>
      </c>
      <c r="L276" s="66">
        <v>1200</v>
      </c>
      <c r="M276" s="164">
        <v>22.373833364169172</v>
      </c>
      <c r="N276" s="78">
        <v>1160.76</v>
      </c>
      <c r="O276" s="113">
        <v>40882.82991082815</v>
      </c>
      <c r="P276" s="111">
        <v>49517.678756746122</v>
      </c>
      <c r="Q276" s="110">
        <v>19896.1089636492</v>
      </c>
      <c r="R276" s="263">
        <v>60778.938874477346</v>
      </c>
      <c r="S276" s="259">
        <v>69413.787720395325</v>
      </c>
      <c r="U276" s="7" t="s">
        <v>5381</v>
      </c>
    </row>
    <row r="277" spans="1:21" ht="16.5" thickBot="1">
      <c r="A277" s="1188" t="s">
        <v>4533</v>
      </c>
      <c r="B277" s="1192">
        <f t="shared" si="15"/>
        <v>150</v>
      </c>
      <c r="C277" s="1192" t="s">
        <v>3</v>
      </c>
      <c r="D277" s="1192">
        <f t="shared" si="16"/>
        <v>400</v>
      </c>
      <c r="E277" s="1192" t="s">
        <v>3</v>
      </c>
      <c r="F277" s="1190">
        <f t="shared" si="17"/>
        <v>1250</v>
      </c>
      <c r="G277" s="1192" t="s">
        <v>3</v>
      </c>
      <c r="H277" s="1189">
        <v>4</v>
      </c>
      <c r="I277" s="1191" t="s">
        <v>40</v>
      </c>
      <c r="J277" s="149">
        <v>150</v>
      </c>
      <c r="K277" s="66">
        <v>400</v>
      </c>
      <c r="L277" s="66">
        <v>1250</v>
      </c>
      <c r="M277" s="164">
        <v>23.207460786271611</v>
      </c>
      <c r="N277" s="78">
        <v>1229.04</v>
      </c>
      <c r="O277" s="113">
        <v>42140.273854097177</v>
      </c>
      <c r="P277" s="111">
        <v>51036.133917818981</v>
      </c>
      <c r="Q277" s="110">
        <v>20552.715913379172</v>
      </c>
      <c r="R277" s="263">
        <v>62692.989767476349</v>
      </c>
      <c r="S277" s="259">
        <v>71588.849831198153</v>
      </c>
      <c r="U277" s="7" t="s">
        <v>5382</v>
      </c>
    </row>
    <row r="278" spans="1:21" ht="16.5" thickBot="1">
      <c r="A278" s="1188" t="s">
        <v>4533</v>
      </c>
      <c r="B278" s="1192">
        <f t="shared" si="15"/>
        <v>150</v>
      </c>
      <c r="C278" s="1192" t="s">
        <v>3</v>
      </c>
      <c r="D278" s="1192">
        <f t="shared" si="16"/>
        <v>400</v>
      </c>
      <c r="E278" s="1192" t="s">
        <v>3</v>
      </c>
      <c r="F278" s="1190">
        <f t="shared" si="17"/>
        <v>1300</v>
      </c>
      <c r="G278" s="1192" t="s">
        <v>3</v>
      </c>
      <c r="H278" s="1189">
        <v>4</v>
      </c>
      <c r="I278" s="1191" t="s">
        <v>40</v>
      </c>
      <c r="J278" s="149">
        <v>150</v>
      </c>
      <c r="K278" s="66">
        <v>400</v>
      </c>
      <c r="L278" s="66">
        <v>1300</v>
      </c>
      <c r="M278" s="164">
        <v>24.041088208374042</v>
      </c>
      <c r="N278" s="78">
        <v>1297.32</v>
      </c>
      <c r="O278" s="113">
        <v>43397.717950394966</v>
      </c>
      <c r="P278" s="111">
        <v>52554.589078892132</v>
      </c>
      <c r="Q278" s="110">
        <v>21460.657153921682</v>
      </c>
      <c r="R278" s="263">
        <v>64858.375104316649</v>
      </c>
      <c r="S278" s="259">
        <v>74015.246232813806</v>
      </c>
      <c r="U278" s="7" t="s">
        <v>5383</v>
      </c>
    </row>
    <row r="279" spans="1:21" ht="16.5" thickBot="1">
      <c r="A279" s="1188" t="s">
        <v>4533</v>
      </c>
      <c r="B279" s="1192">
        <f t="shared" si="15"/>
        <v>150</v>
      </c>
      <c r="C279" s="1192" t="s">
        <v>3</v>
      </c>
      <c r="D279" s="1192">
        <f t="shared" si="16"/>
        <v>400</v>
      </c>
      <c r="E279" s="1192" t="s">
        <v>3</v>
      </c>
      <c r="F279" s="1190">
        <f t="shared" si="17"/>
        <v>1350</v>
      </c>
      <c r="G279" s="1192" t="s">
        <v>3</v>
      </c>
      <c r="H279" s="1189">
        <v>4</v>
      </c>
      <c r="I279" s="1191" t="s">
        <v>40</v>
      </c>
      <c r="J279" s="149">
        <v>150</v>
      </c>
      <c r="K279" s="66">
        <v>400</v>
      </c>
      <c r="L279" s="66">
        <v>1350</v>
      </c>
      <c r="M279" s="164">
        <v>24.87471563047648</v>
      </c>
      <c r="N279" s="78">
        <v>1365.6</v>
      </c>
      <c r="O279" s="113">
        <v>44655.162046692756</v>
      </c>
      <c r="P279" s="111">
        <v>54073.044086936374</v>
      </c>
      <c r="Q279" s="110">
        <v>22117.264103651651</v>
      </c>
      <c r="R279" s="263">
        <v>66772.4261503444</v>
      </c>
      <c r="S279" s="259">
        <v>76190.308190588024</v>
      </c>
      <c r="U279" s="7" t="s">
        <v>5384</v>
      </c>
    </row>
    <row r="280" spans="1:21" ht="16.5" thickBot="1">
      <c r="A280" s="1188" t="s">
        <v>4533</v>
      </c>
      <c r="B280" s="1192">
        <f t="shared" si="15"/>
        <v>150</v>
      </c>
      <c r="C280" s="1192" t="s">
        <v>3</v>
      </c>
      <c r="D280" s="1192">
        <f t="shared" si="16"/>
        <v>400</v>
      </c>
      <c r="E280" s="1192" t="s">
        <v>3</v>
      </c>
      <c r="F280" s="1190">
        <f t="shared" si="17"/>
        <v>1400</v>
      </c>
      <c r="G280" s="1192" t="s">
        <v>3</v>
      </c>
      <c r="H280" s="1189">
        <v>4</v>
      </c>
      <c r="I280" s="1191" t="s">
        <v>40</v>
      </c>
      <c r="J280" s="149">
        <v>150</v>
      </c>
      <c r="K280" s="66">
        <v>400</v>
      </c>
      <c r="L280" s="66">
        <v>1400</v>
      </c>
      <c r="M280" s="164">
        <v>25.708343052578911</v>
      </c>
      <c r="N280" s="78">
        <v>1433.8799999999999</v>
      </c>
      <c r="O280" s="113">
        <v>45912.605989961783</v>
      </c>
      <c r="P280" s="111">
        <v>55591.499248009372</v>
      </c>
      <c r="Q280" s="110">
        <v>23025.205344194161</v>
      </c>
      <c r="R280" s="263">
        <v>68937.811334155936</v>
      </c>
      <c r="S280" s="259">
        <v>78616.704592203532</v>
      </c>
      <c r="U280" s="7" t="s">
        <v>5385</v>
      </c>
    </row>
    <row r="281" spans="1:21" ht="16.5" thickBot="1">
      <c r="A281" s="1188" t="s">
        <v>4533</v>
      </c>
      <c r="B281" s="1192">
        <f t="shared" si="15"/>
        <v>150</v>
      </c>
      <c r="C281" s="1192" t="s">
        <v>3</v>
      </c>
      <c r="D281" s="1192">
        <f t="shared" si="16"/>
        <v>400</v>
      </c>
      <c r="E281" s="1192" t="s">
        <v>3</v>
      </c>
      <c r="F281" s="1190">
        <f t="shared" si="17"/>
        <v>1450</v>
      </c>
      <c r="G281" s="1192" t="s">
        <v>3</v>
      </c>
      <c r="H281" s="1189">
        <v>4</v>
      </c>
      <c r="I281" s="1191" t="s">
        <v>40</v>
      </c>
      <c r="J281" s="149">
        <v>150</v>
      </c>
      <c r="K281" s="66">
        <v>400</v>
      </c>
      <c r="L281" s="66">
        <v>1450</v>
      </c>
      <c r="M281" s="164">
        <v>26.541970474681349</v>
      </c>
      <c r="N281" s="78">
        <v>1502.16</v>
      </c>
      <c r="O281" s="113">
        <v>47170.050086259573</v>
      </c>
      <c r="P281" s="111">
        <v>57109.954256053621</v>
      </c>
      <c r="Q281" s="110">
        <v>23681.812293924133</v>
      </c>
      <c r="R281" s="263">
        <v>70851.862380183709</v>
      </c>
      <c r="S281" s="259">
        <v>80791.76654997775</v>
      </c>
      <c r="U281" s="7" t="s">
        <v>5386</v>
      </c>
    </row>
    <row r="282" spans="1:21" ht="16.5" thickBot="1">
      <c r="A282" s="1188" t="s">
        <v>4533</v>
      </c>
      <c r="B282" s="1192">
        <f t="shared" si="15"/>
        <v>150</v>
      </c>
      <c r="C282" s="1192" t="s">
        <v>3</v>
      </c>
      <c r="D282" s="1192">
        <f t="shared" si="16"/>
        <v>400</v>
      </c>
      <c r="E282" s="1192" t="s">
        <v>3</v>
      </c>
      <c r="F282" s="1190">
        <f t="shared" si="17"/>
        <v>1500</v>
      </c>
      <c r="G282" s="1192" t="s">
        <v>3</v>
      </c>
      <c r="H282" s="1189">
        <v>4</v>
      </c>
      <c r="I282" s="1191" t="s">
        <v>40</v>
      </c>
      <c r="J282" s="149">
        <v>150</v>
      </c>
      <c r="K282" s="66">
        <v>400</v>
      </c>
      <c r="L282" s="66">
        <v>1500</v>
      </c>
      <c r="M282" s="164">
        <v>27.960656696783783</v>
      </c>
      <c r="N282" s="78">
        <v>1570.4399999999998</v>
      </c>
      <c r="O282" s="113">
        <v>49500.969851939655</v>
      </c>
      <c r="P282" s="111">
        <v>60109.420275718723</v>
      </c>
      <c r="Q282" s="110">
        <v>24589.753534466639</v>
      </c>
      <c r="R282" s="263">
        <v>74090.723386406287</v>
      </c>
      <c r="S282" s="259">
        <v>84699.17381018537</v>
      </c>
      <c r="U282" s="7" t="s">
        <v>5387</v>
      </c>
    </row>
    <row r="283" spans="1:21" ht="16.5" thickBot="1">
      <c r="A283" s="1188" t="s">
        <v>4533</v>
      </c>
      <c r="B283" s="1192">
        <f t="shared" si="15"/>
        <v>150</v>
      </c>
      <c r="C283" s="1192" t="s">
        <v>3</v>
      </c>
      <c r="D283" s="1192">
        <f t="shared" si="16"/>
        <v>400</v>
      </c>
      <c r="E283" s="1192" t="s">
        <v>3</v>
      </c>
      <c r="F283" s="1190">
        <f t="shared" si="17"/>
        <v>1550</v>
      </c>
      <c r="G283" s="1192" t="s">
        <v>3</v>
      </c>
      <c r="H283" s="1189">
        <v>4</v>
      </c>
      <c r="I283" s="1191" t="s">
        <v>40</v>
      </c>
      <c r="J283" s="149">
        <v>150</v>
      </c>
      <c r="K283" s="66">
        <v>400</v>
      </c>
      <c r="L283" s="66">
        <v>1550</v>
      </c>
      <c r="M283" s="164">
        <v>28.794284118886218</v>
      </c>
      <c r="N283" s="78">
        <v>1638.7199999999998</v>
      </c>
      <c r="O283" s="113">
        <v>50758.413948237445</v>
      </c>
      <c r="P283" s="111">
        <v>61627.875436791728</v>
      </c>
      <c r="Q283" s="110">
        <v>25246.360484196612</v>
      </c>
      <c r="R283" s="263">
        <v>76004.77443243406</v>
      </c>
      <c r="S283" s="259">
        <v>86874.235920988343</v>
      </c>
      <c r="U283" s="7" t="s">
        <v>5388</v>
      </c>
    </row>
    <row r="284" spans="1:21" ht="16.5" thickBot="1">
      <c r="A284" s="1188" t="s">
        <v>4533</v>
      </c>
      <c r="B284" s="1189">
        <f t="shared" si="15"/>
        <v>150</v>
      </c>
      <c r="C284" s="1189" t="s">
        <v>3</v>
      </c>
      <c r="D284" s="1189">
        <f t="shared" si="16"/>
        <v>400</v>
      </c>
      <c r="E284" s="1189" t="s">
        <v>3</v>
      </c>
      <c r="F284" s="1190">
        <f t="shared" si="17"/>
        <v>1600</v>
      </c>
      <c r="G284" s="1189" t="s">
        <v>3</v>
      </c>
      <c r="H284" s="1189">
        <v>4</v>
      </c>
      <c r="I284" s="1191" t="s">
        <v>40</v>
      </c>
      <c r="J284" s="149">
        <v>150</v>
      </c>
      <c r="K284" s="66">
        <v>400</v>
      </c>
      <c r="L284" s="66">
        <v>1600</v>
      </c>
      <c r="M284" s="164">
        <v>29.627911540988645</v>
      </c>
      <c r="N284" s="78">
        <v>1707</v>
      </c>
      <c r="O284" s="113">
        <v>52015.858044535235</v>
      </c>
      <c r="P284" s="111">
        <v>63146.330444835963</v>
      </c>
      <c r="Q284" s="110">
        <v>25902.96758695535</v>
      </c>
      <c r="R284" s="263">
        <v>77918.825631490588</v>
      </c>
      <c r="S284" s="259">
        <v>89049.298031791317</v>
      </c>
      <c r="U284" s="7" t="s">
        <v>5389</v>
      </c>
    </row>
    <row r="285" spans="1:21" ht="16.5" thickBot="1">
      <c r="A285" s="1188" t="s">
        <v>4533</v>
      </c>
      <c r="B285" s="1192">
        <f t="shared" si="15"/>
        <v>150</v>
      </c>
      <c r="C285" s="1192" t="s">
        <v>3</v>
      </c>
      <c r="D285" s="1192">
        <f t="shared" si="16"/>
        <v>400</v>
      </c>
      <c r="E285" s="1192" t="s">
        <v>3</v>
      </c>
      <c r="F285" s="1190">
        <f t="shared" si="17"/>
        <v>1650</v>
      </c>
      <c r="G285" s="1192" t="s">
        <v>3</v>
      </c>
      <c r="H285" s="1189">
        <v>4</v>
      </c>
      <c r="I285" s="1191" t="s">
        <v>40</v>
      </c>
      <c r="J285" s="149">
        <v>150</v>
      </c>
      <c r="K285" s="66">
        <v>400</v>
      </c>
      <c r="L285" s="66">
        <v>1650</v>
      </c>
      <c r="M285" s="164">
        <v>30.461538963091087</v>
      </c>
      <c r="N285" s="78">
        <v>1775.28</v>
      </c>
      <c r="O285" s="113">
        <v>53273.301987804261</v>
      </c>
      <c r="P285" s="111">
        <v>64664.785605908975</v>
      </c>
      <c r="Q285" s="110">
        <v>26810.908827497857</v>
      </c>
      <c r="R285" s="263">
        <v>80084.210815302125</v>
      </c>
      <c r="S285" s="259">
        <v>91475.694433406839</v>
      </c>
      <c r="U285" s="7" t="s">
        <v>5390</v>
      </c>
    </row>
    <row r="286" spans="1:21" ht="16.5" thickBot="1">
      <c r="A286" s="1188" t="s">
        <v>4533</v>
      </c>
      <c r="B286" s="1192">
        <f t="shared" si="15"/>
        <v>150</v>
      </c>
      <c r="C286" s="1192" t="s">
        <v>3</v>
      </c>
      <c r="D286" s="1192">
        <f t="shared" si="16"/>
        <v>400</v>
      </c>
      <c r="E286" s="1192" t="s">
        <v>3</v>
      </c>
      <c r="F286" s="1190">
        <f t="shared" si="17"/>
        <v>1700</v>
      </c>
      <c r="G286" s="1192" t="s">
        <v>3</v>
      </c>
      <c r="H286" s="1189">
        <v>4</v>
      </c>
      <c r="I286" s="1191" t="s">
        <v>40</v>
      </c>
      <c r="J286" s="149">
        <v>150</v>
      </c>
      <c r="K286" s="66">
        <v>400</v>
      </c>
      <c r="L286" s="66">
        <v>1700</v>
      </c>
      <c r="M286" s="164">
        <v>31.295166385193518</v>
      </c>
      <c r="N286" s="78">
        <v>1843.56</v>
      </c>
      <c r="O286" s="113">
        <v>54530.746084102051</v>
      </c>
      <c r="P286" s="111">
        <v>66183.24061395321</v>
      </c>
      <c r="Q286" s="110">
        <v>27467.515777227836</v>
      </c>
      <c r="R286" s="263">
        <v>81998.261861329884</v>
      </c>
      <c r="S286" s="259">
        <v>93650.756391181043</v>
      </c>
      <c r="U286" s="7" t="s">
        <v>5391</v>
      </c>
    </row>
    <row r="287" spans="1:21" ht="16.5" thickBot="1">
      <c r="A287" s="1188" t="s">
        <v>4533</v>
      </c>
      <c r="B287" s="1192">
        <f t="shared" si="15"/>
        <v>150</v>
      </c>
      <c r="C287" s="1192" t="s">
        <v>3</v>
      </c>
      <c r="D287" s="1192">
        <f t="shared" si="16"/>
        <v>400</v>
      </c>
      <c r="E287" s="1192" t="s">
        <v>3</v>
      </c>
      <c r="F287" s="1190">
        <f t="shared" si="17"/>
        <v>1750</v>
      </c>
      <c r="G287" s="1192" t="s">
        <v>3</v>
      </c>
      <c r="H287" s="1189">
        <v>4</v>
      </c>
      <c r="I287" s="1191" t="s">
        <v>40</v>
      </c>
      <c r="J287" s="149">
        <v>150</v>
      </c>
      <c r="K287" s="66">
        <v>400</v>
      </c>
      <c r="L287" s="66">
        <v>1750</v>
      </c>
      <c r="M287" s="164">
        <v>32.128793807295949</v>
      </c>
      <c r="N287" s="78">
        <v>1911.8399999999997</v>
      </c>
      <c r="O287" s="113">
        <v>55788.190180399833</v>
      </c>
      <c r="P287" s="111">
        <v>67701.695775026208</v>
      </c>
      <c r="Q287" s="110">
        <v>28375.457017770343</v>
      </c>
      <c r="R287" s="263">
        <v>84163.647198170176</v>
      </c>
      <c r="S287" s="259">
        <v>96077.152792796551</v>
      </c>
      <c r="U287" s="7" t="s">
        <v>5392</v>
      </c>
    </row>
    <row r="288" spans="1:21" ht="16.5" thickBot="1">
      <c r="A288" s="1188" t="s">
        <v>4533</v>
      </c>
      <c r="B288" s="1192">
        <f t="shared" si="15"/>
        <v>150</v>
      </c>
      <c r="C288" s="1192" t="s">
        <v>3</v>
      </c>
      <c r="D288" s="1192">
        <f t="shared" si="16"/>
        <v>400</v>
      </c>
      <c r="E288" s="1192" t="s">
        <v>3</v>
      </c>
      <c r="F288" s="1190">
        <f t="shared" si="17"/>
        <v>1800</v>
      </c>
      <c r="G288" s="1192" t="s">
        <v>3</v>
      </c>
      <c r="H288" s="1189">
        <v>4</v>
      </c>
      <c r="I288" s="1191" t="s">
        <v>40</v>
      </c>
      <c r="J288" s="149">
        <v>150</v>
      </c>
      <c r="K288" s="66">
        <v>400</v>
      </c>
      <c r="L288" s="66">
        <v>1800</v>
      </c>
      <c r="M288" s="164">
        <v>32.962421229398387</v>
      </c>
      <c r="N288" s="78">
        <v>1980.12</v>
      </c>
      <c r="O288" s="113">
        <v>57045.634123668868</v>
      </c>
      <c r="P288" s="111">
        <v>69220.15093609922</v>
      </c>
      <c r="Q288" s="110">
        <v>29032.063967500315</v>
      </c>
      <c r="R288" s="263">
        <v>86077.698091169179</v>
      </c>
      <c r="S288" s="259">
        <v>98252.214903599539</v>
      </c>
      <c r="U288" s="7" t="s">
        <v>5393</v>
      </c>
    </row>
    <row r="289" spans="1:21" ht="16.5" thickBot="1">
      <c r="A289" s="1188" t="s">
        <v>4533</v>
      </c>
      <c r="B289" s="1192">
        <f t="shared" si="15"/>
        <v>150</v>
      </c>
      <c r="C289" s="1192" t="s">
        <v>3</v>
      </c>
      <c r="D289" s="1192">
        <f t="shared" si="16"/>
        <v>400</v>
      </c>
      <c r="E289" s="1192" t="s">
        <v>3</v>
      </c>
      <c r="F289" s="1190">
        <f t="shared" si="17"/>
        <v>1850</v>
      </c>
      <c r="G289" s="1192" t="s">
        <v>3</v>
      </c>
      <c r="H289" s="1189">
        <v>4</v>
      </c>
      <c r="I289" s="1191" t="s">
        <v>40</v>
      </c>
      <c r="J289" s="149">
        <v>150</v>
      </c>
      <c r="K289" s="66">
        <v>400</v>
      </c>
      <c r="L289" s="66">
        <v>1850</v>
      </c>
      <c r="M289" s="164">
        <v>33.796048651500818</v>
      </c>
      <c r="N289" s="78">
        <v>2048.3999999999996</v>
      </c>
      <c r="O289" s="113">
        <v>58303.07821996665</v>
      </c>
      <c r="P289" s="111">
        <v>70738.605944143463</v>
      </c>
      <c r="Q289" s="110">
        <v>29940.005208042821</v>
      </c>
      <c r="R289" s="263">
        <v>88243.083428009471</v>
      </c>
      <c r="S289" s="259">
        <v>100678.61115218629</v>
      </c>
      <c r="U289" s="7" t="s">
        <v>5394</v>
      </c>
    </row>
    <row r="290" spans="1:21" ht="16.5" thickBot="1">
      <c r="A290" s="1188" t="s">
        <v>4533</v>
      </c>
      <c r="B290" s="1192">
        <f t="shared" si="15"/>
        <v>150</v>
      </c>
      <c r="C290" s="1192" t="s">
        <v>3</v>
      </c>
      <c r="D290" s="1192">
        <f t="shared" si="16"/>
        <v>400</v>
      </c>
      <c r="E290" s="1192" t="s">
        <v>3</v>
      </c>
      <c r="F290" s="1190">
        <f t="shared" si="17"/>
        <v>1900</v>
      </c>
      <c r="G290" s="1192" t="s">
        <v>3</v>
      </c>
      <c r="H290" s="1189">
        <v>4</v>
      </c>
      <c r="I290" s="1191" t="s">
        <v>40</v>
      </c>
      <c r="J290" s="149">
        <v>150</v>
      </c>
      <c r="K290" s="66">
        <v>400</v>
      </c>
      <c r="L290" s="66">
        <v>1900</v>
      </c>
      <c r="M290" s="164">
        <v>34.629676073603257</v>
      </c>
      <c r="N290" s="78">
        <v>2116.6799999999998</v>
      </c>
      <c r="O290" s="113">
        <v>59560.522316264447</v>
      </c>
      <c r="P290" s="111">
        <v>72257.06110521646</v>
      </c>
      <c r="Q290" s="110">
        <v>30596.612157772794</v>
      </c>
      <c r="R290" s="263">
        <v>90157.134474037244</v>
      </c>
      <c r="S290" s="259">
        <v>102853.67326298925</v>
      </c>
      <c r="U290" s="7" t="s">
        <v>5395</v>
      </c>
    </row>
    <row r="291" spans="1:21" ht="16.5" thickBot="1">
      <c r="A291" s="1188" t="s">
        <v>4533</v>
      </c>
      <c r="B291" s="1192">
        <f t="shared" si="15"/>
        <v>150</v>
      </c>
      <c r="C291" s="1192" t="s">
        <v>3</v>
      </c>
      <c r="D291" s="1192">
        <f t="shared" si="16"/>
        <v>400</v>
      </c>
      <c r="E291" s="1192" t="s">
        <v>3</v>
      </c>
      <c r="F291" s="1190">
        <f t="shared" si="17"/>
        <v>1950</v>
      </c>
      <c r="G291" s="1192" t="s">
        <v>3</v>
      </c>
      <c r="H291" s="1189">
        <v>4</v>
      </c>
      <c r="I291" s="1191" t="s">
        <v>40</v>
      </c>
      <c r="J291" s="149">
        <v>150</v>
      </c>
      <c r="K291" s="66">
        <v>400</v>
      </c>
      <c r="L291" s="66">
        <v>1950</v>
      </c>
      <c r="M291" s="164">
        <v>35.463303495705695</v>
      </c>
      <c r="N291" s="78">
        <v>2184.96</v>
      </c>
      <c r="O291" s="113">
        <v>60817.966259533467</v>
      </c>
      <c r="P291" s="111">
        <v>73775.516113260717</v>
      </c>
      <c r="Q291" s="110">
        <v>31253.219260531532</v>
      </c>
      <c r="R291" s="263">
        <v>92071.185520065002</v>
      </c>
      <c r="S291" s="259">
        <v>105028.73537379225</v>
      </c>
      <c r="U291" s="7" t="s">
        <v>5396</v>
      </c>
    </row>
    <row r="292" spans="1:21" ht="16.5" thickBot="1">
      <c r="A292" s="1188" t="s">
        <v>4533</v>
      </c>
      <c r="B292" s="1192">
        <f t="shared" si="15"/>
        <v>150</v>
      </c>
      <c r="C292" s="1192" t="s">
        <v>3</v>
      </c>
      <c r="D292" s="1192">
        <f t="shared" si="16"/>
        <v>400</v>
      </c>
      <c r="E292" s="1192" t="s">
        <v>3</v>
      </c>
      <c r="F292" s="1190">
        <f t="shared" si="17"/>
        <v>2000</v>
      </c>
      <c r="G292" s="1192" t="s">
        <v>3</v>
      </c>
      <c r="H292" s="1189">
        <v>4</v>
      </c>
      <c r="I292" s="1191" t="s">
        <v>40</v>
      </c>
      <c r="J292" s="149">
        <v>150</v>
      </c>
      <c r="K292" s="66">
        <v>400</v>
      </c>
      <c r="L292" s="66">
        <v>2000</v>
      </c>
      <c r="M292" s="164">
        <v>36.453002917808121</v>
      </c>
      <c r="N292" s="78">
        <v>2253.2399999999998</v>
      </c>
      <c r="O292" s="113">
        <v>62592.656151564617</v>
      </c>
      <c r="P292" s="111">
        <v>75484.216635137112</v>
      </c>
      <c r="Q292" s="110">
        <v>32161.160348045276</v>
      </c>
      <c r="R292" s="263">
        <v>94753.816499609893</v>
      </c>
      <c r="S292" s="259">
        <v>107645.37698318239</v>
      </c>
      <c r="U292" s="7" t="s">
        <v>5397</v>
      </c>
    </row>
    <row r="293" spans="1:21" ht="16.5" thickBot="1">
      <c r="A293" s="1188" t="s">
        <v>4533</v>
      </c>
      <c r="B293" s="1192">
        <f t="shared" si="15"/>
        <v>150</v>
      </c>
      <c r="C293" s="1192" t="s">
        <v>3</v>
      </c>
      <c r="D293" s="1192">
        <f t="shared" si="16"/>
        <v>400</v>
      </c>
      <c r="E293" s="1192" t="s">
        <v>3</v>
      </c>
      <c r="F293" s="1190">
        <f t="shared" si="17"/>
        <v>2050</v>
      </c>
      <c r="G293" s="1192" t="s">
        <v>3</v>
      </c>
      <c r="H293" s="1189">
        <v>4</v>
      </c>
      <c r="I293" s="1191" t="s">
        <v>40</v>
      </c>
      <c r="J293" s="149">
        <v>150</v>
      </c>
      <c r="K293" s="66">
        <v>400</v>
      </c>
      <c r="L293" s="66">
        <v>2050</v>
      </c>
      <c r="M293" s="164">
        <v>37.286630339910559</v>
      </c>
      <c r="N293" s="78">
        <v>2321.52</v>
      </c>
      <c r="O293" s="113">
        <v>63850.1002478624</v>
      </c>
      <c r="P293" s="111">
        <v>77002.671643181355</v>
      </c>
      <c r="Q293" s="110">
        <v>32817.767450804015</v>
      </c>
      <c r="R293" s="263">
        <v>96667.867698666407</v>
      </c>
      <c r="S293" s="259">
        <v>109820.43909398536</v>
      </c>
      <c r="U293" s="7" t="s">
        <v>5398</v>
      </c>
    </row>
    <row r="294" spans="1:21" ht="16.5" thickBot="1">
      <c r="A294" s="1188" t="s">
        <v>4533</v>
      </c>
      <c r="B294" s="1189">
        <f t="shared" si="15"/>
        <v>150</v>
      </c>
      <c r="C294" s="1189" t="s">
        <v>3</v>
      </c>
      <c r="D294" s="1189">
        <f t="shared" si="16"/>
        <v>400</v>
      </c>
      <c r="E294" s="1189" t="s">
        <v>3</v>
      </c>
      <c r="F294" s="1190">
        <f t="shared" si="17"/>
        <v>2100</v>
      </c>
      <c r="G294" s="1189" t="s">
        <v>3</v>
      </c>
      <c r="H294" s="1189">
        <v>4</v>
      </c>
      <c r="I294" s="1191" t="s">
        <v>40</v>
      </c>
      <c r="J294" s="149">
        <v>150</v>
      </c>
      <c r="K294" s="66">
        <v>400</v>
      </c>
      <c r="L294" s="66">
        <v>2100</v>
      </c>
      <c r="M294" s="164">
        <v>38.12025776201299</v>
      </c>
      <c r="N294" s="78">
        <v>2389.7999999999997</v>
      </c>
      <c r="O294" s="113">
        <v>65107.544344160196</v>
      </c>
      <c r="P294" s="111">
        <v>78521.126804254352</v>
      </c>
      <c r="Q294" s="110">
        <v>33725.708538317755</v>
      </c>
      <c r="R294" s="263">
        <v>98833.252882477944</v>
      </c>
      <c r="S294" s="259">
        <v>112246.8353425721</v>
      </c>
      <c r="U294" s="7" t="s">
        <v>5399</v>
      </c>
    </row>
    <row r="295" spans="1:21" ht="16.5" thickBot="1">
      <c r="A295" s="1188" t="s">
        <v>4533</v>
      </c>
      <c r="B295" s="1192">
        <f t="shared" si="15"/>
        <v>150</v>
      </c>
      <c r="C295" s="1192" t="s">
        <v>3</v>
      </c>
      <c r="D295" s="1192">
        <f t="shared" si="16"/>
        <v>400</v>
      </c>
      <c r="E295" s="1192" t="s">
        <v>3</v>
      </c>
      <c r="F295" s="1190">
        <f t="shared" si="17"/>
        <v>2150</v>
      </c>
      <c r="G295" s="1192" t="s">
        <v>3</v>
      </c>
      <c r="H295" s="1189">
        <v>4</v>
      </c>
      <c r="I295" s="1191" t="s">
        <v>40</v>
      </c>
      <c r="J295" s="149">
        <v>150</v>
      </c>
      <c r="K295" s="66">
        <v>400</v>
      </c>
      <c r="L295" s="66">
        <v>2150</v>
      </c>
      <c r="M295" s="164">
        <v>38.953885184115428</v>
      </c>
      <c r="N295" s="78">
        <v>2458.08</v>
      </c>
      <c r="O295" s="113">
        <v>66364.988440457993</v>
      </c>
      <c r="P295" s="111">
        <v>80039.581812298595</v>
      </c>
      <c r="Q295" s="110">
        <v>34382.315641076493</v>
      </c>
      <c r="R295" s="263">
        <v>100747.30408153449</v>
      </c>
      <c r="S295" s="259">
        <v>114421.89745337509</v>
      </c>
      <c r="U295" s="7" t="s">
        <v>5400</v>
      </c>
    </row>
    <row r="296" spans="1:21" ht="16.5" thickBot="1">
      <c r="A296" s="1188" t="s">
        <v>4533</v>
      </c>
      <c r="B296" s="1192">
        <f t="shared" si="15"/>
        <v>150</v>
      </c>
      <c r="C296" s="1192" t="s">
        <v>3</v>
      </c>
      <c r="D296" s="1192">
        <f t="shared" si="16"/>
        <v>400</v>
      </c>
      <c r="E296" s="1192" t="s">
        <v>3</v>
      </c>
      <c r="F296" s="1190">
        <f t="shared" si="17"/>
        <v>2200</v>
      </c>
      <c r="G296" s="1192" t="s">
        <v>3</v>
      </c>
      <c r="H296" s="1189">
        <v>4</v>
      </c>
      <c r="I296" s="1191" t="s">
        <v>40</v>
      </c>
      <c r="J296" s="149">
        <v>150</v>
      </c>
      <c r="K296" s="66">
        <v>400</v>
      </c>
      <c r="L296" s="66">
        <v>2200</v>
      </c>
      <c r="M296" s="164">
        <v>39.787512606217859</v>
      </c>
      <c r="N296" s="78">
        <v>2526.36</v>
      </c>
      <c r="O296" s="113">
        <v>67622.432383727006</v>
      </c>
      <c r="P296" s="111">
        <v>81558.036973371607</v>
      </c>
      <c r="Q296" s="110">
        <v>35290.256728590233</v>
      </c>
      <c r="R296" s="263">
        <v>102912.68911231724</v>
      </c>
      <c r="S296" s="259">
        <v>116848.29370196184</v>
      </c>
      <c r="U296" s="7" t="s">
        <v>5401</v>
      </c>
    </row>
    <row r="297" spans="1:21" ht="16.5" thickBot="1">
      <c r="A297" s="1188" t="s">
        <v>4533</v>
      </c>
      <c r="B297" s="1192">
        <f t="shared" si="15"/>
        <v>150</v>
      </c>
      <c r="C297" s="1192" t="s">
        <v>3</v>
      </c>
      <c r="D297" s="1192">
        <f t="shared" si="16"/>
        <v>400</v>
      </c>
      <c r="E297" s="1192" t="s">
        <v>3</v>
      </c>
      <c r="F297" s="1190">
        <f t="shared" si="17"/>
        <v>2250</v>
      </c>
      <c r="G297" s="1192" t="s">
        <v>3</v>
      </c>
      <c r="H297" s="1189">
        <v>4</v>
      </c>
      <c r="I297" s="1191" t="s">
        <v>40</v>
      </c>
      <c r="J297" s="149">
        <v>150</v>
      </c>
      <c r="K297" s="66">
        <v>400</v>
      </c>
      <c r="L297" s="66">
        <v>2250</v>
      </c>
      <c r="M297" s="164">
        <v>40.621140028320298</v>
      </c>
      <c r="N297" s="78">
        <v>2594.64</v>
      </c>
      <c r="O297" s="113">
        <v>68879.876480024803</v>
      </c>
      <c r="P297" s="111">
        <v>83076.491981415835</v>
      </c>
      <c r="Q297" s="110">
        <v>35946.863831348819</v>
      </c>
      <c r="R297" s="263">
        <v>104826.74031137362</v>
      </c>
      <c r="S297" s="259">
        <v>119023.35581276465</v>
      </c>
      <c r="U297" s="7" t="s">
        <v>5402</v>
      </c>
    </row>
    <row r="298" spans="1:21" ht="16.5" thickBot="1">
      <c r="A298" s="1188" t="s">
        <v>4533</v>
      </c>
      <c r="B298" s="1192">
        <f t="shared" si="15"/>
        <v>150</v>
      </c>
      <c r="C298" s="1192" t="s">
        <v>3</v>
      </c>
      <c r="D298" s="1192">
        <f t="shared" si="16"/>
        <v>400</v>
      </c>
      <c r="E298" s="1192" t="s">
        <v>3</v>
      </c>
      <c r="F298" s="1190">
        <f t="shared" si="17"/>
        <v>2300</v>
      </c>
      <c r="G298" s="1192" t="s">
        <v>3</v>
      </c>
      <c r="H298" s="1189">
        <v>4</v>
      </c>
      <c r="I298" s="1191" t="s">
        <v>40</v>
      </c>
      <c r="J298" s="149">
        <v>150</v>
      </c>
      <c r="K298" s="66">
        <v>400</v>
      </c>
      <c r="L298" s="66">
        <v>2300</v>
      </c>
      <c r="M298" s="164">
        <v>41.454767450422722</v>
      </c>
      <c r="N298" s="78">
        <v>2662.9199999999996</v>
      </c>
      <c r="O298" s="113">
        <v>70137.320576322585</v>
      </c>
      <c r="P298" s="111">
        <v>84594.947142488847</v>
      </c>
      <c r="Q298" s="110">
        <v>36603.470781078948</v>
      </c>
      <c r="R298" s="263">
        <v>106740.79135740153</v>
      </c>
      <c r="S298" s="259">
        <v>121198.41792356779</v>
      </c>
      <c r="U298" s="7" t="s">
        <v>5403</v>
      </c>
    </row>
    <row r="299" spans="1:21" ht="16.5" thickBot="1">
      <c r="A299" s="1188" t="s">
        <v>4533</v>
      </c>
      <c r="B299" s="1192">
        <f t="shared" si="15"/>
        <v>150</v>
      </c>
      <c r="C299" s="1192" t="s">
        <v>3</v>
      </c>
      <c r="D299" s="1192">
        <f t="shared" si="16"/>
        <v>400</v>
      </c>
      <c r="E299" s="1192" t="s">
        <v>3</v>
      </c>
      <c r="F299" s="1190">
        <f t="shared" si="17"/>
        <v>2350</v>
      </c>
      <c r="G299" s="1192" t="s">
        <v>3</v>
      </c>
      <c r="H299" s="1189">
        <v>4</v>
      </c>
      <c r="I299" s="1191" t="s">
        <v>40</v>
      </c>
      <c r="J299" s="149">
        <v>150</v>
      </c>
      <c r="K299" s="66">
        <v>400</v>
      </c>
      <c r="L299" s="66">
        <v>2350</v>
      </c>
      <c r="M299" s="164">
        <v>42.28839487252516</v>
      </c>
      <c r="N299" s="78">
        <v>2731.2</v>
      </c>
      <c r="O299" s="113">
        <v>71394.764519591627</v>
      </c>
      <c r="P299" s="111">
        <v>86113.402303561845</v>
      </c>
      <c r="Q299" s="110">
        <v>37511.412021621458</v>
      </c>
      <c r="R299" s="263">
        <v>108906.17654121309</v>
      </c>
      <c r="S299" s="259">
        <v>123624.81432518331</v>
      </c>
      <c r="U299" s="7" t="s">
        <v>5404</v>
      </c>
    </row>
    <row r="300" spans="1:21" ht="16.5" thickBot="1">
      <c r="A300" s="1188" t="s">
        <v>4533</v>
      </c>
      <c r="B300" s="1192">
        <f t="shared" si="15"/>
        <v>150</v>
      </c>
      <c r="C300" s="1192" t="s">
        <v>3</v>
      </c>
      <c r="D300" s="1192">
        <f t="shared" si="16"/>
        <v>400</v>
      </c>
      <c r="E300" s="1192" t="s">
        <v>3</v>
      </c>
      <c r="F300" s="1190">
        <f t="shared" si="17"/>
        <v>2400</v>
      </c>
      <c r="G300" s="1192" t="s">
        <v>3</v>
      </c>
      <c r="H300" s="1189">
        <v>4</v>
      </c>
      <c r="I300" s="1191" t="s">
        <v>40</v>
      </c>
      <c r="J300" s="149">
        <v>150</v>
      </c>
      <c r="K300" s="66">
        <v>400</v>
      </c>
      <c r="L300" s="66">
        <v>2400</v>
      </c>
      <c r="M300" s="164">
        <v>43.122022294627598</v>
      </c>
      <c r="N300" s="78">
        <v>2799.4799999999996</v>
      </c>
      <c r="O300" s="113">
        <v>72652.208615889409</v>
      </c>
      <c r="P300" s="111">
        <v>87631.857311606087</v>
      </c>
      <c r="Q300" s="110">
        <v>38168.019124380196</v>
      </c>
      <c r="R300" s="263">
        <v>110820.22774026961</v>
      </c>
      <c r="S300" s="259">
        <v>125799.87643598628</v>
      </c>
      <c r="U300" s="7" t="s">
        <v>5405</v>
      </c>
    </row>
    <row r="301" spans="1:21" ht="16.5" thickBot="1">
      <c r="A301" s="1188" t="s">
        <v>4533</v>
      </c>
      <c r="B301" s="1192">
        <f t="shared" si="15"/>
        <v>150</v>
      </c>
      <c r="C301" s="1192" t="s">
        <v>3</v>
      </c>
      <c r="D301" s="1192">
        <f t="shared" si="16"/>
        <v>400</v>
      </c>
      <c r="E301" s="1192" t="s">
        <v>3</v>
      </c>
      <c r="F301" s="1190">
        <f t="shared" si="17"/>
        <v>2450</v>
      </c>
      <c r="G301" s="1192" t="s">
        <v>3</v>
      </c>
      <c r="H301" s="1189">
        <v>4</v>
      </c>
      <c r="I301" s="1191" t="s">
        <v>40</v>
      </c>
      <c r="J301" s="149">
        <v>150</v>
      </c>
      <c r="K301" s="66">
        <v>400</v>
      </c>
      <c r="L301" s="66">
        <v>2450</v>
      </c>
      <c r="M301" s="164">
        <v>43.955649716730029</v>
      </c>
      <c r="N301" s="78">
        <v>2867.7599999999998</v>
      </c>
      <c r="O301" s="113">
        <v>73909.652712187191</v>
      </c>
      <c r="P301" s="111">
        <v>89150.312472679099</v>
      </c>
      <c r="Q301" s="110">
        <v>39075.960211893937</v>
      </c>
      <c r="R301" s="263">
        <v>112985.61292408113</v>
      </c>
      <c r="S301" s="259">
        <v>128226.27268457304</v>
      </c>
      <c r="U301" s="7" t="s">
        <v>5406</v>
      </c>
    </row>
    <row r="302" spans="1:21" ht="16.5" thickBot="1">
      <c r="A302" s="1188" t="s">
        <v>4533</v>
      </c>
      <c r="B302" s="1192">
        <f t="shared" si="15"/>
        <v>150</v>
      </c>
      <c r="C302" s="1192" t="s">
        <v>3</v>
      </c>
      <c r="D302" s="1192">
        <f t="shared" si="16"/>
        <v>400</v>
      </c>
      <c r="E302" s="1192" t="s">
        <v>3</v>
      </c>
      <c r="F302" s="1190">
        <f t="shared" si="17"/>
        <v>2500</v>
      </c>
      <c r="G302" s="1192" t="s">
        <v>3</v>
      </c>
      <c r="H302" s="1189">
        <v>4</v>
      </c>
      <c r="I302" s="1191" t="s">
        <v>40</v>
      </c>
      <c r="J302" s="149">
        <v>150</v>
      </c>
      <c r="K302" s="66">
        <v>400</v>
      </c>
      <c r="L302" s="66">
        <v>2500</v>
      </c>
      <c r="M302" s="164">
        <v>45.374335938832459</v>
      </c>
      <c r="N302" s="78">
        <v>2936.0399999999995</v>
      </c>
      <c r="O302" s="113">
        <v>76240.572477867274</v>
      </c>
      <c r="P302" s="111">
        <v>92149.778492344194</v>
      </c>
      <c r="Q302" s="110">
        <v>39732.567314652675</v>
      </c>
      <c r="R302" s="263">
        <v>115973.13979251994</v>
      </c>
      <c r="S302" s="259">
        <v>131882.34580699686</v>
      </c>
      <c r="U302" s="7" t="s">
        <v>5407</v>
      </c>
    </row>
    <row r="303" spans="1:21" ht="16.5" thickBot="1">
      <c r="A303" s="1188" t="s">
        <v>4533</v>
      </c>
      <c r="B303" s="1192">
        <f t="shared" si="15"/>
        <v>150</v>
      </c>
      <c r="C303" s="1192" t="s">
        <v>3</v>
      </c>
      <c r="D303" s="1192">
        <f t="shared" si="16"/>
        <v>400</v>
      </c>
      <c r="E303" s="1192" t="s">
        <v>3</v>
      </c>
      <c r="F303" s="1190">
        <f t="shared" si="17"/>
        <v>2550</v>
      </c>
      <c r="G303" s="1192" t="s">
        <v>3</v>
      </c>
      <c r="H303" s="1189">
        <v>4</v>
      </c>
      <c r="I303" s="1191" t="s">
        <v>40</v>
      </c>
      <c r="J303" s="149">
        <v>150</v>
      </c>
      <c r="K303" s="66">
        <v>400</v>
      </c>
      <c r="L303" s="66">
        <v>2550</v>
      </c>
      <c r="M303" s="164">
        <v>46.207963360934912</v>
      </c>
      <c r="N303" s="78">
        <v>3004.32</v>
      </c>
      <c r="O303" s="113">
        <v>77895.410241052523</v>
      </c>
      <c r="P303" s="111">
        <v>93683.536376900942</v>
      </c>
      <c r="Q303" s="110">
        <v>40640.508402166415</v>
      </c>
      <c r="R303" s="263">
        <v>118535.91864321893</v>
      </c>
      <c r="S303" s="259">
        <v>134324.04477906736</v>
      </c>
      <c r="U303" s="7" t="s">
        <v>5408</v>
      </c>
    </row>
    <row r="304" spans="1:21" ht="16.5" thickBot="1">
      <c r="A304" s="1188" t="s">
        <v>4533</v>
      </c>
      <c r="B304" s="1189">
        <f t="shared" si="15"/>
        <v>150</v>
      </c>
      <c r="C304" s="1189" t="s">
        <v>3</v>
      </c>
      <c r="D304" s="1189">
        <f t="shared" si="16"/>
        <v>400</v>
      </c>
      <c r="E304" s="1189" t="s">
        <v>3</v>
      </c>
      <c r="F304" s="1190">
        <f t="shared" si="17"/>
        <v>2600</v>
      </c>
      <c r="G304" s="1189" t="s">
        <v>3</v>
      </c>
      <c r="H304" s="1189">
        <v>4</v>
      </c>
      <c r="I304" s="1191" t="s">
        <v>40</v>
      </c>
      <c r="J304" s="149">
        <v>150</v>
      </c>
      <c r="K304" s="66">
        <v>400</v>
      </c>
      <c r="L304" s="66">
        <v>2600</v>
      </c>
      <c r="M304" s="164">
        <v>47.041590783037336</v>
      </c>
      <c r="N304" s="78">
        <v>3072.6</v>
      </c>
      <c r="O304" s="113">
        <v>79152.854337350305</v>
      </c>
      <c r="P304" s="111">
        <v>95201.99153797394</v>
      </c>
      <c r="Q304" s="110">
        <v>41297.115504925154</v>
      </c>
      <c r="R304" s="263">
        <v>120449.96984227546</v>
      </c>
      <c r="S304" s="259">
        <v>136499.10704289909</v>
      </c>
      <c r="U304" s="7" t="s">
        <v>5409</v>
      </c>
    </row>
    <row r="305" spans="1:21" ht="16.5" thickBot="1">
      <c r="A305" s="1188" t="s">
        <v>4533</v>
      </c>
      <c r="B305" s="1192">
        <f t="shared" si="15"/>
        <v>150</v>
      </c>
      <c r="C305" s="1192" t="s">
        <v>3</v>
      </c>
      <c r="D305" s="1192">
        <f t="shared" si="16"/>
        <v>400</v>
      </c>
      <c r="E305" s="1192" t="s">
        <v>3</v>
      </c>
      <c r="F305" s="1190">
        <f t="shared" si="17"/>
        <v>2650</v>
      </c>
      <c r="G305" s="1192" t="s">
        <v>3</v>
      </c>
      <c r="H305" s="1189">
        <v>4</v>
      </c>
      <c r="I305" s="1191" t="s">
        <v>40</v>
      </c>
      <c r="J305" s="149">
        <v>150</v>
      </c>
      <c r="K305" s="66">
        <v>400</v>
      </c>
      <c r="L305" s="66">
        <v>2650</v>
      </c>
      <c r="M305" s="164">
        <v>47.875218205139774</v>
      </c>
      <c r="N305" s="78">
        <v>3140.8799999999997</v>
      </c>
      <c r="O305" s="113">
        <v>80410.298280619332</v>
      </c>
      <c r="P305" s="111">
        <v>96720.446546018182</v>
      </c>
      <c r="Q305" s="110">
        <v>42205.056592438901</v>
      </c>
      <c r="R305" s="263">
        <v>122615.35487305824</v>
      </c>
      <c r="S305" s="259">
        <v>138925.50313845708</v>
      </c>
      <c r="U305" s="7" t="s">
        <v>5410</v>
      </c>
    </row>
    <row r="306" spans="1:21" ht="16.5" thickBot="1">
      <c r="A306" s="1188" t="s">
        <v>4533</v>
      </c>
      <c r="B306" s="1192">
        <f t="shared" si="15"/>
        <v>150</v>
      </c>
      <c r="C306" s="1192" t="s">
        <v>3</v>
      </c>
      <c r="D306" s="1192">
        <f t="shared" si="16"/>
        <v>400</v>
      </c>
      <c r="E306" s="1192" t="s">
        <v>3</v>
      </c>
      <c r="F306" s="1190">
        <f t="shared" si="17"/>
        <v>2700</v>
      </c>
      <c r="G306" s="1192" t="s">
        <v>3</v>
      </c>
      <c r="H306" s="1189">
        <v>4</v>
      </c>
      <c r="I306" s="1191" t="s">
        <v>40</v>
      </c>
      <c r="J306" s="149">
        <v>150</v>
      </c>
      <c r="K306" s="66">
        <v>400</v>
      </c>
      <c r="L306" s="66">
        <v>2700</v>
      </c>
      <c r="M306" s="164">
        <v>48.708845627242212</v>
      </c>
      <c r="N306" s="78">
        <v>3209.16</v>
      </c>
      <c r="O306" s="113">
        <v>81667.742376917129</v>
      </c>
      <c r="P306" s="111">
        <v>98238.901707091194</v>
      </c>
      <c r="Q306" s="110">
        <v>42861.66369519764</v>
      </c>
      <c r="R306" s="263">
        <v>124529.40607211477</v>
      </c>
      <c r="S306" s="259">
        <v>141100.56540228883</v>
      </c>
      <c r="U306" s="7" t="s">
        <v>5411</v>
      </c>
    </row>
    <row r="307" spans="1:21" ht="16.5" thickBot="1">
      <c r="A307" s="1188" t="s">
        <v>4533</v>
      </c>
      <c r="B307" s="1192">
        <f t="shared" si="15"/>
        <v>150</v>
      </c>
      <c r="C307" s="1192" t="s">
        <v>3</v>
      </c>
      <c r="D307" s="1192">
        <f t="shared" si="16"/>
        <v>400</v>
      </c>
      <c r="E307" s="1192" t="s">
        <v>3</v>
      </c>
      <c r="F307" s="1190">
        <f t="shared" si="17"/>
        <v>2750</v>
      </c>
      <c r="G307" s="1192" t="s">
        <v>3</v>
      </c>
      <c r="H307" s="1189">
        <v>4</v>
      </c>
      <c r="I307" s="1191" t="s">
        <v>40</v>
      </c>
      <c r="J307" s="149">
        <v>150</v>
      </c>
      <c r="K307" s="66">
        <v>400</v>
      </c>
      <c r="L307" s="66">
        <v>2750</v>
      </c>
      <c r="M307" s="164">
        <v>49.542473049344636</v>
      </c>
      <c r="N307" s="78">
        <v>3277.4399999999996</v>
      </c>
      <c r="O307" s="113">
        <v>82925.186473214912</v>
      </c>
      <c r="P307" s="111">
        <v>99757.356715135422</v>
      </c>
      <c r="Q307" s="110">
        <v>43518.270644927608</v>
      </c>
      <c r="R307" s="263">
        <v>126443.45711814251</v>
      </c>
      <c r="S307" s="259">
        <v>143275.62736006302</v>
      </c>
      <c r="U307" s="7" t="s">
        <v>5412</v>
      </c>
    </row>
    <row r="308" spans="1:21" ht="16.5" thickBot="1">
      <c r="A308" s="1188" t="s">
        <v>4533</v>
      </c>
      <c r="B308" s="1192">
        <f t="shared" si="15"/>
        <v>150</v>
      </c>
      <c r="C308" s="1192" t="s">
        <v>3</v>
      </c>
      <c r="D308" s="1192">
        <f t="shared" si="16"/>
        <v>400</v>
      </c>
      <c r="E308" s="1192" t="s">
        <v>3</v>
      </c>
      <c r="F308" s="1190">
        <f t="shared" si="17"/>
        <v>2800</v>
      </c>
      <c r="G308" s="1192" t="s">
        <v>3</v>
      </c>
      <c r="H308" s="1189">
        <v>4</v>
      </c>
      <c r="I308" s="1191" t="s">
        <v>40</v>
      </c>
      <c r="J308" s="149">
        <v>150</v>
      </c>
      <c r="K308" s="66">
        <v>400</v>
      </c>
      <c r="L308" s="66">
        <v>2800</v>
      </c>
      <c r="M308" s="164">
        <v>50.376100471447081</v>
      </c>
      <c r="N308" s="78">
        <v>3345.72</v>
      </c>
      <c r="O308" s="113">
        <v>84182.630416483938</v>
      </c>
      <c r="P308" s="111">
        <v>101275.81187620843</v>
      </c>
      <c r="Q308" s="110">
        <v>44426.211885470118</v>
      </c>
      <c r="R308" s="263">
        <v>128608.84230195405</v>
      </c>
      <c r="S308" s="259">
        <v>145702.02376167855</v>
      </c>
      <c r="U308" s="7" t="s">
        <v>5413</v>
      </c>
    </row>
    <row r="309" spans="1:21" ht="16.5" thickBot="1">
      <c r="A309" s="1188" t="s">
        <v>4533</v>
      </c>
      <c r="B309" s="1192">
        <f t="shared" si="15"/>
        <v>150</v>
      </c>
      <c r="C309" s="1192" t="s">
        <v>3</v>
      </c>
      <c r="D309" s="1192">
        <f t="shared" si="16"/>
        <v>400</v>
      </c>
      <c r="E309" s="1192" t="s">
        <v>3</v>
      </c>
      <c r="F309" s="1190">
        <f t="shared" si="17"/>
        <v>2850</v>
      </c>
      <c r="G309" s="1192" t="s">
        <v>3</v>
      </c>
      <c r="H309" s="1189">
        <v>4</v>
      </c>
      <c r="I309" s="1191" t="s">
        <v>40</v>
      </c>
      <c r="J309" s="149">
        <v>150</v>
      </c>
      <c r="K309" s="66">
        <v>400</v>
      </c>
      <c r="L309" s="66">
        <v>2850</v>
      </c>
      <c r="M309" s="164">
        <v>51.209727893549513</v>
      </c>
      <c r="N309" s="78">
        <v>3414</v>
      </c>
      <c r="O309" s="113">
        <v>85440.074512781721</v>
      </c>
      <c r="P309" s="111">
        <v>102794.26703728145</v>
      </c>
      <c r="Q309" s="110">
        <v>45082.818835200087</v>
      </c>
      <c r="R309" s="263">
        <v>130522.89334798181</v>
      </c>
      <c r="S309" s="259">
        <v>147877.08587248152</v>
      </c>
      <c r="U309" s="7" t="s">
        <v>5414</v>
      </c>
    </row>
    <row r="310" spans="1:21" ht="16.5" thickBot="1">
      <c r="A310" s="1188" t="s">
        <v>4533</v>
      </c>
      <c r="B310" s="1192">
        <f t="shared" si="15"/>
        <v>150</v>
      </c>
      <c r="C310" s="1192" t="s">
        <v>3</v>
      </c>
      <c r="D310" s="1192">
        <f t="shared" si="16"/>
        <v>400</v>
      </c>
      <c r="E310" s="1192" t="s">
        <v>3</v>
      </c>
      <c r="F310" s="1190">
        <f t="shared" si="17"/>
        <v>2900</v>
      </c>
      <c r="G310" s="1192" t="s">
        <v>3</v>
      </c>
      <c r="H310" s="1189">
        <v>4</v>
      </c>
      <c r="I310" s="1191" t="s">
        <v>40</v>
      </c>
      <c r="J310" s="149">
        <v>150</v>
      </c>
      <c r="K310" s="66">
        <v>400</v>
      </c>
      <c r="L310" s="66">
        <v>2900</v>
      </c>
      <c r="M310" s="164">
        <v>52.043355315651937</v>
      </c>
      <c r="N310" s="78">
        <v>3482.2799999999997</v>
      </c>
      <c r="O310" s="113">
        <v>86697.518609079518</v>
      </c>
      <c r="P310" s="111">
        <v>104312.72204532567</v>
      </c>
      <c r="Q310" s="110">
        <v>45990.760075742597</v>
      </c>
      <c r="R310" s="263">
        <v>132688.27868482211</v>
      </c>
      <c r="S310" s="259">
        <v>150303.48212106829</v>
      </c>
      <c r="U310" s="7" t="s">
        <v>5415</v>
      </c>
    </row>
    <row r="311" spans="1:21" ht="16.5" thickBot="1">
      <c r="A311" s="1188" t="s">
        <v>4533</v>
      </c>
      <c r="B311" s="1192">
        <f t="shared" si="15"/>
        <v>150</v>
      </c>
      <c r="C311" s="1192" t="s">
        <v>3</v>
      </c>
      <c r="D311" s="1192">
        <f t="shared" si="16"/>
        <v>400</v>
      </c>
      <c r="E311" s="1192" t="s">
        <v>3</v>
      </c>
      <c r="F311" s="1202">
        <f t="shared" si="17"/>
        <v>2950</v>
      </c>
      <c r="G311" s="1192" t="s">
        <v>3</v>
      </c>
      <c r="H311" s="1189">
        <v>4</v>
      </c>
      <c r="I311" s="1191" t="s">
        <v>40</v>
      </c>
      <c r="J311" s="149">
        <v>150</v>
      </c>
      <c r="K311" s="66">
        <v>400</v>
      </c>
      <c r="L311" s="66">
        <v>2950</v>
      </c>
      <c r="M311" s="164">
        <v>52.876982737754389</v>
      </c>
      <c r="N311" s="78">
        <v>3550.56</v>
      </c>
      <c r="O311" s="113">
        <v>87954.962552348545</v>
      </c>
      <c r="P311" s="111">
        <v>105831.17720639869</v>
      </c>
      <c r="Q311" s="110">
        <v>46647.367025472573</v>
      </c>
      <c r="R311" s="263">
        <v>134602.32957782113</v>
      </c>
      <c r="S311" s="259">
        <v>152478.54423187126</v>
      </c>
      <c r="U311" s="7" t="s">
        <v>5416</v>
      </c>
    </row>
    <row r="312" spans="1:21" ht="16.5" thickBot="1">
      <c r="A312" s="1188" t="s">
        <v>4533</v>
      </c>
      <c r="B312" s="1189">
        <f t="shared" si="15"/>
        <v>150</v>
      </c>
      <c r="C312" s="1189" t="s">
        <v>3</v>
      </c>
      <c r="D312" s="1189">
        <f t="shared" si="16"/>
        <v>400</v>
      </c>
      <c r="E312" s="1189" t="s">
        <v>3</v>
      </c>
      <c r="F312" s="1190">
        <f t="shared" si="17"/>
        <v>3000</v>
      </c>
      <c r="G312" s="1189" t="s">
        <v>3</v>
      </c>
      <c r="H312" s="1189">
        <v>4</v>
      </c>
      <c r="I312" s="1191" t="s">
        <v>40</v>
      </c>
      <c r="J312" s="151">
        <v>150</v>
      </c>
      <c r="K312" s="126">
        <v>400</v>
      </c>
      <c r="L312" s="126">
        <v>3000</v>
      </c>
      <c r="M312" s="171">
        <v>54.022754159856802</v>
      </c>
      <c r="N312" s="127">
        <v>3618.8399999999997</v>
      </c>
      <c r="O312" s="128">
        <v>89515.281180581733</v>
      </c>
      <c r="P312" s="135">
        <v>107652.50674637832</v>
      </c>
      <c r="Q312" s="136">
        <v>47555.308266015076</v>
      </c>
      <c r="R312" s="264">
        <v>137070.5894465968</v>
      </c>
      <c r="S312" s="261">
        <v>155207.8150123934</v>
      </c>
      <c r="U312" s="7" t="s">
        <v>5417</v>
      </c>
    </row>
  </sheetData>
  <mergeCells count="21">
    <mergeCell ref="A58:S58"/>
    <mergeCell ref="A4:I6"/>
    <mergeCell ref="J4:M5"/>
    <mergeCell ref="N4:N6"/>
    <mergeCell ref="O4:O5"/>
    <mergeCell ref="P4:P5"/>
    <mergeCell ref="Q4:Q5"/>
    <mergeCell ref="R4:R5"/>
    <mergeCell ref="S4:S5"/>
    <mergeCell ref="O6:S6"/>
    <mergeCell ref="A7:S7"/>
    <mergeCell ref="A8:S8"/>
    <mergeCell ref="A212:S212"/>
    <mergeCell ref="A262:S262"/>
    <mergeCell ref="A263:S263"/>
    <mergeCell ref="A59:S59"/>
    <mergeCell ref="A109:S109"/>
    <mergeCell ref="A110:S110"/>
    <mergeCell ref="A160:S160"/>
    <mergeCell ref="A161:S161"/>
    <mergeCell ref="A211:S211"/>
  </mergeCells>
  <hyperlinks>
    <hyperlink ref="A1:I1" location="Главная!A1" display="Вернуться на главную страницу" xr:uid="{146447F7-E7AA-4009-A169-D35C7150E939}"/>
    <hyperlink ref="A2" location="'Калькулятор теплоотдач ВК'!R1C1" display="Вернуться Калькулятор теплоотдач ВК" xr:uid="{810CA2A7-9013-478A-B7A9-C395B31FFE6F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2A83-AA4F-4D9B-9808-63BA4792D215}">
  <sheetPr>
    <tabColor rgb="FFFF9900"/>
  </sheetPr>
  <dimension ref="A1:U261"/>
  <sheetViews>
    <sheetView zoomScale="70" zoomScaleNormal="70" workbookViewId="0">
      <pane ySplit="6" topLeftCell="A7" activePane="bottomLeft" state="frozen"/>
      <selection pane="bottomLeft" activeCell="Y14" sqref="Y14"/>
    </sheetView>
  </sheetViews>
  <sheetFormatPr defaultRowHeight="15"/>
  <cols>
    <col min="1" max="1" width="10" customWidth="1"/>
    <col min="2" max="2" width="6" customWidth="1"/>
    <col min="3" max="3" width="3" customWidth="1"/>
    <col min="4" max="4" width="6" customWidth="1"/>
    <col min="5" max="5" width="3" customWidth="1"/>
    <col min="6" max="6" width="7.7109375" customWidth="1"/>
    <col min="7" max="7" width="3" customWidth="1"/>
    <col min="8" max="8" width="6" customWidth="1"/>
    <col min="9" max="9" width="4.5703125" customWidth="1"/>
    <col min="10" max="12" width="11.28515625" customWidth="1"/>
    <col min="13" max="13" width="15.5703125" customWidth="1"/>
    <col min="14" max="14" width="19.140625" customWidth="1"/>
    <col min="15" max="16" width="27.7109375" customWidth="1"/>
    <col min="17" max="17" width="26.28515625" customWidth="1"/>
    <col min="18" max="19" width="27.7109375" customWidth="1"/>
    <col min="21" max="21" width="27.140625" customWidth="1"/>
  </cols>
  <sheetData>
    <row r="1" spans="1:21" ht="15.75">
      <c r="A1" s="1183" t="s">
        <v>9</v>
      </c>
      <c r="B1" s="1183"/>
      <c r="C1" s="1183"/>
      <c r="D1" s="1183"/>
      <c r="E1" s="1183"/>
      <c r="F1" s="88"/>
      <c r="G1" s="1183"/>
      <c r="H1" s="1183"/>
      <c r="I1" s="1183"/>
      <c r="J1" s="7"/>
      <c r="K1" s="87"/>
      <c r="L1" s="87"/>
      <c r="M1" s="140"/>
      <c r="N1" s="7"/>
      <c r="O1" s="107"/>
      <c r="P1" s="107"/>
      <c r="Q1" s="107"/>
      <c r="R1" s="107"/>
      <c r="S1" s="107"/>
    </row>
    <row r="2" spans="1:21" ht="15.75">
      <c r="A2" s="895" t="s">
        <v>346</v>
      </c>
      <c r="B2" s="1183"/>
      <c r="C2" s="1183"/>
      <c r="D2" s="1183"/>
      <c r="E2" s="1183"/>
      <c r="F2" s="88"/>
      <c r="G2" s="1183"/>
      <c r="H2" s="1183"/>
      <c r="I2" s="1183"/>
      <c r="J2" s="7"/>
      <c r="K2" s="87"/>
      <c r="L2" s="87"/>
      <c r="M2" s="140"/>
      <c r="N2" s="7"/>
      <c r="O2" s="107"/>
      <c r="P2" s="107"/>
      <c r="Q2" s="107"/>
      <c r="R2" s="107"/>
      <c r="S2" s="107"/>
    </row>
    <row r="3" spans="1:21" ht="16.5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6"/>
      <c r="Q3" s="107"/>
      <c r="R3" s="107"/>
      <c r="S3" s="107"/>
    </row>
    <row r="4" spans="1:21" ht="69.75" customHeight="1">
      <c r="A4" s="3053" t="s">
        <v>8</v>
      </c>
      <c r="B4" s="3054"/>
      <c r="C4" s="3054"/>
      <c r="D4" s="3054"/>
      <c r="E4" s="3054"/>
      <c r="F4" s="3054"/>
      <c r="G4" s="3054"/>
      <c r="H4" s="3054"/>
      <c r="I4" s="3055"/>
      <c r="J4" s="3062" t="s">
        <v>78</v>
      </c>
      <c r="K4" s="3063"/>
      <c r="L4" s="3063"/>
      <c r="M4" s="3064"/>
      <c r="N4" s="3068" t="s">
        <v>77</v>
      </c>
      <c r="O4" s="3071" t="s">
        <v>142</v>
      </c>
      <c r="P4" s="3008" t="s">
        <v>138</v>
      </c>
      <c r="Q4" s="3071" t="s">
        <v>143</v>
      </c>
      <c r="R4" s="3073" t="s">
        <v>420</v>
      </c>
      <c r="S4" s="2981" t="s">
        <v>421</v>
      </c>
      <c r="U4" s="65"/>
    </row>
    <row r="5" spans="1:21" ht="69.75" customHeight="1" thickBot="1">
      <c r="A5" s="3056"/>
      <c r="B5" s="3057"/>
      <c r="C5" s="3057"/>
      <c r="D5" s="3057"/>
      <c r="E5" s="3057"/>
      <c r="F5" s="3057"/>
      <c r="G5" s="3057"/>
      <c r="H5" s="3057"/>
      <c r="I5" s="3058"/>
      <c r="J5" s="3065"/>
      <c r="K5" s="3066"/>
      <c r="L5" s="3066"/>
      <c r="M5" s="3067"/>
      <c r="N5" s="3069"/>
      <c r="O5" s="3072"/>
      <c r="P5" s="3009"/>
      <c r="Q5" s="3072"/>
      <c r="R5" s="3074"/>
      <c r="S5" s="2982"/>
    </row>
    <row r="6" spans="1:21" ht="60.75" customHeight="1" thickBot="1">
      <c r="A6" s="3059"/>
      <c r="B6" s="3060"/>
      <c r="C6" s="3060"/>
      <c r="D6" s="3060"/>
      <c r="E6" s="3060"/>
      <c r="F6" s="3060"/>
      <c r="G6" s="3060"/>
      <c r="H6" s="3060"/>
      <c r="I6" s="3061"/>
      <c r="J6" s="1185" t="s">
        <v>0</v>
      </c>
      <c r="K6" s="1200" t="s">
        <v>1</v>
      </c>
      <c r="L6" s="1200" t="s">
        <v>2</v>
      </c>
      <c r="M6" s="1201" t="s">
        <v>75</v>
      </c>
      <c r="N6" s="3070"/>
      <c r="O6" s="3075" t="s">
        <v>141</v>
      </c>
      <c r="P6" s="3076"/>
      <c r="Q6" s="3076"/>
      <c r="R6" s="3076"/>
      <c r="S6" s="3077"/>
    </row>
    <row r="7" spans="1:21" ht="21.75" thickBot="1">
      <c r="A7" s="2968" t="s">
        <v>473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69"/>
      <c r="R7" s="2969"/>
      <c r="S7" s="2970"/>
    </row>
    <row r="8" spans="1:21" ht="16.5" customHeight="1" thickBot="1">
      <c r="A8" s="3050" t="s">
        <v>4535</v>
      </c>
      <c r="B8" s="3051"/>
      <c r="C8" s="3051"/>
      <c r="D8" s="3051"/>
      <c r="E8" s="3051"/>
      <c r="F8" s="3051"/>
      <c r="G8" s="3051"/>
      <c r="H8" s="3051"/>
      <c r="I8" s="3051"/>
      <c r="J8" s="3051"/>
      <c r="K8" s="3051"/>
      <c r="L8" s="3051"/>
      <c r="M8" s="3051"/>
      <c r="N8" s="3051"/>
      <c r="O8" s="3051"/>
      <c r="P8" s="3051"/>
      <c r="Q8" s="3051"/>
      <c r="R8" s="3078"/>
      <c r="S8" s="3079"/>
    </row>
    <row r="9" spans="1:21" ht="16.5" thickBot="1">
      <c r="A9" s="1188" t="s">
        <v>4533</v>
      </c>
      <c r="B9" s="1189">
        <f>J9</f>
        <v>200</v>
      </c>
      <c r="C9" s="1189" t="s">
        <v>3</v>
      </c>
      <c r="D9" s="1189">
        <f>K9</f>
        <v>200</v>
      </c>
      <c r="E9" s="1189" t="s">
        <v>3</v>
      </c>
      <c r="F9" s="1190">
        <f>L9</f>
        <v>600</v>
      </c>
      <c r="G9" s="1189" t="s">
        <v>3</v>
      </c>
      <c r="H9" s="1189">
        <v>4</v>
      </c>
      <c r="I9" s="1191" t="s">
        <v>41</v>
      </c>
      <c r="J9" s="146">
        <v>200</v>
      </c>
      <c r="K9" s="122">
        <v>200</v>
      </c>
      <c r="L9" s="122">
        <v>600</v>
      </c>
      <c r="M9" s="163">
        <v>8.7203461263083835</v>
      </c>
      <c r="N9" s="123">
        <v>345.89592072424307</v>
      </c>
      <c r="O9" s="124">
        <v>22992.55007691784</v>
      </c>
      <c r="P9" s="1203">
        <v>27367.967810996248</v>
      </c>
      <c r="Q9" s="1204">
        <v>7123.1890801891068</v>
      </c>
      <c r="R9" s="262">
        <v>30115.739157106946</v>
      </c>
      <c r="S9" s="257">
        <v>34491.156891185354</v>
      </c>
      <c r="U9" s="7" t="s">
        <v>5418</v>
      </c>
    </row>
    <row r="10" spans="1:21" ht="16.5" thickBot="1">
      <c r="A10" s="1188" t="s">
        <v>4533</v>
      </c>
      <c r="B10" s="1192">
        <f t="shared" ref="B10:B57" si="0">J10</f>
        <v>200</v>
      </c>
      <c r="C10" s="1192" t="s">
        <v>3</v>
      </c>
      <c r="D10" s="1192">
        <f t="shared" ref="D10:D57" si="1">K10</f>
        <v>200</v>
      </c>
      <c r="E10" s="1192" t="s">
        <v>3</v>
      </c>
      <c r="F10" s="1190">
        <f t="shared" ref="F10:F57" si="2">L10</f>
        <v>650</v>
      </c>
      <c r="G10" s="1192" t="s">
        <v>3</v>
      </c>
      <c r="H10" s="1189">
        <v>4</v>
      </c>
      <c r="I10" s="1191" t="s">
        <v>41</v>
      </c>
      <c r="J10" s="149">
        <v>200</v>
      </c>
      <c r="K10" s="66">
        <v>200</v>
      </c>
      <c r="L10" s="66">
        <v>650</v>
      </c>
      <c r="M10" s="164">
        <v>9.3856163673581854</v>
      </c>
      <c r="N10" s="78">
        <v>415.07510486909166</v>
      </c>
      <c r="O10" s="113">
        <v>24190.493681788495</v>
      </c>
      <c r="P10" s="1205">
        <v>28789.635185674229</v>
      </c>
      <c r="Q10" s="1206">
        <v>7513.8655494313916</v>
      </c>
      <c r="R10" s="263">
        <v>31704.359231219889</v>
      </c>
      <c r="S10" s="259">
        <v>36303.500735105619</v>
      </c>
      <c r="U10" s="7" t="s">
        <v>5419</v>
      </c>
    </row>
    <row r="11" spans="1:21" ht="16.5" thickBot="1">
      <c r="A11" s="1188" t="s">
        <v>4533</v>
      </c>
      <c r="B11" s="1192">
        <f t="shared" si="0"/>
        <v>200</v>
      </c>
      <c r="C11" s="1192" t="s">
        <v>3</v>
      </c>
      <c r="D11" s="1192">
        <f t="shared" si="1"/>
        <v>200</v>
      </c>
      <c r="E11" s="1192" t="s">
        <v>3</v>
      </c>
      <c r="F11" s="1190">
        <f t="shared" si="2"/>
        <v>700</v>
      </c>
      <c r="G11" s="1192" t="s">
        <v>3</v>
      </c>
      <c r="H11" s="1189">
        <v>4</v>
      </c>
      <c r="I11" s="1191" t="s">
        <v>41</v>
      </c>
      <c r="J11" s="149">
        <v>200</v>
      </c>
      <c r="K11" s="66">
        <v>200</v>
      </c>
      <c r="L11" s="66">
        <v>700</v>
      </c>
      <c r="M11" s="164">
        <v>10.050886608407989</v>
      </c>
      <c r="N11" s="78">
        <v>484.25428901394025</v>
      </c>
      <c r="O11" s="113">
        <v>25388.437286659151</v>
      </c>
      <c r="P11" s="1205">
        <v>30211.302560352211</v>
      </c>
      <c r="Q11" s="1206">
        <v>8155.8760034286815</v>
      </c>
      <c r="R11" s="263">
        <v>33544.313290087834</v>
      </c>
      <c r="S11" s="259">
        <v>38367.178563780893</v>
      </c>
      <c r="U11" s="7" t="s">
        <v>5420</v>
      </c>
    </row>
    <row r="12" spans="1:21" ht="16.5" thickBot="1">
      <c r="A12" s="1188" t="s">
        <v>4533</v>
      </c>
      <c r="B12" s="1192">
        <f t="shared" si="0"/>
        <v>200</v>
      </c>
      <c r="C12" s="1192" t="s">
        <v>3</v>
      </c>
      <c r="D12" s="1192">
        <f t="shared" si="1"/>
        <v>200</v>
      </c>
      <c r="E12" s="1192" t="s">
        <v>3</v>
      </c>
      <c r="F12" s="1190">
        <f t="shared" si="2"/>
        <v>750</v>
      </c>
      <c r="G12" s="1192" t="s">
        <v>3</v>
      </c>
      <c r="H12" s="1189">
        <v>4</v>
      </c>
      <c r="I12" s="1191" t="s">
        <v>41</v>
      </c>
      <c r="J12" s="149">
        <v>200</v>
      </c>
      <c r="K12" s="66">
        <v>200</v>
      </c>
      <c r="L12" s="66">
        <v>750</v>
      </c>
      <c r="M12" s="164">
        <v>10.716156849457789</v>
      </c>
      <c r="N12" s="78">
        <v>553.43347315878896</v>
      </c>
      <c r="O12" s="113">
        <v>26586.38104455857</v>
      </c>
      <c r="P12" s="1205">
        <v>31632.969935030185</v>
      </c>
      <c r="Q12" s="1206">
        <v>8546.5523196422018</v>
      </c>
      <c r="R12" s="263">
        <v>35132.93336420077</v>
      </c>
      <c r="S12" s="259">
        <v>40179.522254672389</v>
      </c>
      <c r="U12" s="7" t="s">
        <v>5421</v>
      </c>
    </row>
    <row r="13" spans="1:21" ht="16.5" thickBot="1">
      <c r="A13" s="1188" t="s">
        <v>4533</v>
      </c>
      <c r="B13" s="1192">
        <f t="shared" si="0"/>
        <v>200</v>
      </c>
      <c r="C13" s="1192" t="s">
        <v>3</v>
      </c>
      <c r="D13" s="1192">
        <f t="shared" si="1"/>
        <v>200</v>
      </c>
      <c r="E13" s="1192" t="s">
        <v>3</v>
      </c>
      <c r="F13" s="1190">
        <f t="shared" si="2"/>
        <v>800</v>
      </c>
      <c r="G13" s="1192" t="s">
        <v>3</v>
      </c>
      <c r="H13" s="1189">
        <v>4</v>
      </c>
      <c r="I13" s="1191" t="s">
        <v>41</v>
      </c>
      <c r="J13" s="149">
        <v>200</v>
      </c>
      <c r="K13" s="66">
        <v>200</v>
      </c>
      <c r="L13" s="66">
        <v>800</v>
      </c>
      <c r="M13" s="164">
        <v>11.381427090507595</v>
      </c>
      <c r="N13" s="78">
        <v>622.61265730363755</v>
      </c>
      <c r="O13" s="113">
        <v>28174.175375454888</v>
      </c>
      <c r="P13" s="1205">
        <v>33069.940186220665</v>
      </c>
      <c r="Q13" s="1206">
        <v>8937.2286358557212</v>
      </c>
      <c r="R13" s="263">
        <v>37111.404011310609</v>
      </c>
      <c r="S13" s="259">
        <v>42007.16882207639</v>
      </c>
      <c r="U13" s="7" t="s">
        <v>5422</v>
      </c>
    </row>
    <row r="14" spans="1:21" ht="16.5" thickBot="1">
      <c r="A14" s="1188" t="s">
        <v>4533</v>
      </c>
      <c r="B14" s="1192">
        <f t="shared" si="0"/>
        <v>200</v>
      </c>
      <c r="C14" s="1192" t="s">
        <v>3</v>
      </c>
      <c r="D14" s="1192">
        <f t="shared" si="1"/>
        <v>200</v>
      </c>
      <c r="E14" s="1192" t="s">
        <v>3</v>
      </c>
      <c r="F14" s="1190">
        <f t="shared" si="2"/>
        <v>850</v>
      </c>
      <c r="G14" s="1192" t="s">
        <v>3</v>
      </c>
      <c r="H14" s="1189">
        <v>4</v>
      </c>
      <c r="I14" s="1191" t="s">
        <v>41</v>
      </c>
      <c r="J14" s="149">
        <v>200</v>
      </c>
      <c r="K14" s="66">
        <v>200</v>
      </c>
      <c r="L14" s="66">
        <v>850</v>
      </c>
      <c r="M14" s="164">
        <v>12.046697331557397</v>
      </c>
      <c r="N14" s="78">
        <v>691.79184144848614</v>
      </c>
      <c r="O14" s="113">
        <v>29372.119133354307</v>
      </c>
      <c r="P14" s="1205">
        <v>34491.60756089865</v>
      </c>
      <c r="Q14" s="1206">
        <v>9579.239089853012</v>
      </c>
      <c r="R14" s="263">
        <v>38951.358223207317</v>
      </c>
      <c r="S14" s="259">
        <v>44070.846650751664</v>
      </c>
      <c r="U14" s="7" t="s">
        <v>5423</v>
      </c>
    </row>
    <row r="15" spans="1:21" ht="16.5" thickBot="1">
      <c r="A15" s="1188" t="s">
        <v>4533</v>
      </c>
      <c r="B15" s="1192">
        <f t="shared" si="0"/>
        <v>200</v>
      </c>
      <c r="C15" s="1192" t="s">
        <v>3</v>
      </c>
      <c r="D15" s="1192">
        <f t="shared" si="1"/>
        <v>200</v>
      </c>
      <c r="E15" s="1192" t="s">
        <v>3</v>
      </c>
      <c r="F15" s="1190">
        <f t="shared" si="2"/>
        <v>900</v>
      </c>
      <c r="G15" s="1192" t="s">
        <v>3</v>
      </c>
      <c r="H15" s="1189">
        <v>4</v>
      </c>
      <c r="I15" s="1191" t="s">
        <v>41</v>
      </c>
      <c r="J15" s="149">
        <v>200</v>
      </c>
      <c r="K15" s="66">
        <v>200</v>
      </c>
      <c r="L15" s="66">
        <v>900</v>
      </c>
      <c r="M15" s="164">
        <v>12.7119675726072</v>
      </c>
      <c r="N15" s="78">
        <v>760.97102559333484</v>
      </c>
      <c r="O15" s="113">
        <v>30570.062738224962</v>
      </c>
      <c r="P15" s="1205">
        <v>35913.274935576628</v>
      </c>
      <c r="Q15" s="1206">
        <v>9969.915559095296</v>
      </c>
      <c r="R15" s="263">
        <v>40539.97829732026</v>
      </c>
      <c r="S15" s="259">
        <v>45883.190494671922</v>
      </c>
      <c r="U15" s="7" t="s">
        <v>5424</v>
      </c>
    </row>
    <row r="16" spans="1:21" ht="16.5" thickBot="1">
      <c r="A16" s="1188" t="s">
        <v>4533</v>
      </c>
      <c r="B16" s="1192">
        <f t="shared" si="0"/>
        <v>200</v>
      </c>
      <c r="C16" s="1192" t="s">
        <v>3</v>
      </c>
      <c r="D16" s="1192">
        <f t="shared" si="1"/>
        <v>200</v>
      </c>
      <c r="E16" s="1192" t="s">
        <v>3</v>
      </c>
      <c r="F16" s="1190">
        <f t="shared" si="2"/>
        <v>950</v>
      </c>
      <c r="G16" s="1192" t="s">
        <v>3</v>
      </c>
      <c r="H16" s="1189">
        <v>4</v>
      </c>
      <c r="I16" s="1191" t="s">
        <v>41</v>
      </c>
      <c r="J16" s="149">
        <v>200</v>
      </c>
      <c r="K16" s="66">
        <v>200</v>
      </c>
      <c r="L16" s="66">
        <v>950</v>
      </c>
      <c r="M16" s="164">
        <v>13.377237813657</v>
      </c>
      <c r="N16" s="78">
        <v>830.15020973818332</v>
      </c>
      <c r="O16" s="113">
        <v>31768.006343095614</v>
      </c>
      <c r="P16" s="1205">
        <v>37334.942463283369</v>
      </c>
      <c r="Q16" s="1206">
        <v>10611.926013092587</v>
      </c>
      <c r="R16" s="263">
        <v>42379.932356188205</v>
      </c>
      <c r="S16" s="259">
        <v>47946.868476375952</v>
      </c>
      <c r="U16" s="7" t="s">
        <v>5425</v>
      </c>
    </row>
    <row r="17" spans="1:21" ht="16.5" thickBot="1">
      <c r="A17" s="1188" t="s">
        <v>4533</v>
      </c>
      <c r="B17" s="1192">
        <f t="shared" si="0"/>
        <v>200</v>
      </c>
      <c r="C17" s="1192" t="s">
        <v>3</v>
      </c>
      <c r="D17" s="1192">
        <f t="shared" si="1"/>
        <v>200</v>
      </c>
      <c r="E17" s="1192" t="s">
        <v>3</v>
      </c>
      <c r="F17" s="1190">
        <f t="shared" si="2"/>
        <v>1000</v>
      </c>
      <c r="G17" s="1192" t="s">
        <v>3</v>
      </c>
      <c r="H17" s="1189">
        <v>4</v>
      </c>
      <c r="I17" s="1191" t="s">
        <v>41</v>
      </c>
      <c r="J17" s="149">
        <v>200</v>
      </c>
      <c r="K17" s="66">
        <v>200</v>
      </c>
      <c r="L17" s="66">
        <v>1000</v>
      </c>
      <c r="M17" s="164">
        <v>14.120544054706805</v>
      </c>
      <c r="N17" s="78">
        <v>899.32939388303203</v>
      </c>
      <c r="O17" s="113">
        <v>33004.758042801972</v>
      </c>
      <c r="P17" s="1205">
        <v>38795.417932797056</v>
      </c>
      <c r="Q17" s="1206">
        <v>11002.602329306106</v>
      </c>
      <c r="R17" s="263">
        <v>44007.36037210808</v>
      </c>
      <c r="S17" s="259">
        <v>49798.020262103164</v>
      </c>
      <c r="U17" s="7" t="s">
        <v>5426</v>
      </c>
    </row>
    <row r="18" spans="1:21" ht="16.5" thickBot="1">
      <c r="A18" s="1188" t="s">
        <v>4533</v>
      </c>
      <c r="B18" s="1192">
        <f t="shared" si="0"/>
        <v>200</v>
      </c>
      <c r="C18" s="1192" t="s">
        <v>3</v>
      </c>
      <c r="D18" s="1192">
        <f t="shared" si="1"/>
        <v>200</v>
      </c>
      <c r="E18" s="1192" t="s">
        <v>3</v>
      </c>
      <c r="F18" s="1190">
        <f t="shared" si="2"/>
        <v>1050</v>
      </c>
      <c r="G18" s="1192" t="s">
        <v>3</v>
      </c>
      <c r="H18" s="1189">
        <v>4</v>
      </c>
      <c r="I18" s="1191" t="s">
        <v>41</v>
      </c>
      <c r="J18" s="149">
        <v>200</v>
      </c>
      <c r="K18" s="66">
        <v>200</v>
      </c>
      <c r="L18" s="66">
        <v>1050</v>
      </c>
      <c r="M18" s="164">
        <v>14.785814295756609</v>
      </c>
      <c r="N18" s="78">
        <v>968.5085780278805</v>
      </c>
      <c r="O18" s="113">
        <v>34202.70164767262</v>
      </c>
      <c r="P18" s="1205">
        <v>40217.085307475034</v>
      </c>
      <c r="Q18" s="1206">
        <v>11644.612783303395</v>
      </c>
      <c r="R18" s="263">
        <v>45847.314430976017</v>
      </c>
      <c r="S18" s="259">
        <v>51861.698090778431</v>
      </c>
      <c r="U18" s="7" t="s">
        <v>5427</v>
      </c>
    </row>
    <row r="19" spans="1:21" ht="16.5" thickBot="1">
      <c r="A19" s="1188" t="s">
        <v>4533</v>
      </c>
      <c r="B19" s="1189">
        <f t="shared" si="0"/>
        <v>200</v>
      </c>
      <c r="C19" s="1189" t="s">
        <v>3</v>
      </c>
      <c r="D19" s="1189">
        <f t="shared" si="1"/>
        <v>200</v>
      </c>
      <c r="E19" s="1189" t="s">
        <v>3</v>
      </c>
      <c r="F19" s="1190">
        <f t="shared" si="2"/>
        <v>1100</v>
      </c>
      <c r="G19" s="1189" t="s">
        <v>3</v>
      </c>
      <c r="H19" s="1189">
        <v>4</v>
      </c>
      <c r="I19" s="1191" t="s">
        <v>41</v>
      </c>
      <c r="J19" s="149">
        <v>200</v>
      </c>
      <c r="K19" s="66">
        <v>200</v>
      </c>
      <c r="L19" s="66">
        <v>1100</v>
      </c>
      <c r="M19" s="164">
        <v>15.451084536806409</v>
      </c>
      <c r="N19" s="78">
        <v>1037.6877621727292</v>
      </c>
      <c r="O19" s="113">
        <v>35400.645405572039</v>
      </c>
      <c r="P19" s="1205">
        <v>41638.752682153012</v>
      </c>
      <c r="Q19" s="1206">
        <v>12035.289252545683</v>
      </c>
      <c r="R19" s="263">
        <v>47435.934658117723</v>
      </c>
      <c r="S19" s="259">
        <v>53674.041934698696</v>
      </c>
      <c r="U19" s="7" t="s">
        <v>5428</v>
      </c>
    </row>
    <row r="20" spans="1:21" ht="16.5" thickBot="1">
      <c r="A20" s="1188" t="s">
        <v>4533</v>
      </c>
      <c r="B20" s="1192">
        <f t="shared" si="0"/>
        <v>200</v>
      </c>
      <c r="C20" s="1192" t="s">
        <v>3</v>
      </c>
      <c r="D20" s="1192">
        <f t="shared" si="1"/>
        <v>200</v>
      </c>
      <c r="E20" s="1192" t="s">
        <v>3</v>
      </c>
      <c r="F20" s="1190">
        <f t="shared" si="2"/>
        <v>1150</v>
      </c>
      <c r="G20" s="1192" t="s">
        <v>3</v>
      </c>
      <c r="H20" s="1189">
        <v>4</v>
      </c>
      <c r="I20" s="1191" t="s">
        <v>41</v>
      </c>
      <c r="J20" s="149">
        <v>200</v>
      </c>
      <c r="K20" s="66">
        <v>200</v>
      </c>
      <c r="L20" s="66">
        <v>1150</v>
      </c>
      <c r="M20" s="164">
        <v>16.116354777856213</v>
      </c>
      <c r="N20" s="78">
        <v>1106.8669463175779</v>
      </c>
      <c r="O20" s="113">
        <v>36598.589010442694</v>
      </c>
      <c r="P20" s="1205">
        <v>43060.42005683099</v>
      </c>
      <c r="Q20" s="1206">
        <v>12425.965568759202</v>
      </c>
      <c r="R20" s="263">
        <v>49024.554579201897</v>
      </c>
      <c r="S20" s="259">
        <v>55486.385625590192</v>
      </c>
      <c r="U20" s="7" t="s">
        <v>5429</v>
      </c>
    </row>
    <row r="21" spans="1:21" ht="16.5" thickBot="1">
      <c r="A21" s="1188" t="s">
        <v>4533</v>
      </c>
      <c r="B21" s="1192">
        <f t="shared" si="0"/>
        <v>200</v>
      </c>
      <c r="C21" s="1192" t="s">
        <v>3</v>
      </c>
      <c r="D21" s="1192">
        <f t="shared" si="1"/>
        <v>200</v>
      </c>
      <c r="E21" s="1192" t="s">
        <v>3</v>
      </c>
      <c r="F21" s="1190">
        <f t="shared" si="2"/>
        <v>1200</v>
      </c>
      <c r="G21" s="1192" t="s">
        <v>3</v>
      </c>
      <c r="H21" s="1189">
        <v>4</v>
      </c>
      <c r="I21" s="1191" t="s">
        <v>41</v>
      </c>
      <c r="J21" s="149">
        <v>200</v>
      </c>
      <c r="K21" s="66">
        <v>200</v>
      </c>
      <c r="L21" s="66">
        <v>1200</v>
      </c>
      <c r="M21" s="164">
        <v>16.781625018906013</v>
      </c>
      <c r="N21" s="78">
        <v>1176.0461304624264</v>
      </c>
      <c r="O21" s="113">
        <v>37796.53261531335</v>
      </c>
      <c r="P21" s="1205">
        <v>44482.087431508975</v>
      </c>
      <c r="Q21" s="1206">
        <v>13067.976022756491</v>
      </c>
      <c r="R21" s="263">
        <v>50864.508638069841</v>
      </c>
      <c r="S21" s="259">
        <v>57550.063454265466</v>
      </c>
      <c r="U21" s="7" t="s">
        <v>5430</v>
      </c>
    </row>
    <row r="22" spans="1:21" ht="16.5" thickBot="1">
      <c r="A22" s="1188" t="s">
        <v>4533</v>
      </c>
      <c r="B22" s="1192">
        <f t="shared" si="0"/>
        <v>200</v>
      </c>
      <c r="C22" s="1192" t="s">
        <v>3</v>
      </c>
      <c r="D22" s="1192">
        <f t="shared" si="1"/>
        <v>200</v>
      </c>
      <c r="E22" s="1192" t="s">
        <v>3</v>
      </c>
      <c r="F22" s="1190">
        <f t="shared" si="2"/>
        <v>1250</v>
      </c>
      <c r="G22" s="1192" t="s">
        <v>3</v>
      </c>
      <c r="H22" s="1189">
        <v>4</v>
      </c>
      <c r="I22" s="1191" t="s">
        <v>41</v>
      </c>
      <c r="J22" s="149">
        <v>200</v>
      </c>
      <c r="K22" s="66">
        <v>200</v>
      </c>
      <c r="L22" s="66">
        <v>1250</v>
      </c>
      <c r="M22" s="164">
        <v>17.446895259955824</v>
      </c>
      <c r="N22" s="78">
        <v>1245.2253146072751</v>
      </c>
      <c r="O22" s="113">
        <v>38994.476220183999</v>
      </c>
      <c r="P22" s="1205">
        <v>45903.754806186953</v>
      </c>
      <c r="Q22" s="1206">
        <v>13458.652338970012</v>
      </c>
      <c r="R22" s="263">
        <v>52453.128559154007</v>
      </c>
      <c r="S22" s="259">
        <v>59362.407145156962</v>
      </c>
      <c r="U22" s="7" t="s">
        <v>5431</v>
      </c>
    </row>
    <row r="23" spans="1:21" ht="16.5" thickBot="1">
      <c r="A23" s="1188" t="s">
        <v>4533</v>
      </c>
      <c r="B23" s="1192">
        <f t="shared" si="0"/>
        <v>200</v>
      </c>
      <c r="C23" s="1192" t="s">
        <v>3</v>
      </c>
      <c r="D23" s="1192">
        <f t="shared" si="1"/>
        <v>200</v>
      </c>
      <c r="E23" s="1192" t="s">
        <v>3</v>
      </c>
      <c r="F23" s="1190">
        <f t="shared" si="2"/>
        <v>1300</v>
      </c>
      <c r="G23" s="1192" t="s">
        <v>3</v>
      </c>
      <c r="H23" s="1189">
        <v>4</v>
      </c>
      <c r="I23" s="1191" t="s">
        <v>41</v>
      </c>
      <c r="J23" s="149">
        <v>200</v>
      </c>
      <c r="K23" s="66">
        <v>200</v>
      </c>
      <c r="L23" s="66">
        <v>1300</v>
      </c>
      <c r="M23" s="164">
        <v>18.112165501005624</v>
      </c>
      <c r="N23" s="78">
        <v>1314.4044987521236</v>
      </c>
      <c r="O23" s="113">
        <v>40192.419825054654</v>
      </c>
      <c r="P23" s="1205">
        <v>47325.422180864938</v>
      </c>
      <c r="Q23" s="1206">
        <v>14100.662792967301</v>
      </c>
      <c r="R23" s="263">
        <v>54293.082618021959</v>
      </c>
      <c r="S23" s="259">
        <v>61426.084973832243</v>
      </c>
      <c r="U23" s="7" t="s">
        <v>5432</v>
      </c>
    </row>
    <row r="24" spans="1:21" ht="16.5" thickBot="1">
      <c r="A24" s="1188" t="s">
        <v>4533</v>
      </c>
      <c r="B24" s="1192">
        <f t="shared" si="0"/>
        <v>200</v>
      </c>
      <c r="C24" s="1192" t="s">
        <v>3</v>
      </c>
      <c r="D24" s="1192">
        <f t="shared" si="1"/>
        <v>200</v>
      </c>
      <c r="E24" s="1192" t="s">
        <v>3</v>
      </c>
      <c r="F24" s="1190">
        <f t="shared" si="2"/>
        <v>1350</v>
      </c>
      <c r="G24" s="1192" t="s">
        <v>3</v>
      </c>
      <c r="H24" s="1189">
        <v>4</v>
      </c>
      <c r="I24" s="1191" t="s">
        <v>41</v>
      </c>
      <c r="J24" s="149">
        <v>200</v>
      </c>
      <c r="K24" s="66">
        <v>200</v>
      </c>
      <c r="L24" s="66">
        <v>1350</v>
      </c>
      <c r="M24" s="164">
        <v>18.777435742055424</v>
      </c>
      <c r="N24" s="78">
        <v>1383.5836828969723</v>
      </c>
      <c r="O24" s="113">
        <v>41390.36342992531</v>
      </c>
      <c r="P24" s="1205">
        <v>48747.089555542909</v>
      </c>
      <c r="Q24" s="1206">
        <v>14491.339262209587</v>
      </c>
      <c r="R24" s="263">
        <v>55881.702692134895</v>
      </c>
      <c r="S24" s="259">
        <v>63238.428817752494</v>
      </c>
      <c r="U24" s="7" t="s">
        <v>5433</v>
      </c>
    </row>
    <row r="25" spans="1:21" ht="16.5" thickBot="1">
      <c r="A25" s="1188" t="s">
        <v>4533</v>
      </c>
      <c r="B25" s="1192">
        <f t="shared" si="0"/>
        <v>200</v>
      </c>
      <c r="C25" s="1192" t="s">
        <v>3</v>
      </c>
      <c r="D25" s="1192">
        <f t="shared" si="1"/>
        <v>200</v>
      </c>
      <c r="E25" s="1192" t="s">
        <v>3</v>
      </c>
      <c r="F25" s="1190">
        <f t="shared" si="2"/>
        <v>1400</v>
      </c>
      <c r="G25" s="1192" t="s">
        <v>3</v>
      </c>
      <c r="H25" s="1189">
        <v>4</v>
      </c>
      <c r="I25" s="1191" t="s">
        <v>41</v>
      </c>
      <c r="J25" s="149">
        <v>200</v>
      </c>
      <c r="K25" s="66">
        <v>200</v>
      </c>
      <c r="L25" s="66">
        <v>1400</v>
      </c>
      <c r="M25" s="164">
        <v>19.442705983105228</v>
      </c>
      <c r="N25" s="78">
        <v>1452.762867041821</v>
      </c>
      <c r="O25" s="113">
        <v>42588.307187824721</v>
      </c>
      <c r="P25" s="1205">
        <v>50168.756930220894</v>
      </c>
      <c r="Q25" s="1206">
        <v>15133.349716206876</v>
      </c>
      <c r="R25" s="263">
        <v>57721.656904031595</v>
      </c>
      <c r="S25" s="259">
        <v>65302.106646427768</v>
      </c>
      <c r="U25" s="7" t="s">
        <v>5434</v>
      </c>
    </row>
    <row r="26" spans="1:21" ht="16.5" thickBot="1">
      <c r="A26" s="1188" t="s">
        <v>4533</v>
      </c>
      <c r="B26" s="1192">
        <f t="shared" si="0"/>
        <v>200</v>
      </c>
      <c r="C26" s="1192" t="s">
        <v>3</v>
      </c>
      <c r="D26" s="1192">
        <f t="shared" si="1"/>
        <v>200</v>
      </c>
      <c r="E26" s="1192" t="s">
        <v>3</v>
      </c>
      <c r="F26" s="1190">
        <f t="shared" si="2"/>
        <v>1450</v>
      </c>
      <c r="G26" s="1192" t="s">
        <v>3</v>
      </c>
      <c r="H26" s="1189">
        <v>4</v>
      </c>
      <c r="I26" s="1191" t="s">
        <v>41</v>
      </c>
      <c r="J26" s="149">
        <v>200</v>
      </c>
      <c r="K26" s="66">
        <v>200</v>
      </c>
      <c r="L26" s="66">
        <v>1450</v>
      </c>
      <c r="M26" s="164">
        <v>20.107976224155031</v>
      </c>
      <c r="N26" s="78">
        <v>1521.9420511866697</v>
      </c>
      <c r="O26" s="113">
        <v>43786.250792695384</v>
      </c>
      <c r="P26" s="1205">
        <v>51590.424304898879</v>
      </c>
      <c r="Q26" s="1206">
        <v>15524.026032420395</v>
      </c>
      <c r="R26" s="263">
        <v>59310.276825115783</v>
      </c>
      <c r="S26" s="259">
        <v>67114.450337319271</v>
      </c>
      <c r="U26" s="7" t="s">
        <v>5435</v>
      </c>
    </row>
    <row r="27" spans="1:21" ht="16.5" thickBot="1">
      <c r="A27" s="1188" t="s">
        <v>4533</v>
      </c>
      <c r="B27" s="1192">
        <f t="shared" si="0"/>
        <v>200</v>
      </c>
      <c r="C27" s="1192" t="s">
        <v>3</v>
      </c>
      <c r="D27" s="1192">
        <f t="shared" si="1"/>
        <v>200</v>
      </c>
      <c r="E27" s="1192" t="s">
        <v>3</v>
      </c>
      <c r="F27" s="1190">
        <f t="shared" si="2"/>
        <v>1500</v>
      </c>
      <c r="G27" s="1192" t="s">
        <v>3</v>
      </c>
      <c r="H27" s="1189">
        <v>4</v>
      </c>
      <c r="I27" s="1191" t="s">
        <v>41</v>
      </c>
      <c r="J27" s="149">
        <v>200</v>
      </c>
      <c r="K27" s="66">
        <v>200</v>
      </c>
      <c r="L27" s="66">
        <v>1500</v>
      </c>
      <c r="M27" s="164">
        <v>21.140539265204833</v>
      </c>
      <c r="N27" s="78">
        <v>1591.1212353315179</v>
      </c>
      <c r="O27" s="113">
        <v>45827.6689041668</v>
      </c>
      <c r="P27" s="1205">
        <v>54130.358562453701</v>
      </c>
      <c r="Q27" s="1206">
        <v>16166.036486417688</v>
      </c>
      <c r="R27" s="263">
        <v>61993.705390584488</v>
      </c>
      <c r="S27" s="259">
        <v>70296.395048871389</v>
      </c>
      <c r="U27" s="7" t="s">
        <v>5436</v>
      </c>
    </row>
    <row r="28" spans="1:21" ht="16.5" thickBot="1">
      <c r="A28" s="1188" t="s">
        <v>4533</v>
      </c>
      <c r="B28" s="1192">
        <f t="shared" si="0"/>
        <v>200</v>
      </c>
      <c r="C28" s="1192" t="s">
        <v>3</v>
      </c>
      <c r="D28" s="1192">
        <f t="shared" si="1"/>
        <v>200</v>
      </c>
      <c r="E28" s="1192" t="s">
        <v>3</v>
      </c>
      <c r="F28" s="1190">
        <f t="shared" si="2"/>
        <v>1550</v>
      </c>
      <c r="G28" s="1192" t="s">
        <v>3</v>
      </c>
      <c r="H28" s="1189">
        <v>4</v>
      </c>
      <c r="I28" s="1191" t="s">
        <v>41</v>
      </c>
      <c r="J28" s="149">
        <v>200</v>
      </c>
      <c r="K28" s="66">
        <v>200</v>
      </c>
      <c r="L28" s="66">
        <v>1550</v>
      </c>
      <c r="M28" s="164">
        <v>21.805809506254636</v>
      </c>
      <c r="N28" s="78">
        <v>1660.3004194763666</v>
      </c>
      <c r="O28" s="113">
        <v>47025.612509037455</v>
      </c>
      <c r="P28" s="1205">
        <v>55552.025937131679</v>
      </c>
      <c r="Q28" s="1206">
        <v>16556.712955659972</v>
      </c>
      <c r="R28" s="263">
        <v>63582.325464697424</v>
      </c>
      <c r="S28" s="259">
        <v>72108.738892791647</v>
      </c>
      <c r="U28" s="7" t="s">
        <v>5437</v>
      </c>
    </row>
    <row r="29" spans="1:21" ht="16.5" thickBot="1">
      <c r="A29" s="1188" t="s">
        <v>4533</v>
      </c>
      <c r="B29" s="1189">
        <f t="shared" si="0"/>
        <v>200</v>
      </c>
      <c r="C29" s="1189" t="s">
        <v>3</v>
      </c>
      <c r="D29" s="1189">
        <f t="shared" si="1"/>
        <v>200</v>
      </c>
      <c r="E29" s="1189" t="s">
        <v>3</v>
      </c>
      <c r="F29" s="1190">
        <f t="shared" si="2"/>
        <v>1600</v>
      </c>
      <c r="G29" s="1189" t="s">
        <v>3</v>
      </c>
      <c r="H29" s="1189">
        <v>4</v>
      </c>
      <c r="I29" s="1191" t="s">
        <v>41</v>
      </c>
      <c r="J29" s="149">
        <v>200</v>
      </c>
      <c r="K29" s="66">
        <v>200</v>
      </c>
      <c r="L29" s="66">
        <v>1600</v>
      </c>
      <c r="M29" s="164">
        <v>22.471079747304437</v>
      </c>
      <c r="N29" s="78">
        <v>1729.4796036212153</v>
      </c>
      <c r="O29" s="113">
        <v>48223.556113908111</v>
      </c>
      <c r="P29" s="1205">
        <v>56973.693311809664</v>
      </c>
      <c r="Q29" s="1206">
        <v>16947.389271873493</v>
      </c>
      <c r="R29" s="263">
        <v>65170.945385781604</v>
      </c>
      <c r="S29" s="259">
        <v>73921.082583683165</v>
      </c>
      <c r="U29" s="7" t="s">
        <v>5438</v>
      </c>
    </row>
    <row r="30" spans="1:21" ht="16.5" thickBot="1">
      <c r="A30" s="1188" t="s">
        <v>4533</v>
      </c>
      <c r="B30" s="1192">
        <f t="shared" si="0"/>
        <v>200</v>
      </c>
      <c r="C30" s="1192" t="s">
        <v>3</v>
      </c>
      <c r="D30" s="1192">
        <f t="shared" si="1"/>
        <v>200</v>
      </c>
      <c r="E30" s="1192" t="s">
        <v>3</v>
      </c>
      <c r="F30" s="1190">
        <f t="shared" si="2"/>
        <v>1650</v>
      </c>
      <c r="G30" s="1192" t="s">
        <v>3</v>
      </c>
      <c r="H30" s="1189">
        <v>4</v>
      </c>
      <c r="I30" s="1191" t="s">
        <v>41</v>
      </c>
      <c r="J30" s="149">
        <v>200</v>
      </c>
      <c r="K30" s="66">
        <v>200</v>
      </c>
      <c r="L30" s="66">
        <v>1650</v>
      </c>
      <c r="M30" s="164">
        <v>23.13634998835424</v>
      </c>
      <c r="N30" s="78">
        <v>1798.6587877660641</v>
      </c>
      <c r="O30" s="113">
        <v>49421.499718778767</v>
      </c>
      <c r="P30" s="1205">
        <v>58395.360839516397</v>
      </c>
      <c r="Q30" s="1206">
        <v>17589.399725870782</v>
      </c>
      <c r="R30" s="263">
        <v>67010.899444649549</v>
      </c>
      <c r="S30" s="259">
        <v>75984.760565387172</v>
      </c>
      <c r="U30" s="7" t="s">
        <v>5439</v>
      </c>
    </row>
    <row r="31" spans="1:21" ht="16.5" thickBot="1">
      <c r="A31" s="1188" t="s">
        <v>4533</v>
      </c>
      <c r="B31" s="1192">
        <f t="shared" si="0"/>
        <v>200</v>
      </c>
      <c r="C31" s="1192" t="s">
        <v>3</v>
      </c>
      <c r="D31" s="1192">
        <f t="shared" si="1"/>
        <v>200</v>
      </c>
      <c r="E31" s="1192" t="s">
        <v>3</v>
      </c>
      <c r="F31" s="1190">
        <f t="shared" si="2"/>
        <v>1700</v>
      </c>
      <c r="G31" s="1192" t="s">
        <v>3</v>
      </c>
      <c r="H31" s="1189">
        <v>4</v>
      </c>
      <c r="I31" s="1191" t="s">
        <v>41</v>
      </c>
      <c r="J31" s="149">
        <v>200</v>
      </c>
      <c r="K31" s="66">
        <v>200</v>
      </c>
      <c r="L31" s="66">
        <v>1700</v>
      </c>
      <c r="M31" s="164">
        <v>23.801620229404044</v>
      </c>
      <c r="N31" s="78">
        <v>1867.8379719109128</v>
      </c>
      <c r="O31" s="113">
        <v>50619.443323649415</v>
      </c>
      <c r="P31" s="1205">
        <v>59817.028214194383</v>
      </c>
      <c r="Q31" s="1206">
        <v>17980.076042084303</v>
      </c>
      <c r="R31" s="263">
        <v>68599.519365733722</v>
      </c>
      <c r="S31" s="259">
        <v>77797.10425627869</v>
      </c>
      <c r="U31" s="7" t="s">
        <v>5440</v>
      </c>
    </row>
    <row r="32" spans="1:21" ht="16.5" thickBot="1">
      <c r="A32" s="1188" t="s">
        <v>4533</v>
      </c>
      <c r="B32" s="1192">
        <f t="shared" si="0"/>
        <v>200</v>
      </c>
      <c r="C32" s="1192" t="s">
        <v>3</v>
      </c>
      <c r="D32" s="1192">
        <f t="shared" si="1"/>
        <v>200</v>
      </c>
      <c r="E32" s="1192" t="s">
        <v>3</v>
      </c>
      <c r="F32" s="1190">
        <f t="shared" si="2"/>
        <v>1750</v>
      </c>
      <c r="G32" s="1192" t="s">
        <v>3</v>
      </c>
      <c r="H32" s="1189">
        <v>4</v>
      </c>
      <c r="I32" s="1191" t="s">
        <v>41</v>
      </c>
      <c r="J32" s="149">
        <v>200</v>
      </c>
      <c r="K32" s="66">
        <v>200</v>
      </c>
      <c r="L32" s="66">
        <v>1750</v>
      </c>
      <c r="M32" s="164">
        <v>24.466890470453848</v>
      </c>
      <c r="N32" s="78">
        <v>1937.017156055761</v>
      </c>
      <c r="O32" s="113">
        <v>51817.387081548681</v>
      </c>
      <c r="P32" s="1205">
        <v>61238.695588872361</v>
      </c>
      <c r="Q32" s="1206">
        <v>18622.086496081592</v>
      </c>
      <c r="R32" s="263">
        <v>70439.47357763027</v>
      </c>
      <c r="S32" s="259">
        <v>79860.782084953957</v>
      </c>
      <c r="U32" s="7" t="s">
        <v>5441</v>
      </c>
    </row>
    <row r="33" spans="1:21" ht="16.5" thickBot="1">
      <c r="A33" s="1188" t="s">
        <v>4533</v>
      </c>
      <c r="B33" s="1192">
        <f t="shared" si="0"/>
        <v>200</v>
      </c>
      <c r="C33" s="1192" t="s">
        <v>3</v>
      </c>
      <c r="D33" s="1192">
        <f t="shared" si="1"/>
        <v>200</v>
      </c>
      <c r="E33" s="1192" t="s">
        <v>3</v>
      </c>
      <c r="F33" s="1190">
        <f t="shared" si="2"/>
        <v>1800</v>
      </c>
      <c r="G33" s="1192" t="s">
        <v>3</v>
      </c>
      <c r="H33" s="1189">
        <v>4</v>
      </c>
      <c r="I33" s="1191" t="s">
        <v>41</v>
      </c>
      <c r="J33" s="149">
        <v>200</v>
      </c>
      <c r="K33" s="66">
        <v>200</v>
      </c>
      <c r="L33" s="66">
        <v>1800</v>
      </c>
      <c r="M33" s="164">
        <v>25.132160711503651</v>
      </c>
      <c r="N33" s="78">
        <v>2006.1963402006097</v>
      </c>
      <c r="O33" s="113">
        <v>53015.330686419489</v>
      </c>
      <c r="P33" s="1205">
        <v>62660.362963550346</v>
      </c>
      <c r="Q33" s="1206">
        <v>19012.762965323876</v>
      </c>
      <c r="R33" s="263">
        <v>72028.093651743373</v>
      </c>
      <c r="S33" s="259">
        <v>81673.125928874215</v>
      </c>
      <c r="U33" s="7" t="s">
        <v>5442</v>
      </c>
    </row>
    <row r="34" spans="1:21" ht="16.5" thickBot="1">
      <c r="A34" s="1188" t="s">
        <v>4533</v>
      </c>
      <c r="B34" s="1192">
        <f t="shared" si="0"/>
        <v>200</v>
      </c>
      <c r="C34" s="1192" t="s">
        <v>3</v>
      </c>
      <c r="D34" s="1192">
        <f t="shared" si="1"/>
        <v>200</v>
      </c>
      <c r="E34" s="1192" t="s">
        <v>3</v>
      </c>
      <c r="F34" s="1190">
        <f t="shared" si="2"/>
        <v>1850</v>
      </c>
      <c r="G34" s="1192" t="s">
        <v>3</v>
      </c>
      <c r="H34" s="1189">
        <v>4</v>
      </c>
      <c r="I34" s="1191" t="s">
        <v>41</v>
      </c>
      <c r="J34" s="149">
        <v>200</v>
      </c>
      <c r="K34" s="66">
        <v>200</v>
      </c>
      <c r="L34" s="66">
        <v>1850</v>
      </c>
      <c r="M34" s="164">
        <v>25.797430952553448</v>
      </c>
      <c r="N34" s="78">
        <v>2075.3755243454584</v>
      </c>
      <c r="O34" s="113">
        <v>54213.274291290138</v>
      </c>
      <c r="P34" s="1205">
        <v>64082.030338228324</v>
      </c>
      <c r="Q34" s="1206">
        <v>19654.773419321165</v>
      </c>
      <c r="R34" s="263">
        <v>73868.04771061131</v>
      </c>
      <c r="S34" s="259">
        <v>83736.803757549496</v>
      </c>
      <c r="U34" s="7" t="s">
        <v>5443</v>
      </c>
    </row>
    <row r="35" spans="1:21" ht="16.5" thickBot="1">
      <c r="A35" s="1188" t="s">
        <v>4533</v>
      </c>
      <c r="B35" s="1192">
        <f t="shared" si="0"/>
        <v>200</v>
      </c>
      <c r="C35" s="1192" t="s">
        <v>3</v>
      </c>
      <c r="D35" s="1192">
        <f t="shared" si="1"/>
        <v>200</v>
      </c>
      <c r="E35" s="1192" t="s">
        <v>3</v>
      </c>
      <c r="F35" s="1190">
        <f t="shared" si="2"/>
        <v>1900</v>
      </c>
      <c r="G35" s="1192" t="s">
        <v>3</v>
      </c>
      <c r="H35" s="1189">
        <v>4</v>
      </c>
      <c r="I35" s="1191" t="s">
        <v>41</v>
      </c>
      <c r="J35" s="149">
        <v>200</v>
      </c>
      <c r="K35" s="66">
        <v>200</v>
      </c>
      <c r="L35" s="66">
        <v>1900</v>
      </c>
      <c r="M35" s="164">
        <v>26.462701193603252</v>
      </c>
      <c r="N35" s="78">
        <v>2144.5547084903069</v>
      </c>
      <c r="O35" s="113">
        <v>55411.217896160793</v>
      </c>
      <c r="P35" s="1205">
        <v>65503.697712906302</v>
      </c>
      <c r="Q35" s="1206">
        <v>20045.449735534687</v>
      </c>
      <c r="R35" s="263">
        <v>75456.667631695484</v>
      </c>
      <c r="S35" s="259">
        <v>85549.147448440985</v>
      </c>
      <c r="U35" s="7" t="s">
        <v>5444</v>
      </c>
    </row>
    <row r="36" spans="1:21" ht="16.5" thickBot="1">
      <c r="A36" s="1188" t="s">
        <v>4533</v>
      </c>
      <c r="B36" s="1192">
        <f t="shared" si="0"/>
        <v>200</v>
      </c>
      <c r="C36" s="1192" t="s">
        <v>3</v>
      </c>
      <c r="D36" s="1192">
        <f t="shared" si="1"/>
        <v>200</v>
      </c>
      <c r="E36" s="1192" t="s">
        <v>3</v>
      </c>
      <c r="F36" s="1190">
        <f t="shared" si="2"/>
        <v>1950</v>
      </c>
      <c r="G36" s="1192" t="s">
        <v>3</v>
      </c>
      <c r="H36" s="1189">
        <v>4</v>
      </c>
      <c r="I36" s="1191" t="s">
        <v>41</v>
      </c>
      <c r="J36" s="149">
        <v>200</v>
      </c>
      <c r="K36" s="66">
        <v>200</v>
      </c>
      <c r="L36" s="66">
        <v>1950</v>
      </c>
      <c r="M36" s="164">
        <v>27.127971434653062</v>
      </c>
      <c r="N36" s="78">
        <v>2213.7338926351558</v>
      </c>
      <c r="O36" s="113">
        <v>56609.161501031449</v>
      </c>
      <c r="P36" s="1205">
        <v>66925.365087584287</v>
      </c>
      <c r="Q36" s="1206">
        <v>20436.126051748208</v>
      </c>
      <c r="R36" s="263">
        <v>77045.287552779657</v>
      </c>
      <c r="S36" s="259">
        <v>87361.491139332502</v>
      </c>
      <c r="U36" s="7" t="s">
        <v>5445</v>
      </c>
    </row>
    <row r="37" spans="1:21" ht="16.5" thickBot="1">
      <c r="A37" s="1188" t="s">
        <v>4533</v>
      </c>
      <c r="B37" s="1192">
        <f t="shared" si="0"/>
        <v>200</v>
      </c>
      <c r="C37" s="1192" t="s">
        <v>3</v>
      </c>
      <c r="D37" s="1192">
        <f t="shared" si="1"/>
        <v>200</v>
      </c>
      <c r="E37" s="1192" t="s">
        <v>3</v>
      </c>
      <c r="F37" s="1190">
        <f t="shared" si="2"/>
        <v>2000</v>
      </c>
      <c r="G37" s="1192" t="s">
        <v>3</v>
      </c>
      <c r="H37" s="1189">
        <v>4</v>
      </c>
      <c r="I37" s="1191" t="s">
        <v>41</v>
      </c>
      <c r="J37" s="149">
        <v>200</v>
      </c>
      <c r="K37" s="66">
        <v>200</v>
      </c>
      <c r="L37" s="66">
        <v>2000</v>
      </c>
      <c r="M37" s="164">
        <v>27.871277675702856</v>
      </c>
      <c r="N37" s="78">
        <v>2282.9130767800043</v>
      </c>
      <c r="O37" s="113">
        <v>58278.000018966741</v>
      </c>
      <c r="P37" s="1205">
        <v>68498.46972822996</v>
      </c>
      <c r="Q37" s="1206">
        <v>21078.136658774263</v>
      </c>
      <c r="R37" s="263">
        <v>79356.136677741</v>
      </c>
      <c r="S37" s="259">
        <v>89576.606387004227</v>
      </c>
      <c r="U37" s="7" t="s">
        <v>5446</v>
      </c>
    </row>
    <row r="38" spans="1:21" ht="16.5" thickBot="1">
      <c r="A38" s="1188" t="s">
        <v>4533</v>
      </c>
      <c r="B38" s="1192">
        <f t="shared" si="0"/>
        <v>200</v>
      </c>
      <c r="C38" s="1192" t="s">
        <v>3</v>
      </c>
      <c r="D38" s="1192">
        <f t="shared" si="1"/>
        <v>200</v>
      </c>
      <c r="E38" s="1192" t="s">
        <v>3</v>
      </c>
      <c r="F38" s="1190">
        <f t="shared" si="2"/>
        <v>2050</v>
      </c>
      <c r="G38" s="1192" t="s">
        <v>3</v>
      </c>
      <c r="H38" s="1189">
        <v>4</v>
      </c>
      <c r="I38" s="1191" t="s">
        <v>41</v>
      </c>
      <c r="J38" s="149">
        <v>200</v>
      </c>
      <c r="K38" s="66">
        <v>200</v>
      </c>
      <c r="L38" s="66">
        <v>2050</v>
      </c>
      <c r="M38" s="164">
        <v>28.536547916752667</v>
      </c>
      <c r="N38" s="78">
        <v>2352.0922609248528</v>
      </c>
      <c r="O38" s="113">
        <v>59475.943623837389</v>
      </c>
      <c r="P38" s="1205">
        <v>69920.137102907946</v>
      </c>
      <c r="Q38" s="1206">
        <v>21468.812974987781</v>
      </c>
      <c r="R38" s="263">
        <v>80944.756598825174</v>
      </c>
      <c r="S38" s="259">
        <v>91388.95007789573</v>
      </c>
      <c r="U38" s="7" t="s">
        <v>5447</v>
      </c>
    </row>
    <row r="39" spans="1:21" ht="16.5" thickBot="1">
      <c r="A39" s="1188" t="s">
        <v>4533</v>
      </c>
      <c r="B39" s="1189">
        <f t="shared" si="0"/>
        <v>200</v>
      </c>
      <c r="C39" s="1189" t="s">
        <v>3</v>
      </c>
      <c r="D39" s="1189">
        <f t="shared" si="1"/>
        <v>200</v>
      </c>
      <c r="E39" s="1189" t="s">
        <v>3</v>
      </c>
      <c r="F39" s="1190">
        <f t="shared" si="2"/>
        <v>2100</v>
      </c>
      <c r="G39" s="1189" t="s">
        <v>3</v>
      </c>
      <c r="H39" s="1189">
        <v>4</v>
      </c>
      <c r="I39" s="1191" t="s">
        <v>41</v>
      </c>
      <c r="J39" s="149">
        <v>200</v>
      </c>
      <c r="K39" s="66">
        <v>200</v>
      </c>
      <c r="L39" s="66">
        <v>2100</v>
      </c>
      <c r="M39" s="164">
        <v>29.201818157802464</v>
      </c>
      <c r="N39" s="78">
        <v>2421.2714450697013</v>
      </c>
      <c r="O39" s="113">
        <v>60673.887381736808</v>
      </c>
      <c r="P39" s="1205">
        <v>71341.804477585916</v>
      </c>
      <c r="Q39" s="1206">
        <v>22110.823428985073</v>
      </c>
      <c r="R39" s="263">
        <v>82784.710810721881</v>
      </c>
      <c r="S39" s="259">
        <v>93452.627906570997</v>
      </c>
      <c r="U39" s="7" t="s">
        <v>5448</v>
      </c>
    </row>
    <row r="40" spans="1:21" ht="16.5" thickBot="1">
      <c r="A40" s="1188" t="s">
        <v>4533</v>
      </c>
      <c r="B40" s="1192">
        <f t="shared" si="0"/>
        <v>200</v>
      </c>
      <c r="C40" s="1192" t="s">
        <v>3</v>
      </c>
      <c r="D40" s="1192">
        <f t="shared" si="1"/>
        <v>200</v>
      </c>
      <c r="E40" s="1192" t="s">
        <v>3</v>
      </c>
      <c r="F40" s="1190">
        <f t="shared" si="2"/>
        <v>2150</v>
      </c>
      <c r="G40" s="1192" t="s">
        <v>3</v>
      </c>
      <c r="H40" s="1189">
        <v>4</v>
      </c>
      <c r="I40" s="1191" t="s">
        <v>41</v>
      </c>
      <c r="J40" s="149">
        <v>200</v>
      </c>
      <c r="K40" s="66">
        <v>200</v>
      </c>
      <c r="L40" s="66">
        <v>2150</v>
      </c>
      <c r="M40" s="164">
        <v>29.867088398852268</v>
      </c>
      <c r="N40" s="78">
        <v>2490.4506292145502</v>
      </c>
      <c r="O40" s="113">
        <v>61871.830986607463</v>
      </c>
      <c r="P40" s="1205">
        <v>72763.471852263901</v>
      </c>
      <c r="Q40" s="1206">
        <v>22501.499745198591</v>
      </c>
      <c r="R40" s="263">
        <v>84373.330731806054</v>
      </c>
      <c r="S40" s="259">
        <v>95264.971597462485</v>
      </c>
      <c r="U40" s="7" t="s">
        <v>5449</v>
      </c>
    </row>
    <row r="41" spans="1:21" ht="16.5" thickBot="1">
      <c r="A41" s="1188" t="s">
        <v>4533</v>
      </c>
      <c r="B41" s="1192">
        <f t="shared" si="0"/>
        <v>200</v>
      </c>
      <c r="C41" s="1192" t="s">
        <v>3</v>
      </c>
      <c r="D41" s="1192">
        <f t="shared" si="1"/>
        <v>200</v>
      </c>
      <c r="E41" s="1192" t="s">
        <v>3</v>
      </c>
      <c r="F41" s="1190">
        <f t="shared" si="2"/>
        <v>2200</v>
      </c>
      <c r="G41" s="1192" t="s">
        <v>3</v>
      </c>
      <c r="H41" s="1189">
        <v>4</v>
      </c>
      <c r="I41" s="1191" t="s">
        <v>41</v>
      </c>
      <c r="J41" s="149">
        <v>200</v>
      </c>
      <c r="K41" s="66">
        <v>200</v>
      </c>
      <c r="L41" s="66">
        <v>2200</v>
      </c>
      <c r="M41" s="164">
        <v>30.532358639902075</v>
      </c>
      <c r="N41" s="78">
        <v>2559.6298133593987</v>
      </c>
      <c r="O41" s="113">
        <v>63069.774591478119</v>
      </c>
      <c r="P41" s="1205">
        <v>74185.139226941887</v>
      </c>
      <c r="Q41" s="1206">
        <v>23143.510199195884</v>
      </c>
      <c r="R41" s="263">
        <v>86213.284790674006</v>
      </c>
      <c r="S41" s="259">
        <v>97328.649426137767</v>
      </c>
      <c r="U41" s="7" t="s">
        <v>5450</v>
      </c>
    </row>
    <row r="42" spans="1:21" ht="16.5" thickBot="1">
      <c r="A42" s="1188" t="s">
        <v>4533</v>
      </c>
      <c r="B42" s="1192">
        <f t="shared" si="0"/>
        <v>200</v>
      </c>
      <c r="C42" s="1192" t="s">
        <v>3</v>
      </c>
      <c r="D42" s="1192">
        <f t="shared" si="1"/>
        <v>200</v>
      </c>
      <c r="E42" s="1192" t="s">
        <v>3</v>
      </c>
      <c r="F42" s="1190">
        <f t="shared" si="2"/>
        <v>2250</v>
      </c>
      <c r="G42" s="1192" t="s">
        <v>3</v>
      </c>
      <c r="H42" s="1189">
        <v>4</v>
      </c>
      <c r="I42" s="1191" t="s">
        <v>41</v>
      </c>
      <c r="J42" s="149">
        <v>200</v>
      </c>
      <c r="K42" s="66">
        <v>200</v>
      </c>
      <c r="L42" s="66">
        <v>2250</v>
      </c>
      <c r="M42" s="164">
        <v>31.197628880951875</v>
      </c>
      <c r="N42" s="78">
        <v>2628.8089975042471</v>
      </c>
      <c r="O42" s="113">
        <v>64267.718196348775</v>
      </c>
      <c r="P42" s="1205">
        <v>75606.806601619857</v>
      </c>
      <c r="Q42" s="1206">
        <v>23534.186668438168</v>
      </c>
      <c r="R42" s="263">
        <v>87801.904864786949</v>
      </c>
      <c r="S42" s="259">
        <v>99140.993270058025</v>
      </c>
      <c r="U42" s="7" t="s">
        <v>5451</v>
      </c>
    </row>
    <row r="43" spans="1:21" ht="16.5" thickBot="1">
      <c r="A43" s="1188" t="s">
        <v>4533</v>
      </c>
      <c r="B43" s="1192">
        <f t="shared" si="0"/>
        <v>200</v>
      </c>
      <c r="C43" s="1192" t="s">
        <v>3</v>
      </c>
      <c r="D43" s="1192">
        <f t="shared" si="1"/>
        <v>200</v>
      </c>
      <c r="E43" s="1192" t="s">
        <v>3</v>
      </c>
      <c r="F43" s="1190">
        <f t="shared" si="2"/>
        <v>2300</v>
      </c>
      <c r="G43" s="1192" t="s">
        <v>3</v>
      </c>
      <c r="H43" s="1189">
        <v>4</v>
      </c>
      <c r="I43" s="1191" t="s">
        <v>41</v>
      </c>
      <c r="J43" s="149">
        <v>200</v>
      </c>
      <c r="K43" s="66">
        <v>200</v>
      </c>
      <c r="L43" s="66">
        <v>2300</v>
      </c>
      <c r="M43" s="164">
        <v>31.862899122001679</v>
      </c>
      <c r="N43" s="78">
        <v>2697.9881816490961</v>
      </c>
      <c r="O43" s="113">
        <v>65465.661801219416</v>
      </c>
      <c r="P43" s="1205">
        <v>77028.473976297842</v>
      </c>
      <c r="Q43" s="1206">
        <v>23924.862984651689</v>
      </c>
      <c r="R43" s="263">
        <v>89390.524785871108</v>
      </c>
      <c r="S43" s="259">
        <v>100953.33696094953</v>
      </c>
      <c r="U43" s="7" t="s">
        <v>5452</v>
      </c>
    </row>
    <row r="44" spans="1:21" ht="16.5" thickBot="1">
      <c r="A44" s="1188" t="s">
        <v>4533</v>
      </c>
      <c r="B44" s="1192">
        <f t="shared" si="0"/>
        <v>200</v>
      </c>
      <c r="C44" s="1192" t="s">
        <v>3</v>
      </c>
      <c r="D44" s="1192">
        <f t="shared" si="1"/>
        <v>200</v>
      </c>
      <c r="E44" s="1192" t="s">
        <v>3</v>
      </c>
      <c r="F44" s="1190">
        <f t="shared" si="2"/>
        <v>2350</v>
      </c>
      <c r="G44" s="1192" t="s">
        <v>3</v>
      </c>
      <c r="H44" s="1189">
        <v>4</v>
      </c>
      <c r="I44" s="1191" t="s">
        <v>41</v>
      </c>
      <c r="J44" s="149">
        <v>200</v>
      </c>
      <c r="K44" s="66">
        <v>200</v>
      </c>
      <c r="L44" s="66">
        <v>2350</v>
      </c>
      <c r="M44" s="164">
        <v>32.528169363051475</v>
      </c>
      <c r="N44" s="78">
        <v>2767.1673657939446</v>
      </c>
      <c r="O44" s="113">
        <v>66663.605406090079</v>
      </c>
      <c r="P44" s="1205">
        <v>78450.141350975828</v>
      </c>
      <c r="Q44" s="1206">
        <v>24566.873438648978</v>
      </c>
      <c r="R44" s="263">
        <v>91230.47884473906</v>
      </c>
      <c r="S44" s="259">
        <v>103017.01478962481</v>
      </c>
      <c r="U44" s="7" t="s">
        <v>5453</v>
      </c>
    </row>
    <row r="45" spans="1:21" ht="16.5" thickBot="1">
      <c r="A45" s="1188" t="s">
        <v>4533</v>
      </c>
      <c r="B45" s="1192">
        <f t="shared" si="0"/>
        <v>200</v>
      </c>
      <c r="C45" s="1192" t="s">
        <v>3</v>
      </c>
      <c r="D45" s="1192">
        <f t="shared" si="1"/>
        <v>200</v>
      </c>
      <c r="E45" s="1192" t="s">
        <v>3</v>
      </c>
      <c r="F45" s="1190">
        <f t="shared" si="2"/>
        <v>2400</v>
      </c>
      <c r="G45" s="1192" t="s">
        <v>3</v>
      </c>
      <c r="H45" s="1189">
        <v>4</v>
      </c>
      <c r="I45" s="1191" t="s">
        <v>41</v>
      </c>
      <c r="J45" s="149">
        <v>200</v>
      </c>
      <c r="K45" s="66">
        <v>200</v>
      </c>
      <c r="L45" s="66">
        <v>2400</v>
      </c>
      <c r="M45" s="164">
        <v>33.193439604101272</v>
      </c>
      <c r="N45" s="78">
        <v>2836.346549938793</v>
      </c>
      <c r="O45" s="113">
        <v>67861.54916398949</v>
      </c>
      <c r="P45" s="1205">
        <v>79871.808725653798</v>
      </c>
      <c r="Q45" s="1206">
        <v>24957.549754862499</v>
      </c>
      <c r="R45" s="263">
        <v>92819.098918851989</v>
      </c>
      <c r="S45" s="259">
        <v>104829.3584805163</v>
      </c>
      <c r="U45" s="7" t="s">
        <v>5454</v>
      </c>
    </row>
    <row r="46" spans="1:21" ht="16.5" thickBot="1">
      <c r="A46" s="1188" t="s">
        <v>4533</v>
      </c>
      <c r="B46" s="1192">
        <f t="shared" si="0"/>
        <v>200</v>
      </c>
      <c r="C46" s="1192" t="s">
        <v>3</v>
      </c>
      <c r="D46" s="1192">
        <f t="shared" si="1"/>
        <v>200</v>
      </c>
      <c r="E46" s="1192" t="s">
        <v>3</v>
      </c>
      <c r="F46" s="1190">
        <f t="shared" si="2"/>
        <v>2450</v>
      </c>
      <c r="G46" s="1192" t="s">
        <v>3</v>
      </c>
      <c r="H46" s="1189">
        <v>4</v>
      </c>
      <c r="I46" s="1191" t="s">
        <v>41</v>
      </c>
      <c r="J46" s="149">
        <v>200</v>
      </c>
      <c r="K46" s="66">
        <v>200</v>
      </c>
      <c r="L46" s="66">
        <v>2450</v>
      </c>
      <c r="M46" s="164">
        <v>33.85870984515109</v>
      </c>
      <c r="N46" s="78">
        <v>2905.525734083642</v>
      </c>
      <c r="O46" s="113">
        <v>69059.492768860146</v>
      </c>
      <c r="P46" s="1205">
        <v>81293.476100331784</v>
      </c>
      <c r="Q46" s="1206">
        <v>25599.560361888554</v>
      </c>
      <c r="R46" s="263">
        <v>94659.053130748696</v>
      </c>
      <c r="S46" s="259">
        <v>106893.03646222033</v>
      </c>
      <c r="U46" s="7" t="s">
        <v>5455</v>
      </c>
    </row>
    <row r="47" spans="1:21" ht="16.5" thickBot="1">
      <c r="A47" s="1188" t="s">
        <v>4533</v>
      </c>
      <c r="B47" s="1192">
        <f t="shared" si="0"/>
        <v>200</v>
      </c>
      <c r="C47" s="1192" t="s">
        <v>3</v>
      </c>
      <c r="D47" s="1192">
        <f t="shared" si="1"/>
        <v>200</v>
      </c>
      <c r="E47" s="1192" t="s">
        <v>3</v>
      </c>
      <c r="F47" s="1190">
        <f t="shared" si="2"/>
        <v>2500</v>
      </c>
      <c r="G47" s="1192" t="s">
        <v>3</v>
      </c>
      <c r="H47" s="1189">
        <v>4</v>
      </c>
      <c r="I47" s="1191" t="s">
        <v>41</v>
      </c>
      <c r="J47" s="149">
        <v>200</v>
      </c>
      <c r="K47" s="66">
        <v>200</v>
      </c>
      <c r="L47" s="66">
        <v>2500</v>
      </c>
      <c r="M47" s="164">
        <v>34.891272886200881</v>
      </c>
      <c r="N47" s="78">
        <v>2974.7049182284904</v>
      </c>
      <c r="O47" s="113">
        <v>71100.910880331561</v>
      </c>
      <c r="P47" s="1205">
        <v>83833.410510915361</v>
      </c>
      <c r="Q47" s="1206">
        <v>25990.236678102072</v>
      </c>
      <c r="R47" s="263">
        <v>97091.147558433629</v>
      </c>
      <c r="S47" s="259">
        <v>109823.64718901743</v>
      </c>
      <c r="U47" s="7" t="s">
        <v>5456</v>
      </c>
    </row>
    <row r="48" spans="1:21" ht="16.5" thickBot="1">
      <c r="A48" s="1188" t="s">
        <v>4533</v>
      </c>
      <c r="B48" s="1192">
        <f t="shared" si="0"/>
        <v>200</v>
      </c>
      <c r="C48" s="1192" t="s">
        <v>3</v>
      </c>
      <c r="D48" s="1192">
        <f t="shared" si="1"/>
        <v>200</v>
      </c>
      <c r="E48" s="1192" t="s">
        <v>3</v>
      </c>
      <c r="F48" s="1190">
        <f t="shared" si="2"/>
        <v>2550</v>
      </c>
      <c r="G48" s="1192" t="s">
        <v>3</v>
      </c>
      <c r="H48" s="1189">
        <v>4</v>
      </c>
      <c r="I48" s="1191" t="s">
        <v>41</v>
      </c>
      <c r="J48" s="149">
        <v>200</v>
      </c>
      <c r="K48" s="66">
        <v>200</v>
      </c>
      <c r="L48" s="66">
        <v>2550</v>
      </c>
      <c r="M48" s="164">
        <v>35.556543127250691</v>
      </c>
      <c r="N48" s="78">
        <v>3043.8841023733394</v>
      </c>
      <c r="O48" s="113">
        <v>72688.705364256661</v>
      </c>
      <c r="P48" s="1205">
        <v>85270.380762105851</v>
      </c>
      <c r="Q48" s="1206">
        <v>26632.247132099365</v>
      </c>
      <c r="R48" s="263">
        <v>99320.952496356025</v>
      </c>
      <c r="S48" s="259">
        <v>111902.62789420522</v>
      </c>
      <c r="U48" s="7" t="s">
        <v>5457</v>
      </c>
    </row>
    <row r="49" spans="1:21" ht="16.5" thickBot="1">
      <c r="A49" s="1188" t="s">
        <v>4533</v>
      </c>
      <c r="B49" s="1189">
        <f t="shared" si="0"/>
        <v>200</v>
      </c>
      <c r="C49" s="1189" t="s">
        <v>3</v>
      </c>
      <c r="D49" s="1189">
        <f t="shared" si="1"/>
        <v>200</v>
      </c>
      <c r="E49" s="1189" t="s">
        <v>3</v>
      </c>
      <c r="F49" s="1190">
        <f t="shared" si="2"/>
        <v>2600</v>
      </c>
      <c r="G49" s="1189" t="s">
        <v>3</v>
      </c>
      <c r="H49" s="1189">
        <v>4</v>
      </c>
      <c r="I49" s="1191" t="s">
        <v>41</v>
      </c>
      <c r="J49" s="149">
        <v>200</v>
      </c>
      <c r="K49" s="66">
        <v>200</v>
      </c>
      <c r="L49" s="66">
        <v>2600</v>
      </c>
      <c r="M49" s="164">
        <v>36.221813368300495</v>
      </c>
      <c r="N49" s="78">
        <v>3113.0632865181879</v>
      </c>
      <c r="O49" s="113">
        <v>73886.648969127316</v>
      </c>
      <c r="P49" s="1205">
        <v>86692.048136783837</v>
      </c>
      <c r="Q49" s="1206">
        <v>27022.923448312882</v>
      </c>
      <c r="R49" s="263">
        <v>100909.5724174402</v>
      </c>
      <c r="S49" s="259">
        <v>113714.97158509672</v>
      </c>
      <c r="U49" s="7" t="s">
        <v>5458</v>
      </c>
    </row>
    <row r="50" spans="1:21" ht="16.5" thickBot="1">
      <c r="A50" s="1188" t="s">
        <v>4533</v>
      </c>
      <c r="B50" s="1192">
        <f t="shared" si="0"/>
        <v>200</v>
      </c>
      <c r="C50" s="1192" t="s">
        <v>3</v>
      </c>
      <c r="D50" s="1192">
        <f t="shared" si="1"/>
        <v>200</v>
      </c>
      <c r="E50" s="1192" t="s">
        <v>3</v>
      </c>
      <c r="F50" s="1190">
        <f t="shared" si="2"/>
        <v>2650</v>
      </c>
      <c r="G50" s="1192" t="s">
        <v>3</v>
      </c>
      <c r="H50" s="1189">
        <v>4</v>
      </c>
      <c r="I50" s="1191" t="s">
        <v>41</v>
      </c>
      <c r="J50" s="149">
        <v>200</v>
      </c>
      <c r="K50" s="66">
        <v>200</v>
      </c>
      <c r="L50" s="66">
        <v>2650</v>
      </c>
      <c r="M50" s="164">
        <v>36.887083609350292</v>
      </c>
      <c r="N50" s="78">
        <v>3182.2424706630359</v>
      </c>
      <c r="O50" s="113">
        <v>75084.592573997972</v>
      </c>
      <c r="P50" s="1205">
        <v>88113.715511461822</v>
      </c>
      <c r="Q50" s="1206">
        <v>27664.933902310175</v>
      </c>
      <c r="R50" s="263">
        <v>102749.52647630815</v>
      </c>
      <c r="S50" s="259">
        <v>115778.649413772</v>
      </c>
      <c r="U50" s="7" t="s">
        <v>5459</v>
      </c>
    </row>
    <row r="51" spans="1:21" ht="16.5" thickBot="1">
      <c r="A51" s="1188" t="s">
        <v>4533</v>
      </c>
      <c r="B51" s="1192">
        <f t="shared" si="0"/>
        <v>200</v>
      </c>
      <c r="C51" s="1192" t="s">
        <v>3</v>
      </c>
      <c r="D51" s="1192">
        <f t="shared" si="1"/>
        <v>200</v>
      </c>
      <c r="E51" s="1192" t="s">
        <v>3</v>
      </c>
      <c r="F51" s="1190">
        <f t="shared" si="2"/>
        <v>2700</v>
      </c>
      <c r="G51" s="1192" t="s">
        <v>3</v>
      </c>
      <c r="H51" s="1189">
        <v>4</v>
      </c>
      <c r="I51" s="1191" t="s">
        <v>41</v>
      </c>
      <c r="J51" s="149">
        <v>200</v>
      </c>
      <c r="K51" s="66">
        <v>200</v>
      </c>
      <c r="L51" s="66">
        <v>2700</v>
      </c>
      <c r="M51" s="164">
        <v>37.552353850400095</v>
      </c>
      <c r="N51" s="78">
        <v>3251.4216548078848</v>
      </c>
      <c r="O51" s="113">
        <v>76282.536178868613</v>
      </c>
      <c r="P51" s="1205">
        <v>89535.382886139792</v>
      </c>
      <c r="Q51" s="1206">
        <v>28055.610371552459</v>
      </c>
      <c r="R51" s="263">
        <v>104338.14655042108</v>
      </c>
      <c r="S51" s="259">
        <v>117590.99325769226</v>
      </c>
      <c r="U51" s="7" t="s">
        <v>5460</v>
      </c>
    </row>
    <row r="52" spans="1:21" ht="16.5" thickBot="1">
      <c r="A52" s="1188" t="s">
        <v>4533</v>
      </c>
      <c r="B52" s="1192">
        <f t="shared" si="0"/>
        <v>200</v>
      </c>
      <c r="C52" s="1192" t="s">
        <v>3</v>
      </c>
      <c r="D52" s="1192">
        <f t="shared" si="1"/>
        <v>200</v>
      </c>
      <c r="E52" s="1192" t="s">
        <v>3</v>
      </c>
      <c r="F52" s="1190">
        <f t="shared" si="2"/>
        <v>2750</v>
      </c>
      <c r="G52" s="1192" t="s">
        <v>3</v>
      </c>
      <c r="H52" s="1189">
        <v>4</v>
      </c>
      <c r="I52" s="1191" t="s">
        <v>41</v>
      </c>
      <c r="J52" s="149">
        <v>200</v>
      </c>
      <c r="K52" s="66">
        <v>200</v>
      </c>
      <c r="L52" s="66">
        <v>2750</v>
      </c>
      <c r="M52" s="164">
        <v>38.217624091449892</v>
      </c>
      <c r="N52" s="78">
        <v>3320.6008389527333</v>
      </c>
      <c r="O52" s="113">
        <v>77480.479783739269</v>
      </c>
      <c r="P52" s="1205">
        <v>90957.050260817763</v>
      </c>
      <c r="Q52" s="1206">
        <v>28446.286687765976</v>
      </c>
      <c r="R52" s="263">
        <v>105926.76647150525</v>
      </c>
      <c r="S52" s="259">
        <v>119403.33694858375</v>
      </c>
      <c r="U52" s="7" t="s">
        <v>5461</v>
      </c>
    </row>
    <row r="53" spans="1:21" ht="16.5" thickBot="1">
      <c r="A53" s="1188" t="s">
        <v>4533</v>
      </c>
      <c r="B53" s="1192">
        <f t="shared" si="0"/>
        <v>200</v>
      </c>
      <c r="C53" s="1192" t="s">
        <v>3</v>
      </c>
      <c r="D53" s="1192">
        <f t="shared" si="1"/>
        <v>200</v>
      </c>
      <c r="E53" s="1192" t="s">
        <v>3</v>
      </c>
      <c r="F53" s="1190">
        <f t="shared" si="2"/>
        <v>2800</v>
      </c>
      <c r="G53" s="1192" t="s">
        <v>3</v>
      </c>
      <c r="H53" s="1189">
        <v>4</v>
      </c>
      <c r="I53" s="1191" t="s">
        <v>41</v>
      </c>
      <c r="J53" s="149">
        <v>200</v>
      </c>
      <c r="K53" s="66">
        <v>200</v>
      </c>
      <c r="L53" s="66">
        <v>2800</v>
      </c>
      <c r="M53" s="164">
        <v>38.88289433249971</v>
      </c>
      <c r="N53" s="78">
        <v>3389.7800230975822</v>
      </c>
      <c r="O53" s="113">
        <v>78678.423388609925</v>
      </c>
      <c r="P53" s="1205">
        <v>92378.717635495748</v>
      </c>
      <c r="Q53" s="1206">
        <v>29088.297141763269</v>
      </c>
      <c r="R53" s="263">
        <v>107766.72053037319</v>
      </c>
      <c r="S53" s="259">
        <v>121467.01477725901</v>
      </c>
      <c r="U53" s="7" t="s">
        <v>5462</v>
      </c>
    </row>
    <row r="54" spans="1:21" ht="16.5" thickBot="1">
      <c r="A54" s="1188" t="s">
        <v>4533</v>
      </c>
      <c r="B54" s="1192">
        <f t="shared" si="0"/>
        <v>200</v>
      </c>
      <c r="C54" s="1192" t="s">
        <v>3</v>
      </c>
      <c r="D54" s="1192">
        <f t="shared" si="1"/>
        <v>200</v>
      </c>
      <c r="E54" s="1192" t="s">
        <v>3</v>
      </c>
      <c r="F54" s="1190">
        <f t="shared" si="2"/>
        <v>2850</v>
      </c>
      <c r="G54" s="1192" t="s">
        <v>3</v>
      </c>
      <c r="H54" s="1189">
        <v>4</v>
      </c>
      <c r="I54" s="1191" t="s">
        <v>41</v>
      </c>
      <c r="J54" s="149">
        <v>200</v>
      </c>
      <c r="K54" s="66">
        <v>200</v>
      </c>
      <c r="L54" s="66">
        <v>2850</v>
      </c>
      <c r="M54" s="164">
        <v>39.548164573549506</v>
      </c>
      <c r="N54" s="78">
        <v>3458.9592072424307</v>
      </c>
      <c r="O54" s="113">
        <v>79876.36714650935</v>
      </c>
      <c r="P54" s="1205">
        <v>93800.385010173733</v>
      </c>
      <c r="Q54" s="1206">
        <v>29478.973457976786</v>
      </c>
      <c r="R54" s="263">
        <v>109355.34060448613</v>
      </c>
      <c r="S54" s="259">
        <v>123279.35846815052</v>
      </c>
      <c r="U54" s="7" t="s">
        <v>5463</v>
      </c>
    </row>
    <row r="55" spans="1:21" ht="16.5" thickBot="1">
      <c r="A55" s="1188" t="s">
        <v>4533</v>
      </c>
      <c r="B55" s="1192">
        <f t="shared" si="0"/>
        <v>200</v>
      </c>
      <c r="C55" s="1192" t="s">
        <v>3</v>
      </c>
      <c r="D55" s="1192">
        <f t="shared" si="1"/>
        <v>200</v>
      </c>
      <c r="E55" s="1192" t="s">
        <v>3</v>
      </c>
      <c r="F55" s="1190">
        <f t="shared" si="2"/>
        <v>2900</v>
      </c>
      <c r="G55" s="1192" t="s">
        <v>3</v>
      </c>
      <c r="H55" s="1189">
        <v>4</v>
      </c>
      <c r="I55" s="1191" t="s">
        <v>41</v>
      </c>
      <c r="J55" s="149">
        <v>200</v>
      </c>
      <c r="K55" s="66">
        <v>200</v>
      </c>
      <c r="L55" s="66">
        <v>2900</v>
      </c>
      <c r="M55" s="164">
        <v>40.21343481459931</v>
      </c>
      <c r="N55" s="78">
        <v>3528.1383913872792</v>
      </c>
      <c r="O55" s="113">
        <v>81074.310751380006</v>
      </c>
      <c r="P55" s="1205">
        <v>95222.052384851719</v>
      </c>
      <c r="Q55" s="1206">
        <v>30120.983911974079</v>
      </c>
      <c r="R55" s="263">
        <v>111195.29466335409</v>
      </c>
      <c r="S55" s="259">
        <v>125343.0362968258</v>
      </c>
      <c r="U55" s="7" t="s">
        <v>5464</v>
      </c>
    </row>
    <row r="56" spans="1:21" ht="16.5" thickBot="1">
      <c r="A56" s="1188" t="s">
        <v>4533</v>
      </c>
      <c r="B56" s="1192">
        <f t="shared" si="0"/>
        <v>200</v>
      </c>
      <c r="C56" s="1192" t="s">
        <v>3</v>
      </c>
      <c r="D56" s="1192">
        <f t="shared" si="1"/>
        <v>200</v>
      </c>
      <c r="E56" s="1192" t="s">
        <v>3</v>
      </c>
      <c r="F56" s="1190">
        <f t="shared" si="2"/>
        <v>2950</v>
      </c>
      <c r="G56" s="1192" t="s">
        <v>3</v>
      </c>
      <c r="H56" s="1189">
        <v>4</v>
      </c>
      <c r="I56" s="1191" t="s">
        <v>41</v>
      </c>
      <c r="J56" s="149">
        <v>200</v>
      </c>
      <c r="K56" s="66">
        <v>200</v>
      </c>
      <c r="L56" s="66">
        <v>2950</v>
      </c>
      <c r="M56" s="164">
        <v>40.878705055649114</v>
      </c>
      <c r="N56" s="78">
        <v>3597.3175755321281</v>
      </c>
      <c r="O56" s="113">
        <v>82272.254356250647</v>
      </c>
      <c r="P56" s="1205">
        <v>96643.719759529689</v>
      </c>
      <c r="Q56" s="1206">
        <v>30511.660381216363</v>
      </c>
      <c r="R56" s="263">
        <v>112783.91473746701</v>
      </c>
      <c r="S56" s="259">
        <v>127155.38014074606</v>
      </c>
      <c r="U56" s="7" t="s">
        <v>5465</v>
      </c>
    </row>
    <row r="57" spans="1:21" ht="16.5" thickBot="1">
      <c r="A57" s="1193" t="s">
        <v>4533</v>
      </c>
      <c r="B57" s="1194">
        <f t="shared" si="0"/>
        <v>200</v>
      </c>
      <c r="C57" s="1194" t="s">
        <v>3</v>
      </c>
      <c r="D57" s="1194">
        <f t="shared" si="1"/>
        <v>200</v>
      </c>
      <c r="E57" s="1194" t="s">
        <v>3</v>
      </c>
      <c r="F57" s="1195">
        <f t="shared" si="2"/>
        <v>3000</v>
      </c>
      <c r="G57" s="1194" t="s">
        <v>3</v>
      </c>
      <c r="H57" s="1196">
        <v>4</v>
      </c>
      <c r="I57" s="1197" t="s">
        <v>41</v>
      </c>
      <c r="J57" s="265">
        <v>200</v>
      </c>
      <c r="K57" s="266">
        <v>200</v>
      </c>
      <c r="L57" s="266">
        <v>3000</v>
      </c>
      <c r="M57" s="249">
        <v>41.700047296698912</v>
      </c>
      <c r="N57" s="250">
        <v>3666.4967596769766</v>
      </c>
      <c r="O57" s="251">
        <v>83695.456303385305</v>
      </c>
      <c r="P57" s="1207">
        <v>98290.645476471676</v>
      </c>
      <c r="Q57" s="1208">
        <v>31153.670835213656</v>
      </c>
      <c r="R57" s="268">
        <v>114849.12713859897</v>
      </c>
      <c r="S57" s="269">
        <v>129444.31631168534</v>
      </c>
      <c r="U57" s="7" t="s">
        <v>5466</v>
      </c>
    </row>
    <row r="58" spans="1:21" ht="19.5" thickBot="1">
      <c r="A58" s="2968" t="s">
        <v>45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69"/>
      <c r="R58" s="2969"/>
      <c r="S58" s="2970"/>
      <c r="U58" s="7"/>
    </row>
    <row r="59" spans="1:21" ht="16.5" customHeight="1" thickBot="1">
      <c r="A59" s="3050" t="s">
        <v>4535</v>
      </c>
      <c r="B59" s="3051"/>
      <c r="C59" s="3051"/>
      <c r="D59" s="3051"/>
      <c r="E59" s="3051"/>
      <c r="F59" s="3051"/>
      <c r="G59" s="3051"/>
      <c r="H59" s="3051"/>
      <c r="I59" s="3051"/>
      <c r="J59" s="3051"/>
      <c r="K59" s="3051"/>
      <c r="L59" s="3051"/>
      <c r="M59" s="3051"/>
      <c r="N59" s="3051"/>
      <c r="O59" s="3051"/>
      <c r="P59" s="3051"/>
      <c r="Q59" s="3051"/>
      <c r="R59" s="3051"/>
      <c r="S59" s="3052"/>
      <c r="U59" s="7"/>
    </row>
    <row r="60" spans="1:21" ht="16.5" thickBot="1">
      <c r="A60" s="1188" t="s">
        <v>4533</v>
      </c>
      <c r="B60" s="1189">
        <f>J60</f>
        <v>200</v>
      </c>
      <c r="C60" s="1189" t="s">
        <v>3</v>
      </c>
      <c r="D60" s="1189">
        <f>K60</f>
        <v>260</v>
      </c>
      <c r="E60" s="1189" t="s">
        <v>3</v>
      </c>
      <c r="F60" s="1190">
        <f>L60</f>
        <v>600</v>
      </c>
      <c r="G60" s="1189" t="s">
        <v>3</v>
      </c>
      <c r="H60" s="1189">
        <v>4</v>
      </c>
      <c r="I60" s="1191" t="s">
        <v>41</v>
      </c>
      <c r="J60" s="270">
        <v>200</v>
      </c>
      <c r="K60" s="271">
        <v>260</v>
      </c>
      <c r="L60" s="271">
        <v>600</v>
      </c>
      <c r="M60" s="245">
        <v>10.067299264413645</v>
      </c>
      <c r="N60" s="246">
        <v>371.9310975529495</v>
      </c>
      <c r="O60" s="247">
        <v>24111.047115057434</v>
      </c>
      <c r="P60" s="170">
        <v>29250.705196470943</v>
      </c>
      <c r="Q60" s="272">
        <v>8214.2785134660462</v>
      </c>
      <c r="R60" s="273">
        <v>32325.325628523482</v>
      </c>
      <c r="S60" s="274">
        <v>37464.983709936991</v>
      </c>
      <c r="U60" s="7" t="s">
        <v>5467</v>
      </c>
    </row>
    <row r="61" spans="1:21" ht="16.5" thickBot="1">
      <c r="A61" s="1188" t="s">
        <v>4533</v>
      </c>
      <c r="B61" s="1192">
        <f t="shared" ref="B61:B108" si="3">J61</f>
        <v>200</v>
      </c>
      <c r="C61" s="1192" t="s">
        <v>3</v>
      </c>
      <c r="D61" s="1192">
        <f t="shared" ref="D61:D108" si="4">K61</f>
        <v>260</v>
      </c>
      <c r="E61" s="1192" t="s">
        <v>3</v>
      </c>
      <c r="F61" s="1190">
        <f t="shared" ref="F61:F108" si="5">L61</f>
        <v>650</v>
      </c>
      <c r="G61" s="1192" t="s">
        <v>3</v>
      </c>
      <c r="H61" s="1189">
        <v>4</v>
      </c>
      <c r="I61" s="1191" t="s">
        <v>41</v>
      </c>
      <c r="J61" s="149">
        <v>200</v>
      </c>
      <c r="K61" s="66">
        <v>260</v>
      </c>
      <c r="L61" s="66">
        <v>650</v>
      </c>
      <c r="M61" s="164">
        <v>10.792432600305556</v>
      </c>
      <c r="N61" s="78">
        <v>446.31731706353941</v>
      </c>
      <c r="O61" s="113">
        <v>25341.018263209866</v>
      </c>
      <c r="P61" s="161">
        <v>30726.77251413422</v>
      </c>
      <c r="Q61" s="254">
        <v>8684.7340809460093</v>
      </c>
      <c r="R61" s="263">
        <v>34025.752344155873</v>
      </c>
      <c r="S61" s="259">
        <v>39411.506595080231</v>
      </c>
      <c r="U61" s="7" t="s">
        <v>5468</v>
      </c>
    </row>
    <row r="62" spans="1:21" ht="16.5" thickBot="1">
      <c r="A62" s="1188" t="s">
        <v>4533</v>
      </c>
      <c r="B62" s="1192">
        <f t="shared" si="3"/>
        <v>200</v>
      </c>
      <c r="C62" s="1192" t="s">
        <v>3</v>
      </c>
      <c r="D62" s="1192">
        <f t="shared" si="4"/>
        <v>260</v>
      </c>
      <c r="E62" s="1192" t="s">
        <v>3</v>
      </c>
      <c r="F62" s="1190">
        <f t="shared" si="5"/>
        <v>700</v>
      </c>
      <c r="G62" s="1192" t="s">
        <v>3</v>
      </c>
      <c r="H62" s="1189">
        <v>4</v>
      </c>
      <c r="I62" s="1191" t="s">
        <v>41</v>
      </c>
      <c r="J62" s="149">
        <v>200</v>
      </c>
      <c r="K62" s="66">
        <v>260</v>
      </c>
      <c r="L62" s="66">
        <v>700</v>
      </c>
      <c r="M62" s="164">
        <v>11.51756593619746</v>
      </c>
      <c r="N62" s="78">
        <v>520.70353657412932</v>
      </c>
      <c r="O62" s="113">
        <v>26570.98956439106</v>
      </c>
      <c r="P62" s="161">
        <v>32202.839831797486</v>
      </c>
      <c r="Q62" s="254">
        <v>9406.5237862097401</v>
      </c>
      <c r="R62" s="263">
        <v>35977.513350600799</v>
      </c>
      <c r="S62" s="259">
        <v>41609.363618007228</v>
      </c>
      <c r="U62" s="7" t="s">
        <v>5469</v>
      </c>
    </row>
    <row r="63" spans="1:21" ht="16.5" thickBot="1">
      <c r="A63" s="1188" t="s">
        <v>4533</v>
      </c>
      <c r="B63" s="1192">
        <f t="shared" si="3"/>
        <v>200</v>
      </c>
      <c r="C63" s="1192" t="s">
        <v>3</v>
      </c>
      <c r="D63" s="1192">
        <f t="shared" si="4"/>
        <v>260</v>
      </c>
      <c r="E63" s="1192" t="s">
        <v>3</v>
      </c>
      <c r="F63" s="1190">
        <f t="shared" si="5"/>
        <v>750</v>
      </c>
      <c r="G63" s="1192" t="s">
        <v>3</v>
      </c>
      <c r="H63" s="1189">
        <v>4</v>
      </c>
      <c r="I63" s="1191" t="s">
        <v>41</v>
      </c>
      <c r="J63" s="149">
        <v>200</v>
      </c>
      <c r="K63" s="66">
        <v>260</v>
      </c>
      <c r="L63" s="66">
        <v>750</v>
      </c>
      <c r="M63" s="164">
        <v>12.242699272089368</v>
      </c>
      <c r="N63" s="78">
        <v>595.08975608471917</v>
      </c>
      <c r="O63" s="113">
        <v>27800.960712543492</v>
      </c>
      <c r="P63" s="161">
        <v>33678.907149460603</v>
      </c>
      <c r="Q63" s="254">
        <v>9876.9793536897032</v>
      </c>
      <c r="R63" s="263">
        <v>37677.940066233197</v>
      </c>
      <c r="S63" s="259">
        <v>43555.886503150308</v>
      </c>
      <c r="U63" s="7" t="s">
        <v>5470</v>
      </c>
    </row>
    <row r="64" spans="1:21" ht="16.5" thickBot="1">
      <c r="A64" s="1188" t="s">
        <v>4533</v>
      </c>
      <c r="B64" s="1192">
        <f t="shared" si="3"/>
        <v>200</v>
      </c>
      <c r="C64" s="1192" t="s">
        <v>3</v>
      </c>
      <c r="D64" s="1192">
        <f t="shared" si="4"/>
        <v>260</v>
      </c>
      <c r="E64" s="1192" t="s">
        <v>3</v>
      </c>
      <c r="F64" s="1190">
        <f t="shared" si="5"/>
        <v>800</v>
      </c>
      <c r="G64" s="1192" t="s">
        <v>3</v>
      </c>
      <c r="H64" s="1189">
        <v>4</v>
      </c>
      <c r="I64" s="1191" t="s">
        <v>41</v>
      </c>
      <c r="J64" s="149">
        <v>200</v>
      </c>
      <c r="K64" s="66">
        <v>260</v>
      </c>
      <c r="L64" s="66">
        <v>800</v>
      </c>
      <c r="M64" s="164">
        <v>12.967832607981277</v>
      </c>
      <c r="N64" s="78">
        <v>669.47597559530914</v>
      </c>
      <c r="O64" s="113">
        <v>29423.045576100259</v>
      </c>
      <c r="P64" s="161">
        <v>35170.277343636379</v>
      </c>
      <c r="Q64" s="254">
        <v>10347.434921169664</v>
      </c>
      <c r="R64" s="263">
        <v>39770.48049726992</v>
      </c>
      <c r="S64" s="259">
        <v>45517.712264806047</v>
      </c>
      <c r="U64" s="7" t="s">
        <v>5471</v>
      </c>
    </row>
    <row r="65" spans="1:21" ht="16.5" thickBot="1">
      <c r="A65" s="1188" t="s">
        <v>4533</v>
      </c>
      <c r="B65" s="1192">
        <f t="shared" si="3"/>
        <v>200</v>
      </c>
      <c r="C65" s="1192" t="s">
        <v>3</v>
      </c>
      <c r="D65" s="1192">
        <f t="shared" si="4"/>
        <v>260</v>
      </c>
      <c r="E65" s="1192" t="s">
        <v>3</v>
      </c>
      <c r="F65" s="1190">
        <f t="shared" si="5"/>
        <v>850</v>
      </c>
      <c r="G65" s="1192" t="s">
        <v>3</v>
      </c>
      <c r="H65" s="1189">
        <v>4</v>
      </c>
      <c r="I65" s="1191" t="s">
        <v>41</v>
      </c>
      <c r="J65" s="149">
        <v>200</v>
      </c>
      <c r="K65" s="66">
        <v>260</v>
      </c>
      <c r="L65" s="66">
        <v>850</v>
      </c>
      <c r="M65" s="164">
        <v>13.692965943873185</v>
      </c>
      <c r="N65" s="78">
        <v>743.86219510589899</v>
      </c>
      <c r="O65" s="113">
        <v>30653.016724252688</v>
      </c>
      <c r="P65" s="161">
        <v>36646.344661299649</v>
      </c>
      <c r="Q65" s="254">
        <v>11069.224626433395</v>
      </c>
      <c r="R65" s="263">
        <v>41722.241350686083</v>
      </c>
      <c r="S65" s="259">
        <v>47715.569287733044</v>
      </c>
      <c r="U65" s="7" t="s">
        <v>5472</v>
      </c>
    </row>
    <row r="66" spans="1:21" ht="16.5" thickBot="1">
      <c r="A66" s="1188" t="s">
        <v>4533</v>
      </c>
      <c r="B66" s="1192">
        <f t="shared" si="3"/>
        <v>200</v>
      </c>
      <c r="C66" s="1192" t="s">
        <v>3</v>
      </c>
      <c r="D66" s="1192">
        <f t="shared" si="4"/>
        <v>260</v>
      </c>
      <c r="E66" s="1192" t="s">
        <v>3</v>
      </c>
      <c r="F66" s="1190">
        <f t="shared" si="5"/>
        <v>900</v>
      </c>
      <c r="G66" s="1192" t="s">
        <v>3</v>
      </c>
      <c r="H66" s="1189">
        <v>4</v>
      </c>
      <c r="I66" s="1191" t="s">
        <v>41</v>
      </c>
      <c r="J66" s="149">
        <v>200</v>
      </c>
      <c r="K66" s="66">
        <v>260</v>
      </c>
      <c r="L66" s="66">
        <v>900</v>
      </c>
      <c r="M66" s="164">
        <v>14.418099279765094</v>
      </c>
      <c r="N66" s="78">
        <v>818.24841461648896</v>
      </c>
      <c r="O66" s="113">
        <v>31882.988025433886</v>
      </c>
      <c r="P66" s="161">
        <v>38122.411978962919</v>
      </c>
      <c r="Q66" s="254">
        <v>11539.680193913358</v>
      </c>
      <c r="R66" s="263">
        <v>43422.668219347244</v>
      </c>
      <c r="S66" s="259">
        <v>49662.092172876277</v>
      </c>
      <c r="U66" s="7" t="s">
        <v>5473</v>
      </c>
    </row>
    <row r="67" spans="1:21" ht="16.5" thickBot="1">
      <c r="A67" s="1188" t="s">
        <v>4533</v>
      </c>
      <c r="B67" s="1192">
        <f t="shared" si="3"/>
        <v>200</v>
      </c>
      <c r="C67" s="1192" t="s">
        <v>3</v>
      </c>
      <c r="D67" s="1192">
        <f t="shared" si="4"/>
        <v>260</v>
      </c>
      <c r="E67" s="1192" t="s">
        <v>3</v>
      </c>
      <c r="F67" s="1190">
        <f t="shared" si="5"/>
        <v>950</v>
      </c>
      <c r="G67" s="1192" t="s">
        <v>3</v>
      </c>
      <c r="H67" s="1189">
        <v>4</v>
      </c>
      <c r="I67" s="1191" t="s">
        <v>41</v>
      </c>
      <c r="J67" s="149">
        <v>200</v>
      </c>
      <c r="K67" s="66">
        <v>260</v>
      </c>
      <c r="L67" s="66">
        <v>950</v>
      </c>
      <c r="M67" s="164">
        <v>15.143232615657</v>
      </c>
      <c r="N67" s="78">
        <v>892.63463412707881</v>
      </c>
      <c r="O67" s="113">
        <v>33112.959173586314</v>
      </c>
      <c r="P67" s="161">
        <v>39598.479296626196</v>
      </c>
      <c r="Q67" s="254">
        <v>12261.469899177091</v>
      </c>
      <c r="R67" s="263">
        <v>45374.429072763407</v>
      </c>
      <c r="S67" s="259">
        <v>51859.949195803289</v>
      </c>
      <c r="U67" s="7" t="s">
        <v>5474</v>
      </c>
    </row>
    <row r="68" spans="1:21" ht="16.5" thickBot="1">
      <c r="A68" s="1188" t="s">
        <v>4533</v>
      </c>
      <c r="B68" s="1192">
        <f t="shared" si="3"/>
        <v>200</v>
      </c>
      <c r="C68" s="1192" t="s">
        <v>3</v>
      </c>
      <c r="D68" s="1192">
        <f t="shared" si="4"/>
        <v>260</v>
      </c>
      <c r="E68" s="1192" t="s">
        <v>3</v>
      </c>
      <c r="F68" s="1190">
        <f t="shared" si="5"/>
        <v>1000</v>
      </c>
      <c r="G68" s="1192" t="s">
        <v>3</v>
      </c>
      <c r="H68" s="1189">
        <v>4</v>
      </c>
      <c r="I68" s="1191" t="s">
        <v>41</v>
      </c>
      <c r="J68" s="149">
        <v>200</v>
      </c>
      <c r="K68" s="66">
        <v>260</v>
      </c>
      <c r="L68" s="66">
        <v>1000</v>
      </c>
      <c r="M68" s="164">
        <v>15.969812751548911</v>
      </c>
      <c r="N68" s="78">
        <v>967.02085363766867</v>
      </c>
      <c r="O68" s="113">
        <v>34393.380845025153</v>
      </c>
      <c r="P68" s="161">
        <v>41124.997137575876</v>
      </c>
      <c r="Q68" s="254">
        <v>12731.925466657052</v>
      </c>
      <c r="R68" s="263">
        <v>47125.306311682201</v>
      </c>
      <c r="S68" s="259">
        <v>53856.922604232925</v>
      </c>
      <c r="U68" s="7" t="s">
        <v>5475</v>
      </c>
    </row>
    <row r="69" spans="1:21" ht="16.5" thickBot="1">
      <c r="A69" s="1188" t="s">
        <v>4533</v>
      </c>
      <c r="B69" s="1192">
        <f t="shared" si="3"/>
        <v>200</v>
      </c>
      <c r="C69" s="1192" t="s">
        <v>3</v>
      </c>
      <c r="D69" s="1192">
        <f t="shared" si="4"/>
        <v>260</v>
      </c>
      <c r="E69" s="1192" t="s">
        <v>3</v>
      </c>
      <c r="F69" s="1190">
        <f t="shared" si="5"/>
        <v>1050</v>
      </c>
      <c r="G69" s="1192" t="s">
        <v>3</v>
      </c>
      <c r="H69" s="1189">
        <v>4</v>
      </c>
      <c r="I69" s="1191" t="s">
        <v>41</v>
      </c>
      <c r="J69" s="149">
        <v>200</v>
      </c>
      <c r="K69" s="66">
        <v>260</v>
      </c>
      <c r="L69" s="66">
        <v>1050</v>
      </c>
      <c r="M69" s="164">
        <v>16.694946087440819</v>
      </c>
      <c r="N69" s="78">
        <v>1041.4070731482586</v>
      </c>
      <c r="O69" s="113">
        <v>35623.351993177581</v>
      </c>
      <c r="P69" s="161">
        <v>42601.064455239146</v>
      </c>
      <c r="Q69" s="254">
        <v>13453.71501889202</v>
      </c>
      <c r="R69" s="263">
        <v>49077.067012069601</v>
      </c>
      <c r="S69" s="259">
        <v>56054.779474131166</v>
      </c>
      <c r="U69" s="7" t="s">
        <v>5476</v>
      </c>
    </row>
    <row r="70" spans="1:21" ht="16.5" thickBot="1">
      <c r="A70" s="1188" t="s">
        <v>4533</v>
      </c>
      <c r="B70" s="1189">
        <f t="shared" si="3"/>
        <v>200</v>
      </c>
      <c r="C70" s="1189" t="s">
        <v>3</v>
      </c>
      <c r="D70" s="1189">
        <f t="shared" si="4"/>
        <v>260</v>
      </c>
      <c r="E70" s="1189" t="s">
        <v>3</v>
      </c>
      <c r="F70" s="1190">
        <f t="shared" si="5"/>
        <v>1100</v>
      </c>
      <c r="G70" s="1189" t="s">
        <v>3</v>
      </c>
      <c r="H70" s="1189">
        <v>4</v>
      </c>
      <c r="I70" s="1191" t="s">
        <v>41</v>
      </c>
      <c r="J70" s="149">
        <v>200</v>
      </c>
      <c r="K70" s="66">
        <v>260</v>
      </c>
      <c r="L70" s="66">
        <v>1100</v>
      </c>
      <c r="M70" s="164">
        <v>17.420079423332727</v>
      </c>
      <c r="N70" s="78">
        <v>1115.7932926588485</v>
      </c>
      <c r="O70" s="113">
        <v>36853.323294358779</v>
      </c>
      <c r="P70" s="161">
        <v>44077.131772902416</v>
      </c>
      <c r="Q70" s="254">
        <v>13924.170586371982</v>
      </c>
      <c r="R70" s="263">
        <v>50777.493880730763</v>
      </c>
      <c r="S70" s="259">
        <v>58001.302359274399</v>
      </c>
      <c r="U70" s="7" t="s">
        <v>5477</v>
      </c>
    </row>
    <row r="71" spans="1:21" ht="16.5" thickBot="1">
      <c r="A71" s="1188" t="s">
        <v>4533</v>
      </c>
      <c r="B71" s="1192">
        <f t="shared" si="3"/>
        <v>200</v>
      </c>
      <c r="C71" s="1192" t="s">
        <v>3</v>
      </c>
      <c r="D71" s="1192">
        <f t="shared" si="4"/>
        <v>260</v>
      </c>
      <c r="E71" s="1192" t="s">
        <v>3</v>
      </c>
      <c r="F71" s="1190">
        <f t="shared" si="5"/>
        <v>1150</v>
      </c>
      <c r="G71" s="1192" t="s">
        <v>3</v>
      </c>
      <c r="H71" s="1189">
        <v>4</v>
      </c>
      <c r="I71" s="1191" t="s">
        <v>41</v>
      </c>
      <c r="J71" s="149">
        <v>200</v>
      </c>
      <c r="K71" s="66">
        <v>260</v>
      </c>
      <c r="L71" s="66">
        <v>1150</v>
      </c>
      <c r="M71" s="164">
        <v>18.145212759224634</v>
      </c>
      <c r="N71" s="78">
        <v>1190.1795121694383</v>
      </c>
      <c r="O71" s="113">
        <v>38083.294442511207</v>
      </c>
      <c r="P71" s="161">
        <v>45553.199090565686</v>
      </c>
      <c r="Q71" s="254">
        <v>14394.626153851941</v>
      </c>
      <c r="R71" s="263">
        <v>52477.920596363147</v>
      </c>
      <c r="S71" s="259">
        <v>59947.825244417625</v>
      </c>
      <c r="U71" s="7" t="s">
        <v>5478</v>
      </c>
    </row>
    <row r="72" spans="1:21" ht="16.5" thickBot="1">
      <c r="A72" s="1188" t="s">
        <v>4533</v>
      </c>
      <c r="B72" s="1192">
        <f t="shared" si="3"/>
        <v>200</v>
      </c>
      <c r="C72" s="1192" t="s">
        <v>3</v>
      </c>
      <c r="D72" s="1192">
        <f t="shared" si="4"/>
        <v>260</v>
      </c>
      <c r="E72" s="1192" t="s">
        <v>3</v>
      </c>
      <c r="F72" s="1190">
        <f t="shared" si="5"/>
        <v>1200</v>
      </c>
      <c r="G72" s="1192" t="s">
        <v>3</v>
      </c>
      <c r="H72" s="1189">
        <v>4</v>
      </c>
      <c r="I72" s="1191" t="s">
        <v>41</v>
      </c>
      <c r="J72" s="149">
        <v>200</v>
      </c>
      <c r="K72" s="66">
        <v>260</v>
      </c>
      <c r="L72" s="66">
        <v>1200</v>
      </c>
      <c r="M72" s="164">
        <v>18.870346095116538</v>
      </c>
      <c r="N72" s="78">
        <v>1264.5657316800282</v>
      </c>
      <c r="O72" s="113">
        <v>39313.265590663636</v>
      </c>
      <c r="P72" s="161">
        <v>47029.266408228956</v>
      </c>
      <c r="Q72" s="254">
        <v>15116.415859115676</v>
      </c>
      <c r="R72" s="263">
        <v>54429.681449779309</v>
      </c>
      <c r="S72" s="259">
        <v>62145.68226734463</v>
      </c>
      <c r="U72" s="7" t="s">
        <v>5479</v>
      </c>
    </row>
    <row r="73" spans="1:21" ht="16.5" thickBot="1">
      <c r="A73" s="1188" t="s">
        <v>4533</v>
      </c>
      <c r="B73" s="1192">
        <f t="shared" si="3"/>
        <v>200</v>
      </c>
      <c r="C73" s="1192" t="s">
        <v>3</v>
      </c>
      <c r="D73" s="1192">
        <f t="shared" si="4"/>
        <v>260</v>
      </c>
      <c r="E73" s="1192" t="s">
        <v>3</v>
      </c>
      <c r="F73" s="1190">
        <f t="shared" si="5"/>
        <v>1250</v>
      </c>
      <c r="G73" s="1192" t="s">
        <v>3</v>
      </c>
      <c r="H73" s="1189">
        <v>4</v>
      </c>
      <c r="I73" s="1191" t="s">
        <v>41</v>
      </c>
      <c r="J73" s="149">
        <v>200</v>
      </c>
      <c r="K73" s="66">
        <v>260</v>
      </c>
      <c r="L73" s="66">
        <v>1250</v>
      </c>
      <c r="M73" s="164">
        <v>19.595479431008449</v>
      </c>
      <c r="N73" s="78">
        <v>1338.9519511906183</v>
      </c>
      <c r="O73" s="113">
        <v>40543.236891844834</v>
      </c>
      <c r="P73" s="161">
        <v>48505.333725892233</v>
      </c>
      <c r="Q73" s="254">
        <v>15586.871426595639</v>
      </c>
      <c r="R73" s="263">
        <v>56130.108318440471</v>
      </c>
      <c r="S73" s="259">
        <v>64092.20515248787</v>
      </c>
      <c r="U73" s="7" t="s">
        <v>5480</v>
      </c>
    </row>
    <row r="74" spans="1:21" ht="16.5" thickBot="1">
      <c r="A74" s="1188" t="s">
        <v>4533</v>
      </c>
      <c r="B74" s="1192">
        <f t="shared" si="3"/>
        <v>200</v>
      </c>
      <c r="C74" s="1192" t="s">
        <v>3</v>
      </c>
      <c r="D74" s="1192">
        <f t="shared" si="4"/>
        <v>260</v>
      </c>
      <c r="E74" s="1192" t="s">
        <v>3</v>
      </c>
      <c r="F74" s="1190">
        <f t="shared" si="5"/>
        <v>1300</v>
      </c>
      <c r="G74" s="1192" t="s">
        <v>3</v>
      </c>
      <c r="H74" s="1189">
        <v>4</v>
      </c>
      <c r="I74" s="1191" t="s">
        <v>41</v>
      </c>
      <c r="J74" s="149">
        <v>200</v>
      </c>
      <c r="K74" s="66">
        <v>260</v>
      </c>
      <c r="L74" s="66">
        <v>1300</v>
      </c>
      <c r="M74" s="164">
        <v>20.320612766900361</v>
      </c>
      <c r="N74" s="78">
        <v>1413.3381707012081</v>
      </c>
      <c r="O74" s="113">
        <v>41773.208039997262</v>
      </c>
      <c r="P74" s="161">
        <v>49981.401043555503</v>
      </c>
      <c r="Q74" s="254">
        <v>16308.66113185937</v>
      </c>
      <c r="R74" s="263">
        <v>58081.869171856633</v>
      </c>
      <c r="S74" s="259">
        <v>66290.062175414874</v>
      </c>
      <c r="U74" s="7" t="s">
        <v>5481</v>
      </c>
    </row>
    <row r="75" spans="1:21" ht="16.5" thickBot="1">
      <c r="A75" s="1188" t="s">
        <v>4533</v>
      </c>
      <c r="B75" s="1192">
        <f t="shared" si="3"/>
        <v>200</v>
      </c>
      <c r="C75" s="1192" t="s">
        <v>3</v>
      </c>
      <c r="D75" s="1192">
        <f t="shared" si="4"/>
        <v>260</v>
      </c>
      <c r="E75" s="1192" t="s">
        <v>3</v>
      </c>
      <c r="F75" s="1190">
        <f t="shared" si="5"/>
        <v>1350</v>
      </c>
      <c r="G75" s="1192" t="s">
        <v>3</v>
      </c>
      <c r="H75" s="1189">
        <v>4</v>
      </c>
      <c r="I75" s="1191" t="s">
        <v>41</v>
      </c>
      <c r="J75" s="149">
        <v>200</v>
      </c>
      <c r="K75" s="66">
        <v>260</v>
      </c>
      <c r="L75" s="66">
        <v>1350</v>
      </c>
      <c r="M75" s="164">
        <v>21.045746102792258</v>
      </c>
      <c r="N75" s="78">
        <v>1487.724390211798</v>
      </c>
      <c r="O75" s="113">
        <v>43003.17918814969</v>
      </c>
      <c r="P75" s="161">
        <v>51457.468361218773</v>
      </c>
      <c r="Q75" s="254">
        <v>16779.116699339331</v>
      </c>
      <c r="R75" s="263">
        <v>59782.295887489017</v>
      </c>
      <c r="S75" s="259">
        <v>68236.585060558107</v>
      </c>
      <c r="U75" s="7" t="s">
        <v>5482</v>
      </c>
    </row>
    <row r="76" spans="1:21" ht="16.5" thickBot="1">
      <c r="A76" s="1188" t="s">
        <v>4533</v>
      </c>
      <c r="B76" s="1192">
        <f t="shared" si="3"/>
        <v>200</v>
      </c>
      <c r="C76" s="1192" t="s">
        <v>3</v>
      </c>
      <c r="D76" s="1192">
        <f t="shared" si="4"/>
        <v>260</v>
      </c>
      <c r="E76" s="1192" t="s">
        <v>3</v>
      </c>
      <c r="F76" s="1190">
        <f t="shared" si="5"/>
        <v>1400</v>
      </c>
      <c r="G76" s="1192" t="s">
        <v>3</v>
      </c>
      <c r="H76" s="1189">
        <v>4</v>
      </c>
      <c r="I76" s="1191" t="s">
        <v>41</v>
      </c>
      <c r="J76" s="149">
        <v>200</v>
      </c>
      <c r="K76" s="66">
        <v>260</v>
      </c>
      <c r="L76" s="66">
        <v>1400</v>
      </c>
      <c r="M76" s="164">
        <v>21.770879438684176</v>
      </c>
      <c r="N76" s="78">
        <v>1562.1106097223878</v>
      </c>
      <c r="O76" s="113">
        <v>44233.150336302118</v>
      </c>
      <c r="P76" s="161">
        <v>52933.535678882035</v>
      </c>
      <c r="Q76" s="254">
        <v>17500.906404603062</v>
      </c>
      <c r="R76" s="263">
        <v>61734.05674090518</v>
      </c>
      <c r="S76" s="259">
        <v>70434.442083485104</v>
      </c>
      <c r="U76" s="7" t="s">
        <v>5483</v>
      </c>
    </row>
    <row r="77" spans="1:21" ht="16.5" thickBot="1">
      <c r="A77" s="1188" t="s">
        <v>4533</v>
      </c>
      <c r="B77" s="1192">
        <f t="shared" si="3"/>
        <v>200</v>
      </c>
      <c r="C77" s="1192" t="s">
        <v>3</v>
      </c>
      <c r="D77" s="1192">
        <f t="shared" si="4"/>
        <v>260</v>
      </c>
      <c r="E77" s="1192" t="s">
        <v>3</v>
      </c>
      <c r="F77" s="1190">
        <f t="shared" si="5"/>
        <v>1450</v>
      </c>
      <c r="G77" s="1192" t="s">
        <v>3</v>
      </c>
      <c r="H77" s="1189">
        <v>4</v>
      </c>
      <c r="I77" s="1191" t="s">
        <v>41</v>
      </c>
      <c r="J77" s="149">
        <v>200</v>
      </c>
      <c r="K77" s="66">
        <v>260</v>
      </c>
      <c r="L77" s="66">
        <v>1450</v>
      </c>
      <c r="M77" s="164">
        <v>22.49601277457608</v>
      </c>
      <c r="N77" s="78">
        <v>1636.4968292329779</v>
      </c>
      <c r="O77" s="113">
        <v>45463.121637483317</v>
      </c>
      <c r="P77" s="161">
        <v>54409.602996545313</v>
      </c>
      <c r="Q77" s="254">
        <v>17971.361972083025</v>
      </c>
      <c r="R77" s="263">
        <v>63434.483609566341</v>
      </c>
      <c r="S77" s="259">
        <v>72380.964968628337</v>
      </c>
      <c r="U77" s="7" t="s">
        <v>5484</v>
      </c>
    </row>
    <row r="78" spans="1:21" ht="16.5" thickBot="1">
      <c r="A78" s="1188" t="s">
        <v>4533</v>
      </c>
      <c r="B78" s="1192">
        <f t="shared" si="3"/>
        <v>200</v>
      </c>
      <c r="C78" s="1192" t="s">
        <v>3</v>
      </c>
      <c r="D78" s="1192">
        <f t="shared" si="4"/>
        <v>260</v>
      </c>
      <c r="E78" s="1192" t="s">
        <v>3</v>
      </c>
      <c r="F78" s="1190">
        <f t="shared" si="5"/>
        <v>1500</v>
      </c>
      <c r="G78" s="1192" t="s">
        <v>3</v>
      </c>
      <c r="H78" s="1189">
        <v>4</v>
      </c>
      <c r="I78" s="1191" t="s">
        <v>41</v>
      </c>
      <c r="J78" s="149">
        <v>200</v>
      </c>
      <c r="K78" s="66">
        <v>260</v>
      </c>
      <c r="L78" s="66">
        <v>1500</v>
      </c>
      <c r="M78" s="164">
        <v>23.700397710467989</v>
      </c>
      <c r="N78" s="78">
        <v>1710.8830487435675</v>
      </c>
      <c r="O78" s="113">
        <v>47662.475381433469</v>
      </c>
      <c r="P78" s="161">
        <v>57213.965521100305</v>
      </c>
      <c r="Q78" s="254">
        <v>18693.151677346756</v>
      </c>
      <c r="R78" s="263">
        <v>66355.627058780228</v>
      </c>
      <c r="S78" s="259">
        <v>75907.117198447057</v>
      </c>
      <c r="U78" s="7" t="s">
        <v>5485</v>
      </c>
    </row>
    <row r="79" spans="1:21" ht="16.5" thickBot="1">
      <c r="A79" s="1188" t="s">
        <v>4533</v>
      </c>
      <c r="B79" s="1192">
        <f t="shared" si="3"/>
        <v>200</v>
      </c>
      <c r="C79" s="1192" t="s">
        <v>3</v>
      </c>
      <c r="D79" s="1192">
        <f t="shared" si="4"/>
        <v>260</v>
      </c>
      <c r="E79" s="1192" t="s">
        <v>3</v>
      </c>
      <c r="F79" s="1190">
        <f t="shared" si="5"/>
        <v>1550</v>
      </c>
      <c r="G79" s="1192" t="s">
        <v>3</v>
      </c>
      <c r="H79" s="1189">
        <v>4</v>
      </c>
      <c r="I79" s="1191" t="s">
        <v>41</v>
      </c>
      <c r="J79" s="149">
        <v>200</v>
      </c>
      <c r="K79" s="66">
        <v>260</v>
      </c>
      <c r="L79" s="66">
        <v>1550</v>
      </c>
      <c r="M79" s="164">
        <v>24.4255310463599</v>
      </c>
      <c r="N79" s="78">
        <v>1785.2692682541576</v>
      </c>
      <c r="O79" s="113">
        <v>48892.446682614667</v>
      </c>
      <c r="P79" s="161">
        <v>58690.032838763582</v>
      </c>
      <c r="Q79" s="254">
        <v>19163.607244826719</v>
      </c>
      <c r="R79" s="263">
        <v>68056.05392744139</v>
      </c>
      <c r="S79" s="259">
        <v>77853.640083590304</v>
      </c>
      <c r="U79" s="7" t="s">
        <v>5486</v>
      </c>
    </row>
    <row r="80" spans="1:21" ht="16.5" thickBot="1">
      <c r="A80" s="1188" t="s">
        <v>4533</v>
      </c>
      <c r="B80" s="1189">
        <f t="shared" si="3"/>
        <v>200</v>
      </c>
      <c r="C80" s="1189" t="s">
        <v>3</v>
      </c>
      <c r="D80" s="1189">
        <f t="shared" si="4"/>
        <v>260</v>
      </c>
      <c r="E80" s="1189" t="s">
        <v>3</v>
      </c>
      <c r="F80" s="1190">
        <f t="shared" si="5"/>
        <v>1600</v>
      </c>
      <c r="G80" s="1189" t="s">
        <v>3</v>
      </c>
      <c r="H80" s="1189">
        <v>4</v>
      </c>
      <c r="I80" s="1191" t="s">
        <v>41</v>
      </c>
      <c r="J80" s="149">
        <v>200</v>
      </c>
      <c r="K80" s="66">
        <v>260</v>
      </c>
      <c r="L80" s="66">
        <v>1600</v>
      </c>
      <c r="M80" s="164">
        <v>25.150664382251804</v>
      </c>
      <c r="N80" s="78">
        <v>1859.6554877647475</v>
      </c>
      <c r="O80" s="113">
        <v>50122.417830767095</v>
      </c>
      <c r="P80" s="161">
        <v>60166.100156426859</v>
      </c>
      <c r="Q80" s="254">
        <v>19634.062812306682</v>
      </c>
      <c r="R80" s="263">
        <v>69756.480643073781</v>
      </c>
      <c r="S80" s="259">
        <v>79800.162968733537</v>
      </c>
      <c r="U80" s="7" t="s">
        <v>5487</v>
      </c>
    </row>
    <row r="81" spans="1:21" ht="16.5" thickBot="1">
      <c r="A81" s="1188" t="s">
        <v>4533</v>
      </c>
      <c r="B81" s="1192">
        <f t="shared" si="3"/>
        <v>200</v>
      </c>
      <c r="C81" s="1192" t="s">
        <v>3</v>
      </c>
      <c r="D81" s="1192">
        <f t="shared" si="4"/>
        <v>260</v>
      </c>
      <c r="E81" s="1192" t="s">
        <v>3</v>
      </c>
      <c r="F81" s="1190">
        <f t="shared" si="5"/>
        <v>1650</v>
      </c>
      <c r="G81" s="1192" t="s">
        <v>3</v>
      </c>
      <c r="H81" s="1189">
        <v>4</v>
      </c>
      <c r="I81" s="1191" t="s">
        <v>41</v>
      </c>
      <c r="J81" s="149">
        <v>200</v>
      </c>
      <c r="K81" s="66">
        <v>260</v>
      </c>
      <c r="L81" s="66">
        <v>1650</v>
      </c>
      <c r="M81" s="164">
        <v>25.875797718143712</v>
      </c>
      <c r="N81" s="78">
        <v>1934.0417072753373</v>
      </c>
      <c r="O81" s="113">
        <v>51352.388978919524</v>
      </c>
      <c r="P81" s="161">
        <v>61642.167474090122</v>
      </c>
      <c r="Q81" s="254">
        <v>20355.852364541646</v>
      </c>
      <c r="R81" s="263">
        <v>71708.241343461166</v>
      </c>
      <c r="S81" s="259">
        <v>81998.019838631764</v>
      </c>
      <c r="U81" s="7" t="s">
        <v>5488</v>
      </c>
    </row>
    <row r="82" spans="1:21" ht="16.5" thickBot="1">
      <c r="A82" s="1188" t="s">
        <v>4533</v>
      </c>
      <c r="B82" s="1192">
        <f t="shared" si="3"/>
        <v>200</v>
      </c>
      <c r="C82" s="1192" t="s">
        <v>3</v>
      </c>
      <c r="D82" s="1192">
        <f t="shared" si="4"/>
        <v>260</v>
      </c>
      <c r="E82" s="1192" t="s">
        <v>3</v>
      </c>
      <c r="F82" s="1190">
        <f t="shared" si="5"/>
        <v>1700</v>
      </c>
      <c r="G82" s="1192" t="s">
        <v>3</v>
      </c>
      <c r="H82" s="1189">
        <v>4</v>
      </c>
      <c r="I82" s="1191" t="s">
        <v>41</v>
      </c>
      <c r="J82" s="149">
        <v>200</v>
      </c>
      <c r="K82" s="66">
        <v>260</v>
      </c>
      <c r="L82" s="66">
        <v>1700</v>
      </c>
      <c r="M82" s="164">
        <v>26.600931054035627</v>
      </c>
      <c r="N82" s="78">
        <v>2008.4279267859274</v>
      </c>
      <c r="O82" s="113">
        <v>52582.360127071959</v>
      </c>
      <c r="P82" s="161">
        <v>63118.234791753392</v>
      </c>
      <c r="Q82" s="254">
        <v>20826.307932021609</v>
      </c>
      <c r="R82" s="263">
        <v>73408.668059093572</v>
      </c>
      <c r="S82" s="259">
        <v>83944.542723774997</v>
      </c>
      <c r="U82" s="7" t="s">
        <v>5489</v>
      </c>
    </row>
    <row r="83" spans="1:21" ht="16.5" thickBot="1">
      <c r="A83" s="1188" t="s">
        <v>4533</v>
      </c>
      <c r="B83" s="1192">
        <f t="shared" si="3"/>
        <v>200</v>
      </c>
      <c r="C83" s="1192" t="s">
        <v>3</v>
      </c>
      <c r="D83" s="1192">
        <f t="shared" si="4"/>
        <v>260</v>
      </c>
      <c r="E83" s="1192" t="s">
        <v>3</v>
      </c>
      <c r="F83" s="1190">
        <f t="shared" si="5"/>
        <v>1750</v>
      </c>
      <c r="G83" s="1192" t="s">
        <v>3</v>
      </c>
      <c r="H83" s="1189">
        <v>4</v>
      </c>
      <c r="I83" s="1191" t="s">
        <v>41</v>
      </c>
      <c r="J83" s="149">
        <v>200</v>
      </c>
      <c r="K83" s="66">
        <v>260</v>
      </c>
      <c r="L83" s="66">
        <v>1750</v>
      </c>
      <c r="M83" s="164">
        <v>27.326064389927531</v>
      </c>
      <c r="N83" s="78">
        <v>2082.8141462965173</v>
      </c>
      <c r="O83" s="113">
        <v>53812.331428253143</v>
      </c>
      <c r="P83" s="161">
        <v>64594.302109416669</v>
      </c>
      <c r="Q83" s="254">
        <v>21548.09763728534</v>
      </c>
      <c r="R83" s="263">
        <v>75360.429065538483</v>
      </c>
      <c r="S83" s="259">
        <v>86142.399746702009</v>
      </c>
      <c r="U83" s="7" t="s">
        <v>5490</v>
      </c>
    </row>
    <row r="84" spans="1:21" ht="16.5" thickBot="1">
      <c r="A84" s="1188" t="s">
        <v>4533</v>
      </c>
      <c r="B84" s="1192">
        <f t="shared" si="3"/>
        <v>200</v>
      </c>
      <c r="C84" s="1192" t="s">
        <v>3</v>
      </c>
      <c r="D84" s="1192">
        <f t="shared" si="4"/>
        <v>260</v>
      </c>
      <c r="E84" s="1192" t="s">
        <v>3</v>
      </c>
      <c r="F84" s="1190">
        <f t="shared" si="5"/>
        <v>1800</v>
      </c>
      <c r="G84" s="1192" t="s">
        <v>3</v>
      </c>
      <c r="H84" s="1189">
        <v>4</v>
      </c>
      <c r="I84" s="1191" t="s">
        <v>41</v>
      </c>
      <c r="J84" s="149">
        <v>200</v>
      </c>
      <c r="K84" s="66">
        <v>260</v>
      </c>
      <c r="L84" s="66">
        <v>1800</v>
      </c>
      <c r="M84" s="164">
        <v>28.051197725819442</v>
      </c>
      <c r="N84" s="78">
        <v>2157.2003658071071</v>
      </c>
      <c r="O84" s="113">
        <v>55042.302576405578</v>
      </c>
      <c r="P84" s="161">
        <v>66070.369427079931</v>
      </c>
      <c r="Q84" s="254">
        <v>22018.553204765303</v>
      </c>
      <c r="R84" s="263">
        <v>77060.855781170889</v>
      </c>
      <c r="S84" s="259">
        <v>88088.922631845227</v>
      </c>
      <c r="U84" s="7" t="s">
        <v>5491</v>
      </c>
    </row>
    <row r="85" spans="1:21" ht="16.5" thickBot="1">
      <c r="A85" s="1188" t="s">
        <v>4533</v>
      </c>
      <c r="B85" s="1192">
        <f t="shared" si="3"/>
        <v>200</v>
      </c>
      <c r="C85" s="1192" t="s">
        <v>3</v>
      </c>
      <c r="D85" s="1192">
        <f t="shared" si="4"/>
        <v>260</v>
      </c>
      <c r="E85" s="1192" t="s">
        <v>3</v>
      </c>
      <c r="F85" s="1190">
        <f t="shared" si="5"/>
        <v>1850</v>
      </c>
      <c r="G85" s="1192" t="s">
        <v>3</v>
      </c>
      <c r="H85" s="1189">
        <v>4</v>
      </c>
      <c r="I85" s="1191" t="s">
        <v>41</v>
      </c>
      <c r="J85" s="149">
        <v>200</v>
      </c>
      <c r="K85" s="66">
        <v>260</v>
      </c>
      <c r="L85" s="66">
        <v>1850</v>
      </c>
      <c r="M85" s="164">
        <v>28.776331061711346</v>
      </c>
      <c r="N85" s="78">
        <v>2231.586585317697</v>
      </c>
      <c r="O85" s="113">
        <v>56272.273724558014</v>
      </c>
      <c r="P85" s="161">
        <v>67546.436744743201</v>
      </c>
      <c r="Q85" s="254">
        <v>22740.342910029034</v>
      </c>
      <c r="R85" s="263">
        <v>79012.616634587044</v>
      </c>
      <c r="S85" s="259">
        <v>90286.779654772239</v>
      </c>
      <c r="U85" s="7" t="s">
        <v>5492</v>
      </c>
    </row>
    <row r="86" spans="1:21" ht="16.5" thickBot="1">
      <c r="A86" s="1188" t="s">
        <v>4533</v>
      </c>
      <c r="B86" s="1192">
        <f t="shared" si="3"/>
        <v>200</v>
      </c>
      <c r="C86" s="1192" t="s">
        <v>3</v>
      </c>
      <c r="D86" s="1192">
        <f t="shared" si="4"/>
        <v>260</v>
      </c>
      <c r="E86" s="1192" t="s">
        <v>3</v>
      </c>
      <c r="F86" s="1190">
        <f t="shared" si="5"/>
        <v>1900</v>
      </c>
      <c r="G86" s="1192" t="s">
        <v>3</v>
      </c>
      <c r="H86" s="1189">
        <v>4</v>
      </c>
      <c r="I86" s="1191" t="s">
        <v>41</v>
      </c>
      <c r="J86" s="149">
        <v>200</v>
      </c>
      <c r="K86" s="66">
        <v>260</v>
      </c>
      <c r="L86" s="66">
        <v>1900</v>
      </c>
      <c r="M86" s="164">
        <v>29.501464397603257</v>
      </c>
      <c r="N86" s="78">
        <v>2305.9728048282868</v>
      </c>
      <c r="O86" s="113">
        <v>57502.245025739197</v>
      </c>
      <c r="P86" s="161">
        <v>69022.504062406486</v>
      </c>
      <c r="Q86" s="254">
        <v>23210.798477508997</v>
      </c>
      <c r="R86" s="263">
        <v>80713.043503248191</v>
      </c>
      <c r="S86" s="259">
        <v>92233.302539915487</v>
      </c>
      <c r="U86" s="7" t="s">
        <v>5493</v>
      </c>
    </row>
    <row r="87" spans="1:21" ht="16.5" thickBot="1">
      <c r="A87" s="1188" t="s">
        <v>4533</v>
      </c>
      <c r="B87" s="1192">
        <f t="shared" si="3"/>
        <v>200</v>
      </c>
      <c r="C87" s="1192" t="s">
        <v>3</v>
      </c>
      <c r="D87" s="1192">
        <f t="shared" si="4"/>
        <v>260</v>
      </c>
      <c r="E87" s="1192" t="s">
        <v>3</v>
      </c>
      <c r="F87" s="1190">
        <f t="shared" si="5"/>
        <v>1950</v>
      </c>
      <c r="G87" s="1192" t="s">
        <v>3</v>
      </c>
      <c r="H87" s="1189">
        <v>4</v>
      </c>
      <c r="I87" s="1191" t="s">
        <v>41</v>
      </c>
      <c r="J87" s="149">
        <v>200</v>
      </c>
      <c r="K87" s="66">
        <v>260</v>
      </c>
      <c r="L87" s="66">
        <v>1950</v>
      </c>
      <c r="M87" s="164">
        <v>30.226597733495165</v>
      </c>
      <c r="N87" s="78">
        <v>2380.3590243388767</v>
      </c>
      <c r="O87" s="113">
        <v>58732.216173891633</v>
      </c>
      <c r="P87" s="161">
        <v>70498.571380069741</v>
      </c>
      <c r="Q87" s="254">
        <v>23681.25404498896</v>
      </c>
      <c r="R87" s="263">
        <v>82413.470218880597</v>
      </c>
      <c r="S87" s="259">
        <v>94179.825425058705</v>
      </c>
      <c r="U87" s="7" t="s">
        <v>5494</v>
      </c>
    </row>
    <row r="88" spans="1:21" ht="16.5" thickBot="1">
      <c r="A88" s="1188" t="s">
        <v>4533</v>
      </c>
      <c r="B88" s="1192">
        <f t="shared" si="3"/>
        <v>200</v>
      </c>
      <c r="C88" s="1192" t="s">
        <v>3</v>
      </c>
      <c r="D88" s="1192">
        <f t="shared" si="4"/>
        <v>260</v>
      </c>
      <c r="E88" s="1192" t="s">
        <v>3</v>
      </c>
      <c r="F88" s="1190">
        <f t="shared" si="5"/>
        <v>2000</v>
      </c>
      <c r="G88" s="1192" t="s">
        <v>3</v>
      </c>
      <c r="H88" s="1189">
        <v>4</v>
      </c>
      <c r="I88" s="1191" t="s">
        <v>41</v>
      </c>
      <c r="J88" s="149">
        <v>200</v>
      </c>
      <c r="K88" s="66">
        <v>260</v>
      </c>
      <c r="L88" s="66">
        <v>2000</v>
      </c>
      <c r="M88" s="164">
        <v>31.053177869387067</v>
      </c>
      <c r="N88" s="78">
        <v>2454.7452438494665</v>
      </c>
      <c r="O88" s="113">
        <v>60446.987499909315</v>
      </c>
      <c r="P88" s="161">
        <v>72137.718392151277</v>
      </c>
      <c r="Q88" s="254">
        <v>24403.043750252691</v>
      </c>
      <c r="R88" s="263">
        <v>84850.031250162006</v>
      </c>
      <c r="S88" s="259">
        <v>96540.762142403968</v>
      </c>
      <c r="U88" s="7" t="s">
        <v>5495</v>
      </c>
    </row>
    <row r="89" spans="1:21" ht="16.5" thickBot="1">
      <c r="A89" s="1188" t="s">
        <v>4533</v>
      </c>
      <c r="B89" s="1192">
        <f t="shared" si="3"/>
        <v>200</v>
      </c>
      <c r="C89" s="1192" t="s">
        <v>3</v>
      </c>
      <c r="D89" s="1192">
        <f t="shared" si="4"/>
        <v>260</v>
      </c>
      <c r="E89" s="1192" t="s">
        <v>3</v>
      </c>
      <c r="F89" s="1190">
        <f t="shared" si="5"/>
        <v>2050</v>
      </c>
      <c r="G89" s="1192" t="s">
        <v>3</v>
      </c>
      <c r="H89" s="1189">
        <v>4</v>
      </c>
      <c r="I89" s="1191" t="s">
        <v>41</v>
      </c>
      <c r="J89" s="149">
        <v>200</v>
      </c>
      <c r="K89" s="66">
        <v>260</v>
      </c>
      <c r="L89" s="66">
        <v>2050</v>
      </c>
      <c r="M89" s="164">
        <v>31.778311205278978</v>
      </c>
      <c r="N89" s="78">
        <v>2529.1314633600564</v>
      </c>
      <c r="O89" s="113">
        <v>61676.958648061744</v>
      </c>
      <c r="P89" s="161">
        <v>73613.785709814547</v>
      </c>
      <c r="Q89" s="254">
        <v>24873.499317732651</v>
      </c>
      <c r="R89" s="263">
        <v>86550.457965794398</v>
      </c>
      <c r="S89" s="259">
        <v>98487.285027547201</v>
      </c>
      <c r="U89" s="7" t="s">
        <v>5496</v>
      </c>
    </row>
    <row r="90" spans="1:21" ht="16.5" thickBot="1">
      <c r="A90" s="1188" t="s">
        <v>4533</v>
      </c>
      <c r="B90" s="1189">
        <f t="shared" si="3"/>
        <v>200</v>
      </c>
      <c r="C90" s="1189" t="s">
        <v>3</v>
      </c>
      <c r="D90" s="1189">
        <f t="shared" si="4"/>
        <v>260</v>
      </c>
      <c r="E90" s="1189" t="s">
        <v>3</v>
      </c>
      <c r="F90" s="1190">
        <f t="shared" si="5"/>
        <v>2100</v>
      </c>
      <c r="G90" s="1189" t="s">
        <v>3</v>
      </c>
      <c r="H90" s="1189">
        <v>4</v>
      </c>
      <c r="I90" s="1191" t="s">
        <v>41</v>
      </c>
      <c r="J90" s="149">
        <v>200</v>
      </c>
      <c r="K90" s="66">
        <v>260</v>
      </c>
      <c r="L90" s="66">
        <v>2100</v>
      </c>
      <c r="M90" s="164">
        <v>32.503444541170879</v>
      </c>
      <c r="N90" s="78">
        <v>2603.5176828706462</v>
      </c>
      <c r="O90" s="113">
        <v>62906.929949242935</v>
      </c>
      <c r="P90" s="161">
        <v>75089.853027477817</v>
      </c>
      <c r="Q90" s="254">
        <v>25595.289022996385</v>
      </c>
      <c r="R90" s="263">
        <v>88502.218972239323</v>
      </c>
      <c r="S90" s="259">
        <v>100685.1420504742</v>
      </c>
      <c r="U90" s="7" t="s">
        <v>5497</v>
      </c>
    </row>
    <row r="91" spans="1:21" ht="16.5" thickBot="1">
      <c r="A91" s="1188" t="s">
        <v>4533</v>
      </c>
      <c r="B91" s="1192">
        <f t="shared" si="3"/>
        <v>200</v>
      </c>
      <c r="C91" s="1192" t="s">
        <v>3</v>
      </c>
      <c r="D91" s="1192">
        <f t="shared" si="4"/>
        <v>260</v>
      </c>
      <c r="E91" s="1192" t="s">
        <v>3</v>
      </c>
      <c r="F91" s="1190">
        <f t="shared" si="5"/>
        <v>2150</v>
      </c>
      <c r="G91" s="1192" t="s">
        <v>3</v>
      </c>
      <c r="H91" s="1189">
        <v>4</v>
      </c>
      <c r="I91" s="1191" t="s">
        <v>41</v>
      </c>
      <c r="J91" s="149">
        <v>200</v>
      </c>
      <c r="K91" s="66">
        <v>260</v>
      </c>
      <c r="L91" s="66">
        <v>2150</v>
      </c>
      <c r="M91" s="164">
        <v>33.22857787706279</v>
      </c>
      <c r="N91" s="78">
        <v>2677.9039023812365</v>
      </c>
      <c r="O91" s="113">
        <v>64136.90109739537</v>
      </c>
      <c r="P91" s="161">
        <v>76565.920345141101</v>
      </c>
      <c r="Q91" s="254">
        <v>26065.744590476344</v>
      </c>
      <c r="R91" s="263">
        <v>90202.645687871714</v>
      </c>
      <c r="S91" s="259">
        <v>102631.66493561745</v>
      </c>
      <c r="U91" s="7" t="s">
        <v>5498</v>
      </c>
    </row>
    <row r="92" spans="1:21" ht="16.5" thickBot="1">
      <c r="A92" s="1188" t="s">
        <v>4533</v>
      </c>
      <c r="B92" s="1192">
        <f t="shared" si="3"/>
        <v>200</v>
      </c>
      <c r="C92" s="1192" t="s">
        <v>3</v>
      </c>
      <c r="D92" s="1192">
        <f t="shared" si="4"/>
        <v>260</v>
      </c>
      <c r="E92" s="1192" t="s">
        <v>3</v>
      </c>
      <c r="F92" s="1190">
        <f t="shared" si="5"/>
        <v>2200</v>
      </c>
      <c r="G92" s="1192" t="s">
        <v>3</v>
      </c>
      <c r="H92" s="1189">
        <v>4</v>
      </c>
      <c r="I92" s="1191" t="s">
        <v>41</v>
      </c>
      <c r="J92" s="149">
        <v>200</v>
      </c>
      <c r="K92" s="66">
        <v>260</v>
      </c>
      <c r="L92" s="66">
        <v>2200</v>
      </c>
      <c r="M92" s="164">
        <v>33.953711212954708</v>
      </c>
      <c r="N92" s="78">
        <v>2752.2901218918264</v>
      </c>
      <c r="O92" s="113">
        <v>65366.872245547798</v>
      </c>
      <c r="P92" s="161">
        <v>78041.987662804517</v>
      </c>
      <c r="Q92" s="254">
        <v>26787.534295740079</v>
      </c>
      <c r="R92" s="263">
        <v>92154.40654128787</v>
      </c>
      <c r="S92" s="259">
        <v>104829.52195854459</v>
      </c>
      <c r="U92" s="7" t="s">
        <v>5499</v>
      </c>
    </row>
    <row r="93" spans="1:21" ht="16.5" thickBot="1">
      <c r="A93" s="1188" t="s">
        <v>4533</v>
      </c>
      <c r="B93" s="1192">
        <f t="shared" si="3"/>
        <v>200</v>
      </c>
      <c r="C93" s="1192" t="s">
        <v>3</v>
      </c>
      <c r="D93" s="1192">
        <f t="shared" si="4"/>
        <v>260</v>
      </c>
      <c r="E93" s="1192" t="s">
        <v>3</v>
      </c>
      <c r="F93" s="1190">
        <f t="shared" si="5"/>
        <v>2250</v>
      </c>
      <c r="G93" s="1192" t="s">
        <v>3</v>
      </c>
      <c r="H93" s="1189">
        <v>4</v>
      </c>
      <c r="I93" s="1191" t="s">
        <v>41</v>
      </c>
      <c r="J93" s="149">
        <v>200</v>
      </c>
      <c r="K93" s="66">
        <v>260</v>
      </c>
      <c r="L93" s="66">
        <v>2250</v>
      </c>
      <c r="M93" s="164">
        <v>34.678844548846612</v>
      </c>
      <c r="N93" s="78">
        <v>2826.6763414024163</v>
      </c>
      <c r="O93" s="113">
        <v>66596.843393700226</v>
      </c>
      <c r="P93" s="161">
        <v>79518.054980467641</v>
      </c>
      <c r="Q93" s="254">
        <v>27257.989710191272</v>
      </c>
      <c r="R93" s="263">
        <v>93854.833103891491</v>
      </c>
      <c r="S93" s="259">
        <v>106776.04469065892</v>
      </c>
      <c r="U93" s="7" t="s">
        <v>5500</v>
      </c>
    </row>
    <row r="94" spans="1:21" ht="16.5" thickBot="1">
      <c r="A94" s="1188" t="s">
        <v>4533</v>
      </c>
      <c r="B94" s="1192">
        <f t="shared" si="3"/>
        <v>200</v>
      </c>
      <c r="C94" s="1192" t="s">
        <v>3</v>
      </c>
      <c r="D94" s="1192">
        <f t="shared" si="4"/>
        <v>260</v>
      </c>
      <c r="E94" s="1192" t="s">
        <v>3</v>
      </c>
      <c r="F94" s="1190">
        <f t="shared" si="5"/>
        <v>2300</v>
      </c>
      <c r="G94" s="1192" t="s">
        <v>3</v>
      </c>
      <c r="H94" s="1189">
        <v>4</v>
      </c>
      <c r="I94" s="1191" t="s">
        <v>41</v>
      </c>
      <c r="J94" s="149">
        <v>200</v>
      </c>
      <c r="K94" s="66">
        <v>260</v>
      </c>
      <c r="L94" s="66">
        <v>2300</v>
      </c>
      <c r="M94" s="164">
        <v>35.403977884738524</v>
      </c>
      <c r="N94" s="78">
        <v>2901.0625609130061</v>
      </c>
      <c r="O94" s="113">
        <v>67826.814694881425</v>
      </c>
      <c r="P94" s="161">
        <v>80994.122298130911</v>
      </c>
      <c r="Q94" s="254">
        <v>27728.445277671239</v>
      </c>
      <c r="R94" s="263">
        <v>95555.259972552667</v>
      </c>
      <c r="S94" s="259">
        <v>108722.56757580215</v>
      </c>
      <c r="U94" s="7" t="s">
        <v>5501</v>
      </c>
    </row>
    <row r="95" spans="1:21" ht="16.5" thickBot="1">
      <c r="A95" s="1188" t="s">
        <v>4533</v>
      </c>
      <c r="B95" s="1192">
        <f t="shared" si="3"/>
        <v>200</v>
      </c>
      <c r="C95" s="1192" t="s">
        <v>3</v>
      </c>
      <c r="D95" s="1192">
        <f t="shared" si="4"/>
        <v>260</v>
      </c>
      <c r="E95" s="1192" t="s">
        <v>3</v>
      </c>
      <c r="F95" s="1190">
        <f t="shared" si="5"/>
        <v>2350</v>
      </c>
      <c r="G95" s="1192" t="s">
        <v>3</v>
      </c>
      <c r="H95" s="1189">
        <v>4</v>
      </c>
      <c r="I95" s="1191" t="s">
        <v>41</v>
      </c>
      <c r="J95" s="149">
        <v>200</v>
      </c>
      <c r="K95" s="66">
        <v>260</v>
      </c>
      <c r="L95" s="66">
        <v>2350</v>
      </c>
      <c r="M95" s="164">
        <v>36.129111220630428</v>
      </c>
      <c r="N95" s="78">
        <v>2975.448780423596</v>
      </c>
      <c r="O95" s="113">
        <v>69056.785843033853</v>
      </c>
      <c r="P95" s="161">
        <v>82470.189615794166</v>
      </c>
      <c r="Q95" s="254">
        <v>28450.234982934966</v>
      </c>
      <c r="R95" s="263">
        <v>97507.020825968822</v>
      </c>
      <c r="S95" s="259">
        <v>110920.42459872914</v>
      </c>
      <c r="U95" s="7" t="s">
        <v>5502</v>
      </c>
    </row>
    <row r="96" spans="1:21" ht="16.5" thickBot="1">
      <c r="A96" s="1188" t="s">
        <v>4533</v>
      </c>
      <c r="B96" s="1192">
        <f t="shared" si="3"/>
        <v>200</v>
      </c>
      <c r="C96" s="1192" t="s">
        <v>3</v>
      </c>
      <c r="D96" s="1192">
        <f t="shared" si="4"/>
        <v>260</v>
      </c>
      <c r="E96" s="1192" t="s">
        <v>3</v>
      </c>
      <c r="F96" s="1190">
        <f t="shared" si="5"/>
        <v>2400</v>
      </c>
      <c r="G96" s="1192" t="s">
        <v>3</v>
      </c>
      <c r="H96" s="1189">
        <v>4</v>
      </c>
      <c r="I96" s="1191" t="s">
        <v>41</v>
      </c>
      <c r="J96" s="149">
        <v>200</v>
      </c>
      <c r="K96" s="66">
        <v>260</v>
      </c>
      <c r="L96" s="66">
        <v>2400</v>
      </c>
      <c r="M96" s="164">
        <v>36.854244556522332</v>
      </c>
      <c r="N96" s="78">
        <v>3049.8349999341858</v>
      </c>
      <c r="O96" s="113">
        <v>70286.756991186281</v>
      </c>
      <c r="P96" s="161">
        <v>83946.256933457451</v>
      </c>
      <c r="Q96" s="254">
        <v>28920.690550414929</v>
      </c>
      <c r="R96" s="263">
        <v>99207.447541601214</v>
      </c>
      <c r="S96" s="259">
        <v>112866.94748387238</v>
      </c>
      <c r="U96" s="7" t="s">
        <v>5503</v>
      </c>
    </row>
    <row r="97" spans="1:21" ht="16.5" thickBot="1">
      <c r="A97" s="1188" t="s">
        <v>4533</v>
      </c>
      <c r="B97" s="1192">
        <f t="shared" si="3"/>
        <v>200</v>
      </c>
      <c r="C97" s="1192" t="s">
        <v>3</v>
      </c>
      <c r="D97" s="1192">
        <f t="shared" si="4"/>
        <v>260</v>
      </c>
      <c r="E97" s="1192" t="s">
        <v>3</v>
      </c>
      <c r="F97" s="1190">
        <f t="shared" si="5"/>
        <v>2450</v>
      </c>
      <c r="G97" s="1192" t="s">
        <v>3</v>
      </c>
      <c r="H97" s="1189">
        <v>4</v>
      </c>
      <c r="I97" s="1191" t="s">
        <v>41</v>
      </c>
      <c r="J97" s="149">
        <v>200</v>
      </c>
      <c r="K97" s="66">
        <v>260</v>
      </c>
      <c r="L97" s="66">
        <v>2450</v>
      </c>
      <c r="M97" s="164">
        <v>37.57937789241425</v>
      </c>
      <c r="N97" s="78">
        <v>3124.2212194447757</v>
      </c>
      <c r="O97" s="113">
        <v>71516.728139338709</v>
      </c>
      <c r="P97" s="161">
        <v>85422.324251120721</v>
      </c>
      <c r="Q97" s="254">
        <v>29642.480255678664</v>
      </c>
      <c r="R97" s="263">
        <v>101159.20839501737</v>
      </c>
      <c r="S97" s="259">
        <v>115064.80450679938</v>
      </c>
      <c r="U97" s="7" t="s">
        <v>5504</v>
      </c>
    </row>
    <row r="98" spans="1:21" ht="16.5" thickBot="1">
      <c r="A98" s="1188" t="s">
        <v>4533</v>
      </c>
      <c r="B98" s="1192">
        <f t="shared" si="3"/>
        <v>200</v>
      </c>
      <c r="C98" s="1192" t="s">
        <v>3</v>
      </c>
      <c r="D98" s="1192">
        <f t="shared" si="4"/>
        <v>260</v>
      </c>
      <c r="E98" s="1192" t="s">
        <v>3</v>
      </c>
      <c r="F98" s="1190">
        <f t="shared" si="5"/>
        <v>2500</v>
      </c>
      <c r="G98" s="1192" t="s">
        <v>3</v>
      </c>
      <c r="H98" s="1189">
        <v>4</v>
      </c>
      <c r="I98" s="1191" t="s">
        <v>41</v>
      </c>
      <c r="J98" s="149">
        <v>200</v>
      </c>
      <c r="K98" s="66">
        <v>260</v>
      </c>
      <c r="L98" s="66">
        <v>2500</v>
      </c>
      <c r="M98" s="164">
        <v>38.783762828306145</v>
      </c>
      <c r="N98" s="78">
        <v>3198.6074389553655</v>
      </c>
      <c r="O98" s="113">
        <v>73716.082036317632</v>
      </c>
      <c r="P98" s="161">
        <v>88226.686775675713</v>
      </c>
      <c r="Q98" s="254">
        <v>30112.935823158623</v>
      </c>
      <c r="R98" s="263">
        <v>103829.01785947625</v>
      </c>
      <c r="S98" s="259">
        <v>118339.62259883434</v>
      </c>
      <c r="U98" s="7" t="s">
        <v>5505</v>
      </c>
    </row>
    <row r="99" spans="1:21" ht="16.5" thickBot="1">
      <c r="A99" s="1188" t="s">
        <v>4533</v>
      </c>
      <c r="B99" s="1192">
        <f t="shared" si="3"/>
        <v>200</v>
      </c>
      <c r="C99" s="1192" t="s">
        <v>3</v>
      </c>
      <c r="D99" s="1192">
        <f t="shared" si="4"/>
        <v>260</v>
      </c>
      <c r="E99" s="1192" t="s">
        <v>3</v>
      </c>
      <c r="F99" s="1190">
        <f t="shared" si="5"/>
        <v>2550</v>
      </c>
      <c r="G99" s="1192" t="s">
        <v>3</v>
      </c>
      <c r="H99" s="1189">
        <v>4</v>
      </c>
      <c r="I99" s="1191" t="s">
        <v>41</v>
      </c>
      <c r="J99" s="149">
        <v>200</v>
      </c>
      <c r="K99" s="66">
        <v>260</v>
      </c>
      <c r="L99" s="66">
        <v>2550</v>
      </c>
      <c r="M99" s="164">
        <v>39.508896164198063</v>
      </c>
      <c r="N99" s="78">
        <v>3272.9936584659558</v>
      </c>
      <c r="O99" s="113">
        <v>75338.166899874399</v>
      </c>
      <c r="P99" s="161">
        <v>89718.056969851474</v>
      </c>
      <c r="Q99" s="254">
        <v>30834.725528422357</v>
      </c>
      <c r="R99" s="263">
        <v>106172.89242829676</v>
      </c>
      <c r="S99" s="259">
        <v>120552.78249827382</v>
      </c>
      <c r="U99" s="7" t="s">
        <v>5506</v>
      </c>
    </row>
    <row r="100" spans="1:21" ht="16.5" thickBot="1">
      <c r="A100" s="1188" t="s">
        <v>4533</v>
      </c>
      <c r="B100" s="1189">
        <f t="shared" si="3"/>
        <v>200</v>
      </c>
      <c r="C100" s="1189" t="s">
        <v>3</v>
      </c>
      <c r="D100" s="1189">
        <f t="shared" si="4"/>
        <v>260</v>
      </c>
      <c r="E100" s="1189" t="s">
        <v>3</v>
      </c>
      <c r="F100" s="1190">
        <f t="shared" si="5"/>
        <v>2600</v>
      </c>
      <c r="G100" s="1189" t="s">
        <v>3</v>
      </c>
      <c r="H100" s="1189">
        <v>4</v>
      </c>
      <c r="I100" s="1191" t="s">
        <v>41</v>
      </c>
      <c r="J100" s="149">
        <v>200</v>
      </c>
      <c r="K100" s="66">
        <v>260</v>
      </c>
      <c r="L100" s="66">
        <v>2600</v>
      </c>
      <c r="M100" s="164">
        <v>40.234029500089974</v>
      </c>
      <c r="N100" s="78">
        <v>3347.3798779765457</v>
      </c>
      <c r="O100" s="113">
        <v>76568.138201055597</v>
      </c>
      <c r="P100" s="161">
        <v>91194.124287514758</v>
      </c>
      <c r="Q100" s="254">
        <v>31305.181095902317</v>
      </c>
      <c r="R100" s="263">
        <v>107873.31929695791</v>
      </c>
      <c r="S100" s="259">
        <v>122499.30538341707</v>
      </c>
      <c r="U100" s="7" t="s">
        <v>5507</v>
      </c>
    </row>
    <row r="101" spans="1:21" ht="16.5" thickBot="1">
      <c r="A101" s="1188" t="s">
        <v>4533</v>
      </c>
      <c r="B101" s="1192">
        <f t="shared" si="3"/>
        <v>200</v>
      </c>
      <c r="C101" s="1192" t="s">
        <v>3</v>
      </c>
      <c r="D101" s="1192">
        <f t="shared" si="4"/>
        <v>260</v>
      </c>
      <c r="E101" s="1192" t="s">
        <v>3</v>
      </c>
      <c r="F101" s="1190">
        <f t="shared" si="5"/>
        <v>2650</v>
      </c>
      <c r="G101" s="1192" t="s">
        <v>3</v>
      </c>
      <c r="H101" s="1189">
        <v>4</v>
      </c>
      <c r="I101" s="1191" t="s">
        <v>41</v>
      </c>
      <c r="J101" s="149">
        <v>200</v>
      </c>
      <c r="K101" s="66">
        <v>260</v>
      </c>
      <c r="L101" s="66">
        <v>2650</v>
      </c>
      <c r="M101" s="164">
        <v>40.959162835981871</v>
      </c>
      <c r="N101" s="78">
        <v>3421.7660974871351</v>
      </c>
      <c r="O101" s="113">
        <v>77798.109349208025</v>
      </c>
      <c r="P101" s="161">
        <v>92670.191605178028</v>
      </c>
      <c r="Q101" s="254">
        <v>32026.970801166051</v>
      </c>
      <c r="R101" s="263">
        <v>109825.08015037408</v>
      </c>
      <c r="S101" s="259">
        <v>124697.16240634408</v>
      </c>
      <c r="U101" s="7" t="s">
        <v>5508</v>
      </c>
    </row>
    <row r="102" spans="1:21" ht="16.5" thickBot="1">
      <c r="A102" s="1188" t="s">
        <v>4533</v>
      </c>
      <c r="B102" s="1192">
        <f t="shared" si="3"/>
        <v>200</v>
      </c>
      <c r="C102" s="1192" t="s">
        <v>3</v>
      </c>
      <c r="D102" s="1192">
        <f t="shared" si="4"/>
        <v>260</v>
      </c>
      <c r="E102" s="1192" t="s">
        <v>3</v>
      </c>
      <c r="F102" s="1190">
        <f t="shared" si="5"/>
        <v>2700</v>
      </c>
      <c r="G102" s="1192" t="s">
        <v>3</v>
      </c>
      <c r="H102" s="1189">
        <v>4</v>
      </c>
      <c r="I102" s="1191" t="s">
        <v>41</v>
      </c>
      <c r="J102" s="149">
        <v>200</v>
      </c>
      <c r="K102" s="66">
        <v>260</v>
      </c>
      <c r="L102" s="66">
        <v>2700</v>
      </c>
      <c r="M102" s="164">
        <v>41.684296171873783</v>
      </c>
      <c r="N102" s="78">
        <v>3496.1523169977254</v>
      </c>
      <c r="O102" s="113">
        <v>79028.080497360454</v>
      </c>
      <c r="P102" s="161">
        <v>94146.258922841298</v>
      </c>
      <c r="Q102" s="254">
        <v>32497.426368646011</v>
      </c>
      <c r="R102" s="263">
        <v>111525.50686600647</v>
      </c>
      <c r="S102" s="259">
        <v>126643.68529148732</v>
      </c>
      <c r="U102" s="7" t="s">
        <v>5509</v>
      </c>
    </row>
    <row r="103" spans="1:21" ht="16.5" thickBot="1">
      <c r="A103" s="1188" t="s">
        <v>4533</v>
      </c>
      <c r="B103" s="1192">
        <f t="shared" si="3"/>
        <v>200</v>
      </c>
      <c r="C103" s="1192" t="s">
        <v>3</v>
      </c>
      <c r="D103" s="1192">
        <f t="shared" si="4"/>
        <v>260</v>
      </c>
      <c r="E103" s="1192" t="s">
        <v>3</v>
      </c>
      <c r="F103" s="1190">
        <f t="shared" si="5"/>
        <v>2750</v>
      </c>
      <c r="G103" s="1192" t="s">
        <v>3</v>
      </c>
      <c r="H103" s="1189">
        <v>4</v>
      </c>
      <c r="I103" s="1191" t="s">
        <v>41</v>
      </c>
      <c r="J103" s="149">
        <v>200</v>
      </c>
      <c r="K103" s="66">
        <v>260</v>
      </c>
      <c r="L103" s="66">
        <v>2750</v>
      </c>
      <c r="M103" s="164">
        <v>42.409429507765687</v>
      </c>
      <c r="N103" s="78">
        <v>3570.5385365083152</v>
      </c>
      <c r="O103" s="113">
        <v>80258.051645512882</v>
      </c>
      <c r="P103" s="161">
        <v>95622.326240504568</v>
      </c>
      <c r="Q103" s="254">
        <v>32967.881936125974</v>
      </c>
      <c r="R103" s="263">
        <v>113225.93358163885</v>
      </c>
      <c r="S103" s="259">
        <v>128590.20817663055</v>
      </c>
      <c r="U103" s="7" t="s">
        <v>5510</v>
      </c>
    </row>
    <row r="104" spans="1:21" ht="16.5" thickBot="1">
      <c r="A104" s="1188" t="s">
        <v>4533</v>
      </c>
      <c r="B104" s="1192">
        <f t="shared" si="3"/>
        <v>200</v>
      </c>
      <c r="C104" s="1192" t="s">
        <v>3</v>
      </c>
      <c r="D104" s="1192">
        <f t="shared" si="4"/>
        <v>260</v>
      </c>
      <c r="E104" s="1192" t="s">
        <v>3</v>
      </c>
      <c r="F104" s="1190">
        <f t="shared" si="5"/>
        <v>2800</v>
      </c>
      <c r="G104" s="1192" t="s">
        <v>3</v>
      </c>
      <c r="H104" s="1189">
        <v>4</v>
      </c>
      <c r="I104" s="1191" t="s">
        <v>41</v>
      </c>
      <c r="J104" s="149">
        <v>200</v>
      </c>
      <c r="K104" s="66">
        <v>260</v>
      </c>
      <c r="L104" s="66">
        <v>2800</v>
      </c>
      <c r="M104" s="164">
        <v>43.134562843657605</v>
      </c>
      <c r="N104" s="78">
        <v>3644.9247560189051</v>
      </c>
      <c r="O104" s="113">
        <v>81488.02294669408</v>
      </c>
      <c r="P104" s="161">
        <v>97098.393558167838</v>
      </c>
      <c r="Q104" s="254">
        <v>33689.671488360938</v>
      </c>
      <c r="R104" s="263">
        <v>115177.69443505502</v>
      </c>
      <c r="S104" s="259">
        <v>130788.06504652878</v>
      </c>
      <c r="U104" s="7" t="s">
        <v>5511</v>
      </c>
    </row>
    <row r="105" spans="1:21" ht="16.5" thickBot="1">
      <c r="A105" s="1188" t="s">
        <v>4533</v>
      </c>
      <c r="B105" s="1192">
        <f t="shared" si="3"/>
        <v>200</v>
      </c>
      <c r="C105" s="1192" t="s">
        <v>3</v>
      </c>
      <c r="D105" s="1192">
        <f t="shared" si="4"/>
        <v>260</v>
      </c>
      <c r="E105" s="1192" t="s">
        <v>3</v>
      </c>
      <c r="F105" s="1190">
        <f t="shared" si="5"/>
        <v>2850</v>
      </c>
      <c r="G105" s="1192" t="s">
        <v>3</v>
      </c>
      <c r="H105" s="1189">
        <v>4</v>
      </c>
      <c r="I105" s="1191" t="s">
        <v>41</v>
      </c>
      <c r="J105" s="149">
        <v>200</v>
      </c>
      <c r="K105" s="66">
        <v>260</v>
      </c>
      <c r="L105" s="66">
        <v>2850</v>
      </c>
      <c r="M105" s="164">
        <v>43.859696179549502</v>
      </c>
      <c r="N105" s="78">
        <v>3719.310975529495</v>
      </c>
      <c r="O105" s="113">
        <v>82717.994094846508</v>
      </c>
      <c r="P105" s="161">
        <v>98574.460875831122</v>
      </c>
      <c r="Q105" s="254">
        <v>34160.127055840901</v>
      </c>
      <c r="R105" s="263">
        <v>116878.12115068741</v>
      </c>
      <c r="S105" s="259">
        <v>132734.58793167202</v>
      </c>
      <c r="U105" s="7" t="s">
        <v>5512</v>
      </c>
    </row>
    <row r="106" spans="1:21" ht="16.5" thickBot="1">
      <c r="A106" s="1188" t="s">
        <v>4533</v>
      </c>
      <c r="B106" s="1192">
        <f t="shared" si="3"/>
        <v>200</v>
      </c>
      <c r="C106" s="1192" t="s">
        <v>3</v>
      </c>
      <c r="D106" s="1192">
        <f t="shared" si="4"/>
        <v>260</v>
      </c>
      <c r="E106" s="1192" t="s">
        <v>3</v>
      </c>
      <c r="F106" s="1190">
        <f t="shared" si="5"/>
        <v>2900</v>
      </c>
      <c r="G106" s="1192" t="s">
        <v>3</v>
      </c>
      <c r="H106" s="1189">
        <v>4</v>
      </c>
      <c r="I106" s="1191" t="s">
        <v>41</v>
      </c>
      <c r="J106" s="149">
        <v>200</v>
      </c>
      <c r="K106" s="66">
        <v>260</v>
      </c>
      <c r="L106" s="66">
        <v>2900</v>
      </c>
      <c r="M106" s="164">
        <v>44.584829515441413</v>
      </c>
      <c r="N106" s="78">
        <v>3793.6971950400848</v>
      </c>
      <c r="O106" s="113">
        <v>83947.965242998936</v>
      </c>
      <c r="P106" s="161">
        <v>100050.52819349438</v>
      </c>
      <c r="Q106" s="254">
        <v>34881.916761104636</v>
      </c>
      <c r="R106" s="263">
        <v>118829.88200410357</v>
      </c>
      <c r="S106" s="259">
        <v>134932.44495459902</v>
      </c>
      <c r="U106" s="7" t="s">
        <v>5513</v>
      </c>
    </row>
    <row r="107" spans="1:21" ht="16.5" thickBot="1">
      <c r="A107" s="1188" t="s">
        <v>4533</v>
      </c>
      <c r="B107" s="1192">
        <f t="shared" si="3"/>
        <v>200</v>
      </c>
      <c r="C107" s="1192" t="s">
        <v>3</v>
      </c>
      <c r="D107" s="1192">
        <f t="shared" si="4"/>
        <v>260</v>
      </c>
      <c r="E107" s="1192" t="s">
        <v>3</v>
      </c>
      <c r="F107" s="1190">
        <f t="shared" si="5"/>
        <v>2950</v>
      </c>
      <c r="G107" s="1192" t="s">
        <v>3</v>
      </c>
      <c r="H107" s="1189">
        <v>4</v>
      </c>
      <c r="I107" s="1191" t="s">
        <v>41</v>
      </c>
      <c r="J107" s="149">
        <v>200</v>
      </c>
      <c r="K107" s="66">
        <v>260</v>
      </c>
      <c r="L107" s="66">
        <v>2950</v>
      </c>
      <c r="M107" s="164">
        <v>45.309962851333324</v>
      </c>
      <c r="N107" s="78">
        <v>3868.0834145506747</v>
      </c>
      <c r="O107" s="113">
        <v>85177.936391151365</v>
      </c>
      <c r="P107" s="161">
        <v>101526.59551115766</v>
      </c>
      <c r="Q107" s="254">
        <v>35352.372328584599</v>
      </c>
      <c r="R107" s="263">
        <v>120530.30871973597</v>
      </c>
      <c r="S107" s="259">
        <v>136878.96783974225</v>
      </c>
      <c r="U107" s="7" t="s">
        <v>5514</v>
      </c>
    </row>
    <row r="108" spans="1:21" ht="16.5" thickBot="1">
      <c r="A108" s="1193" t="s">
        <v>4533</v>
      </c>
      <c r="B108" s="1194">
        <f t="shared" si="3"/>
        <v>200</v>
      </c>
      <c r="C108" s="1194" t="s">
        <v>3</v>
      </c>
      <c r="D108" s="1194">
        <f t="shared" si="4"/>
        <v>260</v>
      </c>
      <c r="E108" s="1194" t="s">
        <v>3</v>
      </c>
      <c r="F108" s="1195">
        <f t="shared" si="5"/>
        <v>3000</v>
      </c>
      <c r="G108" s="1194" t="s">
        <v>3</v>
      </c>
      <c r="H108" s="1196">
        <v>4</v>
      </c>
      <c r="I108" s="1197" t="s">
        <v>41</v>
      </c>
      <c r="J108" s="265">
        <v>200</v>
      </c>
      <c r="K108" s="266">
        <v>260</v>
      </c>
      <c r="L108" s="266">
        <v>3000</v>
      </c>
      <c r="M108" s="249">
        <v>46.237989787225231</v>
      </c>
      <c r="N108" s="250">
        <v>3942.4696340612645</v>
      </c>
      <c r="O108" s="251">
        <v>86656.450891497982</v>
      </c>
      <c r="P108" s="283">
        <v>103251.20602798635</v>
      </c>
      <c r="Q108" s="267">
        <v>36074.162033848326</v>
      </c>
      <c r="R108" s="268">
        <v>122730.6129253463</v>
      </c>
      <c r="S108" s="269">
        <v>139325.36806183468</v>
      </c>
      <c r="U108" s="7" t="s">
        <v>5515</v>
      </c>
    </row>
    <row r="109" spans="1:21" ht="19.5" thickBot="1">
      <c r="A109" s="2968" t="s">
        <v>43</v>
      </c>
      <c r="B109" s="2969"/>
      <c r="C109" s="2969"/>
      <c r="D109" s="2969"/>
      <c r="E109" s="2969"/>
      <c r="F109" s="2969"/>
      <c r="G109" s="2969"/>
      <c r="H109" s="2969"/>
      <c r="I109" s="2969"/>
      <c r="J109" s="2969"/>
      <c r="K109" s="2969"/>
      <c r="L109" s="2969"/>
      <c r="M109" s="2969"/>
      <c r="N109" s="2969"/>
      <c r="O109" s="2969"/>
      <c r="P109" s="2969"/>
      <c r="Q109" s="2969"/>
      <c r="R109" s="2969"/>
      <c r="S109" s="2970"/>
      <c r="U109" s="7"/>
    </row>
    <row r="110" spans="1:21" ht="16.5" customHeight="1" thickBot="1">
      <c r="A110" s="3050" t="s">
        <v>4535</v>
      </c>
      <c r="B110" s="3051"/>
      <c r="C110" s="3051"/>
      <c r="D110" s="3051"/>
      <c r="E110" s="3051"/>
      <c r="F110" s="3051"/>
      <c r="G110" s="3051"/>
      <c r="H110" s="3051"/>
      <c r="I110" s="3051"/>
      <c r="J110" s="3051"/>
      <c r="K110" s="3051"/>
      <c r="L110" s="3051"/>
      <c r="M110" s="3051"/>
      <c r="N110" s="3051"/>
      <c r="O110" s="3051"/>
      <c r="P110" s="3051"/>
      <c r="Q110" s="3051"/>
      <c r="R110" s="3051"/>
      <c r="S110" s="3052"/>
      <c r="U110" s="7"/>
    </row>
    <row r="111" spans="1:21" ht="16.5" thickBot="1">
      <c r="A111" s="1188" t="s">
        <v>4533</v>
      </c>
      <c r="B111" s="1189">
        <f>J111</f>
        <v>200</v>
      </c>
      <c r="C111" s="1189" t="s">
        <v>3</v>
      </c>
      <c r="D111" s="1189">
        <f>K111</f>
        <v>300</v>
      </c>
      <c r="E111" s="1189" t="s">
        <v>3</v>
      </c>
      <c r="F111" s="1190">
        <f>L111</f>
        <v>600</v>
      </c>
      <c r="G111" s="1189" t="s">
        <v>3</v>
      </c>
      <c r="H111" s="1189">
        <v>4</v>
      </c>
      <c r="I111" s="1191" t="s">
        <v>41</v>
      </c>
      <c r="J111" s="270">
        <v>200</v>
      </c>
      <c r="K111" s="271">
        <v>300</v>
      </c>
      <c r="L111" s="271">
        <v>600</v>
      </c>
      <c r="M111" s="245">
        <v>10.965268023150488</v>
      </c>
      <c r="N111" s="246">
        <v>398.38894060022614</v>
      </c>
      <c r="O111" s="247">
        <v>24836.307971800499</v>
      </c>
      <c r="P111" s="170">
        <v>30485.459607387063</v>
      </c>
      <c r="Q111" s="272">
        <v>8941.6715199935952</v>
      </c>
      <c r="R111" s="273">
        <v>33777.979491794096</v>
      </c>
      <c r="S111" s="274">
        <v>39427.131127380657</v>
      </c>
      <c r="U111" s="7" t="s">
        <v>5516</v>
      </c>
    </row>
    <row r="112" spans="1:21" ht="16.5" thickBot="1">
      <c r="A112" s="1188" t="s">
        <v>4533</v>
      </c>
      <c r="B112" s="1192">
        <f t="shared" ref="B112:B159" si="6">J112</f>
        <v>200</v>
      </c>
      <c r="C112" s="1192" t="s">
        <v>3</v>
      </c>
      <c r="D112" s="1192">
        <f t="shared" ref="D112:D159" si="7">K112</f>
        <v>300</v>
      </c>
      <c r="E112" s="1192" t="s">
        <v>3</v>
      </c>
      <c r="F112" s="1190">
        <f t="shared" ref="F112:F159" si="8">L112</f>
        <v>650</v>
      </c>
      <c r="G112" s="1192" t="s">
        <v>3</v>
      </c>
      <c r="H112" s="1189">
        <v>4</v>
      </c>
      <c r="I112" s="1191" t="s">
        <v>41</v>
      </c>
      <c r="J112" s="149">
        <v>200</v>
      </c>
      <c r="K112" s="66">
        <v>300</v>
      </c>
      <c r="L112" s="66">
        <v>650</v>
      </c>
      <c r="M112" s="164">
        <v>11.730310088937133</v>
      </c>
      <c r="N112" s="78">
        <v>478.06672872027133</v>
      </c>
      <c r="O112" s="113">
        <v>26087.63091749329</v>
      </c>
      <c r="P112" s="161">
        <v>31997.793547536363</v>
      </c>
      <c r="Q112" s="254">
        <v>9465.3131529653438</v>
      </c>
      <c r="R112" s="263">
        <v>35552.94407045863</v>
      </c>
      <c r="S112" s="259">
        <v>41463.10670050171</v>
      </c>
      <c r="U112" s="7" t="s">
        <v>5517</v>
      </c>
    </row>
    <row r="113" spans="1:21" ht="16.5" thickBot="1">
      <c r="A113" s="1188" t="s">
        <v>4533</v>
      </c>
      <c r="B113" s="1192">
        <f t="shared" si="6"/>
        <v>200</v>
      </c>
      <c r="C113" s="1192" t="s">
        <v>3</v>
      </c>
      <c r="D113" s="1192">
        <f t="shared" si="7"/>
        <v>300</v>
      </c>
      <c r="E113" s="1192" t="s">
        <v>3</v>
      </c>
      <c r="F113" s="1190">
        <f t="shared" si="8"/>
        <v>700</v>
      </c>
      <c r="G113" s="1192" t="s">
        <v>3</v>
      </c>
      <c r="H113" s="1189">
        <v>4</v>
      </c>
      <c r="I113" s="1191" t="s">
        <v>41</v>
      </c>
      <c r="J113" s="149">
        <v>200</v>
      </c>
      <c r="K113" s="66">
        <v>300</v>
      </c>
      <c r="L113" s="66">
        <v>700</v>
      </c>
      <c r="M113" s="164">
        <v>12.495352154723779</v>
      </c>
      <c r="N113" s="78">
        <v>557.74451684031658</v>
      </c>
      <c r="O113" s="113">
        <v>27338.953710157311</v>
      </c>
      <c r="P113" s="161">
        <v>33510.127487685662</v>
      </c>
      <c r="Q113" s="254">
        <v>10240.289076749623</v>
      </c>
      <c r="R113" s="263">
        <v>37579.242786906936</v>
      </c>
      <c r="S113" s="259">
        <v>43750.416564435283</v>
      </c>
      <c r="U113" s="7" t="s">
        <v>5518</v>
      </c>
    </row>
    <row r="114" spans="1:21" ht="16.5" thickBot="1">
      <c r="A114" s="1188" t="s">
        <v>4533</v>
      </c>
      <c r="B114" s="1192">
        <f t="shared" si="6"/>
        <v>200</v>
      </c>
      <c r="C114" s="1192" t="s">
        <v>3</v>
      </c>
      <c r="D114" s="1192">
        <f t="shared" si="7"/>
        <v>300</v>
      </c>
      <c r="E114" s="1192" t="s">
        <v>3</v>
      </c>
      <c r="F114" s="1190">
        <f t="shared" si="8"/>
        <v>750</v>
      </c>
      <c r="G114" s="1192" t="s">
        <v>3</v>
      </c>
      <c r="H114" s="1189">
        <v>4</v>
      </c>
      <c r="I114" s="1191" t="s">
        <v>41</v>
      </c>
      <c r="J114" s="149">
        <v>200</v>
      </c>
      <c r="K114" s="66">
        <v>300</v>
      </c>
      <c r="L114" s="66">
        <v>750</v>
      </c>
      <c r="M114" s="164">
        <v>13.260394220510422</v>
      </c>
      <c r="N114" s="78">
        <v>637.42230496036188</v>
      </c>
      <c r="O114" s="113">
        <v>28590.276655850106</v>
      </c>
      <c r="P114" s="161">
        <v>35022.461427834962</v>
      </c>
      <c r="Q114" s="254">
        <v>10763.930709721371</v>
      </c>
      <c r="R114" s="263">
        <v>39354.207365571478</v>
      </c>
      <c r="S114" s="259">
        <v>45786.392137556337</v>
      </c>
      <c r="U114" s="7" t="s">
        <v>5519</v>
      </c>
    </row>
    <row r="115" spans="1:21" ht="16.5" thickBot="1">
      <c r="A115" s="1188" t="s">
        <v>4533</v>
      </c>
      <c r="B115" s="1192">
        <f t="shared" si="6"/>
        <v>200</v>
      </c>
      <c r="C115" s="1192" t="s">
        <v>3</v>
      </c>
      <c r="D115" s="1192">
        <f t="shared" si="7"/>
        <v>300</v>
      </c>
      <c r="E115" s="1192" t="s">
        <v>3</v>
      </c>
      <c r="F115" s="1190">
        <f t="shared" si="8"/>
        <v>800</v>
      </c>
      <c r="G115" s="1192" t="s">
        <v>3</v>
      </c>
      <c r="H115" s="1189">
        <v>4</v>
      </c>
      <c r="I115" s="1191" t="s">
        <v>41</v>
      </c>
      <c r="J115" s="149">
        <v>200</v>
      </c>
      <c r="K115" s="66">
        <v>300</v>
      </c>
      <c r="L115" s="66">
        <v>800</v>
      </c>
      <c r="M115" s="164">
        <v>14.025436286297069</v>
      </c>
      <c r="N115" s="78">
        <v>717.10009308040708</v>
      </c>
      <c r="O115" s="113">
        <v>30235.221874513834</v>
      </c>
      <c r="P115" s="161">
        <v>36550.098244496607</v>
      </c>
      <c r="Q115" s="254">
        <v>11287.572342693116</v>
      </c>
      <c r="R115" s="263">
        <v>41522.794217206952</v>
      </c>
      <c r="S115" s="259">
        <v>47837.670587189721</v>
      </c>
      <c r="U115" s="7" t="s">
        <v>5520</v>
      </c>
    </row>
    <row r="116" spans="1:21" ht="16.5" thickBot="1">
      <c r="A116" s="1188" t="s">
        <v>4533</v>
      </c>
      <c r="B116" s="1192">
        <f t="shared" si="6"/>
        <v>200</v>
      </c>
      <c r="C116" s="1192" t="s">
        <v>3</v>
      </c>
      <c r="D116" s="1192">
        <f t="shared" si="7"/>
        <v>300</v>
      </c>
      <c r="E116" s="1192" t="s">
        <v>3</v>
      </c>
      <c r="F116" s="1190">
        <f t="shared" si="8"/>
        <v>850</v>
      </c>
      <c r="G116" s="1192" t="s">
        <v>3</v>
      </c>
      <c r="H116" s="1189">
        <v>4</v>
      </c>
      <c r="I116" s="1191" t="s">
        <v>41</v>
      </c>
      <c r="J116" s="149">
        <v>200</v>
      </c>
      <c r="K116" s="66">
        <v>300</v>
      </c>
      <c r="L116" s="66">
        <v>850</v>
      </c>
      <c r="M116" s="164">
        <v>14.79047835208371</v>
      </c>
      <c r="N116" s="78">
        <v>796.77788120045227</v>
      </c>
      <c r="O116" s="113">
        <v>31486.544667177863</v>
      </c>
      <c r="P116" s="161">
        <v>38062.432184645906</v>
      </c>
      <c r="Q116" s="254">
        <v>12062.548266477399</v>
      </c>
      <c r="R116" s="263">
        <v>43549.092933655265</v>
      </c>
      <c r="S116" s="259">
        <v>50124.980451123309</v>
      </c>
      <c r="U116" s="7" t="s">
        <v>5521</v>
      </c>
    </row>
    <row r="117" spans="1:21" ht="16.5" thickBot="1">
      <c r="A117" s="1188" t="s">
        <v>4533</v>
      </c>
      <c r="B117" s="1192">
        <f t="shared" si="6"/>
        <v>200</v>
      </c>
      <c r="C117" s="1192" t="s">
        <v>3</v>
      </c>
      <c r="D117" s="1192">
        <f t="shared" si="7"/>
        <v>300</v>
      </c>
      <c r="E117" s="1192" t="s">
        <v>3</v>
      </c>
      <c r="F117" s="1190">
        <f t="shared" si="8"/>
        <v>900</v>
      </c>
      <c r="G117" s="1192" t="s">
        <v>3</v>
      </c>
      <c r="H117" s="1189">
        <v>4</v>
      </c>
      <c r="I117" s="1191" t="s">
        <v>41</v>
      </c>
      <c r="J117" s="149">
        <v>200</v>
      </c>
      <c r="K117" s="66">
        <v>300</v>
      </c>
      <c r="L117" s="66">
        <v>900</v>
      </c>
      <c r="M117" s="164">
        <v>15.555520417870358</v>
      </c>
      <c r="N117" s="78">
        <v>876.45566932049758</v>
      </c>
      <c r="O117" s="113">
        <v>32737.86761287065</v>
      </c>
      <c r="P117" s="161">
        <v>39574.766124795206</v>
      </c>
      <c r="Q117" s="254">
        <v>12586.189899449146</v>
      </c>
      <c r="R117" s="263">
        <v>45324.057512319792</v>
      </c>
      <c r="S117" s="259">
        <v>52160.956024244355</v>
      </c>
      <c r="U117" s="7" t="s">
        <v>5522</v>
      </c>
    </row>
    <row r="118" spans="1:21" ht="16.5" thickBot="1">
      <c r="A118" s="1188" t="s">
        <v>4533</v>
      </c>
      <c r="B118" s="1192">
        <f t="shared" si="6"/>
        <v>200</v>
      </c>
      <c r="C118" s="1192" t="s">
        <v>3</v>
      </c>
      <c r="D118" s="1192">
        <f t="shared" si="7"/>
        <v>300</v>
      </c>
      <c r="E118" s="1192" t="s">
        <v>3</v>
      </c>
      <c r="F118" s="1190">
        <f t="shared" si="8"/>
        <v>950</v>
      </c>
      <c r="G118" s="1192" t="s">
        <v>3</v>
      </c>
      <c r="H118" s="1189">
        <v>4</v>
      </c>
      <c r="I118" s="1191" t="s">
        <v>41</v>
      </c>
      <c r="J118" s="149">
        <v>200</v>
      </c>
      <c r="K118" s="66">
        <v>300</v>
      </c>
      <c r="L118" s="66">
        <v>950</v>
      </c>
      <c r="M118" s="164">
        <v>16.320562483657003</v>
      </c>
      <c r="N118" s="78">
        <v>956.13345744054266</v>
      </c>
      <c r="O118" s="113">
        <v>33989.190558563445</v>
      </c>
      <c r="P118" s="161">
        <v>41087.100064944498</v>
      </c>
      <c r="Q118" s="254">
        <v>13361.165670204662</v>
      </c>
      <c r="R118" s="263">
        <v>47350.356228768105</v>
      </c>
      <c r="S118" s="259">
        <v>54448.265735149158</v>
      </c>
      <c r="U118" s="7" t="s">
        <v>5523</v>
      </c>
    </row>
    <row r="119" spans="1:21" ht="16.5" thickBot="1">
      <c r="A119" s="1188" t="s">
        <v>4533</v>
      </c>
      <c r="B119" s="1192">
        <f t="shared" si="6"/>
        <v>200</v>
      </c>
      <c r="C119" s="1192" t="s">
        <v>3</v>
      </c>
      <c r="D119" s="1192">
        <f t="shared" si="7"/>
        <v>300</v>
      </c>
      <c r="E119" s="1192" t="s">
        <v>3</v>
      </c>
      <c r="F119" s="1190">
        <f t="shared" si="8"/>
        <v>1000</v>
      </c>
      <c r="G119" s="1192" t="s">
        <v>3</v>
      </c>
      <c r="H119" s="1189">
        <v>4</v>
      </c>
      <c r="I119" s="1191" t="s">
        <v>41</v>
      </c>
      <c r="J119" s="149">
        <v>200</v>
      </c>
      <c r="K119" s="66">
        <v>300</v>
      </c>
      <c r="L119" s="66">
        <v>1000</v>
      </c>
      <c r="M119" s="164">
        <v>17.202658549443647</v>
      </c>
      <c r="N119" s="78">
        <v>1035.8112455605881</v>
      </c>
      <c r="O119" s="113">
        <v>35298.725493481019</v>
      </c>
      <c r="P119" s="161">
        <v>42657.646147347346</v>
      </c>
      <c r="Q119" s="254">
        <v>13884.807456205173</v>
      </c>
      <c r="R119" s="263">
        <v>49183.532949686196</v>
      </c>
      <c r="S119" s="259">
        <v>56542.453603552523</v>
      </c>
      <c r="U119" s="7" t="s">
        <v>5524</v>
      </c>
    </row>
    <row r="120" spans="1:21" ht="16.5" thickBot="1">
      <c r="A120" s="1188" t="s">
        <v>4533</v>
      </c>
      <c r="B120" s="1192">
        <f t="shared" si="6"/>
        <v>200</v>
      </c>
      <c r="C120" s="1192" t="s">
        <v>3</v>
      </c>
      <c r="D120" s="1192">
        <f t="shared" si="7"/>
        <v>300</v>
      </c>
      <c r="E120" s="1192" t="s">
        <v>3</v>
      </c>
      <c r="F120" s="1190">
        <f t="shared" si="8"/>
        <v>1050</v>
      </c>
      <c r="G120" s="1192" t="s">
        <v>3</v>
      </c>
      <c r="H120" s="1189">
        <v>4</v>
      </c>
      <c r="I120" s="1191" t="s">
        <v>41</v>
      </c>
      <c r="J120" s="149">
        <v>200</v>
      </c>
      <c r="K120" s="66">
        <v>300</v>
      </c>
      <c r="L120" s="66">
        <v>1050</v>
      </c>
      <c r="M120" s="164">
        <v>17.967700615230292</v>
      </c>
      <c r="N120" s="78">
        <v>1115.4890336806332</v>
      </c>
      <c r="O120" s="113">
        <v>36550.048439173814</v>
      </c>
      <c r="P120" s="161">
        <v>44169.980087496646</v>
      </c>
      <c r="Q120" s="254">
        <v>14659.78322696069</v>
      </c>
      <c r="R120" s="263">
        <v>51209.831666134502</v>
      </c>
      <c r="S120" s="259">
        <v>58829.763314457334</v>
      </c>
      <c r="U120" s="7" t="s">
        <v>5525</v>
      </c>
    </row>
    <row r="121" spans="1:21" ht="16.5" thickBot="1">
      <c r="A121" s="1188" t="s">
        <v>4533</v>
      </c>
      <c r="B121" s="1189">
        <f t="shared" si="6"/>
        <v>200</v>
      </c>
      <c r="C121" s="1189" t="s">
        <v>3</v>
      </c>
      <c r="D121" s="1189">
        <f t="shared" si="7"/>
        <v>300</v>
      </c>
      <c r="E121" s="1189" t="s">
        <v>3</v>
      </c>
      <c r="F121" s="1190">
        <f t="shared" si="8"/>
        <v>1100</v>
      </c>
      <c r="G121" s="1189" t="s">
        <v>3</v>
      </c>
      <c r="H121" s="1189">
        <v>4</v>
      </c>
      <c r="I121" s="1191" t="s">
        <v>41</v>
      </c>
      <c r="J121" s="149">
        <v>200</v>
      </c>
      <c r="K121" s="66">
        <v>300</v>
      </c>
      <c r="L121" s="66">
        <v>1100</v>
      </c>
      <c r="M121" s="164">
        <v>18.732742681016937</v>
      </c>
      <c r="N121" s="78">
        <v>1195.1668218006785</v>
      </c>
      <c r="O121" s="113">
        <v>37801.371384866601</v>
      </c>
      <c r="P121" s="161">
        <v>45682.314027645945</v>
      </c>
      <c r="Q121" s="254">
        <v>15183.425012961201</v>
      </c>
      <c r="R121" s="263">
        <v>52984.796397827799</v>
      </c>
      <c r="S121" s="259">
        <v>60865.73904060715</v>
      </c>
      <c r="U121" s="7" t="s">
        <v>5526</v>
      </c>
    </row>
    <row r="122" spans="1:21" ht="16.5" thickBot="1">
      <c r="A122" s="1188" t="s">
        <v>4533</v>
      </c>
      <c r="B122" s="1192">
        <f t="shared" si="6"/>
        <v>200</v>
      </c>
      <c r="C122" s="1192" t="s">
        <v>3</v>
      </c>
      <c r="D122" s="1192">
        <f t="shared" si="7"/>
        <v>300</v>
      </c>
      <c r="E122" s="1192" t="s">
        <v>3</v>
      </c>
      <c r="F122" s="1190">
        <f t="shared" si="8"/>
        <v>1150</v>
      </c>
      <c r="G122" s="1192" t="s">
        <v>3</v>
      </c>
      <c r="H122" s="1189">
        <v>4</v>
      </c>
      <c r="I122" s="1191" t="s">
        <v>41</v>
      </c>
      <c r="J122" s="149">
        <v>200</v>
      </c>
      <c r="K122" s="66">
        <v>300</v>
      </c>
      <c r="L122" s="66">
        <v>1150</v>
      </c>
      <c r="M122" s="164">
        <v>19.497784746803582</v>
      </c>
      <c r="N122" s="78">
        <v>1274.8446099207238</v>
      </c>
      <c r="O122" s="113">
        <v>39052.694330559389</v>
      </c>
      <c r="P122" s="161">
        <v>47194.647967795237</v>
      </c>
      <c r="Q122" s="254">
        <v>15707.066645932946</v>
      </c>
      <c r="R122" s="263">
        <v>54759.760976492333</v>
      </c>
      <c r="S122" s="259">
        <v>62901.714613728182</v>
      </c>
      <c r="U122" s="7" t="s">
        <v>5527</v>
      </c>
    </row>
    <row r="123" spans="1:21" ht="16.5" thickBot="1">
      <c r="A123" s="1188" t="s">
        <v>4533</v>
      </c>
      <c r="B123" s="1192">
        <f t="shared" si="6"/>
        <v>200</v>
      </c>
      <c r="C123" s="1192" t="s">
        <v>3</v>
      </c>
      <c r="D123" s="1192">
        <f t="shared" si="7"/>
        <v>300</v>
      </c>
      <c r="E123" s="1192" t="s">
        <v>3</v>
      </c>
      <c r="F123" s="1190">
        <f t="shared" si="8"/>
        <v>1200</v>
      </c>
      <c r="G123" s="1192" t="s">
        <v>3</v>
      </c>
      <c r="H123" s="1189">
        <v>4</v>
      </c>
      <c r="I123" s="1191" t="s">
        <v>41</v>
      </c>
      <c r="J123" s="149">
        <v>200</v>
      </c>
      <c r="K123" s="66">
        <v>300</v>
      </c>
      <c r="L123" s="66">
        <v>1200</v>
      </c>
      <c r="M123" s="164">
        <v>20.262826812590223</v>
      </c>
      <c r="N123" s="78">
        <v>1354.5223980407688</v>
      </c>
      <c r="O123" s="113">
        <v>40304.017123223421</v>
      </c>
      <c r="P123" s="161">
        <v>48706.981907944537</v>
      </c>
      <c r="Q123" s="254">
        <v>16482.042416688462</v>
      </c>
      <c r="R123" s="263">
        <v>56786.059539911883</v>
      </c>
      <c r="S123" s="259">
        <v>65189.024324632999</v>
      </c>
      <c r="U123" s="7" t="s">
        <v>5528</v>
      </c>
    </row>
    <row r="124" spans="1:21" ht="16.5" thickBot="1">
      <c r="A124" s="1188" t="s">
        <v>4533</v>
      </c>
      <c r="B124" s="1192">
        <f t="shared" si="6"/>
        <v>200</v>
      </c>
      <c r="C124" s="1192" t="s">
        <v>3</v>
      </c>
      <c r="D124" s="1192">
        <f t="shared" si="7"/>
        <v>300</v>
      </c>
      <c r="E124" s="1192" t="s">
        <v>3</v>
      </c>
      <c r="F124" s="1190">
        <f t="shared" si="8"/>
        <v>1250</v>
      </c>
      <c r="G124" s="1192" t="s">
        <v>3</v>
      </c>
      <c r="H124" s="1189">
        <v>4</v>
      </c>
      <c r="I124" s="1191" t="s">
        <v>41</v>
      </c>
      <c r="J124" s="149">
        <v>200</v>
      </c>
      <c r="K124" s="66">
        <v>300</v>
      </c>
      <c r="L124" s="66">
        <v>1250</v>
      </c>
      <c r="M124" s="164">
        <v>21.027868878376871</v>
      </c>
      <c r="N124" s="78">
        <v>1434.2001861608142</v>
      </c>
      <c r="O124" s="113">
        <v>41555.340068916208</v>
      </c>
      <c r="P124" s="161">
        <v>50219.315848093844</v>
      </c>
      <c r="Q124" s="254">
        <v>17005.684202688975</v>
      </c>
      <c r="R124" s="263">
        <v>58561.024271605187</v>
      </c>
      <c r="S124" s="259">
        <v>67225.000050782823</v>
      </c>
      <c r="U124" s="7" t="s">
        <v>5529</v>
      </c>
    </row>
    <row r="125" spans="1:21" ht="16.5" thickBot="1">
      <c r="A125" s="1188" t="s">
        <v>4533</v>
      </c>
      <c r="B125" s="1192">
        <f t="shared" si="6"/>
        <v>200</v>
      </c>
      <c r="C125" s="1192" t="s">
        <v>3</v>
      </c>
      <c r="D125" s="1192">
        <f t="shared" si="7"/>
        <v>300</v>
      </c>
      <c r="E125" s="1192" t="s">
        <v>3</v>
      </c>
      <c r="F125" s="1190">
        <f t="shared" si="8"/>
        <v>1300</v>
      </c>
      <c r="G125" s="1192" t="s">
        <v>3</v>
      </c>
      <c r="H125" s="1189">
        <v>4</v>
      </c>
      <c r="I125" s="1191" t="s">
        <v>41</v>
      </c>
      <c r="J125" s="149">
        <v>200</v>
      </c>
      <c r="K125" s="66">
        <v>300</v>
      </c>
      <c r="L125" s="66">
        <v>1300</v>
      </c>
      <c r="M125" s="164">
        <v>21.792910944163516</v>
      </c>
      <c r="N125" s="78">
        <v>1513.8779742808592</v>
      </c>
      <c r="O125" s="113">
        <v>42806.663014609003</v>
      </c>
      <c r="P125" s="161">
        <v>51731.649788243136</v>
      </c>
      <c r="Q125" s="254">
        <v>17780.65997344449</v>
      </c>
      <c r="R125" s="263">
        <v>60587.322988053493</v>
      </c>
      <c r="S125" s="259">
        <v>69512.309761687618</v>
      </c>
      <c r="U125" s="7" t="s">
        <v>5530</v>
      </c>
    </row>
    <row r="126" spans="1:21" ht="16.5" thickBot="1">
      <c r="A126" s="1188" t="s">
        <v>4533</v>
      </c>
      <c r="B126" s="1192">
        <f t="shared" si="6"/>
        <v>200</v>
      </c>
      <c r="C126" s="1192" t="s">
        <v>3</v>
      </c>
      <c r="D126" s="1192">
        <f t="shared" si="7"/>
        <v>300</v>
      </c>
      <c r="E126" s="1192" t="s">
        <v>3</v>
      </c>
      <c r="F126" s="1190">
        <f t="shared" si="8"/>
        <v>1350</v>
      </c>
      <c r="G126" s="1192" t="s">
        <v>3</v>
      </c>
      <c r="H126" s="1189">
        <v>4</v>
      </c>
      <c r="I126" s="1191" t="s">
        <v>41</v>
      </c>
      <c r="J126" s="149">
        <v>200</v>
      </c>
      <c r="K126" s="66">
        <v>300</v>
      </c>
      <c r="L126" s="66">
        <v>1350</v>
      </c>
      <c r="M126" s="164">
        <v>22.557953009950161</v>
      </c>
      <c r="N126" s="78">
        <v>1593.5557624009045</v>
      </c>
      <c r="O126" s="113">
        <v>44057.98580727302</v>
      </c>
      <c r="P126" s="161">
        <v>53243.983728392435</v>
      </c>
      <c r="Q126" s="254">
        <v>18304.301606416237</v>
      </c>
      <c r="R126" s="263">
        <v>62362.287413689257</v>
      </c>
      <c r="S126" s="259">
        <v>71548.285334808665</v>
      </c>
      <c r="U126" s="7" t="s">
        <v>5531</v>
      </c>
    </row>
    <row r="127" spans="1:21" ht="16.5" thickBot="1">
      <c r="A127" s="1188" t="s">
        <v>4533</v>
      </c>
      <c r="B127" s="1192">
        <f t="shared" si="6"/>
        <v>200</v>
      </c>
      <c r="C127" s="1192" t="s">
        <v>3</v>
      </c>
      <c r="D127" s="1192">
        <f t="shared" si="7"/>
        <v>300</v>
      </c>
      <c r="E127" s="1192" t="s">
        <v>3</v>
      </c>
      <c r="F127" s="1190">
        <f t="shared" si="8"/>
        <v>1400</v>
      </c>
      <c r="G127" s="1192" t="s">
        <v>3</v>
      </c>
      <c r="H127" s="1189">
        <v>4</v>
      </c>
      <c r="I127" s="1191" t="s">
        <v>41</v>
      </c>
      <c r="J127" s="149">
        <v>200</v>
      </c>
      <c r="K127" s="66">
        <v>300</v>
      </c>
      <c r="L127" s="66">
        <v>1400</v>
      </c>
      <c r="M127" s="164">
        <v>23.322995075736806</v>
      </c>
      <c r="N127" s="78">
        <v>1673.2335505209498</v>
      </c>
      <c r="O127" s="113">
        <v>45309.308752965815</v>
      </c>
      <c r="P127" s="161">
        <v>54756.317668541727</v>
      </c>
      <c r="Q127" s="254">
        <v>19079.277530200521</v>
      </c>
      <c r="R127" s="263">
        <v>64388.58628316634</v>
      </c>
      <c r="S127" s="259">
        <v>73835.595198742245</v>
      </c>
      <c r="U127" s="7" t="s">
        <v>5532</v>
      </c>
    </row>
    <row r="128" spans="1:21" ht="16.5" thickBot="1">
      <c r="A128" s="1188" t="s">
        <v>4533</v>
      </c>
      <c r="B128" s="1192">
        <f t="shared" si="6"/>
        <v>200</v>
      </c>
      <c r="C128" s="1192" t="s">
        <v>3</v>
      </c>
      <c r="D128" s="1192">
        <f t="shared" si="7"/>
        <v>300</v>
      </c>
      <c r="E128" s="1192" t="s">
        <v>3</v>
      </c>
      <c r="F128" s="1190">
        <f t="shared" si="8"/>
        <v>1450</v>
      </c>
      <c r="G128" s="1192" t="s">
        <v>3</v>
      </c>
      <c r="H128" s="1189">
        <v>4</v>
      </c>
      <c r="I128" s="1191" t="s">
        <v>41</v>
      </c>
      <c r="J128" s="149">
        <v>200</v>
      </c>
      <c r="K128" s="66">
        <v>300</v>
      </c>
      <c r="L128" s="66">
        <v>1450</v>
      </c>
      <c r="M128" s="164">
        <v>24.088037141523451</v>
      </c>
      <c r="N128" s="78">
        <v>1752.9113386409952</v>
      </c>
      <c r="O128" s="113">
        <v>46560.631698658603</v>
      </c>
      <c r="P128" s="161">
        <v>56268.651608691034</v>
      </c>
      <c r="Q128" s="254">
        <v>19602.919163172111</v>
      </c>
      <c r="R128" s="263">
        <v>66163.550861830707</v>
      </c>
      <c r="S128" s="259">
        <v>75871.570771863146</v>
      </c>
      <c r="U128" s="7" t="s">
        <v>5533</v>
      </c>
    </row>
    <row r="129" spans="1:21" ht="16.5" thickBot="1">
      <c r="A129" s="1188" t="s">
        <v>4533</v>
      </c>
      <c r="B129" s="1192">
        <f t="shared" si="6"/>
        <v>200</v>
      </c>
      <c r="C129" s="1192" t="s">
        <v>3</v>
      </c>
      <c r="D129" s="1192">
        <f t="shared" si="7"/>
        <v>300</v>
      </c>
      <c r="E129" s="1192" t="s">
        <v>3</v>
      </c>
      <c r="F129" s="1190">
        <f t="shared" si="8"/>
        <v>1500</v>
      </c>
      <c r="G129" s="1192" t="s">
        <v>3</v>
      </c>
      <c r="H129" s="1189">
        <v>4</v>
      </c>
      <c r="I129" s="1191" t="s">
        <v>41</v>
      </c>
      <c r="J129" s="149">
        <v>200</v>
      </c>
      <c r="K129" s="66">
        <v>300</v>
      </c>
      <c r="L129" s="66">
        <v>1500</v>
      </c>
      <c r="M129" s="164">
        <v>25.406970007310093</v>
      </c>
      <c r="N129" s="78">
        <v>1832.58912676104</v>
      </c>
      <c r="O129" s="113">
        <v>48867.826496708767</v>
      </c>
      <c r="P129" s="161">
        <v>59251.850102992976</v>
      </c>
      <c r="Q129" s="254">
        <v>20377.895086956549</v>
      </c>
      <c r="R129" s="263">
        <v>69245.721583665319</v>
      </c>
      <c r="S129" s="259">
        <v>79629.745189949521</v>
      </c>
      <c r="U129" s="7" t="s">
        <v>5534</v>
      </c>
    </row>
    <row r="130" spans="1:21" ht="16.5" thickBot="1">
      <c r="A130" s="1188" t="s">
        <v>4533</v>
      </c>
      <c r="B130" s="1192">
        <f t="shared" si="6"/>
        <v>200</v>
      </c>
      <c r="C130" s="1192" t="s">
        <v>3</v>
      </c>
      <c r="D130" s="1192">
        <f t="shared" si="7"/>
        <v>300</v>
      </c>
      <c r="E130" s="1192" t="s">
        <v>3</v>
      </c>
      <c r="F130" s="1190">
        <f t="shared" si="8"/>
        <v>1550</v>
      </c>
      <c r="G130" s="1192" t="s">
        <v>3</v>
      </c>
      <c r="H130" s="1189">
        <v>4</v>
      </c>
      <c r="I130" s="1191" t="s">
        <v>41</v>
      </c>
      <c r="J130" s="149">
        <v>200</v>
      </c>
      <c r="K130" s="66">
        <v>300</v>
      </c>
      <c r="L130" s="66">
        <v>1550</v>
      </c>
      <c r="M130" s="164">
        <v>26.172012073096738</v>
      </c>
      <c r="N130" s="78">
        <v>1912.2669148810853</v>
      </c>
      <c r="O130" s="113">
        <v>50119.149289372792</v>
      </c>
      <c r="P130" s="161">
        <v>60764.18404314229</v>
      </c>
      <c r="Q130" s="254">
        <v>20901.536719928292</v>
      </c>
      <c r="R130" s="263">
        <v>71020.686009301076</v>
      </c>
      <c r="S130" s="259">
        <v>81665.720763070582</v>
      </c>
      <c r="U130" s="7" t="s">
        <v>5535</v>
      </c>
    </row>
    <row r="131" spans="1:21" ht="16.5" thickBot="1">
      <c r="A131" s="1188" t="s">
        <v>4533</v>
      </c>
      <c r="B131" s="1189">
        <f t="shared" si="6"/>
        <v>200</v>
      </c>
      <c r="C131" s="1189" t="s">
        <v>3</v>
      </c>
      <c r="D131" s="1189">
        <f t="shared" si="7"/>
        <v>300</v>
      </c>
      <c r="E131" s="1189" t="s">
        <v>3</v>
      </c>
      <c r="F131" s="1190">
        <f t="shared" si="8"/>
        <v>1600</v>
      </c>
      <c r="G131" s="1189" t="s">
        <v>3</v>
      </c>
      <c r="H131" s="1189">
        <v>4</v>
      </c>
      <c r="I131" s="1191" t="s">
        <v>41</v>
      </c>
      <c r="J131" s="149">
        <v>200</v>
      </c>
      <c r="K131" s="66">
        <v>300</v>
      </c>
      <c r="L131" s="66">
        <v>1600</v>
      </c>
      <c r="M131" s="164">
        <v>26.937054138883383</v>
      </c>
      <c r="N131" s="78">
        <v>1991.9447030011306</v>
      </c>
      <c r="O131" s="113">
        <v>51370.472235065579</v>
      </c>
      <c r="P131" s="161">
        <v>62276.517983291582</v>
      </c>
      <c r="Q131" s="254">
        <v>21425.178352900039</v>
      </c>
      <c r="R131" s="263">
        <v>72795.650587965618</v>
      </c>
      <c r="S131" s="259">
        <v>83701.696336191613</v>
      </c>
      <c r="U131" s="7" t="s">
        <v>5536</v>
      </c>
    </row>
    <row r="132" spans="1:21" ht="16.5" thickBot="1">
      <c r="A132" s="1188" t="s">
        <v>4533</v>
      </c>
      <c r="B132" s="1192">
        <f t="shared" si="6"/>
        <v>200</v>
      </c>
      <c r="C132" s="1192" t="s">
        <v>3</v>
      </c>
      <c r="D132" s="1192">
        <f t="shared" si="7"/>
        <v>300</v>
      </c>
      <c r="E132" s="1192" t="s">
        <v>3</v>
      </c>
      <c r="F132" s="1190">
        <f t="shared" si="8"/>
        <v>1650</v>
      </c>
      <c r="G132" s="1192" t="s">
        <v>3</v>
      </c>
      <c r="H132" s="1189">
        <v>4</v>
      </c>
      <c r="I132" s="1191" t="s">
        <v>41</v>
      </c>
      <c r="J132" s="149">
        <v>200</v>
      </c>
      <c r="K132" s="66">
        <v>300</v>
      </c>
      <c r="L132" s="66">
        <v>1650</v>
      </c>
      <c r="M132" s="164">
        <v>27.702096204670028</v>
      </c>
      <c r="N132" s="78">
        <v>2071.6224911211762</v>
      </c>
      <c r="O132" s="113">
        <v>52621.795180758374</v>
      </c>
      <c r="P132" s="161">
        <v>63788.851923440874</v>
      </c>
      <c r="Q132" s="254">
        <v>22200.154276684319</v>
      </c>
      <c r="R132" s="263">
        <v>74821.949457442694</v>
      </c>
      <c r="S132" s="259">
        <v>85989.006200125194</v>
      </c>
      <c r="U132" s="7" t="s">
        <v>5537</v>
      </c>
    </row>
    <row r="133" spans="1:21" ht="16.5" thickBot="1">
      <c r="A133" s="1188" t="s">
        <v>4533</v>
      </c>
      <c r="B133" s="1192">
        <f t="shared" si="6"/>
        <v>200</v>
      </c>
      <c r="C133" s="1192" t="s">
        <v>3</v>
      </c>
      <c r="D133" s="1192">
        <f t="shared" si="7"/>
        <v>300</v>
      </c>
      <c r="E133" s="1192" t="s">
        <v>3</v>
      </c>
      <c r="F133" s="1190">
        <f t="shared" si="8"/>
        <v>1700</v>
      </c>
      <c r="G133" s="1192" t="s">
        <v>3</v>
      </c>
      <c r="H133" s="1189">
        <v>4</v>
      </c>
      <c r="I133" s="1191" t="s">
        <v>41</v>
      </c>
      <c r="J133" s="149">
        <v>200</v>
      </c>
      <c r="K133" s="66">
        <v>300</v>
      </c>
      <c r="L133" s="66">
        <v>1700</v>
      </c>
      <c r="M133" s="164">
        <v>28.467138270456676</v>
      </c>
      <c r="N133" s="78">
        <v>2151.3002792412212</v>
      </c>
      <c r="O133" s="113">
        <v>53873.117973422392</v>
      </c>
      <c r="P133" s="161">
        <v>65301.185863590174</v>
      </c>
      <c r="Q133" s="254">
        <v>22723.795909656066</v>
      </c>
      <c r="R133" s="263">
        <v>76596.913883078465</v>
      </c>
      <c r="S133" s="259">
        <v>88024.98177324624</v>
      </c>
      <c r="U133" s="7" t="s">
        <v>5538</v>
      </c>
    </row>
    <row r="134" spans="1:21" ht="16.5" thickBot="1">
      <c r="A134" s="1188" t="s">
        <v>4533</v>
      </c>
      <c r="B134" s="1192">
        <f t="shared" si="6"/>
        <v>200</v>
      </c>
      <c r="C134" s="1192" t="s">
        <v>3</v>
      </c>
      <c r="D134" s="1192">
        <f t="shared" si="7"/>
        <v>300</v>
      </c>
      <c r="E134" s="1192" t="s">
        <v>3</v>
      </c>
      <c r="F134" s="1190">
        <f t="shared" si="8"/>
        <v>1750</v>
      </c>
      <c r="G134" s="1192" t="s">
        <v>3</v>
      </c>
      <c r="H134" s="1189">
        <v>4</v>
      </c>
      <c r="I134" s="1191" t="s">
        <v>41</v>
      </c>
      <c r="J134" s="149">
        <v>200</v>
      </c>
      <c r="K134" s="66">
        <v>300</v>
      </c>
      <c r="L134" s="66">
        <v>1750</v>
      </c>
      <c r="M134" s="164">
        <v>29.232180336243321</v>
      </c>
      <c r="N134" s="78">
        <v>2230.9780673612663</v>
      </c>
      <c r="O134" s="113">
        <v>55124.440919115186</v>
      </c>
      <c r="P134" s="161">
        <v>66813.519803739473</v>
      </c>
      <c r="Q134" s="254">
        <v>23498.771833440347</v>
      </c>
      <c r="R134" s="263">
        <v>78623.212752555526</v>
      </c>
      <c r="S134" s="259">
        <v>90312.29163717982</v>
      </c>
      <c r="U134" s="7" t="s">
        <v>5539</v>
      </c>
    </row>
    <row r="135" spans="1:21" ht="16.5" thickBot="1">
      <c r="A135" s="1188" t="s">
        <v>4533</v>
      </c>
      <c r="B135" s="1192">
        <f t="shared" si="6"/>
        <v>200</v>
      </c>
      <c r="C135" s="1192" t="s">
        <v>3</v>
      </c>
      <c r="D135" s="1192">
        <f t="shared" si="7"/>
        <v>300</v>
      </c>
      <c r="E135" s="1192" t="s">
        <v>3</v>
      </c>
      <c r="F135" s="1190">
        <f t="shared" si="8"/>
        <v>1800</v>
      </c>
      <c r="G135" s="1192" t="s">
        <v>3</v>
      </c>
      <c r="H135" s="1189">
        <v>4</v>
      </c>
      <c r="I135" s="1191" t="s">
        <v>41</v>
      </c>
      <c r="J135" s="149">
        <v>200</v>
      </c>
      <c r="K135" s="66">
        <v>300</v>
      </c>
      <c r="L135" s="66">
        <v>1800</v>
      </c>
      <c r="M135" s="164">
        <v>29.997222402029966</v>
      </c>
      <c r="N135" s="78">
        <v>2310.6558554813114</v>
      </c>
      <c r="O135" s="113">
        <v>56375.763864807981</v>
      </c>
      <c r="P135" s="161">
        <v>68325.853743888772</v>
      </c>
      <c r="Q135" s="254">
        <v>24022.413466412094</v>
      </c>
      <c r="R135" s="263">
        <v>80398.177331220068</v>
      </c>
      <c r="S135" s="259">
        <v>92348.267210300866</v>
      </c>
      <c r="U135" s="7" t="s">
        <v>5540</v>
      </c>
    </row>
    <row r="136" spans="1:21" ht="16.5" thickBot="1">
      <c r="A136" s="1188" t="s">
        <v>4533</v>
      </c>
      <c r="B136" s="1192">
        <f t="shared" si="6"/>
        <v>200</v>
      </c>
      <c r="C136" s="1192" t="s">
        <v>3</v>
      </c>
      <c r="D136" s="1192">
        <f t="shared" si="7"/>
        <v>300</v>
      </c>
      <c r="E136" s="1192" t="s">
        <v>3</v>
      </c>
      <c r="F136" s="1190">
        <f t="shared" si="8"/>
        <v>1850</v>
      </c>
      <c r="G136" s="1192" t="s">
        <v>3</v>
      </c>
      <c r="H136" s="1189">
        <v>4</v>
      </c>
      <c r="I136" s="1191" t="s">
        <v>41</v>
      </c>
      <c r="J136" s="149">
        <v>200</v>
      </c>
      <c r="K136" s="66">
        <v>300</v>
      </c>
      <c r="L136" s="66">
        <v>1850</v>
      </c>
      <c r="M136" s="164">
        <v>30.762264467816607</v>
      </c>
      <c r="N136" s="78">
        <v>2390.3336436013569</v>
      </c>
      <c r="O136" s="113">
        <v>57627.086657472006</v>
      </c>
      <c r="P136" s="161">
        <v>69838.187684038072</v>
      </c>
      <c r="Q136" s="254">
        <v>24797.389237167612</v>
      </c>
      <c r="R136" s="263">
        <v>82424.475894639618</v>
      </c>
      <c r="S136" s="259">
        <v>94635.576921205677</v>
      </c>
      <c r="U136" s="7" t="s">
        <v>5541</v>
      </c>
    </row>
    <row r="137" spans="1:21" ht="16.5" thickBot="1">
      <c r="A137" s="1188" t="s">
        <v>4533</v>
      </c>
      <c r="B137" s="1192">
        <f t="shared" si="6"/>
        <v>200</v>
      </c>
      <c r="C137" s="1192" t="s">
        <v>3</v>
      </c>
      <c r="D137" s="1192">
        <f t="shared" si="7"/>
        <v>300</v>
      </c>
      <c r="E137" s="1192" t="s">
        <v>3</v>
      </c>
      <c r="F137" s="1190">
        <f t="shared" si="8"/>
        <v>1900</v>
      </c>
      <c r="G137" s="1192" t="s">
        <v>3</v>
      </c>
      <c r="H137" s="1189">
        <v>4</v>
      </c>
      <c r="I137" s="1191" t="s">
        <v>41</v>
      </c>
      <c r="J137" s="149">
        <v>200</v>
      </c>
      <c r="K137" s="66">
        <v>300</v>
      </c>
      <c r="L137" s="66">
        <v>1900</v>
      </c>
      <c r="M137" s="164">
        <v>31.527306533603255</v>
      </c>
      <c r="N137" s="78">
        <v>2470.011431721402</v>
      </c>
      <c r="O137" s="113">
        <v>58878.409603164801</v>
      </c>
      <c r="P137" s="161">
        <v>71350.521624187371</v>
      </c>
      <c r="Q137" s="254">
        <v>25321.031023168125</v>
      </c>
      <c r="R137" s="263">
        <v>84199.440626332929</v>
      </c>
      <c r="S137" s="259">
        <v>96671.552647355493</v>
      </c>
      <c r="U137" s="7" t="s">
        <v>5542</v>
      </c>
    </row>
    <row r="138" spans="1:21" ht="16.5" thickBot="1">
      <c r="A138" s="1188" t="s">
        <v>4533</v>
      </c>
      <c r="B138" s="1192">
        <f t="shared" si="6"/>
        <v>200</v>
      </c>
      <c r="C138" s="1192" t="s">
        <v>3</v>
      </c>
      <c r="D138" s="1192">
        <f t="shared" si="7"/>
        <v>300</v>
      </c>
      <c r="E138" s="1192" t="s">
        <v>3</v>
      </c>
      <c r="F138" s="1190">
        <f t="shared" si="8"/>
        <v>1950</v>
      </c>
      <c r="G138" s="1192" t="s">
        <v>3</v>
      </c>
      <c r="H138" s="1189">
        <v>4</v>
      </c>
      <c r="I138" s="1191" t="s">
        <v>41</v>
      </c>
      <c r="J138" s="149">
        <v>200</v>
      </c>
      <c r="K138" s="66">
        <v>300</v>
      </c>
      <c r="L138" s="66">
        <v>1950</v>
      </c>
      <c r="M138" s="164">
        <v>32.292348599389904</v>
      </c>
      <c r="N138" s="78">
        <v>2549.6892198414475</v>
      </c>
      <c r="O138" s="113">
        <v>60129.732548857581</v>
      </c>
      <c r="P138" s="161">
        <v>72862.855564336656</v>
      </c>
      <c r="Q138" s="254">
        <v>25844.672656139872</v>
      </c>
      <c r="R138" s="263">
        <v>85974.405204997456</v>
      </c>
      <c r="S138" s="259">
        <v>98707.528220476524</v>
      </c>
      <c r="U138" s="7" t="s">
        <v>5543</v>
      </c>
    </row>
    <row r="139" spans="1:21" ht="16.5" thickBot="1">
      <c r="A139" s="1188" t="s">
        <v>4533</v>
      </c>
      <c r="B139" s="1192">
        <f t="shared" si="6"/>
        <v>200</v>
      </c>
      <c r="C139" s="1192" t="s">
        <v>3</v>
      </c>
      <c r="D139" s="1192">
        <f t="shared" si="7"/>
        <v>300</v>
      </c>
      <c r="E139" s="1192" t="s">
        <v>3</v>
      </c>
      <c r="F139" s="1190">
        <f t="shared" si="8"/>
        <v>2000</v>
      </c>
      <c r="G139" s="1192" t="s">
        <v>3</v>
      </c>
      <c r="H139" s="1189">
        <v>4</v>
      </c>
      <c r="I139" s="1191" t="s">
        <v>41</v>
      </c>
      <c r="J139" s="149">
        <v>200</v>
      </c>
      <c r="K139" s="66">
        <v>300</v>
      </c>
      <c r="L139" s="66">
        <v>2000</v>
      </c>
      <c r="M139" s="164">
        <v>33.174444665176537</v>
      </c>
      <c r="N139" s="78">
        <v>2629.3670079614922</v>
      </c>
      <c r="O139" s="113">
        <v>61875.125695920455</v>
      </c>
      <c r="P139" s="161">
        <v>74546.03081787136</v>
      </c>
      <c r="Q139" s="254">
        <v>26619.648426895383</v>
      </c>
      <c r="R139" s="263">
        <v>88494.774122815841</v>
      </c>
      <c r="S139" s="259">
        <v>101165.67924476674</v>
      </c>
      <c r="U139" s="7" t="s">
        <v>5544</v>
      </c>
    </row>
    <row r="140" spans="1:21" ht="16.5" thickBot="1">
      <c r="A140" s="1188" t="s">
        <v>4533</v>
      </c>
      <c r="B140" s="1192">
        <f t="shared" si="6"/>
        <v>200</v>
      </c>
      <c r="C140" s="1192" t="s">
        <v>3</v>
      </c>
      <c r="D140" s="1192">
        <f t="shared" si="7"/>
        <v>300</v>
      </c>
      <c r="E140" s="1192" t="s">
        <v>3</v>
      </c>
      <c r="F140" s="1190">
        <f t="shared" si="8"/>
        <v>2050</v>
      </c>
      <c r="G140" s="1192" t="s">
        <v>3</v>
      </c>
      <c r="H140" s="1189">
        <v>4</v>
      </c>
      <c r="I140" s="1191" t="s">
        <v>41</v>
      </c>
      <c r="J140" s="149">
        <v>200</v>
      </c>
      <c r="K140" s="66">
        <v>300</v>
      </c>
      <c r="L140" s="66">
        <v>2050</v>
      </c>
      <c r="M140" s="164">
        <v>33.939486730963189</v>
      </c>
      <c r="N140" s="78">
        <v>2709.0447960815377</v>
      </c>
      <c r="O140" s="113">
        <v>63126.448641613395</v>
      </c>
      <c r="P140" s="161">
        <v>76058.36475802066</v>
      </c>
      <c r="Q140" s="254">
        <v>27143.290212895896</v>
      </c>
      <c r="R140" s="263">
        <v>90269.738854509284</v>
      </c>
      <c r="S140" s="259">
        <v>103201.65497091656</v>
      </c>
      <c r="U140" s="7" t="s">
        <v>5545</v>
      </c>
    </row>
    <row r="141" spans="1:21" ht="16.5" thickBot="1">
      <c r="A141" s="1188" t="s">
        <v>4533</v>
      </c>
      <c r="B141" s="1189">
        <f t="shared" si="6"/>
        <v>200</v>
      </c>
      <c r="C141" s="1189" t="s">
        <v>3</v>
      </c>
      <c r="D141" s="1189">
        <f t="shared" si="7"/>
        <v>300</v>
      </c>
      <c r="E141" s="1189" t="s">
        <v>3</v>
      </c>
      <c r="F141" s="1190">
        <f t="shared" si="8"/>
        <v>2100</v>
      </c>
      <c r="G141" s="1189" t="s">
        <v>3</v>
      </c>
      <c r="H141" s="1189">
        <v>4</v>
      </c>
      <c r="I141" s="1191" t="s">
        <v>41</v>
      </c>
      <c r="J141" s="149">
        <v>200</v>
      </c>
      <c r="K141" s="66">
        <v>300</v>
      </c>
      <c r="L141" s="66">
        <v>2100</v>
      </c>
      <c r="M141" s="164">
        <v>34.704528796749827</v>
      </c>
      <c r="N141" s="78">
        <v>2788.7225842015828</v>
      </c>
      <c r="O141" s="113">
        <v>64377.77158730619</v>
      </c>
      <c r="P141" s="161">
        <v>77570.698698169959</v>
      </c>
      <c r="Q141" s="254">
        <v>27918.265983651414</v>
      </c>
      <c r="R141" s="263">
        <v>92296.037570957604</v>
      </c>
      <c r="S141" s="259">
        <v>105488.96468182138</v>
      </c>
      <c r="U141" s="7" t="s">
        <v>5546</v>
      </c>
    </row>
    <row r="142" spans="1:21" ht="16.5" thickBot="1">
      <c r="A142" s="1188" t="s">
        <v>4533</v>
      </c>
      <c r="B142" s="1192">
        <f t="shared" si="6"/>
        <v>200</v>
      </c>
      <c r="C142" s="1192" t="s">
        <v>3</v>
      </c>
      <c r="D142" s="1192">
        <f t="shared" si="7"/>
        <v>300</v>
      </c>
      <c r="E142" s="1192" t="s">
        <v>3</v>
      </c>
      <c r="F142" s="1190">
        <f t="shared" si="8"/>
        <v>2150</v>
      </c>
      <c r="G142" s="1192" t="s">
        <v>3</v>
      </c>
      <c r="H142" s="1189">
        <v>4</v>
      </c>
      <c r="I142" s="1191" t="s">
        <v>41</v>
      </c>
      <c r="J142" s="149">
        <v>200</v>
      </c>
      <c r="K142" s="66">
        <v>300</v>
      </c>
      <c r="L142" s="66">
        <v>2150</v>
      </c>
      <c r="M142" s="164">
        <v>35.469570862536472</v>
      </c>
      <c r="N142" s="78">
        <v>2868.4003723216283</v>
      </c>
      <c r="O142" s="113">
        <v>65629.094532998977</v>
      </c>
      <c r="P142" s="161">
        <v>79083.032638319259</v>
      </c>
      <c r="Q142" s="254">
        <v>28441.907769651927</v>
      </c>
      <c r="R142" s="263">
        <v>94071.002302650901</v>
      </c>
      <c r="S142" s="259">
        <v>107524.94040797118</v>
      </c>
      <c r="U142" s="7" t="s">
        <v>5547</v>
      </c>
    </row>
    <row r="143" spans="1:21" ht="16.5" thickBot="1">
      <c r="A143" s="1188" t="s">
        <v>4533</v>
      </c>
      <c r="B143" s="1192">
        <f t="shared" si="6"/>
        <v>200</v>
      </c>
      <c r="C143" s="1192" t="s">
        <v>3</v>
      </c>
      <c r="D143" s="1192">
        <f t="shared" si="7"/>
        <v>300</v>
      </c>
      <c r="E143" s="1192" t="s">
        <v>3</v>
      </c>
      <c r="F143" s="1190">
        <f t="shared" si="8"/>
        <v>2200</v>
      </c>
      <c r="G143" s="1192" t="s">
        <v>3</v>
      </c>
      <c r="H143" s="1189">
        <v>4</v>
      </c>
      <c r="I143" s="1191" t="s">
        <v>41</v>
      </c>
      <c r="J143" s="149">
        <v>200</v>
      </c>
      <c r="K143" s="66">
        <v>300</v>
      </c>
      <c r="L143" s="66">
        <v>2200</v>
      </c>
      <c r="M143" s="164">
        <v>36.234612928323124</v>
      </c>
      <c r="N143" s="78">
        <v>2948.0781604416734</v>
      </c>
      <c r="O143" s="113">
        <v>66880.417325663002</v>
      </c>
      <c r="P143" s="161">
        <v>80595.366578468718</v>
      </c>
      <c r="Q143" s="254">
        <v>29216.883540407438</v>
      </c>
      <c r="R143" s="263">
        <v>96097.300866070436</v>
      </c>
      <c r="S143" s="259">
        <v>109812.25011887615</v>
      </c>
      <c r="U143" s="7" t="s">
        <v>5548</v>
      </c>
    </row>
    <row r="144" spans="1:21" ht="16.5" thickBot="1">
      <c r="A144" s="1188" t="s">
        <v>4533</v>
      </c>
      <c r="B144" s="1192">
        <f t="shared" si="6"/>
        <v>200</v>
      </c>
      <c r="C144" s="1192" t="s">
        <v>3</v>
      </c>
      <c r="D144" s="1192">
        <f t="shared" si="7"/>
        <v>300</v>
      </c>
      <c r="E144" s="1192" t="s">
        <v>3</v>
      </c>
      <c r="F144" s="1190">
        <f t="shared" si="8"/>
        <v>2250</v>
      </c>
      <c r="G144" s="1192" t="s">
        <v>3</v>
      </c>
      <c r="H144" s="1189">
        <v>4</v>
      </c>
      <c r="I144" s="1191" t="s">
        <v>41</v>
      </c>
      <c r="J144" s="149">
        <v>200</v>
      </c>
      <c r="K144" s="66">
        <v>300</v>
      </c>
      <c r="L144" s="66">
        <v>2250</v>
      </c>
      <c r="M144" s="164">
        <v>36.999654994109761</v>
      </c>
      <c r="N144" s="78">
        <v>3027.7559485617185</v>
      </c>
      <c r="O144" s="113">
        <v>68131.740271355782</v>
      </c>
      <c r="P144" s="161">
        <v>82107.700518617858</v>
      </c>
      <c r="Q144" s="254">
        <v>29740.525173379188</v>
      </c>
      <c r="R144" s="263">
        <v>97872.265444734978</v>
      </c>
      <c r="S144" s="259">
        <v>111848.22569199704</v>
      </c>
      <c r="U144" s="7" t="s">
        <v>5549</v>
      </c>
    </row>
    <row r="145" spans="1:21" ht="16.5" thickBot="1">
      <c r="A145" s="1188" t="s">
        <v>4533</v>
      </c>
      <c r="B145" s="1192">
        <f t="shared" si="6"/>
        <v>200</v>
      </c>
      <c r="C145" s="1192" t="s">
        <v>3</v>
      </c>
      <c r="D145" s="1192">
        <f t="shared" si="7"/>
        <v>300</v>
      </c>
      <c r="E145" s="1192" t="s">
        <v>3</v>
      </c>
      <c r="F145" s="1190">
        <f t="shared" si="8"/>
        <v>2300</v>
      </c>
      <c r="G145" s="1192" t="s">
        <v>3</v>
      </c>
      <c r="H145" s="1189">
        <v>4</v>
      </c>
      <c r="I145" s="1191" t="s">
        <v>41</v>
      </c>
      <c r="J145" s="149">
        <v>200</v>
      </c>
      <c r="K145" s="66">
        <v>300</v>
      </c>
      <c r="L145" s="66">
        <v>2300</v>
      </c>
      <c r="M145" s="164">
        <v>37.764697059896413</v>
      </c>
      <c r="N145" s="78">
        <v>3107.433736681764</v>
      </c>
      <c r="O145" s="113">
        <v>69383.063217048577</v>
      </c>
      <c r="P145" s="161">
        <v>83620.034458767142</v>
      </c>
      <c r="Q145" s="254">
        <v>30264.166959379701</v>
      </c>
      <c r="R145" s="263">
        <v>99647.230176428275</v>
      </c>
      <c r="S145" s="259">
        <v>113884.20141814684</v>
      </c>
      <c r="U145" s="7" t="s">
        <v>5550</v>
      </c>
    </row>
    <row r="146" spans="1:21" ht="16.5" thickBot="1">
      <c r="A146" s="1188" t="s">
        <v>4533</v>
      </c>
      <c r="B146" s="1192">
        <f t="shared" si="6"/>
        <v>200</v>
      </c>
      <c r="C146" s="1192" t="s">
        <v>3</v>
      </c>
      <c r="D146" s="1192">
        <f t="shared" si="7"/>
        <v>300</v>
      </c>
      <c r="E146" s="1192" t="s">
        <v>3</v>
      </c>
      <c r="F146" s="1190">
        <f t="shared" si="8"/>
        <v>2350</v>
      </c>
      <c r="G146" s="1192" t="s">
        <v>3</v>
      </c>
      <c r="H146" s="1189">
        <v>4</v>
      </c>
      <c r="I146" s="1191" t="s">
        <v>41</v>
      </c>
      <c r="J146" s="149">
        <v>200</v>
      </c>
      <c r="K146" s="66">
        <v>300</v>
      </c>
      <c r="L146" s="66">
        <v>2350</v>
      </c>
      <c r="M146" s="164">
        <v>38.529739125683058</v>
      </c>
      <c r="N146" s="78">
        <v>3187.1115248018091</v>
      </c>
      <c r="O146" s="113">
        <v>70634.386009712602</v>
      </c>
      <c r="P146" s="161">
        <v>85132.368398916442</v>
      </c>
      <c r="Q146" s="254">
        <v>31039.142730135216</v>
      </c>
      <c r="R146" s="263">
        <v>101673.52873984782</v>
      </c>
      <c r="S146" s="259">
        <v>116171.51112905165</v>
      </c>
      <c r="U146" s="7" t="s">
        <v>5551</v>
      </c>
    </row>
    <row r="147" spans="1:21" ht="16.5" thickBot="1">
      <c r="A147" s="1188" t="s">
        <v>4533</v>
      </c>
      <c r="B147" s="1192">
        <f t="shared" si="6"/>
        <v>200</v>
      </c>
      <c r="C147" s="1192" t="s">
        <v>3</v>
      </c>
      <c r="D147" s="1192">
        <f t="shared" si="7"/>
        <v>300</v>
      </c>
      <c r="E147" s="1192" t="s">
        <v>3</v>
      </c>
      <c r="F147" s="1190">
        <f t="shared" si="8"/>
        <v>2400</v>
      </c>
      <c r="G147" s="1192" t="s">
        <v>3</v>
      </c>
      <c r="H147" s="1189">
        <v>4</v>
      </c>
      <c r="I147" s="1191" t="s">
        <v>41</v>
      </c>
      <c r="J147" s="149">
        <v>200</v>
      </c>
      <c r="K147" s="66">
        <v>300</v>
      </c>
      <c r="L147" s="66">
        <v>2400</v>
      </c>
      <c r="M147" s="164">
        <v>39.294781191469696</v>
      </c>
      <c r="N147" s="78">
        <v>3266.7893129218542</v>
      </c>
      <c r="O147" s="113">
        <v>71885.708955405396</v>
      </c>
      <c r="P147" s="161">
        <v>86644.702339065756</v>
      </c>
      <c r="Q147" s="254">
        <v>31562.784363106966</v>
      </c>
      <c r="R147" s="263">
        <v>103448.49331851237</v>
      </c>
      <c r="S147" s="259">
        <v>118207.48670217273</v>
      </c>
      <c r="U147" s="7" t="s">
        <v>5552</v>
      </c>
    </row>
    <row r="148" spans="1:21" ht="16.5" thickBot="1">
      <c r="A148" s="1188" t="s">
        <v>4533</v>
      </c>
      <c r="B148" s="1192">
        <f t="shared" si="6"/>
        <v>200</v>
      </c>
      <c r="C148" s="1192" t="s">
        <v>3</v>
      </c>
      <c r="D148" s="1192">
        <f t="shared" si="7"/>
        <v>300</v>
      </c>
      <c r="E148" s="1192" t="s">
        <v>3</v>
      </c>
      <c r="F148" s="1190">
        <f t="shared" si="8"/>
        <v>2450</v>
      </c>
      <c r="G148" s="1192" t="s">
        <v>3</v>
      </c>
      <c r="H148" s="1189">
        <v>4</v>
      </c>
      <c r="I148" s="1191" t="s">
        <v>41</v>
      </c>
      <c r="J148" s="149">
        <v>200</v>
      </c>
      <c r="K148" s="66">
        <v>300</v>
      </c>
      <c r="L148" s="66">
        <v>2450</v>
      </c>
      <c r="M148" s="164">
        <v>40.059823257256355</v>
      </c>
      <c r="N148" s="78">
        <v>3346.4671010418997</v>
      </c>
      <c r="O148" s="113">
        <v>73137.031901098191</v>
      </c>
      <c r="P148" s="161">
        <v>88157.036279215041</v>
      </c>
      <c r="Q148" s="254">
        <v>32337.760286891244</v>
      </c>
      <c r="R148" s="263">
        <v>105474.79218798943</v>
      </c>
      <c r="S148" s="259">
        <v>120494.79656610629</v>
      </c>
      <c r="U148" s="7" t="s">
        <v>5553</v>
      </c>
    </row>
    <row r="149" spans="1:21" ht="16.5" thickBot="1">
      <c r="A149" s="1188" t="s">
        <v>4533</v>
      </c>
      <c r="B149" s="1192">
        <f t="shared" si="6"/>
        <v>200</v>
      </c>
      <c r="C149" s="1192" t="s">
        <v>3</v>
      </c>
      <c r="D149" s="1192">
        <f t="shared" si="7"/>
        <v>300</v>
      </c>
      <c r="E149" s="1192" t="s">
        <v>3</v>
      </c>
      <c r="F149" s="1190">
        <f t="shared" si="8"/>
        <v>2500</v>
      </c>
      <c r="G149" s="1192" t="s">
        <v>3</v>
      </c>
      <c r="H149" s="1189">
        <v>4</v>
      </c>
      <c r="I149" s="1191" t="s">
        <v>41</v>
      </c>
      <c r="J149" s="149">
        <v>200</v>
      </c>
      <c r="K149" s="66">
        <v>300</v>
      </c>
      <c r="L149" s="66">
        <v>2500</v>
      </c>
      <c r="M149" s="164">
        <v>41.37875612304299</v>
      </c>
      <c r="N149" s="78">
        <v>3426.1448891619448</v>
      </c>
      <c r="O149" s="113">
        <v>75444.226699148348</v>
      </c>
      <c r="P149" s="161">
        <v>91140.234773517004</v>
      </c>
      <c r="Q149" s="254">
        <v>32861.40191986299</v>
      </c>
      <c r="R149" s="263">
        <v>108305.62861901135</v>
      </c>
      <c r="S149" s="259">
        <v>124001.63669337999</v>
      </c>
      <c r="U149" s="7" t="s">
        <v>5554</v>
      </c>
    </row>
    <row r="150" spans="1:21" ht="16.5" thickBot="1">
      <c r="A150" s="1188" t="s">
        <v>4533</v>
      </c>
      <c r="B150" s="1192">
        <f t="shared" si="6"/>
        <v>200</v>
      </c>
      <c r="C150" s="1192" t="s">
        <v>3</v>
      </c>
      <c r="D150" s="1192">
        <f t="shared" si="7"/>
        <v>300</v>
      </c>
      <c r="E150" s="1192" t="s">
        <v>3</v>
      </c>
      <c r="F150" s="1190">
        <f t="shared" si="8"/>
        <v>2550</v>
      </c>
      <c r="G150" s="1192" t="s">
        <v>3</v>
      </c>
      <c r="H150" s="1189">
        <v>4</v>
      </c>
      <c r="I150" s="1191" t="s">
        <v>41</v>
      </c>
      <c r="J150" s="149">
        <v>200</v>
      </c>
      <c r="K150" s="66">
        <v>300</v>
      </c>
      <c r="L150" s="66">
        <v>2550</v>
      </c>
      <c r="M150" s="164">
        <v>42.143798188829635</v>
      </c>
      <c r="N150" s="78">
        <v>3505.8226772819903</v>
      </c>
      <c r="O150" s="113">
        <v>77089.171764783314</v>
      </c>
      <c r="P150" s="161">
        <v>92667.871590178795</v>
      </c>
      <c r="Q150" s="254">
        <v>33636.377843647271</v>
      </c>
      <c r="R150" s="263">
        <v>110725.54960843059</v>
      </c>
      <c r="S150" s="259">
        <v>126304.24943382607</v>
      </c>
      <c r="U150" s="7" t="s">
        <v>5555</v>
      </c>
    </row>
    <row r="151" spans="1:21" ht="16.5" thickBot="1">
      <c r="A151" s="1188" t="s">
        <v>4533</v>
      </c>
      <c r="B151" s="1189">
        <f t="shared" si="6"/>
        <v>200</v>
      </c>
      <c r="C151" s="1189" t="s">
        <v>3</v>
      </c>
      <c r="D151" s="1189">
        <f t="shared" si="7"/>
        <v>300</v>
      </c>
      <c r="E151" s="1189" t="s">
        <v>3</v>
      </c>
      <c r="F151" s="1190">
        <f t="shared" si="8"/>
        <v>2600</v>
      </c>
      <c r="G151" s="1189" t="s">
        <v>3</v>
      </c>
      <c r="H151" s="1189">
        <v>4</v>
      </c>
      <c r="I151" s="1191" t="s">
        <v>41</v>
      </c>
      <c r="J151" s="149">
        <v>200</v>
      </c>
      <c r="K151" s="66">
        <v>300</v>
      </c>
      <c r="L151" s="66">
        <v>2600</v>
      </c>
      <c r="M151" s="164">
        <v>42.908840254616287</v>
      </c>
      <c r="N151" s="78">
        <v>3585.5004654020354</v>
      </c>
      <c r="O151" s="113">
        <v>78340.494710476109</v>
      </c>
      <c r="P151" s="161">
        <v>94180.205530328094</v>
      </c>
      <c r="Q151" s="254">
        <v>34160.019476619018</v>
      </c>
      <c r="R151" s="263">
        <v>112500.51418709513</v>
      </c>
      <c r="S151" s="259">
        <v>128340.22500694712</v>
      </c>
      <c r="U151" s="7" t="s">
        <v>5556</v>
      </c>
    </row>
    <row r="152" spans="1:21" ht="16.5" thickBot="1">
      <c r="A152" s="1188" t="s">
        <v>4533</v>
      </c>
      <c r="B152" s="1192">
        <f t="shared" si="6"/>
        <v>200</v>
      </c>
      <c r="C152" s="1192" t="s">
        <v>3</v>
      </c>
      <c r="D152" s="1192">
        <f t="shared" si="7"/>
        <v>300</v>
      </c>
      <c r="E152" s="1192" t="s">
        <v>3</v>
      </c>
      <c r="F152" s="1190">
        <f t="shared" si="8"/>
        <v>2650</v>
      </c>
      <c r="G152" s="1192" t="s">
        <v>3</v>
      </c>
      <c r="H152" s="1189">
        <v>4</v>
      </c>
      <c r="I152" s="1191" t="s">
        <v>41</v>
      </c>
      <c r="J152" s="149">
        <v>200</v>
      </c>
      <c r="K152" s="66">
        <v>300</v>
      </c>
      <c r="L152" s="66">
        <v>2650</v>
      </c>
      <c r="M152" s="164">
        <v>43.673882320402925</v>
      </c>
      <c r="N152" s="78">
        <v>3665.17825352208</v>
      </c>
      <c r="O152" s="113">
        <v>79591.817656168889</v>
      </c>
      <c r="P152" s="161">
        <v>95692.539470477393</v>
      </c>
      <c r="Q152" s="254">
        <v>34934.995247374536</v>
      </c>
      <c r="R152" s="263">
        <v>114526.81290354342</v>
      </c>
      <c r="S152" s="259">
        <v>130627.53471785193</v>
      </c>
      <c r="U152" s="7" t="s">
        <v>5557</v>
      </c>
    </row>
    <row r="153" spans="1:21" ht="16.5" thickBot="1">
      <c r="A153" s="1188" t="s">
        <v>4533</v>
      </c>
      <c r="B153" s="1192">
        <f t="shared" si="6"/>
        <v>200</v>
      </c>
      <c r="C153" s="1192" t="s">
        <v>3</v>
      </c>
      <c r="D153" s="1192">
        <f t="shared" si="7"/>
        <v>300</v>
      </c>
      <c r="E153" s="1192" t="s">
        <v>3</v>
      </c>
      <c r="F153" s="1190">
        <f t="shared" si="8"/>
        <v>2700</v>
      </c>
      <c r="G153" s="1192" t="s">
        <v>3</v>
      </c>
      <c r="H153" s="1189">
        <v>4</v>
      </c>
      <c r="I153" s="1191" t="s">
        <v>41</v>
      </c>
      <c r="J153" s="149">
        <v>200</v>
      </c>
      <c r="K153" s="66">
        <v>300</v>
      </c>
      <c r="L153" s="66">
        <v>2700</v>
      </c>
      <c r="M153" s="164">
        <v>44.438924386189584</v>
      </c>
      <c r="N153" s="78">
        <v>3744.856041642126</v>
      </c>
      <c r="O153" s="113">
        <v>80843.140448832928</v>
      </c>
      <c r="P153" s="161">
        <v>97204.873410626693</v>
      </c>
      <c r="Q153" s="254">
        <v>35458.637033375046</v>
      </c>
      <c r="R153" s="263">
        <v>116301.77748220798</v>
      </c>
      <c r="S153" s="259">
        <v>132663.51044400173</v>
      </c>
      <c r="U153" s="7" t="s">
        <v>5558</v>
      </c>
    </row>
    <row r="154" spans="1:21" ht="16.5" thickBot="1">
      <c r="A154" s="1188" t="s">
        <v>4533</v>
      </c>
      <c r="B154" s="1192">
        <f t="shared" si="6"/>
        <v>200</v>
      </c>
      <c r="C154" s="1192" t="s">
        <v>3</v>
      </c>
      <c r="D154" s="1192">
        <f t="shared" si="7"/>
        <v>300</v>
      </c>
      <c r="E154" s="1192" t="s">
        <v>3</v>
      </c>
      <c r="F154" s="1190">
        <f t="shared" si="8"/>
        <v>2750</v>
      </c>
      <c r="G154" s="1192" t="s">
        <v>3</v>
      </c>
      <c r="H154" s="1189">
        <v>4</v>
      </c>
      <c r="I154" s="1191" t="s">
        <v>41</v>
      </c>
      <c r="J154" s="149">
        <v>200</v>
      </c>
      <c r="K154" s="66">
        <v>300</v>
      </c>
      <c r="L154" s="66">
        <v>2750</v>
      </c>
      <c r="M154" s="164">
        <v>45.203966451976214</v>
      </c>
      <c r="N154" s="78">
        <v>3824.5338297621706</v>
      </c>
      <c r="O154" s="113">
        <v>82094.463394525708</v>
      </c>
      <c r="P154" s="161">
        <v>98717.207350775992</v>
      </c>
      <c r="Q154" s="254">
        <v>35982.278666346792</v>
      </c>
      <c r="R154" s="263">
        <v>118076.74206087249</v>
      </c>
      <c r="S154" s="259">
        <v>134699.48601712278</v>
      </c>
      <c r="U154" s="7" t="s">
        <v>5559</v>
      </c>
    </row>
    <row r="155" spans="1:21" ht="16.5" thickBot="1">
      <c r="A155" s="1188" t="s">
        <v>4533</v>
      </c>
      <c r="B155" s="1192">
        <f t="shared" si="6"/>
        <v>200</v>
      </c>
      <c r="C155" s="1192" t="s">
        <v>3</v>
      </c>
      <c r="D155" s="1192">
        <f t="shared" si="7"/>
        <v>300</v>
      </c>
      <c r="E155" s="1192" t="s">
        <v>3</v>
      </c>
      <c r="F155" s="1190">
        <f t="shared" si="8"/>
        <v>2800</v>
      </c>
      <c r="G155" s="1192" t="s">
        <v>3</v>
      </c>
      <c r="H155" s="1189">
        <v>4</v>
      </c>
      <c r="I155" s="1191" t="s">
        <v>41</v>
      </c>
      <c r="J155" s="149">
        <v>200</v>
      </c>
      <c r="K155" s="66">
        <v>300</v>
      </c>
      <c r="L155" s="66">
        <v>2800</v>
      </c>
      <c r="M155" s="164">
        <v>45.969008517762873</v>
      </c>
      <c r="N155" s="78">
        <v>3904.2116178822166</v>
      </c>
      <c r="O155" s="113">
        <v>83345.786340218503</v>
      </c>
      <c r="P155" s="161">
        <v>100229.54129092529</v>
      </c>
      <c r="Q155" s="254">
        <v>36757.25443710231</v>
      </c>
      <c r="R155" s="263">
        <v>120103.04077732081</v>
      </c>
      <c r="S155" s="259">
        <v>136986.79572802759</v>
      </c>
      <c r="U155" s="7" t="s">
        <v>5560</v>
      </c>
    </row>
    <row r="156" spans="1:21" ht="16.5" thickBot="1">
      <c r="A156" s="1188" t="s">
        <v>4533</v>
      </c>
      <c r="B156" s="1192">
        <f t="shared" si="6"/>
        <v>200</v>
      </c>
      <c r="C156" s="1192" t="s">
        <v>3</v>
      </c>
      <c r="D156" s="1192">
        <f t="shared" si="7"/>
        <v>300</v>
      </c>
      <c r="E156" s="1192" t="s">
        <v>3</v>
      </c>
      <c r="F156" s="1190">
        <f t="shared" si="8"/>
        <v>2850</v>
      </c>
      <c r="G156" s="1192" t="s">
        <v>3</v>
      </c>
      <c r="H156" s="1189">
        <v>4</v>
      </c>
      <c r="I156" s="1191" t="s">
        <v>41</v>
      </c>
      <c r="J156" s="149">
        <v>200</v>
      </c>
      <c r="K156" s="66">
        <v>300</v>
      </c>
      <c r="L156" s="66">
        <v>2850</v>
      </c>
      <c r="M156" s="164">
        <v>46.734050583549504</v>
      </c>
      <c r="N156" s="78">
        <v>3983.8894060022612</v>
      </c>
      <c r="O156" s="113">
        <v>84597.109132882528</v>
      </c>
      <c r="P156" s="161">
        <v>101741.87523107458</v>
      </c>
      <c r="Q156" s="254">
        <v>37280.89622310282</v>
      </c>
      <c r="R156" s="263">
        <v>121878.00535598534</v>
      </c>
      <c r="S156" s="259">
        <v>139022.77145417739</v>
      </c>
      <c r="U156" s="7" t="s">
        <v>5561</v>
      </c>
    </row>
    <row r="157" spans="1:21" ht="16.5" thickBot="1">
      <c r="A157" s="1188" t="s">
        <v>4533</v>
      </c>
      <c r="B157" s="1192">
        <f t="shared" si="6"/>
        <v>200</v>
      </c>
      <c r="C157" s="1192" t="s">
        <v>3</v>
      </c>
      <c r="D157" s="1192">
        <f t="shared" si="7"/>
        <v>300</v>
      </c>
      <c r="E157" s="1192" t="s">
        <v>3</v>
      </c>
      <c r="F157" s="1190">
        <f t="shared" si="8"/>
        <v>2900</v>
      </c>
      <c r="G157" s="1192" t="s">
        <v>3</v>
      </c>
      <c r="H157" s="1189">
        <v>4</v>
      </c>
      <c r="I157" s="1191" t="s">
        <v>41</v>
      </c>
      <c r="J157" s="149">
        <v>200</v>
      </c>
      <c r="K157" s="66">
        <v>300</v>
      </c>
      <c r="L157" s="66">
        <v>2900</v>
      </c>
      <c r="M157" s="164">
        <v>47.499092649336148</v>
      </c>
      <c r="N157" s="78">
        <v>4063.5671941223063</v>
      </c>
      <c r="O157" s="113">
        <v>85848.432078575162</v>
      </c>
      <c r="P157" s="161">
        <v>103254.20917122389</v>
      </c>
      <c r="Q157" s="254">
        <v>38055.871993858338</v>
      </c>
      <c r="R157" s="263">
        <v>123904.3040724335</v>
      </c>
      <c r="S157" s="259">
        <v>141310.08116508223</v>
      </c>
      <c r="U157" s="7" t="s">
        <v>5562</v>
      </c>
    </row>
    <row r="158" spans="1:21" ht="16.5" thickBot="1">
      <c r="A158" s="1188" t="s">
        <v>4533</v>
      </c>
      <c r="B158" s="1192">
        <f t="shared" si="6"/>
        <v>200</v>
      </c>
      <c r="C158" s="1192" t="s">
        <v>3</v>
      </c>
      <c r="D158" s="1192">
        <f t="shared" si="7"/>
        <v>300</v>
      </c>
      <c r="E158" s="1192" t="s">
        <v>3</v>
      </c>
      <c r="F158" s="1190">
        <f t="shared" si="8"/>
        <v>2950</v>
      </c>
      <c r="G158" s="1192" t="s">
        <v>3</v>
      </c>
      <c r="H158" s="1189">
        <v>4</v>
      </c>
      <c r="I158" s="1191" t="s">
        <v>41</v>
      </c>
      <c r="J158" s="149">
        <v>200</v>
      </c>
      <c r="K158" s="66">
        <v>300</v>
      </c>
      <c r="L158" s="66">
        <v>2950</v>
      </c>
      <c r="M158" s="164">
        <v>48.264134715122808</v>
      </c>
      <c r="N158" s="78">
        <v>4143.2449822423523</v>
      </c>
      <c r="O158" s="113">
        <v>87099.755024268117</v>
      </c>
      <c r="P158" s="161">
        <v>104766.54311137318</v>
      </c>
      <c r="Q158" s="254">
        <v>38579.513779858848</v>
      </c>
      <c r="R158" s="263">
        <v>125679.26880412697</v>
      </c>
      <c r="S158" s="259">
        <v>143346.05689123203</v>
      </c>
      <c r="U158" s="7" t="s">
        <v>5563</v>
      </c>
    </row>
    <row r="159" spans="1:21" ht="16.5" thickBot="1">
      <c r="A159" s="1188" t="s">
        <v>4533</v>
      </c>
      <c r="B159" s="1194">
        <f t="shared" si="6"/>
        <v>200</v>
      </c>
      <c r="C159" s="1194" t="s">
        <v>3</v>
      </c>
      <c r="D159" s="1194">
        <f t="shared" si="7"/>
        <v>300</v>
      </c>
      <c r="E159" s="1194" t="s">
        <v>3</v>
      </c>
      <c r="F159" s="1195">
        <f t="shared" si="8"/>
        <v>3000</v>
      </c>
      <c r="G159" s="1194" t="s">
        <v>3</v>
      </c>
      <c r="H159" s="1196">
        <v>4</v>
      </c>
      <c r="I159" s="1197" t="s">
        <v>41</v>
      </c>
      <c r="J159" s="265">
        <v>200</v>
      </c>
      <c r="K159" s="266">
        <v>300</v>
      </c>
      <c r="L159" s="266">
        <v>3000</v>
      </c>
      <c r="M159" s="249">
        <v>49.263284780909444</v>
      </c>
      <c r="N159" s="250">
        <v>4222.9227703623965</v>
      </c>
      <c r="O159" s="251">
        <v>88615.144254031838</v>
      </c>
      <c r="P159" s="283">
        <v>106542.94348862217</v>
      </c>
      <c r="Q159" s="267">
        <v>39354.489550614366</v>
      </c>
      <c r="R159" s="268">
        <v>127969.6338046462</v>
      </c>
      <c r="S159" s="269">
        <v>145897.43303923652</v>
      </c>
      <c r="U159" s="7" t="s">
        <v>5564</v>
      </c>
    </row>
    <row r="160" spans="1:21" ht="19.5" thickBot="1">
      <c r="A160" s="2968" t="s">
        <v>44</v>
      </c>
      <c r="B160" s="2969"/>
      <c r="C160" s="2969"/>
      <c r="D160" s="2969"/>
      <c r="E160" s="2969"/>
      <c r="F160" s="2969"/>
      <c r="G160" s="2969"/>
      <c r="H160" s="2969"/>
      <c r="I160" s="2969"/>
      <c r="J160" s="2969"/>
      <c r="K160" s="2969"/>
      <c r="L160" s="2969"/>
      <c r="M160" s="2969"/>
      <c r="N160" s="2969"/>
      <c r="O160" s="2969"/>
      <c r="P160" s="2969"/>
      <c r="Q160" s="2969"/>
      <c r="R160" s="2969"/>
      <c r="S160" s="2970"/>
      <c r="U160" s="7"/>
    </row>
    <row r="161" spans="1:21" ht="16.5" customHeight="1" thickBot="1">
      <c r="A161" s="3050" t="s">
        <v>4534</v>
      </c>
      <c r="B161" s="3051"/>
      <c r="C161" s="3051"/>
      <c r="D161" s="3051"/>
      <c r="E161" s="3051"/>
      <c r="F161" s="3051"/>
      <c r="G161" s="3051"/>
      <c r="H161" s="3051"/>
      <c r="I161" s="3051"/>
      <c r="J161" s="3051"/>
      <c r="K161" s="3051"/>
      <c r="L161" s="3051"/>
      <c r="M161" s="3051"/>
      <c r="N161" s="3051"/>
      <c r="O161" s="3051"/>
      <c r="P161" s="3051"/>
      <c r="Q161" s="3051"/>
      <c r="R161" s="3051"/>
      <c r="S161" s="3052"/>
      <c r="U161" s="7"/>
    </row>
    <row r="162" spans="1:21" ht="16.5" thickBot="1">
      <c r="A162" s="1188" t="s">
        <v>4533</v>
      </c>
      <c r="B162" s="1189">
        <f>J162</f>
        <v>200</v>
      </c>
      <c r="C162" s="1189" t="s">
        <v>3</v>
      </c>
      <c r="D162" s="1189">
        <f>K162</f>
        <v>360</v>
      </c>
      <c r="E162" s="1189" t="s">
        <v>3</v>
      </c>
      <c r="F162" s="1190">
        <f>L162</f>
        <v>600</v>
      </c>
      <c r="G162" s="1189" t="s">
        <v>3</v>
      </c>
      <c r="H162" s="1189">
        <v>4</v>
      </c>
      <c r="I162" s="1191" t="s">
        <v>40</v>
      </c>
      <c r="J162" s="270">
        <v>200</v>
      </c>
      <c r="K162" s="271">
        <v>360</v>
      </c>
      <c r="L162" s="271">
        <v>600</v>
      </c>
      <c r="M162" s="284">
        <v>13.306952298939962</v>
      </c>
      <c r="N162" s="246">
        <v>426.27616644224202</v>
      </c>
      <c r="O162" s="247">
        <v>25954.805009940086</v>
      </c>
      <c r="P162" s="275">
        <v>32368.196943130784</v>
      </c>
      <c r="Q162" s="272">
        <v>10032.760953270536</v>
      </c>
      <c r="R162" s="273">
        <v>35987.565963210625</v>
      </c>
      <c r="S162" s="274">
        <v>42400.95789640132</v>
      </c>
      <c r="U162" s="7" t="s">
        <v>5565</v>
      </c>
    </row>
    <row r="163" spans="1:21" ht="16.5" thickBot="1">
      <c r="A163" s="1188" t="s">
        <v>4533</v>
      </c>
      <c r="B163" s="1192">
        <f t="shared" ref="B163:B210" si="9">J163</f>
        <v>200</v>
      </c>
      <c r="C163" s="1192" t="s">
        <v>3</v>
      </c>
      <c r="D163" s="1192">
        <f t="shared" ref="D163:D210" si="10">K163</f>
        <v>360</v>
      </c>
      <c r="E163" s="1192" t="s">
        <v>3</v>
      </c>
      <c r="F163" s="1190">
        <f t="shared" ref="F163:F210" si="11">L163</f>
        <v>650</v>
      </c>
      <c r="G163" s="1192" t="s">
        <v>3</v>
      </c>
      <c r="H163" s="1189">
        <v>4</v>
      </c>
      <c r="I163" s="1191" t="s">
        <v>40</v>
      </c>
      <c r="J163" s="149">
        <v>200</v>
      </c>
      <c r="K163" s="66">
        <v>360</v>
      </c>
      <c r="L163" s="66">
        <v>650</v>
      </c>
      <c r="M163" s="158">
        <v>14.179829721042399</v>
      </c>
      <c r="N163" s="78">
        <v>511.5313997306904</v>
      </c>
      <c r="O163" s="113">
        <v>27238.155498914661</v>
      </c>
      <c r="P163" s="111">
        <v>33934.930843255541</v>
      </c>
      <c r="Q163" s="254">
        <v>10636.181837508726</v>
      </c>
      <c r="R163" s="263">
        <v>37874.337336423385</v>
      </c>
      <c r="S163" s="259">
        <v>44571.112680764265</v>
      </c>
      <c r="U163" s="7" t="s">
        <v>5566</v>
      </c>
    </row>
    <row r="164" spans="1:21" ht="16.5" thickBot="1">
      <c r="A164" s="1188" t="s">
        <v>4533</v>
      </c>
      <c r="B164" s="1192">
        <f t="shared" si="9"/>
        <v>200</v>
      </c>
      <c r="C164" s="1192" t="s">
        <v>3</v>
      </c>
      <c r="D164" s="1192">
        <f t="shared" si="10"/>
        <v>360</v>
      </c>
      <c r="E164" s="1192" t="s">
        <v>3</v>
      </c>
      <c r="F164" s="1190">
        <f t="shared" si="11"/>
        <v>700</v>
      </c>
      <c r="G164" s="1192" t="s">
        <v>3</v>
      </c>
      <c r="H164" s="1189">
        <v>4</v>
      </c>
      <c r="I164" s="1191" t="s">
        <v>40</v>
      </c>
      <c r="J164" s="149">
        <v>200</v>
      </c>
      <c r="K164" s="66">
        <v>360</v>
      </c>
      <c r="L164" s="66">
        <v>700</v>
      </c>
      <c r="M164" s="158">
        <v>15.052707143144833</v>
      </c>
      <c r="N164" s="78">
        <v>596.78663301913878</v>
      </c>
      <c r="O164" s="113">
        <v>28521.505987889228</v>
      </c>
      <c r="P164" s="111">
        <v>35501.664743380308</v>
      </c>
      <c r="Q164" s="254">
        <v>11490.936859530682</v>
      </c>
      <c r="R164" s="263">
        <v>40012.442847419909</v>
      </c>
      <c r="S164" s="259">
        <v>46992.601602910989</v>
      </c>
      <c r="U164" s="7" t="s">
        <v>5567</v>
      </c>
    </row>
    <row r="165" spans="1:21" ht="16.5" thickBot="1">
      <c r="A165" s="1188" t="s">
        <v>4533</v>
      </c>
      <c r="B165" s="1192">
        <f t="shared" si="9"/>
        <v>200</v>
      </c>
      <c r="C165" s="1192" t="s">
        <v>3</v>
      </c>
      <c r="D165" s="1192">
        <f t="shared" si="10"/>
        <v>360</v>
      </c>
      <c r="E165" s="1192" t="s">
        <v>3</v>
      </c>
      <c r="F165" s="1190">
        <f t="shared" si="11"/>
        <v>750</v>
      </c>
      <c r="G165" s="1192" t="s">
        <v>3</v>
      </c>
      <c r="H165" s="1189">
        <v>4</v>
      </c>
      <c r="I165" s="1191" t="s">
        <v>40</v>
      </c>
      <c r="J165" s="149">
        <v>200</v>
      </c>
      <c r="K165" s="66">
        <v>360</v>
      </c>
      <c r="L165" s="66">
        <v>750</v>
      </c>
      <c r="M165" s="158">
        <v>15.925584565247267</v>
      </c>
      <c r="N165" s="78">
        <v>682.04186630758727</v>
      </c>
      <c r="O165" s="113">
        <v>29804.856323835029</v>
      </c>
      <c r="P165" s="111">
        <v>37068.398643505068</v>
      </c>
      <c r="Q165" s="254">
        <v>12094.357743768871</v>
      </c>
      <c r="R165" s="263">
        <v>41899.214067603898</v>
      </c>
      <c r="S165" s="259">
        <v>49162.756387273941</v>
      </c>
      <c r="U165" s="7" t="s">
        <v>5568</v>
      </c>
    </row>
    <row r="166" spans="1:21" ht="16.5" thickBot="1">
      <c r="A166" s="1188" t="s">
        <v>4533</v>
      </c>
      <c r="B166" s="1192">
        <f t="shared" si="9"/>
        <v>200</v>
      </c>
      <c r="C166" s="1192" t="s">
        <v>3</v>
      </c>
      <c r="D166" s="1192">
        <f t="shared" si="10"/>
        <v>360</v>
      </c>
      <c r="E166" s="1192" t="s">
        <v>3</v>
      </c>
      <c r="F166" s="1190">
        <f t="shared" si="11"/>
        <v>800</v>
      </c>
      <c r="G166" s="1192" t="s">
        <v>3</v>
      </c>
      <c r="H166" s="1189">
        <v>4</v>
      </c>
      <c r="I166" s="1191" t="s">
        <v>40</v>
      </c>
      <c r="J166" s="149">
        <v>200</v>
      </c>
      <c r="K166" s="66">
        <v>360</v>
      </c>
      <c r="L166" s="66">
        <v>800</v>
      </c>
      <c r="M166" s="158">
        <v>16.798461987349697</v>
      </c>
      <c r="N166" s="78">
        <v>767.29709959603565</v>
      </c>
      <c r="O166" s="113">
        <v>31484.091922130436</v>
      </c>
      <c r="P166" s="111">
        <v>38650.435420142327</v>
      </c>
      <c r="Q166" s="254">
        <v>12697.77862800706</v>
      </c>
      <c r="R166" s="263">
        <v>44181.870550137493</v>
      </c>
      <c r="S166" s="259">
        <v>51348.214048149384</v>
      </c>
      <c r="U166" s="7" t="s">
        <v>5569</v>
      </c>
    </row>
    <row r="167" spans="1:21" ht="16.5" thickBot="1">
      <c r="A167" s="1188" t="s">
        <v>4533</v>
      </c>
      <c r="B167" s="1192">
        <f t="shared" si="9"/>
        <v>200</v>
      </c>
      <c r="C167" s="1192" t="s">
        <v>3</v>
      </c>
      <c r="D167" s="1192">
        <f t="shared" si="10"/>
        <v>360</v>
      </c>
      <c r="E167" s="1192" t="s">
        <v>3</v>
      </c>
      <c r="F167" s="1190">
        <f t="shared" si="11"/>
        <v>850</v>
      </c>
      <c r="G167" s="1192" t="s">
        <v>3</v>
      </c>
      <c r="H167" s="1189">
        <v>4</v>
      </c>
      <c r="I167" s="1191" t="s">
        <v>40</v>
      </c>
      <c r="J167" s="149">
        <v>200</v>
      </c>
      <c r="K167" s="66">
        <v>360</v>
      </c>
      <c r="L167" s="66">
        <v>850</v>
      </c>
      <c r="M167" s="158">
        <v>17.671339409452134</v>
      </c>
      <c r="N167" s="78">
        <v>852.55233288448403</v>
      </c>
      <c r="O167" s="113">
        <v>32767.442411105003</v>
      </c>
      <c r="P167" s="111">
        <v>40217.169167238317</v>
      </c>
      <c r="Q167" s="254">
        <v>13552.533650029018</v>
      </c>
      <c r="R167" s="263">
        <v>46319.976061134017</v>
      </c>
      <c r="S167" s="259">
        <v>53769.702817267331</v>
      </c>
      <c r="U167" s="7" t="s">
        <v>5570</v>
      </c>
    </row>
    <row r="168" spans="1:21" ht="16.5" thickBot="1">
      <c r="A168" s="1188" t="s">
        <v>4533</v>
      </c>
      <c r="B168" s="1192">
        <f t="shared" si="9"/>
        <v>200</v>
      </c>
      <c r="C168" s="1192" t="s">
        <v>3</v>
      </c>
      <c r="D168" s="1192">
        <f t="shared" si="10"/>
        <v>360</v>
      </c>
      <c r="E168" s="1192" t="s">
        <v>3</v>
      </c>
      <c r="F168" s="1190">
        <f t="shared" si="11"/>
        <v>900</v>
      </c>
      <c r="G168" s="1192" t="s">
        <v>3</v>
      </c>
      <c r="H168" s="1189">
        <v>4</v>
      </c>
      <c r="I168" s="1191" t="s">
        <v>40</v>
      </c>
      <c r="J168" s="149">
        <v>200</v>
      </c>
      <c r="K168" s="66">
        <v>360</v>
      </c>
      <c r="L168" s="66">
        <v>900</v>
      </c>
      <c r="M168" s="158">
        <v>18.544216831554564</v>
      </c>
      <c r="N168" s="78">
        <v>937.80756617293252</v>
      </c>
      <c r="O168" s="113">
        <v>34050.79290007957</v>
      </c>
      <c r="P168" s="111">
        <v>41783.903067363084</v>
      </c>
      <c r="Q168" s="254">
        <v>14155.954534267206</v>
      </c>
      <c r="R168" s="263">
        <v>48206.747434346777</v>
      </c>
      <c r="S168" s="259">
        <v>55939.85760163029</v>
      </c>
      <c r="U168" s="7" t="s">
        <v>5571</v>
      </c>
    </row>
    <row r="169" spans="1:21" ht="16.5" thickBot="1">
      <c r="A169" s="1188" t="s">
        <v>4533</v>
      </c>
      <c r="B169" s="1192">
        <f t="shared" si="9"/>
        <v>200</v>
      </c>
      <c r="C169" s="1192" t="s">
        <v>3</v>
      </c>
      <c r="D169" s="1192">
        <f t="shared" si="10"/>
        <v>360</v>
      </c>
      <c r="E169" s="1192" t="s">
        <v>3</v>
      </c>
      <c r="F169" s="1190">
        <f t="shared" si="11"/>
        <v>950</v>
      </c>
      <c r="G169" s="1192" t="s">
        <v>3</v>
      </c>
      <c r="H169" s="1189">
        <v>4</v>
      </c>
      <c r="I169" s="1191" t="s">
        <v>40</v>
      </c>
      <c r="J169" s="149">
        <v>200</v>
      </c>
      <c r="K169" s="66">
        <v>360</v>
      </c>
      <c r="L169" s="66">
        <v>950</v>
      </c>
      <c r="M169" s="158">
        <v>19.417094253656998</v>
      </c>
      <c r="N169" s="78">
        <v>1023.0627994613808</v>
      </c>
      <c r="O169" s="113">
        <v>35334.143389054138</v>
      </c>
      <c r="P169" s="111">
        <v>43350.636967487844</v>
      </c>
      <c r="Q169" s="254">
        <v>15010.709556289165</v>
      </c>
      <c r="R169" s="263">
        <v>50344.8529453433</v>
      </c>
      <c r="S169" s="259">
        <v>58361.346523777007</v>
      </c>
      <c r="U169" s="7" t="s">
        <v>5572</v>
      </c>
    </row>
    <row r="170" spans="1:21" ht="16.5" thickBot="1">
      <c r="A170" s="1188" t="s">
        <v>4533</v>
      </c>
      <c r="B170" s="1192">
        <f t="shared" si="9"/>
        <v>200</v>
      </c>
      <c r="C170" s="1192" t="s">
        <v>3</v>
      </c>
      <c r="D170" s="1192">
        <f t="shared" si="10"/>
        <v>360</v>
      </c>
      <c r="E170" s="1192" t="s">
        <v>3</v>
      </c>
      <c r="F170" s="1190">
        <f t="shared" si="11"/>
        <v>1000</v>
      </c>
      <c r="G170" s="1192" t="s">
        <v>3</v>
      </c>
      <c r="H170" s="1189">
        <v>4</v>
      </c>
      <c r="I170" s="1191" t="s">
        <v>40</v>
      </c>
      <c r="J170" s="149">
        <v>200</v>
      </c>
      <c r="K170" s="66">
        <v>360</v>
      </c>
      <c r="L170" s="66">
        <v>1000</v>
      </c>
      <c r="M170" s="158">
        <v>20.446043675759441</v>
      </c>
      <c r="N170" s="78">
        <v>1108.3180327498292</v>
      </c>
      <c r="O170" s="113">
        <v>36687.34844873297</v>
      </c>
      <c r="P170" s="111">
        <v>44987.225438316862</v>
      </c>
      <c r="Q170" s="254">
        <v>15614.130440527351</v>
      </c>
      <c r="R170" s="263">
        <v>52301.478889260325</v>
      </c>
      <c r="S170" s="259">
        <v>60601.355878844217</v>
      </c>
      <c r="U170" s="7" t="s">
        <v>5573</v>
      </c>
    </row>
    <row r="171" spans="1:21" ht="16.5" thickBot="1">
      <c r="A171" s="1188" t="s">
        <v>4533</v>
      </c>
      <c r="B171" s="1192">
        <f t="shared" si="9"/>
        <v>200</v>
      </c>
      <c r="C171" s="1192" t="s">
        <v>3</v>
      </c>
      <c r="D171" s="1192">
        <f t="shared" si="10"/>
        <v>360</v>
      </c>
      <c r="E171" s="1192" t="s">
        <v>3</v>
      </c>
      <c r="F171" s="1190">
        <f t="shared" si="11"/>
        <v>1050</v>
      </c>
      <c r="G171" s="1192" t="s">
        <v>3</v>
      </c>
      <c r="H171" s="1189">
        <v>4</v>
      </c>
      <c r="I171" s="1191" t="s">
        <v>40</v>
      </c>
      <c r="J171" s="149">
        <v>200</v>
      </c>
      <c r="K171" s="66">
        <v>360</v>
      </c>
      <c r="L171" s="66">
        <v>1050</v>
      </c>
      <c r="M171" s="158">
        <v>21.318921097861871</v>
      </c>
      <c r="N171" s="78">
        <v>1193.5732660382776</v>
      </c>
      <c r="O171" s="113">
        <v>37970.698784678767</v>
      </c>
      <c r="P171" s="111">
        <v>46553.959338441629</v>
      </c>
      <c r="Q171" s="254">
        <v>16468.885462549311</v>
      </c>
      <c r="R171" s="263">
        <v>54439.584247228078</v>
      </c>
      <c r="S171" s="259">
        <v>63022.844800990941</v>
      </c>
      <c r="U171" s="7" t="s">
        <v>5574</v>
      </c>
    </row>
    <row r="172" spans="1:21" ht="16.5" thickBot="1">
      <c r="A172" s="1188" t="s">
        <v>4533</v>
      </c>
      <c r="B172" s="1189">
        <f t="shared" si="9"/>
        <v>200</v>
      </c>
      <c r="C172" s="1189" t="s">
        <v>3</v>
      </c>
      <c r="D172" s="1189">
        <f t="shared" si="10"/>
        <v>360</v>
      </c>
      <c r="E172" s="1189" t="s">
        <v>3</v>
      </c>
      <c r="F172" s="1190">
        <f t="shared" si="11"/>
        <v>1100</v>
      </c>
      <c r="G172" s="1189" t="s">
        <v>3</v>
      </c>
      <c r="H172" s="1189">
        <v>4</v>
      </c>
      <c r="I172" s="1191" t="s">
        <v>40</v>
      </c>
      <c r="J172" s="149">
        <v>200</v>
      </c>
      <c r="K172" s="66">
        <v>360</v>
      </c>
      <c r="L172" s="66">
        <v>1100</v>
      </c>
      <c r="M172" s="158">
        <v>22.191798519964301</v>
      </c>
      <c r="N172" s="78">
        <v>1278.8284993267262</v>
      </c>
      <c r="O172" s="113">
        <v>39254.049273653334</v>
      </c>
      <c r="P172" s="111">
        <v>48120.693238566382</v>
      </c>
      <c r="Q172" s="254">
        <v>17072.3063467875</v>
      </c>
      <c r="R172" s="263">
        <v>56326.355620440838</v>
      </c>
      <c r="S172" s="259">
        <v>65192.999585353886</v>
      </c>
      <c r="U172" s="7" t="s">
        <v>5575</v>
      </c>
    </row>
    <row r="173" spans="1:21" ht="16.5" thickBot="1">
      <c r="A173" s="1188" t="s">
        <v>4533</v>
      </c>
      <c r="B173" s="1192">
        <f t="shared" si="9"/>
        <v>200</v>
      </c>
      <c r="C173" s="1192" t="s">
        <v>3</v>
      </c>
      <c r="D173" s="1192">
        <f t="shared" si="10"/>
        <v>360</v>
      </c>
      <c r="E173" s="1192" t="s">
        <v>3</v>
      </c>
      <c r="F173" s="1190">
        <f t="shared" si="11"/>
        <v>1150</v>
      </c>
      <c r="G173" s="1192" t="s">
        <v>3</v>
      </c>
      <c r="H173" s="1189">
        <v>4</v>
      </c>
      <c r="I173" s="1191" t="s">
        <v>40</v>
      </c>
      <c r="J173" s="149">
        <v>200</v>
      </c>
      <c r="K173" s="66">
        <v>360</v>
      </c>
      <c r="L173" s="66">
        <v>1150</v>
      </c>
      <c r="M173" s="158">
        <v>23.064675942066735</v>
      </c>
      <c r="N173" s="78">
        <v>1364.0837326151745</v>
      </c>
      <c r="O173" s="113">
        <v>40537.399762627902</v>
      </c>
      <c r="P173" s="111">
        <v>49687.42698566238</v>
      </c>
      <c r="Q173" s="254">
        <v>17675.727231025689</v>
      </c>
      <c r="R173" s="263">
        <v>58213.12699365359</v>
      </c>
      <c r="S173" s="259">
        <v>67363.154216688068</v>
      </c>
      <c r="U173" s="7" t="s">
        <v>5576</v>
      </c>
    </row>
    <row r="174" spans="1:21" ht="16.5" thickBot="1">
      <c r="A174" s="1188" t="s">
        <v>4533</v>
      </c>
      <c r="B174" s="1192">
        <f t="shared" si="9"/>
        <v>200</v>
      </c>
      <c r="C174" s="1192" t="s">
        <v>3</v>
      </c>
      <c r="D174" s="1192">
        <f t="shared" si="10"/>
        <v>360</v>
      </c>
      <c r="E174" s="1192" t="s">
        <v>3</v>
      </c>
      <c r="F174" s="1190">
        <f t="shared" si="11"/>
        <v>1200</v>
      </c>
      <c r="G174" s="1192" t="s">
        <v>3</v>
      </c>
      <c r="H174" s="1189">
        <v>4</v>
      </c>
      <c r="I174" s="1191" t="s">
        <v>40</v>
      </c>
      <c r="J174" s="149">
        <v>200</v>
      </c>
      <c r="K174" s="66">
        <v>360</v>
      </c>
      <c r="L174" s="66">
        <v>1200</v>
      </c>
      <c r="M174" s="158">
        <v>23.937553364169172</v>
      </c>
      <c r="N174" s="78">
        <v>1449.3389659036229</v>
      </c>
      <c r="O174" s="113">
        <v>41820.750251602476</v>
      </c>
      <c r="P174" s="111">
        <v>51254.160885787147</v>
      </c>
      <c r="Q174" s="254">
        <v>18530.482406076411</v>
      </c>
      <c r="R174" s="263">
        <v>60351.232657678891</v>
      </c>
      <c r="S174" s="259">
        <v>69784.643291863555</v>
      </c>
      <c r="U174" s="7" t="s">
        <v>5577</v>
      </c>
    </row>
    <row r="175" spans="1:21" ht="16.5" thickBot="1">
      <c r="A175" s="1188" t="s">
        <v>4533</v>
      </c>
      <c r="B175" s="1192">
        <f t="shared" si="9"/>
        <v>200</v>
      </c>
      <c r="C175" s="1192" t="s">
        <v>3</v>
      </c>
      <c r="D175" s="1192">
        <f t="shared" si="10"/>
        <v>360</v>
      </c>
      <c r="E175" s="1192" t="s">
        <v>3</v>
      </c>
      <c r="F175" s="1190">
        <f t="shared" si="11"/>
        <v>1250</v>
      </c>
      <c r="G175" s="1192" t="s">
        <v>3</v>
      </c>
      <c r="H175" s="1189">
        <v>4</v>
      </c>
      <c r="I175" s="1191" t="s">
        <v>40</v>
      </c>
      <c r="J175" s="149">
        <v>200</v>
      </c>
      <c r="K175" s="66">
        <v>360</v>
      </c>
      <c r="L175" s="66">
        <v>1250</v>
      </c>
      <c r="M175" s="158">
        <v>24.81043078627161</v>
      </c>
      <c r="N175" s="78">
        <v>1534.5941991920713</v>
      </c>
      <c r="O175" s="113">
        <v>43104.100587548273</v>
      </c>
      <c r="P175" s="111">
        <v>52820.894785911907</v>
      </c>
      <c r="Q175" s="254">
        <v>19133.9032903146</v>
      </c>
      <c r="R175" s="263">
        <v>62238.003877862873</v>
      </c>
      <c r="S175" s="259">
        <v>71954.798076226507</v>
      </c>
      <c r="U175" s="7" t="s">
        <v>5578</v>
      </c>
    </row>
    <row r="176" spans="1:21" ht="16.5" thickBot="1">
      <c r="A176" s="1188" t="s">
        <v>4533</v>
      </c>
      <c r="B176" s="1192">
        <f t="shared" si="9"/>
        <v>200</v>
      </c>
      <c r="C176" s="1192" t="s">
        <v>3</v>
      </c>
      <c r="D176" s="1192">
        <f t="shared" si="10"/>
        <v>360</v>
      </c>
      <c r="E176" s="1192" t="s">
        <v>3</v>
      </c>
      <c r="F176" s="1190">
        <f t="shared" si="11"/>
        <v>1300</v>
      </c>
      <c r="G176" s="1192" t="s">
        <v>3</v>
      </c>
      <c r="H176" s="1189">
        <v>4</v>
      </c>
      <c r="I176" s="1191" t="s">
        <v>40</v>
      </c>
      <c r="J176" s="149">
        <v>200</v>
      </c>
      <c r="K176" s="66">
        <v>360</v>
      </c>
      <c r="L176" s="66">
        <v>1300</v>
      </c>
      <c r="M176" s="158">
        <v>25.683308208374044</v>
      </c>
      <c r="N176" s="78">
        <v>1619.8494324805197</v>
      </c>
      <c r="O176" s="113">
        <v>44387.451076522841</v>
      </c>
      <c r="P176" s="111">
        <v>54387.628686036667</v>
      </c>
      <c r="Q176" s="254">
        <v>19988.658312336556</v>
      </c>
      <c r="R176" s="263">
        <v>64376.109388859397</v>
      </c>
      <c r="S176" s="259">
        <v>74376.286998373223</v>
      </c>
      <c r="U176" s="7" t="s">
        <v>5579</v>
      </c>
    </row>
    <row r="177" spans="1:21" ht="16.5" thickBot="1">
      <c r="A177" s="1188" t="s">
        <v>4533</v>
      </c>
      <c r="B177" s="1192">
        <f t="shared" si="9"/>
        <v>200</v>
      </c>
      <c r="C177" s="1192" t="s">
        <v>3</v>
      </c>
      <c r="D177" s="1192">
        <f t="shared" si="10"/>
        <v>360</v>
      </c>
      <c r="E177" s="1192" t="s">
        <v>3</v>
      </c>
      <c r="F177" s="1190">
        <f t="shared" si="11"/>
        <v>1350</v>
      </c>
      <c r="G177" s="1192" t="s">
        <v>3</v>
      </c>
      <c r="H177" s="1189">
        <v>4</v>
      </c>
      <c r="I177" s="1191" t="s">
        <v>40</v>
      </c>
      <c r="J177" s="149">
        <v>200</v>
      </c>
      <c r="K177" s="66">
        <v>360</v>
      </c>
      <c r="L177" s="66">
        <v>1350</v>
      </c>
      <c r="M177" s="158">
        <v>26.556185630476477</v>
      </c>
      <c r="N177" s="78">
        <v>1705.1046657689681</v>
      </c>
      <c r="O177" s="113">
        <v>45670.801565497408</v>
      </c>
      <c r="P177" s="111">
        <v>55954.36258616142</v>
      </c>
      <c r="Q177" s="254">
        <v>20592.079196574745</v>
      </c>
      <c r="R177" s="263">
        <v>66262.880762072149</v>
      </c>
      <c r="S177" s="259">
        <v>76546.441782736161</v>
      </c>
      <c r="U177" s="7" t="s">
        <v>5580</v>
      </c>
    </row>
    <row r="178" spans="1:21" ht="16.5" thickBot="1">
      <c r="A178" s="1188" t="s">
        <v>4533</v>
      </c>
      <c r="B178" s="1192">
        <f t="shared" si="9"/>
        <v>200</v>
      </c>
      <c r="C178" s="1192" t="s">
        <v>3</v>
      </c>
      <c r="D178" s="1192">
        <f t="shared" si="10"/>
        <v>360</v>
      </c>
      <c r="E178" s="1192" t="s">
        <v>3</v>
      </c>
      <c r="F178" s="1190">
        <f t="shared" si="11"/>
        <v>1400</v>
      </c>
      <c r="G178" s="1192" t="s">
        <v>3</v>
      </c>
      <c r="H178" s="1189">
        <v>4</v>
      </c>
      <c r="I178" s="1191" t="s">
        <v>40</v>
      </c>
      <c r="J178" s="149">
        <v>200</v>
      </c>
      <c r="K178" s="66">
        <v>360</v>
      </c>
      <c r="L178" s="66">
        <v>1400</v>
      </c>
      <c r="M178" s="158">
        <v>27.429063052578911</v>
      </c>
      <c r="N178" s="78">
        <v>1790.3598990574164</v>
      </c>
      <c r="O178" s="113">
        <v>46954.152054471975</v>
      </c>
      <c r="P178" s="111">
        <v>57521.096333257417</v>
      </c>
      <c r="Q178" s="254">
        <v>21446.834218596705</v>
      </c>
      <c r="R178" s="263">
        <v>68400.986273068673</v>
      </c>
      <c r="S178" s="259">
        <v>78967.930551854122</v>
      </c>
      <c r="U178" s="7" t="s">
        <v>5581</v>
      </c>
    </row>
    <row r="179" spans="1:21" ht="16.5" thickBot="1">
      <c r="A179" s="1188" t="s">
        <v>4533</v>
      </c>
      <c r="B179" s="1192">
        <f t="shared" si="9"/>
        <v>200</v>
      </c>
      <c r="C179" s="1192" t="s">
        <v>3</v>
      </c>
      <c r="D179" s="1192">
        <f t="shared" si="10"/>
        <v>360</v>
      </c>
      <c r="E179" s="1192" t="s">
        <v>3</v>
      </c>
      <c r="F179" s="1190">
        <f t="shared" si="11"/>
        <v>1450</v>
      </c>
      <c r="G179" s="1192" t="s">
        <v>3</v>
      </c>
      <c r="H179" s="1189">
        <v>4</v>
      </c>
      <c r="I179" s="1191" t="s">
        <v>40</v>
      </c>
      <c r="J179" s="149">
        <v>200</v>
      </c>
      <c r="K179" s="66">
        <v>360</v>
      </c>
      <c r="L179" s="66">
        <v>1450</v>
      </c>
      <c r="M179" s="158">
        <v>28.301940474681345</v>
      </c>
      <c r="N179" s="78">
        <v>1875.615132345865</v>
      </c>
      <c r="O179" s="113">
        <v>48237.502543446542</v>
      </c>
      <c r="P179" s="111">
        <v>59087.830233382192</v>
      </c>
      <c r="Q179" s="254">
        <v>22050.255102834893</v>
      </c>
      <c r="R179" s="263">
        <v>70287.757646281432</v>
      </c>
      <c r="S179" s="259">
        <v>81138.085336217089</v>
      </c>
      <c r="U179" s="7" t="s">
        <v>5582</v>
      </c>
    </row>
    <row r="180" spans="1:21" ht="16.5" thickBot="1">
      <c r="A180" s="1188" t="s">
        <v>4533</v>
      </c>
      <c r="B180" s="1192">
        <f t="shared" si="9"/>
        <v>200</v>
      </c>
      <c r="C180" s="1192" t="s">
        <v>3</v>
      </c>
      <c r="D180" s="1192">
        <f t="shared" si="10"/>
        <v>360</v>
      </c>
      <c r="E180" s="1192" t="s">
        <v>3</v>
      </c>
      <c r="F180" s="1190">
        <f t="shared" si="11"/>
        <v>1500</v>
      </c>
      <c r="G180" s="1192" t="s">
        <v>3</v>
      </c>
      <c r="H180" s="1189">
        <v>4</v>
      </c>
      <c r="I180" s="1191" t="s">
        <v>40</v>
      </c>
      <c r="J180" s="149">
        <v>200</v>
      </c>
      <c r="K180" s="66">
        <v>360</v>
      </c>
      <c r="L180" s="66">
        <v>1500</v>
      </c>
      <c r="M180" s="158">
        <v>29.91530669678378</v>
      </c>
      <c r="N180" s="78">
        <v>1960.8703656343132</v>
      </c>
      <c r="O180" s="113">
        <v>50702.632973975429</v>
      </c>
      <c r="P180" s="111">
        <v>62335.457033328661</v>
      </c>
      <c r="Q180" s="254">
        <v>22905.01012485685</v>
      </c>
      <c r="R180" s="263">
        <v>73607.643098832283</v>
      </c>
      <c r="S180" s="259">
        <v>85240.467158185507</v>
      </c>
      <c r="U180" s="7" t="s">
        <v>5583</v>
      </c>
    </row>
    <row r="181" spans="1:21" ht="16.5" thickBot="1">
      <c r="A181" s="1188" t="s">
        <v>4533</v>
      </c>
      <c r="B181" s="1192">
        <f t="shared" si="9"/>
        <v>200</v>
      </c>
      <c r="C181" s="1192" t="s">
        <v>3</v>
      </c>
      <c r="D181" s="1192">
        <f t="shared" si="10"/>
        <v>360</v>
      </c>
      <c r="E181" s="1192" t="s">
        <v>3</v>
      </c>
      <c r="F181" s="1190">
        <f t="shared" si="11"/>
        <v>1550</v>
      </c>
      <c r="G181" s="1192" t="s">
        <v>3</v>
      </c>
      <c r="H181" s="1189">
        <v>4</v>
      </c>
      <c r="I181" s="1191" t="s">
        <v>40</v>
      </c>
      <c r="J181" s="149">
        <v>200</v>
      </c>
      <c r="K181" s="66">
        <v>360</v>
      </c>
      <c r="L181" s="66">
        <v>1550</v>
      </c>
      <c r="M181" s="158">
        <v>30.788184118886218</v>
      </c>
      <c r="N181" s="78">
        <v>2046.1255989227616</v>
      </c>
      <c r="O181" s="113">
        <v>51985.983462950004</v>
      </c>
      <c r="P181" s="111">
        <v>63902.190933453414</v>
      </c>
      <c r="Q181" s="254">
        <v>23508.431009095038</v>
      </c>
      <c r="R181" s="263">
        <v>75494.414472045042</v>
      </c>
      <c r="S181" s="259">
        <v>87410.62194254846</v>
      </c>
      <c r="U181" s="7" t="s">
        <v>5584</v>
      </c>
    </row>
    <row r="182" spans="1:21" ht="16.5" thickBot="1">
      <c r="A182" s="1188" t="s">
        <v>4533</v>
      </c>
      <c r="B182" s="1189">
        <f t="shared" si="9"/>
        <v>200</v>
      </c>
      <c r="C182" s="1189" t="s">
        <v>3</v>
      </c>
      <c r="D182" s="1189">
        <f t="shared" si="10"/>
        <v>360</v>
      </c>
      <c r="E182" s="1189" t="s">
        <v>3</v>
      </c>
      <c r="F182" s="1190">
        <f t="shared" si="11"/>
        <v>1600</v>
      </c>
      <c r="G182" s="1189" t="s">
        <v>3</v>
      </c>
      <c r="H182" s="1189">
        <v>4</v>
      </c>
      <c r="I182" s="1191" t="s">
        <v>40</v>
      </c>
      <c r="J182" s="149">
        <v>200</v>
      </c>
      <c r="K182" s="66">
        <v>360</v>
      </c>
      <c r="L182" s="66">
        <v>1600</v>
      </c>
      <c r="M182" s="158">
        <v>31.661061540988644</v>
      </c>
      <c r="N182" s="78">
        <v>2131.38083221121</v>
      </c>
      <c r="O182" s="113">
        <v>53269.333951924564</v>
      </c>
      <c r="P182" s="111">
        <v>65468.924833578189</v>
      </c>
      <c r="Q182" s="254">
        <v>24111.851893333227</v>
      </c>
      <c r="R182" s="263">
        <v>77381.185845257787</v>
      </c>
      <c r="S182" s="259">
        <v>89580.776726911412</v>
      </c>
      <c r="U182" s="7" t="s">
        <v>5585</v>
      </c>
    </row>
    <row r="183" spans="1:21" ht="16.5" thickBot="1">
      <c r="A183" s="1188" t="s">
        <v>4533</v>
      </c>
      <c r="B183" s="1192">
        <f t="shared" si="9"/>
        <v>200</v>
      </c>
      <c r="C183" s="1192" t="s">
        <v>3</v>
      </c>
      <c r="D183" s="1192">
        <f t="shared" si="10"/>
        <v>360</v>
      </c>
      <c r="E183" s="1192" t="s">
        <v>3</v>
      </c>
      <c r="F183" s="1190">
        <f t="shared" si="11"/>
        <v>1650</v>
      </c>
      <c r="G183" s="1192" t="s">
        <v>3</v>
      </c>
      <c r="H183" s="1189">
        <v>4</v>
      </c>
      <c r="I183" s="1191" t="s">
        <v>40</v>
      </c>
      <c r="J183" s="149">
        <v>200</v>
      </c>
      <c r="K183" s="66">
        <v>360</v>
      </c>
      <c r="L183" s="66">
        <v>1650</v>
      </c>
      <c r="M183" s="158">
        <v>32.533938963091089</v>
      </c>
      <c r="N183" s="78">
        <v>2216.6360654996583</v>
      </c>
      <c r="O183" s="113">
        <v>54552.684440899138</v>
      </c>
      <c r="P183" s="111">
        <v>67035.658580674179</v>
      </c>
      <c r="Q183" s="254">
        <v>24966.606915355183</v>
      </c>
      <c r="R183" s="263">
        <v>79519.291356254325</v>
      </c>
      <c r="S183" s="259">
        <v>92002.265496029358</v>
      </c>
      <c r="U183" s="7" t="s">
        <v>5586</v>
      </c>
    </row>
    <row r="184" spans="1:21" ht="16.5" thickBot="1">
      <c r="A184" s="1188" t="s">
        <v>4533</v>
      </c>
      <c r="B184" s="1192">
        <f t="shared" si="9"/>
        <v>200</v>
      </c>
      <c r="C184" s="1192" t="s">
        <v>3</v>
      </c>
      <c r="D184" s="1192">
        <f t="shared" si="10"/>
        <v>360</v>
      </c>
      <c r="E184" s="1192" t="s">
        <v>3</v>
      </c>
      <c r="F184" s="1190">
        <f t="shared" si="11"/>
        <v>1700</v>
      </c>
      <c r="G184" s="1192" t="s">
        <v>3</v>
      </c>
      <c r="H184" s="1189">
        <v>4</v>
      </c>
      <c r="I184" s="1191" t="s">
        <v>40</v>
      </c>
      <c r="J184" s="149">
        <v>200</v>
      </c>
      <c r="K184" s="66">
        <v>360</v>
      </c>
      <c r="L184" s="66">
        <v>1700</v>
      </c>
      <c r="M184" s="158">
        <v>33.406816385193522</v>
      </c>
      <c r="N184" s="78">
        <v>2301.8912987881072</v>
      </c>
      <c r="O184" s="113">
        <v>55836.034776844936</v>
      </c>
      <c r="P184" s="111">
        <v>68602.392480798939</v>
      </c>
      <c r="Q184" s="254">
        <v>25570.027799593372</v>
      </c>
      <c r="R184" s="263">
        <v>81406.0625764383</v>
      </c>
      <c r="S184" s="259">
        <v>94172.420280392311</v>
      </c>
      <c r="U184" s="7" t="s">
        <v>5587</v>
      </c>
    </row>
    <row r="185" spans="1:21" ht="16.5" thickBot="1">
      <c r="A185" s="1188" t="s">
        <v>4533</v>
      </c>
      <c r="B185" s="1192">
        <f t="shared" si="9"/>
        <v>200</v>
      </c>
      <c r="C185" s="1192" t="s">
        <v>3</v>
      </c>
      <c r="D185" s="1192">
        <f t="shared" si="10"/>
        <v>360</v>
      </c>
      <c r="E185" s="1192" t="s">
        <v>3</v>
      </c>
      <c r="F185" s="1190">
        <f t="shared" si="11"/>
        <v>1750</v>
      </c>
      <c r="G185" s="1192" t="s">
        <v>3</v>
      </c>
      <c r="H185" s="1189">
        <v>4</v>
      </c>
      <c r="I185" s="1191" t="s">
        <v>40</v>
      </c>
      <c r="J185" s="149">
        <v>200</v>
      </c>
      <c r="K185" s="66">
        <v>360</v>
      </c>
      <c r="L185" s="66">
        <v>1750</v>
      </c>
      <c r="M185" s="158">
        <v>34.279693807295956</v>
      </c>
      <c r="N185" s="78">
        <v>2387.1465320765551</v>
      </c>
      <c r="O185" s="113">
        <v>57119.385265819503</v>
      </c>
      <c r="P185" s="111">
        <v>70169.126380923699</v>
      </c>
      <c r="Q185" s="254">
        <v>26424.782821615332</v>
      </c>
      <c r="R185" s="263">
        <v>83544.168087434839</v>
      </c>
      <c r="S185" s="259">
        <v>96593.909202539027</v>
      </c>
      <c r="U185" s="7" t="s">
        <v>5588</v>
      </c>
    </row>
    <row r="186" spans="1:21" ht="16.5" thickBot="1">
      <c r="A186" s="1188" t="s">
        <v>4533</v>
      </c>
      <c r="B186" s="1192">
        <f t="shared" si="9"/>
        <v>200</v>
      </c>
      <c r="C186" s="1192" t="s">
        <v>3</v>
      </c>
      <c r="D186" s="1192">
        <f t="shared" si="10"/>
        <v>360</v>
      </c>
      <c r="E186" s="1192" t="s">
        <v>3</v>
      </c>
      <c r="F186" s="1190">
        <f t="shared" si="11"/>
        <v>1800</v>
      </c>
      <c r="G186" s="1192" t="s">
        <v>3</v>
      </c>
      <c r="H186" s="1189">
        <v>4</v>
      </c>
      <c r="I186" s="1191" t="s">
        <v>40</v>
      </c>
      <c r="J186" s="149">
        <v>200</v>
      </c>
      <c r="K186" s="66">
        <v>360</v>
      </c>
      <c r="L186" s="66">
        <v>1800</v>
      </c>
      <c r="M186" s="158">
        <v>35.152571229398383</v>
      </c>
      <c r="N186" s="78">
        <v>2472.4017653650035</v>
      </c>
      <c r="O186" s="113">
        <v>58402.73575479407</v>
      </c>
      <c r="P186" s="111">
        <v>71735.860281048459</v>
      </c>
      <c r="Q186" s="254">
        <v>27028.203705853517</v>
      </c>
      <c r="R186" s="263">
        <v>85430.939460647583</v>
      </c>
      <c r="S186" s="259">
        <v>98764.06398690198</v>
      </c>
      <c r="U186" s="7" t="s">
        <v>5589</v>
      </c>
    </row>
    <row r="187" spans="1:21" ht="16.5" thickBot="1">
      <c r="A187" s="1188" t="s">
        <v>4533</v>
      </c>
      <c r="B187" s="1192">
        <f t="shared" si="9"/>
        <v>200</v>
      </c>
      <c r="C187" s="1192" t="s">
        <v>3</v>
      </c>
      <c r="D187" s="1192">
        <f t="shared" si="10"/>
        <v>360</v>
      </c>
      <c r="E187" s="1192" t="s">
        <v>3</v>
      </c>
      <c r="F187" s="1190">
        <f t="shared" si="11"/>
        <v>1850</v>
      </c>
      <c r="G187" s="1192" t="s">
        <v>3</v>
      </c>
      <c r="H187" s="1189">
        <v>4</v>
      </c>
      <c r="I187" s="1191" t="s">
        <v>40</v>
      </c>
      <c r="J187" s="149">
        <v>200</v>
      </c>
      <c r="K187" s="66">
        <v>360</v>
      </c>
      <c r="L187" s="66">
        <v>1850</v>
      </c>
      <c r="M187" s="158">
        <v>36.025448651500824</v>
      </c>
      <c r="N187" s="78">
        <v>2557.6569986534523</v>
      </c>
      <c r="O187" s="113">
        <v>59686.086243768637</v>
      </c>
      <c r="P187" s="111">
        <v>73302.594181173234</v>
      </c>
      <c r="Q187" s="254">
        <v>27882.958880904247</v>
      </c>
      <c r="R187" s="263">
        <v>87569.045124672877</v>
      </c>
      <c r="S187" s="259">
        <v>101185.55306207748</v>
      </c>
      <c r="U187" s="7" t="s">
        <v>5590</v>
      </c>
    </row>
    <row r="188" spans="1:21" ht="16.5" thickBot="1">
      <c r="A188" s="1188" t="s">
        <v>4533</v>
      </c>
      <c r="B188" s="1192">
        <f t="shared" si="9"/>
        <v>200</v>
      </c>
      <c r="C188" s="1192" t="s">
        <v>3</v>
      </c>
      <c r="D188" s="1192">
        <f t="shared" si="10"/>
        <v>360</v>
      </c>
      <c r="E188" s="1192" t="s">
        <v>3</v>
      </c>
      <c r="F188" s="1190">
        <f t="shared" si="11"/>
        <v>1900</v>
      </c>
      <c r="G188" s="1192" t="s">
        <v>3</v>
      </c>
      <c r="H188" s="1189">
        <v>4</v>
      </c>
      <c r="I188" s="1191" t="s">
        <v>40</v>
      </c>
      <c r="J188" s="149">
        <v>200</v>
      </c>
      <c r="K188" s="66">
        <v>360</v>
      </c>
      <c r="L188" s="66">
        <v>1900</v>
      </c>
      <c r="M188" s="158">
        <v>36.898326073603251</v>
      </c>
      <c r="N188" s="78">
        <v>2642.9122319419007</v>
      </c>
      <c r="O188" s="113">
        <v>60969.436579714442</v>
      </c>
      <c r="P188" s="111">
        <v>74869.327928269209</v>
      </c>
      <c r="Q188" s="254">
        <v>28486.379765142432</v>
      </c>
      <c r="R188" s="263">
        <v>89455.816344856867</v>
      </c>
      <c r="S188" s="259">
        <v>103355.70769341165</v>
      </c>
      <c r="U188" s="7" t="s">
        <v>5591</v>
      </c>
    </row>
    <row r="189" spans="1:21" ht="16.5" thickBot="1">
      <c r="A189" s="1188" t="s">
        <v>4533</v>
      </c>
      <c r="B189" s="1192">
        <f t="shared" si="9"/>
        <v>200</v>
      </c>
      <c r="C189" s="1192" t="s">
        <v>3</v>
      </c>
      <c r="D189" s="1192">
        <f t="shared" si="10"/>
        <v>360</v>
      </c>
      <c r="E189" s="1192" t="s">
        <v>3</v>
      </c>
      <c r="F189" s="1190">
        <f t="shared" si="11"/>
        <v>1950</v>
      </c>
      <c r="G189" s="1192" t="s">
        <v>3</v>
      </c>
      <c r="H189" s="1189">
        <v>4</v>
      </c>
      <c r="I189" s="1191" t="s">
        <v>40</v>
      </c>
      <c r="J189" s="149">
        <v>200</v>
      </c>
      <c r="K189" s="66">
        <v>360</v>
      </c>
      <c r="L189" s="66">
        <v>1950</v>
      </c>
      <c r="M189" s="158">
        <v>37.771203495705691</v>
      </c>
      <c r="N189" s="78">
        <v>2728.1674652303491</v>
      </c>
      <c r="O189" s="113">
        <v>62252.787068689009</v>
      </c>
      <c r="P189" s="111">
        <v>76436.061828393984</v>
      </c>
      <c r="Q189" s="254">
        <v>29089.800649380621</v>
      </c>
      <c r="R189" s="263">
        <v>91342.587718069626</v>
      </c>
      <c r="S189" s="259">
        <v>105525.8624777746</v>
      </c>
      <c r="U189" s="7" t="s">
        <v>5592</v>
      </c>
    </row>
    <row r="190" spans="1:21" ht="16.5" thickBot="1">
      <c r="A190" s="1188" t="s">
        <v>4533</v>
      </c>
      <c r="B190" s="1192">
        <f t="shared" si="9"/>
        <v>200</v>
      </c>
      <c r="C190" s="1192" t="s">
        <v>3</v>
      </c>
      <c r="D190" s="1192">
        <f t="shared" si="10"/>
        <v>360</v>
      </c>
      <c r="E190" s="1192" t="s">
        <v>3</v>
      </c>
      <c r="F190" s="1190">
        <f t="shared" si="11"/>
        <v>2000</v>
      </c>
      <c r="G190" s="1192" t="s">
        <v>3</v>
      </c>
      <c r="H190" s="1189">
        <v>4</v>
      </c>
      <c r="I190" s="1191" t="s">
        <v>40</v>
      </c>
      <c r="J190" s="149">
        <v>200</v>
      </c>
      <c r="K190" s="66">
        <v>360</v>
      </c>
      <c r="L190" s="66">
        <v>2000</v>
      </c>
      <c r="M190" s="158">
        <v>38.80015291780812</v>
      </c>
      <c r="N190" s="78">
        <v>2813.422698518797</v>
      </c>
      <c r="O190" s="113">
        <v>64044.113176863175</v>
      </c>
      <c r="P190" s="111">
        <v>78185.279470355003</v>
      </c>
      <c r="Q190" s="254">
        <v>29944.555671402581</v>
      </c>
      <c r="R190" s="263">
        <v>93988.668848265748</v>
      </c>
      <c r="S190" s="259">
        <v>108129.83514175759</v>
      </c>
      <c r="U190" s="7" t="s">
        <v>5593</v>
      </c>
    </row>
    <row r="191" spans="1:21" ht="16.5" thickBot="1">
      <c r="A191" s="1188" t="s">
        <v>4533</v>
      </c>
      <c r="B191" s="1192">
        <f t="shared" si="9"/>
        <v>200</v>
      </c>
      <c r="C191" s="1192" t="s">
        <v>3</v>
      </c>
      <c r="D191" s="1192">
        <f t="shared" si="10"/>
        <v>360</v>
      </c>
      <c r="E191" s="1192" t="s">
        <v>3</v>
      </c>
      <c r="F191" s="1190">
        <f t="shared" si="11"/>
        <v>2050</v>
      </c>
      <c r="G191" s="1192" t="s">
        <v>3</v>
      </c>
      <c r="H191" s="1189">
        <v>4</v>
      </c>
      <c r="I191" s="1191" t="s">
        <v>40</v>
      </c>
      <c r="J191" s="149">
        <v>200</v>
      </c>
      <c r="K191" s="66">
        <v>360</v>
      </c>
      <c r="L191" s="66">
        <v>2050</v>
      </c>
      <c r="M191" s="158">
        <v>39.673030339910554</v>
      </c>
      <c r="N191" s="78">
        <v>2898.6779318072458</v>
      </c>
      <c r="O191" s="113">
        <v>65327.463665837749</v>
      </c>
      <c r="P191" s="111">
        <v>79752.013370479763</v>
      </c>
      <c r="Q191" s="254">
        <v>30547.976555640766</v>
      </c>
      <c r="R191" s="263">
        <v>95875.440221478522</v>
      </c>
      <c r="S191" s="259">
        <v>110299.98992612053</v>
      </c>
      <c r="U191" s="7" t="s">
        <v>5594</v>
      </c>
    </row>
    <row r="192" spans="1:21" ht="16.5" thickBot="1">
      <c r="A192" s="1188" t="s">
        <v>4533</v>
      </c>
      <c r="B192" s="1189">
        <f t="shared" si="9"/>
        <v>200</v>
      </c>
      <c r="C192" s="1189" t="s">
        <v>3</v>
      </c>
      <c r="D192" s="1189">
        <f t="shared" si="10"/>
        <v>360</v>
      </c>
      <c r="E192" s="1189" t="s">
        <v>3</v>
      </c>
      <c r="F192" s="1190">
        <f t="shared" si="11"/>
        <v>2100</v>
      </c>
      <c r="G192" s="1189" t="s">
        <v>3</v>
      </c>
      <c r="H192" s="1189">
        <v>4</v>
      </c>
      <c r="I192" s="1191" t="s">
        <v>40</v>
      </c>
      <c r="J192" s="149">
        <v>200</v>
      </c>
      <c r="K192" s="66">
        <v>360</v>
      </c>
      <c r="L192" s="66">
        <v>2100</v>
      </c>
      <c r="M192" s="158">
        <v>40.545907762012988</v>
      </c>
      <c r="N192" s="78">
        <v>2983.9331650956942</v>
      </c>
      <c r="O192" s="113">
        <v>66610.814154812309</v>
      </c>
      <c r="P192" s="111">
        <v>81318.747270604523</v>
      </c>
      <c r="Q192" s="254">
        <v>31402.731577662726</v>
      </c>
      <c r="R192" s="263">
        <v>98013.545732475031</v>
      </c>
      <c r="S192" s="259">
        <v>112721.47884826724</v>
      </c>
      <c r="U192" s="7" t="s">
        <v>5595</v>
      </c>
    </row>
    <row r="193" spans="1:21" ht="16.5" thickBot="1">
      <c r="A193" s="1188" t="s">
        <v>4533</v>
      </c>
      <c r="B193" s="1192">
        <f t="shared" si="9"/>
        <v>200</v>
      </c>
      <c r="C193" s="1192" t="s">
        <v>3</v>
      </c>
      <c r="D193" s="1192">
        <f t="shared" si="10"/>
        <v>360</v>
      </c>
      <c r="E193" s="1192" t="s">
        <v>3</v>
      </c>
      <c r="F193" s="1190">
        <f t="shared" si="11"/>
        <v>2150</v>
      </c>
      <c r="G193" s="1192" t="s">
        <v>3</v>
      </c>
      <c r="H193" s="1189">
        <v>4</v>
      </c>
      <c r="I193" s="1191" t="s">
        <v>40</v>
      </c>
      <c r="J193" s="149">
        <v>200</v>
      </c>
      <c r="K193" s="66">
        <v>360</v>
      </c>
      <c r="L193" s="66">
        <v>2150</v>
      </c>
      <c r="M193" s="158">
        <v>41.418785184115428</v>
      </c>
      <c r="N193" s="78">
        <v>3069.1883983841426</v>
      </c>
      <c r="O193" s="113">
        <v>67894.164643786877</v>
      </c>
      <c r="P193" s="111">
        <v>82885.481170729283</v>
      </c>
      <c r="Q193" s="254">
        <v>32006.152461900914</v>
      </c>
      <c r="R193" s="263">
        <v>99900.317105687791</v>
      </c>
      <c r="S193" s="259">
        <v>114891.6336326302</v>
      </c>
      <c r="U193" s="7" t="s">
        <v>5596</v>
      </c>
    </row>
    <row r="194" spans="1:21" ht="16.5" thickBot="1">
      <c r="A194" s="1188" t="s">
        <v>4533</v>
      </c>
      <c r="B194" s="1192">
        <f t="shared" si="9"/>
        <v>200</v>
      </c>
      <c r="C194" s="1192" t="s">
        <v>3</v>
      </c>
      <c r="D194" s="1192">
        <f t="shared" si="10"/>
        <v>360</v>
      </c>
      <c r="E194" s="1192" t="s">
        <v>3</v>
      </c>
      <c r="F194" s="1190">
        <f t="shared" si="11"/>
        <v>2200</v>
      </c>
      <c r="G194" s="1192" t="s">
        <v>3</v>
      </c>
      <c r="H194" s="1189">
        <v>4</v>
      </c>
      <c r="I194" s="1191" t="s">
        <v>40</v>
      </c>
      <c r="J194" s="149">
        <v>200</v>
      </c>
      <c r="K194" s="66">
        <v>360</v>
      </c>
      <c r="L194" s="66">
        <v>2200</v>
      </c>
      <c r="M194" s="158">
        <v>42.291662606217855</v>
      </c>
      <c r="N194" s="78">
        <v>3154.443631672591</v>
      </c>
      <c r="O194" s="113">
        <v>69177.514979732689</v>
      </c>
      <c r="P194" s="111">
        <v>84452.214917825288</v>
      </c>
      <c r="Q194" s="254">
        <v>32860.907483922878</v>
      </c>
      <c r="R194" s="263">
        <v>102038.42246365556</v>
      </c>
      <c r="S194" s="259">
        <v>117313.12240174817</v>
      </c>
      <c r="U194" s="7" t="s">
        <v>5597</v>
      </c>
    </row>
    <row r="195" spans="1:21" ht="16.5" thickBot="1">
      <c r="A195" s="1188" t="s">
        <v>4533</v>
      </c>
      <c r="B195" s="1192">
        <f t="shared" si="9"/>
        <v>200</v>
      </c>
      <c r="C195" s="1192" t="s">
        <v>3</v>
      </c>
      <c r="D195" s="1192">
        <f t="shared" si="10"/>
        <v>360</v>
      </c>
      <c r="E195" s="1192" t="s">
        <v>3</v>
      </c>
      <c r="F195" s="1190">
        <f t="shared" si="11"/>
        <v>2250</v>
      </c>
      <c r="G195" s="1192" t="s">
        <v>3</v>
      </c>
      <c r="H195" s="1189">
        <v>4</v>
      </c>
      <c r="I195" s="1191" t="s">
        <v>40</v>
      </c>
      <c r="J195" s="149">
        <v>200</v>
      </c>
      <c r="K195" s="66">
        <v>360</v>
      </c>
      <c r="L195" s="66">
        <v>2250</v>
      </c>
      <c r="M195" s="158">
        <v>43.164540028320289</v>
      </c>
      <c r="N195" s="78">
        <v>3239.6988649610394</v>
      </c>
      <c r="O195" s="113">
        <v>70460.865468707256</v>
      </c>
      <c r="P195" s="111">
        <v>86018.948817950048</v>
      </c>
      <c r="Q195" s="254">
        <v>33464.328368161063</v>
      </c>
      <c r="R195" s="263">
        <v>103925.19383686832</v>
      </c>
      <c r="S195" s="259">
        <v>119483.27718611111</v>
      </c>
      <c r="U195" s="7" t="s">
        <v>5598</v>
      </c>
    </row>
    <row r="196" spans="1:21" ht="16.5" thickBot="1">
      <c r="A196" s="1188" t="s">
        <v>4533</v>
      </c>
      <c r="B196" s="1192">
        <f t="shared" si="9"/>
        <v>200</v>
      </c>
      <c r="C196" s="1192" t="s">
        <v>3</v>
      </c>
      <c r="D196" s="1192">
        <f t="shared" si="10"/>
        <v>360</v>
      </c>
      <c r="E196" s="1192" t="s">
        <v>3</v>
      </c>
      <c r="F196" s="1190">
        <f t="shared" si="11"/>
        <v>2300</v>
      </c>
      <c r="G196" s="1192" t="s">
        <v>3</v>
      </c>
      <c r="H196" s="1189">
        <v>4</v>
      </c>
      <c r="I196" s="1191" t="s">
        <v>40</v>
      </c>
      <c r="J196" s="149">
        <v>200</v>
      </c>
      <c r="K196" s="66">
        <v>360</v>
      </c>
      <c r="L196" s="66">
        <v>2300</v>
      </c>
      <c r="M196" s="158">
        <v>44.037417450422723</v>
      </c>
      <c r="N196" s="78">
        <v>3324.9540982494877</v>
      </c>
      <c r="O196" s="113">
        <v>71744.215957681823</v>
      </c>
      <c r="P196" s="111">
        <v>87585.682718074808</v>
      </c>
      <c r="Q196" s="254">
        <v>34067.749252399248</v>
      </c>
      <c r="R196" s="263">
        <v>105811.96521008108</v>
      </c>
      <c r="S196" s="259">
        <v>121653.43197047405</v>
      </c>
      <c r="U196" s="7" t="s">
        <v>5599</v>
      </c>
    </row>
    <row r="197" spans="1:21" ht="16.5" thickBot="1">
      <c r="A197" s="1188" t="s">
        <v>4533</v>
      </c>
      <c r="B197" s="1192">
        <f t="shared" si="9"/>
        <v>200</v>
      </c>
      <c r="C197" s="1192" t="s">
        <v>3</v>
      </c>
      <c r="D197" s="1192">
        <f t="shared" si="10"/>
        <v>360</v>
      </c>
      <c r="E197" s="1192" t="s">
        <v>3</v>
      </c>
      <c r="F197" s="1190">
        <f t="shared" si="11"/>
        <v>2350</v>
      </c>
      <c r="G197" s="1192" t="s">
        <v>3</v>
      </c>
      <c r="H197" s="1189">
        <v>4</v>
      </c>
      <c r="I197" s="1191" t="s">
        <v>40</v>
      </c>
      <c r="J197" s="149">
        <v>200</v>
      </c>
      <c r="K197" s="66">
        <v>360</v>
      </c>
      <c r="L197" s="66">
        <v>2350</v>
      </c>
      <c r="M197" s="158">
        <v>44.910294872525171</v>
      </c>
      <c r="N197" s="78">
        <v>3410.2093315379361</v>
      </c>
      <c r="O197" s="113">
        <v>73027.56644665639</v>
      </c>
      <c r="P197" s="111">
        <v>89152.416618199568</v>
      </c>
      <c r="Q197" s="254">
        <v>34922.504274421211</v>
      </c>
      <c r="R197" s="263">
        <v>107950.0707210776</v>
      </c>
      <c r="S197" s="259">
        <v>124074.92089262078</v>
      </c>
      <c r="U197" s="7" t="s">
        <v>5600</v>
      </c>
    </row>
    <row r="198" spans="1:21" ht="16.5" thickBot="1">
      <c r="A198" s="1188" t="s">
        <v>4533</v>
      </c>
      <c r="B198" s="1192">
        <f t="shared" si="9"/>
        <v>200</v>
      </c>
      <c r="C198" s="1192" t="s">
        <v>3</v>
      </c>
      <c r="D198" s="1192">
        <f t="shared" si="10"/>
        <v>360</v>
      </c>
      <c r="E198" s="1192" t="s">
        <v>3</v>
      </c>
      <c r="F198" s="1190">
        <f t="shared" si="11"/>
        <v>2400</v>
      </c>
      <c r="G198" s="1192" t="s">
        <v>3</v>
      </c>
      <c r="H198" s="1189">
        <v>4</v>
      </c>
      <c r="I198" s="1191" t="s">
        <v>40</v>
      </c>
      <c r="J198" s="149">
        <v>200</v>
      </c>
      <c r="K198" s="66">
        <v>360</v>
      </c>
      <c r="L198" s="66">
        <v>2400</v>
      </c>
      <c r="M198" s="158">
        <v>45.78317229462759</v>
      </c>
      <c r="N198" s="78">
        <v>3495.464564826384</v>
      </c>
      <c r="O198" s="113">
        <v>74310.916782602188</v>
      </c>
      <c r="P198" s="111">
        <v>90719.150518324313</v>
      </c>
      <c r="Q198" s="254">
        <v>35525.925158659396</v>
      </c>
      <c r="R198" s="263">
        <v>109836.84194126158</v>
      </c>
      <c r="S198" s="259">
        <v>126245.07567698372</v>
      </c>
      <c r="U198" s="7" t="s">
        <v>5601</v>
      </c>
    </row>
    <row r="199" spans="1:21" ht="16.5" thickBot="1">
      <c r="A199" s="1188" t="s">
        <v>4533</v>
      </c>
      <c r="B199" s="1192">
        <f t="shared" si="9"/>
        <v>200</v>
      </c>
      <c r="C199" s="1192" t="s">
        <v>3</v>
      </c>
      <c r="D199" s="1192">
        <f t="shared" si="10"/>
        <v>360</v>
      </c>
      <c r="E199" s="1192" t="s">
        <v>3</v>
      </c>
      <c r="F199" s="1190">
        <f t="shared" si="11"/>
        <v>2450</v>
      </c>
      <c r="G199" s="1192" t="s">
        <v>3</v>
      </c>
      <c r="H199" s="1189">
        <v>4</v>
      </c>
      <c r="I199" s="1191" t="s">
        <v>40</v>
      </c>
      <c r="J199" s="149">
        <v>200</v>
      </c>
      <c r="K199" s="66">
        <v>360</v>
      </c>
      <c r="L199" s="66">
        <v>2450</v>
      </c>
      <c r="M199" s="158">
        <v>46.656049716730031</v>
      </c>
      <c r="N199" s="78">
        <v>3580.7197981148329</v>
      </c>
      <c r="O199" s="113">
        <v>75594.267271576755</v>
      </c>
      <c r="P199" s="111">
        <v>92285.884418449088</v>
      </c>
      <c r="Q199" s="254">
        <v>36380.680180681353</v>
      </c>
      <c r="R199" s="263">
        <v>111974.94745225811</v>
      </c>
      <c r="S199" s="259">
        <v>128666.56459913045</v>
      </c>
      <c r="U199" s="7" t="s">
        <v>5602</v>
      </c>
    </row>
    <row r="200" spans="1:21" ht="16.5" thickBot="1">
      <c r="A200" s="1188" t="s">
        <v>4533</v>
      </c>
      <c r="B200" s="1192">
        <f t="shared" si="9"/>
        <v>200</v>
      </c>
      <c r="C200" s="1192" t="s">
        <v>3</v>
      </c>
      <c r="D200" s="1192">
        <f t="shared" si="10"/>
        <v>360</v>
      </c>
      <c r="E200" s="1192" t="s">
        <v>3</v>
      </c>
      <c r="F200" s="1190">
        <f t="shared" si="11"/>
        <v>2500</v>
      </c>
      <c r="G200" s="1192" t="s">
        <v>3</v>
      </c>
      <c r="H200" s="1189">
        <v>4</v>
      </c>
      <c r="I200" s="1191" t="s">
        <v>40</v>
      </c>
      <c r="J200" s="149">
        <v>200</v>
      </c>
      <c r="K200" s="66">
        <v>360</v>
      </c>
      <c r="L200" s="66">
        <v>2500</v>
      </c>
      <c r="M200" s="158">
        <v>48.269415938832459</v>
      </c>
      <c r="N200" s="78">
        <v>3665.9750314032813</v>
      </c>
      <c r="O200" s="113">
        <v>78059.397855134419</v>
      </c>
      <c r="P200" s="111">
        <v>95533.511065366794</v>
      </c>
      <c r="Q200" s="254">
        <v>36984.101064919538</v>
      </c>
      <c r="R200" s="263">
        <v>115043.49892005396</v>
      </c>
      <c r="S200" s="259">
        <v>132517.61213028635</v>
      </c>
      <c r="U200" s="7" t="s">
        <v>5603</v>
      </c>
    </row>
    <row r="201" spans="1:21" ht="16.5" thickBot="1">
      <c r="A201" s="1188" t="s">
        <v>4533</v>
      </c>
      <c r="B201" s="1192">
        <f t="shared" si="9"/>
        <v>200</v>
      </c>
      <c r="C201" s="1192" t="s">
        <v>3</v>
      </c>
      <c r="D201" s="1192">
        <f t="shared" si="10"/>
        <v>360</v>
      </c>
      <c r="E201" s="1192" t="s">
        <v>3</v>
      </c>
      <c r="F201" s="1190">
        <f t="shared" si="11"/>
        <v>2550</v>
      </c>
      <c r="G201" s="1192" t="s">
        <v>3</v>
      </c>
      <c r="H201" s="1189">
        <v>4</v>
      </c>
      <c r="I201" s="1191" t="s">
        <v>40</v>
      </c>
      <c r="J201" s="149">
        <v>200</v>
      </c>
      <c r="K201" s="66">
        <v>360</v>
      </c>
      <c r="L201" s="66">
        <v>2550</v>
      </c>
      <c r="M201" s="158">
        <v>49.142293360934914</v>
      </c>
      <c r="N201" s="78">
        <v>3751.2302646917301</v>
      </c>
      <c r="O201" s="113">
        <v>79738.633453429822</v>
      </c>
      <c r="P201" s="111">
        <v>97115.54784200406</v>
      </c>
      <c r="Q201" s="254">
        <v>37838.856239970264</v>
      </c>
      <c r="R201" s="263">
        <v>117577.48969340009</v>
      </c>
      <c r="S201" s="259">
        <v>134954.40408197432</v>
      </c>
      <c r="U201" s="7" t="s">
        <v>5604</v>
      </c>
    </row>
    <row r="202" spans="1:21" ht="16.5" thickBot="1">
      <c r="A202" s="1188" t="s">
        <v>4533</v>
      </c>
      <c r="B202" s="1189">
        <f t="shared" si="9"/>
        <v>200</v>
      </c>
      <c r="C202" s="1189" t="s">
        <v>3</v>
      </c>
      <c r="D202" s="1189">
        <f t="shared" si="10"/>
        <v>360</v>
      </c>
      <c r="E202" s="1189" t="s">
        <v>3</v>
      </c>
      <c r="F202" s="1190">
        <f t="shared" si="11"/>
        <v>2600</v>
      </c>
      <c r="G202" s="1189" t="s">
        <v>3</v>
      </c>
      <c r="H202" s="1189">
        <v>4</v>
      </c>
      <c r="I202" s="1191" t="s">
        <v>40</v>
      </c>
      <c r="J202" s="149">
        <v>200</v>
      </c>
      <c r="K202" s="66">
        <v>360</v>
      </c>
      <c r="L202" s="66">
        <v>2600</v>
      </c>
      <c r="M202" s="158">
        <v>50.015170783037334</v>
      </c>
      <c r="N202" s="78">
        <v>3836.485497980178</v>
      </c>
      <c r="O202" s="113">
        <v>81021.983942404389</v>
      </c>
      <c r="P202" s="111">
        <v>98682.28174212882</v>
      </c>
      <c r="Q202" s="254">
        <v>38442.277124208456</v>
      </c>
      <c r="R202" s="263">
        <v>119464.26106661285</v>
      </c>
      <c r="S202" s="259">
        <v>137124.55886633729</v>
      </c>
      <c r="U202" s="7" t="s">
        <v>5605</v>
      </c>
    </row>
    <row r="203" spans="1:21" ht="16.5" thickBot="1">
      <c r="A203" s="1188" t="s">
        <v>4533</v>
      </c>
      <c r="B203" s="1192">
        <f t="shared" si="9"/>
        <v>200</v>
      </c>
      <c r="C203" s="1192" t="s">
        <v>3</v>
      </c>
      <c r="D203" s="1192">
        <f t="shared" si="10"/>
        <v>360</v>
      </c>
      <c r="E203" s="1192" t="s">
        <v>3</v>
      </c>
      <c r="F203" s="1190">
        <f t="shared" si="11"/>
        <v>2650</v>
      </c>
      <c r="G203" s="1192" t="s">
        <v>3</v>
      </c>
      <c r="H203" s="1189">
        <v>4</v>
      </c>
      <c r="I203" s="1191" t="s">
        <v>40</v>
      </c>
      <c r="J203" s="149">
        <v>200</v>
      </c>
      <c r="K203" s="66">
        <v>360</v>
      </c>
      <c r="L203" s="66">
        <v>2650</v>
      </c>
      <c r="M203" s="158">
        <v>50.888048205139768</v>
      </c>
      <c r="N203" s="78">
        <v>3921.7407312686264</v>
      </c>
      <c r="O203" s="113">
        <v>82305.334431378957</v>
      </c>
      <c r="P203" s="111">
        <v>100249.01564225358</v>
      </c>
      <c r="Q203" s="254">
        <v>39297.032146230413</v>
      </c>
      <c r="R203" s="263">
        <v>121602.36657760937</v>
      </c>
      <c r="S203" s="259">
        <v>139546.04778848399</v>
      </c>
      <c r="U203" s="7" t="s">
        <v>5606</v>
      </c>
    </row>
    <row r="204" spans="1:21" ht="16.5" thickBot="1">
      <c r="A204" s="1188" t="s">
        <v>4533</v>
      </c>
      <c r="B204" s="1192">
        <f t="shared" si="9"/>
        <v>200</v>
      </c>
      <c r="C204" s="1192" t="s">
        <v>3</v>
      </c>
      <c r="D204" s="1192">
        <f t="shared" si="10"/>
        <v>360</v>
      </c>
      <c r="E204" s="1192" t="s">
        <v>3</v>
      </c>
      <c r="F204" s="1190">
        <f t="shared" si="11"/>
        <v>2700</v>
      </c>
      <c r="G204" s="1192" t="s">
        <v>3</v>
      </c>
      <c r="H204" s="1189">
        <v>4</v>
      </c>
      <c r="I204" s="1191" t="s">
        <v>40</v>
      </c>
      <c r="J204" s="149">
        <v>200</v>
      </c>
      <c r="K204" s="66">
        <v>360</v>
      </c>
      <c r="L204" s="66">
        <v>2700</v>
      </c>
      <c r="M204" s="158">
        <v>51.760925627242209</v>
      </c>
      <c r="N204" s="78">
        <v>4006.9959645570752</v>
      </c>
      <c r="O204" s="113">
        <v>83588.684767324754</v>
      </c>
      <c r="P204" s="111">
        <v>101815.74938934958</v>
      </c>
      <c r="Q204" s="254">
        <v>39900.453030468605</v>
      </c>
      <c r="R204" s="263">
        <v>123489.13779779336</v>
      </c>
      <c r="S204" s="259">
        <v>141716.2024198182</v>
      </c>
      <c r="U204" s="7" t="s">
        <v>5607</v>
      </c>
    </row>
    <row r="205" spans="1:21" ht="16.5" thickBot="1">
      <c r="A205" s="1188" t="s">
        <v>4533</v>
      </c>
      <c r="B205" s="1192">
        <f t="shared" si="9"/>
        <v>200</v>
      </c>
      <c r="C205" s="1192" t="s">
        <v>3</v>
      </c>
      <c r="D205" s="1192">
        <f t="shared" si="10"/>
        <v>360</v>
      </c>
      <c r="E205" s="1192" t="s">
        <v>3</v>
      </c>
      <c r="F205" s="1190">
        <f t="shared" si="11"/>
        <v>2750</v>
      </c>
      <c r="G205" s="1192" t="s">
        <v>3</v>
      </c>
      <c r="H205" s="1189">
        <v>4</v>
      </c>
      <c r="I205" s="1191" t="s">
        <v>40</v>
      </c>
      <c r="J205" s="149">
        <v>200</v>
      </c>
      <c r="K205" s="66">
        <v>360</v>
      </c>
      <c r="L205" s="66">
        <v>2750</v>
      </c>
      <c r="M205" s="158">
        <v>52.633803049344635</v>
      </c>
      <c r="N205" s="78">
        <v>4092.2511978455232</v>
      </c>
      <c r="O205" s="113">
        <v>84872.035256299336</v>
      </c>
      <c r="P205" s="111">
        <v>103382.48328947433</v>
      </c>
      <c r="Q205" s="254">
        <v>40503.87391470679</v>
      </c>
      <c r="R205" s="263">
        <v>125375.90917100612</v>
      </c>
      <c r="S205" s="259">
        <v>143886.35720418111</v>
      </c>
      <c r="U205" s="7" t="s">
        <v>5608</v>
      </c>
    </row>
    <row r="206" spans="1:21" ht="16.5" thickBot="1">
      <c r="A206" s="1188" t="s">
        <v>4533</v>
      </c>
      <c r="B206" s="1192">
        <f t="shared" si="9"/>
        <v>200</v>
      </c>
      <c r="C206" s="1192" t="s">
        <v>3</v>
      </c>
      <c r="D206" s="1192">
        <f t="shared" si="10"/>
        <v>360</v>
      </c>
      <c r="E206" s="1192" t="s">
        <v>3</v>
      </c>
      <c r="F206" s="1190">
        <f t="shared" si="11"/>
        <v>2800</v>
      </c>
      <c r="G206" s="1192" t="s">
        <v>3</v>
      </c>
      <c r="H206" s="1189">
        <v>4</v>
      </c>
      <c r="I206" s="1191" t="s">
        <v>40</v>
      </c>
      <c r="J206" s="149">
        <v>200</v>
      </c>
      <c r="K206" s="66">
        <v>360</v>
      </c>
      <c r="L206" s="66">
        <v>2800</v>
      </c>
      <c r="M206" s="158">
        <v>53.506680471447083</v>
      </c>
      <c r="N206" s="78">
        <v>4177.506431133972</v>
      </c>
      <c r="O206" s="113">
        <v>86155.385745273888</v>
      </c>
      <c r="P206" s="111">
        <v>104949.21718959911</v>
      </c>
      <c r="Q206" s="254">
        <v>41358.628936728746</v>
      </c>
      <c r="R206" s="263">
        <v>127514.01468200263</v>
      </c>
      <c r="S206" s="259">
        <v>146307.84612632784</v>
      </c>
      <c r="U206" s="7" t="s">
        <v>5609</v>
      </c>
    </row>
    <row r="207" spans="1:21" ht="16.5" thickBot="1">
      <c r="A207" s="1188" t="s">
        <v>4533</v>
      </c>
      <c r="B207" s="1192">
        <f t="shared" si="9"/>
        <v>200</v>
      </c>
      <c r="C207" s="1192" t="s">
        <v>3</v>
      </c>
      <c r="D207" s="1192">
        <f t="shared" si="10"/>
        <v>360</v>
      </c>
      <c r="E207" s="1192" t="s">
        <v>3</v>
      </c>
      <c r="F207" s="1190">
        <f t="shared" si="11"/>
        <v>2850</v>
      </c>
      <c r="G207" s="1192" t="s">
        <v>3</v>
      </c>
      <c r="H207" s="1189">
        <v>4</v>
      </c>
      <c r="I207" s="1191" t="s">
        <v>40</v>
      </c>
      <c r="J207" s="149">
        <v>200</v>
      </c>
      <c r="K207" s="66">
        <v>360</v>
      </c>
      <c r="L207" s="66">
        <v>2850</v>
      </c>
      <c r="M207" s="158">
        <v>54.379557893549503</v>
      </c>
      <c r="N207" s="78">
        <v>4262.7616644224199</v>
      </c>
      <c r="O207" s="113">
        <v>87438.73623424847</v>
      </c>
      <c r="P207" s="111">
        <v>106515.95108972387</v>
      </c>
      <c r="Q207" s="254">
        <v>41962.049820966939</v>
      </c>
      <c r="R207" s="263">
        <v>129400.7860552154</v>
      </c>
      <c r="S207" s="259">
        <v>148478.00091069081</v>
      </c>
      <c r="U207" s="7" t="s">
        <v>5610</v>
      </c>
    </row>
    <row r="208" spans="1:21" ht="16.5" thickBot="1">
      <c r="A208" s="1188" t="s">
        <v>4533</v>
      </c>
      <c r="B208" s="1192">
        <f t="shared" si="9"/>
        <v>200</v>
      </c>
      <c r="C208" s="1192" t="s">
        <v>3</v>
      </c>
      <c r="D208" s="1192">
        <f t="shared" si="10"/>
        <v>360</v>
      </c>
      <c r="E208" s="1192" t="s">
        <v>3</v>
      </c>
      <c r="F208" s="1190">
        <f t="shared" si="11"/>
        <v>2900</v>
      </c>
      <c r="G208" s="1192" t="s">
        <v>3</v>
      </c>
      <c r="H208" s="1189">
        <v>4</v>
      </c>
      <c r="I208" s="1191" t="s">
        <v>40</v>
      </c>
      <c r="J208" s="149">
        <v>200</v>
      </c>
      <c r="K208" s="66">
        <v>360</v>
      </c>
      <c r="L208" s="66">
        <v>2900</v>
      </c>
      <c r="M208" s="158">
        <v>55.252435315651937</v>
      </c>
      <c r="N208" s="78">
        <v>4348.0168977108679</v>
      </c>
      <c r="O208" s="113">
        <v>88722.086570194268</v>
      </c>
      <c r="P208" s="111">
        <v>108082.68498984861</v>
      </c>
      <c r="Q208" s="254">
        <v>42816.804842988895</v>
      </c>
      <c r="R208" s="263">
        <v>131538.89141318316</v>
      </c>
      <c r="S208" s="259">
        <v>150899.48983283751</v>
      </c>
      <c r="U208" s="7" t="s">
        <v>5611</v>
      </c>
    </row>
    <row r="209" spans="1:21" ht="16.5" thickBot="1">
      <c r="A209" s="1188" t="s">
        <v>4533</v>
      </c>
      <c r="B209" s="1192">
        <f t="shared" si="9"/>
        <v>200</v>
      </c>
      <c r="C209" s="1192" t="s">
        <v>3</v>
      </c>
      <c r="D209" s="1192">
        <f t="shared" si="10"/>
        <v>360</v>
      </c>
      <c r="E209" s="1192" t="s">
        <v>3</v>
      </c>
      <c r="F209" s="1190">
        <f t="shared" si="11"/>
        <v>2950</v>
      </c>
      <c r="G209" s="1192" t="s">
        <v>3</v>
      </c>
      <c r="H209" s="1189">
        <v>4</v>
      </c>
      <c r="I209" s="1191" t="s">
        <v>40</v>
      </c>
      <c r="J209" s="149">
        <v>200</v>
      </c>
      <c r="K209" s="66">
        <v>360</v>
      </c>
      <c r="L209" s="66">
        <v>2950</v>
      </c>
      <c r="M209" s="158">
        <v>56.125312737754385</v>
      </c>
      <c r="N209" s="78">
        <v>4433.2721309993167</v>
      </c>
      <c r="O209" s="113">
        <v>90005.43705916882</v>
      </c>
      <c r="P209" s="111">
        <v>109649.41888997339</v>
      </c>
      <c r="Q209" s="254">
        <v>43420.22572722708</v>
      </c>
      <c r="R209" s="263">
        <v>133425.6627863959</v>
      </c>
      <c r="S209" s="259">
        <v>153069.64461720048</v>
      </c>
      <c r="U209" s="7" t="s">
        <v>5612</v>
      </c>
    </row>
    <row r="210" spans="1:21" ht="16.5" thickBot="1">
      <c r="A210" s="1188" t="s">
        <v>4533</v>
      </c>
      <c r="B210" s="1192">
        <f t="shared" si="9"/>
        <v>200</v>
      </c>
      <c r="C210" s="1192" t="s">
        <v>3</v>
      </c>
      <c r="D210" s="1192">
        <f t="shared" si="10"/>
        <v>360</v>
      </c>
      <c r="E210" s="1192" t="s">
        <v>3</v>
      </c>
      <c r="F210" s="1190">
        <f t="shared" si="11"/>
        <v>3000</v>
      </c>
      <c r="G210" s="1192" t="s">
        <v>3</v>
      </c>
      <c r="H210" s="1189">
        <v>4</v>
      </c>
      <c r="I210" s="1191" t="s">
        <v>40</v>
      </c>
      <c r="J210" s="151">
        <v>200</v>
      </c>
      <c r="K210" s="126">
        <v>360</v>
      </c>
      <c r="L210" s="126">
        <v>3000</v>
      </c>
      <c r="M210" s="159">
        <v>57.310334159856808</v>
      </c>
      <c r="N210" s="127">
        <v>4518.5273642877655</v>
      </c>
      <c r="O210" s="128">
        <v>91576.138842144515</v>
      </c>
      <c r="P210" s="135">
        <v>111503.5039310705</v>
      </c>
      <c r="Q210" s="255">
        <v>44274.980749249036</v>
      </c>
      <c r="R210" s="264">
        <v>135851.11959139357</v>
      </c>
      <c r="S210" s="261">
        <v>155778.48468031955</v>
      </c>
      <c r="U210" s="7" t="s">
        <v>5613</v>
      </c>
    </row>
    <row r="211" spans="1:21" ht="19.5" thickBot="1">
      <c r="A211" s="2968" t="s">
        <v>60</v>
      </c>
      <c r="B211" s="2969"/>
      <c r="C211" s="2969"/>
      <c r="D211" s="2969"/>
      <c r="E211" s="2969"/>
      <c r="F211" s="2969"/>
      <c r="G211" s="2969"/>
      <c r="H211" s="2969"/>
      <c r="I211" s="2969"/>
      <c r="J211" s="2969"/>
      <c r="K211" s="2969"/>
      <c r="L211" s="2969"/>
      <c r="M211" s="2969"/>
      <c r="N211" s="2969"/>
      <c r="O211" s="2969"/>
      <c r="P211" s="2969"/>
      <c r="Q211" s="2969"/>
      <c r="R211" s="2969"/>
      <c r="S211" s="2970"/>
      <c r="U211" s="7"/>
    </row>
    <row r="212" spans="1:21" ht="16.5" customHeight="1" thickBot="1">
      <c r="A212" s="3050" t="s">
        <v>4534</v>
      </c>
      <c r="B212" s="3051"/>
      <c r="C212" s="3051"/>
      <c r="D212" s="3051"/>
      <c r="E212" s="3051"/>
      <c r="F212" s="3051"/>
      <c r="G212" s="3051"/>
      <c r="H212" s="3051"/>
      <c r="I212" s="3051"/>
      <c r="J212" s="3051"/>
      <c r="K212" s="3051"/>
      <c r="L212" s="3051"/>
      <c r="M212" s="3051"/>
      <c r="N212" s="3051"/>
      <c r="O212" s="3051"/>
      <c r="P212" s="3051"/>
      <c r="Q212" s="3051"/>
      <c r="R212" s="3051"/>
      <c r="S212" s="3052"/>
      <c r="U212" s="7"/>
    </row>
    <row r="213" spans="1:21" ht="16.5" thickBot="1">
      <c r="A213" s="1209" t="s">
        <v>4533</v>
      </c>
      <c r="B213" s="1192">
        <f>J213</f>
        <v>200</v>
      </c>
      <c r="C213" s="1192" t="s">
        <v>3</v>
      </c>
      <c r="D213" s="1192">
        <f>K213</f>
        <v>400</v>
      </c>
      <c r="E213" s="1192" t="s">
        <v>3</v>
      </c>
      <c r="F213" s="1202">
        <f>L213</f>
        <v>600</v>
      </c>
      <c r="G213" s="1192" t="s">
        <v>3</v>
      </c>
      <c r="H213" s="1192">
        <v>4</v>
      </c>
      <c r="I213" s="1210" t="s">
        <v>40</v>
      </c>
      <c r="J213" s="146">
        <v>200</v>
      </c>
      <c r="K213" s="122">
        <v>400</v>
      </c>
      <c r="L213" s="122">
        <v>600</v>
      </c>
      <c r="M213" s="1211">
        <v>13.306952298939962</v>
      </c>
      <c r="N213" s="123">
        <v>454.10507886435329</v>
      </c>
      <c r="O213" s="124">
        <v>26680.065866683151</v>
      </c>
      <c r="P213" s="148">
        <v>33602.951311394725</v>
      </c>
      <c r="Q213" s="253">
        <v>10760.15380676932</v>
      </c>
      <c r="R213" s="262">
        <v>37440.21967345247</v>
      </c>
      <c r="S213" s="257">
        <v>44363.105118164043</v>
      </c>
      <c r="U213" s="7" t="s">
        <v>5614</v>
      </c>
    </row>
    <row r="214" spans="1:21" ht="16.5" thickBot="1">
      <c r="A214" s="1188" t="s">
        <v>4533</v>
      </c>
      <c r="B214" s="1192">
        <f t="shared" ref="B214:B261" si="12">J214</f>
        <v>200</v>
      </c>
      <c r="C214" s="1192" t="s">
        <v>3</v>
      </c>
      <c r="D214" s="1192">
        <f t="shared" ref="D214:D261" si="13">K214</f>
        <v>400</v>
      </c>
      <c r="E214" s="1192" t="s">
        <v>3</v>
      </c>
      <c r="F214" s="1190">
        <f t="shared" ref="F214:F261" si="14">L214</f>
        <v>650</v>
      </c>
      <c r="G214" s="1192" t="s">
        <v>3</v>
      </c>
      <c r="H214" s="1189">
        <v>4</v>
      </c>
      <c r="I214" s="1191" t="s">
        <v>40</v>
      </c>
      <c r="J214" s="149">
        <v>200</v>
      </c>
      <c r="K214" s="271">
        <v>400</v>
      </c>
      <c r="L214" s="66">
        <v>650</v>
      </c>
      <c r="M214" s="158">
        <v>14.179829721042399</v>
      </c>
      <c r="N214" s="78">
        <v>544.92609463722397</v>
      </c>
      <c r="O214" s="113">
        <v>27984.768000169319</v>
      </c>
      <c r="P214" s="111">
        <v>35205.951957652753</v>
      </c>
      <c r="Q214" s="254">
        <v>11416.760909528057</v>
      </c>
      <c r="R214" s="273">
        <v>39401.528909697372</v>
      </c>
      <c r="S214" s="274">
        <v>46622.71286718081</v>
      </c>
      <c r="U214" s="7" t="s">
        <v>5615</v>
      </c>
    </row>
    <row r="215" spans="1:21" ht="16.5" thickBot="1">
      <c r="A215" s="1188" t="s">
        <v>4533</v>
      </c>
      <c r="B215" s="1192">
        <f t="shared" si="12"/>
        <v>200</v>
      </c>
      <c r="C215" s="1192" t="s">
        <v>3</v>
      </c>
      <c r="D215" s="1192">
        <f t="shared" si="13"/>
        <v>400</v>
      </c>
      <c r="E215" s="1192" t="s">
        <v>3</v>
      </c>
      <c r="F215" s="1190">
        <f t="shared" si="14"/>
        <v>700</v>
      </c>
      <c r="G215" s="1192" t="s">
        <v>3</v>
      </c>
      <c r="H215" s="1189">
        <v>4</v>
      </c>
      <c r="I215" s="1191" t="s">
        <v>40</v>
      </c>
      <c r="J215" s="149">
        <v>200</v>
      </c>
      <c r="K215" s="271">
        <v>400</v>
      </c>
      <c r="L215" s="66">
        <v>700</v>
      </c>
      <c r="M215" s="158">
        <v>15.052707143144833</v>
      </c>
      <c r="N215" s="78">
        <v>635.74711041009459</v>
      </c>
      <c r="O215" s="113">
        <v>29289.470133655475</v>
      </c>
      <c r="P215" s="111">
        <v>36808.952450882018</v>
      </c>
      <c r="Q215" s="254">
        <v>12324.7019970418</v>
      </c>
      <c r="R215" s="273">
        <v>41614.172130697276</v>
      </c>
      <c r="S215" s="274">
        <v>49133.654447923822</v>
      </c>
      <c r="U215" s="7" t="s">
        <v>5616</v>
      </c>
    </row>
    <row r="216" spans="1:21" ht="16.5" thickBot="1">
      <c r="A216" s="1188" t="s">
        <v>4533</v>
      </c>
      <c r="B216" s="1192">
        <f t="shared" si="12"/>
        <v>200</v>
      </c>
      <c r="C216" s="1192" t="s">
        <v>3</v>
      </c>
      <c r="D216" s="1192">
        <f t="shared" si="13"/>
        <v>400</v>
      </c>
      <c r="E216" s="1192" t="s">
        <v>3</v>
      </c>
      <c r="F216" s="1190">
        <f t="shared" si="14"/>
        <v>750</v>
      </c>
      <c r="G216" s="1192" t="s">
        <v>3</v>
      </c>
      <c r="H216" s="1189">
        <v>4</v>
      </c>
      <c r="I216" s="1191" t="s">
        <v>40</v>
      </c>
      <c r="J216" s="149">
        <v>200</v>
      </c>
      <c r="K216" s="271">
        <v>400</v>
      </c>
      <c r="L216" s="66">
        <v>750</v>
      </c>
      <c r="M216" s="158">
        <v>15.925584565247267</v>
      </c>
      <c r="N216" s="78">
        <v>726.56812618296533</v>
      </c>
      <c r="O216" s="113">
        <v>30594.172420170409</v>
      </c>
      <c r="P216" s="111">
        <v>38411.952944111283</v>
      </c>
      <c r="Q216" s="254">
        <v>12981.309099800537</v>
      </c>
      <c r="R216" s="273">
        <v>43575.481519970948</v>
      </c>
      <c r="S216" s="274">
        <v>51393.262043911818</v>
      </c>
      <c r="U216" s="7" t="s">
        <v>5617</v>
      </c>
    </row>
    <row r="217" spans="1:21" ht="16.5" thickBot="1">
      <c r="A217" s="1188" t="s">
        <v>4533</v>
      </c>
      <c r="B217" s="1192">
        <f t="shared" si="12"/>
        <v>200</v>
      </c>
      <c r="C217" s="1192" t="s">
        <v>3</v>
      </c>
      <c r="D217" s="1192">
        <f t="shared" si="13"/>
        <v>400</v>
      </c>
      <c r="E217" s="1192" t="s">
        <v>3</v>
      </c>
      <c r="F217" s="1190">
        <f t="shared" si="14"/>
        <v>800</v>
      </c>
      <c r="G217" s="1192" t="s">
        <v>3</v>
      </c>
      <c r="H217" s="1189">
        <v>4</v>
      </c>
      <c r="I217" s="1191" t="s">
        <v>40</v>
      </c>
      <c r="J217" s="149">
        <v>200</v>
      </c>
      <c r="K217" s="271">
        <v>400</v>
      </c>
      <c r="L217" s="66">
        <v>800</v>
      </c>
      <c r="M217" s="158">
        <v>16.798461987349697</v>
      </c>
      <c r="N217" s="78">
        <v>817.38914195583595</v>
      </c>
      <c r="O217" s="113">
        <v>32296.268220544018</v>
      </c>
      <c r="P217" s="111">
        <v>40030.256313853046</v>
      </c>
      <c r="Q217" s="254">
        <v>13637.916049530511</v>
      </c>
      <c r="R217" s="273">
        <v>45934.184270074533</v>
      </c>
      <c r="S217" s="274">
        <v>53668.172363383557</v>
      </c>
      <c r="U217" s="7" t="s">
        <v>5618</v>
      </c>
    </row>
    <row r="218" spans="1:21" ht="16.5" thickBot="1">
      <c r="A218" s="1188" t="s">
        <v>4533</v>
      </c>
      <c r="B218" s="1192">
        <f t="shared" si="12"/>
        <v>200</v>
      </c>
      <c r="C218" s="1192" t="s">
        <v>3</v>
      </c>
      <c r="D218" s="1192">
        <f t="shared" si="13"/>
        <v>400</v>
      </c>
      <c r="E218" s="1192" t="s">
        <v>3</v>
      </c>
      <c r="F218" s="1190">
        <f t="shared" si="14"/>
        <v>850</v>
      </c>
      <c r="G218" s="1192" t="s">
        <v>3</v>
      </c>
      <c r="H218" s="1189">
        <v>4</v>
      </c>
      <c r="I218" s="1191" t="s">
        <v>40</v>
      </c>
      <c r="J218" s="149">
        <v>200</v>
      </c>
      <c r="K218" s="271">
        <v>400</v>
      </c>
      <c r="L218" s="66">
        <v>850</v>
      </c>
      <c r="M218" s="158">
        <v>17.671339409452134</v>
      </c>
      <c r="N218" s="78">
        <v>908.21015772870658</v>
      </c>
      <c r="O218" s="113">
        <v>33600.970354030185</v>
      </c>
      <c r="P218" s="111">
        <v>41633.256807082318</v>
      </c>
      <c r="Q218" s="254">
        <v>14545.85729007302</v>
      </c>
      <c r="R218" s="273">
        <v>48146.827644103207</v>
      </c>
      <c r="S218" s="274">
        <v>56179.11409715534</v>
      </c>
      <c r="U218" s="7" t="s">
        <v>5619</v>
      </c>
    </row>
    <row r="219" spans="1:21" ht="16.5" thickBot="1">
      <c r="A219" s="1188" t="s">
        <v>4533</v>
      </c>
      <c r="B219" s="1192">
        <f t="shared" si="12"/>
        <v>200</v>
      </c>
      <c r="C219" s="1192" t="s">
        <v>3</v>
      </c>
      <c r="D219" s="1192">
        <f t="shared" si="13"/>
        <v>400</v>
      </c>
      <c r="E219" s="1192" t="s">
        <v>3</v>
      </c>
      <c r="F219" s="1190">
        <f t="shared" si="14"/>
        <v>900</v>
      </c>
      <c r="G219" s="1192" t="s">
        <v>3</v>
      </c>
      <c r="H219" s="1189">
        <v>4</v>
      </c>
      <c r="I219" s="1191" t="s">
        <v>40</v>
      </c>
      <c r="J219" s="149">
        <v>200</v>
      </c>
      <c r="K219" s="271">
        <v>400</v>
      </c>
      <c r="L219" s="66">
        <v>900</v>
      </c>
      <c r="M219" s="158">
        <v>18.544216831554564</v>
      </c>
      <c r="N219" s="78">
        <v>999.03117350157731</v>
      </c>
      <c r="O219" s="113">
        <v>34905.672487516342</v>
      </c>
      <c r="P219" s="111">
        <v>43236.257300311583</v>
      </c>
      <c r="Q219" s="254">
        <v>15202.464239802994</v>
      </c>
      <c r="R219" s="273">
        <v>50108.136727319332</v>
      </c>
      <c r="S219" s="274">
        <v>58438.72154011458</v>
      </c>
      <c r="U219" s="7" t="s">
        <v>5620</v>
      </c>
    </row>
    <row r="220" spans="1:21" ht="16.5" thickBot="1">
      <c r="A220" s="1188" t="s">
        <v>4533</v>
      </c>
      <c r="B220" s="1192">
        <f t="shared" si="12"/>
        <v>200</v>
      </c>
      <c r="C220" s="1192" t="s">
        <v>3</v>
      </c>
      <c r="D220" s="1192">
        <f t="shared" si="13"/>
        <v>400</v>
      </c>
      <c r="E220" s="1192" t="s">
        <v>3</v>
      </c>
      <c r="F220" s="1190">
        <f t="shared" si="14"/>
        <v>950</v>
      </c>
      <c r="G220" s="1192" t="s">
        <v>3</v>
      </c>
      <c r="H220" s="1189">
        <v>4</v>
      </c>
      <c r="I220" s="1191" t="s">
        <v>40</v>
      </c>
      <c r="J220" s="149">
        <v>200</v>
      </c>
      <c r="K220" s="271">
        <v>400</v>
      </c>
      <c r="L220" s="66">
        <v>950</v>
      </c>
      <c r="M220" s="158">
        <v>19.417094253656998</v>
      </c>
      <c r="N220" s="78">
        <v>1089.8521892744479</v>
      </c>
      <c r="O220" s="113">
        <v>36210.374774031268</v>
      </c>
      <c r="P220" s="111">
        <v>44839.257793540841</v>
      </c>
      <c r="Q220" s="254">
        <v>16110.4054803455</v>
      </c>
      <c r="R220" s="273">
        <v>52320.780254376768</v>
      </c>
      <c r="S220" s="274">
        <v>60949.663273886341</v>
      </c>
      <c r="U220" s="7" t="s">
        <v>5621</v>
      </c>
    </row>
    <row r="221" spans="1:21" ht="16.5" thickBot="1">
      <c r="A221" s="1188" t="s">
        <v>4533</v>
      </c>
      <c r="B221" s="1192">
        <f t="shared" si="12"/>
        <v>200</v>
      </c>
      <c r="C221" s="1192" t="s">
        <v>3</v>
      </c>
      <c r="D221" s="1192">
        <f t="shared" si="13"/>
        <v>400</v>
      </c>
      <c r="E221" s="1192" t="s">
        <v>3</v>
      </c>
      <c r="F221" s="1190">
        <f t="shared" si="14"/>
        <v>1000</v>
      </c>
      <c r="G221" s="1192" t="s">
        <v>3</v>
      </c>
      <c r="H221" s="1189">
        <v>4</v>
      </c>
      <c r="I221" s="1191" t="s">
        <v>40</v>
      </c>
      <c r="J221" s="149">
        <v>200</v>
      </c>
      <c r="K221" s="271">
        <v>400</v>
      </c>
      <c r="L221" s="66">
        <v>1000</v>
      </c>
      <c r="M221" s="158">
        <v>20.446043675759441</v>
      </c>
      <c r="N221" s="78">
        <v>1180.6732050473186</v>
      </c>
      <c r="O221" s="113">
        <v>37592.693097188836</v>
      </c>
      <c r="P221" s="111">
        <v>46519.87447644151</v>
      </c>
      <c r="Q221" s="254">
        <v>16767.012583104239</v>
      </c>
      <c r="R221" s="273">
        <v>54359.705680293075</v>
      </c>
      <c r="S221" s="274">
        <v>63286.887059545748</v>
      </c>
      <c r="U221" s="7" t="s">
        <v>5622</v>
      </c>
    </row>
    <row r="222" spans="1:21" ht="16.5" thickBot="1">
      <c r="A222" s="1188" t="s">
        <v>4533</v>
      </c>
      <c r="B222" s="1192">
        <f t="shared" si="12"/>
        <v>200</v>
      </c>
      <c r="C222" s="1192" t="s">
        <v>3</v>
      </c>
      <c r="D222" s="1192">
        <f t="shared" si="13"/>
        <v>400</v>
      </c>
      <c r="E222" s="1192" t="s">
        <v>3</v>
      </c>
      <c r="F222" s="1190">
        <f t="shared" si="14"/>
        <v>1050</v>
      </c>
      <c r="G222" s="1192" t="s">
        <v>3</v>
      </c>
      <c r="H222" s="1189">
        <v>4</v>
      </c>
      <c r="I222" s="1191" t="s">
        <v>40</v>
      </c>
      <c r="J222" s="149">
        <v>200</v>
      </c>
      <c r="K222" s="271">
        <v>400</v>
      </c>
      <c r="L222" s="66">
        <v>1050</v>
      </c>
      <c r="M222" s="158">
        <v>21.318921097861871</v>
      </c>
      <c r="N222" s="78">
        <v>1271.4942208201892</v>
      </c>
      <c r="O222" s="113">
        <v>38897.395230675</v>
      </c>
      <c r="P222" s="111">
        <v>48122.874969670775</v>
      </c>
      <c r="Q222" s="254">
        <v>17674.953670617982</v>
      </c>
      <c r="R222" s="273">
        <v>56572.348901292979</v>
      </c>
      <c r="S222" s="274">
        <v>65797.828640288761</v>
      </c>
      <c r="U222" s="7" t="s">
        <v>5623</v>
      </c>
    </row>
    <row r="223" spans="1:21" ht="16.5" thickBot="1">
      <c r="A223" s="1188" t="s">
        <v>4533</v>
      </c>
      <c r="B223" s="1189">
        <f t="shared" si="12"/>
        <v>200</v>
      </c>
      <c r="C223" s="1189" t="s">
        <v>3</v>
      </c>
      <c r="D223" s="1189">
        <f t="shared" si="13"/>
        <v>400</v>
      </c>
      <c r="E223" s="1189" t="s">
        <v>3</v>
      </c>
      <c r="F223" s="1190">
        <f t="shared" si="14"/>
        <v>1100</v>
      </c>
      <c r="G223" s="1189" t="s">
        <v>3</v>
      </c>
      <c r="H223" s="1189">
        <v>4</v>
      </c>
      <c r="I223" s="1191" t="s">
        <v>40</v>
      </c>
      <c r="J223" s="149">
        <v>200</v>
      </c>
      <c r="K223" s="271">
        <v>400</v>
      </c>
      <c r="L223" s="66">
        <v>1100</v>
      </c>
      <c r="M223" s="158">
        <v>22.191798519964301</v>
      </c>
      <c r="N223" s="78">
        <v>1362.3152365930598</v>
      </c>
      <c r="O223" s="113">
        <v>40202.097364161164</v>
      </c>
      <c r="P223" s="111">
        <v>49725.87546290004</v>
      </c>
      <c r="Q223" s="254">
        <v>18331.560773376717</v>
      </c>
      <c r="R223" s="273">
        <v>58533.658137537881</v>
      </c>
      <c r="S223" s="274">
        <v>68057.436236276757</v>
      </c>
      <c r="U223" s="7" t="s">
        <v>5624</v>
      </c>
    </row>
    <row r="224" spans="1:21" ht="16.5" thickBot="1">
      <c r="A224" s="1188" t="s">
        <v>4533</v>
      </c>
      <c r="B224" s="1192">
        <f t="shared" si="12"/>
        <v>200</v>
      </c>
      <c r="C224" s="1192" t="s">
        <v>3</v>
      </c>
      <c r="D224" s="1192">
        <f t="shared" si="13"/>
        <v>400</v>
      </c>
      <c r="E224" s="1192" t="s">
        <v>3</v>
      </c>
      <c r="F224" s="1190">
        <f t="shared" si="14"/>
        <v>1150</v>
      </c>
      <c r="G224" s="1192" t="s">
        <v>3</v>
      </c>
      <c r="H224" s="1189">
        <v>4</v>
      </c>
      <c r="I224" s="1191" t="s">
        <v>40</v>
      </c>
      <c r="J224" s="149">
        <v>200</v>
      </c>
      <c r="K224" s="271">
        <v>400</v>
      </c>
      <c r="L224" s="66">
        <v>1150</v>
      </c>
      <c r="M224" s="158">
        <v>23.064675942066735</v>
      </c>
      <c r="N224" s="78">
        <v>1453.1362523659307</v>
      </c>
      <c r="O224" s="113">
        <v>41506.79949764732</v>
      </c>
      <c r="P224" s="111">
        <v>51328.875956129297</v>
      </c>
      <c r="Q224" s="254">
        <v>18988.167723106693</v>
      </c>
      <c r="R224" s="273">
        <v>60494.967220754013</v>
      </c>
      <c r="S224" s="274">
        <v>70317.043679235998</v>
      </c>
      <c r="U224" s="7" t="s">
        <v>5625</v>
      </c>
    </row>
    <row r="225" spans="1:21" ht="16.5" thickBot="1">
      <c r="A225" s="1188" t="s">
        <v>4533</v>
      </c>
      <c r="B225" s="1192">
        <f t="shared" si="12"/>
        <v>200</v>
      </c>
      <c r="C225" s="1192" t="s">
        <v>3</v>
      </c>
      <c r="D225" s="1192">
        <f t="shared" si="13"/>
        <v>400</v>
      </c>
      <c r="E225" s="1192" t="s">
        <v>3</v>
      </c>
      <c r="F225" s="1190">
        <f t="shared" si="14"/>
        <v>1200</v>
      </c>
      <c r="G225" s="1192" t="s">
        <v>3</v>
      </c>
      <c r="H225" s="1189">
        <v>4</v>
      </c>
      <c r="I225" s="1191" t="s">
        <v>40</v>
      </c>
      <c r="J225" s="149">
        <v>200</v>
      </c>
      <c r="K225" s="271">
        <v>400</v>
      </c>
      <c r="L225" s="66">
        <v>1200</v>
      </c>
      <c r="M225" s="158">
        <v>23.937553364169172</v>
      </c>
      <c r="N225" s="78">
        <v>1543.9572681388011</v>
      </c>
      <c r="O225" s="113">
        <v>42811.501784162254</v>
      </c>
      <c r="P225" s="111">
        <v>52931.87644935857</v>
      </c>
      <c r="Q225" s="254">
        <v>19896.1089636492</v>
      </c>
      <c r="R225" s="273">
        <v>62707.610747811457</v>
      </c>
      <c r="S225" s="274">
        <v>72827.985413007773</v>
      </c>
      <c r="U225" s="7" t="s">
        <v>5626</v>
      </c>
    </row>
    <row r="226" spans="1:21" ht="16.5" thickBot="1">
      <c r="A226" s="1188" t="s">
        <v>4533</v>
      </c>
      <c r="B226" s="1192">
        <f t="shared" si="12"/>
        <v>200</v>
      </c>
      <c r="C226" s="1192" t="s">
        <v>3</v>
      </c>
      <c r="D226" s="1192">
        <f t="shared" si="13"/>
        <v>400</v>
      </c>
      <c r="E226" s="1192" t="s">
        <v>3</v>
      </c>
      <c r="F226" s="1190">
        <f t="shared" si="14"/>
        <v>1250</v>
      </c>
      <c r="G226" s="1192" t="s">
        <v>3</v>
      </c>
      <c r="H226" s="1189">
        <v>4</v>
      </c>
      <c r="I226" s="1191" t="s">
        <v>40</v>
      </c>
      <c r="J226" s="149">
        <v>200</v>
      </c>
      <c r="K226" s="271">
        <v>400</v>
      </c>
      <c r="L226" s="66">
        <v>1250</v>
      </c>
      <c r="M226" s="158">
        <v>24.81043078627161</v>
      </c>
      <c r="N226" s="78">
        <v>1634.7782839116719</v>
      </c>
      <c r="O226" s="113">
        <v>44116.20391764841</v>
      </c>
      <c r="P226" s="111">
        <v>54534.876942587834</v>
      </c>
      <c r="Q226" s="254">
        <v>20552.715913379172</v>
      </c>
      <c r="R226" s="273">
        <v>64668.919831027582</v>
      </c>
      <c r="S226" s="274">
        <v>75087.592855966999</v>
      </c>
      <c r="U226" s="7" t="s">
        <v>5627</v>
      </c>
    </row>
    <row r="227" spans="1:21" ht="16.5" thickBot="1">
      <c r="A227" s="1188" t="s">
        <v>4533</v>
      </c>
      <c r="B227" s="1192">
        <f t="shared" si="12"/>
        <v>200</v>
      </c>
      <c r="C227" s="1192" t="s">
        <v>3</v>
      </c>
      <c r="D227" s="1192">
        <f t="shared" si="13"/>
        <v>400</v>
      </c>
      <c r="E227" s="1192" t="s">
        <v>3</v>
      </c>
      <c r="F227" s="1190">
        <f t="shared" si="14"/>
        <v>1300</v>
      </c>
      <c r="G227" s="1192" t="s">
        <v>3</v>
      </c>
      <c r="H227" s="1189">
        <v>4</v>
      </c>
      <c r="I227" s="1191" t="s">
        <v>40</v>
      </c>
      <c r="J227" s="149">
        <v>200</v>
      </c>
      <c r="K227" s="271">
        <v>400</v>
      </c>
      <c r="L227" s="66">
        <v>1300</v>
      </c>
      <c r="M227" s="158">
        <v>25.683308208374044</v>
      </c>
      <c r="N227" s="78">
        <v>1725.5992996845423</v>
      </c>
      <c r="O227" s="113">
        <v>45420.906051134582</v>
      </c>
      <c r="P227" s="111">
        <v>56137.877435817099</v>
      </c>
      <c r="Q227" s="254">
        <v>21460.657153921682</v>
      </c>
      <c r="R227" s="273">
        <v>66881.563205056271</v>
      </c>
      <c r="S227" s="274">
        <v>77598.534589738789</v>
      </c>
      <c r="U227" s="7" t="s">
        <v>5628</v>
      </c>
    </row>
    <row r="228" spans="1:21" ht="16.5" thickBot="1">
      <c r="A228" s="1188" t="s">
        <v>4533</v>
      </c>
      <c r="B228" s="1192">
        <f t="shared" si="12"/>
        <v>200</v>
      </c>
      <c r="C228" s="1192" t="s">
        <v>3</v>
      </c>
      <c r="D228" s="1192">
        <f t="shared" si="13"/>
        <v>400</v>
      </c>
      <c r="E228" s="1192" t="s">
        <v>3</v>
      </c>
      <c r="F228" s="1190">
        <f t="shared" si="14"/>
        <v>1350</v>
      </c>
      <c r="G228" s="1192" t="s">
        <v>3</v>
      </c>
      <c r="H228" s="1189">
        <v>4</v>
      </c>
      <c r="I228" s="1191" t="s">
        <v>40</v>
      </c>
      <c r="J228" s="149">
        <v>200</v>
      </c>
      <c r="K228" s="271">
        <v>400</v>
      </c>
      <c r="L228" s="66">
        <v>1350</v>
      </c>
      <c r="M228" s="158">
        <v>26.556185630476477</v>
      </c>
      <c r="N228" s="78">
        <v>1816.4203154574132</v>
      </c>
      <c r="O228" s="113">
        <v>46725.608184620738</v>
      </c>
      <c r="P228" s="111">
        <v>57740.877929046364</v>
      </c>
      <c r="Q228" s="254">
        <v>22117.264103651651</v>
      </c>
      <c r="R228" s="273">
        <v>68842.872288272396</v>
      </c>
      <c r="S228" s="274">
        <v>79858.142032698015</v>
      </c>
      <c r="U228" s="7" t="s">
        <v>5629</v>
      </c>
    </row>
    <row r="229" spans="1:21" ht="16.5" thickBot="1">
      <c r="A229" s="1188" t="s">
        <v>4533</v>
      </c>
      <c r="B229" s="1192">
        <f t="shared" si="12"/>
        <v>200</v>
      </c>
      <c r="C229" s="1192" t="s">
        <v>3</v>
      </c>
      <c r="D229" s="1192">
        <f t="shared" si="13"/>
        <v>400</v>
      </c>
      <c r="E229" s="1192" t="s">
        <v>3</v>
      </c>
      <c r="F229" s="1190">
        <f t="shared" si="14"/>
        <v>1400</v>
      </c>
      <c r="G229" s="1192" t="s">
        <v>3</v>
      </c>
      <c r="H229" s="1189">
        <v>4</v>
      </c>
      <c r="I229" s="1191" t="s">
        <v>40</v>
      </c>
      <c r="J229" s="149">
        <v>200</v>
      </c>
      <c r="K229" s="271">
        <v>400</v>
      </c>
      <c r="L229" s="66">
        <v>1400</v>
      </c>
      <c r="M229" s="158">
        <v>27.429063052578911</v>
      </c>
      <c r="N229" s="78">
        <v>1907.241331230284</v>
      </c>
      <c r="O229" s="113">
        <v>48030.310318106902</v>
      </c>
      <c r="P229" s="111">
        <v>59343.878422275637</v>
      </c>
      <c r="Q229" s="254">
        <v>23025.205344194161</v>
      </c>
      <c r="R229" s="273">
        <v>71055.51566230107</v>
      </c>
      <c r="S229" s="274">
        <v>82369.08376646979</v>
      </c>
      <c r="U229" s="7" t="s">
        <v>5630</v>
      </c>
    </row>
    <row r="230" spans="1:21" ht="16.5" thickBot="1">
      <c r="A230" s="1188" t="s">
        <v>4533</v>
      </c>
      <c r="B230" s="1192">
        <f t="shared" si="12"/>
        <v>200</v>
      </c>
      <c r="C230" s="1192" t="s">
        <v>3</v>
      </c>
      <c r="D230" s="1192">
        <f t="shared" si="13"/>
        <v>400</v>
      </c>
      <c r="E230" s="1192" t="s">
        <v>3</v>
      </c>
      <c r="F230" s="1190">
        <f t="shared" si="14"/>
        <v>1450</v>
      </c>
      <c r="G230" s="1192" t="s">
        <v>3</v>
      </c>
      <c r="H230" s="1189">
        <v>4</v>
      </c>
      <c r="I230" s="1191" t="s">
        <v>40</v>
      </c>
      <c r="J230" s="149">
        <v>200</v>
      </c>
      <c r="K230" s="271">
        <v>400</v>
      </c>
      <c r="L230" s="66">
        <v>1450</v>
      </c>
      <c r="M230" s="158">
        <v>28.301940474681345</v>
      </c>
      <c r="N230" s="78">
        <v>1998.0623470031546</v>
      </c>
      <c r="O230" s="113">
        <v>49335.012451593066</v>
      </c>
      <c r="P230" s="111">
        <v>60946.878915504902</v>
      </c>
      <c r="Q230" s="254">
        <v>23681.812293924133</v>
      </c>
      <c r="R230" s="273">
        <v>73016.824745517195</v>
      </c>
      <c r="S230" s="274">
        <v>84628.691209429031</v>
      </c>
      <c r="U230" s="7" t="s">
        <v>5631</v>
      </c>
    </row>
    <row r="231" spans="1:21" ht="16.5" thickBot="1">
      <c r="A231" s="1188" t="s">
        <v>4533</v>
      </c>
      <c r="B231" s="1192">
        <f t="shared" si="12"/>
        <v>200</v>
      </c>
      <c r="C231" s="1192" t="s">
        <v>3</v>
      </c>
      <c r="D231" s="1192">
        <f t="shared" si="13"/>
        <v>400</v>
      </c>
      <c r="E231" s="1192" t="s">
        <v>3</v>
      </c>
      <c r="F231" s="1190">
        <f t="shared" si="14"/>
        <v>1500</v>
      </c>
      <c r="G231" s="1192" t="s">
        <v>3</v>
      </c>
      <c r="H231" s="1189">
        <v>4</v>
      </c>
      <c r="I231" s="1191" t="s">
        <v>40</v>
      </c>
      <c r="J231" s="149">
        <v>200</v>
      </c>
      <c r="K231" s="271">
        <v>400</v>
      </c>
      <c r="L231" s="66">
        <v>1500</v>
      </c>
      <c r="M231" s="158">
        <v>29.91530669678378</v>
      </c>
      <c r="N231" s="78">
        <v>2088.883362776025</v>
      </c>
      <c r="O231" s="113">
        <v>51907.98408925072</v>
      </c>
      <c r="P231" s="111">
        <v>64373.341557584587</v>
      </c>
      <c r="Q231" s="254">
        <v>24589.753534466639</v>
      </c>
      <c r="R231" s="273">
        <v>76497.737623717359</v>
      </c>
      <c r="S231" s="274">
        <v>88963.095092051226</v>
      </c>
      <c r="U231" s="7" t="s">
        <v>5632</v>
      </c>
    </row>
    <row r="232" spans="1:21" ht="16.5" thickBot="1">
      <c r="A232" s="1188" t="s">
        <v>4533</v>
      </c>
      <c r="B232" s="1192">
        <f t="shared" si="12"/>
        <v>200</v>
      </c>
      <c r="C232" s="1192" t="s">
        <v>3</v>
      </c>
      <c r="D232" s="1192">
        <f t="shared" si="13"/>
        <v>400</v>
      </c>
      <c r="E232" s="1192" t="s">
        <v>3</v>
      </c>
      <c r="F232" s="1190">
        <f t="shared" si="14"/>
        <v>1550</v>
      </c>
      <c r="G232" s="1192" t="s">
        <v>3</v>
      </c>
      <c r="H232" s="1189">
        <v>4</v>
      </c>
      <c r="I232" s="1191" t="s">
        <v>40</v>
      </c>
      <c r="J232" s="149">
        <v>200</v>
      </c>
      <c r="K232" s="271">
        <v>400</v>
      </c>
      <c r="L232" s="66">
        <v>1550</v>
      </c>
      <c r="M232" s="158">
        <v>30.788184118886218</v>
      </c>
      <c r="N232" s="78">
        <v>2179.7043785488959</v>
      </c>
      <c r="O232" s="113">
        <v>53212.686222736891</v>
      </c>
      <c r="P232" s="111">
        <v>65976.342050813852</v>
      </c>
      <c r="Q232" s="254">
        <v>25246.360484196612</v>
      </c>
      <c r="R232" s="273">
        <v>78459.046706933499</v>
      </c>
      <c r="S232" s="274">
        <v>91222.702535010467</v>
      </c>
      <c r="U232" s="7" t="s">
        <v>5633</v>
      </c>
    </row>
    <row r="233" spans="1:21" ht="16.5" thickBot="1">
      <c r="A233" s="1188" t="s">
        <v>4533</v>
      </c>
      <c r="B233" s="1189">
        <f t="shared" si="12"/>
        <v>200</v>
      </c>
      <c r="C233" s="1189" t="s">
        <v>3</v>
      </c>
      <c r="D233" s="1189">
        <f t="shared" si="13"/>
        <v>400</v>
      </c>
      <c r="E233" s="1189" t="s">
        <v>3</v>
      </c>
      <c r="F233" s="1190">
        <f t="shared" si="14"/>
        <v>1600</v>
      </c>
      <c r="G233" s="1189" t="s">
        <v>3</v>
      </c>
      <c r="H233" s="1189">
        <v>4</v>
      </c>
      <c r="I233" s="1191" t="s">
        <v>40</v>
      </c>
      <c r="J233" s="149">
        <v>200</v>
      </c>
      <c r="K233" s="271">
        <v>400</v>
      </c>
      <c r="L233" s="66">
        <v>1600</v>
      </c>
      <c r="M233" s="158">
        <v>31.661061540988644</v>
      </c>
      <c r="N233" s="78">
        <v>2270.5253943217663</v>
      </c>
      <c r="O233" s="113">
        <v>54517.388356222895</v>
      </c>
      <c r="P233" s="111">
        <v>67579.342544043102</v>
      </c>
      <c r="Q233" s="254">
        <v>25902.96758695535</v>
      </c>
      <c r="R233" s="273">
        <v>80420.355943178249</v>
      </c>
      <c r="S233" s="274">
        <v>93482.310130998449</v>
      </c>
      <c r="U233" s="7" t="s">
        <v>5634</v>
      </c>
    </row>
    <row r="234" spans="1:21" ht="16.5" thickBot="1">
      <c r="A234" s="1188" t="s">
        <v>4533</v>
      </c>
      <c r="B234" s="1192">
        <f t="shared" si="12"/>
        <v>200</v>
      </c>
      <c r="C234" s="1192" t="s">
        <v>3</v>
      </c>
      <c r="D234" s="1192">
        <f t="shared" si="13"/>
        <v>400</v>
      </c>
      <c r="E234" s="1192" t="s">
        <v>3</v>
      </c>
      <c r="F234" s="1190">
        <f t="shared" si="14"/>
        <v>1650</v>
      </c>
      <c r="G234" s="1192" t="s">
        <v>3</v>
      </c>
      <c r="H234" s="1189">
        <v>4</v>
      </c>
      <c r="I234" s="1191" t="s">
        <v>40</v>
      </c>
      <c r="J234" s="149">
        <v>200</v>
      </c>
      <c r="K234" s="271">
        <v>400</v>
      </c>
      <c r="L234" s="66">
        <v>1650</v>
      </c>
      <c r="M234" s="158">
        <v>32.533938963091089</v>
      </c>
      <c r="N234" s="78">
        <v>2361.3464100946371</v>
      </c>
      <c r="O234" s="113">
        <v>55822.090489709211</v>
      </c>
      <c r="P234" s="111">
        <v>69182.343037272381</v>
      </c>
      <c r="Q234" s="254">
        <v>26810.908827497857</v>
      </c>
      <c r="R234" s="273">
        <v>82632.999317207068</v>
      </c>
      <c r="S234" s="274">
        <v>95993.251864770238</v>
      </c>
      <c r="U234" s="7" t="s">
        <v>5635</v>
      </c>
    </row>
    <row r="235" spans="1:21" ht="16.5" thickBot="1">
      <c r="A235" s="1188" t="s">
        <v>4533</v>
      </c>
      <c r="B235" s="1192">
        <f t="shared" si="12"/>
        <v>200</v>
      </c>
      <c r="C235" s="1192" t="s">
        <v>3</v>
      </c>
      <c r="D235" s="1192">
        <f t="shared" si="13"/>
        <v>400</v>
      </c>
      <c r="E235" s="1192" t="s">
        <v>3</v>
      </c>
      <c r="F235" s="1190">
        <f t="shared" si="14"/>
        <v>1700</v>
      </c>
      <c r="G235" s="1192" t="s">
        <v>3</v>
      </c>
      <c r="H235" s="1189">
        <v>4</v>
      </c>
      <c r="I235" s="1191" t="s">
        <v>40</v>
      </c>
      <c r="J235" s="149">
        <v>200</v>
      </c>
      <c r="K235" s="271">
        <v>400</v>
      </c>
      <c r="L235" s="66">
        <v>1700</v>
      </c>
      <c r="M235" s="158">
        <v>33.406816385193522</v>
      </c>
      <c r="N235" s="78">
        <v>2452.167425867508</v>
      </c>
      <c r="O235" s="113">
        <v>57126.792623195382</v>
      </c>
      <c r="P235" s="111">
        <v>70785.343530501646</v>
      </c>
      <c r="Q235" s="254">
        <v>27467.515777227836</v>
      </c>
      <c r="R235" s="273">
        <v>84594.308400423222</v>
      </c>
      <c r="S235" s="274">
        <v>98252.859307729479</v>
      </c>
      <c r="U235" s="7" t="s">
        <v>5636</v>
      </c>
    </row>
    <row r="236" spans="1:21" ht="16.5" thickBot="1">
      <c r="A236" s="1188" t="s">
        <v>4533</v>
      </c>
      <c r="B236" s="1192">
        <f t="shared" si="12"/>
        <v>200</v>
      </c>
      <c r="C236" s="1192" t="s">
        <v>3</v>
      </c>
      <c r="D236" s="1192">
        <f t="shared" si="13"/>
        <v>400</v>
      </c>
      <c r="E236" s="1192" t="s">
        <v>3</v>
      </c>
      <c r="F236" s="1190">
        <f t="shared" si="14"/>
        <v>1750</v>
      </c>
      <c r="G236" s="1192" t="s">
        <v>3</v>
      </c>
      <c r="H236" s="1189">
        <v>4</v>
      </c>
      <c r="I236" s="1191" t="s">
        <v>40</v>
      </c>
      <c r="J236" s="149">
        <v>200</v>
      </c>
      <c r="K236" s="271">
        <v>400</v>
      </c>
      <c r="L236" s="66">
        <v>1750</v>
      </c>
      <c r="M236" s="158">
        <v>34.279693807295956</v>
      </c>
      <c r="N236" s="78">
        <v>2542.9884416403784</v>
      </c>
      <c r="O236" s="113">
        <v>58431.494756681546</v>
      </c>
      <c r="P236" s="111">
        <v>72388.344023730911</v>
      </c>
      <c r="Q236" s="254">
        <v>28375.457017770343</v>
      </c>
      <c r="R236" s="273">
        <v>86806.951774451882</v>
      </c>
      <c r="S236" s="274">
        <v>100763.80104150125</v>
      </c>
      <c r="U236" s="7" t="s">
        <v>5637</v>
      </c>
    </row>
    <row r="237" spans="1:21" ht="16.5" thickBot="1">
      <c r="A237" s="1188" t="s">
        <v>4533</v>
      </c>
      <c r="B237" s="1192">
        <f t="shared" si="12"/>
        <v>200</v>
      </c>
      <c r="C237" s="1192" t="s">
        <v>3</v>
      </c>
      <c r="D237" s="1192">
        <f t="shared" si="13"/>
        <v>400</v>
      </c>
      <c r="E237" s="1192" t="s">
        <v>3</v>
      </c>
      <c r="F237" s="1190">
        <f t="shared" si="14"/>
        <v>1800</v>
      </c>
      <c r="G237" s="1192" t="s">
        <v>3</v>
      </c>
      <c r="H237" s="1189">
        <v>4</v>
      </c>
      <c r="I237" s="1191" t="s">
        <v>40</v>
      </c>
      <c r="J237" s="149">
        <v>200</v>
      </c>
      <c r="K237" s="271">
        <v>400</v>
      </c>
      <c r="L237" s="66">
        <v>1800</v>
      </c>
      <c r="M237" s="158">
        <v>35.152571229398383</v>
      </c>
      <c r="N237" s="78">
        <v>2633.8094574132488</v>
      </c>
      <c r="O237" s="113">
        <v>59736.19704319648</v>
      </c>
      <c r="P237" s="111">
        <v>73991.344516960176</v>
      </c>
      <c r="Q237" s="254">
        <v>29032.063967500315</v>
      </c>
      <c r="R237" s="273">
        <v>88768.261010696791</v>
      </c>
      <c r="S237" s="274">
        <v>103023.40848446049</v>
      </c>
      <c r="U237" s="7" t="s">
        <v>5638</v>
      </c>
    </row>
    <row r="238" spans="1:21" ht="16.5" thickBot="1">
      <c r="A238" s="1188" t="s">
        <v>4533</v>
      </c>
      <c r="B238" s="1192">
        <f t="shared" si="12"/>
        <v>200</v>
      </c>
      <c r="C238" s="1192" t="s">
        <v>3</v>
      </c>
      <c r="D238" s="1192">
        <f t="shared" si="13"/>
        <v>400</v>
      </c>
      <c r="E238" s="1192" t="s">
        <v>3</v>
      </c>
      <c r="F238" s="1190">
        <f t="shared" si="14"/>
        <v>1850</v>
      </c>
      <c r="G238" s="1192" t="s">
        <v>3</v>
      </c>
      <c r="H238" s="1189">
        <v>4</v>
      </c>
      <c r="I238" s="1191" t="s">
        <v>40</v>
      </c>
      <c r="J238" s="149">
        <v>200</v>
      </c>
      <c r="K238" s="271">
        <v>400</v>
      </c>
      <c r="L238" s="66">
        <v>1850</v>
      </c>
      <c r="M238" s="158">
        <v>36.025448651500824</v>
      </c>
      <c r="N238" s="78">
        <v>2724.6304731861196</v>
      </c>
      <c r="O238" s="113">
        <v>61040.899176682637</v>
      </c>
      <c r="P238" s="111">
        <v>75594.345010189441</v>
      </c>
      <c r="Q238" s="254">
        <v>29940.005208042821</v>
      </c>
      <c r="R238" s="273">
        <v>90980.904384725465</v>
      </c>
      <c r="S238" s="274">
        <v>105534.35021823226</v>
      </c>
      <c r="U238" s="7" t="s">
        <v>5639</v>
      </c>
    </row>
    <row r="239" spans="1:21" ht="16.5" thickBot="1">
      <c r="A239" s="1188" t="s">
        <v>4533</v>
      </c>
      <c r="B239" s="1192">
        <f t="shared" si="12"/>
        <v>200</v>
      </c>
      <c r="C239" s="1192" t="s">
        <v>3</v>
      </c>
      <c r="D239" s="1192">
        <f t="shared" si="13"/>
        <v>400</v>
      </c>
      <c r="E239" s="1192" t="s">
        <v>3</v>
      </c>
      <c r="F239" s="1190">
        <f t="shared" si="14"/>
        <v>1900</v>
      </c>
      <c r="G239" s="1192" t="s">
        <v>3</v>
      </c>
      <c r="H239" s="1189">
        <v>4</v>
      </c>
      <c r="I239" s="1191" t="s">
        <v>40</v>
      </c>
      <c r="J239" s="149">
        <v>200</v>
      </c>
      <c r="K239" s="271">
        <v>400</v>
      </c>
      <c r="L239" s="66">
        <v>1900</v>
      </c>
      <c r="M239" s="158">
        <v>36.898326073603251</v>
      </c>
      <c r="N239" s="78">
        <v>2815.4514889589905</v>
      </c>
      <c r="O239" s="113">
        <v>62345.601310168793</v>
      </c>
      <c r="P239" s="111">
        <v>77197.345503418706</v>
      </c>
      <c r="Q239" s="254">
        <v>30596.612157772794</v>
      </c>
      <c r="R239" s="273">
        <v>92942.21346794159</v>
      </c>
      <c r="S239" s="274">
        <v>107793.9576611915</v>
      </c>
      <c r="U239" s="7" t="s">
        <v>5640</v>
      </c>
    </row>
    <row r="240" spans="1:21" ht="16.5" thickBot="1">
      <c r="A240" s="1188" t="s">
        <v>4533</v>
      </c>
      <c r="B240" s="1192">
        <f t="shared" si="12"/>
        <v>200</v>
      </c>
      <c r="C240" s="1192" t="s">
        <v>3</v>
      </c>
      <c r="D240" s="1192">
        <f t="shared" si="13"/>
        <v>400</v>
      </c>
      <c r="E240" s="1192" t="s">
        <v>3</v>
      </c>
      <c r="F240" s="1190">
        <f t="shared" si="14"/>
        <v>1950</v>
      </c>
      <c r="G240" s="1192" t="s">
        <v>3</v>
      </c>
      <c r="H240" s="1189">
        <v>4</v>
      </c>
      <c r="I240" s="1191" t="s">
        <v>40</v>
      </c>
      <c r="J240" s="149">
        <v>200</v>
      </c>
      <c r="K240" s="271">
        <v>400</v>
      </c>
      <c r="L240" s="66">
        <v>1950</v>
      </c>
      <c r="M240" s="158">
        <v>37.771203495705691</v>
      </c>
      <c r="N240" s="78">
        <v>2906.2725047318613</v>
      </c>
      <c r="O240" s="113">
        <v>63650.303443654957</v>
      </c>
      <c r="P240" s="111">
        <v>78800.345996647957</v>
      </c>
      <c r="Q240" s="254">
        <v>31253.219260531532</v>
      </c>
      <c r="R240" s="273">
        <v>94903.522704186485</v>
      </c>
      <c r="S240" s="274">
        <v>110053.56525717949</v>
      </c>
      <c r="U240" s="7" t="s">
        <v>5641</v>
      </c>
    </row>
    <row r="241" spans="1:21" ht="16.5" thickBot="1">
      <c r="A241" s="1188" t="s">
        <v>4533</v>
      </c>
      <c r="B241" s="1192">
        <f t="shared" si="12"/>
        <v>200</v>
      </c>
      <c r="C241" s="1192" t="s">
        <v>3</v>
      </c>
      <c r="D241" s="1192">
        <f t="shared" si="13"/>
        <v>400</v>
      </c>
      <c r="E241" s="1192" t="s">
        <v>3</v>
      </c>
      <c r="F241" s="1190">
        <f t="shared" si="14"/>
        <v>2000</v>
      </c>
      <c r="G241" s="1192" t="s">
        <v>3</v>
      </c>
      <c r="H241" s="1189">
        <v>4</v>
      </c>
      <c r="I241" s="1191" t="s">
        <v>40</v>
      </c>
      <c r="J241" s="149">
        <v>200</v>
      </c>
      <c r="K241" s="271">
        <v>400</v>
      </c>
      <c r="L241" s="66">
        <v>2000</v>
      </c>
      <c r="M241" s="158">
        <v>38.80015291780812</v>
      </c>
      <c r="N241" s="78">
        <v>2997.0935205047317</v>
      </c>
      <c r="O241" s="113">
        <v>65472.25152590323</v>
      </c>
      <c r="P241" s="111">
        <v>80593.591850680634</v>
      </c>
      <c r="Q241" s="254">
        <v>32161.160348045276</v>
      </c>
      <c r="R241" s="273">
        <v>97633.411873948498</v>
      </c>
      <c r="S241" s="274">
        <v>112754.75219872591</v>
      </c>
      <c r="U241" s="7" t="s">
        <v>5642</v>
      </c>
    </row>
    <row r="242" spans="1:21" ht="16.5" thickBot="1">
      <c r="A242" s="1188" t="s">
        <v>4533</v>
      </c>
      <c r="B242" s="1192">
        <f t="shared" si="12"/>
        <v>200</v>
      </c>
      <c r="C242" s="1192" t="s">
        <v>3</v>
      </c>
      <c r="D242" s="1192">
        <f t="shared" si="13"/>
        <v>400</v>
      </c>
      <c r="E242" s="1192" t="s">
        <v>3</v>
      </c>
      <c r="F242" s="1190">
        <f t="shared" si="14"/>
        <v>2050</v>
      </c>
      <c r="G242" s="1192" t="s">
        <v>3</v>
      </c>
      <c r="H242" s="1189">
        <v>4</v>
      </c>
      <c r="I242" s="1191" t="s">
        <v>40</v>
      </c>
      <c r="J242" s="149">
        <v>200</v>
      </c>
      <c r="K242" s="271">
        <v>400</v>
      </c>
      <c r="L242" s="66">
        <v>2050</v>
      </c>
      <c r="M242" s="158">
        <v>39.673030339910554</v>
      </c>
      <c r="N242" s="78">
        <v>3087.9145362776021</v>
      </c>
      <c r="O242" s="113">
        <v>66776.953659389401</v>
      </c>
      <c r="P242" s="111">
        <v>82196.592343909899</v>
      </c>
      <c r="Q242" s="254">
        <v>32817.767450804015</v>
      </c>
      <c r="R242" s="273">
        <v>99594.721110193408</v>
      </c>
      <c r="S242" s="274">
        <v>115014.35979471391</v>
      </c>
      <c r="U242" s="7" t="s">
        <v>5643</v>
      </c>
    </row>
    <row r="243" spans="1:21" ht="16.5" thickBot="1">
      <c r="A243" s="1188" t="s">
        <v>4533</v>
      </c>
      <c r="B243" s="1189">
        <f t="shared" si="12"/>
        <v>200</v>
      </c>
      <c r="C243" s="1189" t="s">
        <v>3</v>
      </c>
      <c r="D243" s="1189">
        <f t="shared" si="13"/>
        <v>400</v>
      </c>
      <c r="E243" s="1189" t="s">
        <v>3</v>
      </c>
      <c r="F243" s="1190">
        <f t="shared" si="14"/>
        <v>2100</v>
      </c>
      <c r="G243" s="1189" t="s">
        <v>3</v>
      </c>
      <c r="H243" s="1189">
        <v>4</v>
      </c>
      <c r="I243" s="1191" t="s">
        <v>40</v>
      </c>
      <c r="J243" s="149">
        <v>200</v>
      </c>
      <c r="K243" s="271">
        <v>400</v>
      </c>
      <c r="L243" s="66">
        <v>2100</v>
      </c>
      <c r="M243" s="158">
        <v>40.545907762012988</v>
      </c>
      <c r="N243" s="78">
        <v>3178.735552050473</v>
      </c>
      <c r="O243" s="113">
        <v>68081.655792875565</v>
      </c>
      <c r="P243" s="111">
        <v>83799.592837139164</v>
      </c>
      <c r="Q243" s="254">
        <v>33725.708538317755</v>
      </c>
      <c r="R243" s="273">
        <v>101807.36433119333</v>
      </c>
      <c r="S243" s="274">
        <v>117525.30137545691</v>
      </c>
      <c r="U243" s="7" t="s">
        <v>5644</v>
      </c>
    </row>
    <row r="244" spans="1:21" ht="16.5" thickBot="1">
      <c r="A244" s="1188" t="s">
        <v>4533</v>
      </c>
      <c r="B244" s="1192">
        <f t="shared" si="12"/>
        <v>200</v>
      </c>
      <c r="C244" s="1192" t="s">
        <v>3</v>
      </c>
      <c r="D244" s="1192">
        <f t="shared" si="13"/>
        <v>400</v>
      </c>
      <c r="E244" s="1192" t="s">
        <v>3</v>
      </c>
      <c r="F244" s="1190">
        <f t="shared" si="14"/>
        <v>2150</v>
      </c>
      <c r="G244" s="1192" t="s">
        <v>3</v>
      </c>
      <c r="H244" s="1189">
        <v>4</v>
      </c>
      <c r="I244" s="1191" t="s">
        <v>40</v>
      </c>
      <c r="J244" s="149">
        <v>200</v>
      </c>
      <c r="K244" s="271">
        <v>400</v>
      </c>
      <c r="L244" s="66">
        <v>2150</v>
      </c>
      <c r="M244" s="158">
        <v>41.418785184115428</v>
      </c>
      <c r="N244" s="78">
        <v>3269.5565678233438</v>
      </c>
      <c r="O244" s="113">
        <v>69386.357926361714</v>
      </c>
      <c r="P244" s="111">
        <v>85402.593330368429</v>
      </c>
      <c r="Q244" s="254">
        <v>34382.315641076493</v>
      </c>
      <c r="R244" s="273">
        <v>103768.67356743821</v>
      </c>
      <c r="S244" s="274">
        <v>119784.90897144492</v>
      </c>
      <c r="U244" s="7" t="s">
        <v>5645</v>
      </c>
    </row>
    <row r="245" spans="1:21" ht="16.5" thickBot="1">
      <c r="A245" s="1188" t="s">
        <v>4533</v>
      </c>
      <c r="B245" s="1192">
        <f t="shared" si="12"/>
        <v>200</v>
      </c>
      <c r="C245" s="1192" t="s">
        <v>3</v>
      </c>
      <c r="D245" s="1192">
        <f t="shared" si="13"/>
        <v>400</v>
      </c>
      <c r="E245" s="1192" t="s">
        <v>3</v>
      </c>
      <c r="F245" s="1190">
        <f t="shared" si="14"/>
        <v>2200</v>
      </c>
      <c r="G245" s="1192" t="s">
        <v>3</v>
      </c>
      <c r="H245" s="1189">
        <v>4</v>
      </c>
      <c r="I245" s="1191" t="s">
        <v>40</v>
      </c>
      <c r="J245" s="149">
        <v>200</v>
      </c>
      <c r="K245" s="271">
        <v>400</v>
      </c>
      <c r="L245" s="66">
        <v>2200</v>
      </c>
      <c r="M245" s="158">
        <v>42.291662606217855</v>
      </c>
      <c r="N245" s="78">
        <v>3360.3775835962147</v>
      </c>
      <c r="O245" s="113">
        <v>70691.060059847892</v>
      </c>
      <c r="P245" s="111">
        <v>87005.593976626464</v>
      </c>
      <c r="Q245" s="254">
        <v>35290.256728590233</v>
      </c>
      <c r="R245" s="273">
        <v>105981.31678843813</v>
      </c>
      <c r="S245" s="274">
        <v>122295.8507052167</v>
      </c>
      <c r="U245" s="7" t="s">
        <v>5646</v>
      </c>
    </row>
    <row r="246" spans="1:21" ht="16.5" thickBot="1">
      <c r="A246" s="1188" t="s">
        <v>4533</v>
      </c>
      <c r="B246" s="1192">
        <f t="shared" si="12"/>
        <v>200</v>
      </c>
      <c r="C246" s="1192" t="s">
        <v>3</v>
      </c>
      <c r="D246" s="1192">
        <f t="shared" si="13"/>
        <v>400</v>
      </c>
      <c r="E246" s="1192" t="s">
        <v>3</v>
      </c>
      <c r="F246" s="1190">
        <f t="shared" si="14"/>
        <v>2250</v>
      </c>
      <c r="G246" s="1192" t="s">
        <v>3</v>
      </c>
      <c r="H246" s="1189">
        <v>4</v>
      </c>
      <c r="I246" s="1191" t="s">
        <v>40</v>
      </c>
      <c r="J246" s="149">
        <v>200</v>
      </c>
      <c r="K246" s="271">
        <v>400</v>
      </c>
      <c r="L246" s="66">
        <v>2250</v>
      </c>
      <c r="M246" s="158">
        <v>43.164540028320289</v>
      </c>
      <c r="N246" s="78">
        <v>3451.1985993690846</v>
      </c>
      <c r="O246" s="113">
        <v>71995.762346362812</v>
      </c>
      <c r="P246" s="111">
        <v>88608.594469855729</v>
      </c>
      <c r="Q246" s="254">
        <v>35946.863831348819</v>
      </c>
      <c r="R246" s="273">
        <v>107942.62617771163</v>
      </c>
      <c r="S246" s="274">
        <v>124555.45830120455</v>
      </c>
      <c r="U246" s="7" t="s">
        <v>5647</v>
      </c>
    </row>
    <row r="247" spans="1:21" ht="16.5" thickBot="1">
      <c r="A247" s="1188" t="s">
        <v>4533</v>
      </c>
      <c r="B247" s="1192">
        <f t="shared" si="12"/>
        <v>200</v>
      </c>
      <c r="C247" s="1192" t="s">
        <v>3</v>
      </c>
      <c r="D247" s="1192">
        <f t="shared" si="13"/>
        <v>400</v>
      </c>
      <c r="E247" s="1192" t="s">
        <v>3</v>
      </c>
      <c r="F247" s="1190">
        <f t="shared" si="14"/>
        <v>2300</v>
      </c>
      <c r="G247" s="1192" t="s">
        <v>3</v>
      </c>
      <c r="H247" s="1189">
        <v>4</v>
      </c>
      <c r="I247" s="1191" t="s">
        <v>40</v>
      </c>
      <c r="J247" s="149">
        <v>200</v>
      </c>
      <c r="K247" s="271">
        <v>400</v>
      </c>
      <c r="L247" s="66">
        <v>2300</v>
      </c>
      <c r="M247" s="158">
        <v>44.037417450422723</v>
      </c>
      <c r="N247" s="78">
        <v>3542.0196151419555</v>
      </c>
      <c r="O247" s="113">
        <v>73300.46447984899</v>
      </c>
      <c r="P247" s="111">
        <v>90211.594963084994</v>
      </c>
      <c r="Q247" s="254">
        <v>36603.470781078948</v>
      </c>
      <c r="R247" s="273">
        <v>109903.93526092794</v>
      </c>
      <c r="S247" s="274">
        <v>126815.06574416393</v>
      </c>
      <c r="U247" s="7" t="s">
        <v>5648</v>
      </c>
    </row>
    <row r="248" spans="1:21" ht="16.5" thickBot="1">
      <c r="A248" s="1188" t="s">
        <v>4533</v>
      </c>
      <c r="B248" s="1192">
        <f t="shared" si="12"/>
        <v>200</v>
      </c>
      <c r="C248" s="1192" t="s">
        <v>3</v>
      </c>
      <c r="D248" s="1192">
        <f t="shared" si="13"/>
        <v>400</v>
      </c>
      <c r="E248" s="1192" t="s">
        <v>3</v>
      </c>
      <c r="F248" s="1190">
        <f t="shared" si="14"/>
        <v>2350</v>
      </c>
      <c r="G248" s="1192" t="s">
        <v>3</v>
      </c>
      <c r="H248" s="1189">
        <v>4</v>
      </c>
      <c r="I248" s="1191" t="s">
        <v>40</v>
      </c>
      <c r="J248" s="149">
        <v>200</v>
      </c>
      <c r="K248" s="271">
        <v>400</v>
      </c>
      <c r="L248" s="66">
        <v>2350</v>
      </c>
      <c r="M248" s="158">
        <v>44.910294872525171</v>
      </c>
      <c r="N248" s="78">
        <v>3632.8406309148263</v>
      </c>
      <c r="O248" s="113">
        <v>74605.166613335139</v>
      </c>
      <c r="P248" s="111">
        <v>91814.595456314259</v>
      </c>
      <c r="Q248" s="254">
        <v>37511.412021621458</v>
      </c>
      <c r="R248" s="273">
        <v>112116.57863495659</v>
      </c>
      <c r="S248" s="274">
        <v>129326.00747793572</v>
      </c>
      <c r="U248" s="7" t="s">
        <v>5649</v>
      </c>
    </row>
    <row r="249" spans="1:21" ht="16.5" thickBot="1">
      <c r="A249" s="1188" t="s">
        <v>4533</v>
      </c>
      <c r="B249" s="1192">
        <f t="shared" si="12"/>
        <v>200</v>
      </c>
      <c r="C249" s="1192" t="s">
        <v>3</v>
      </c>
      <c r="D249" s="1192">
        <f t="shared" si="13"/>
        <v>400</v>
      </c>
      <c r="E249" s="1192" t="s">
        <v>3</v>
      </c>
      <c r="F249" s="1190">
        <f t="shared" si="14"/>
        <v>2400</v>
      </c>
      <c r="G249" s="1192" t="s">
        <v>3</v>
      </c>
      <c r="H249" s="1189">
        <v>4</v>
      </c>
      <c r="I249" s="1191" t="s">
        <v>40</v>
      </c>
      <c r="J249" s="149">
        <v>200</v>
      </c>
      <c r="K249" s="271">
        <v>400</v>
      </c>
      <c r="L249" s="66">
        <v>2400</v>
      </c>
      <c r="M249" s="158">
        <v>45.78317229462759</v>
      </c>
      <c r="N249" s="78">
        <v>3723.6616466876967</v>
      </c>
      <c r="O249" s="113">
        <v>75909.868746821303</v>
      </c>
      <c r="P249" s="111">
        <v>93417.595949543509</v>
      </c>
      <c r="Q249" s="254">
        <v>38168.019124380196</v>
      </c>
      <c r="R249" s="273">
        <v>114077.8878712015</v>
      </c>
      <c r="S249" s="274">
        <v>131585.61507392372</v>
      </c>
      <c r="U249" s="7" t="s">
        <v>5650</v>
      </c>
    </row>
    <row r="250" spans="1:21" ht="16.5" thickBot="1">
      <c r="A250" s="1188" t="s">
        <v>4533</v>
      </c>
      <c r="B250" s="1192">
        <f t="shared" si="12"/>
        <v>200</v>
      </c>
      <c r="C250" s="1192" t="s">
        <v>3</v>
      </c>
      <c r="D250" s="1192">
        <f t="shared" si="13"/>
        <v>400</v>
      </c>
      <c r="E250" s="1192" t="s">
        <v>3</v>
      </c>
      <c r="F250" s="1190">
        <f t="shared" si="14"/>
        <v>2450</v>
      </c>
      <c r="G250" s="1192" t="s">
        <v>3</v>
      </c>
      <c r="H250" s="1189">
        <v>4</v>
      </c>
      <c r="I250" s="1191" t="s">
        <v>40</v>
      </c>
      <c r="J250" s="149">
        <v>200</v>
      </c>
      <c r="K250" s="271">
        <v>400</v>
      </c>
      <c r="L250" s="66">
        <v>2450</v>
      </c>
      <c r="M250" s="158">
        <v>46.656049716730031</v>
      </c>
      <c r="N250" s="78">
        <v>3814.482662460568</v>
      </c>
      <c r="O250" s="113">
        <v>77214.570880307467</v>
      </c>
      <c r="P250" s="111">
        <v>95020.596442772774</v>
      </c>
      <c r="Q250" s="254">
        <v>39075.960211893937</v>
      </c>
      <c r="R250" s="273">
        <v>116290.5310922014</v>
      </c>
      <c r="S250" s="274">
        <v>134096.55665466673</v>
      </c>
      <c r="U250" s="7" t="s">
        <v>5651</v>
      </c>
    </row>
    <row r="251" spans="1:21" ht="16.5" thickBot="1">
      <c r="A251" s="1188" t="s">
        <v>4533</v>
      </c>
      <c r="B251" s="1192">
        <f t="shared" si="12"/>
        <v>200</v>
      </c>
      <c r="C251" s="1192" t="s">
        <v>3</v>
      </c>
      <c r="D251" s="1192">
        <f t="shared" si="13"/>
        <v>400</v>
      </c>
      <c r="E251" s="1192" t="s">
        <v>3</v>
      </c>
      <c r="F251" s="1190">
        <f t="shared" si="14"/>
        <v>2500</v>
      </c>
      <c r="G251" s="1192" t="s">
        <v>3</v>
      </c>
      <c r="H251" s="1189">
        <v>4</v>
      </c>
      <c r="I251" s="1191" t="s">
        <v>40</v>
      </c>
      <c r="J251" s="149">
        <v>200</v>
      </c>
      <c r="K251" s="271">
        <v>400</v>
      </c>
      <c r="L251" s="66">
        <v>2500</v>
      </c>
      <c r="M251" s="158">
        <v>48.269415938832459</v>
      </c>
      <c r="N251" s="78">
        <v>3905.3036782334379</v>
      </c>
      <c r="O251" s="113">
        <v>79787.542517965136</v>
      </c>
      <c r="P251" s="111">
        <v>98447.059084852459</v>
      </c>
      <c r="Q251" s="254">
        <v>39732.567314652675</v>
      </c>
      <c r="R251" s="273">
        <v>119520.1098326178</v>
      </c>
      <c r="S251" s="274">
        <v>138179.62639950513</v>
      </c>
      <c r="U251" s="7" t="s">
        <v>5652</v>
      </c>
    </row>
    <row r="252" spans="1:21" ht="16.5" thickBot="1">
      <c r="A252" s="1188" t="s">
        <v>4533</v>
      </c>
      <c r="B252" s="1192">
        <f t="shared" si="12"/>
        <v>200</v>
      </c>
      <c r="C252" s="1192" t="s">
        <v>3</v>
      </c>
      <c r="D252" s="1192">
        <f t="shared" si="13"/>
        <v>400</v>
      </c>
      <c r="E252" s="1192" t="s">
        <v>3</v>
      </c>
      <c r="F252" s="1190">
        <f t="shared" si="14"/>
        <v>2550</v>
      </c>
      <c r="G252" s="1192" t="s">
        <v>3</v>
      </c>
      <c r="H252" s="1189">
        <v>4</v>
      </c>
      <c r="I252" s="1191" t="s">
        <v>40</v>
      </c>
      <c r="J252" s="149">
        <v>200</v>
      </c>
      <c r="K252" s="271">
        <v>400</v>
      </c>
      <c r="L252" s="66">
        <v>2550</v>
      </c>
      <c r="M252" s="158">
        <v>49.142293360934914</v>
      </c>
      <c r="N252" s="78">
        <v>3996.1246940063093</v>
      </c>
      <c r="O252" s="113">
        <v>81489.638318338737</v>
      </c>
      <c r="P252" s="111">
        <v>100065.36245459423</v>
      </c>
      <c r="Q252" s="254">
        <v>40640.508402166415</v>
      </c>
      <c r="R252" s="273">
        <v>122130.14672050514</v>
      </c>
      <c r="S252" s="274">
        <v>140705.87085676065</v>
      </c>
      <c r="U252" s="7" t="s">
        <v>5653</v>
      </c>
    </row>
    <row r="253" spans="1:21" ht="16.5" thickBot="1">
      <c r="A253" s="1188" t="s">
        <v>4533</v>
      </c>
      <c r="B253" s="1189">
        <f t="shared" si="12"/>
        <v>200</v>
      </c>
      <c r="C253" s="1189" t="s">
        <v>3</v>
      </c>
      <c r="D253" s="1189">
        <f t="shared" si="13"/>
        <v>400</v>
      </c>
      <c r="E253" s="1189" t="s">
        <v>3</v>
      </c>
      <c r="F253" s="1190">
        <f t="shared" si="14"/>
        <v>2600</v>
      </c>
      <c r="G253" s="1189" t="s">
        <v>3</v>
      </c>
      <c r="H253" s="1189">
        <v>4</v>
      </c>
      <c r="I253" s="1191" t="s">
        <v>40</v>
      </c>
      <c r="J253" s="149">
        <v>200</v>
      </c>
      <c r="K253" s="271">
        <v>400</v>
      </c>
      <c r="L253" s="66">
        <v>2600</v>
      </c>
      <c r="M253" s="158">
        <v>50.015170783037334</v>
      </c>
      <c r="N253" s="78">
        <v>4086.9457097791797</v>
      </c>
      <c r="O253" s="113">
        <v>82794.340451824901</v>
      </c>
      <c r="P253" s="111">
        <v>101668.36294782349</v>
      </c>
      <c r="Q253" s="254">
        <v>41297.115504925154</v>
      </c>
      <c r="R253" s="273">
        <v>124091.45595675005</v>
      </c>
      <c r="S253" s="274">
        <v>142965.47845274865</v>
      </c>
      <c r="U253" s="7" t="s">
        <v>5654</v>
      </c>
    </row>
    <row r="254" spans="1:21" ht="16.5" thickBot="1">
      <c r="A254" s="1188" t="s">
        <v>4533</v>
      </c>
      <c r="B254" s="1192">
        <f t="shared" si="12"/>
        <v>200</v>
      </c>
      <c r="C254" s="1192" t="s">
        <v>3</v>
      </c>
      <c r="D254" s="1192">
        <f t="shared" si="13"/>
        <v>400</v>
      </c>
      <c r="E254" s="1192" t="s">
        <v>3</v>
      </c>
      <c r="F254" s="1190">
        <f t="shared" si="14"/>
        <v>2650</v>
      </c>
      <c r="G254" s="1192" t="s">
        <v>3</v>
      </c>
      <c r="H254" s="1189">
        <v>4</v>
      </c>
      <c r="I254" s="1191" t="s">
        <v>40</v>
      </c>
      <c r="J254" s="149">
        <v>200</v>
      </c>
      <c r="K254" s="271">
        <v>400</v>
      </c>
      <c r="L254" s="66">
        <v>2650</v>
      </c>
      <c r="M254" s="158">
        <v>50.888048205139768</v>
      </c>
      <c r="N254" s="78">
        <v>4177.76672555205</v>
      </c>
      <c r="O254" s="113">
        <v>84099.042585311065</v>
      </c>
      <c r="P254" s="111">
        <v>103271.36344105277</v>
      </c>
      <c r="Q254" s="254">
        <v>42205.056592438901</v>
      </c>
      <c r="R254" s="273">
        <v>126304.09917774997</v>
      </c>
      <c r="S254" s="274">
        <v>145476.42003349168</v>
      </c>
      <c r="U254" s="7" t="s">
        <v>5655</v>
      </c>
    </row>
    <row r="255" spans="1:21" ht="16.5" thickBot="1">
      <c r="A255" s="1188" t="s">
        <v>4533</v>
      </c>
      <c r="B255" s="1192">
        <f t="shared" si="12"/>
        <v>200</v>
      </c>
      <c r="C255" s="1192" t="s">
        <v>3</v>
      </c>
      <c r="D255" s="1192">
        <f t="shared" si="13"/>
        <v>400</v>
      </c>
      <c r="E255" s="1192" t="s">
        <v>3</v>
      </c>
      <c r="F255" s="1190">
        <f t="shared" si="14"/>
        <v>2700</v>
      </c>
      <c r="G255" s="1192" t="s">
        <v>3</v>
      </c>
      <c r="H255" s="1189">
        <v>4</v>
      </c>
      <c r="I255" s="1191" t="s">
        <v>40</v>
      </c>
      <c r="J255" s="149">
        <v>200</v>
      </c>
      <c r="K255" s="271">
        <v>400</v>
      </c>
      <c r="L255" s="66">
        <v>2700</v>
      </c>
      <c r="M255" s="158">
        <v>51.760925627242209</v>
      </c>
      <c r="N255" s="78">
        <v>4268.5877413249209</v>
      </c>
      <c r="O255" s="113">
        <v>85403.744871825998</v>
      </c>
      <c r="P255" s="111">
        <v>104874.36393428204</v>
      </c>
      <c r="Q255" s="254">
        <v>42861.66369519764</v>
      </c>
      <c r="R255" s="273">
        <v>128265.40856702364</v>
      </c>
      <c r="S255" s="274">
        <v>147736.02762947968</v>
      </c>
      <c r="U255" s="7" t="s">
        <v>5656</v>
      </c>
    </row>
    <row r="256" spans="1:21" ht="16.5" thickBot="1">
      <c r="A256" s="1188" t="s">
        <v>4533</v>
      </c>
      <c r="B256" s="1192">
        <f t="shared" si="12"/>
        <v>200</v>
      </c>
      <c r="C256" s="1192" t="s">
        <v>3</v>
      </c>
      <c r="D256" s="1192">
        <f t="shared" si="13"/>
        <v>400</v>
      </c>
      <c r="E256" s="1192" t="s">
        <v>3</v>
      </c>
      <c r="F256" s="1190">
        <f t="shared" si="14"/>
        <v>2750</v>
      </c>
      <c r="G256" s="1192" t="s">
        <v>3</v>
      </c>
      <c r="H256" s="1189">
        <v>4</v>
      </c>
      <c r="I256" s="1191" t="s">
        <v>40</v>
      </c>
      <c r="J256" s="149">
        <v>200</v>
      </c>
      <c r="K256" s="271">
        <v>400</v>
      </c>
      <c r="L256" s="66">
        <v>2750</v>
      </c>
      <c r="M256" s="158">
        <v>52.633803049344635</v>
      </c>
      <c r="N256" s="78">
        <v>4359.4087570977917</v>
      </c>
      <c r="O256" s="113">
        <v>86708.447005312162</v>
      </c>
      <c r="P256" s="111">
        <v>106477.36442751129</v>
      </c>
      <c r="Q256" s="254">
        <v>43518.270644927608</v>
      </c>
      <c r="R256" s="273">
        <v>130226.71765023976</v>
      </c>
      <c r="S256" s="274">
        <v>149995.63507243889</v>
      </c>
      <c r="U256" s="7" t="s">
        <v>5657</v>
      </c>
    </row>
    <row r="257" spans="1:21" ht="16.5" thickBot="1">
      <c r="A257" s="1188" t="s">
        <v>4533</v>
      </c>
      <c r="B257" s="1192">
        <f t="shared" si="12"/>
        <v>200</v>
      </c>
      <c r="C257" s="1192" t="s">
        <v>3</v>
      </c>
      <c r="D257" s="1192">
        <f t="shared" si="13"/>
        <v>400</v>
      </c>
      <c r="E257" s="1192" t="s">
        <v>3</v>
      </c>
      <c r="F257" s="1190">
        <f t="shared" si="14"/>
        <v>2800</v>
      </c>
      <c r="G257" s="1192" t="s">
        <v>3</v>
      </c>
      <c r="H257" s="1189">
        <v>4</v>
      </c>
      <c r="I257" s="1191" t="s">
        <v>40</v>
      </c>
      <c r="J257" s="149">
        <v>200</v>
      </c>
      <c r="K257" s="271">
        <v>400</v>
      </c>
      <c r="L257" s="66">
        <v>2800</v>
      </c>
      <c r="M257" s="158">
        <v>53.506680471447083</v>
      </c>
      <c r="N257" s="78">
        <v>4450.2297728706626</v>
      </c>
      <c r="O257" s="113">
        <v>88013.149138798311</v>
      </c>
      <c r="P257" s="111">
        <v>108080.36492074057</v>
      </c>
      <c r="Q257" s="254">
        <v>44426.211885470118</v>
      </c>
      <c r="R257" s="273">
        <v>132439.36102426844</v>
      </c>
      <c r="S257" s="274">
        <v>152506.57680621068</v>
      </c>
      <c r="U257" s="7" t="s">
        <v>5658</v>
      </c>
    </row>
    <row r="258" spans="1:21" ht="16.5" thickBot="1">
      <c r="A258" s="1188" t="s">
        <v>4533</v>
      </c>
      <c r="B258" s="1192">
        <f t="shared" si="12"/>
        <v>200</v>
      </c>
      <c r="C258" s="1192" t="s">
        <v>3</v>
      </c>
      <c r="D258" s="1192">
        <f t="shared" si="13"/>
        <v>400</v>
      </c>
      <c r="E258" s="1192" t="s">
        <v>3</v>
      </c>
      <c r="F258" s="1190">
        <f t="shared" si="14"/>
        <v>2850</v>
      </c>
      <c r="G258" s="1192" t="s">
        <v>3</v>
      </c>
      <c r="H258" s="1189">
        <v>4</v>
      </c>
      <c r="I258" s="1191" t="s">
        <v>40</v>
      </c>
      <c r="J258" s="149">
        <v>200</v>
      </c>
      <c r="K258" s="271">
        <v>400</v>
      </c>
      <c r="L258" s="66">
        <v>2850</v>
      </c>
      <c r="M258" s="158">
        <v>54.379557893549503</v>
      </c>
      <c r="N258" s="78">
        <v>4541.0507886435325</v>
      </c>
      <c r="O258" s="113">
        <v>89317.851272284475</v>
      </c>
      <c r="P258" s="111">
        <v>109683.36541396982</v>
      </c>
      <c r="Q258" s="254">
        <v>45082.818835200087</v>
      </c>
      <c r="R258" s="273">
        <v>134400.67010748456</v>
      </c>
      <c r="S258" s="274">
        <v>154766.18424916989</v>
      </c>
      <c r="U258" s="7" t="s">
        <v>5659</v>
      </c>
    </row>
    <row r="259" spans="1:21" ht="16.5" thickBot="1">
      <c r="A259" s="1188" t="s">
        <v>4533</v>
      </c>
      <c r="B259" s="1192">
        <f t="shared" si="12"/>
        <v>200</v>
      </c>
      <c r="C259" s="1192" t="s">
        <v>3</v>
      </c>
      <c r="D259" s="1192">
        <f t="shared" si="13"/>
        <v>400</v>
      </c>
      <c r="E259" s="1192" t="s">
        <v>3</v>
      </c>
      <c r="F259" s="1190">
        <f t="shared" si="14"/>
        <v>2900</v>
      </c>
      <c r="G259" s="1192" t="s">
        <v>3</v>
      </c>
      <c r="H259" s="1189">
        <v>4</v>
      </c>
      <c r="I259" s="1191" t="s">
        <v>40</v>
      </c>
      <c r="J259" s="149">
        <v>200</v>
      </c>
      <c r="K259" s="271">
        <v>400</v>
      </c>
      <c r="L259" s="66">
        <v>2900</v>
      </c>
      <c r="M259" s="158">
        <v>55.252435315651937</v>
      </c>
      <c r="N259" s="78">
        <v>4631.8718044164034</v>
      </c>
      <c r="O259" s="113">
        <v>90622.553405770654</v>
      </c>
      <c r="P259" s="111">
        <v>111286.3659071991</v>
      </c>
      <c r="Q259" s="254">
        <v>45990.760075742597</v>
      </c>
      <c r="R259" s="273">
        <v>136613.31348151324</v>
      </c>
      <c r="S259" s="274">
        <v>157277.12598294171</v>
      </c>
      <c r="U259" s="7" t="s">
        <v>5660</v>
      </c>
    </row>
    <row r="260" spans="1:21" ht="16.5" thickBot="1">
      <c r="A260" s="1188" t="s">
        <v>4533</v>
      </c>
      <c r="B260" s="1192">
        <f t="shared" si="12"/>
        <v>200</v>
      </c>
      <c r="C260" s="1192" t="s">
        <v>3</v>
      </c>
      <c r="D260" s="1192">
        <f t="shared" si="13"/>
        <v>400</v>
      </c>
      <c r="E260" s="1192" t="s">
        <v>3</v>
      </c>
      <c r="F260" s="1190">
        <f t="shared" si="14"/>
        <v>2950</v>
      </c>
      <c r="G260" s="1192" t="s">
        <v>3</v>
      </c>
      <c r="H260" s="1189">
        <v>4</v>
      </c>
      <c r="I260" s="1191" t="s">
        <v>40</v>
      </c>
      <c r="J260" s="149">
        <v>200</v>
      </c>
      <c r="K260" s="271">
        <v>400</v>
      </c>
      <c r="L260" s="66">
        <v>2950</v>
      </c>
      <c r="M260" s="158">
        <v>56.125312737754385</v>
      </c>
      <c r="N260" s="78">
        <v>4722.6928201892742</v>
      </c>
      <c r="O260" s="113">
        <v>91927.255692285573</v>
      </c>
      <c r="P260" s="111">
        <v>112889.36640042835</v>
      </c>
      <c r="Q260" s="254">
        <v>46647.367025472573</v>
      </c>
      <c r="R260" s="273">
        <v>138574.62271775815</v>
      </c>
      <c r="S260" s="274">
        <v>159536.73342590092</v>
      </c>
      <c r="U260" s="7" t="s">
        <v>5661</v>
      </c>
    </row>
    <row r="261" spans="1:21" ht="16.5" thickBot="1">
      <c r="A261" s="1188" t="s">
        <v>4533</v>
      </c>
      <c r="B261" s="1192">
        <f t="shared" si="12"/>
        <v>200</v>
      </c>
      <c r="C261" s="1192" t="s">
        <v>3</v>
      </c>
      <c r="D261" s="1192">
        <f t="shared" si="13"/>
        <v>400</v>
      </c>
      <c r="E261" s="1192" t="s">
        <v>3</v>
      </c>
      <c r="F261" s="1190">
        <f t="shared" si="14"/>
        <v>3000</v>
      </c>
      <c r="G261" s="1192" t="s">
        <v>3</v>
      </c>
      <c r="H261" s="1189">
        <v>4</v>
      </c>
      <c r="I261" s="1191" t="s">
        <v>40</v>
      </c>
      <c r="J261" s="151">
        <v>200</v>
      </c>
      <c r="K261" s="1212">
        <v>400</v>
      </c>
      <c r="L261" s="126">
        <v>3000</v>
      </c>
      <c r="M261" s="159">
        <v>57.310334159856808</v>
      </c>
      <c r="N261" s="127">
        <v>4813.5138359621451</v>
      </c>
      <c r="O261" s="128">
        <v>93534.832357707142</v>
      </c>
      <c r="P261" s="135">
        <v>114795.24142559303</v>
      </c>
      <c r="Q261" s="255">
        <v>47555.308266015076</v>
      </c>
      <c r="R261" s="1213">
        <v>141090.14062372223</v>
      </c>
      <c r="S261" s="1214">
        <v>162350.54969160812</v>
      </c>
      <c r="U261" s="7" t="s">
        <v>5662</v>
      </c>
    </row>
  </sheetData>
  <mergeCells count="19">
    <mergeCell ref="A58:S58"/>
    <mergeCell ref="A4:I6"/>
    <mergeCell ref="J4:M5"/>
    <mergeCell ref="N4:N6"/>
    <mergeCell ref="O4:O5"/>
    <mergeCell ref="P4:P5"/>
    <mergeCell ref="Q4:Q5"/>
    <mergeCell ref="R4:R5"/>
    <mergeCell ref="S4:S5"/>
    <mergeCell ref="O6:S6"/>
    <mergeCell ref="A7:S7"/>
    <mergeCell ref="A8:S8"/>
    <mergeCell ref="A212:S212"/>
    <mergeCell ref="A59:S59"/>
    <mergeCell ref="A109:S109"/>
    <mergeCell ref="A110:S110"/>
    <mergeCell ref="A160:S160"/>
    <mergeCell ref="A161:S161"/>
    <mergeCell ref="A211:S211"/>
  </mergeCells>
  <hyperlinks>
    <hyperlink ref="A1:I1" location="Главная!A1" display="Вернуться на главную страницу" xr:uid="{10FE739F-5A71-40FA-BFAC-EC0E721FB9BC}"/>
    <hyperlink ref="A2" location="'Калькулятор теплоотдач ВК'!R1C1" display="Вернуться Калькулятор теплоотдач ВК" xr:uid="{5F36749E-69F9-4246-95E5-E771396B1F0D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50">
    <tabColor theme="4" tint="-0.249977111117893"/>
  </sheetPr>
  <dimension ref="A1:Y277"/>
  <sheetViews>
    <sheetView zoomScale="70" zoomScaleNormal="70" workbookViewId="0">
      <pane ySplit="5" topLeftCell="A6" activePane="bottomLeft" state="frozen"/>
      <selection pane="bottomLeft"/>
    </sheetView>
  </sheetViews>
  <sheetFormatPr defaultRowHeight="15"/>
  <cols>
    <col min="1" max="1" width="8.5703125" style="65" customWidth="1"/>
    <col min="2" max="2" width="6" style="65" customWidth="1"/>
    <col min="3" max="3" width="3" style="65" customWidth="1"/>
    <col min="4" max="4" width="6" style="65" customWidth="1"/>
    <col min="5" max="5" width="3" style="65" customWidth="1"/>
    <col min="6" max="6" width="7.7109375" style="65" customWidth="1"/>
    <col min="7" max="7" width="3" style="65" customWidth="1"/>
    <col min="8" max="8" width="6" style="65" customWidth="1"/>
    <col min="9" max="9" width="8.140625" style="65" customWidth="1"/>
    <col min="10" max="12" width="11.28515625" style="2" customWidth="1"/>
    <col min="13" max="13" width="15.5703125" style="1" customWidth="1"/>
    <col min="14" max="14" width="22.140625" style="65" customWidth="1"/>
    <col min="15" max="15" width="23.5703125" style="65" customWidth="1"/>
    <col min="16" max="17" width="27.7109375" style="112" customWidth="1"/>
    <col min="18" max="19" width="26.28515625" style="116" customWidth="1"/>
    <col min="20" max="23" width="27.7109375" style="112" customWidth="1"/>
  </cols>
  <sheetData>
    <row r="1" spans="1:25" ht="16.5" customHeight="1">
      <c r="A1" s="1883" t="s">
        <v>9</v>
      </c>
      <c r="B1" s="1883"/>
      <c r="C1" s="1883"/>
      <c r="D1" s="1883"/>
      <c r="E1" s="1883"/>
      <c r="F1" s="1883"/>
      <c r="G1" s="1883"/>
      <c r="H1" s="1883"/>
      <c r="I1" s="1883"/>
      <c r="M1" s="140"/>
      <c r="N1" s="7"/>
      <c r="O1" s="107"/>
      <c r="P1" s="107"/>
      <c r="Q1" s="107"/>
      <c r="R1" s="107"/>
      <c r="S1" s="107"/>
      <c r="U1" s="107"/>
      <c r="V1" s="107"/>
      <c r="W1" s="107"/>
    </row>
    <row r="2" spans="1:25" ht="13.5" customHeight="1" thickBot="1">
      <c r="A2" s="16"/>
      <c r="B2" s="16"/>
      <c r="C2" s="16"/>
      <c r="D2" s="16"/>
      <c r="E2" s="16"/>
      <c r="F2" s="100"/>
      <c r="G2" s="16"/>
      <c r="H2" s="16"/>
      <c r="I2" s="1132"/>
      <c r="J2" s="16"/>
      <c r="K2" s="99"/>
      <c r="L2" s="99"/>
      <c r="M2" s="140"/>
      <c r="N2" s="7"/>
      <c r="O2" s="106"/>
      <c r="P2" s="106"/>
      <c r="Q2" s="106"/>
      <c r="R2" s="107"/>
      <c r="S2" s="107"/>
      <c r="U2" s="107"/>
      <c r="V2" s="107"/>
      <c r="W2" s="107"/>
    </row>
    <row r="3" spans="1:25" s="65" customFormat="1" ht="69" customHeight="1">
      <c r="A3" s="3091" t="s">
        <v>8</v>
      </c>
      <c r="B3" s="3092"/>
      <c r="C3" s="3092"/>
      <c r="D3" s="3092"/>
      <c r="E3" s="3092"/>
      <c r="F3" s="3092"/>
      <c r="G3" s="3092"/>
      <c r="H3" s="3092"/>
      <c r="I3" s="3093"/>
      <c r="J3" s="3100" t="s">
        <v>78</v>
      </c>
      <c r="K3" s="3101"/>
      <c r="L3" s="3101"/>
      <c r="M3" s="3102"/>
      <c r="N3" s="3106" t="s">
        <v>147</v>
      </c>
      <c r="O3" s="3106" t="s">
        <v>77</v>
      </c>
      <c r="P3" s="3109" t="s">
        <v>7673</v>
      </c>
      <c r="Q3" s="3109" t="s">
        <v>7613</v>
      </c>
      <c r="R3" s="3111" t="s">
        <v>5754</v>
      </c>
      <c r="S3" s="3111" t="s">
        <v>7616</v>
      </c>
      <c r="T3" s="3086" t="s">
        <v>7674</v>
      </c>
      <c r="U3" s="3086" t="s">
        <v>7614</v>
      </c>
      <c r="V3" s="3086" t="s">
        <v>7675</v>
      </c>
      <c r="W3" s="3086" t="s">
        <v>7615</v>
      </c>
    </row>
    <row r="4" spans="1:25" s="65" customFormat="1" ht="72" customHeight="1" thickBot="1">
      <c r="A4" s="3094"/>
      <c r="B4" s="3095"/>
      <c r="C4" s="3095"/>
      <c r="D4" s="3095"/>
      <c r="E4" s="3095"/>
      <c r="F4" s="3095"/>
      <c r="G4" s="3095"/>
      <c r="H4" s="3095"/>
      <c r="I4" s="3096"/>
      <c r="J4" s="3103"/>
      <c r="K4" s="3104"/>
      <c r="L4" s="3104"/>
      <c r="M4" s="3105"/>
      <c r="N4" s="3107"/>
      <c r="O4" s="3107"/>
      <c r="P4" s="3110"/>
      <c r="Q4" s="3110"/>
      <c r="R4" s="3112"/>
      <c r="S4" s="3112"/>
      <c r="T4" s="3087"/>
      <c r="U4" s="3087"/>
      <c r="V4" s="3087"/>
      <c r="W4" s="3087"/>
    </row>
    <row r="5" spans="1:25" s="65" customFormat="1" ht="61.5" customHeight="1" thickBot="1">
      <c r="A5" s="3097"/>
      <c r="B5" s="3098"/>
      <c r="C5" s="3098"/>
      <c r="D5" s="3098"/>
      <c r="E5" s="3098"/>
      <c r="F5" s="3098"/>
      <c r="G5" s="3098"/>
      <c r="H5" s="3098"/>
      <c r="I5" s="3099"/>
      <c r="J5" s="237" t="s">
        <v>0</v>
      </c>
      <c r="K5" s="238" t="s">
        <v>1</v>
      </c>
      <c r="L5" s="238" t="s">
        <v>2</v>
      </c>
      <c r="M5" s="239" t="s">
        <v>75</v>
      </c>
      <c r="N5" s="3108"/>
      <c r="O5" s="3108"/>
      <c r="P5" s="3084" t="s">
        <v>141</v>
      </c>
      <c r="Q5" s="3085"/>
      <c r="R5" s="3085"/>
      <c r="S5" s="3085"/>
      <c r="T5" s="3085"/>
      <c r="U5" s="3085"/>
      <c r="V5" s="3085"/>
      <c r="W5" s="3085"/>
    </row>
    <row r="6" spans="1:25" s="17" customFormat="1" ht="30" customHeight="1" thickBot="1">
      <c r="A6" s="3088" t="s">
        <v>477</v>
      </c>
      <c r="B6" s="3089"/>
      <c r="C6" s="3089"/>
      <c r="D6" s="3089"/>
      <c r="E6" s="3089"/>
      <c r="F6" s="3089"/>
      <c r="G6" s="3089"/>
      <c r="H6" s="3089"/>
      <c r="I6" s="3089"/>
      <c r="J6" s="3089"/>
      <c r="K6" s="3089"/>
      <c r="L6" s="3089"/>
      <c r="M6" s="3089"/>
      <c r="N6" s="3089"/>
      <c r="O6" s="3089"/>
      <c r="P6" s="3089"/>
      <c r="Q6" s="3089"/>
      <c r="R6" s="3089"/>
      <c r="S6" s="3089"/>
      <c r="T6" s="3089"/>
      <c r="U6" s="3089"/>
      <c r="V6" s="3089"/>
      <c r="W6" s="3090"/>
    </row>
    <row r="7" spans="1:25" ht="24" customHeight="1">
      <c r="A7" s="3080" t="s">
        <v>468</v>
      </c>
      <c r="B7" s="3081"/>
      <c r="C7" s="3081"/>
      <c r="D7" s="3081"/>
      <c r="E7" s="3081"/>
      <c r="F7" s="3081"/>
      <c r="G7" s="3081"/>
      <c r="H7" s="3081"/>
      <c r="I7" s="3081"/>
      <c r="J7" s="3081"/>
      <c r="K7" s="3081"/>
      <c r="L7" s="3081"/>
      <c r="M7" s="3081"/>
      <c r="N7" s="3081"/>
      <c r="O7" s="3081"/>
      <c r="P7" s="3081"/>
      <c r="Q7" s="3081"/>
      <c r="R7" s="3081"/>
      <c r="S7" s="3081"/>
      <c r="T7" s="3081"/>
      <c r="U7" s="3081"/>
      <c r="V7" s="3081"/>
      <c r="W7" s="3082"/>
    </row>
    <row r="8" spans="1:25" ht="15.75" customHeight="1" thickBot="1">
      <c r="A8" s="3083"/>
      <c r="B8" s="3018"/>
      <c r="C8" s="3018"/>
      <c r="D8" s="3018"/>
      <c r="E8" s="3018"/>
      <c r="F8" s="3018"/>
      <c r="G8" s="3018"/>
      <c r="H8" s="3018"/>
      <c r="I8" s="3018"/>
      <c r="J8" s="3018"/>
      <c r="K8" s="3018"/>
      <c r="L8" s="3018"/>
      <c r="M8" s="3018"/>
      <c r="N8" s="3018"/>
      <c r="O8" s="3018"/>
      <c r="P8" s="3018"/>
      <c r="Q8" s="3018"/>
      <c r="R8" s="3018"/>
      <c r="S8" s="3018"/>
      <c r="T8" s="3018"/>
      <c r="U8" s="3018"/>
      <c r="V8" s="3018"/>
      <c r="W8" s="3019"/>
    </row>
    <row r="9" spans="1:25" ht="16.5" customHeight="1" thickBot="1">
      <c r="A9" s="53" t="s">
        <v>47</v>
      </c>
      <c r="B9" s="51">
        <f t="shared" ref="B9:B96" si="0">J9</f>
        <v>100</v>
      </c>
      <c r="C9" s="51" t="s">
        <v>3</v>
      </c>
      <c r="D9" s="51">
        <f t="shared" ref="D9:D96" si="1">K9</f>
        <v>260</v>
      </c>
      <c r="E9" s="51" t="s">
        <v>3</v>
      </c>
      <c r="F9" s="54">
        <f t="shared" ref="F9:F51" si="2">L9</f>
        <v>900</v>
      </c>
      <c r="G9" s="51" t="s">
        <v>3</v>
      </c>
      <c r="H9" s="51">
        <v>8</v>
      </c>
      <c r="I9" s="52" t="s">
        <v>531</v>
      </c>
      <c r="J9" s="1886">
        <v>100</v>
      </c>
      <c r="K9" s="271">
        <v>260</v>
      </c>
      <c r="L9" s="271">
        <v>900</v>
      </c>
      <c r="M9" s="282"/>
      <c r="N9" s="271"/>
      <c r="O9" s="271"/>
      <c r="P9" s="247">
        <v>35618.604849520001</v>
      </c>
      <c r="Q9" s="247">
        <v>41095.343404080006</v>
      </c>
      <c r="R9" s="170">
        <v>11539.680150990795</v>
      </c>
      <c r="S9" s="170">
        <v>30003.168392576059</v>
      </c>
      <c r="T9" s="170">
        <v>47158.285000510798</v>
      </c>
      <c r="U9" s="170">
        <v>52635.023555070802</v>
      </c>
      <c r="V9" s="1887">
        <v>65621.773242096067</v>
      </c>
      <c r="W9" s="1887">
        <v>71098.511796656065</v>
      </c>
      <c r="Y9" t="str">
        <f>A9&amp;B9&amp;"."&amp;D9&amp;"."&amp;F9&amp;"."&amp;H9&amp;I9</f>
        <v>ВКВТХ.100.260.900.8ТП.24V</v>
      </c>
    </row>
    <row r="10" spans="1:25" ht="16.5" customHeight="1" thickBot="1">
      <c r="A10" s="48" t="s">
        <v>47</v>
      </c>
      <c r="B10" s="49">
        <f t="shared" si="0"/>
        <v>100</v>
      </c>
      <c r="C10" s="49" t="s">
        <v>3</v>
      </c>
      <c r="D10" s="49">
        <f t="shared" si="1"/>
        <v>260</v>
      </c>
      <c r="E10" s="49" t="s">
        <v>3</v>
      </c>
      <c r="F10" s="50">
        <f t="shared" si="2"/>
        <v>950</v>
      </c>
      <c r="G10" s="49" t="s">
        <v>3</v>
      </c>
      <c r="H10" s="49">
        <v>8</v>
      </c>
      <c r="I10" s="52" t="s">
        <v>531</v>
      </c>
      <c r="J10" s="1886">
        <v>100</v>
      </c>
      <c r="K10" s="66">
        <v>260</v>
      </c>
      <c r="L10" s="66">
        <v>950</v>
      </c>
      <c r="M10" s="156"/>
      <c r="N10" s="66"/>
      <c r="O10" s="66"/>
      <c r="P10" s="113">
        <v>36315.097738700002</v>
      </c>
      <c r="Q10" s="113">
        <v>41975.688134520009</v>
      </c>
      <c r="R10" s="161">
        <v>12261.469846442658</v>
      </c>
      <c r="S10" s="161">
        <v>31879.821600750944</v>
      </c>
      <c r="T10" s="161">
        <v>48576.567585142664</v>
      </c>
      <c r="U10" s="161">
        <v>54237.157980962671</v>
      </c>
      <c r="V10" s="1887">
        <v>68194.919339450949</v>
      </c>
      <c r="W10" s="1887">
        <v>73855.509735270956</v>
      </c>
      <c r="Y10" s="65" t="str">
        <f t="shared" ref="Y10:Y73" si="3">A10&amp;B10&amp;"."&amp;D10&amp;"."&amp;F10&amp;"."&amp;H10&amp;I10</f>
        <v>ВКВТХ.100.260.950.8ТП.24V</v>
      </c>
    </row>
    <row r="11" spans="1:25" ht="16.5" customHeight="1" thickBot="1">
      <c r="A11" s="48" t="s">
        <v>47</v>
      </c>
      <c r="B11" s="49">
        <f t="shared" si="0"/>
        <v>100</v>
      </c>
      <c r="C11" s="49" t="s">
        <v>3</v>
      </c>
      <c r="D11" s="49">
        <f t="shared" si="1"/>
        <v>260</v>
      </c>
      <c r="E11" s="49" t="s">
        <v>3</v>
      </c>
      <c r="F11" s="50">
        <f t="shared" si="2"/>
        <v>1000</v>
      </c>
      <c r="G11" s="49" t="s">
        <v>3</v>
      </c>
      <c r="H11" s="49">
        <v>8</v>
      </c>
      <c r="I11" s="52" t="s">
        <v>531</v>
      </c>
      <c r="J11" s="1886">
        <v>100</v>
      </c>
      <c r="K11" s="66">
        <v>260</v>
      </c>
      <c r="L11" s="66">
        <v>1000</v>
      </c>
      <c r="M11" s="156"/>
      <c r="N11" s="66"/>
      <c r="O11" s="66"/>
      <c r="P11" s="113">
        <v>38969.721231429998</v>
      </c>
      <c r="Q11" s="113">
        <v>44895.077681580005</v>
      </c>
      <c r="R11" s="161">
        <v>12731.9253982666</v>
      </c>
      <c r="S11" s="161">
        <v>33103.006035493192</v>
      </c>
      <c r="T11" s="161">
        <v>51701.646629696595</v>
      </c>
      <c r="U11" s="161">
        <v>57627.003079846603</v>
      </c>
      <c r="V11" s="1887">
        <v>72072.72726692319</v>
      </c>
      <c r="W11" s="1887">
        <v>77998.083717073197</v>
      </c>
      <c r="Y11" s="65" t="str">
        <f t="shared" si="3"/>
        <v>ВКВТХ.100.260.1000.8ТП.24V</v>
      </c>
    </row>
    <row r="12" spans="1:25" ht="16.5" customHeight="1" thickBot="1">
      <c r="A12" s="48" t="s">
        <v>47</v>
      </c>
      <c r="B12" s="49">
        <f t="shared" si="0"/>
        <v>100</v>
      </c>
      <c r="C12" s="49" t="s">
        <v>3</v>
      </c>
      <c r="D12" s="49">
        <f t="shared" si="1"/>
        <v>260</v>
      </c>
      <c r="E12" s="49" t="s">
        <v>3</v>
      </c>
      <c r="F12" s="50">
        <f t="shared" si="2"/>
        <v>1050</v>
      </c>
      <c r="G12" s="49" t="s">
        <v>3</v>
      </c>
      <c r="H12" s="49">
        <v>8</v>
      </c>
      <c r="I12" s="52" t="s">
        <v>531</v>
      </c>
      <c r="J12" s="1886">
        <v>100</v>
      </c>
      <c r="K12" s="66">
        <v>260</v>
      </c>
      <c r="L12" s="66">
        <v>1050</v>
      </c>
      <c r="M12" s="156"/>
      <c r="N12" s="66"/>
      <c r="O12" s="66"/>
      <c r="P12" s="113">
        <v>41568.443807110001</v>
      </c>
      <c r="Q12" s="113">
        <v>47756.256493680004</v>
      </c>
      <c r="R12" s="161">
        <v>13453.715093718465</v>
      </c>
      <c r="S12" s="161">
        <v>34979.659243667935</v>
      </c>
      <c r="T12" s="161">
        <v>55022.158900828465</v>
      </c>
      <c r="U12" s="161">
        <v>61209.971587398468</v>
      </c>
      <c r="V12" s="1887">
        <v>76548.103050777936</v>
      </c>
      <c r="W12" s="1887">
        <v>82735.915737347939</v>
      </c>
      <c r="Y12" s="65" t="str">
        <f t="shared" si="3"/>
        <v>ВКВТХ.100.260.1050.8ТП.24V</v>
      </c>
    </row>
    <row r="13" spans="1:25" ht="16.5" customHeight="1" thickBot="1">
      <c r="A13" s="48" t="s">
        <v>47</v>
      </c>
      <c r="B13" s="49">
        <f t="shared" si="0"/>
        <v>100</v>
      </c>
      <c r="C13" s="49" t="s">
        <v>3</v>
      </c>
      <c r="D13" s="49">
        <f t="shared" si="1"/>
        <v>260</v>
      </c>
      <c r="E13" s="49" t="s">
        <v>3</v>
      </c>
      <c r="F13" s="50">
        <f t="shared" si="2"/>
        <v>1100</v>
      </c>
      <c r="G13" s="49" t="s">
        <v>3</v>
      </c>
      <c r="H13" s="49">
        <v>8</v>
      </c>
      <c r="I13" s="52" t="s">
        <v>531</v>
      </c>
      <c r="J13" s="1886">
        <v>100</v>
      </c>
      <c r="K13" s="66">
        <v>260</v>
      </c>
      <c r="L13" s="66">
        <v>1100</v>
      </c>
      <c r="M13" s="156"/>
      <c r="N13" s="66"/>
      <c r="O13" s="66"/>
      <c r="P13" s="113">
        <v>44167.166514680001</v>
      </c>
      <c r="Q13" s="113">
        <v>50617.435443120004</v>
      </c>
      <c r="R13" s="161">
        <v>13924.170645542374</v>
      </c>
      <c r="S13" s="161">
        <v>36202.84367841018</v>
      </c>
      <c r="T13" s="161">
        <v>58091.337160222378</v>
      </c>
      <c r="U13" s="161">
        <v>64541.606088662375</v>
      </c>
      <c r="V13" s="1887">
        <v>80370.010193090187</v>
      </c>
      <c r="W13" s="1887">
        <v>86820.279121530184</v>
      </c>
      <c r="Y13" s="65" t="str">
        <f t="shared" si="3"/>
        <v>ВКВТХ.100.260.1100.8ТП.24V</v>
      </c>
    </row>
    <row r="14" spans="1:25" ht="16.5" customHeight="1" thickBot="1">
      <c r="A14" s="48" t="s">
        <v>47</v>
      </c>
      <c r="B14" s="49">
        <f t="shared" si="0"/>
        <v>100</v>
      </c>
      <c r="C14" s="49" t="s">
        <v>3</v>
      </c>
      <c r="D14" s="49">
        <f t="shared" si="1"/>
        <v>260</v>
      </c>
      <c r="E14" s="49" t="s">
        <v>3</v>
      </c>
      <c r="F14" s="50">
        <f t="shared" si="2"/>
        <v>1150</v>
      </c>
      <c r="G14" s="49" t="s">
        <v>3</v>
      </c>
      <c r="H14" s="49">
        <v>8</v>
      </c>
      <c r="I14" s="52" t="s">
        <v>531</v>
      </c>
      <c r="J14" s="1886">
        <v>100</v>
      </c>
      <c r="K14" s="66">
        <v>260</v>
      </c>
      <c r="L14" s="66">
        <v>1150</v>
      </c>
      <c r="M14" s="156"/>
      <c r="N14" s="66"/>
      <c r="O14" s="66"/>
      <c r="P14" s="113">
        <v>47211.855737530001</v>
      </c>
      <c r="Q14" s="113">
        <v>53996.630795100005</v>
      </c>
      <c r="R14" s="161">
        <v>14394.626197366299</v>
      </c>
      <c r="S14" s="161">
        <v>37426.028113152432</v>
      </c>
      <c r="T14" s="161">
        <v>61606.481934896299</v>
      </c>
      <c r="U14" s="161">
        <v>68391.256992466311</v>
      </c>
      <c r="V14" s="1887">
        <v>84637.88385068244</v>
      </c>
      <c r="W14" s="1887">
        <v>91422.65890825243</v>
      </c>
      <c r="Y14" s="65" t="str">
        <f t="shared" si="3"/>
        <v>ВКВТХ.100.260.1150.8ТП.24V</v>
      </c>
    </row>
    <row r="15" spans="1:25" ht="16.5" customHeight="1" thickBot="1">
      <c r="A15" s="48" t="s">
        <v>47</v>
      </c>
      <c r="B15" s="49">
        <f t="shared" si="0"/>
        <v>100</v>
      </c>
      <c r="C15" s="49" t="s">
        <v>3</v>
      </c>
      <c r="D15" s="49">
        <f t="shared" si="1"/>
        <v>260</v>
      </c>
      <c r="E15" s="49" t="s">
        <v>3</v>
      </c>
      <c r="F15" s="50">
        <f t="shared" si="2"/>
        <v>1200</v>
      </c>
      <c r="G15" s="49" t="s">
        <v>3</v>
      </c>
      <c r="H15" s="49">
        <v>8</v>
      </c>
      <c r="I15" s="52" t="s">
        <v>531</v>
      </c>
      <c r="J15" s="1886">
        <v>100</v>
      </c>
      <c r="K15" s="66">
        <v>260</v>
      </c>
      <c r="L15" s="66">
        <v>1200</v>
      </c>
      <c r="M15" s="156"/>
      <c r="N15" s="66"/>
      <c r="O15" s="66"/>
      <c r="P15" s="113">
        <v>49810.578445099993</v>
      </c>
      <c r="Q15" s="113">
        <v>56857.809744540013</v>
      </c>
      <c r="R15" s="161">
        <v>15116.415892818162</v>
      </c>
      <c r="S15" s="161">
        <v>39302.681321327167</v>
      </c>
      <c r="T15" s="161">
        <v>64926.994337918157</v>
      </c>
      <c r="U15" s="161">
        <v>71974.225637358177</v>
      </c>
      <c r="V15" s="1887">
        <v>89113.25976642716</v>
      </c>
      <c r="W15" s="1887">
        <v>96160.491065867187</v>
      </c>
      <c r="Y15" s="65" t="str">
        <f t="shared" si="3"/>
        <v>ВКВТХ.100.260.1200.8ТП.24V</v>
      </c>
    </row>
    <row r="16" spans="1:25" ht="16.5" customHeight="1" thickBot="1">
      <c r="A16" s="48" t="s">
        <v>47</v>
      </c>
      <c r="B16" s="49">
        <f t="shared" si="0"/>
        <v>100</v>
      </c>
      <c r="C16" s="49" t="s">
        <v>3</v>
      </c>
      <c r="D16" s="49">
        <f t="shared" si="1"/>
        <v>260</v>
      </c>
      <c r="E16" s="49" t="s">
        <v>3</v>
      </c>
      <c r="F16" s="50">
        <f t="shared" si="2"/>
        <v>1250</v>
      </c>
      <c r="G16" s="49" t="s">
        <v>3</v>
      </c>
      <c r="H16" s="49">
        <v>8</v>
      </c>
      <c r="I16" s="52" t="s">
        <v>531</v>
      </c>
      <c r="J16" s="1886">
        <v>100</v>
      </c>
      <c r="K16" s="66">
        <v>260</v>
      </c>
      <c r="L16" s="66">
        <v>1250</v>
      </c>
      <c r="M16" s="156"/>
      <c r="N16" s="66"/>
      <c r="O16" s="66"/>
      <c r="P16" s="113">
        <v>52409.301152669992</v>
      </c>
      <c r="Q16" s="113">
        <v>59718.988693980005</v>
      </c>
      <c r="R16" s="161">
        <v>15586.871444642165</v>
      </c>
      <c r="S16" s="161">
        <v>40525.865756069419</v>
      </c>
      <c r="T16" s="161">
        <v>67996.172597312165</v>
      </c>
      <c r="U16" s="161">
        <v>75305.860138622171</v>
      </c>
      <c r="V16" s="1887">
        <v>92935.166908739411</v>
      </c>
      <c r="W16" s="1887">
        <v>100244.85445004943</v>
      </c>
      <c r="Y16" s="65" t="str">
        <f t="shared" si="3"/>
        <v>ВКВТХ.100.260.1250.8ТП.24V</v>
      </c>
    </row>
    <row r="17" spans="1:25" ht="16.5" customHeight="1" thickBot="1">
      <c r="A17" s="48" t="s">
        <v>47</v>
      </c>
      <c r="B17" s="49">
        <f t="shared" si="0"/>
        <v>100</v>
      </c>
      <c r="C17" s="49" t="s">
        <v>3</v>
      </c>
      <c r="D17" s="49">
        <f t="shared" si="1"/>
        <v>260</v>
      </c>
      <c r="E17" s="49" t="s">
        <v>3</v>
      </c>
      <c r="F17" s="50">
        <f t="shared" si="2"/>
        <v>1300</v>
      </c>
      <c r="G17" s="49" t="s">
        <v>3</v>
      </c>
      <c r="H17" s="49">
        <v>8</v>
      </c>
      <c r="I17" s="52" t="s">
        <v>531</v>
      </c>
      <c r="J17" s="1886">
        <v>100</v>
      </c>
      <c r="K17" s="66">
        <v>260</v>
      </c>
      <c r="L17" s="66">
        <v>1300</v>
      </c>
      <c r="M17" s="156"/>
      <c r="N17" s="66"/>
      <c r="O17" s="66"/>
      <c r="P17" s="113">
        <v>55008.023860240006</v>
      </c>
      <c r="Q17" s="113">
        <v>62580.167506080012</v>
      </c>
      <c r="R17" s="161">
        <v>16308.661140094</v>
      </c>
      <c r="S17" s="161">
        <v>42402.518964244307</v>
      </c>
      <c r="T17" s="161">
        <v>71316.685000334008</v>
      </c>
      <c r="U17" s="161">
        <v>78888.828646174006</v>
      </c>
      <c r="V17" s="1887">
        <v>97410.542824484321</v>
      </c>
      <c r="W17" s="1887">
        <v>104982.68647032432</v>
      </c>
      <c r="Y17" s="65" t="str">
        <f t="shared" si="3"/>
        <v>ВКВТХ.100.260.1300.8ТП.24V</v>
      </c>
    </row>
    <row r="18" spans="1:25" ht="16.5" customHeight="1" thickBot="1">
      <c r="A18" s="48" t="s">
        <v>47</v>
      </c>
      <c r="B18" s="49">
        <f t="shared" si="0"/>
        <v>100</v>
      </c>
      <c r="C18" s="49" t="s">
        <v>3</v>
      </c>
      <c r="D18" s="49">
        <f t="shared" si="1"/>
        <v>260</v>
      </c>
      <c r="E18" s="49" t="s">
        <v>3</v>
      </c>
      <c r="F18" s="50">
        <f t="shared" si="2"/>
        <v>1350</v>
      </c>
      <c r="G18" s="49" t="s">
        <v>3</v>
      </c>
      <c r="H18" s="49">
        <v>8</v>
      </c>
      <c r="I18" s="52" t="s">
        <v>531</v>
      </c>
      <c r="J18" s="1886">
        <v>100</v>
      </c>
      <c r="K18" s="66">
        <v>260</v>
      </c>
      <c r="L18" s="66">
        <v>1350</v>
      </c>
      <c r="M18" s="156"/>
      <c r="N18" s="66"/>
      <c r="O18" s="66"/>
      <c r="P18" s="113">
        <v>57606.746567809998</v>
      </c>
      <c r="Q18" s="113">
        <v>65441.346455520012</v>
      </c>
      <c r="R18" s="161">
        <v>16779.116691917894</v>
      </c>
      <c r="S18" s="161">
        <v>43625.703398986552</v>
      </c>
      <c r="T18" s="161">
        <v>74385.863259727892</v>
      </c>
      <c r="U18" s="161">
        <v>82220.463147437898</v>
      </c>
      <c r="V18" s="1887">
        <v>101232.44996679656</v>
      </c>
      <c r="W18" s="1887">
        <v>109067.04985450656</v>
      </c>
      <c r="Y18" s="65" t="str">
        <f t="shared" si="3"/>
        <v>ВКВТХ.100.260.1350.8ТП.24V</v>
      </c>
    </row>
    <row r="19" spans="1:25" ht="16.5" customHeight="1" thickBot="1">
      <c r="A19" s="48" t="s">
        <v>47</v>
      </c>
      <c r="B19" s="49">
        <f t="shared" si="0"/>
        <v>100</v>
      </c>
      <c r="C19" s="49" t="s">
        <v>3</v>
      </c>
      <c r="D19" s="49">
        <f t="shared" si="1"/>
        <v>260</v>
      </c>
      <c r="E19" s="49" t="s">
        <v>3</v>
      </c>
      <c r="F19" s="50">
        <f t="shared" si="2"/>
        <v>1400</v>
      </c>
      <c r="G19" s="49" t="s">
        <v>3</v>
      </c>
      <c r="H19" s="49">
        <v>8</v>
      </c>
      <c r="I19" s="52" t="s">
        <v>531</v>
      </c>
      <c r="J19" s="1886">
        <v>100</v>
      </c>
      <c r="K19" s="66">
        <v>260</v>
      </c>
      <c r="L19" s="66">
        <v>1400</v>
      </c>
      <c r="M19" s="156"/>
      <c r="N19" s="66"/>
      <c r="O19" s="66"/>
      <c r="P19" s="113">
        <v>59061.723943420002</v>
      </c>
      <c r="Q19" s="113">
        <v>67097.92766418001</v>
      </c>
      <c r="R19" s="161">
        <v>17500.906387369727</v>
      </c>
      <c r="S19" s="161">
        <v>45502.356607161288</v>
      </c>
      <c r="T19" s="161">
        <v>76562.630330789732</v>
      </c>
      <c r="U19" s="161">
        <v>84598.83405154974</v>
      </c>
      <c r="V19" s="1887">
        <v>104564.08055058129</v>
      </c>
      <c r="W19" s="1887">
        <v>112600.2842713413</v>
      </c>
      <c r="Y19" s="65" t="str">
        <f t="shared" si="3"/>
        <v>ВКВТХ.100.260.1400.8ТП.24V</v>
      </c>
    </row>
    <row r="20" spans="1:25" ht="16.5" customHeight="1" thickBot="1">
      <c r="A20" s="48" t="s">
        <v>47</v>
      </c>
      <c r="B20" s="49">
        <f t="shared" si="0"/>
        <v>100</v>
      </c>
      <c r="C20" s="49" t="s">
        <v>3</v>
      </c>
      <c r="D20" s="49">
        <f t="shared" si="1"/>
        <v>260</v>
      </c>
      <c r="E20" s="49" t="s">
        <v>3</v>
      </c>
      <c r="F20" s="50">
        <f t="shared" si="2"/>
        <v>1450</v>
      </c>
      <c r="G20" s="49" t="s">
        <v>3</v>
      </c>
      <c r="H20" s="49">
        <v>8</v>
      </c>
      <c r="I20" s="52" t="s">
        <v>531</v>
      </c>
      <c r="J20" s="1886">
        <v>100</v>
      </c>
      <c r="K20" s="66">
        <v>260</v>
      </c>
      <c r="L20" s="66">
        <v>1450</v>
      </c>
      <c r="M20" s="156"/>
      <c r="N20" s="66"/>
      <c r="O20" s="66"/>
      <c r="P20" s="113">
        <v>60630.037825169995</v>
      </c>
      <c r="Q20" s="113">
        <v>68886.118773360009</v>
      </c>
      <c r="R20" s="161">
        <v>17971.361939193623</v>
      </c>
      <c r="S20" s="161">
        <v>46725.54104190354</v>
      </c>
      <c r="T20" s="161">
        <v>78601.399764363625</v>
      </c>
      <c r="U20" s="161">
        <v>86857.480712553632</v>
      </c>
      <c r="V20" s="1887">
        <v>107355.57886707353</v>
      </c>
      <c r="W20" s="1887">
        <v>115611.65981526356</v>
      </c>
      <c r="Y20" s="65" t="str">
        <f t="shared" si="3"/>
        <v>ВКВТХ.100.260.1450.8ТП.24V</v>
      </c>
    </row>
    <row r="21" spans="1:25" ht="16.5" customHeight="1" thickBot="1">
      <c r="A21" s="48" t="s">
        <v>47</v>
      </c>
      <c r="B21" s="49">
        <f t="shared" si="0"/>
        <v>100</v>
      </c>
      <c r="C21" s="49" t="s">
        <v>3</v>
      </c>
      <c r="D21" s="49">
        <f t="shared" si="1"/>
        <v>260</v>
      </c>
      <c r="E21" s="49" t="s">
        <v>3</v>
      </c>
      <c r="F21" s="50">
        <f t="shared" si="2"/>
        <v>1500</v>
      </c>
      <c r="G21" s="49" t="s">
        <v>3</v>
      </c>
      <c r="H21" s="49">
        <v>8</v>
      </c>
      <c r="I21" s="52" t="s">
        <v>531</v>
      </c>
      <c r="J21" s="1886">
        <v>100</v>
      </c>
      <c r="K21" s="66">
        <v>260</v>
      </c>
      <c r="L21" s="66">
        <v>1500</v>
      </c>
      <c r="M21" s="156"/>
      <c r="N21" s="66"/>
      <c r="O21" s="66"/>
      <c r="P21" s="113">
        <v>62290.654000189999</v>
      </c>
      <c r="Q21" s="113">
        <v>70770.426457500012</v>
      </c>
      <c r="R21" s="161">
        <v>18693.151634645608</v>
      </c>
      <c r="S21" s="161">
        <v>48602.194250078435</v>
      </c>
      <c r="T21" s="161">
        <v>80983.805634835604</v>
      </c>
      <c r="U21" s="161">
        <v>89463.578092145617</v>
      </c>
      <c r="V21" s="1887">
        <v>110892.84825026843</v>
      </c>
      <c r="W21" s="1887">
        <v>119372.62070757845</v>
      </c>
      <c r="Y21" s="65" t="str">
        <f t="shared" si="3"/>
        <v>ВКВТХ.100.260.1500.8ТП.24V</v>
      </c>
    </row>
    <row r="22" spans="1:25" ht="16.5" customHeight="1" thickBot="1">
      <c r="A22" s="48" t="s">
        <v>47</v>
      </c>
      <c r="B22" s="49">
        <f t="shared" si="0"/>
        <v>100</v>
      </c>
      <c r="C22" s="49" t="s">
        <v>3</v>
      </c>
      <c r="D22" s="49">
        <f t="shared" si="1"/>
        <v>260</v>
      </c>
      <c r="E22" s="49" t="s">
        <v>3</v>
      </c>
      <c r="F22" s="50">
        <f t="shared" si="2"/>
        <v>1550</v>
      </c>
      <c r="G22" s="49" t="s">
        <v>3</v>
      </c>
      <c r="H22" s="49">
        <v>8</v>
      </c>
      <c r="I22" s="52" t="s">
        <v>531</v>
      </c>
      <c r="J22" s="1886">
        <v>100</v>
      </c>
      <c r="K22" s="66">
        <v>260</v>
      </c>
      <c r="L22" s="66">
        <v>1550</v>
      </c>
      <c r="M22" s="156"/>
      <c r="N22" s="66"/>
      <c r="O22" s="66"/>
      <c r="P22" s="113">
        <v>64433.944974739999</v>
      </c>
      <c r="Q22" s="113">
        <v>73157.35418082001</v>
      </c>
      <c r="R22" s="161">
        <v>19163.607186469504</v>
      </c>
      <c r="S22" s="161">
        <v>49825.37868482068</v>
      </c>
      <c r="T22" s="161">
        <v>83597.552161209504</v>
      </c>
      <c r="U22" s="161">
        <v>92320.961367289507</v>
      </c>
      <c r="V22" s="1887">
        <v>114259.32365956067</v>
      </c>
      <c r="W22" s="1887">
        <v>122982.73286564069</v>
      </c>
      <c r="Y22" s="65" t="str">
        <f t="shared" si="3"/>
        <v>ВКВТХ.100.260.1550.8ТП.24V</v>
      </c>
    </row>
    <row r="23" spans="1:25" ht="16.5" customHeight="1" thickBot="1">
      <c r="A23" s="48" t="s">
        <v>47</v>
      </c>
      <c r="B23" s="49">
        <f t="shared" si="0"/>
        <v>100</v>
      </c>
      <c r="C23" s="49" t="s">
        <v>3</v>
      </c>
      <c r="D23" s="49">
        <f t="shared" si="1"/>
        <v>260</v>
      </c>
      <c r="E23" s="49" t="s">
        <v>3</v>
      </c>
      <c r="F23" s="50">
        <f t="shared" si="2"/>
        <v>1600</v>
      </c>
      <c r="G23" s="49" t="s">
        <v>3</v>
      </c>
      <c r="H23" s="49">
        <v>8</v>
      </c>
      <c r="I23" s="52" t="s">
        <v>531</v>
      </c>
      <c r="J23" s="1886">
        <v>100</v>
      </c>
      <c r="K23" s="66">
        <v>260</v>
      </c>
      <c r="L23" s="66">
        <v>1600</v>
      </c>
      <c r="M23" s="156"/>
      <c r="N23" s="66"/>
      <c r="O23" s="66"/>
      <c r="P23" s="113">
        <v>66002.258856490007</v>
      </c>
      <c r="Q23" s="113">
        <v>74945.54542734001</v>
      </c>
      <c r="R23" s="161">
        <v>19634.0627382934</v>
      </c>
      <c r="S23" s="161">
        <v>51048.563119562779</v>
      </c>
      <c r="T23" s="161">
        <v>85636.321594783411</v>
      </c>
      <c r="U23" s="161">
        <v>94579.608165633414</v>
      </c>
      <c r="V23" s="1887">
        <v>117050.82197605279</v>
      </c>
      <c r="W23" s="1887">
        <v>125994.10854690279</v>
      </c>
      <c r="Y23" s="65" t="str">
        <f t="shared" si="3"/>
        <v>ВКВТХ.100.260.1600.8ТП.24V</v>
      </c>
    </row>
    <row r="24" spans="1:25" ht="16.5" customHeight="1" thickBot="1">
      <c r="A24" s="48" t="s">
        <v>47</v>
      </c>
      <c r="B24" s="49">
        <f t="shared" si="0"/>
        <v>100</v>
      </c>
      <c r="C24" s="49" t="s">
        <v>3</v>
      </c>
      <c r="D24" s="49">
        <f t="shared" si="1"/>
        <v>260</v>
      </c>
      <c r="E24" s="49" t="s">
        <v>3</v>
      </c>
      <c r="F24" s="50">
        <f t="shared" si="2"/>
        <v>1650</v>
      </c>
      <c r="G24" s="49" t="s">
        <v>3</v>
      </c>
      <c r="H24" s="49">
        <v>8</v>
      </c>
      <c r="I24" s="52" t="s">
        <v>531</v>
      </c>
      <c r="J24" s="1886">
        <v>100</v>
      </c>
      <c r="K24" s="66">
        <v>260</v>
      </c>
      <c r="L24" s="66">
        <v>1650</v>
      </c>
      <c r="M24" s="156"/>
      <c r="N24" s="66"/>
      <c r="O24" s="66"/>
      <c r="P24" s="113">
        <v>68016.53912162999</v>
      </c>
      <c r="Q24" s="113">
        <v>77251.753076400011</v>
      </c>
      <c r="R24" s="161">
        <v>20355.852433745233</v>
      </c>
      <c r="S24" s="161">
        <v>52925.216327737668</v>
      </c>
      <c r="T24" s="161">
        <v>88372.391555375216</v>
      </c>
      <c r="U24" s="161">
        <v>97607.605510145251</v>
      </c>
      <c r="V24" s="1887">
        <v>120941.75544936766</v>
      </c>
      <c r="W24" s="1887">
        <v>130176.96940413768</v>
      </c>
      <c r="Y24" s="65" t="str">
        <f t="shared" si="3"/>
        <v>ВКВТХ.100.260.1650.8ТП.24V</v>
      </c>
    </row>
    <row r="25" spans="1:25" ht="16.5" customHeight="1" thickBot="1">
      <c r="A25" s="48" t="s">
        <v>47</v>
      </c>
      <c r="B25" s="49">
        <f t="shared" si="0"/>
        <v>100</v>
      </c>
      <c r="C25" s="49" t="s">
        <v>3</v>
      </c>
      <c r="D25" s="49">
        <f t="shared" si="1"/>
        <v>260</v>
      </c>
      <c r="E25" s="49" t="s">
        <v>3</v>
      </c>
      <c r="F25" s="50">
        <f t="shared" si="2"/>
        <v>1700</v>
      </c>
      <c r="G25" s="49" t="s">
        <v>3</v>
      </c>
      <c r="H25" s="49">
        <v>8</v>
      </c>
      <c r="I25" s="52" t="s">
        <v>531</v>
      </c>
      <c r="J25" s="1886">
        <v>100</v>
      </c>
      <c r="K25" s="66">
        <v>260</v>
      </c>
      <c r="L25" s="66">
        <v>1700</v>
      </c>
      <c r="M25" s="156"/>
      <c r="N25" s="66"/>
      <c r="O25" s="66"/>
      <c r="P25" s="113">
        <v>69584.853003379991</v>
      </c>
      <c r="Q25" s="113">
        <v>79039.944185580011</v>
      </c>
      <c r="R25" s="161">
        <v>20826.307985569129</v>
      </c>
      <c r="S25" s="161">
        <v>54148.40076247992</v>
      </c>
      <c r="T25" s="161">
        <v>90411.160988949123</v>
      </c>
      <c r="U25" s="161">
        <v>99866.252171149143</v>
      </c>
      <c r="V25" s="1887">
        <v>123733.2537658599</v>
      </c>
      <c r="W25" s="1887">
        <v>133188.34494805994</v>
      </c>
      <c r="Y25" s="65" t="str">
        <f t="shared" si="3"/>
        <v>ВКВТХ.100.260.1700.8ТП.24V</v>
      </c>
    </row>
    <row r="26" spans="1:25" ht="16.5" customHeight="1" thickBot="1">
      <c r="A26" s="48" t="s">
        <v>47</v>
      </c>
      <c r="B26" s="49">
        <f t="shared" si="0"/>
        <v>100</v>
      </c>
      <c r="C26" s="49" t="s">
        <v>3</v>
      </c>
      <c r="D26" s="49">
        <f t="shared" si="1"/>
        <v>260</v>
      </c>
      <c r="E26" s="49" t="s">
        <v>3</v>
      </c>
      <c r="F26" s="50">
        <f t="shared" si="2"/>
        <v>1750</v>
      </c>
      <c r="G26" s="49" t="s">
        <v>3</v>
      </c>
      <c r="H26" s="49">
        <v>8</v>
      </c>
      <c r="I26" s="52" t="s">
        <v>531</v>
      </c>
      <c r="J26" s="1886">
        <v>100</v>
      </c>
      <c r="K26" s="66">
        <v>260</v>
      </c>
      <c r="L26" s="66">
        <v>1750</v>
      </c>
      <c r="M26" s="156"/>
      <c r="N26" s="66"/>
      <c r="O26" s="66"/>
      <c r="P26" s="113">
        <v>70707.20036984999</v>
      </c>
      <c r="Q26" s="113">
        <v>80310.118892220009</v>
      </c>
      <c r="R26" s="161">
        <v>21548.097681021114</v>
      </c>
      <c r="S26" s="161">
        <v>56025.053970654648</v>
      </c>
      <c r="T26" s="161">
        <v>92255.298050871104</v>
      </c>
      <c r="U26" s="161">
        <v>101858.21657324112</v>
      </c>
      <c r="V26" s="1887">
        <v>126732.25434050465</v>
      </c>
      <c r="W26" s="1887">
        <v>136335.17286287466</v>
      </c>
      <c r="Y26" s="65" t="str">
        <f t="shared" si="3"/>
        <v>ВКВТХ.100.260.1750.8ТП.24V</v>
      </c>
    </row>
    <row r="27" spans="1:25" ht="16.5" customHeight="1" thickBot="1">
      <c r="A27" s="48" t="s">
        <v>47</v>
      </c>
      <c r="B27" s="49">
        <f t="shared" si="0"/>
        <v>100</v>
      </c>
      <c r="C27" s="49" t="s">
        <v>3</v>
      </c>
      <c r="D27" s="49">
        <f t="shared" si="1"/>
        <v>260</v>
      </c>
      <c r="E27" s="49" t="s">
        <v>3</v>
      </c>
      <c r="F27" s="50">
        <f t="shared" si="2"/>
        <v>1800</v>
      </c>
      <c r="G27" s="49" t="s">
        <v>3</v>
      </c>
      <c r="H27" s="49">
        <v>8</v>
      </c>
      <c r="I27" s="52" t="s">
        <v>531</v>
      </c>
      <c r="J27" s="1886">
        <v>100</v>
      </c>
      <c r="K27" s="66">
        <v>260</v>
      </c>
      <c r="L27" s="66">
        <v>1800</v>
      </c>
      <c r="M27" s="156"/>
      <c r="N27" s="66"/>
      <c r="O27" s="66"/>
      <c r="P27" s="113">
        <v>72275.514119710002</v>
      </c>
      <c r="Q27" s="113">
        <v>82098.310138740009</v>
      </c>
      <c r="R27" s="161">
        <v>22018.55323284501</v>
      </c>
      <c r="S27" s="161">
        <v>57248.238405396907</v>
      </c>
      <c r="T27" s="161">
        <v>94294.067352555008</v>
      </c>
      <c r="U27" s="161">
        <v>104116.86337158502</v>
      </c>
      <c r="V27" s="1887">
        <v>129523.75252510692</v>
      </c>
      <c r="W27" s="1887">
        <v>139346.54854413692</v>
      </c>
      <c r="Y27" s="65" t="str">
        <f t="shared" si="3"/>
        <v>ВКВТХ.100.260.1800.8ТП.24V</v>
      </c>
    </row>
    <row r="28" spans="1:25" ht="16.5" customHeight="1" thickBot="1">
      <c r="A28" s="48" t="s">
        <v>47</v>
      </c>
      <c r="B28" s="49">
        <f t="shared" si="0"/>
        <v>100</v>
      </c>
      <c r="C28" s="49" t="s">
        <v>3</v>
      </c>
      <c r="D28" s="49">
        <f t="shared" si="1"/>
        <v>260</v>
      </c>
      <c r="E28" s="49" t="s">
        <v>3</v>
      </c>
      <c r="F28" s="50">
        <f t="shared" si="2"/>
        <v>1850</v>
      </c>
      <c r="G28" s="49" t="s">
        <v>3</v>
      </c>
      <c r="H28" s="49">
        <v>8</v>
      </c>
      <c r="I28" s="52" t="s">
        <v>531</v>
      </c>
      <c r="J28" s="1886">
        <v>100</v>
      </c>
      <c r="K28" s="66">
        <v>260</v>
      </c>
      <c r="L28" s="66">
        <v>1850</v>
      </c>
      <c r="M28" s="156"/>
      <c r="N28" s="66"/>
      <c r="O28" s="66"/>
      <c r="P28" s="113">
        <v>73843.828001460002</v>
      </c>
      <c r="Q28" s="113">
        <v>83886.501247920009</v>
      </c>
      <c r="R28" s="161">
        <v>22740.342928296843</v>
      </c>
      <c r="S28" s="161">
        <v>59124.891613571795</v>
      </c>
      <c r="T28" s="161">
        <v>96584.170929756845</v>
      </c>
      <c r="U28" s="161">
        <v>106626.84417621685</v>
      </c>
      <c r="V28" s="1887">
        <v>132968.71961503179</v>
      </c>
      <c r="W28" s="1887">
        <v>143011.3928614918</v>
      </c>
      <c r="Y28" s="65" t="str">
        <f t="shared" si="3"/>
        <v>ВКВТХ.100.260.1850.8ТП.24V</v>
      </c>
    </row>
    <row r="29" spans="1:25" ht="16.5" customHeight="1" thickBot="1">
      <c r="A29" s="48" t="s">
        <v>47</v>
      </c>
      <c r="B29" s="49">
        <f t="shared" si="0"/>
        <v>100</v>
      </c>
      <c r="C29" s="49" t="s">
        <v>3</v>
      </c>
      <c r="D29" s="49">
        <f t="shared" si="1"/>
        <v>260</v>
      </c>
      <c r="E29" s="49" t="s">
        <v>3</v>
      </c>
      <c r="F29" s="50">
        <f t="shared" si="2"/>
        <v>1900</v>
      </c>
      <c r="G29" s="49" t="s">
        <v>3</v>
      </c>
      <c r="H29" s="49">
        <v>8</v>
      </c>
      <c r="I29" s="52" t="s">
        <v>531</v>
      </c>
      <c r="J29" s="1886">
        <v>100</v>
      </c>
      <c r="K29" s="66">
        <v>260</v>
      </c>
      <c r="L29" s="66">
        <v>1900</v>
      </c>
      <c r="M29" s="156"/>
      <c r="N29" s="66"/>
      <c r="O29" s="66"/>
      <c r="P29" s="113">
        <v>75412.141883210003</v>
      </c>
      <c r="Q29" s="113">
        <v>85674.692494440009</v>
      </c>
      <c r="R29" s="161">
        <v>23210.798480120739</v>
      </c>
      <c r="S29" s="161">
        <v>60348.07604831404</v>
      </c>
      <c r="T29" s="161">
        <v>98622.940363330737</v>
      </c>
      <c r="U29" s="161">
        <v>108885.49097456074</v>
      </c>
      <c r="V29" s="1887">
        <v>135760.21793152404</v>
      </c>
      <c r="W29" s="1887">
        <v>146022.76854275406</v>
      </c>
      <c r="Y29" s="65" t="str">
        <f t="shared" si="3"/>
        <v>ВКВТХ.100.260.1900.8ТП.24V</v>
      </c>
    </row>
    <row r="30" spans="1:25" ht="16.5" customHeight="1" thickBot="1">
      <c r="A30" s="48" t="s">
        <v>47</v>
      </c>
      <c r="B30" s="49">
        <f t="shared" si="0"/>
        <v>100</v>
      </c>
      <c r="C30" s="49" t="s">
        <v>3</v>
      </c>
      <c r="D30" s="49">
        <f t="shared" si="1"/>
        <v>260</v>
      </c>
      <c r="E30" s="49" t="s">
        <v>3</v>
      </c>
      <c r="F30" s="50">
        <f t="shared" si="2"/>
        <v>1950</v>
      </c>
      <c r="G30" s="49" t="s">
        <v>3</v>
      </c>
      <c r="H30" s="49">
        <v>8</v>
      </c>
      <c r="I30" s="52" t="s">
        <v>531</v>
      </c>
      <c r="J30" s="1886">
        <v>100</v>
      </c>
      <c r="K30" s="66">
        <v>260</v>
      </c>
      <c r="L30" s="66">
        <v>1950</v>
      </c>
      <c r="M30" s="156"/>
      <c r="N30" s="66"/>
      <c r="O30" s="66"/>
      <c r="P30" s="113">
        <v>76980.45563307</v>
      </c>
      <c r="Q30" s="113">
        <v>87462.883603620008</v>
      </c>
      <c r="R30" s="161">
        <v>23681.254031944631</v>
      </c>
      <c r="S30" s="161">
        <v>61571.260483056139</v>
      </c>
      <c r="T30" s="161">
        <v>100661.70966501463</v>
      </c>
      <c r="U30" s="161">
        <v>111144.13763556464</v>
      </c>
      <c r="V30" s="1887">
        <v>138551.71611612613</v>
      </c>
      <c r="W30" s="1887">
        <v>149034.14408667615</v>
      </c>
      <c r="Y30" s="65" t="str">
        <f t="shared" si="3"/>
        <v>ВКВТХ.100.260.1950.8ТП.24V</v>
      </c>
    </row>
    <row r="31" spans="1:25" ht="16.5" customHeight="1" thickBot="1">
      <c r="A31" s="48" t="s">
        <v>47</v>
      </c>
      <c r="B31" s="49">
        <f t="shared" si="0"/>
        <v>100</v>
      </c>
      <c r="C31" s="49" t="s">
        <v>3</v>
      </c>
      <c r="D31" s="49">
        <f t="shared" si="1"/>
        <v>260</v>
      </c>
      <c r="E31" s="49" t="s">
        <v>3</v>
      </c>
      <c r="F31" s="50">
        <f t="shared" si="2"/>
        <v>2000</v>
      </c>
      <c r="G31" s="49" t="s">
        <v>3</v>
      </c>
      <c r="H31" s="49">
        <v>8</v>
      </c>
      <c r="I31" s="52" t="s">
        <v>531</v>
      </c>
      <c r="J31" s="1886">
        <v>100</v>
      </c>
      <c r="K31" s="66">
        <v>260</v>
      </c>
      <c r="L31" s="66">
        <v>2000</v>
      </c>
      <c r="M31" s="156"/>
      <c r="N31" s="66"/>
      <c r="O31" s="66"/>
      <c r="P31" s="113">
        <v>78966.316109120002</v>
      </c>
      <c r="Q31" s="113">
        <v>89725.906749779868</v>
      </c>
      <c r="R31" s="161">
        <v>24403.04372739662</v>
      </c>
      <c r="S31" s="161">
        <v>63447.91369123102</v>
      </c>
      <c r="T31" s="161">
        <v>103369.35983651663</v>
      </c>
      <c r="U31" s="161">
        <v>114128.95047717649</v>
      </c>
      <c r="V31" s="1887">
        <v>142414.22980035102</v>
      </c>
      <c r="W31" s="1887">
        <v>153173.82044101087</v>
      </c>
      <c r="Y31" s="65" t="str">
        <f t="shared" si="3"/>
        <v>ВКВТХ.100.260.2000.8ТП.24V</v>
      </c>
    </row>
    <row r="32" spans="1:25" ht="16.5" customHeight="1" thickBot="1">
      <c r="A32" s="48" t="s">
        <v>47</v>
      </c>
      <c r="B32" s="49">
        <f t="shared" si="0"/>
        <v>100</v>
      </c>
      <c r="C32" s="49" t="s">
        <v>3</v>
      </c>
      <c r="D32" s="49">
        <f t="shared" si="1"/>
        <v>260</v>
      </c>
      <c r="E32" s="49" t="s">
        <v>3</v>
      </c>
      <c r="F32" s="50">
        <f t="shared" si="2"/>
        <v>2050</v>
      </c>
      <c r="G32" s="49" t="s">
        <v>3</v>
      </c>
      <c r="H32" s="49">
        <v>8</v>
      </c>
      <c r="I32" s="52" t="s">
        <v>531</v>
      </c>
      <c r="J32" s="1886">
        <v>100</v>
      </c>
      <c r="K32" s="66">
        <v>260</v>
      </c>
      <c r="L32" s="66">
        <v>2050</v>
      </c>
      <c r="M32" s="156"/>
      <c r="N32" s="66"/>
      <c r="O32" s="66"/>
      <c r="P32" s="113">
        <v>81939.88391325</v>
      </c>
      <c r="Q32" s="113">
        <v>93018.150499680007</v>
      </c>
      <c r="R32" s="161">
        <v>24873.499279220516</v>
      </c>
      <c r="S32" s="161">
        <v>64671.09812597328</v>
      </c>
      <c r="T32" s="161">
        <v>106813.38319247052</v>
      </c>
      <c r="U32" s="161">
        <v>117891.64977890052</v>
      </c>
      <c r="V32" s="1887">
        <v>146610.98203922328</v>
      </c>
      <c r="W32" s="1887">
        <v>157689.24862565327</v>
      </c>
      <c r="Y32" s="65" t="str">
        <f t="shared" si="3"/>
        <v>ВКВТХ.100.260.2050.8ТП.24V</v>
      </c>
    </row>
    <row r="33" spans="1:25" ht="16.5" customHeight="1" thickBot="1">
      <c r="A33" s="48" t="s">
        <v>47</v>
      </c>
      <c r="B33" s="49">
        <f t="shared" si="0"/>
        <v>100</v>
      </c>
      <c r="C33" s="49" t="s">
        <v>3</v>
      </c>
      <c r="D33" s="49">
        <f t="shared" si="1"/>
        <v>260</v>
      </c>
      <c r="E33" s="49" t="s">
        <v>3</v>
      </c>
      <c r="F33" s="50">
        <f t="shared" si="2"/>
        <v>2100</v>
      </c>
      <c r="G33" s="49" t="s">
        <v>3</v>
      </c>
      <c r="H33" s="49">
        <v>8</v>
      </c>
      <c r="I33" s="52" t="s">
        <v>531</v>
      </c>
      <c r="J33" s="1886">
        <v>100</v>
      </c>
      <c r="K33" s="66">
        <v>260</v>
      </c>
      <c r="L33" s="66">
        <v>2100</v>
      </c>
      <c r="M33" s="156"/>
      <c r="N33" s="66"/>
      <c r="O33" s="66"/>
      <c r="P33" s="113">
        <v>83508.197663109997</v>
      </c>
      <c r="Q33" s="113">
        <v>94806.341746200007</v>
      </c>
      <c r="R33" s="161">
        <v>25595.288974672349</v>
      </c>
      <c r="S33" s="161">
        <v>66547.751334148008</v>
      </c>
      <c r="T33" s="161">
        <v>109103.48663778235</v>
      </c>
      <c r="U33" s="161">
        <v>120401.63072087236</v>
      </c>
      <c r="V33" s="1887">
        <v>150055.948997258</v>
      </c>
      <c r="W33" s="1887">
        <v>161354.09308034802</v>
      </c>
      <c r="Y33" s="65" t="str">
        <f t="shared" si="3"/>
        <v>ВКВТХ.100.260.2100.8ТП.24V</v>
      </c>
    </row>
    <row r="34" spans="1:25" ht="16.5" customHeight="1" thickBot="1">
      <c r="A34" s="48" t="s">
        <v>47</v>
      </c>
      <c r="B34" s="49">
        <f t="shared" si="0"/>
        <v>100</v>
      </c>
      <c r="C34" s="49" t="s">
        <v>3</v>
      </c>
      <c r="D34" s="49">
        <f t="shared" si="1"/>
        <v>260</v>
      </c>
      <c r="E34" s="49" t="s">
        <v>3</v>
      </c>
      <c r="F34" s="50">
        <f t="shared" si="2"/>
        <v>2150</v>
      </c>
      <c r="G34" s="49" t="s">
        <v>3</v>
      </c>
      <c r="H34" s="49">
        <v>8</v>
      </c>
      <c r="I34" s="52" t="s">
        <v>531</v>
      </c>
      <c r="J34" s="1886">
        <v>100</v>
      </c>
      <c r="K34" s="66">
        <v>260</v>
      </c>
      <c r="L34" s="66">
        <v>2150</v>
      </c>
      <c r="M34" s="156"/>
      <c r="N34" s="66"/>
      <c r="O34" s="66"/>
      <c r="P34" s="113">
        <v>85076.511544859997</v>
      </c>
      <c r="Q34" s="113">
        <v>96594.532855380006</v>
      </c>
      <c r="R34" s="161">
        <v>26065.744526496244</v>
      </c>
      <c r="S34" s="161">
        <v>67770.935768890267</v>
      </c>
      <c r="T34" s="161">
        <v>111142.25607135624</v>
      </c>
      <c r="U34" s="161">
        <v>122660.27738187625</v>
      </c>
      <c r="V34" s="1887">
        <v>152847.44731375028</v>
      </c>
      <c r="W34" s="1887">
        <v>164365.46862427029</v>
      </c>
      <c r="Y34" s="65" t="str">
        <f t="shared" si="3"/>
        <v>ВКВТХ.100.260.2150.8ТП.24V</v>
      </c>
    </row>
    <row r="35" spans="1:25" ht="16.5" customHeight="1" thickBot="1">
      <c r="A35" s="48" t="s">
        <v>47</v>
      </c>
      <c r="B35" s="49">
        <f t="shared" si="0"/>
        <v>100</v>
      </c>
      <c r="C35" s="49" t="s">
        <v>3</v>
      </c>
      <c r="D35" s="49">
        <f t="shared" si="1"/>
        <v>260</v>
      </c>
      <c r="E35" s="49" t="s">
        <v>3</v>
      </c>
      <c r="F35" s="50">
        <f t="shared" si="2"/>
        <v>2200</v>
      </c>
      <c r="G35" s="49" t="s">
        <v>3</v>
      </c>
      <c r="H35" s="49">
        <v>8</v>
      </c>
      <c r="I35" s="52" t="s">
        <v>531</v>
      </c>
      <c r="J35" s="1886">
        <v>100</v>
      </c>
      <c r="K35" s="66">
        <v>260</v>
      </c>
      <c r="L35" s="66">
        <v>2200</v>
      </c>
      <c r="M35" s="156"/>
      <c r="N35" s="66"/>
      <c r="O35" s="66"/>
      <c r="P35" s="113">
        <v>86069.848201920002</v>
      </c>
      <c r="Q35" s="113">
        <v>97783.987487760009</v>
      </c>
      <c r="R35" s="161">
        <v>26787.534221948077</v>
      </c>
      <c r="S35" s="161">
        <v>69647.588977065156</v>
      </c>
      <c r="T35" s="161">
        <v>112857.38242386808</v>
      </c>
      <c r="U35" s="161">
        <v>124571.52170970809</v>
      </c>
      <c r="V35" s="1887">
        <v>155717.43717898516</v>
      </c>
      <c r="W35" s="1887">
        <v>167431.57646482516</v>
      </c>
      <c r="Y35" s="65" t="str">
        <f t="shared" si="3"/>
        <v>ВКВТХ.100.260.2200.8ТП.24V</v>
      </c>
    </row>
    <row r="36" spans="1:25" ht="16.5" customHeight="1" thickBot="1">
      <c r="A36" s="48" t="s">
        <v>47</v>
      </c>
      <c r="B36" s="49">
        <f t="shared" si="0"/>
        <v>100</v>
      </c>
      <c r="C36" s="49" t="s">
        <v>3</v>
      </c>
      <c r="D36" s="49">
        <f t="shared" si="1"/>
        <v>260</v>
      </c>
      <c r="E36" s="49" t="s">
        <v>3</v>
      </c>
      <c r="F36" s="50">
        <f t="shared" si="2"/>
        <v>2250</v>
      </c>
      <c r="G36" s="49" t="s">
        <v>3</v>
      </c>
      <c r="H36" s="49">
        <v>8</v>
      </c>
      <c r="I36" s="52" t="s">
        <v>531</v>
      </c>
      <c r="J36" s="1886">
        <v>100</v>
      </c>
      <c r="K36" s="66">
        <v>260</v>
      </c>
      <c r="L36" s="66">
        <v>2250</v>
      </c>
      <c r="M36" s="156"/>
      <c r="N36" s="66"/>
      <c r="O36" s="66"/>
      <c r="P36" s="113">
        <v>87158.31830299001</v>
      </c>
      <c r="Q36" s="113">
        <v>99072.506698199999</v>
      </c>
      <c r="R36" s="161">
        <v>27257.989773772122</v>
      </c>
      <c r="S36" s="161">
        <v>70870.7734118074</v>
      </c>
      <c r="T36" s="161">
        <v>114416.30807676213</v>
      </c>
      <c r="U36" s="161">
        <v>126330.49647197212</v>
      </c>
      <c r="V36" s="1887">
        <v>158029.09171479743</v>
      </c>
      <c r="W36" s="1887">
        <v>169943.28011000738</v>
      </c>
      <c r="Y36" s="65" t="str">
        <f t="shared" si="3"/>
        <v>ВКВТХ.100.260.2250.8ТП.24V</v>
      </c>
    </row>
    <row r="37" spans="1:25" ht="16.5" customHeight="1" thickBot="1">
      <c r="A37" s="48" t="s">
        <v>47</v>
      </c>
      <c r="B37" s="49">
        <f t="shared" si="0"/>
        <v>100</v>
      </c>
      <c r="C37" s="49" t="s">
        <v>3</v>
      </c>
      <c r="D37" s="49">
        <f t="shared" si="1"/>
        <v>260</v>
      </c>
      <c r="E37" s="49" t="s">
        <v>3</v>
      </c>
      <c r="F37" s="50">
        <f t="shared" si="2"/>
        <v>2300</v>
      </c>
      <c r="G37" s="49" t="s">
        <v>3</v>
      </c>
      <c r="H37" s="49">
        <v>8</v>
      </c>
      <c r="I37" s="52" t="s">
        <v>531</v>
      </c>
      <c r="J37" s="1886">
        <v>100</v>
      </c>
      <c r="K37" s="66">
        <v>260</v>
      </c>
      <c r="L37" s="66">
        <v>2300</v>
      </c>
      <c r="M37" s="156"/>
      <c r="N37" s="66"/>
      <c r="O37" s="66"/>
      <c r="P37" s="113">
        <v>88246.788272169986</v>
      </c>
      <c r="Q37" s="113">
        <v>100361.02577130002</v>
      </c>
      <c r="R37" s="161">
        <v>27728.445325596022</v>
      </c>
      <c r="S37" s="161">
        <v>72093.9578465495</v>
      </c>
      <c r="T37" s="161">
        <v>115975.23359776601</v>
      </c>
      <c r="U37" s="161">
        <v>128089.47109689604</v>
      </c>
      <c r="V37" s="1887">
        <v>160340.74611871949</v>
      </c>
      <c r="W37" s="1887">
        <v>172454.98361784953</v>
      </c>
      <c r="Y37" s="65" t="str">
        <f t="shared" si="3"/>
        <v>ВКВТХ.100.260.2300.8ТП.24V</v>
      </c>
    </row>
    <row r="38" spans="1:25" ht="16.5" customHeight="1" thickBot="1">
      <c r="A38" s="48" t="s">
        <v>47</v>
      </c>
      <c r="B38" s="49">
        <f t="shared" si="0"/>
        <v>100</v>
      </c>
      <c r="C38" s="49" t="s">
        <v>3</v>
      </c>
      <c r="D38" s="49">
        <f t="shared" si="1"/>
        <v>260</v>
      </c>
      <c r="E38" s="49" t="s">
        <v>3</v>
      </c>
      <c r="F38" s="50">
        <f t="shared" si="2"/>
        <v>2350</v>
      </c>
      <c r="G38" s="49" t="s">
        <v>3</v>
      </c>
      <c r="H38" s="49">
        <v>8</v>
      </c>
      <c r="I38" s="52" t="s">
        <v>531</v>
      </c>
      <c r="J38" s="1886">
        <v>100</v>
      </c>
      <c r="K38" s="66">
        <v>260</v>
      </c>
      <c r="L38" s="66">
        <v>2350</v>
      </c>
      <c r="M38" s="156"/>
      <c r="N38" s="66"/>
      <c r="O38" s="66"/>
      <c r="P38" s="113">
        <v>89335.258373239994</v>
      </c>
      <c r="Q38" s="113">
        <v>101649.54498174001</v>
      </c>
      <c r="R38" s="161">
        <v>28450.235021047851</v>
      </c>
      <c r="S38" s="161">
        <v>73970.611054724388</v>
      </c>
      <c r="T38" s="161">
        <v>117785.49339428784</v>
      </c>
      <c r="U38" s="161">
        <v>130099.78000278785</v>
      </c>
      <c r="V38" s="1887">
        <v>163305.86942796438</v>
      </c>
      <c r="W38" s="1887">
        <v>175620.15603646438</v>
      </c>
      <c r="Y38" s="65" t="str">
        <f t="shared" si="3"/>
        <v>ВКВТХ.100.260.2350.8ТП.24V</v>
      </c>
    </row>
    <row r="39" spans="1:25" ht="16.5" customHeight="1" thickBot="1">
      <c r="A39" s="48" t="s">
        <v>47</v>
      </c>
      <c r="B39" s="49">
        <f t="shared" si="0"/>
        <v>100</v>
      </c>
      <c r="C39" s="49" t="s">
        <v>3</v>
      </c>
      <c r="D39" s="49">
        <f t="shared" si="1"/>
        <v>260</v>
      </c>
      <c r="E39" s="49" t="s">
        <v>3</v>
      </c>
      <c r="F39" s="50">
        <f t="shared" si="2"/>
        <v>2400</v>
      </c>
      <c r="G39" s="49" t="s">
        <v>3</v>
      </c>
      <c r="H39" s="49">
        <v>8</v>
      </c>
      <c r="I39" s="52" t="s">
        <v>531</v>
      </c>
      <c r="J39" s="1886">
        <v>100</v>
      </c>
      <c r="K39" s="66">
        <v>260</v>
      </c>
      <c r="L39" s="66">
        <v>2400</v>
      </c>
      <c r="M39" s="156"/>
      <c r="N39" s="66"/>
      <c r="O39" s="66"/>
      <c r="P39" s="113">
        <v>90423.728474309988</v>
      </c>
      <c r="Q39" s="113">
        <v>102938.06419218003</v>
      </c>
      <c r="R39" s="161">
        <v>28920.69057287175</v>
      </c>
      <c r="S39" s="161">
        <v>75193.795489466633</v>
      </c>
      <c r="T39" s="161">
        <v>119344.41904718174</v>
      </c>
      <c r="U39" s="161">
        <v>131858.75476505177</v>
      </c>
      <c r="V39" s="1887">
        <v>165617.52396377662</v>
      </c>
      <c r="W39" s="1887">
        <v>178131.85968164666</v>
      </c>
      <c r="Y39" s="65" t="str">
        <f t="shared" si="3"/>
        <v>ВКВТХ.100.260.2400.8ТП.24V</v>
      </c>
    </row>
    <row r="40" spans="1:25" ht="16.5" customHeight="1" thickBot="1">
      <c r="A40" s="48" t="s">
        <v>47</v>
      </c>
      <c r="B40" s="49">
        <f t="shared" si="0"/>
        <v>100</v>
      </c>
      <c r="C40" s="49" t="s">
        <v>3</v>
      </c>
      <c r="D40" s="49">
        <f t="shared" si="1"/>
        <v>260</v>
      </c>
      <c r="E40" s="49" t="s">
        <v>3</v>
      </c>
      <c r="F40" s="50">
        <f t="shared" si="2"/>
        <v>2450</v>
      </c>
      <c r="G40" s="49" t="s">
        <v>3</v>
      </c>
      <c r="H40" s="49">
        <v>8</v>
      </c>
      <c r="I40" s="52" t="s">
        <v>531</v>
      </c>
      <c r="J40" s="1886">
        <v>100</v>
      </c>
      <c r="K40" s="66">
        <v>260</v>
      </c>
      <c r="L40" s="66">
        <v>2450</v>
      </c>
      <c r="M40" s="156"/>
      <c r="N40" s="66"/>
      <c r="O40" s="66"/>
      <c r="P40" s="113">
        <v>91512.198575379996</v>
      </c>
      <c r="Q40" s="113">
        <v>104226.58340262002</v>
      </c>
      <c r="R40" s="161">
        <v>29642.480268323579</v>
      </c>
      <c r="S40" s="161">
        <v>77070.448697641375</v>
      </c>
      <c r="T40" s="161">
        <v>121154.67884370357</v>
      </c>
      <c r="U40" s="161">
        <v>133869.06367094361</v>
      </c>
      <c r="V40" s="1887">
        <v>168582.64727302137</v>
      </c>
      <c r="W40" s="1887">
        <v>181297.03210026139</v>
      </c>
      <c r="Y40" s="65" t="str">
        <f t="shared" si="3"/>
        <v>ВКВТХ.100.260.2450.8ТП.24V</v>
      </c>
    </row>
    <row r="41" spans="1:25" ht="16.5" customHeight="1" thickBot="1">
      <c r="A41" s="48" t="s">
        <v>47</v>
      </c>
      <c r="B41" s="49">
        <f t="shared" si="0"/>
        <v>100</v>
      </c>
      <c r="C41" s="49" t="s">
        <v>3</v>
      </c>
      <c r="D41" s="49">
        <f t="shared" si="1"/>
        <v>260</v>
      </c>
      <c r="E41" s="49" t="s">
        <v>3</v>
      </c>
      <c r="F41" s="50">
        <f t="shared" si="2"/>
        <v>2500</v>
      </c>
      <c r="G41" s="49" t="s">
        <v>3</v>
      </c>
      <c r="H41" s="49">
        <v>8</v>
      </c>
      <c r="I41" s="52" t="s">
        <v>531</v>
      </c>
      <c r="J41" s="1886">
        <v>100</v>
      </c>
      <c r="K41" s="66">
        <v>260</v>
      </c>
      <c r="L41" s="66">
        <v>2500</v>
      </c>
      <c r="M41" s="156"/>
      <c r="N41" s="66"/>
      <c r="O41" s="66"/>
      <c r="P41" s="113">
        <v>92692.970969720001</v>
      </c>
      <c r="Q41" s="113">
        <v>105611.21891334002</v>
      </c>
      <c r="R41" s="161">
        <v>30112.935820147628</v>
      </c>
      <c r="S41" s="161">
        <v>78293.63313238362</v>
      </c>
      <c r="T41" s="161">
        <v>122805.90678986763</v>
      </c>
      <c r="U41" s="161">
        <v>135724.15473348764</v>
      </c>
      <c r="V41" s="1887">
        <v>170986.60410210362</v>
      </c>
      <c r="W41" s="1887">
        <v>183904.85204572364</v>
      </c>
      <c r="Y41" s="65" t="str">
        <f t="shared" si="3"/>
        <v>ВКВТХ.100.260.2500.8ТП.24V</v>
      </c>
    </row>
    <row r="42" spans="1:25" ht="16.5" customHeight="1" thickBot="1">
      <c r="A42" s="48" t="s">
        <v>47</v>
      </c>
      <c r="B42" s="49">
        <f t="shared" si="0"/>
        <v>100</v>
      </c>
      <c r="C42" s="49" t="s">
        <v>3</v>
      </c>
      <c r="D42" s="49">
        <f t="shared" si="1"/>
        <v>260</v>
      </c>
      <c r="E42" s="49" t="s">
        <v>3</v>
      </c>
      <c r="F42" s="50">
        <f t="shared" si="2"/>
        <v>2550</v>
      </c>
      <c r="G42" s="49" t="s">
        <v>3</v>
      </c>
      <c r="H42" s="49">
        <v>8</v>
      </c>
      <c r="I42" s="52" t="s">
        <v>531</v>
      </c>
      <c r="J42" s="1886">
        <v>100</v>
      </c>
      <c r="K42" s="66">
        <v>260</v>
      </c>
      <c r="L42" s="66">
        <v>2550</v>
      </c>
      <c r="M42" s="156"/>
      <c r="N42" s="66"/>
      <c r="O42" s="66"/>
      <c r="P42" s="113">
        <v>93781.441070789995</v>
      </c>
      <c r="Q42" s="113">
        <v>106899.73812378001</v>
      </c>
      <c r="R42" s="161">
        <v>30834.725515599464</v>
      </c>
      <c r="S42" s="161">
        <v>80170.286340558509</v>
      </c>
      <c r="T42" s="161">
        <v>124616.16658638946</v>
      </c>
      <c r="U42" s="161">
        <v>137734.46363937948</v>
      </c>
      <c r="V42" s="1887">
        <v>173951.72741134849</v>
      </c>
      <c r="W42" s="1887">
        <v>187070.02446433852</v>
      </c>
      <c r="Y42" s="65" t="str">
        <f t="shared" si="3"/>
        <v>ВКВТХ.100.260.2550.8ТП.24V</v>
      </c>
    </row>
    <row r="43" spans="1:25" ht="16.5" customHeight="1" thickBot="1">
      <c r="A43" s="48" t="s">
        <v>47</v>
      </c>
      <c r="B43" s="49">
        <f t="shared" si="0"/>
        <v>100</v>
      </c>
      <c r="C43" s="49" t="s">
        <v>3</v>
      </c>
      <c r="D43" s="49">
        <f t="shared" si="1"/>
        <v>260</v>
      </c>
      <c r="E43" s="49" t="s">
        <v>3</v>
      </c>
      <c r="F43" s="50">
        <f t="shared" si="2"/>
        <v>2600</v>
      </c>
      <c r="G43" s="49" t="s">
        <v>3</v>
      </c>
      <c r="H43" s="49">
        <v>8</v>
      </c>
      <c r="I43" s="52" t="s">
        <v>531</v>
      </c>
      <c r="J43" s="1886">
        <v>100</v>
      </c>
      <c r="K43" s="66">
        <v>260</v>
      </c>
      <c r="L43" s="66">
        <v>2600</v>
      </c>
      <c r="M43" s="156"/>
      <c r="N43" s="66"/>
      <c r="O43" s="66"/>
      <c r="P43" s="113">
        <v>95444.888396549999</v>
      </c>
      <c r="Q43" s="113">
        <v>108786.99394836002</v>
      </c>
      <c r="R43" s="161">
        <v>31305.181067423357</v>
      </c>
      <c r="S43" s="161">
        <v>81393.470775300753</v>
      </c>
      <c r="T43" s="161">
        <v>126750.06946397336</v>
      </c>
      <c r="U43" s="161">
        <v>140092.17501578337</v>
      </c>
      <c r="V43" s="1887">
        <v>176838.35917185075</v>
      </c>
      <c r="W43" s="1887">
        <v>190180.46472366079</v>
      </c>
      <c r="Y43" s="65" t="str">
        <f t="shared" si="3"/>
        <v>ВКВТХ.100.260.2600.8ТП.24V</v>
      </c>
    </row>
    <row r="44" spans="1:25" ht="16.5" customHeight="1" thickBot="1">
      <c r="A44" s="48" t="s">
        <v>47</v>
      </c>
      <c r="B44" s="49">
        <f t="shared" si="0"/>
        <v>100</v>
      </c>
      <c r="C44" s="49" t="s">
        <v>3</v>
      </c>
      <c r="D44" s="49">
        <f t="shared" si="1"/>
        <v>260</v>
      </c>
      <c r="E44" s="49" t="s">
        <v>3</v>
      </c>
      <c r="F44" s="50">
        <f t="shared" si="2"/>
        <v>2650</v>
      </c>
      <c r="G44" s="49" t="s">
        <v>3</v>
      </c>
      <c r="H44" s="49">
        <v>8</v>
      </c>
      <c r="I44" s="52" t="s">
        <v>531</v>
      </c>
      <c r="J44" s="1886">
        <v>100</v>
      </c>
      <c r="K44" s="66">
        <v>260</v>
      </c>
      <c r="L44" s="66">
        <v>2650</v>
      </c>
      <c r="M44" s="156"/>
      <c r="N44" s="66"/>
      <c r="O44" s="66"/>
      <c r="P44" s="113">
        <v>96589.355166810012</v>
      </c>
      <c r="Q44" s="113">
        <v>110133.82373994001</v>
      </c>
      <c r="R44" s="161">
        <v>32026.970762875193</v>
      </c>
      <c r="S44" s="161">
        <v>83270.123983475656</v>
      </c>
      <c r="T44" s="161">
        <v>128616.3259296852</v>
      </c>
      <c r="U44" s="161">
        <v>142160.7945028152</v>
      </c>
      <c r="V44" s="1887">
        <v>179859.47915028565</v>
      </c>
      <c r="W44" s="1887">
        <v>193403.94772341568</v>
      </c>
      <c r="Y44" s="65" t="str">
        <f t="shared" si="3"/>
        <v>ВКВТХ.100.260.2650.8ТП.24V</v>
      </c>
    </row>
    <row r="45" spans="1:25" ht="16.5" customHeight="1" thickBot="1">
      <c r="A45" s="48" t="s">
        <v>47</v>
      </c>
      <c r="B45" s="49">
        <f t="shared" si="0"/>
        <v>100</v>
      </c>
      <c r="C45" s="49" t="s">
        <v>3</v>
      </c>
      <c r="D45" s="49">
        <f t="shared" si="1"/>
        <v>260</v>
      </c>
      <c r="E45" s="49" t="s">
        <v>3</v>
      </c>
      <c r="F45" s="50">
        <f t="shared" si="2"/>
        <v>2700</v>
      </c>
      <c r="G45" s="49" t="s">
        <v>3</v>
      </c>
      <c r="H45" s="49">
        <v>8</v>
      </c>
      <c r="I45" s="52" t="s">
        <v>531</v>
      </c>
      <c r="J45" s="1886">
        <v>100</v>
      </c>
      <c r="K45" s="66">
        <v>260</v>
      </c>
      <c r="L45" s="66">
        <v>2700</v>
      </c>
      <c r="M45" s="156"/>
      <c r="N45" s="66"/>
      <c r="O45" s="66"/>
      <c r="P45" s="113">
        <v>97733.821937069995</v>
      </c>
      <c r="Q45" s="113">
        <v>111480.65353152</v>
      </c>
      <c r="R45" s="161">
        <v>32497.426314699085</v>
      </c>
      <c r="S45" s="161">
        <v>84493.308418217741</v>
      </c>
      <c r="T45" s="161">
        <v>130231.24825176908</v>
      </c>
      <c r="U45" s="161">
        <v>143978.0798462191</v>
      </c>
      <c r="V45" s="1887">
        <v>182227.13035528775</v>
      </c>
      <c r="W45" s="1887">
        <v>195973.96194973774</v>
      </c>
      <c r="Y45" s="65" t="str">
        <f t="shared" si="3"/>
        <v>ВКВТХ.100.260.2700.8ТП.24V</v>
      </c>
    </row>
    <row r="46" spans="1:25" ht="16.5" customHeight="1" thickBot="1">
      <c r="A46" s="48" t="s">
        <v>47</v>
      </c>
      <c r="B46" s="49">
        <f t="shared" si="0"/>
        <v>100</v>
      </c>
      <c r="C46" s="49" t="s">
        <v>3</v>
      </c>
      <c r="D46" s="49">
        <f t="shared" si="1"/>
        <v>260</v>
      </c>
      <c r="E46" s="49" t="s">
        <v>3</v>
      </c>
      <c r="F46" s="50">
        <f t="shared" si="2"/>
        <v>2750</v>
      </c>
      <c r="G46" s="49" t="s">
        <v>3</v>
      </c>
      <c r="H46" s="49">
        <v>8</v>
      </c>
      <c r="I46" s="52" t="s">
        <v>531</v>
      </c>
      <c r="J46" s="1886">
        <v>100</v>
      </c>
      <c r="K46" s="66">
        <v>260</v>
      </c>
      <c r="L46" s="66">
        <v>2750</v>
      </c>
      <c r="M46" s="156"/>
      <c r="N46" s="66"/>
      <c r="O46" s="66"/>
      <c r="P46" s="113">
        <v>98878.288839219997</v>
      </c>
      <c r="Q46" s="113">
        <v>112827.48332310002</v>
      </c>
      <c r="R46" s="161">
        <v>32967.88186652313</v>
      </c>
      <c r="S46" s="161">
        <v>85716.49285296</v>
      </c>
      <c r="T46" s="161">
        <v>131846.17070574313</v>
      </c>
      <c r="U46" s="161">
        <v>145795.36518962315</v>
      </c>
      <c r="V46" s="1887">
        <v>184594.78169218</v>
      </c>
      <c r="W46" s="1887">
        <v>198543.97617606004</v>
      </c>
      <c r="Y46" s="65" t="str">
        <f t="shared" si="3"/>
        <v>ВКВТХ.100.260.2750.8ТП.24V</v>
      </c>
    </row>
    <row r="47" spans="1:25" ht="16.5" customHeight="1" thickBot="1">
      <c r="A47" s="48" t="s">
        <v>47</v>
      </c>
      <c r="B47" s="49">
        <f t="shared" si="0"/>
        <v>100</v>
      </c>
      <c r="C47" s="49" t="s">
        <v>3</v>
      </c>
      <c r="D47" s="49">
        <f t="shared" si="1"/>
        <v>260</v>
      </c>
      <c r="E47" s="49" t="s">
        <v>3</v>
      </c>
      <c r="F47" s="50">
        <f t="shared" si="2"/>
        <v>2800</v>
      </c>
      <c r="G47" s="49" t="s">
        <v>3</v>
      </c>
      <c r="H47" s="49">
        <v>8</v>
      </c>
      <c r="I47" s="52" t="s">
        <v>531</v>
      </c>
      <c r="J47" s="1886">
        <v>100</v>
      </c>
      <c r="K47" s="66">
        <v>260</v>
      </c>
      <c r="L47" s="66">
        <v>2800</v>
      </c>
      <c r="M47" s="156"/>
      <c r="N47" s="66"/>
      <c r="O47" s="66"/>
      <c r="P47" s="113">
        <v>100022.75560947999</v>
      </c>
      <c r="Q47" s="113">
        <v>114174.31311468002</v>
      </c>
      <c r="R47" s="161">
        <v>33689.671561974967</v>
      </c>
      <c r="S47" s="161">
        <v>87593.146061134888</v>
      </c>
      <c r="T47" s="161">
        <v>133712.42717145497</v>
      </c>
      <c r="U47" s="161">
        <v>147863.98467665497</v>
      </c>
      <c r="V47" s="1887">
        <v>187615.9016706149</v>
      </c>
      <c r="W47" s="1887">
        <v>201767.4591758149</v>
      </c>
      <c r="Y47" s="65" t="str">
        <f t="shared" si="3"/>
        <v>ВКВТХ.100.260.2800.8ТП.24V</v>
      </c>
    </row>
    <row r="48" spans="1:25" ht="16.5" customHeight="1" thickBot="1">
      <c r="A48" s="48" t="s">
        <v>47</v>
      </c>
      <c r="B48" s="49">
        <f t="shared" si="0"/>
        <v>100</v>
      </c>
      <c r="C48" s="49" t="s">
        <v>3</v>
      </c>
      <c r="D48" s="49">
        <f t="shared" si="1"/>
        <v>260</v>
      </c>
      <c r="E48" s="49" t="s">
        <v>3</v>
      </c>
      <c r="F48" s="50">
        <f t="shared" si="2"/>
        <v>2850</v>
      </c>
      <c r="G48" s="49" t="s">
        <v>3</v>
      </c>
      <c r="H48" s="49">
        <v>8</v>
      </c>
      <c r="I48" s="52" t="s">
        <v>531</v>
      </c>
      <c r="J48" s="1886">
        <v>100</v>
      </c>
      <c r="K48" s="66">
        <v>260</v>
      </c>
      <c r="L48" s="66">
        <v>2850</v>
      </c>
      <c r="M48" s="156"/>
      <c r="N48" s="66"/>
      <c r="O48" s="66"/>
      <c r="P48" s="113">
        <v>101167.22237973999</v>
      </c>
      <c r="Q48" s="113">
        <v>115521.14290626001</v>
      </c>
      <c r="R48" s="161">
        <v>34160.127113798859</v>
      </c>
      <c r="S48" s="161">
        <v>88816.330495876988</v>
      </c>
      <c r="T48" s="161">
        <v>135327.34949353884</v>
      </c>
      <c r="U48" s="161">
        <v>149681.27002005887</v>
      </c>
      <c r="V48" s="1887">
        <v>189983.552875617</v>
      </c>
      <c r="W48" s="1887">
        <v>204337.47340213699</v>
      </c>
      <c r="Y48" s="65" t="str">
        <f t="shared" si="3"/>
        <v>ВКВТХ.100.260.2850.8ТП.24V</v>
      </c>
    </row>
    <row r="49" spans="1:25" ht="16.5" customHeight="1" thickBot="1">
      <c r="A49" s="48" t="s">
        <v>47</v>
      </c>
      <c r="B49" s="49">
        <f t="shared" si="0"/>
        <v>100</v>
      </c>
      <c r="C49" s="49" t="s">
        <v>3</v>
      </c>
      <c r="D49" s="49">
        <f t="shared" si="1"/>
        <v>260</v>
      </c>
      <c r="E49" s="49" t="s">
        <v>3</v>
      </c>
      <c r="F49" s="50">
        <f t="shared" si="2"/>
        <v>2900</v>
      </c>
      <c r="G49" s="49" t="s">
        <v>3</v>
      </c>
      <c r="H49" s="49">
        <v>8</v>
      </c>
      <c r="I49" s="52" t="s">
        <v>531</v>
      </c>
      <c r="J49" s="1886">
        <v>100</v>
      </c>
      <c r="K49" s="66">
        <v>260</v>
      </c>
      <c r="L49" s="66">
        <v>2900</v>
      </c>
      <c r="M49" s="156"/>
      <c r="N49" s="66"/>
      <c r="O49" s="66"/>
      <c r="P49" s="113">
        <v>102311.68914999999</v>
      </c>
      <c r="Q49" s="113">
        <v>116867.97283518001</v>
      </c>
      <c r="R49" s="161">
        <v>34881.916809250695</v>
      </c>
      <c r="S49" s="161">
        <v>90692.983704051876</v>
      </c>
      <c r="T49" s="161">
        <v>137193.60595925068</v>
      </c>
      <c r="U49" s="161">
        <v>151749.88964443072</v>
      </c>
      <c r="V49" s="1887">
        <v>193004.67285405187</v>
      </c>
      <c r="W49" s="1887">
        <v>207560.95653923188</v>
      </c>
      <c r="Y49" s="65" t="str">
        <f t="shared" si="3"/>
        <v>ВКВТХ.100.260.2900.8ТП.24V</v>
      </c>
    </row>
    <row r="50" spans="1:25" ht="16.5" customHeight="1" thickBot="1">
      <c r="A50" s="48" t="s">
        <v>47</v>
      </c>
      <c r="B50" s="49">
        <f t="shared" si="0"/>
        <v>100</v>
      </c>
      <c r="C50" s="49" t="s">
        <v>3</v>
      </c>
      <c r="D50" s="49">
        <f t="shared" si="1"/>
        <v>260</v>
      </c>
      <c r="E50" s="49" t="s">
        <v>3</v>
      </c>
      <c r="F50" s="50">
        <f t="shared" si="2"/>
        <v>2950</v>
      </c>
      <c r="G50" s="49" t="s">
        <v>3</v>
      </c>
      <c r="H50" s="49">
        <v>8</v>
      </c>
      <c r="I50" s="52" t="s">
        <v>531</v>
      </c>
      <c r="J50" s="1886">
        <v>100</v>
      </c>
      <c r="K50" s="66">
        <v>260</v>
      </c>
      <c r="L50" s="66">
        <v>2950</v>
      </c>
      <c r="M50" s="156"/>
      <c r="N50" s="66"/>
      <c r="O50" s="66"/>
      <c r="P50" s="113">
        <v>104031.13327684</v>
      </c>
      <c r="Q50" s="113">
        <v>118813.53924090002</v>
      </c>
      <c r="R50" s="161">
        <v>35352.372361074587</v>
      </c>
      <c r="S50" s="161">
        <v>91916.168138794121</v>
      </c>
      <c r="T50" s="161">
        <v>139383.50563791458</v>
      </c>
      <c r="U50" s="161">
        <v>154165.9116019746</v>
      </c>
      <c r="V50" s="1887">
        <v>195947.30141563411</v>
      </c>
      <c r="W50" s="1887">
        <v>210729.70737969415</v>
      </c>
      <c r="Y50" s="65" t="str">
        <f t="shared" si="3"/>
        <v>ВКВТХ.100.260.2950.8ТП.24V</v>
      </c>
    </row>
    <row r="51" spans="1:25" ht="16.5" customHeight="1" thickBot="1">
      <c r="A51" s="55" t="s">
        <v>47</v>
      </c>
      <c r="B51" s="56">
        <f t="shared" si="0"/>
        <v>100</v>
      </c>
      <c r="C51" s="56" t="s">
        <v>3</v>
      </c>
      <c r="D51" s="56">
        <f t="shared" si="1"/>
        <v>260</v>
      </c>
      <c r="E51" s="56" t="s">
        <v>3</v>
      </c>
      <c r="F51" s="57">
        <f t="shared" si="2"/>
        <v>3000</v>
      </c>
      <c r="G51" s="56" t="s">
        <v>3</v>
      </c>
      <c r="H51" s="56">
        <v>8</v>
      </c>
      <c r="I51" s="1888" t="s">
        <v>531</v>
      </c>
      <c r="J51" s="1889">
        <v>100</v>
      </c>
      <c r="K51" s="266">
        <v>260</v>
      </c>
      <c r="L51" s="266">
        <v>3000</v>
      </c>
      <c r="M51" s="281"/>
      <c r="N51" s="266"/>
      <c r="O51" s="266"/>
      <c r="P51" s="251">
        <v>105279.47028037999</v>
      </c>
      <c r="Q51" s="251">
        <v>120268.53142416001</v>
      </c>
      <c r="R51" s="283">
        <v>36074.162056526577</v>
      </c>
      <c r="S51" s="283">
        <v>93792.821346968864</v>
      </c>
      <c r="T51" s="283">
        <v>141353.63233690656</v>
      </c>
      <c r="U51" s="283">
        <v>156342.69348068658</v>
      </c>
      <c r="V51" s="1890">
        <v>199072.29162734887</v>
      </c>
      <c r="W51" s="1890">
        <v>214061.35277112888</v>
      </c>
      <c r="Y51" s="65" t="str">
        <f t="shared" si="3"/>
        <v>ВКВТХ.100.260.3000.8ТП.24V</v>
      </c>
    </row>
    <row r="52" spans="1:25" ht="16.5" customHeight="1">
      <c r="A52" s="3080" t="s">
        <v>474</v>
      </c>
      <c r="B52" s="3081"/>
      <c r="C52" s="3081"/>
      <c r="D52" s="3081"/>
      <c r="E52" s="3081"/>
      <c r="F52" s="3081"/>
      <c r="G52" s="3081"/>
      <c r="H52" s="3081"/>
      <c r="I52" s="3081"/>
      <c r="J52" s="3081"/>
      <c r="K52" s="3081"/>
      <c r="L52" s="3081"/>
      <c r="M52" s="3081"/>
      <c r="N52" s="3081"/>
      <c r="O52" s="3081"/>
      <c r="P52" s="3081"/>
      <c r="Q52" s="3081"/>
      <c r="R52" s="3081"/>
      <c r="S52" s="3081"/>
      <c r="T52" s="3081"/>
      <c r="U52" s="3081"/>
      <c r="V52" s="3081"/>
      <c r="W52" s="3082"/>
      <c r="Y52" s="65"/>
    </row>
    <row r="53" spans="1:25" ht="16.5" customHeight="1" thickBot="1">
      <c r="A53" s="3083"/>
      <c r="B53" s="3018"/>
      <c r="C53" s="3018"/>
      <c r="D53" s="3018"/>
      <c r="E53" s="3018"/>
      <c r="F53" s="3018"/>
      <c r="G53" s="3018"/>
      <c r="H53" s="3018"/>
      <c r="I53" s="3018"/>
      <c r="J53" s="3018"/>
      <c r="K53" s="3018"/>
      <c r="L53" s="3018"/>
      <c r="M53" s="3018"/>
      <c r="N53" s="3018"/>
      <c r="O53" s="3018"/>
      <c r="P53" s="3018"/>
      <c r="Q53" s="3018"/>
      <c r="R53" s="3018"/>
      <c r="S53" s="3018"/>
      <c r="T53" s="3018"/>
      <c r="U53" s="3018"/>
      <c r="V53" s="3018"/>
      <c r="W53" s="3019"/>
      <c r="Y53" s="65"/>
    </row>
    <row r="54" spans="1:25" ht="16.5" customHeight="1" thickBot="1">
      <c r="A54" s="53" t="s">
        <v>47</v>
      </c>
      <c r="B54" s="51">
        <f t="shared" si="0"/>
        <v>100</v>
      </c>
      <c r="C54" s="51" t="s">
        <v>3</v>
      </c>
      <c r="D54" s="51">
        <f t="shared" si="1"/>
        <v>300</v>
      </c>
      <c r="E54" s="51" t="s">
        <v>3</v>
      </c>
      <c r="F54" s="54">
        <f t="shared" ref="F54:F96" si="4">L54</f>
        <v>900</v>
      </c>
      <c r="G54" s="51" t="s">
        <v>3</v>
      </c>
      <c r="H54" s="51">
        <v>12</v>
      </c>
      <c r="I54" s="52" t="s">
        <v>531</v>
      </c>
      <c r="J54" s="1886">
        <v>100</v>
      </c>
      <c r="K54" s="271">
        <v>300</v>
      </c>
      <c r="L54" s="271">
        <v>900</v>
      </c>
      <c r="M54" s="282"/>
      <c r="N54" s="271"/>
      <c r="O54" s="271"/>
      <c r="P54" s="247">
        <v>39302.856511159996</v>
      </c>
      <c r="Q54" s="1891">
        <v>45409.68530532001</v>
      </c>
      <c r="R54" s="170">
        <v>12586.18991087539</v>
      </c>
      <c r="S54" s="170">
        <v>33982.712759363596</v>
      </c>
      <c r="T54" s="170">
        <v>51889.04642203539</v>
      </c>
      <c r="U54" s="170">
        <v>57995.875216195403</v>
      </c>
      <c r="V54" s="1887">
        <v>73285.569270523585</v>
      </c>
      <c r="W54" s="1887">
        <v>79392.398064683599</v>
      </c>
      <c r="Y54" s="65" t="str">
        <f t="shared" si="3"/>
        <v>ВКВТХ.100.300.900.12ТП.24V</v>
      </c>
    </row>
    <row r="55" spans="1:25" ht="16.5" customHeight="1" thickBot="1">
      <c r="A55" s="48" t="s">
        <v>47</v>
      </c>
      <c r="B55" s="49">
        <f t="shared" si="0"/>
        <v>100</v>
      </c>
      <c r="C55" s="49" t="s">
        <v>3</v>
      </c>
      <c r="D55" s="49">
        <f t="shared" si="1"/>
        <v>300</v>
      </c>
      <c r="E55" s="49" t="s">
        <v>3</v>
      </c>
      <c r="F55" s="50">
        <f t="shared" si="4"/>
        <v>950</v>
      </c>
      <c r="G55" s="49" t="s">
        <v>3</v>
      </c>
      <c r="H55" s="49">
        <v>12</v>
      </c>
      <c r="I55" s="52" t="s">
        <v>531</v>
      </c>
      <c r="J55" s="1886">
        <v>100</v>
      </c>
      <c r="K55" s="66">
        <v>300</v>
      </c>
      <c r="L55" s="66">
        <v>950</v>
      </c>
      <c r="M55" s="156"/>
      <c r="N55" s="66"/>
      <c r="O55" s="66"/>
      <c r="P55" s="113">
        <v>40230.340886889993</v>
      </c>
      <c r="Q55" s="1892">
        <v>46544.924972700013</v>
      </c>
      <c r="R55" s="161">
        <v>13361.165742710224</v>
      </c>
      <c r="S55" s="161">
        <v>36075.147505317538</v>
      </c>
      <c r="T55" s="161">
        <v>53591.506629600219</v>
      </c>
      <c r="U55" s="161">
        <v>59906.090715410239</v>
      </c>
      <c r="V55" s="1887">
        <v>76305.488392207539</v>
      </c>
      <c r="W55" s="1887">
        <v>82620.072478017551</v>
      </c>
      <c r="Y55" s="65" t="str">
        <f t="shared" si="3"/>
        <v>ВКВТХ.100.300.950.12ТП.24V</v>
      </c>
    </row>
    <row r="56" spans="1:25" ht="16.5" customHeight="1" thickBot="1">
      <c r="A56" s="48" t="s">
        <v>47</v>
      </c>
      <c r="B56" s="49">
        <f t="shared" si="0"/>
        <v>100</v>
      </c>
      <c r="C56" s="49" t="s">
        <v>3</v>
      </c>
      <c r="D56" s="49">
        <f t="shared" si="1"/>
        <v>300</v>
      </c>
      <c r="E56" s="49" t="s">
        <v>3</v>
      </c>
      <c r="F56" s="50">
        <f t="shared" si="4"/>
        <v>1000</v>
      </c>
      <c r="G56" s="49" t="s">
        <v>3</v>
      </c>
      <c r="H56" s="49">
        <v>12</v>
      </c>
      <c r="I56" s="52" t="s">
        <v>531</v>
      </c>
      <c r="J56" s="1886">
        <v>100</v>
      </c>
      <c r="K56" s="66">
        <v>300</v>
      </c>
      <c r="L56" s="66">
        <v>1000</v>
      </c>
      <c r="M56" s="156"/>
      <c r="N56" s="66"/>
      <c r="O56" s="66"/>
      <c r="P56" s="113">
        <v>43124.216796320005</v>
      </c>
      <c r="Q56" s="1892">
        <v>49727.811884940013</v>
      </c>
      <c r="R56" s="161">
        <v>13884.807430917122</v>
      </c>
      <c r="S56" s="161">
        <v>37488.980063476207</v>
      </c>
      <c r="T56" s="161">
        <v>57009.024227237125</v>
      </c>
      <c r="U56" s="161">
        <v>63612.619315857133</v>
      </c>
      <c r="V56" s="1887">
        <v>80613.196859796211</v>
      </c>
      <c r="W56" s="1887">
        <v>87216.791948416212</v>
      </c>
      <c r="Y56" s="65" t="str">
        <f t="shared" si="3"/>
        <v>ВКВТХ.100.300.1000.12ТП.24V</v>
      </c>
    </row>
    <row r="57" spans="1:25" ht="15.75" customHeight="1" thickBot="1">
      <c r="A57" s="48" t="s">
        <v>47</v>
      </c>
      <c r="B57" s="49">
        <f t="shared" si="0"/>
        <v>100</v>
      </c>
      <c r="C57" s="49" t="s">
        <v>3</v>
      </c>
      <c r="D57" s="49">
        <f t="shared" si="1"/>
        <v>300</v>
      </c>
      <c r="E57" s="49" t="s">
        <v>3</v>
      </c>
      <c r="F57" s="50">
        <f t="shared" si="4"/>
        <v>1050</v>
      </c>
      <c r="G57" s="49" t="s">
        <v>3</v>
      </c>
      <c r="H57" s="49">
        <v>12</v>
      </c>
      <c r="I57" s="52" t="s">
        <v>531</v>
      </c>
      <c r="J57" s="1886">
        <v>100</v>
      </c>
      <c r="K57" s="66">
        <v>300</v>
      </c>
      <c r="L57" s="66">
        <v>1050</v>
      </c>
      <c r="M57" s="156"/>
      <c r="N57" s="66"/>
      <c r="O57" s="66"/>
      <c r="P57" s="113">
        <v>45953.930858549997</v>
      </c>
      <c r="Q57" s="1892">
        <v>52843.885771320005</v>
      </c>
      <c r="R57" s="161">
        <v>14659.78326275196</v>
      </c>
      <c r="S57" s="161">
        <v>39581.414809430302</v>
      </c>
      <c r="T57" s="161">
        <v>60613.714121301957</v>
      </c>
      <c r="U57" s="161">
        <v>67503.669034071965</v>
      </c>
      <c r="V57" s="1887">
        <v>85535.345667980291</v>
      </c>
      <c r="W57" s="1887">
        <v>92425.300580750307</v>
      </c>
      <c r="Y57" s="65" t="str">
        <f t="shared" si="3"/>
        <v>ВКВТХ.100.300.1050.12ТП.24V</v>
      </c>
    </row>
    <row r="58" spans="1:25" ht="16.5" customHeight="1" thickBot="1">
      <c r="A58" s="48" t="s">
        <v>47</v>
      </c>
      <c r="B58" s="49">
        <f t="shared" si="0"/>
        <v>100</v>
      </c>
      <c r="C58" s="49" t="s">
        <v>3</v>
      </c>
      <c r="D58" s="49">
        <f t="shared" si="1"/>
        <v>300</v>
      </c>
      <c r="E58" s="49" t="s">
        <v>3</v>
      </c>
      <c r="F58" s="50">
        <f t="shared" si="4"/>
        <v>1100</v>
      </c>
      <c r="G58" s="49" t="s">
        <v>3</v>
      </c>
      <c r="H58" s="49">
        <v>12</v>
      </c>
      <c r="I58" s="52" t="s">
        <v>531</v>
      </c>
      <c r="J58" s="1886">
        <v>100</v>
      </c>
      <c r="K58" s="66">
        <v>300</v>
      </c>
      <c r="L58" s="66">
        <v>1100</v>
      </c>
      <c r="M58" s="156"/>
      <c r="N58" s="66"/>
      <c r="O58" s="66"/>
      <c r="P58" s="113">
        <v>48783.645052669992</v>
      </c>
      <c r="Q58" s="1892">
        <v>55959.959520360004</v>
      </c>
      <c r="R58" s="161">
        <v>15183.424950958857</v>
      </c>
      <c r="S58" s="161">
        <v>40995.247367588963</v>
      </c>
      <c r="T58" s="161">
        <v>63967.070003628847</v>
      </c>
      <c r="U58" s="161">
        <v>71143.384471318859</v>
      </c>
      <c r="V58" s="1887">
        <v>89778.892420258955</v>
      </c>
      <c r="W58" s="1887">
        <v>96955.206887948967</v>
      </c>
      <c r="Y58" s="65" t="str">
        <f t="shared" si="3"/>
        <v>ВКВТХ.100.300.1100.12ТП.24V</v>
      </c>
    </row>
    <row r="59" spans="1:25" ht="16.5" customHeight="1" thickBot="1">
      <c r="A59" s="48" t="s">
        <v>47</v>
      </c>
      <c r="B59" s="49">
        <f t="shared" si="0"/>
        <v>100</v>
      </c>
      <c r="C59" s="49" t="s">
        <v>3</v>
      </c>
      <c r="D59" s="49">
        <f t="shared" si="1"/>
        <v>300</v>
      </c>
      <c r="E59" s="49" t="s">
        <v>3</v>
      </c>
      <c r="F59" s="50">
        <f t="shared" si="4"/>
        <v>1150</v>
      </c>
      <c r="G59" s="49" t="s">
        <v>3</v>
      </c>
      <c r="H59" s="49">
        <v>12</v>
      </c>
      <c r="I59" s="52" t="s">
        <v>531</v>
      </c>
      <c r="J59" s="1886">
        <v>100</v>
      </c>
      <c r="K59" s="66">
        <v>300</v>
      </c>
      <c r="L59" s="66">
        <v>1150</v>
      </c>
      <c r="M59" s="156"/>
      <c r="N59" s="66"/>
      <c r="O59" s="66"/>
      <c r="P59" s="113">
        <v>52059.325630179999</v>
      </c>
      <c r="Q59" s="1892">
        <v>59594.049809280012</v>
      </c>
      <c r="R59" s="161">
        <v>15707.066639165709</v>
      </c>
      <c r="S59" s="161">
        <v>42409.079925747479</v>
      </c>
      <c r="T59" s="161">
        <v>67766.392269345713</v>
      </c>
      <c r="U59" s="161">
        <v>75301.116448445726</v>
      </c>
      <c r="V59" s="1887">
        <v>94468.405555927486</v>
      </c>
      <c r="W59" s="1887">
        <v>102003.1297350275</v>
      </c>
      <c r="Y59" s="65" t="str">
        <f t="shared" si="3"/>
        <v>ВКВТХ.100.300.1150.12ТП.24V</v>
      </c>
    </row>
    <row r="60" spans="1:25" ht="16.5" customHeight="1" thickBot="1">
      <c r="A60" s="48" t="s">
        <v>47</v>
      </c>
      <c r="B60" s="49">
        <f t="shared" si="0"/>
        <v>100</v>
      </c>
      <c r="C60" s="49" t="s">
        <v>3</v>
      </c>
      <c r="D60" s="49">
        <f t="shared" si="1"/>
        <v>300</v>
      </c>
      <c r="E60" s="49" t="s">
        <v>3</v>
      </c>
      <c r="F60" s="50">
        <f t="shared" si="4"/>
        <v>1200</v>
      </c>
      <c r="G60" s="49" t="s">
        <v>3</v>
      </c>
      <c r="H60" s="49">
        <v>12</v>
      </c>
      <c r="I60" s="52" t="s">
        <v>531</v>
      </c>
      <c r="J60" s="1886">
        <v>100</v>
      </c>
      <c r="K60" s="66">
        <v>300</v>
      </c>
      <c r="L60" s="66">
        <v>1200</v>
      </c>
      <c r="M60" s="156"/>
      <c r="N60" s="66"/>
      <c r="O60" s="66"/>
      <c r="P60" s="113">
        <v>54889.039692409999</v>
      </c>
      <c r="Q60" s="1892">
        <v>62710.12355832001</v>
      </c>
      <c r="R60" s="161">
        <v>16482.042471000514</v>
      </c>
      <c r="S60" s="161">
        <v>44501.514671701574</v>
      </c>
      <c r="T60" s="161">
        <v>71371.082163410509</v>
      </c>
      <c r="U60" s="161">
        <v>79192.16602932052</v>
      </c>
      <c r="V60" s="1887">
        <v>99390.554364111566</v>
      </c>
      <c r="W60" s="1887">
        <v>107211.63823002158</v>
      </c>
      <c r="Y60" s="65" t="str">
        <f t="shared" si="3"/>
        <v>ВКВТХ.100.300.1200.12ТП.24V</v>
      </c>
    </row>
    <row r="61" spans="1:25" ht="16.5" customHeight="1" thickBot="1">
      <c r="A61" s="48" t="s">
        <v>47</v>
      </c>
      <c r="B61" s="49">
        <f t="shared" si="0"/>
        <v>100</v>
      </c>
      <c r="C61" s="49" t="s">
        <v>3</v>
      </c>
      <c r="D61" s="49">
        <f t="shared" si="1"/>
        <v>300</v>
      </c>
      <c r="E61" s="49" t="s">
        <v>3</v>
      </c>
      <c r="F61" s="50">
        <f t="shared" si="4"/>
        <v>1250</v>
      </c>
      <c r="G61" s="49" t="s">
        <v>3</v>
      </c>
      <c r="H61" s="49">
        <v>12</v>
      </c>
      <c r="I61" s="52" t="s">
        <v>531</v>
      </c>
      <c r="J61" s="1886">
        <v>100</v>
      </c>
      <c r="K61" s="66">
        <v>300</v>
      </c>
      <c r="L61" s="66">
        <v>1250</v>
      </c>
      <c r="M61" s="156"/>
      <c r="N61" s="66"/>
      <c r="O61" s="66"/>
      <c r="P61" s="113">
        <v>57718.753754639998</v>
      </c>
      <c r="Q61" s="1892">
        <v>65826.19744470001</v>
      </c>
      <c r="R61" s="161">
        <v>17005.684159207536</v>
      </c>
      <c r="S61" s="161">
        <v>45915.347229860236</v>
      </c>
      <c r="T61" s="161">
        <v>74724.437913847534</v>
      </c>
      <c r="U61" s="161">
        <v>82831.881603907546</v>
      </c>
      <c r="V61" s="1887">
        <v>103634.10098450023</v>
      </c>
      <c r="W61" s="1887">
        <v>111741.54467456025</v>
      </c>
      <c r="Y61" s="65" t="str">
        <f t="shared" si="3"/>
        <v>ВКВТХ.100.300.1250.12ТП.24V</v>
      </c>
    </row>
    <row r="62" spans="1:25" ht="16.5" customHeight="1" thickBot="1">
      <c r="A62" s="48" t="s">
        <v>47</v>
      </c>
      <c r="B62" s="49">
        <f t="shared" si="0"/>
        <v>100</v>
      </c>
      <c r="C62" s="49" t="s">
        <v>3</v>
      </c>
      <c r="D62" s="49">
        <f t="shared" si="1"/>
        <v>300</v>
      </c>
      <c r="E62" s="49" t="s">
        <v>3</v>
      </c>
      <c r="F62" s="50">
        <f t="shared" si="4"/>
        <v>1300</v>
      </c>
      <c r="G62" s="49" t="s">
        <v>3</v>
      </c>
      <c r="H62" s="49">
        <v>12</v>
      </c>
      <c r="I62" s="52" t="s">
        <v>531</v>
      </c>
      <c r="J62" s="1886">
        <v>100</v>
      </c>
      <c r="K62" s="66">
        <v>300</v>
      </c>
      <c r="L62" s="66">
        <v>1300</v>
      </c>
      <c r="M62" s="156"/>
      <c r="N62" s="66"/>
      <c r="O62" s="66"/>
      <c r="P62" s="113">
        <v>60548.467816869997</v>
      </c>
      <c r="Q62" s="1892">
        <v>68942.271331080017</v>
      </c>
      <c r="R62" s="161">
        <v>17780.659991042339</v>
      </c>
      <c r="S62" s="161">
        <v>48007.781975814338</v>
      </c>
      <c r="T62" s="161">
        <v>78329.127807912329</v>
      </c>
      <c r="U62" s="161">
        <v>86722.931322122357</v>
      </c>
      <c r="V62" s="1887">
        <v>108556.24979268434</v>
      </c>
      <c r="W62" s="1887">
        <v>116950.05330689435</v>
      </c>
      <c r="Y62" s="65" t="str">
        <f t="shared" si="3"/>
        <v>ВКВТХ.100.300.1300.12ТП.24V</v>
      </c>
    </row>
    <row r="63" spans="1:25" ht="16.5" customHeight="1" thickBot="1">
      <c r="A63" s="48" t="s">
        <v>47</v>
      </c>
      <c r="B63" s="49">
        <f t="shared" si="0"/>
        <v>100</v>
      </c>
      <c r="C63" s="49" t="s">
        <v>3</v>
      </c>
      <c r="D63" s="49">
        <f t="shared" si="1"/>
        <v>300</v>
      </c>
      <c r="E63" s="49" t="s">
        <v>3</v>
      </c>
      <c r="F63" s="50">
        <f t="shared" si="4"/>
        <v>1350</v>
      </c>
      <c r="G63" s="49" t="s">
        <v>3</v>
      </c>
      <c r="H63" s="49">
        <v>12</v>
      </c>
      <c r="I63" s="52" t="s">
        <v>531</v>
      </c>
      <c r="J63" s="1886">
        <v>100</v>
      </c>
      <c r="K63" s="66">
        <v>300</v>
      </c>
      <c r="L63" s="66">
        <v>1350</v>
      </c>
      <c r="M63" s="156"/>
      <c r="N63" s="66"/>
      <c r="O63" s="66"/>
      <c r="P63" s="113">
        <v>63378.181879100004</v>
      </c>
      <c r="Q63" s="1892">
        <v>72058.345080120009</v>
      </c>
      <c r="R63" s="161">
        <v>18304.301679249205</v>
      </c>
      <c r="S63" s="161">
        <v>49421.614533972846</v>
      </c>
      <c r="T63" s="161">
        <v>81682.483558349209</v>
      </c>
      <c r="U63" s="161">
        <v>90362.646759369207</v>
      </c>
      <c r="V63" s="1887">
        <v>112799.79641307285</v>
      </c>
      <c r="W63" s="1887">
        <v>121479.95961409286</v>
      </c>
      <c r="Y63" s="65" t="str">
        <f t="shared" si="3"/>
        <v>ВКВТХ.100.300.1350.12ТП.24V</v>
      </c>
    </row>
    <row r="64" spans="1:25" ht="16.5" customHeight="1" thickBot="1">
      <c r="A64" s="48" t="s">
        <v>47</v>
      </c>
      <c r="B64" s="49">
        <f t="shared" si="0"/>
        <v>100</v>
      </c>
      <c r="C64" s="49" t="s">
        <v>3</v>
      </c>
      <c r="D64" s="49">
        <f t="shared" si="1"/>
        <v>300</v>
      </c>
      <c r="E64" s="49" t="s">
        <v>3</v>
      </c>
      <c r="F64" s="50">
        <f t="shared" si="4"/>
        <v>1400</v>
      </c>
      <c r="G64" s="49" t="s">
        <v>3</v>
      </c>
      <c r="H64" s="49">
        <v>12</v>
      </c>
      <c r="I64" s="52" t="s">
        <v>531</v>
      </c>
      <c r="J64" s="1886">
        <v>100</v>
      </c>
      <c r="K64" s="66">
        <v>300</v>
      </c>
      <c r="L64" s="66">
        <v>1400</v>
      </c>
      <c r="M64" s="156"/>
      <c r="N64" s="66"/>
      <c r="O64" s="66"/>
      <c r="P64" s="113">
        <v>65076.642570719996</v>
      </c>
      <c r="Q64" s="1892">
        <v>73994.603130000003</v>
      </c>
      <c r="R64" s="161">
        <v>19079.277511084012</v>
      </c>
      <c r="S64" s="161">
        <v>51514.049279926934</v>
      </c>
      <c r="T64" s="161">
        <v>84155.920081804012</v>
      </c>
      <c r="U64" s="161">
        <v>93073.880641084019</v>
      </c>
      <c r="V64" s="1887">
        <v>116590.69185064692</v>
      </c>
      <c r="W64" s="1887">
        <v>125508.65240992693</v>
      </c>
      <c r="Y64" s="65" t="str">
        <f t="shared" si="3"/>
        <v>ВКВТХ.100.300.1400.12ТП.24V</v>
      </c>
    </row>
    <row r="65" spans="1:25" ht="16.5" customHeight="1" thickBot="1">
      <c r="A65" s="48" t="s">
        <v>47</v>
      </c>
      <c r="B65" s="49">
        <f t="shared" si="0"/>
        <v>100</v>
      </c>
      <c r="C65" s="49" t="s">
        <v>3</v>
      </c>
      <c r="D65" s="49">
        <f t="shared" si="1"/>
        <v>300</v>
      </c>
      <c r="E65" s="49" t="s">
        <v>3</v>
      </c>
      <c r="F65" s="50">
        <f t="shared" si="4"/>
        <v>1450</v>
      </c>
      <c r="G65" s="49" t="s">
        <v>3</v>
      </c>
      <c r="H65" s="49">
        <v>12</v>
      </c>
      <c r="I65" s="52" t="s">
        <v>531</v>
      </c>
      <c r="J65" s="1886">
        <v>100</v>
      </c>
      <c r="K65" s="66">
        <v>300</v>
      </c>
      <c r="L65" s="66">
        <v>1450</v>
      </c>
      <c r="M65" s="156"/>
      <c r="N65" s="66"/>
      <c r="O65" s="66"/>
      <c r="P65" s="113">
        <v>66875.947807129865</v>
      </c>
      <c r="Q65" s="1892">
        <v>76037.68917612001</v>
      </c>
      <c r="R65" s="161">
        <v>19602.919199290882</v>
      </c>
      <c r="S65" s="161">
        <v>52927.88183808561</v>
      </c>
      <c r="T65" s="161">
        <v>86478.86700642074</v>
      </c>
      <c r="U65" s="161">
        <v>95640.608375410899</v>
      </c>
      <c r="V65" s="1887">
        <v>119803.82964521548</v>
      </c>
      <c r="W65" s="1887">
        <v>128965.57101420562</v>
      </c>
      <c r="Y65" s="65" t="str">
        <f t="shared" si="3"/>
        <v>ВКВТХ.100.300.1450.12ТП.24V</v>
      </c>
    </row>
    <row r="66" spans="1:25" ht="16.5" customHeight="1" thickBot="1">
      <c r="A66" s="48" t="s">
        <v>47</v>
      </c>
      <c r="B66" s="49">
        <f t="shared" si="0"/>
        <v>100</v>
      </c>
      <c r="C66" s="49" t="s">
        <v>3</v>
      </c>
      <c r="D66" s="49">
        <f t="shared" si="1"/>
        <v>300</v>
      </c>
      <c r="E66" s="49" t="s">
        <v>3</v>
      </c>
      <c r="F66" s="50">
        <f t="shared" si="4"/>
        <v>1500</v>
      </c>
      <c r="G66" s="49" t="s">
        <v>3</v>
      </c>
      <c r="H66" s="49">
        <v>12</v>
      </c>
      <c r="I66" s="52" t="s">
        <v>531</v>
      </c>
      <c r="J66" s="1886">
        <v>100</v>
      </c>
      <c r="K66" s="66">
        <v>300</v>
      </c>
      <c r="L66" s="66">
        <v>1500</v>
      </c>
      <c r="M66" s="156"/>
      <c r="N66" s="66"/>
      <c r="O66" s="66"/>
      <c r="P66" s="113">
        <v>68775.816398850002</v>
      </c>
      <c r="Q66" s="1892">
        <v>78185.494225440008</v>
      </c>
      <c r="R66" s="161">
        <v>20377.895031125838</v>
      </c>
      <c r="S66" s="161">
        <v>55020.316584039705</v>
      </c>
      <c r="T66" s="161">
        <v>89153.71142997584</v>
      </c>
      <c r="U66" s="161">
        <v>98563.389256565846</v>
      </c>
      <c r="V66" s="1887">
        <v>123796.13298288971</v>
      </c>
      <c r="W66" s="1887">
        <v>133205.81080947971</v>
      </c>
      <c r="Y66" s="65" t="str">
        <f t="shared" si="3"/>
        <v>ВКВТХ.100.300.1500.12ТП.24V</v>
      </c>
    </row>
    <row r="67" spans="1:25" ht="16.5" customHeight="1" thickBot="1">
      <c r="A67" s="48" t="s">
        <v>47</v>
      </c>
      <c r="B67" s="49">
        <f t="shared" si="0"/>
        <v>100</v>
      </c>
      <c r="C67" s="49" t="s">
        <v>3</v>
      </c>
      <c r="D67" s="49">
        <f t="shared" si="1"/>
        <v>300</v>
      </c>
      <c r="E67" s="49" t="s">
        <v>3</v>
      </c>
      <c r="F67" s="50">
        <f t="shared" si="4"/>
        <v>1550</v>
      </c>
      <c r="G67" s="49" t="s">
        <v>3</v>
      </c>
      <c r="H67" s="49">
        <v>12</v>
      </c>
      <c r="I67" s="52" t="s">
        <v>531</v>
      </c>
      <c r="J67" s="1886">
        <v>100</v>
      </c>
      <c r="K67" s="66">
        <v>300</v>
      </c>
      <c r="L67" s="66">
        <v>1550</v>
      </c>
      <c r="M67" s="156"/>
      <c r="N67" s="66"/>
      <c r="O67" s="66"/>
      <c r="P67" s="113">
        <v>71204.870798599994</v>
      </c>
      <c r="Q67" s="1892">
        <v>80884.352264940011</v>
      </c>
      <c r="R67" s="161">
        <v>20901.536719332704</v>
      </c>
      <c r="S67" s="161">
        <v>56434.149142198214</v>
      </c>
      <c r="T67" s="161">
        <v>92106.407517932705</v>
      </c>
      <c r="U67" s="161">
        <v>101785.88898427272</v>
      </c>
      <c r="V67" s="1887">
        <v>127639.0199407982</v>
      </c>
      <c r="W67" s="1887">
        <v>137318.50140713822</v>
      </c>
      <c r="Y67" s="65" t="str">
        <f t="shared" si="3"/>
        <v>ВКВТХ.100.300.1550.12ТП.24V</v>
      </c>
    </row>
    <row r="68" spans="1:25" ht="16.5" customHeight="1" thickBot="1">
      <c r="A68" s="48" t="s">
        <v>47</v>
      </c>
      <c r="B68" s="49">
        <f t="shared" si="0"/>
        <v>100</v>
      </c>
      <c r="C68" s="49" t="s">
        <v>3</v>
      </c>
      <c r="D68" s="49">
        <f t="shared" si="1"/>
        <v>300</v>
      </c>
      <c r="E68" s="49" t="s">
        <v>3</v>
      </c>
      <c r="F68" s="50">
        <f t="shared" si="4"/>
        <v>1600</v>
      </c>
      <c r="G68" s="49" t="s">
        <v>3</v>
      </c>
      <c r="H68" s="49">
        <v>12</v>
      </c>
      <c r="I68" s="52" t="s">
        <v>531</v>
      </c>
      <c r="J68" s="1886">
        <v>100</v>
      </c>
      <c r="K68" s="66">
        <v>300</v>
      </c>
      <c r="L68" s="66">
        <v>1600</v>
      </c>
      <c r="M68" s="156"/>
      <c r="N68" s="66"/>
      <c r="O68" s="66"/>
      <c r="P68" s="113">
        <v>73004.176035009994</v>
      </c>
      <c r="Q68" s="1892">
        <v>82927.438311060003</v>
      </c>
      <c r="R68" s="161">
        <v>21425.178407539574</v>
      </c>
      <c r="S68" s="161">
        <v>57847.981700356875</v>
      </c>
      <c r="T68" s="161">
        <v>94429.354442549564</v>
      </c>
      <c r="U68" s="161">
        <v>104352.61671859957</v>
      </c>
      <c r="V68" s="1887">
        <v>130852.15773536687</v>
      </c>
      <c r="W68" s="1887">
        <v>140775.42001141689</v>
      </c>
      <c r="Y68" s="65" t="str">
        <f t="shared" si="3"/>
        <v>ВКВТХ.100.300.1600.12ТП.24V</v>
      </c>
    </row>
    <row r="69" spans="1:25" ht="16.5" customHeight="1" thickBot="1">
      <c r="A69" s="48" t="s">
        <v>47</v>
      </c>
      <c r="B69" s="49">
        <f t="shared" si="0"/>
        <v>100</v>
      </c>
      <c r="C69" s="49" t="s">
        <v>3</v>
      </c>
      <c r="D69" s="49">
        <f t="shared" si="1"/>
        <v>300</v>
      </c>
      <c r="E69" s="49" t="s">
        <v>3</v>
      </c>
      <c r="F69" s="50">
        <f t="shared" si="4"/>
        <v>1650</v>
      </c>
      <c r="G69" s="49" t="s">
        <v>3</v>
      </c>
      <c r="H69" s="49">
        <v>12</v>
      </c>
      <c r="I69" s="52" t="s">
        <v>531</v>
      </c>
      <c r="J69" s="1886">
        <v>100</v>
      </c>
      <c r="K69" s="66">
        <v>300</v>
      </c>
      <c r="L69" s="66">
        <v>1650</v>
      </c>
      <c r="M69" s="156"/>
      <c r="N69" s="66"/>
      <c r="O69" s="66"/>
      <c r="P69" s="113">
        <v>75249.447786699995</v>
      </c>
      <c r="Q69" s="1892">
        <v>85488.54075972001</v>
      </c>
      <c r="R69" s="161">
        <v>22200.15423937438</v>
      </c>
      <c r="S69" s="161">
        <v>59940.41644631097</v>
      </c>
      <c r="T69" s="161">
        <v>97449.602026074368</v>
      </c>
      <c r="U69" s="161">
        <v>107688.69499909438</v>
      </c>
      <c r="V69" s="1887">
        <v>135189.86423301097</v>
      </c>
      <c r="W69" s="1887">
        <v>145428.95720603099</v>
      </c>
      <c r="Y69" s="65" t="str">
        <f t="shared" si="3"/>
        <v>ВКВТХ.100.300.1650.12ТП.24V</v>
      </c>
    </row>
    <row r="70" spans="1:25" ht="16.5" customHeight="1" thickBot="1">
      <c r="A70" s="48" t="s">
        <v>47</v>
      </c>
      <c r="B70" s="49">
        <f t="shared" si="0"/>
        <v>100</v>
      </c>
      <c r="C70" s="49" t="s">
        <v>3</v>
      </c>
      <c r="D70" s="49">
        <f t="shared" si="1"/>
        <v>300</v>
      </c>
      <c r="E70" s="49" t="s">
        <v>3</v>
      </c>
      <c r="F70" s="50">
        <f t="shared" si="4"/>
        <v>1700</v>
      </c>
      <c r="G70" s="49" t="s">
        <v>3</v>
      </c>
      <c r="H70" s="49">
        <v>12</v>
      </c>
      <c r="I70" s="52" t="s">
        <v>531</v>
      </c>
      <c r="J70" s="1886">
        <v>100</v>
      </c>
      <c r="K70" s="66">
        <v>300</v>
      </c>
      <c r="L70" s="66">
        <v>1700</v>
      </c>
      <c r="M70" s="156"/>
      <c r="N70" s="66"/>
      <c r="O70" s="66"/>
      <c r="P70" s="113">
        <v>77048.753023109995</v>
      </c>
      <c r="Q70" s="1892">
        <v>87531.626943180003</v>
      </c>
      <c r="R70" s="161">
        <v>22723.795927581246</v>
      </c>
      <c r="S70" s="161">
        <v>61354.249004469639</v>
      </c>
      <c r="T70" s="161">
        <v>99772.548950691242</v>
      </c>
      <c r="U70" s="161">
        <v>110255.42287076125</v>
      </c>
      <c r="V70" s="1887">
        <v>138403.00202757964</v>
      </c>
      <c r="W70" s="1887">
        <v>148885.87594764965</v>
      </c>
      <c r="Y70" s="65" t="str">
        <f t="shared" si="3"/>
        <v>ВКВТХ.100.300.1700.12ТП.24V</v>
      </c>
    </row>
    <row r="71" spans="1:25" ht="16.5" customHeight="1" thickBot="1">
      <c r="A71" s="48" t="s">
        <v>47</v>
      </c>
      <c r="B71" s="49">
        <f t="shared" si="0"/>
        <v>100</v>
      </c>
      <c r="C71" s="49" t="s">
        <v>3</v>
      </c>
      <c r="D71" s="49">
        <f t="shared" si="1"/>
        <v>300</v>
      </c>
      <c r="E71" s="49" t="s">
        <v>3</v>
      </c>
      <c r="F71" s="50">
        <f t="shared" si="4"/>
        <v>1750</v>
      </c>
      <c r="G71" s="49" t="s">
        <v>3</v>
      </c>
      <c r="H71" s="49">
        <v>12</v>
      </c>
      <c r="I71" s="52" t="s">
        <v>531</v>
      </c>
      <c r="J71" s="1886">
        <v>100</v>
      </c>
      <c r="K71" s="66">
        <v>300</v>
      </c>
      <c r="L71" s="66">
        <v>1750</v>
      </c>
      <c r="M71" s="156"/>
      <c r="N71" s="66"/>
      <c r="O71" s="66"/>
      <c r="P71" s="113">
        <v>78402.091744239995</v>
      </c>
      <c r="Q71" s="1892">
        <v>89056.696586760008</v>
      </c>
      <c r="R71" s="161">
        <v>23498.771759416202</v>
      </c>
      <c r="S71" s="161">
        <v>63446.683750423574</v>
      </c>
      <c r="T71" s="161">
        <v>101900.8635036562</v>
      </c>
      <c r="U71" s="161">
        <v>112555.4683461762</v>
      </c>
      <c r="V71" s="1887">
        <v>141848.77549466357</v>
      </c>
      <c r="W71" s="1887">
        <v>152503.3803371836</v>
      </c>
      <c r="Y71" s="65" t="str">
        <f t="shared" si="3"/>
        <v>ВКВТХ.100.300.1750.12ТП.24V</v>
      </c>
    </row>
    <row r="72" spans="1:25" ht="16.5" customHeight="1" thickBot="1">
      <c r="A72" s="48" t="s">
        <v>47</v>
      </c>
      <c r="B72" s="49">
        <f t="shared" si="0"/>
        <v>100</v>
      </c>
      <c r="C72" s="49" t="s">
        <v>3</v>
      </c>
      <c r="D72" s="49">
        <f t="shared" si="1"/>
        <v>300</v>
      </c>
      <c r="E72" s="49" t="s">
        <v>3</v>
      </c>
      <c r="F72" s="50">
        <f t="shared" si="4"/>
        <v>1800</v>
      </c>
      <c r="G72" s="49" t="s">
        <v>3</v>
      </c>
      <c r="H72" s="49">
        <v>12</v>
      </c>
      <c r="I72" s="52" t="s">
        <v>531</v>
      </c>
      <c r="J72" s="1886">
        <v>100</v>
      </c>
      <c r="K72" s="66">
        <v>300</v>
      </c>
      <c r="L72" s="66">
        <v>1800</v>
      </c>
      <c r="M72" s="156"/>
      <c r="N72" s="66"/>
      <c r="O72" s="66"/>
      <c r="P72" s="113">
        <v>80201.396980649995</v>
      </c>
      <c r="Q72" s="1892">
        <v>91099.782632880015</v>
      </c>
      <c r="R72" s="161">
        <v>24022.413447623072</v>
      </c>
      <c r="S72" s="161">
        <v>64860.51630858225</v>
      </c>
      <c r="T72" s="161">
        <v>104223.81042827306</v>
      </c>
      <c r="U72" s="161">
        <v>115122.19608050308</v>
      </c>
      <c r="V72" s="1887">
        <v>145061.91328923224</v>
      </c>
      <c r="W72" s="1887">
        <v>155960.29894146227</v>
      </c>
      <c r="Y72" s="65" t="str">
        <f t="shared" si="3"/>
        <v>ВКВТХ.100.300.1800.12ТП.24V</v>
      </c>
    </row>
    <row r="73" spans="1:25" ht="16.5" customHeight="1" thickBot="1">
      <c r="A73" s="48" t="s">
        <v>47</v>
      </c>
      <c r="B73" s="49">
        <f t="shared" si="0"/>
        <v>100</v>
      </c>
      <c r="C73" s="49" t="s">
        <v>3</v>
      </c>
      <c r="D73" s="49">
        <f t="shared" si="1"/>
        <v>300</v>
      </c>
      <c r="E73" s="49" t="s">
        <v>3</v>
      </c>
      <c r="F73" s="50">
        <f t="shared" si="4"/>
        <v>1850</v>
      </c>
      <c r="G73" s="49" t="s">
        <v>3</v>
      </c>
      <c r="H73" s="49">
        <v>12</v>
      </c>
      <c r="I73" s="52" t="s">
        <v>531</v>
      </c>
      <c r="J73" s="1886">
        <v>100</v>
      </c>
      <c r="K73" s="66">
        <v>300</v>
      </c>
      <c r="L73" s="66">
        <v>1850</v>
      </c>
      <c r="M73" s="156"/>
      <c r="N73" s="66"/>
      <c r="O73" s="66"/>
      <c r="P73" s="113">
        <v>82000.702085169993</v>
      </c>
      <c r="Q73" s="1892">
        <v>93142.868679000007</v>
      </c>
      <c r="R73" s="161">
        <v>24797.389279457875</v>
      </c>
      <c r="S73" s="161">
        <v>66952.951054536345</v>
      </c>
      <c r="T73" s="161">
        <v>106798.09136462786</v>
      </c>
      <c r="U73" s="161">
        <v>117940.25795845788</v>
      </c>
      <c r="V73" s="1887">
        <v>148953.65313970635</v>
      </c>
      <c r="W73" s="1887">
        <v>160095.81973353634</v>
      </c>
      <c r="Y73" s="65" t="str">
        <f t="shared" si="3"/>
        <v>ВКВТХ.100.300.1850.12ТП.24V</v>
      </c>
    </row>
    <row r="74" spans="1:25" ht="16.5" customHeight="1" thickBot="1">
      <c r="A74" s="48" t="s">
        <v>47</v>
      </c>
      <c r="B74" s="49">
        <f t="shared" si="0"/>
        <v>100</v>
      </c>
      <c r="C74" s="49" t="s">
        <v>3</v>
      </c>
      <c r="D74" s="49">
        <f t="shared" si="1"/>
        <v>300</v>
      </c>
      <c r="E74" s="49" t="s">
        <v>3</v>
      </c>
      <c r="F74" s="50">
        <f t="shared" si="4"/>
        <v>1900</v>
      </c>
      <c r="G74" s="49" t="s">
        <v>3</v>
      </c>
      <c r="H74" s="49">
        <v>12</v>
      </c>
      <c r="I74" s="52" t="s">
        <v>531</v>
      </c>
      <c r="J74" s="1886">
        <v>100</v>
      </c>
      <c r="K74" s="66">
        <v>300</v>
      </c>
      <c r="L74" s="66">
        <v>1900</v>
      </c>
      <c r="M74" s="156"/>
      <c r="N74" s="66"/>
      <c r="O74" s="66"/>
      <c r="P74" s="113">
        <v>83800.007321579993</v>
      </c>
      <c r="Q74" s="1892">
        <v>95185.954862460014</v>
      </c>
      <c r="R74" s="161">
        <v>25321.030967664741</v>
      </c>
      <c r="S74" s="161">
        <v>68366.783612695013</v>
      </c>
      <c r="T74" s="161">
        <v>109121.03828924474</v>
      </c>
      <c r="U74" s="161">
        <v>120506.98583012476</v>
      </c>
      <c r="V74" s="1887">
        <v>152166.79093427502</v>
      </c>
      <c r="W74" s="1887">
        <v>163552.73847515503</v>
      </c>
      <c r="Y74" s="65" t="str">
        <f t="shared" ref="Y74:Y137" si="5">A74&amp;B74&amp;"."&amp;D74&amp;"."&amp;F74&amp;"."&amp;H74&amp;I74</f>
        <v>ВКВТХ.100.300.1900.12ТП.24V</v>
      </c>
    </row>
    <row r="75" spans="1:25" ht="16.5" customHeight="1" thickBot="1">
      <c r="A75" s="48" t="s">
        <v>47</v>
      </c>
      <c r="B75" s="49">
        <f t="shared" si="0"/>
        <v>100</v>
      </c>
      <c r="C75" s="49" t="s">
        <v>3</v>
      </c>
      <c r="D75" s="49">
        <f t="shared" si="1"/>
        <v>300</v>
      </c>
      <c r="E75" s="49" t="s">
        <v>3</v>
      </c>
      <c r="F75" s="50">
        <f t="shared" si="4"/>
        <v>1950</v>
      </c>
      <c r="G75" s="49" t="s">
        <v>3</v>
      </c>
      <c r="H75" s="49">
        <v>12</v>
      </c>
      <c r="I75" s="52" t="s">
        <v>531</v>
      </c>
      <c r="J75" s="1886">
        <v>100</v>
      </c>
      <c r="K75" s="66">
        <v>300</v>
      </c>
      <c r="L75" s="66">
        <v>1950</v>
      </c>
      <c r="M75" s="156"/>
      <c r="N75" s="66"/>
      <c r="O75" s="66"/>
      <c r="P75" s="113">
        <v>85599.312557989993</v>
      </c>
      <c r="Q75" s="1892">
        <v>97229.040908580006</v>
      </c>
      <c r="R75" s="161">
        <v>25844.672655871764</v>
      </c>
      <c r="S75" s="161">
        <v>69780.616170853507</v>
      </c>
      <c r="T75" s="161">
        <v>111443.98521386176</v>
      </c>
      <c r="U75" s="161">
        <v>123073.71356445177</v>
      </c>
      <c r="V75" s="1887">
        <v>155379.92872884352</v>
      </c>
      <c r="W75" s="1887">
        <v>167009.6570794335</v>
      </c>
      <c r="Y75" s="65" t="str">
        <f t="shared" si="5"/>
        <v>ВКВТХ.100.300.1950.12ТП.24V</v>
      </c>
    </row>
    <row r="76" spans="1:25" ht="16.5" customHeight="1" thickBot="1">
      <c r="A76" s="48" t="s">
        <v>47</v>
      </c>
      <c r="B76" s="49">
        <f t="shared" si="0"/>
        <v>100</v>
      </c>
      <c r="C76" s="49" t="s">
        <v>3</v>
      </c>
      <c r="D76" s="49">
        <f t="shared" si="1"/>
        <v>300</v>
      </c>
      <c r="E76" s="49" t="s">
        <v>3</v>
      </c>
      <c r="F76" s="50">
        <f t="shared" si="4"/>
        <v>2000</v>
      </c>
      <c r="G76" s="49" t="s">
        <v>3</v>
      </c>
      <c r="H76" s="49">
        <v>12</v>
      </c>
      <c r="I76" s="52" t="s">
        <v>531</v>
      </c>
      <c r="J76" s="1886">
        <v>100</v>
      </c>
      <c r="K76" s="66">
        <v>300</v>
      </c>
      <c r="L76" s="66">
        <v>2000</v>
      </c>
      <c r="M76" s="156"/>
      <c r="N76" s="66"/>
      <c r="O76" s="66"/>
      <c r="P76" s="113">
        <v>87836.917412090013</v>
      </c>
      <c r="Q76" s="1892">
        <v>99780.343324200003</v>
      </c>
      <c r="R76" s="161">
        <v>26619.64848770657</v>
      </c>
      <c r="S76" s="161">
        <v>71873.050916807624</v>
      </c>
      <c r="T76" s="161">
        <v>114456.56589979658</v>
      </c>
      <c r="U76" s="161">
        <v>126399.99181190657</v>
      </c>
      <c r="V76" s="1887">
        <v>159709.96832889764</v>
      </c>
      <c r="W76" s="1887">
        <v>171653.39424100763</v>
      </c>
      <c r="Y76" s="65" t="str">
        <f t="shared" si="5"/>
        <v>ВКВТХ.100.300.2000.12ТП.24V</v>
      </c>
    </row>
    <row r="77" spans="1:25" ht="16.5" customHeight="1" thickBot="1">
      <c r="A77" s="48" t="s">
        <v>47</v>
      </c>
      <c r="B77" s="49">
        <f t="shared" si="0"/>
        <v>100</v>
      </c>
      <c r="C77" s="49" t="s">
        <v>3</v>
      </c>
      <c r="D77" s="49">
        <f t="shared" si="1"/>
        <v>300</v>
      </c>
      <c r="E77" s="49" t="s">
        <v>3</v>
      </c>
      <c r="F77" s="50">
        <f t="shared" si="4"/>
        <v>2050</v>
      </c>
      <c r="G77" s="49" t="s">
        <v>3</v>
      </c>
      <c r="H77" s="49">
        <v>12</v>
      </c>
      <c r="I77" s="52" t="s">
        <v>531</v>
      </c>
      <c r="J77" s="1886">
        <v>100</v>
      </c>
      <c r="K77" s="66">
        <v>300</v>
      </c>
      <c r="L77" s="66">
        <v>2050</v>
      </c>
      <c r="M77" s="156"/>
      <c r="N77" s="66"/>
      <c r="O77" s="66"/>
      <c r="P77" s="113">
        <v>91096.248509530007</v>
      </c>
      <c r="Q77" s="1892">
        <v>103384.51725294</v>
      </c>
      <c r="R77" s="161">
        <v>27143.290175913437</v>
      </c>
      <c r="S77" s="161">
        <v>73286.883474966278</v>
      </c>
      <c r="T77" s="161">
        <v>118239.53868544345</v>
      </c>
      <c r="U77" s="161">
        <v>130527.80742885344</v>
      </c>
      <c r="V77" s="1887">
        <v>164383.13198449629</v>
      </c>
      <c r="W77" s="1887">
        <v>176671.40072790626</v>
      </c>
      <c r="Y77" s="65" t="str">
        <f t="shared" si="5"/>
        <v>ВКВТХ.100.300.2050.12ТП.24V</v>
      </c>
    </row>
    <row r="78" spans="1:25" ht="16.5" customHeight="1" thickBot="1">
      <c r="A78" s="48" t="s">
        <v>47</v>
      </c>
      <c r="B78" s="49">
        <f t="shared" si="0"/>
        <v>100</v>
      </c>
      <c r="C78" s="49" t="s">
        <v>3</v>
      </c>
      <c r="D78" s="49">
        <f t="shared" si="1"/>
        <v>300</v>
      </c>
      <c r="E78" s="49" t="s">
        <v>3</v>
      </c>
      <c r="F78" s="50">
        <f t="shared" si="4"/>
        <v>2100</v>
      </c>
      <c r="G78" s="49" t="s">
        <v>3</v>
      </c>
      <c r="H78" s="49">
        <v>12</v>
      </c>
      <c r="I78" s="52" t="s">
        <v>531</v>
      </c>
      <c r="J78" s="1886">
        <v>100</v>
      </c>
      <c r="K78" s="66">
        <v>300</v>
      </c>
      <c r="L78" s="66">
        <v>2100</v>
      </c>
      <c r="M78" s="156"/>
      <c r="N78" s="66"/>
      <c r="O78" s="66"/>
      <c r="P78" s="113">
        <v>92895.553745939993</v>
      </c>
      <c r="Q78" s="1892">
        <v>105427.60329906002</v>
      </c>
      <c r="R78" s="161">
        <v>27918.26600774824</v>
      </c>
      <c r="S78" s="161">
        <v>75379.31822092022</v>
      </c>
      <c r="T78" s="161">
        <v>120813.81975368824</v>
      </c>
      <c r="U78" s="161">
        <v>133345.86930680825</v>
      </c>
      <c r="V78" s="1887">
        <v>168274.8719668602</v>
      </c>
      <c r="W78" s="1887">
        <v>180806.92151998024</v>
      </c>
      <c r="Y78" s="65" t="str">
        <f t="shared" si="5"/>
        <v>ВКВТХ.100.300.2100.12ТП.24V</v>
      </c>
    </row>
    <row r="79" spans="1:25" ht="16.5" customHeight="1" thickBot="1">
      <c r="A79" s="48" t="s">
        <v>47</v>
      </c>
      <c r="B79" s="49">
        <f t="shared" si="0"/>
        <v>100</v>
      </c>
      <c r="C79" s="49" t="s">
        <v>3</v>
      </c>
      <c r="D79" s="49">
        <f t="shared" si="1"/>
        <v>300</v>
      </c>
      <c r="E79" s="49" t="s">
        <v>3</v>
      </c>
      <c r="F79" s="50">
        <f t="shared" si="4"/>
        <v>2150</v>
      </c>
      <c r="G79" s="49" t="s">
        <v>3</v>
      </c>
      <c r="H79" s="49">
        <v>12</v>
      </c>
      <c r="I79" s="52" t="s">
        <v>531</v>
      </c>
      <c r="J79" s="1886">
        <v>100</v>
      </c>
      <c r="K79" s="66">
        <v>300</v>
      </c>
      <c r="L79" s="66">
        <v>2150</v>
      </c>
      <c r="M79" s="156"/>
      <c r="N79" s="66"/>
      <c r="O79" s="66"/>
      <c r="P79" s="113">
        <v>94694.85885045999</v>
      </c>
      <c r="Q79" s="1892">
        <v>107470.68948252</v>
      </c>
      <c r="R79" s="161">
        <v>28441.907695955109</v>
      </c>
      <c r="S79" s="161">
        <v>76793.150779078889</v>
      </c>
      <c r="T79" s="161">
        <v>123136.76654641511</v>
      </c>
      <c r="U79" s="161">
        <v>135912.59717847512</v>
      </c>
      <c r="V79" s="1887">
        <v>171488.00962953886</v>
      </c>
      <c r="W79" s="1887">
        <v>184263.84026159887</v>
      </c>
      <c r="Y79" s="65" t="str">
        <f t="shared" si="5"/>
        <v>ВКВТХ.100.300.2150.12ТП.24V</v>
      </c>
    </row>
    <row r="80" spans="1:25" ht="16.5" customHeight="1" thickBot="1">
      <c r="A80" s="48" t="s">
        <v>47</v>
      </c>
      <c r="B80" s="49">
        <f t="shared" si="0"/>
        <v>100</v>
      </c>
      <c r="C80" s="49" t="s">
        <v>3</v>
      </c>
      <c r="D80" s="49">
        <f t="shared" si="1"/>
        <v>300</v>
      </c>
      <c r="E80" s="49" t="s">
        <v>3</v>
      </c>
      <c r="F80" s="50">
        <f t="shared" si="4"/>
        <v>2200</v>
      </c>
      <c r="G80" s="49" t="s">
        <v>3</v>
      </c>
      <c r="H80" s="49">
        <v>12</v>
      </c>
      <c r="I80" s="52" t="s">
        <v>531</v>
      </c>
      <c r="J80" s="1886">
        <v>100</v>
      </c>
      <c r="K80" s="66">
        <v>300</v>
      </c>
      <c r="L80" s="66">
        <v>2200</v>
      </c>
      <c r="M80" s="156"/>
      <c r="N80" s="66"/>
      <c r="O80" s="66"/>
      <c r="P80" s="113">
        <v>95864.414923529999</v>
      </c>
      <c r="Q80" s="1892">
        <v>108858.00367260001</v>
      </c>
      <c r="R80" s="161">
        <v>29216.883527790069</v>
      </c>
      <c r="S80" s="161">
        <v>78885.585525032977</v>
      </c>
      <c r="T80" s="161">
        <v>125081.29845132006</v>
      </c>
      <c r="U80" s="161">
        <v>138074.88720039008</v>
      </c>
      <c r="V80" s="1887">
        <v>174750.00044856296</v>
      </c>
      <c r="W80" s="1887">
        <v>187743.58919763297</v>
      </c>
      <c r="Y80" s="65" t="str">
        <f t="shared" si="5"/>
        <v>ВКВТХ.100.300.2200.12ТП.24V</v>
      </c>
    </row>
    <row r="81" spans="1:25" ht="16.5" customHeight="1" thickBot="1">
      <c r="A81" s="48" t="s">
        <v>47</v>
      </c>
      <c r="B81" s="49">
        <f t="shared" si="0"/>
        <v>100</v>
      </c>
      <c r="C81" s="49" t="s">
        <v>3</v>
      </c>
      <c r="D81" s="49">
        <f t="shared" si="1"/>
        <v>300</v>
      </c>
      <c r="E81" s="49" t="s">
        <v>3</v>
      </c>
      <c r="F81" s="50">
        <f t="shared" si="4"/>
        <v>2250</v>
      </c>
      <c r="G81" s="49" t="s">
        <v>3</v>
      </c>
      <c r="H81" s="49">
        <v>12</v>
      </c>
      <c r="I81" s="52" t="s">
        <v>531</v>
      </c>
      <c r="J81" s="1886">
        <v>100</v>
      </c>
      <c r="K81" s="66">
        <v>300</v>
      </c>
      <c r="L81" s="66">
        <v>2250</v>
      </c>
      <c r="M81" s="156"/>
      <c r="N81" s="66"/>
      <c r="O81" s="66"/>
      <c r="P81" s="113">
        <v>97183.876511149996</v>
      </c>
      <c r="Q81" s="1892">
        <v>110401.41781998001</v>
      </c>
      <c r="R81" s="161">
        <v>29740.525215996935</v>
      </c>
      <c r="S81" s="161">
        <v>80299.418083191646</v>
      </c>
      <c r="T81" s="161">
        <v>126924.40172714693</v>
      </c>
      <c r="U81" s="161">
        <v>140141.94303597693</v>
      </c>
      <c r="V81" s="1887">
        <v>177483.29459434166</v>
      </c>
      <c r="W81" s="1887">
        <v>190700.83590317165</v>
      </c>
      <c r="Y81" s="65" t="str">
        <f t="shared" si="5"/>
        <v>ВКВТХ.100.300.2250.12ТП.24V</v>
      </c>
    </row>
    <row r="82" spans="1:25" ht="16.5" customHeight="1" thickBot="1">
      <c r="A82" s="48" t="s">
        <v>47</v>
      </c>
      <c r="B82" s="49">
        <f t="shared" si="0"/>
        <v>100</v>
      </c>
      <c r="C82" s="49" t="s">
        <v>3</v>
      </c>
      <c r="D82" s="49">
        <f t="shared" si="1"/>
        <v>300</v>
      </c>
      <c r="E82" s="49" t="s">
        <v>3</v>
      </c>
      <c r="F82" s="50">
        <f t="shared" si="4"/>
        <v>2300</v>
      </c>
      <c r="G82" s="49" t="s">
        <v>3</v>
      </c>
      <c r="H82" s="49">
        <v>12</v>
      </c>
      <c r="I82" s="52" t="s">
        <v>531</v>
      </c>
      <c r="J82" s="1886">
        <v>100</v>
      </c>
      <c r="K82" s="66">
        <v>300</v>
      </c>
      <c r="L82" s="66">
        <v>2300</v>
      </c>
      <c r="M82" s="156"/>
      <c r="N82" s="66"/>
      <c r="O82" s="66"/>
      <c r="P82" s="113">
        <v>98503.337966880004</v>
      </c>
      <c r="Q82" s="1892">
        <v>111944.83183002002</v>
      </c>
      <c r="R82" s="161">
        <v>30264.166904203805</v>
      </c>
      <c r="S82" s="161">
        <v>81713.250641350314</v>
      </c>
      <c r="T82" s="161">
        <v>128767.5048710838</v>
      </c>
      <c r="U82" s="161">
        <v>142208.99873422383</v>
      </c>
      <c r="V82" s="1887">
        <v>180216.58860823032</v>
      </c>
      <c r="W82" s="1887">
        <v>193658.08247137035</v>
      </c>
      <c r="Y82" s="65" t="str">
        <f t="shared" si="5"/>
        <v>ВКВТХ.100.300.2300.12ТП.24V</v>
      </c>
    </row>
    <row r="83" spans="1:25" ht="16.5" customHeight="1" thickBot="1">
      <c r="A83" s="48" t="s">
        <v>47</v>
      </c>
      <c r="B83" s="49">
        <f t="shared" si="0"/>
        <v>100</v>
      </c>
      <c r="C83" s="49" t="s">
        <v>3</v>
      </c>
      <c r="D83" s="49">
        <f t="shared" si="1"/>
        <v>300</v>
      </c>
      <c r="E83" s="49" t="s">
        <v>3</v>
      </c>
      <c r="F83" s="50">
        <f t="shared" si="4"/>
        <v>2350</v>
      </c>
      <c r="G83" s="49" t="s">
        <v>3</v>
      </c>
      <c r="H83" s="49">
        <v>12</v>
      </c>
      <c r="I83" s="52" t="s">
        <v>531</v>
      </c>
      <c r="J83" s="1886">
        <v>100</v>
      </c>
      <c r="K83" s="66">
        <v>300</v>
      </c>
      <c r="L83" s="66">
        <v>2350</v>
      </c>
      <c r="M83" s="156"/>
      <c r="N83" s="66"/>
      <c r="O83" s="66"/>
      <c r="P83" s="113">
        <v>99822.799422609984</v>
      </c>
      <c r="Q83" s="1892">
        <v>113488.24597740002</v>
      </c>
      <c r="R83" s="161">
        <v>31039.142736038608</v>
      </c>
      <c r="S83" s="161">
        <v>83805.685387304256</v>
      </c>
      <c r="T83" s="161">
        <v>130861.9421586486</v>
      </c>
      <c r="U83" s="161">
        <v>144527.38871343862</v>
      </c>
      <c r="V83" s="1887">
        <v>183628.48480991425</v>
      </c>
      <c r="W83" s="1887">
        <v>197293.93136470427</v>
      </c>
      <c r="Y83" s="65" t="str">
        <f t="shared" si="5"/>
        <v>ВКВТХ.100.300.2350.12ТП.24V</v>
      </c>
    </row>
    <row r="84" spans="1:25" ht="16.5" customHeight="1" thickBot="1">
      <c r="A84" s="48" t="s">
        <v>47</v>
      </c>
      <c r="B84" s="49">
        <f t="shared" si="0"/>
        <v>100</v>
      </c>
      <c r="C84" s="49" t="s">
        <v>3</v>
      </c>
      <c r="D84" s="49">
        <f t="shared" si="1"/>
        <v>300</v>
      </c>
      <c r="E84" s="49" t="s">
        <v>3</v>
      </c>
      <c r="F84" s="50">
        <f t="shared" si="4"/>
        <v>2400</v>
      </c>
      <c r="G84" s="49" t="s">
        <v>3</v>
      </c>
      <c r="H84" s="49">
        <v>12</v>
      </c>
      <c r="I84" s="52" t="s">
        <v>531</v>
      </c>
      <c r="J84" s="1886">
        <v>100</v>
      </c>
      <c r="K84" s="66">
        <v>300</v>
      </c>
      <c r="L84" s="66">
        <v>2400</v>
      </c>
      <c r="M84" s="156"/>
      <c r="N84" s="66"/>
      <c r="O84" s="66"/>
      <c r="P84" s="113">
        <v>101142.26087833999</v>
      </c>
      <c r="Q84" s="1892">
        <v>115031.65998744001</v>
      </c>
      <c r="R84" s="161">
        <v>31562.784424245474</v>
      </c>
      <c r="S84" s="161">
        <v>85219.517945462911</v>
      </c>
      <c r="T84" s="161">
        <v>132705.04530258547</v>
      </c>
      <c r="U84" s="161">
        <v>146594.44441168549</v>
      </c>
      <c r="V84" s="1887">
        <v>186361.77882380289</v>
      </c>
      <c r="W84" s="1887">
        <v>200251.17793290294</v>
      </c>
      <c r="Y84" s="65" t="str">
        <f t="shared" si="5"/>
        <v>ВКВТХ.100.300.2400.12ТП.24V</v>
      </c>
    </row>
    <row r="85" spans="1:25" ht="16.5" customHeight="1" thickBot="1">
      <c r="A85" s="48" t="s">
        <v>47</v>
      </c>
      <c r="B85" s="49">
        <f t="shared" si="0"/>
        <v>100</v>
      </c>
      <c r="C85" s="49" t="s">
        <v>3</v>
      </c>
      <c r="D85" s="49">
        <f t="shared" si="1"/>
        <v>300</v>
      </c>
      <c r="E85" s="49" t="s">
        <v>3</v>
      </c>
      <c r="F85" s="50">
        <f t="shared" si="4"/>
        <v>2450</v>
      </c>
      <c r="G85" s="49" t="s">
        <v>3</v>
      </c>
      <c r="H85" s="49">
        <v>12</v>
      </c>
      <c r="I85" s="52" t="s">
        <v>531</v>
      </c>
      <c r="J85" s="1886">
        <v>100</v>
      </c>
      <c r="K85" s="66">
        <v>300</v>
      </c>
      <c r="L85" s="66">
        <v>2450</v>
      </c>
      <c r="M85" s="156"/>
      <c r="N85" s="66"/>
      <c r="O85" s="66"/>
      <c r="P85" s="113">
        <v>102461.72233406999</v>
      </c>
      <c r="Q85" s="1892">
        <v>116575.07413482002</v>
      </c>
      <c r="R85" s="161">
        <v>32337.760256080281</v>
      </c>
      <c r="S85" s="161">
        <v>87311.952691417013</v>
      </c>
      <c r="T85" s="161">
        <v>134799.48259015026</v>
      </c>
      <c r="U85" s="161">
        <v>148912.8343909003</v>
      </c>
      <c r="V85" s="1887">
        <v>189773.675025487</v>
      </c>
      <c r="W85" s="1887">
        <v>203887.02682623704</v>
      </c>
      <c r="Y85" s="65" t="str">
        <f t="shared" si="5"/>
        <v>ВКВТХ.100.300.2450.12ТП.24V</v>
      </c>
    </row>
    <row r="86" spans="1:25" ht="16.5" customHeight="1" thickBot="1">
      <c r="A86" s="48" t="s">
        <v>47</v>
      </c>
      <c r="B86" s="49">
        <f t="shared" si="0"/>
        <v>100</v>
      </c>
      <c r="C86" s="49" t="s">
        <v>3</v>
      </c>
      <c r="D86" s="49">
        <f t="shared" si="1"/>
        <v>300</v>
      </c>
      <c r="E86" s="49" t="s">
        <v>3</v>
      </c>
      <c r="F86" s="50">
        <f t="shared" si="4"/>
        <v>2500</v>
      </c>
      <c r="G86" s="49" t="s">
        <v>3</v>
      </c>
      <c r="H86" s="49">
        <v>12</v>
      </c>
      <c r="I86" s="52" t="s">
        <v>531</v>
      </c>
      <c r="J86" s="1886">
        <v>100</v>
      </c>
      <c r="K86" s="66">
        <v>300</v>
      </c>
      <c r="L86" s="66">
        <v>2500</v>
      </c>
      <c r="M86" s="156"/>
      <c r="N86" s="66"/>
      <c r="O86" s="66"/>
      <c r="P86" s="113">
        <v>103881.74727699999</v>
      </c>
      <c r="Q86" s="1892">
        <v>118223.20714806003</v>
      </c>
      <c r="R86" s="161">
        <v>32861.401944287303</v>
      </c>
      <c r="S86" s="161">
        <v>88725.785249575521</v>
      </c>
      <c r="T86" s="161">
        <v>136743.14922128728</v>
      </c>
      <c r="U86" s="161">
        <v>151084.60909234732</v>
      </c>
      <c r="V86" s="1887">
        <v>192607.53252657549</v>
      </c>
      <c r="W86" s="1887">
        <v>206948.99239763553</v>
      </c>
      <c r="Y86" s="65" t="str">
        <f t="shared" si="5"/>
        <v>ВКВТХ.100.300.2500.12ТП.24V</v>
      </c>
    </row>
    <row r="87" spans="1:25" ht="16.5" customHeight="1" thickBot="1">
      <c r="A87" s="48" t="s">
        <v>47</v>
      </c>
      <c r="B87" s="49">
        <f t="shared" si="0"/>
        <v>100</v>
      </c>
      <c r="C87" s="49" t="s">
        <v>3</v>
      </c>
      <c r="D87" s="49">
        <f t="shared" si="1"/>
        <v>300</v>
      </c>
      <c r="E87" s="49" t="s">
        <v>3</v>
      </c>
      <c r="F87" s="50">
        <f t="shared" si="4"/>
        <v>2550</v>
      </c>
      <c r="G87" s="49" t="s">
        <v>3</v>
      </c>
      <c r="H87" s="49">
        <v>12</v>
      </c>
      <c r="I87" s="52" t="s">
        <v>531</v>
      </c>
      <c r="J87" s="1886">
        <v>100</v>
      </c>
      <c r="K87" s="66">
        <v>300</v>
      </c>
      <c r="L87" s="66">
        <v>2550</v>
      </c>
      <c r="M87" s="156"/>
      <c r="N87" s="66"/>
      <c r="O87" s="66"/>
      <c r="P87" s="113">
        <v>105201.20873273</v>
      </c>
      <c r="Q87" s="1892">
        <v>119766.62129544003</v>
      </c>
      <c r="R87" s="161">
        <v>33636.377776122106</v>
      </c>
      <c r="S87" s="161">
        <v>90818.219995529624</v>
      </c>
      <c r="T87" s="161">
        <v>138837.58650885211</v>
      </c>
      <c r="U87" s="161">
        <v>153402.99907156214</v>
      </c>
      <c r="V87" s="1887">
        <v>196019.42872825963</v>
      </c>
      <c r="W87" s="1887">
        <v>210584.84129096963</v>
      </c>
      <c r="Y87" s="65" t="str">
        <f t="shared" si="5"/>
        <v>ВКВТХ.100.300.2550.12ТП.24V</v>
      </c>
    </row>
    <row r="88" spans="1:25" ht="16.5" customHeight="1" thickBot="1">
      <c r="A88" s="48" t="s">
        <v>47</v>
      </c>
      <c r="B88" s="49">
        <f t="shared" si="0"/>
        <v>100</v>
      </c>
      <c r="C88" s="49" t="s">
        <v>3</v>
      </c>
      <c r="D88" s="49">
        <f t="shared" si="1"/>
        <v>300</v>
      </c>
      <c r="E88" s="49" t="s">
        <v>3</v>
      </c>
      <c r="F88" s="50">
        <f t="shared" si="4"/>
        <v>2600</v>
      </c>
      <c r="G88" s="49" t="s">
        <v>3</v>
      </c>
      <c r="H88" s="49">
        <v>12</v>
      </c>
      <c r="I88" s="52" t="s">
        <v>531</v>
      </c>
      <c r="J88" s="1886">
        <v>100</v>
      </c>
      <c r="K88" s="66">
        <v>300</v>
      </c>
      <c r="L88" s="66">
        <v>2600</v>
      </c>
      <c r="M88" s="156"/>
      <c r="N88" s="66"/>
      <c r="O88" s="66"/>
      <c r="P88" s="113">
        <v>107150.4193518</v>
      </c>
      <c r="Q88" s="1892">
        <v>121965.80716152003</v>
      </c>
      <c r="R88" s="161">
        <v>34160.019464328972</v>
      </c>
      <c r="S88" s="161">
        <v>92232.052553688292</v>
      </c>
      <c r="T88" s="161">
        <v>141310.43881612897</v>
      </c>
      <c r="U88" s="161">
        <v>156125.826625849</v>
      </c>
      <c r="V88" s="1887">
        <v>199382.47190548829</v>
      </c>
      <c r="W88" s="1887">
        <v>214197.85971520832</v>
      </c>
      <c r="Y88" s="65" t="str">
        <f t="shared" si="5"/>
        <v>ВКВТХ.100.300.2600.12ТП.24V</v>
      </c>
    </row>
    <row r="89" spans="1:25" ht="16.5" customHeight="1" thickBot="1">
      <c r="A89" s="48" t="s">
        <v>47</v>
      </c>
      <c r="B89" s="49">
        <f t="shared" si="0"/>
        <v>100</v>
      </c>
      <c r="C89" s="49" t="s">
        <v>3</v>
      </c>
      <c r="D89" s="49">
        <f t="shared" si="1"/>
        <v>300</v>
      </c>
      <c r="E89" s="49" t="s">
        <v>3</v>
      </c>
      <c r="F89" s="50">
        <f t="shared" si="4"/>
        <v>2650</v>
      </c>
      <c r="G89" s="49" t="s">
        <v>3</v>
      </c>
      <c r="H89" s="49">
        <v>12</v>
      </c>
      <c r="I89" s="52" t="s">
        <v>531</v>
      </c>
      <c r="J89" s="1886">
        <v>100</v>
      </c>
      <c r="K89" s="66">
        <v>300</v>
      </c>
      <c r="L89" s="66">
        <v>2650</v>
      </c>
      <c r="M89" s="156"/>
      <c r="N89" s="66"/>
      <c r="O89" s="66"/>
      <c r="P89" s="113">
        <v>108525.87760861</v>
      </c>
      <c r="Q89" s="1892">
        <v>123567.53189004002</v>
      </c>
      <c r="R89" s="161">
        <v>34934.995296163783</v>
      </c>
      <c r="S89" s="161">
        <v>94324.48729964238</v>
      </c>
      <c r="T89" s="161">
        <v>143460.87290477377</v>
      </c>
      <c r="U89" s="161">
        <v>158502.52718620381</v>
      </c>
      <c r="V89" s="1887">
        <v>202850.36490825238</v>
      </c>
      <c r="W89" s="1887">
        <v>217892.01918968238</v>
      </c>
      <c r="Y89" s="65" t="str">
        <f t="shared" si="5"/>
        <v>ВКВТХ.100.300.2650.12ТП.24V</v>
      </c>
    </row>
    <row r="90" spans="1:25" ht="16.5" customHeight="1" thickBot="1">
      <c r="A90" s="48" t="s">
        <v>47</v>
      </c>
      <c r="B90" s="49">
        <f t="shared" si="0"/>
        <v>100</v>
      </c>
      <c r="C90" s="49" t="s">
        <v>3</v>
      </c>
      <c r="D90" s="49">
        <f t="shared" si="1"/>
        <v>300</v>
      </c>
      <c r="E90" s="49" t="s">
        <v>3</v>
      </c>
      <c r="F90" s="50">
        <f t="shared" si="4"/>
        <v>2700</v>
      </c>
      <c r="G90" s="49" t="s">
        <v>3</v>
      </c>
      <c r="H90" s="49">
        <v>12</v>
      </c>
      <c r="I90" s="52" t="s">
        <v>531</v>
      </c>
      <c r="J90" s="1886">
        <v>100</v>
      </c>
      <c r="K90" s="66">
        <v>300</v>
      </c>
      <c r="L90" s="66">
        <v>2700</v>
      </c>
      <c r="M90" s="156"/>
      <c r="N90" s="66"/>
      <c r="O90" s="66"/>
      <c r="P90" s="113">
        <v>109901.33573353001</v>
      </c>
      <c r="Q90" s="1892">
        <v>125169.25661856002</v>
      </c>
      <c r="R90" s="161">
        <v>35458.636984370802</v>
      </c>
      <c r="S90" s="161">
        <v>95738.319857801049</v>
      </c>
      <c r="T90" s="161">
        <v>145359.97271790082</v>
      </c>
      <c r="U90" s="161">
        <v>160627.89360293082</v>
      </c>
      <c r="V90" s="1887">
        <v>205639.65559133107</v>
      </c>
      <c r="W90" s="1887">
        <v>220907.57647636108</v>
      </c>
      <c r="Y90" s="65" t="str">
        <f t="shared" si="5"/>
        <v>ВКВТХ.100.300.2700.12ТП.24V</v>
      </c>
    </row>
    <row r="91" spans="1:25" ht="16.5" customHeight="1" thickBot="1">
      <c r="A91" s="48" t="s">
        <v>47</v>
      </c>
      <c r="B91" s="49">
        <f t="shared" si="0"/>
        <v>100</v>
      </c>
      <c r="C91" s="49" t="s">
        <v>3</v>
      </c>
      <c r="D91" s="49">
        <f t="shared" si="1"/>
        <v>300</v>
      </c>
      <c r="E91" s="49" t="s">
        <v>3</v>
      </c>
      <c r="F91" s="50">
        <f t="shared" si="4"/>
        <v>2750</v>
      </c>
      <c r="G91" s="49" t="s">
        <v>3</v>
      </c>
      <c r="H91" s="49">
        <v>12</v>
      </c>
      <c r="I91" s="52" t="s">
        <v>531</v>
      </c>
      <c r="J91" s="1886">
        <v>100</v>
      </c>
      <c r="K91" s="66">
        <v>300</v>
      </c>
      <c r="L91" s="66">
        <v>2750</v>
      </c>
      <c r="M91" s="156"/>
      <c r="N91" s="66"/>
      <c r="O91" s="66"/>
      <c r="P91" s="113">
        <v>111276.79399034</v>
      </c>
      <c r="Q91" s="1892">
        <v>126770.98134708001</v>
      </c>
      <c r="R91" s="161">
        <v>35982.278672577668</v>
      </c>
      <c r="S91" s="161">
        <v>97152.152415959557</v>
      </c>
      <c r="T91" s="161">
        <v>147259.07266291766</v>
      </c>
      <c r="U91" s="161">
        <v>162753.26001965767</v>
      </c>
      <c r="V91" s="1887">
        <v>208428.94640629954</v>
      </c>
      <c r="W91" s="1887">
        <v>223923.13376303957</v>
      </c>
      <c r="Y91" s="65" t="str">
        <f t="shared" si="5"/>
        <v>ВКВТХ.100.300.2750.12ТП.24V</v>
      </c>
    </row>
    <row r="92" spans="1:25" ht="16.5" customHeight="1" thickBot="1">
      <c r="A92" s="48" t="s">
        <v>47</v>
      </c>
      <c r="B92" s="49">
        <f t="shared" si="0"/>
        <v>100</v>
      </c>
      <c r="C92" s="49" t="s">
        <v>3</v>
      </c>
      <c r="D92" s="49">
        <f t="shared" si="1"/>
        <v>300</v>
      </c>
      <c r="E92" s="49" t="s">
        <v>3</v>
      </c>
      <c r="F92" s="50">
        <f t="shared" si="4"/>
        <v>2800</v>
      </c>
      <c r="G92" s="49" t="s">
        <v>3</v>
      </c>
      <c r="H92" s="49">
        <v>12</v>
      </c>
      <c r="I92" s="52" t="s">
        <v>531</v>
      </c>
      <c r="J92" s="1886">
        <v>100</v>
      </c>
      <c r="K92" s="66">
        <v>300</v>
      </c>
      <c r="L92" s="66">
        <v>2800</v>
      </c>
      <c r="M92" s="156"/>
      <c r="N92" s="66"/>
      <c r="O92" s="66"/>
      <c r="P92" s="113">
        <v>112652.25211525999</v>
      </c>
      <c r="Q92" s="1892">
        <v>128372.70607560001</v>
      </c>
      <c r="R92" s="161">
        <v>36757.254504412471</v>
      </c>
      <c r="S92" s="161">
        <v>99244.58716191366</v>
      </c>
      <c r="T92" s="161">
        <v>149409.50661967247</v>
      </c>
      <c r="U92" s="161">
        <v>165129.96058001247</v>
      </c>
      <c r="V92" s="1887">
        <v>211896.83927717365</v>
      </c>
      <c r="W92" s="1887">
        <v>227617.29323751369</v>
      </c>
      <c r="Y92" s="65" t="str">
        <f t="shared" si="5"/>
        <v>ВКВТХ.100.300.2800.12ТП.24V</v>
      </c>
    </row>
    <row r="93" spans="1:25" ht="16.5" customHeight="1" thickBot="1">
      <c r="A93" s="48" t="s">
        <v>47</v>
      </c>
      <c r="B93" s="49">
        <f t="shared" si="0"/>
        <v>100</v>
      </c>
      <c r="C93" s="49" t="s">
        <v>3</v>
      </c>
      <c r="D93" s="49">
        <f t="shared" si="1"/>
        <v>300</v>
      </c>
      <c r="E93" s="49" t="s">
        <v>3</v>
      </c>
      <c r="F93" s="50">
        <f t="shared" si="4"/>
        <v>2850</v>
      </c>
      <c r="G93" s="49" t="s">
        <v>3</v>
      </c>
      <c r="H93" s="49">
        <v>12</v>
      </c>
      <c r="I93" s="52" t="s">
        <v>531</v>
      </c>
      <c r="J93" s="1886">
        <v>100</v>
      </c>
      <c r="K93" s="66">
        <v>300</v>
      </c>
      <c r="L93" s="66">
        <v>2850</v>
      </c>
      <c r="M93" s="156"/>
      <c r="N93" s="66"/>
      <c r="O93" s="66"/>
      <c r="P93" s="113">
        <v>114027.71037207001</v>
      </c>
      <c r="Q93" s="1892">
        <v>129974.43080412001</v>
      </c>
      <c r="R93" s="161">
        <v>37280.896192619337</v>
      </c>
      <c r="S93" s="161">
        <v>100658.41972007231</v>
      </c>
      <c r="T93" s="161">
        <v>151308.60656468934</v>
      </c>
      <c r="U93" s="161">
        <v>167255.32699673934</v>
      </c>
      <c r="V93" s="1887">
        <v>214686.13009214232</v>
      </c>
      <c r="W93" s="1887">
        <v>230632.85052419233</v>
      </c>
      <c r="Y93" s="65" t="str">
        <f t="shared" si="5"/>
        <v>ВКВТХ.100.300.2850.12ТП.24V</v>
      </c>
    </row>
    <row r="94" spans="1:25" ht="16.5" customHeight="1" thickBot="1">
      <c r="A94" s="48" t="s">
        <v>47</v>
      </c>
      <c r="B94" s="49">
        <f t="shared" si="0"/>
        <v>100</v>
      </c>
      <c r="C94" s="49" t="s">
        <v>3</v>
      </c>
      <c r="D94" s="49">
        <f t="shared" si="1"/>
        <v>300</v>
      </c>
      <c r="E94" s="49" t="s">
        <v>3</v>
      </c>
      <c r="F94" s="50">
        <f t="shared" si="4"/>
        <v>2900</v>
      </c>
      <c r="G94" s="49" t="s">
        <v>3</v>
      </c>
      <c r="H94" s="49">
        <v>12</v>
      </c>
      <c r="I94" s="52" t="s">
        <v>531</v>
      </c>
      <c r="J94" s="1886">
        <v>100</v>
      </c>
      <c r="K94" s="66">
        <v>300</v>
      </c>
      <c r="L94" s="66">
        <v>2900</v>
      </c>
      <c r="M94" s="156"/>
      <c r="N94" s="66"/>
      <c r="O94" s="66"/>
      <c r="P94" s="113">
        <v>115403.16849698999</v>
      </c>
      <c r="Q94" s="1892">
        <v>131576.15553264003</v>
      </c>
      <c r="R94" s="161">
        <v>38055.87202445414</v>
      </c>
      <c r="S94" s="161">
        <v>102750.85446602642</v>
      </c>
      <c r="T94" s="161">
        <v>153459.04052144414</v>
      </c>
      <c r="U94" s="161">
        <v>169632.02755709417</v>
      </c>
      <c r="V94" s="1887">
        <v>218154.02296301641</v>
      </c>
      <c r="W94" s="1887">
        <v>234327.00999866644</v>
      </c>
      <c r="Y94" s="65" t="str">
        <f t="shared" si="5"/>
        <v>ВКВТХ.100.300.2900.12ТП.24V</v>
      </c>
    </row>
    <row r="95" spans="1:25" ht="16.5" customHeight="1" thickBot="1">
      <c r="A95" s="48" t="s">
        <v>47</v>
      </c>
      <c r="B95" s="49">
        <f t="shared" si="0"/>
        <v>100</v>
      </c>
      <c r="C95" s="49" t="s">
        <v>3</v>
      </c>
      <c r="D95" s="49">
        <f t="shared" si="1"/>
        <v>300</v>
      </c>
      <c r="E95" s="49" t="s">
        <v>3</v>
      </c>
      <c r="F95" s="50">
        <f t="shared" si="4"/>
        <v>2950</v>
      </c>
      <c r="G95" s="49" t="s">
        <v>3</v>
      </c>
      <c r="H95" s="49">
        <v>12</v>
      </c>
      <c r="I95" s="52" t="s">
        <v>531</v>
      </c>
      <c r="J95" s="1886">
        <v>100</v>
      </c>
      <c r="K95" s="66">
        <v>300</v>
      </c>
      <c r="L95" s="66">
        <v>2950</v>
      </c>
      <c r="M95" s="156"/>
      <c r="N95" s="66"/>
      <c r="O95" s="66"/>
      <c r="P95" s="113">
        <v>117408.37591714</v>
      </c>
      <c r="Q95" s="1892">
        <v>133833.65211720002</v>
      </c>
      <c r="R95" s="161">
        <v>38579.513712661013</v>
      </c>
      <c r="S95" s="161">
        <v>104164.68702418492</v>
      </c>
      <c r="T95" s="161">
        <v>155987.88962980101</v>
      </c>
      <c r="U95" s="161">
        <v>172413.16582986104</v>
      </c>
      <c r="V95" s="1887">
        <v>221573.06294132493</v>
      </c>
      <c r="W95" s="1887">
        <v>237998.33914138493</v>
      </c>
      <c r="Y95" s="65" t="str">
        <f t="shared" si="5"/>
        <v>ВКВТХ.100.300.2950.12ТП.24V</v>
      </c>
    </row>
    <row r="96" spans="1:25" ht="16.5" customHeight="1" thickBot="1">
      <c r="A96" s="55" t="s">
        <v>47</v>
      </c>
      <c r="B96" s="56">
        <f t="shared" si="0"/>
        <v>100</v>
      </c>
      <c r="C96" s="56" t="s">
        <v>3</v>
      </c>
      <c r="D96" s="56">
        <f t="shared" si="1"/>
        <v>300</v>
      </c>
      <c r="E96" s="56" t="s">
        <v>3</v>
      </c>
      <c r="F96" s="57">
        <f t="shared" si="4"/>
        <v>3000</v>
      </c>
      <c r="G96" s="56" t="s">
        <v>3</v>
      </c>
      <c r="H96" s="56">
        <v>12</v>
      </c>
      <c r="I96" s="1888" t="s">
        <v>531</v>
      </c>
      <c r="J96" s="1889">
        <v>100</v>
      </c>
      <c r="K96" s="266">
        <v>300</v>
      </c>
      <c r="L96" s="266">
        <v>3000</v>
      </c>
      <c r="M96" s="281"/>
      <c r="N96" s="266"/>
      <c r="O96" s="266"/>
      <c r="P96" s="251">
        <v>118903.34537422001</v>
      </c>
      <c r="Q96" s="1893">
        <v>135559.82666268002</v>
      </c>
      <c r="R96" s="283">
        <v>39354.489544495969</v>
      </c>
      <c r="S96" s="283">
        <v>106257.12177013903</v>
      </c>
      <c r="T96" s="283">
        <v>158257.83491871599</v>
      </c>
      <c r="U96" s="283">
        <v>174914.31620717599</v>
      </c>
      <c r="V96" s="1890">
        <v>225160.46714435902</v>
      </c>
      <c r="W96" s="1890">
        <v>241816.94843281904</v>
      </c>
      <c r="Y96" s="65" t="str">
        <f t="shared" si="5"/>
        <v>ВКВТХ.100.300.3000.12ТП.24V</v>
      </c>
    </row>
    <row r="97" spans="1:25" ht="16.5" customHeight="1">
      <c r="A97" s="3080" t="s">
        <v>475</v>
      </c>
      <c r="B97" s="3081"/>
      <c r="C97" s="3081"/>
      <c r="D97" s="3081"/>
      <c r="E97" s="3081"/>
      <c r="F97" s="3081"/>
      <c r="G97" s="3081"/>
      <c r="H97" s="3081"/>
      <c r="I97" s="3081"/>
      <c r="J97" s="3081"/>
      <c r="K97" s="3081"/>
      <c r="L97" s="3081"/>
      <c r="M97" s="3081"/>
      <c r="N97" s="3081"/>
      <c r="O97" s="3081"/>
      <c r="P97" s="3081"/>
      <c r="Q97" s="3081"/>
      <c r="R97" s="3081"/>
      <c r="S97" s="3081"/>
      <c r="T97" s="3081"/>
      <c r="U97" s="3081"/>
      <c r="V97" s="3081"/>
      <c r="W97" s="3082"/>
      <c r="Y97" s="65"/>
    </row>
    <row r="98" spans="1:25" ht="16.5" customHeight="1" thickBot="1">
      <c r="A98" s="3083"/>
      <c r="B98" s="3018"/>
      <c r="C98" s="3018"/>
      <c r="D98" s="3018"/>
      <c r="E98" s="3018"/>
      <c r="F98" s="3018"/>
      <c r="G98" s="3018"/>
      <c r="H98" s="3018"/>
      <c r="I98" s="3018"/>
      <c r="J98" s="3018"/>
      <c r="K98" s="3018"/>
      <c r="L98" s="3018"/>
      <c r="M98" s="3018"/>
      <c r="N98" s="3018"/>
      <c r="O98" s="3018"/>
      <c r="P98" s="3018"/>
      <c r="Q98" s="3018"/>
      <c r="R98" s="3018"/>
      <c r="S98" s="3018"/>
      <c r="T98" s="3018"/>
      <c r="U98" s="3018"/>
      <c r="V98" s="3018"/>
      <c r="W98" s="3019"/>
      <c r="Y98" s="65"/>
    </row>
    <row r="99" spans="1:25" ht="16.5" customHeight="1" thickBot="1">
      <c r="A99" s="53" t="s">
        <v>47</v>
      </c>
      <c r="B99" s="51">
        <f t="shared" ref="B99:B141" si="6">J99</f>
        <v>100</v>
      </c>
      <c r="C99" s="51" t="s">
        <v>3</v>
      </c>
      <c r="D99" s="51">
        <f t="shared" ref="D99:D141" si="7">K99</f>
        <v>360</v>
      </c>
      <c r="E99" s="51" t="s">
        <v>3</v>
      </c>
      <c r="F99" s="54">
        <f t="shared" ref="F99:F141" si="8">L99</f>
        <v>900</v>
      </c>
      <c r="G99" s="51" t="s">
        <v>3</v>
      </c>
      <c r="H99" s="51">
        <v>12</v>
      </c>
      <c r="I99" s="52" t="s">
        <v>531</v>
      </c>
      <c r="J99" s="1886">
        <v>100</v>
      </c>
      <c r="K99" s="271">
        <v>360</v>
      </c>
      <c r="L99" s="271">
        <v>900</v>
      </c>
      <c r="M99" s="282"/>
      <c r="N99" s="271"/>
      <c r="O99" s="271"/>
      <c r="P99" s="247">
        <v>41053.183736619998</v>
      </c>
      <c r="Q99" s="1891">
        <v>47949.112755180002</v>
      </c>
      <c r="R99" s="170">
        <v>14155.954550702281</v>
      </c>
      <c r="S99" s="170">
        <v>41052.268197036625</v>
      </c>
      <c r="T99" s="170">
        <v>55209.138287322276</v>
      </c>
      <c r="U99" s="170">
        <v>62105.067305882287</v>
      </c>
      <c r="V99" s="1887">
        <v>82105.451933656615</v>
      </c>
      <c r="W99" s="1887">
        <v>89001.380952216627</v>
      </c>
      <c r="Y99" s="65" t="str">
        <f t="shared" si="5"/>
        <v>ВКВТХ.100.360.900.12ТП.24V</v>
      </c>
    </row>
    <row r="100" spans="1:25" ht="16.5" customHeight="1" thickBot="1">
      <c r="A100" s="48" t="s">
        <v>47</v>
      </c>
      <c r="B100" s="49">
        <f t="shared" si="6"/>
        <v>100</v>
      </c>
      <c r="C100" s="49" t="s">
        <v>3</v>
      </c>
      <c r="D100" s="49">
        <f t="shared" si="7"/>
        <v>360</v>
      </c>
      <c r="E100" s="49" t="s">
        <v>3</v>
      </c>
      <c r="F100" s="50">
        <f t="shared" si="8"/>
        <v>950</v>
      </c>
      <c r="G100" s="49" t="s">
        <v>3</v>
      </c>
      <c r="H100" s="49">
        <v>12</v>
      </c>
      <c r="I100" s="52" t="s">
        <v>531</v>
      </c>
      <c r="J100" s="1886">
        <v>100</v>
      </c>
      <c r="K100" s="66">
        <v>360</v>
      </c>
      <c r="L100" s="66">
        <v>950</v>
      </c>
      <c r="M100" s="156"/>
      <c r="N100" s="66"/>
      <c r="O100" s="66"/>
      <c r="P100" s="113">
        <v>42049.483038749997</v>
      </c>
      <c r="Q100" s="1892">
        <v>49177.548462420011</v>
      </c>
      <c r="R100" s="161">
        <v>15010.70958711156</v>
      </c>
      <c r="S100" s="161">
        <v>43531.057802623596</v>
      </c>
      <c r="T100" s="161">
        <v>57060.192625861557</v>
      </c>
      <c r="U100" s="161">
        <v>64188.258049531571</v>
      </c>
      <c r="V100" s="1887">
        <v>85580.540841373586</v>
      </c>
      <c r="W100" s="1887">
        <v>92708.606265043607</v>
      </c>
      <c r="Y100" s="65" t="str">
        <f t="shared" si="5"/>
        <v>ВКВТХ.100.360.950.12ТП.24V</v>
      </c>
    </row>
    <row r="101" spans="1:25" ht="16.5" customHeight="1" thickBot="1">
      <c r="A101" s="48" t="s">
        <v>47</v>
      </c>
      <c r="B101" s="49">
        <f t="shared" si="6"/>
        <v>100</v>
      </c>
      <c r="C101" s="49" t="s">
        <v>3</v>
      </c>
      <c r="D101" s="49">
        <f t="shared" si="7"/>
        <v>360</v>
      </c>
      <c r="E101" s="49" t="s">
        <v>3</v>
      </c>
      <c r="F101" s="50">
        <f t="shared" si="8"/>
        <v>1000</v>
      </c>
      <c r="G101" s="49" t="s">
        <v>3</v>
      </c>
      <c r="H101" s="49">
        <v>12</v>
      </c>
      <c r="I101" s="52" t="s">
        <v>531</v>
      </c>
      <c r="J101" s="1886">
        <v>100</v>
      </c>
      <c r="K101" s="66">
        <v>360</v>
      </c>
      <c r="L101" s="66">
        <v>1000</v>
      </c>
      <c r="M101" s="156"/>
      <c r="N101" s="66"/>
      <c r="O101" s="66"/>
      <c r="P101" s="113">
        <v>45024.565599529997</v>
      </c>
      <c r="Q101" s="1892">
        <v>52466.535331560008</v>
      </c>
      <c r="R101" s="161">
        <v>15614.130479892932</v>
      </c>
      <c r="S101" s="161">
        <v>45280.978391689547</v>
      </c>
      <c r="T101" s="161">
        <v>60638.696079422931</v>
      </c>
      <c r="U101" s="161">
        <v>68080.665811452942</v>
      </c>
      <c r="V101" s="1887">
        <v>90305.543991219543</v>
      </c>
      <c r="W101" s="1887">
        <v>97747.513723249547</v>
      </c>
      <c r="Y101" s="65" t="str">
        <f t="shared" si="5"/>
        <v>ВКВТХ.100.360.1000.12ТП.24V</v>
      </c>
    </row>
    <row r="102" spans="1:25" ht="16.5" customHeight="1" thickBot="1">
      <c r="A102" s="48" t="s">
        <v>47</v>
      </c>
      <c r="B102" s="49">
        <f t="shared" si="6"/>
        <v>100</v>
      </c>
      <c r="C102" s="49" t="s">
        <v>3</v>
      </c>
      <c r="D102" s="49">
        <f t="shared" si="7"/>
        <v>360</v>
      </c>
      <c r="E102" s="49" t="s">
        <v>3</v>
      </c>
      <c r="F102" s="50">
        <f t="shared" si="8"/>
        <v>1050</v>
      </c>
      <c r="G102" s="49" t="s">
        <v>3</v>
      </c>
      <c r="H102" s="49">
        <v>12</v>
      </c>
      <c r="I102" s="52" t="s">
        <v>531</v>
      </c>
      <c r="J102" s="1886">
        <v>100</v>
      </c>
      <c r="K102" s="66">
        <v>360</v>
      </c>
      <c r="L102" s="66">
        <v>1050</v>
      </c>
      <c r="M102" s="156"/>
      <c r="N102" s="66"/>
      <c r="O102" s="66"/>
      <c r="P102" s="113">
        <v>47923.094588159998</v>
      </c>
      <c r="Q102" s="1892">
        <v>55675.805257800006</v>
      </c>
      <c r="R102" s="161">
        <v>16468.885516302194</v>
      </c>
      <c r="S102" s="161">
        <v>47759.767997276365</v>
      </c>
      <c r="T102" s="161">
        <v>64391.980104462193</v>
      </c>
      <c r="U102" s="161">
        <v>72144.690774102201</v>
      </c>
      <c r="V102" s="1887">
        <v>95682.862585436364</v>
      </c>
      <c r="W102" s="1887">
        <v>103435.57325507636</v>
      </c>
      <c r="Y102" s="65" t="str">
        <f t="shared" si="5"/>
        <v>ВКВТХ.100.360.1050.12ТП.24V</v>
      </c>
    </row>
    <row r="103" spans="1:25" ht="16.5" customHeight="1" thickBot="1">
      <c r="A103" s="48" t="s">
        <v>47</v>
      </c>
      <c r="B103" s="49">
        <f t="shared" si="6"/>
        <v>100</v>
      </c>
      <c r="C103" s="49" t="s">
        <v>3</v>
      </c>
      <c r="D103" s="49">
        <f t="shared" si="7"/>
        <v>360</v>
      </c>
      <c r="E103" s="49" t="s">
        <v>3</v>
      </c>
      <c r="F103" s="50">
        <f t="shared" si="8"/>
        <v>1100</v>
      </c>
      <c r="G103" s="49" t="s">
        <v>3</v>
      </c>
      <c r="H103" s="49">
        <v>12</v>
      </c>
      <c r="I103" s="52" t="s">
        <v>531</v>
      </c>
      <c r="J103" s="1886">
        <v>100</v>
      </c>
      <c r="K103" s="66">
        <v>360</v>
      </c>
      <c r="L103" s="66">
        <v>1100</v>
      </c>
      <c r="M103" s="156"/>
      <c r="N103" s="66"/>
      <c r="O103" s="66"/>
      <c r="P103" s="113">
        <v>50821.623576789993</v>
      </c>
      <c r="Q103" s="1892">
        <v>58885.075184040012</v>
      </c>
      <c r="R103" s="161">
        <v>17072.306409083521</v>
      </c>
      <c r="S103" s="161">
        <v>49509.688586342316</v>
      </c>
      <c r="T103" s="161">
        <v>67893.929985873518</v>
      </c>
      <c r="U103" s="161">
        <v>75957.381593123529</v>
      </c>
      <c r="V103" s="1887">
        <v>100331.3121631323</v>
      </c>
      <c r="W103" s="1887">
        <v>108394.76377038233</v>
      </c>
      <c r="Y103" s="65" t="str">
        <f t="shared" si="5"/>
        <v>ВКВТХ.100.360.1100.12ТП.24V</v>
      </c>
    </row>
    <row r="104" spans="1:25" ht="16.5" customHeight="1" thickBot="1">
      <c r="A104" s="48" t="s">
        <v>47</v>
      </c>
      <c r="B104" s="49">
        <f t="shared" si="6"/>
        <v>100</v>
      </c>
      <c r="C104" s="49" t="s">
        <v>3</v>
      </c>
      <c r="D104" s="49">
        <f t="shared" si="7"/>
        <v>360</v>
      </c>
      <c r="E104" s="49" t="s">
        <v>3</v>
      </c>
      <c r="F104" s="50">
        <f t="shared" si="8"/>
        <v>1150</v>
      </c>
      <c r="G104" s="49" t="s">
        <v>3</v>
      </c>
      <c r="H104" s="49">
        <v>12</v>
      </c>
      <c r="I104" s="52" t="s">
        <v>531</v>
      </c>
      <c r="J104" s="1886">
        <v>100</v>
      </c>
      <c r="K104" s="66">
        <v>360</v>
      </c>
      <c r="L104" s="66">
        <v>1150</v>
      </c>
      <c r="M104" s="156"/>
      <c r="N104" s="66"/>
      <c r="O104" s="66"/>
      <c r="P104" s="113">
        <v>54166.119080700002</v>
      </c>
      <c r="Q104" s="1892">
        <v>62612.361650160012</v>
      </c>
      <c r="R104" s="161">
        <v>17675.727301864998</v>
      </c>
      <c r="S104" s="161">
        <v>51259.609175408266</v>
      </c>
      <c r="T104" s="161">
        <v>71841.846382564996</v>
      </c>
      <c r="U104" s="161">
        <v>80288.088952025006</v>
      </c>
      <c r="V104" s="1887">
        <v>105425.72825610827</v>
      </c>
      <c r="W104" s="1887">
        <v>113871.97082556828</v>
      </c>
      <c r="Y104" s="65" t="str">
        <f t="shared" si="5"/>
        <v>ВКВТХ.100.360.1150.12ТП.24V</v>
      </c>
    </row>
    <row r="105" spans="1:25" ht="16.5" thickBot="1">
      <c r="A105" s="48" t="s">
        <v>47</v>
      </c>
      <c r="B105" s="49">
        <f t="shared" si="6"/>
        <v>100</v>
      </c>
      <c r="C105" s="49" t="s">
        <v>3</v>
      </c>
      <c r="D105" s="49">
        <f t="shared" si="7"/>
        <v>360</v>
      </c>
      <c r="E105" s="49" t="s">
        <v>3</v>
      </c>
      <c r="F105" s="50">
        <f t="shared" si="8"/>
        <v>1200</v>
      </c>
      <c r="G105" s="49" t="s">
        <v>3</v>
      </c>
      <c r="H105" s="49">
        <v>12</v>
      </c>
      <c r="I105" s="52" t="s">
        <v>531</v>
      </c>
      <c r="J105" s="1886">
        <v>100</v>
      </c>
      <c r="K105" s="66">
        <v>360</v>
      </c>
      <c r="L105" s="66">
        <v>1200</v>
      </c>
      <c r="M105" s="156"/>
      <c r="N105" s="66"/>
      <c r="O105" s="66"/>
      <c r="P105" s="113">
        <v>57064.648069329996</v>
      </c>
      <c r="Q105" s="1892">
        <v>65821.631576400017</v>
      </c>
      <c r="R105" s="161">
        <v>18530.482338274265</v>
      </c>
      <c r="S105" s="161">
        <v>53738.398780995238</v>
      </c>
      <c r="T105" s="161">
        <v>75595.130407604258</v>
      </c>
      <c r="U105" s="161">
        <v>84352.113914674279</v>
      </c>
      <c r="V105" s="1887">
        <v>110803.04685032523</v>
      </c>
      <c r="W105" s="1887">
        <v>119560.03035739526</v>
      </c>
      <c r="Y105" s="65" t="str">
        <f t="shared" si="5"/>
        <v>ВКВТХ.100.360.1200.12ТП.24V</v>
      </c>
    </row>
    <row r="106" spans="1:25" ht="16.5" thickBot="1">
      <c r="A106" s="48" t="s">
        <v>47</v>
      </c>
      <c r="B106" s="49">
        <f t="shared" si="6"/>
        <v>100</v>
      </c>
      <c r="C106" s="49" t="s">
        <v>3</v>
      </c>
      <c r="D106" s="49">
        <f t="shared" si="7"/>
        <v>360</v>
      </c>
      <c r="E106" s="49" t="s">
        <v>3</v>
      </c>
      <c r="F106" s="50">
        <f t="shared" si="8"/>
        <v>1250</v>
      </c>
      <c r="G106" s="49" t="s">
        <v>3</v>
      </c>
      <c r="H106" s="49">
        <v>12</v>
      </c>
      <c r="I106" s="52" t="s">
        <v>531</v>
      </c>
      <c r="J106" s="1886">
        <v>100</v>
      </c>
      <c r="K106" s="66">
        <v>360</v>
      </c>
      <c r="L106" s="66">
        <v>1250</v>
      </c>
      <c r="M106" s="156"/>
      <c r="N106" s="66"/>
      <c r="O106" s="66"/>
      <c r="P106" s="113">
        <v>59963.177057959998</v>
      </c>
      <c r="Q106" s="1892">
        <v>69030.901502640016</v>
      </c>
      <c r="R106" s="161">
        <v>19133.903231055589</v>
      </c>
      <c r="S106" s="161">
        <v>55488.319370061188</v>
      </c>
      <c r="T106" s="161">
        <v>79097.08028901559</v>
      </c>
      <c r="U106" s="161">
        <v>88164.804733695608</v>
      </c>
      <c r="V106" s="1887">
        <v>115451.49642802119</v>
      </c>
      <c r="W106" s="1887">
        <v>124519.2208727012</v>
      </c>
      <c r="Y106" s="65" t="str">
        <f t="shared" si="5"/>
        <v>ВКВТХ.100.360.1250.12ТП.24V</v>
      </c>
    </row>
    <row r="107" spans="1:25" ht="16.5" thickBot="1">
      <c r="A107" s="48" t="s">
        <v>47</v>
      </c>
      <c r="B107" s="49">
        <f t="shared" si="6"/>
        <v>100</v>
      </c>
      <c r="C107" s="49" t="s">
        <v>3</v>
      </c>
      <c r="D107" s="49">
        <f t="shared" si="7"/>
        <v>360</v>
      </c>
      <c r="E107" s="49" t="s">
        <v>3</v>
      </c>
      <c r="F107" s="50">
        <f t="shared" si="8"/>
        <v>1300</v>
      </c>
      <c r="G107" s="49" t="s">
        <v>3</v>
      </c>
      <c r="H107" s="49">
        <v>12</v>
      </c>
      <c r="I107" s="52" t="s">
        <v>531</v>
      </c>
      <c r="J107" s="1886">
        <v>100</v>
      </c>
      <c r="K107" s="66">
        <v>360</v>
      </c>
      <c r="L107" s="66">
        <v>1300</v>
      </c>
      <c r="M107" s="156"/>
      <c r="N107" s="66"/>
      <c r="O107" s="66"/>
      <c r="P107" s="113">
        <v>62861.706046589999</v>
      </c>
      <c r="Q107" s="1892">
        <v>72240.171428880014</v>
      </c>
      <c r="R107" s="161">
        <v>19988.658267464849</v>
      </c>
      <c r="S107" s="161">
        <v>57967.10897564816</v>
      </c>
      <c r="T107" s="161">
        <v>82850.364314054852</v>
      </c>
      <c r="U107" s="161">
        <v>92228.829696344867</v>
      </c>
      <c r="V107" s="1887">
        <v>120828.81502223815</v>
      </c>
      <c r="W107" s="1887">
        <v>130207.28040452817</v>
      </c>
      <c r="Y107" s="65" t="str">
        <f t="shared" si="5"/>
        <v>ВКВТХ.100.360.1300.12ТП.24V</v>
      </c>
    </row>
    <row r="108" spans="1:25" ht="16.5" thickBot="1">
      <c r="A108" s="48" t="s">
        <v>47</v>
      </c>
      <c r="B108" s="49">
        <f t="shared" si="6"/>
        <v>100</v>
      </c>
      <c r="C108" s="49" t="s">
        <v>3</v>
      </c>
      <c r="D108" s="49">
        <f t="shared" si="7"/>
        <v>360</v>
      </c>
      <c r="E108" s="49" t="s">
        <v>3</v>
      </c>
      <c r="F108" s="50">
        <f t="shared" si="8"/>
        <v>1350</v>
      </c>
      <c r="G108" s="49" t="s">
        <v>3</v>
      </c>
      <c r="H108" s="49">
        <v>12</v>
      </c>
      <c r="I108" s="52" t="s">
        <v>531</v>
      </c>
      <c r="J108" s="1886">
        <v>100</v>
      </c>
      <c r="K108" s="66">
        <v>360</v>
      </c>
      <c r="L108" s="66">
        <v>1350</v>
      </c>
      <c r="M108" s="156"/>
      <c r="N108" s="66"/>
      <c r="O108" s="66"/>
      <c r="P108" s="113">
        <v>65760.235035220001</v>
      </c>
      <c r="Q108" s="1892">
        <v>75449.441355120012</v>
      </c>
      <c r="R108" s="161">
        <v>20592.079160246176</v>
      </c>
      <c r="S108" s="161">
        <v>59717.02956471411</v>
      </c>
      <c r="T108" s="161">
        <v>86352.31419546617</v>
      </c>
      <c r="U108" s="161">
        <v>96041.520515366195</v>
      </c>
      <c r="V108" s="1887">
        <v>125477.2645999341</v>
      </c>
      <c r="W108" s="1887">
        <v>135166.47091983413</v>
      </c>
      <c r="Y108" s="65" t="str">
        <f t="shared" si="5"/>
        <v>ВКВТХ.100.360.1350.12ТП.24V</v>
      </c>
    </row>
    <row r="109" spans="1:25" ht="16.5" thickBot="1">
      <c r="A109" s="48" t="s">
        <v>47</v>
      </c>
      <c r="B109" s="49">
        <f t="shared" si="6"/>
        <v>100</v>
      </c>
      <c r="C109" s="49" t="s">
        <v>3</v>
      </c>
      <c r="D109" s="49">
        <f t="shared" si="7"/>
        <v>360</v>
      </c>
      <c r="E109" s="49" t="s">
        <v>3</v>
      </c>
      <c r="F109" s="50">
        <f t="shared" si="8"/>
        <v>1400</v>
      </c>
      <c r="G109" s="49" t="s">
        <v>3</v>
      </c>
      <c r="H109" s="49">
        <v>12</v>
      </c>
      <c r="I109" s="52" t="s">
        <v>531</v>
      </c>
      <c r="J109" s="1886">
        <v>100</v>
      </c>
      <c r="K109" s="66">
        <v>360</v>
      </c>
      <c r="L109" s="66">
        <v>1400</v>
      </c>
      <c r="M109" s="156"/>
      <c r="N109" s="66"/>
      <c r="O109" s="66"/>
      <c r="P109" s="113">
        <v>67559.437265539993</v>
      </c>
      <c r="Q109" s="1892">
        <v>77529.802438620012</v>
      </c>
      <c r="R109" s="161">
        <v>21446.834196655593</v>
      </c>
      <c r="S109" s="161">
        <v>62195.819170301089</v>
      </c>
      <c r="T109" s="161">
        <v>89006.271462195582</v>
      </c>
      <c r="U109" s="161">
        <v>98976.636635275601</v>
      </c>
      <c r="V109" s="1887">
        <v>129755.25643584109</v>
      </c>
      <c r="W109" s="1887">
        <v>139725.62160892109</v>
      </c>
      <c r="Y109" s="65" t="str">
        <f t="shared" si="5"/>
        <v>ВКВТХ.100.360.1400.12ТП.24V</v>
      </c>
    </row>
    <row r="110" spans="1:25" ht="16.5" thickBot="1">
      <c r="A110" s="48" t="s">
        <v>47</v>
      </c>
      <c r="B110" s="49">
        <f t="shared" si="6"/>
        <v>100</v>
      </c>
      <c r="C110" s="49" t="s">
        <v>3</v>
      </c>
      <c r="D110" s="49">
        <f t="shared" si="7"/>
        <v>360</v>
      </c>
      <c r="E110" s="49" t="s">
        <v>3</v>
      </c>
      <c r="F110" s="50">
        <f t="shared" si="8"/>
        <v>1450</v>
      </c>
      <c r="G110" s="49" t="s">
        <v>3</v>
      </c>
      <c r="H110" s="49">
        <v>12</v>
      </c>
      <c r="I110" s="52" t="s">
        <v>531</v>
      </c>
      <c r="J110" s="1886">
        <v>100</v>
      </c>
      <c r="K110" s="66">
        <v>360</v>
      </c>
      <c r="L110" s="66">
        <v>1450</v>
      </c>
      <c r="M110" s="156"/>
      <c r="N110" s="66"/>
      <c r="O110" s="66"/>
      <c r="P110" s="113">
        <v>69427.55729646</v>
      </c>
      <c r="Q110" s="1892">
        <v>79666.084661940011</v>
      </c>
      <c r="R110" s="161">
        <v>22050.25508943692</v>
      </c>
      <c r="S110" s="161">
        <v>63945.739759367032</v>
      </c>
      <c r="T110" s="161">
        <v>91477.812385896919</v>
      </c>
      <c r="U110" s="161">
        <v>101716.33975137693</v>
      </c>
      <c r="V110" s="1887">
        <v>133373.29705582705</v>
      </c>
      <c r="W110" s="1887">
        <v>143611.82442130704</v>
      </c>
      <c r="Y110" s="65" t="str">
        <f t="shared" si="5"/>
        <v>ВКВТХ.100.360.1450.12ТП.24V</v>
      </c>
    </row>
    <row r="111" spans="1:25" ht="16.5" thickBot="1">
      <c r="A111" s="48" t="s">
        <v>47</v>
      </c>
      <c r="B111" s="49">
        <f t="shared" si="6"/>
        <v>100</v>
      </c>
      <c r="C111" s="49" t="s">
        <v>3</v>
      </c>
      <c r="D111" s="49">
        <f t="shared" si="7"/>
        <v>360</v>
      </c>
      <c r="E111" s="49" t="s">
        <v>3</v>
      </c>
      <c r="F111" s="50">
        <f t="shared" si="8"/>
        <v>1500</v>
      </c>
      <c r="G111" s="49" t="s">
        <v>3</v>
      </c>
      <c r="H111" s="49">
        <v>12</v>
      </c>
      <c r="I111" s="52" t="s">
        <v>531</v>
      </c>
      <c r="J111" s="1886">
        <v>100</v>
      </c>
      <c r="K111" s="66">
        <v>360</v>
      </c>
      <c r="L111" s="66">
        <v>1500</v>
      </c>
      <c r="M111" s="156"/>
      <c r="N111" s="66"/>
      <c r="O111" s="66"/>
      <c r="P111" s="113">
        <v>71420.766551420005</v>
      </c>
      <c r="Q111" s="1892">
        <v>81932.62494816001</v>
      </c>
      <c r="R111" s="161">
        <v>22905.010125846184</v>
      </c>
      <c r="S111" s="161">
        <v>66424.529364953851</v>
      </c>
      <c r="T111" s="161">
        <v>94325.776677266185</v>
      </c>
      <c r="U111" s="161">
        <v>104837.63507400619</v>
      </c>
      <c r="V111" s="1887">
        <v>137845.29591637384</v>
      </c>
      <c r="W111" s="1887">
        <v>148357.15431311386</v>
      </c>
      <c r="Y111" s="65" t="str">
        <f t="shared" si="5"/>
        <v>ВКВТХ.100.360.1500.12ТП.24V</v>
      </c>
    </row>
    <row r="112" spans="1:25" ht="16.5" thickBot="1">
      <c r="A112" s="48" t="s">
        <v>47</v>
      </c>
      <c r="B112" s="49">
        <f t="shared" si="6"/>
        <v>100</v>
      </c>
      <c r="C112" s="49" t="s">
        <v>3</v>
      </c>
      <c r="D112" s="49">
        <f t="shared" si="7"/>
        <v>360</v>
      </c>
      <c r="E112" s="49" t="s">
        <v>3</v>
      </c>
      <c r="F112" s="50">
        <f t="shared" si="8"/>
        <v>1550</v>
      </c>
      <c r="G112" s="49" t="s">
        <v>3</v>
      </c>
      <c r="H112" s="49">
        <v>12</v>
      </c>
      <c r="I112" s="52" t="s">
        <v>531</v>
      </c>
      <c r="J112" s="1886">
        <v>100</v>
      </c>
      <c r="K112" s="66">
        <v>360</v>
      </c>
      <c r="L112" s="66">
        <v>1550</v>
      </c>
      <c r="M112" s="156"/>
      <c r="N112" s="66"/>
      <c r="O112" s="66"/>
      <c r="P112" s="113">
        <v>74004.090969600002</v>
      </c>
      <c r="Q112" s="1892">
        <v>84813.665321700013</v>
      </c>
      <c r="R112" s="161">
        <v>23508.431018627507</v>
      </c>
      <c r="S112" s="161">
        <v>68174.449954019801</v>
      </c>
      <c r="T112" s="161">
        <v>97512.521988227512</v>
      </c>
      <c r="U112" s="161">
        <v>108322.09634032752</v>
      </c>
      <c r="V112" s="1887">
        <v>142178.54092361982</v>
      </c>
      <c r="W112" s="1887">
        <v>152988.11527571981</v>
      </c>
      <c r="Y112" s="65" t="str">
        <f t="shared" si="5"/>
        <v>ВКВТХ.100.360.1550.12ТП.24V</v>
      </c>
    </row>
    <row r="113" spans="1:25" ht="16.5" thickBot="1">
      <c r="A113" s="48" t="s">
        <v>47</v>
      </c>
      <c r="B113" s="49">
        <f t="shared" si="6"/>
        <v>100</v>
      </c>
      <c r="C113" s="49" t="s">
        <v>3</v>
      </c>
      <c r="D113" s="49">
        <f t="shared" si="7"/>
        <v>360</v>
      </c>
      <c r="E113" s="49" t="s">
        <v>3</v>
      </c>
      <c r="F113" s="50">
        <f t="shared" si="8"/>
        <v>1600</v>
      </c>
      <c r="G113" s="49" t="s">
        <v>3</v>
      </c>
      <c r="H113" s="49">
        <v>12</v>
      </c>
      <c r="I113" s="52" t="s">
        <v>531</v>
      </c>
      <c r="J113" s="1886">
        <v>100</v>
      </c>
      <c r="K113" s="66">
        <v>360</v>
      </c>
      <c r="L113" s="66">
        <v>1600</v>
      </c>
      <c r="M113" s="156"/>
      <c r="N113" s="66"/>
      <c r="O113" s="66"/>
      <c r="P113" s="113">
        <v>75872.211132409997</v>
      </c>
      <c r="Q113" s="1892">
        <v>86949.947545020012</v>
      </c>
      <c r="R113" s="161">
        <v>24111.851911408834</v>
      </c>
      <c r="S113" s="161">
        <v>69924.370543085752</v>
      </c>
      <c r="T113" s="161">
        <v>99984.063043818838</v>
      </c>
      <c r="U113" s="161">
        <v>111061.79945642885</v>
      </c>
      <c r="V113" s="1887">
        <v>145796.58167549575</v>
      </c>
      <c r="W113" s="1887">
        <v>156874.31808810576</v>
      </c>
      <c r="Y113" s="65" t="str">
        <f t="shared" si="5"/>
        <v>ВКВТХ.100.360.1600.12ТП.24V</v>
      </c>
    </row>
    <row r="114" spans="1:25" ht="16.5" thickBot="1">
      <c r="A114" s="48" t="s">
        <v>47</v>
      </c>
      <c r="B114" s="49">
        <f t="shared" si="6"/>
        <v>100</v>
      </c>
      <c r="C114" s="49" t="s">
        <v>3</v>
      </c>
      <c r="D114" s="49">
        <f t="shared" si="7"/>
        <v>360</v>
      </c>
      <c r="E114" s="49" t="s">
        <v>3</v>
      </c>
      <c r="F114" s="50">
        <f t="shared" si="8"/>
        <v>1650</v>
      </c>
      <c r="G114" s="49" t="s">
        <v>3</v>
      </c>
      <c r="H114" s="49">
        <v>12</v>
      </c>
      <c r="I114" s="52" t="s">
        <v>531</v>
      </c>
      <c r="J114" s="1886">
        <v>100</v>
      </c>
      <c r="K114" s="66">
        <v>360</v>
      </c>
      <c r="L114" s="66">
        <v>1650</v>
      </c>
      <c r="M114" s="156"/>
      <c r="N114" s="66"/>
      <c r="O114" s="66"/>
      <c r="P114" s="113">
        <v>78186.297678610004</v>
      </c>
      <c r="Q114" s="1892">
        <v>89604.246170880011</v>
      </c>
      <c r="R114" s="161">
        <v>24966.606947818247</v>
      </c>
      <c r="S114" s="161">
        <v>72403.16014867273</v>
      </c>
      <c r="T114" s="161">
        <v>103152.90462642825</v>
      </c>
      <c r="U114" s="161">
        <v>114570.85311869826</v>
      </c>
      <c r="V114" s="1887">
        <v>150589.45782728272</v>
      </c>
      <c r="W114" s="1887">
        <v>162007.40631955274</v>
      </c>
      <c r="Y114" s="65" t="str">
        <f t="shared" si="5"/>
        <v>ВКВТХ.100.360.1650.12ТП.24V</v>
      </c>
    </row>
    <row r="115" spans="1:25" ht="16.5" thickBot="1">
      <c r="A115" s="48" t="s">
        <v>47</v>
      </c>
      <c r="B115" s="49">
        <f t="shared" si="6"/>
        <v>100</v>
      </c>
      <c r="C115" s="49" t="s">
        <v>3</v>
      </c>
      <c r="D115" s="49">
        <f t="shared" si="7"/>
        <v>360</v>
      </c>
      <c r="E115" s="49" t="s">
        <v>3</v>
      </c>
      <c r="F115" s="50">
        <f t="shared" si="8"/>
        <v>1700</v>
      </c>
      <c r="G115" s="49" t="s">
        <v>3</v>
      </c>
      <c r="H115" s="49">
        <v>12</v>
      </c>
      <c r="I115" s="52" t="s">
        <v>531</v>
      </c>
      <c r="J115" s="1886">
        <v>100</v>
      </c>
      <c r="K115" s="66">
        <v>360</v>
      </c>
      <c r="L115" s="66">
        <v>1700</v>
      </c>
      <c r="M115" s="156"/>
      <c r="N115" s="66"/>
      <c r="O115" s="66"/>
      <c r="P115" s="113">
        <v>80054.41784142</v>
      </c>
      <c r="Q115" s="1892">
        <v>91740.52839420001</v>
      </c>
      <c r="R115" s="161">
        <v>25570.027840599574</v>
      </c>
      <c r="S115" s="161">
        <v>74153.080737738681</v>
      </c>
      <c r="T115" s="161">
        <v>105624.44568201958</v>
      </c>
      <c r="U115" s="161">
        <v>117310.55623479959</v>
      </c>
      <c r="V115" s="1887">
        <v>154207.49857915868</v>
      </c>
      <c r="W115" s="1887">
        <v>165893.60913193869</v>
      </c>
      <c r="Y115" s="65" t="str">
        <f t="shared" si="5"/>
        <v>ВКВТХ.100.360.1700.12ТП.24V</v>
      </c>
    </row>
    <row r="116" spans="1:25" ht="16.5" thickBot="1">
      <c r="A116" s="48" t="s">
        <v>47</v>
      </c>
      <c r="B116" s="49">
        <f t="shared" si="6"/>
        <v>100</v>
      </c>
      <c r="C116" s="49" t="s">
        <v>3</v>
      </c>
      <c r="D116" s="49">
        <f t="shared" si="7"/>
        <v>360</v>
      </c>
      <c r="E116" s="49" t="s">
        <v>3</v>
      </c>
      <c r="F116" s="50">
        <f t="shared" si="8"/>
        <v>1750</v>
      </c>
      <c r="G116" s="49" t="s">
        <v>3</v>
      </c>
      <c r="H116" s="49">
        <v>12</v>
      </c>
      <c r="I116" s="52" t="s">
        <v>531</v>
      </c>
      <c r="J116" s="1886">
        <v>100</v>
      </c>
      <c r="K116" s="66">
        <v>360</v>
      </c>
      <c r="L116" s="66">
        <v>1750</v>
      </c>
      <c r="M116" s="156"/>
      <c r="N116" s="66"/>
      <c r="O116" s="66"/>
      <c r="P116" s="113">
        <v>81476.571488949994</v>
      </c>
      <c r="Q116" s="1892">
        <v>93358.794077640006</v>
      </c>
      <c r="R116" s="161">
        <v>26424.782877008838</v>
      </c>
      <c r="S116" s="161">
        <v>76631.870343325645</v>
      </c>
      <c r="T116" s="161">
        <v>107901.35436595883</v>
      </c>
      <c r="U116" s="161">
        <v>119783.57695464884</v>
      </c>
      <c r="V116" s="1887">
        <v>158108.44183227565</v>
      </c>
      <c r="W116" s="1887">
        <v>169990.66442096565</v>
      </c>
      <c r="Y116" s="65" t="str">
        <f t="shared" si="5"/>
        <v>ВКВТХ.100.360.1750.12ТП.24V</v>
      </c>
    </row>
    <row r="117" spans="1:25" ht="16.5" thickBot="1">
      <c r="A117" s="48" t="s">
        <v>47</v>
      </c>
      <c r="B117" s="49">
        <f t="shared" si="6"/>
        <v>100</v>
      </c>
      <c r="C117" s="49" t="s">
        <v>3</v>
      </c>
      <c r="D117" s="49">
        <f t="shared" si="7"/>
        <v>360</v>
      </c>
      <c r="E117" s="49" t="s">
        <v>3</v>
      </c>
      <c r="F117" s="50">
        <f t="shared" si="8"/>
        <v>1800</v>
      </c>
      <c r="G117" s="49" t="s">
        <v>3</v>
      </c>
      <c r="H117" s="49">
        <v>12</v>
      </c>
      <c r="I117" s="52" t="s">
        <v>531</v>
      </c>
      <c r="J117" s="1886">
        <v>100</v>
      </c>
      <c r="K117" s="66">
        <v>360</v>
      </c>
      <c r="L117" s="66">
        <v>1800</v>
      </c>
      <c r="M117" s="156"/>
      <c r="N117" s="66"/>
      <c r="O117" s="66"/>
      <c r="P117" s="113">
        <v>83344.691519870001</v>
      </c>
      <c r="Q117" s="1892">
        <v>95495.07630096002</v>
      </c>
      <c r="R117" s="161">
        <v>27028.203769790161</v>
      </c>
      <c r="S117" s="161">
        <v>78381.790932391596</v>
      </c>
      <c r="T117" s="161">
        <v>110372.89528966017</v>
      </c>
      <c r="U117" s="161">
        <v>122523.28007075019</v>
      </c>
      <c r="V117" s="1887">
        <v>161726.48245226161</v>
      </c>
      <c r="W117" s="1887">
        <v>173876.86723335163</v>
      </c>
      <c r="Y117" s="65" t="str">
        <f t="shared" si="5"/>
        <v>ВКВТХ.100.360.1800.12ТП.24V</v>
      </c>
    </row>
    <row r="118" spans="1:25" ht="16.5" thickBot="1">
      <c r="A118" s="48" t="s">
        <v>47</v>
      </c>
      <c r="B118" s="49">
        <f t="shared" si="6"/>
        <v>100</v>
      </c>
      <c r="C118" s="49" t="s">
        <v>3</v>
      </c>
      <c r="D118" s="49">
        <f t="shared" si="7"/>
        <v>360</v>
      </c>
      <c r="E118" s="49" t="s">
        <v>3</v>
      </c>
      <c r="F118" s="50">
        <f t="shared" si="8"/>
        <v>1850</v>
      </c>
      <c r="G118" s="49" t="s">
        <v>3</v>
      </c>
      <c r="H118" s="49">
        <v>12</v>
      </c>
      <c r="I118" s="52" t="s">
        <v>531</v>
      </c>
      <c r="J118" s="1886">
        <v>100</v>
      </c>
      <c r="K118" s="66">
        <v>360</v>
      </c>
      <c r="L118" s="66">
        <v>1850</v>
      </c>
      <c r="M118" s="156"/>
      <c r="N118" s="66"/>
      <c r="O118" s="66"/>
      <c r="P118" s="113">
        <v>85212.811682679996</v>
      </c>
      <c r="Q118" s="1892">
        <v>97631.358524280018</v>
      </c>
      <c r="R118" s="161">
        <v>27882.958806199425</v>
      </c>
      <c r="S118" s="161">
        <v>80860.580537978574</v>
      </c>
      <c r="T118" s="161">
        <v>113095.77048887943</v>
      </c>
      <c r="U118" s="161">
        <v>125514.31733047945</v>
      </c>
      <c r="V118" s="1887">
        <v>166073.39222065857</v>
      </c>
      <c r="W118" s="1887">
        <v>178491.93906225858</v>
      </c>
      <c r="Y118" s="65" t="str">
        <f t="shared" si="5"/>
        <v>ВКВТХ.100.360.1850.12ТП.24V</v>
      </c>
    </row>
    <row r="119" spans="1:25" ht="16.5" thickBot="1">
      <c r="A119" s="48" t="s">
        <v>47</v>
      </c>
      <c r="B119" s="49">
        <f t="shared" si="6"/>
        <v>100</v>
      </c>
      <c r="C119" s="49" t="s">
        <v>3</v>
      </c>
      <c r="D119" s="49">
        <f t="shared" si="7"/>
        <v>360</v>
      </c>
      <c r="E119" s="49" t="s">
        <v>3</v>
      </c>
      <c r="F119" s="50">
        <f t="shared" si="8"/>
        <v>1900</v>
      </c>
      <c r="G119" s="49" t="s">
        <v>3</v>
      </c>
      <c r="H119" s="49">
        <v>12</v>
      </c>
      <c r="I119" s="52" t="s">
        <v>531</v>
      </c>
      <c r="J119" s="1886">
        <v>100</v>
      </c>
      <c r="K119" s="66">
        <v>360</v>
      </c>
      <c r="L119" s="66">
        <v>1900</v>
      </c>
      <c r="M119" s="156"/>
      <c r="N119" s="66"/>
      <c r="O119" s="66"/>
      <c r="P119" s="113">
        <v>87080.931713600003</v>
      </c>
      <c r="Q119" s="1892">
        <v>99767.640747600017</v>
      </c>
      <c r="R119" s="161">
        <v>28486.379698980905</v>
      </c>
      <c r="S119" s="161">
        <v>82610.501127044365</v>
      </c>
      <c r="T119" s="161">
        <v>115567.31141258091</v>
      </c>
      <c r="U119" s="161">
        <v>128254.02044658092</v>
      </c>
      <c r="V119" s="1887">
        <v>169691.43284064438</v>
      </c>
      <c r="W119" s="1887">
        <v>182378.14187464438</v>
      </c>
      <c r="Y119" s="65" t="str">
        <f t="shared" si="5"/>
        <v>ВКВТХ.100.360.1900.12ТП.24V</v>
      </c>
    </row>
    <row r="120" spans="1:25" ht="16.5" thickBot="1">
      <c r="A120" s="48" t="s">
        <v>47</v>
      </c>
      <c r="B120" s="49">
        <f t="shared" si="6"/>
        <v>100</v>
      </c>
      <c r="C120" s="49" t="s">
        <v>3</v>
      </c>
      <c r="D120" s="49">
        <f t="shared" si="7"/>
        <v>360</v>
      </c>
      <c r="E120" s="49" t="s">
        <v>3</v>
      </c>
      <c r="F120" s="50">
        <f t="shared" si="8"/>
        <v>1950</v>
      </c>
      <c r="G120" s="49" t="s">
        <v>3</v>
      </c>
      <c r="H120" s="49">
        <v>12</v>
      </c>
      <c r="I120" s="52" t="s">
        <v>531</v>
      </c>
      <c r="J120" s="1886">
        <v>100</v>
      </c>
      <c r="K120" s="66">
        <v>360</v>
      </c>
      <c r="L120" s="66">
        <v>1950</v>
      </c>
      <c r="M120" s="156"/>
      <c r="N120" s="66"/>
      <c r="O120" s="66"/>
      <c r="P120" s="113">
        <v>88949.051876409998</v>
      </c>
      <c r="Q120" s="1892">
        <v>101903.92297092002</v>
      </c>
      <c r="R120" s="161">
        <v>29089.800591762229</v>
      </c>
      <c r="S120" s="161">
        <v>84360.421716110315</v>
      </c>
      <c r="T120" s="161">
        <v>118038.85246817223</v>
      </c>
      <c r="U120" s="161">
        <v>130993.72356268225</v>
      </c>
      <c r="V120" s="1887">
        <v>173309.47359252031</v>
      </c>
      <c r="W120" s="1887">
        <v>186264.34468703033</v>
      </c>
      <c r="Y120" s="65" t="str">
        <f t="shared" si="5"/>
        <v>ВКВТХ.100.360.1950.12ТП.24V</v>
      </c>
    </row>
    <row r="121" spans="1:25" ht="16.5" thickBot="1">
      <c r="A121" s="48" t="s">
        <v>47</v>
      </c>
      <c r="B121" s="49">
        <f t="shared" si="6"/>
        <v>100</v>
      </c>
      <c r="C121" s="49" t="s">
        <v>3</v>
      </c>
      <c r="D121" s="49">
        <f t="shared" si="7"/>
        <v>360</v>
      </c>
      <c r="E121" s="49" t="s">
        <v>3</v>
      </c>
      <c r="F121" s="50">
        <f t="shared" si="8"/>
        <v>2000</v>
      </c>
      <c r="G121" s="49" t="s">
        <v>3</v>
      </c>
      <c r="H121" s="49">
        <v>12</v>
      </c>
      <c r="I121" s="52" t="s">
        <v>531</v>
      </c>
      <c r="J121" s="1886">
        <v>100</v>
      </c>
      <c r="K121" s="66">
        <v>360</v>
      </c>
      <c r="L121" s="66">
        <v>2000</v>
      </c>
      <c r="M121" s="156"/>
      <c r="N121" s="66"/>
      <c r="O121" s="66"/>
      <c r="P121" s="113">
        <v>91299.78999415999</v>
      </c>
      <c r="Q121" s="1892">
        <v>104612.23219986001</v>
      </c>
      <c r="R121" s="161">
        <v>29944.555628171496</v>
      </c>
      <c r="S121" s="161">
        <v>86839.211321697294</v>
      </c>
      <c r="T121" s="161">
        <v>121244.34562233149</v>
      </c>
      <c r="U121" s="161">
        <v>134556.78782803152</v>
      </c>
      <c r="V121" s="1887">
        <v>178139.00131585728</v>
      </c>
      <c r="W121" s="1887">
        <v>191451.44352155732</v>
      </c>
      <c r="Y121" s="65" t="str">
        <f t="shared" si="5"/>
        <v>ВКВТХ.100.360.2000.12ТП.24V</v>
      </c>
    </row>
    <row r="122" spans="1:25" ht="16.5" thickBot="1">
      <c r="A122" s="48" t="s">
        <v>47</v>
      </c>
      <c r="B122" s="49">
        <f t="shared" si="6"/>
        <v>100</v>
      </c>
      <c r="C122" s="49" t="s">
        <v>3</v>
      </c>
      <c r="D122" s="49">
        <f t="shared" si="7"/>
        <v>360</v>
      </c>
      <c r="E122" s="49" t="s">
        <v>3</v>
      </c>
      <c r="F122" s="50">
        <f t="shared" si="8"/>
        <v>2050</v>
      </c>
      <c r="G122" s="49" t="s">
        <v>3</v>
      </c>
      <c r="H122" s="49">
        <v>12</v>
      </c>
      <c r="I122" s="52" t="s">
        <v>531</v>
      </c>
      <c r="J122" s="1886">
        <v>100</v>
      </c>
      <c r="K122" s="66">
        <v>360</v>
      </c>
      <c r="L122" s="66">
        <v>2050</v>
      </c>
      <c r="M122" s="156"/>
      <c r="N122" s="66"/>
      <c r="O122" s="66"/>
      <c r="P122" s="113">
        <v>94713.391110030003</v>
      </c>
      <c r="Q122" s="1892">
        <v>108398.58859998001</v>
      </c>
      <c r="R122" s="161">
        <v>30547.97652095282</v>
      </c>
      <c r="S122" s="161">
        <v>88589.131910763244</v>
      </c>
      <c r="T122" s="161">
        <v>125261.36763098283</v>
      </c>
      <c r="U122" s="161">
        <v>138946.56512093282</v>
      </c>
      <c r="V122" s="1887">
        <v>183302.52302079325</v>
      </c>
      <c r="W122" s="1887">
        <v>196987.72051074327</v>
      </c>
      <c r="Y122" s="65" t="str">
        <f t="shared" si="5"/>
        <v>ВКВТХ.100.360.2050.12ТП.24V</v>
      </c>
    </row>
    <row r="123" spans="1:25" ht="16.5" thickBot="1">
      <c r="A123" s="48" t="s">
        <v>47</v>
      </c>
      <c r="B123" s="49">
        <f t="shared" si="6"/>
        <v>100</v>
      </c>
      <c r="C123" s="49" t="s">
        <v>3</v>
      </c>
      <c r="D123" s="49">
        <f t="shared" si="7"/>
        <v>360</v>
      </c>
      <c r="E123" s="49" t="s">
        <v>3</v>
      </c>
      <c r="F123" s="50">
        <f t="shared" si="8"/>
        <v>2100</v>
      </c>
      <c r="G123" s="49" t="s">
        <v>3</v>
      </c>
      <c r="H123" s="49">
        <v>12</v>
      </c>
      <c r="I123" s="52" t="s">
        <v>531</v>
      </c>
      <c r="J123" s="1886">
        <v>100</v>
      </c>
      <c r="K123" s="66">
        <v>360</v>
      </c>
      <c r="L123" s="66">
        <v>2100</v>
      </c>
      <c r="M123" s="156"/>
      <c r="N123" s="66"/>
      <c r="O123" s="66"/>
      <c r="P123" s="113">
        <v>96581.511272839998</v>
      </c>
      <c r="Q123" s="1892">
        <v>110534.87082330001</v>
      </c>
      <c r="R123" s="161">
        <v>31402.731557362084</v>
      </c>
      <c r="S123" s="161">
        <v>91067.921516350209</v>
      </c>
      <c r="T123" s="161">
        <v>127984.24283020209</v>
      </c>
      <c r="U123" s="161">
        <v>141937.60238066208</v>
      </c>
      <c r="V123" s="1887">
        <v>187649.43278919021</v>
      </c>
      <c r="W123" s="1887">
        <v>201602.79233965022</v>
      </c>
      <c r="Y123" s="65" t="str">
        <f t="shared" si="5"/>
        <v>ВКВТХ.100.360.2100.12ТП.24V</v>
      </c>
    </row>
    <row r="124" spans="1:25" ht="16.5" thickBot="1">
      <c r="A124" s="48" t="s">
        <v>47</v>
      </c>
      <c r="B124" s="49">
        <f t="shared" si="6"/>
        <v>100</v>
      </c>
      <c r="C124" s="49" t="s">
        <v>3</v>
      </c>
      <c r="D124" s="49">
        <f t="shared" si="7"/>
        <v>360</v>
      </c>
      <c r="E124" s="49" t="s">
        <v>3</v>
      </c>
      <c r="F124" s="50">
        <f t="shared" si="8"/>
        <v>2150</v>
      </c>
      <c r="G124" s="49" t="s">
        <v>3</v>
      </c>
      <c r="H124" s="49">
        <v>12</v>
      </c>
      <c r="I124" s="52" t="s">
        <v>531</v>
      </c>
      <c r="J124" s="1886">
        <v>100</v>
      </c>
      <c r="K124" s="66">
        <v>360</v>
      </c>
      <c r="L124" s="66">
        <v>2150</v>
      </c>
      <c r="M124" s="156"/>
      <c r="N124" s="66"/>
      <c r="O124" s="66"/>
      <c r="P124" s="113">
        <v>98449.631435649993</v>
      </c>
      <c r="Q124" s="1892">
        <v>112671.15304662002</v>
      </c>
      <c r="R124" s="161">
        <v>32006.152450143563</v>
      </c>
      <c r="S124" s="161">
        <v>92817.842105416159</v>
      </c>
      <c r="T124" s="161">
        <v>130455.78388579356</v>
      </c>
      <c r="U124" s="161">
        <v>144677.30549676358</v>
      </c>
      <c r="V124" s="1887">
        <v>191267.47354106617</v>
      </c>
      <c r="W124" s="1887">
        <v>205488.99515203619</v>
      </c>
      <c r="Y124" s="65" t="str">
        <f t="shared" si="5"/>
        <v>ВКВТХ.100.360.2150.12ТП.24V</v>
      </c>
    </row>
    <row r="125" spans="1:25" ht="16.5" thickBot="1">
      <c r="A125" s="48" t="s">
        <v>47</v>
      </c>
      <c r="B125" s="49">
        <f t="shared" si="6"/>
        <v>100</v>
      </c>
      <c r="C125" s="49" t="s">
        <v>3</v>
      </c>
      <c r="D125" s="49">
        <f t="shared" si="7"/>
        <v>360</v>
      </c>
      <c r="E125" s="49" t="s">
        <v>3</v>
      </c>
      <c r="F125" s="50">
        <f t="shared" si="8"/>
        <v>2200</v>
      </c>
      <c r="G125" s="49" t="s">
        <v>3</v>
      </c>
      <c r="H125" s="49">
        <v>12</v>
      </c>
      <c r="I125" s="52" t="s">
        <v>531</v>
      </c>
      <c r="J125" s="1886">
        <v>100</v>
      </c>
      <c r="K125" s="66">
        <v>360</v>
      </c>
      <c r="L125" s="66">
        <v>2200</v>
      </c>
      <c r="M125" s="156"/>
      <c r="N125" s="66"/>
      <c r="O125" s="66"/>
      <c r="P125" s="113">
        <v>99602.547211199984</v>
      </c>
      <c r="Q125" s="1892">
        <v>114062.67698238003</v>
      </c>
      <c r="R125" s="161">
        <v>32860.907486552824</v>
      </c>
      <c r="S125" s="161">
        <v>95296.631711003138</v>
      </c>
      <c r="T125" s="161">
        <v>132463.45469775281</v>
      </c>
      <c r="U125" s="161">
        <v>146923.58446893285</v>
      </c>
      <c r="V125" s="1887">
        <v>194899.17892220314</v>
      </c>
      <c r="W125" s="1887">
        <v>209359.30869338318</v>
      </c>
      <c r="Y125" s="65" t="str">
        <f t="shared" si="5"/>
        <v>ВКВТХ.100.360.2200.12ТП.24V</v>
      </c>
    </row>
    <row r="126" spans="1:25" ht="16.5" thickBot="1">
      <c r="A126" s="48" t="s">
        <v>47</v>
      </c>
      <c r="B126" s="49">
        <f t="shared" si="6"/>
        <v>100</v>
      </c>
      <c r="C126" s="49" t="s">
        <v>3</v>
      </c>
      <c r="D126" s="49">
        <f t="shared" si="7"/>
        <v>360</v>
      </c>
      <c r="E126" s="49" t="s">
        <v>3</v>
      </c>
      <c r="F126" s="50">
        <f t="shared" si="8"/>
        <v>2250</v>
      </c>
      <c r="G126" s="49" t="s">
        <v>3</v>
      </c>
      <c r="H126" s="49">
        <v>12</v>
      </c>
      <c r="I126" s="52" t="s">
        <v>531</v>
      </c>
      <c r="J126" s="1886">
        <v>100</v>
      </c>
      <c r="K126" s="66">
        <v>360</v>
      </c>
      <c r="L126" s="66">
        <v>2250</v>
      </c>
      <c r="M126" s="156"/>
      <c r="N126" s="66"/>
      <c r="O126" s="66"/>
      <c r="P126" s="113">
        <v>100990.82359332999</v>
      </c>
      <c r="Q126" s="1892">
        <v>115699.28730696002</v>
      </c>
      <c r="R126" s="161">
        <v>33464.328379334147</v>
      </c>
      <c r="S126" s="161">
        <v>97046.552300069088</v>
      </c>
      <c r="T126" s="161">
        <v>134455.15197266414</v>
      </c>
      <c r="U126" s="161">
        <v>149163.61568629416</v>
      </c>
      <c r="V126" s="1887">
        <v>198037.37589339906</v>
      </c>
      <c r="W126" s="1887">
        <v>212745.83960702911</v>
      </c>
      <c r="Y126" s="65" t="str">
        <f t="shared" si="5"/>
        <v>ВКВТХ.100.360.2250.12ТП.24V</v>
      </c>
    </row>
    <row r="127" spans="1:25" ht="16.5" thickBot="1">
      <c r="A127" s="48" t="s">
        <v>47</v>
      </c>
      <c r="B127" s="49">
        <f t="shared" si="6"/>
        <v>100</v>
      </c>
      <c r="C127" s="49" t="s">
        <v>3</v>
      </c>
      <c r="D127" s="49">
        <f t="shared" si="7"/>
        <v>360</v>
      </c>
      <c r="E127" s="49" t="s">
        <v>3</v>
      </c>
      <c r="F127" s="50">
        <f t="shared" si="8"/>
        <v>2300</v>
      </c>
      <c r="G127" s="49" t="s">
        <v>3</v>
      </c>
      <c r="H127" s="49">
        <v>12</v>
      </c>
      <c r="I127" s="52" t="s">
        <v>531</v>
      </c>
      <c r="J127" s="1886">
        <v>100</v>
      </c>
      <c r="K127" s="66">
        <v>360</v>
      </c>
      <c r="L127" s="66">
        <v>2300</v>
      </c>
      <c r="M127" s="156"/>
      <c r="N127" s="66"/>
      <c r="O127" s="66"/>
      <c r="P127" s="113">
        <v>102379.09997545999</v>
      </c>
      <c r="Q127" s="1892">
        <v>117335.89749420001</v>
      </c>
      <c r="R127" s="161">
        <v>34067.74927211547</v>
      </c>
      <c r="S127" s="161">
        <v>98796.472889134719</v>
      </c>
      <c r="T127" s="161">
        <v>136446.84924757545</v>
      </c>
      <c r="U127" s="161">
        <v>151403.64676631548</v>
      </c>
      <c r="V127" s="1887">
        <v>201175.57286459469</v>
      </c>
      <c r="W127" s="1887">
        <v>216132.37038333472</v>
      </c>
      <c r="Y127" s="65" t="str">
        <f t="shared" si="5"/>
        <v>ВКВТХ.100.360.2300.12ТП.24V</v>
      </c>
    </row>
    <row r="128" spans="1:25" ht="16.5" thickBot="1">
      <c r="A128" s="48" t="s">
        <v>47</v>
      </c>
      <c r="B128" s="49">
        <f t="shared" si="6"/>
        <v>100</v>
      </c>
      <c r="C128" s="49" t="s">
        <v>3</v>
      </c>
      <c r="D128" s="49">
        <f t="shared" si="7"/>
        <v>360</v>
      </c>
      <c r="E128" s="49" t="s">
        <v>3</v>
      </c>
      <c r="F128" s="50">
        <f t="shared" si="8"/>
        <v>2350</v>
      </c>
      <c r="G128" s="49" t="s">
        <v>3</v>
      </c>
      <c r="H128" s="49">
        <v>12</v>
      </c>
      <c r="I128" s="52" t="s">
        <v>531</v>
      </c>
      <c r="J128" s="1886">
        <v>100</v>
      </c>
      <c r="K128" s="66">
        <v>360</v>
      </c>
      <c r="L128" s="66">
        <v>2350</v>
      </c>
      <c r="M128" s="156"/>
      <c r="N128" s="66"/>
      <c r="O128" s="66"/>
      <c r="P128" s="113">
        <v>103767.37635758999</v>
      </c>
      <c r="Q128" s="1892">
        <v>118972.50768144001</v>
      </c>
      <c r="R128" s="161">
        <v>34922.504308524738</v>
      </c>
      <c r="S128" s="161">
        <v>101275.26249472184</v>
      </c>
      <c r="T128" s="161">
        <v>138689.88066611474</v>
      </c>
      <c r="U128" s="161">
        <v>153895.01198996475</v>
      </c>
      <c r="V128" s="1887">
        <v>205042.63885231182</v>
      </c>
      <c r="W128" s="1887">
        <v>220247.77017616184</v>
      </c>
      <c r="Y128" s="65" t="str">
        <f t="shared" si="5"/>
        <v>ВКВТХ.100.360.2350.12ТП.24V</v>
      </c>
    </row>
    <row r="129" spans="1:25" ht="16.5" thickBot="1">
      <c r="A129" s="48" t="s">
        <v>47</v>
      </c>
      <c r="B129" s="49">
        <f t="shared" si="6"/>
        <v>100</v>
      </c>
      <c r="C129" s="49" t="s">
        <v>3</v>
      </c>
      <c r="D129" s="49">
        <f t="shared" si="7"/>
        <v>360</v>
      </c>
      <c r="E129" s="49" t="s">
        <v>3</v>
      </c>
      <c r="F129" s="50">
        <f t="shared" si="8"/>
        <v>2400</v>
      </c>
      <c r="G129" s="49" t="s">
        <v>3</v>
      </c>
      <c r="H129" s="49">
        <v>12</v>
      </c>
      <c r="I129" s="52" t="s">
        <v>531</v>
      </c>
      <c r="J129" s="1886">
        <v>100</v>
      </c>
      <c r="K129" s="66">
        <v>360</v>
      </c>
      <c r="L129" s="66">
        <v>2400</v>
      </c>
      <c r="M129" s="156"/>
      <c r="N129" s="66"/>
      <c r="O129" s="66"/>
      <c r="P129" s="113">
        <v>105155.65273971998</v>
      </c>
      <c r="Q129" s="1892">
        <v>120609.11786868001</v>
      </c>
      <c r="R129" s="161">
        <v>35525.925201306214</v>
      </c>
      <c r="S129" s="161">
        <v>103025.18308378779</v>
      </c>
      <c r="T129" s="161">
        <v>140681.57794102619</v>
      </c>
      <c r="U129" s="161">
        <v>156135.04306998622</v>
      </c>
      <c r="V129" s="1887">
        <v>208180.83582350778</v>
      </c>
      <c r="W129" s="1887">
        <v>223634.30095246781</v>
      </c>
      <c r="Y129" s="65" t="str">
        <f t="shared" si="5"/>
        <v>ВКВТХ.100.360.2400.12ТП.24V</v>
      </c>
    </row>
    <row r="130" spans="1:25" ht="16.5" thickBot="1">
      <c r="A130" s="48" t="s">
        <v>47</v>
      </c>
      <c r="B130" s="49">
        <f t="shared" si="6"/>
        <v>100</v>
      </c>
      <c r="C130" s="49" t="s">
        <v>3</v>
      </c>
      <c r="D130" s="49">
        <f t="shared" si="7"/>
        <v>360</v>
      </c>
      <c r="E130" s="49" t="s">
        <v>3</v>
      </c>
      <c r="F130" s="50">
        <f t="shared" si="8"/>
        <v>2450</v>
      </c>
      <c r="G130" s="49" t="s">
        <v>3</v>
      </c>
      <c r="H130" s="49">
        <v>12</v>
      </c>
      <c r="I130" s="52" t="s">
        <v>531</v>
      </c>
      <c r="J130" s="1886">
        <v>100</v>
      </c>
      <c r="K130" s="66">
        <v>360</v>
      </c>
      <c r="L130" s="66">
        <v>2450</v>
      </c>
      <c r="M130" s="156"/>
      <c r="N130" s="66"/>
      <c r="O130" s="66"/>
      <c r="P130" s="113">
        <v>106543.92898996</v>
      </c>
      <c r="Q130" s="1892">
        <v>122245.72805592002</v>
      </c>
      <c r="R130" s="161">
        <v>36380.680237715482</v>
      </c>
      <c r="S130" s="161">
        <v>105503.97268937476</v>
      </c>
      <c r="T130" s="161">
        <v>142924.60922767548</v>
      </c>
      <c r="U130" s="161">
        <v>158626.4082936355</v>
      </c>
      <c r="V130" s="1887">
        <v>212047.90167933475</v>
      </c>
      <c r="W130" s="1887">
        <v>227749.70074529477</v>
      </c>
      <c r="Y130" s="65" t="str">
        <f t="shared" si="5"/>
        <v>ВКВТХ.100.360.2450.12ТП.24V</v>
      </c>
    </row>
    <row r="131" spans="1:25" ht="16.5" thickBot="1">
      <c r="A131" s="48" t="s">
        <v>47</v>
      </c>
      <c r="B131" s="49">
        <f t="shared" si="6"/>
        <v>100</v>
      </c>
      <c r="C131" s="49" t="s">
        <v>3</v>
      </c>
      <c r="D131" s="49">
        <f t="shared" si="7"/>
        <v>360</v>
      </c>
      <c r="E131" s="49" t="s">
        <v>3</v>
      </c>
      <c r="F131" s="50">
        <f t="shared" si="8"/>
        <v>2500</v>
      </c>
      <c r="G131" s="49" t="s">
        <v>3</v>
      </c>
      <c r="H131" s="49">
        <v>12</v>
      </c>
      <c r="I131" s="52" t="s">
        <v>531</v>
      </c>
      <c r="J131" s="1886">
        <v>100</v>
      </c>
      <c r="K131" s="66">
        <v>360</v>
      </c>
      <c r="L131" s="66">
        <v>2500</v>
      </c>
      <c r="M131" s="156"/>
      <c r="N131" s="66"/>
      <c r="O131" s="66"/>
      <c r="P131" s="113">
        <v>108057.29459612998</v>
      </c>
      <c r="Q131" s="1892">
        <v>124012.59630606002</v>
      </c>
      <c r="R131" s="161">
        <v>36984.101130496805</v>
      </c>
      <c r="S131" s="161">
        <v>107253.89327844072</v>
      </c>
      <c r="T131" s="161">
        <v>145041.3957266268</v>
      </c>
      <c r="U131" s="161">
        <v>160996.69743655683</v>
      </c>
      <c r="V131" s="1887">
        <v>215311.18787457072</v>
      </c>
      <c r="W131" s="1887">
        <v>231266.48958450073</v>
      </c>
      <c r="Y131" s="65" t="str">
        <f t="shared" si="5"/>
        <v>ВКВТХ.100.360.2500.12ТП.24V</v>
      </c>
    </row>
    <row r="132" spans="1:25" ht="16.5" thickBot="1">
      <c r="A132" s="48" t="s">
        <v>47</v>
      </c>
      <c r="B132" s="49">
        <f t="shared" si="6"/>
        <v>100</v>
      </c>
      <c r="C132" s="49" t="s">
        <v>3</v>
      </c>
      <c r="D132" s="49">
        <f t="shared" si="7"/>
        <v>360</v>
      </c>
      <c r="E132" s="49" t="s">
        <v>3</v>
      </c>
      <c r="F132" s="50">
        <f t="shared" si="8"/>
        <v>2550</v>
      </c>
      <c r="G132" s="49" t="s">
        <v>3</v>
      </c>
      <c r="H132" s="49">
        <v>12</v>
      </c>
      <c r="I132" s="52" t="s">
        <v>531</v>
      </c>
      <c r="J132" s="1886">
        <v>100</v>
      </c>
      <c r="K132" s="66">
        <v>360</v>
      </c>
      <c r="L132" s="66">
        <v>2550</v>
      </c>
      <c r="M132" s="156"/>
      <c r="N132" s="66"/>
      <c r="O132" s="66"/>
      <c r="P132" s="113">
        <v>109445.57084637</v>
      </c>
      <c r="Q132" s="1892">
        <v>125649.20663064002</v>
      </c>
      <c r="R132" s="161">
        <v>37838.856166906073</v>
      </c>
      <c r="S132" s="161">
        <v>109732.6828840277</v>
      </c>
      <c r="T132" s="161">
        <v>147284.42701327609</v>
      </c>
      <c r="U132" s="161">
        <v>163488.0627975461</v>
      </c>
      <c r="V132" s="1887">
        <v>219178.2537303977</v>
      </c>
      <c r="W132" s="1887">
        <v>235381.88951466774</v>
      </c>
      <c r="Y132" s="65" t="str">
        <f t="shared" si="5"/>
        <v>ВКВТХ.100.360.2550.12ТП.24V</v>
      </c>
    </row>
    <row r="133" spans="1:25" ht="16.5" thickBot="1">
      <c r="A133" s="48" t="s">
        <v>47</v>
      </c>
      <c r="B133" s="49">
        <f t="shared" si="6"/>
        <v>100</v>
      </c>
      <c r="C133" s="49" t="s">
        <v>3</v>
      </c>
      <c r="D133" s="49">
        <f t="shared" si="7"/>
        <v>360</v>
      </c>
      <c r="E133" s="49" t="s">
        <v>3</v>
      </c>
      <c r="F133" s="50">
        <f t="shared" si="8"/>
        <v>2600</v>
      </c>
      <c r="G133" s="49" t="s">
        <v>3</v>
      </c>
      <c r="H133" s="49">
        <v>12</v>
      </c>
      <c r="I133" s="52" t="s">
        <v>531</v>
      </c>
      <c r="J133" s="1886">
        <v>100</v>
      </c>
      <c r="K133" s="66">
        <v>360</v>
      </c>
      <c r="L133" s="66">
        <v>2600</v>
      </c>
      <c r="M133" s="156"/>
      <c r="N133" s="66"/>
      <c r="O133" s="66"/>
      <c r="P133" s="113">
        <v>111549.05161575999</v>
      </c>
      <c r="Q133" s="1892">
        <v>128030.5749681</v>
      </c>
      <c r="R133" s="161">
        <v>38442.277059687396</v>
      </c>
      <c r="S133" s="161">
        <v>111482.60347309351</v>
      </c>
      <c r="T133" s="161">
        <v>149991.32867544738</v>
      </c>
      <c r="U133" s="161">
        <v>166472.85202778739</v>
      </c>
      <c r="V133" s="1887">
        <v>223031.6550888535</v>
      </c>
      <c r="W133" s="1887">
        <v>239513.17844119351</v>
      </c>
      <c r="Y133" s="65" t="str">
        <f t="shared" si="5"/>
        <v>ВКВТХ.100.360.2600.12ТП.24V</v>
      </c>
    </row>
    <row r="134" spans="1:25" ht="16.5" thickBot="1">
      <c r="A134" s="48" t="s">
        <v>47</v>
      </c>
      <c r="B134" s="49">
        <f t="shared" si="6"/>
        <v>100</v>
      </c>
      <c r="C134" s="49" t="s">
        <v>3</v>
      </c>
      <c r="D134" s="49">
        <f t="shared" si="7"/>
        <v>360</v>
      </c>
      <c r="E134" s="49" t="s">
        <v>3</v>
      </c>
      <c r="F134" s="50">
        <f t="shared" si="8"/>
        <v>2650</v>
      </c>
      <c r="G134" s="49" t="s">
        <v>3</v>
      </c>
      <c r="H134" s="49">
        <v>12</v>
      </c>
      <c r="I134" s="52" t="s">
        <v>531</v>
      </c>
      <c r="J134" s="1886">
        <v>100</v>
      </c>
      <c r="K134" s="66">
        <v>360</v>
      </c>
      <c r="L134" s="66">
        <v>2650</v>
      </c>
      <c r="M134" s="156"/>
      <c r="N134" s="66"/>
      <c r="O134" s="66"/>
      <c r="P134" s="113">
        <v>112993.32466708</v>
      </c>
      <c r="Q134" s="1892">
        <v>129725.49587382001</v>
      </c>
      <c r="R134" s="161">
        <v>39297.032096096817</v>
      </c>
      <c r="S134" s="161">
        <v>113961.3930786806</v>
      </c>
      <c r="T134" s="161">
        <v>152290.35676317682</v>
      </c>
      <c r="U134" s="161">
        <v>169022.52796991682</v>
      </c>
      <c r="V134" s="1887">
        <v>226954.7177457606</v>
      </c>
      <c r="W134" s="1887">
        <v>243686.88895250059</v>
      </c>
      <c r="Y134" s="65" t="str">
        <f t="shared" si="5"/>
        <v>ВКВТХ.100.360.2650.12ТП.24V</v>
      </c>
    </row>
    <row r="135" spans="1:25" ht="16.5" thickBot="1">
      <c r="A135" s="48" t="s">
        <v>47</v>
      </c>
      <c r="B135" s="49">
        <f t="shared" si="6"/>
        <v>100</v>
      </c>
      <c r="C135" s="49" t="s">
        <v>3</v>
      </c>
      <c r="D135" s="49">
        <f t="shared" si="7"/>
        <v>360</v>
      </c>
      <c r="E135" s="49" t="s">
        <v>3</v>
      </c>
      <c r="F135" s="50">
        <f t="shared" si="8"/>
        <v>2700</v>
      </c>
      <c r="G135" s="49" t="s">
        <v>3</v>
      </c>
      <c r="H135" s="49">
        <v>12</v>
      </c>
      <c r="I135" s="52" t="s">
        <v>531</v>
      </c>
      <c r="J135" s="1886">
        <v>100</v>
      </c>
      <c r="K135" s="66">
        <v>360</v>
      </c>
      <c r="L135" s="66">
        <v>2700</v>
      </c>
      <c r="M135" s="156"/>
      <c r="N135" s="66"/>
      <c r="O135" s="66"/>
      <c r="P135" s="113">
        <v>114437.59771840001</v>
      </c>
      <c r="Q135" s="1892">
        <v>131420.41664220003</v>
      </c>
      <c r="R135" s="161">
        <v>39900.45298887814</v>
      </c>
      <c r="S135" s="161">
        <v>115711.31366774657</v>
      </c>
      <c r="T135" s="161">
        <v>154338.05070727813</v>
      </c>
      <c r="U135" s="161">
        <v>171320.86963107815</v>
      </c>
      <c r="V135" s="1887">
        <v>230148.91138614656</v>
      </c>
      <c r="W135" s="1887">
        <v>247131.73030994658</v>
      </c>
      <c r="Y135" s="65" t="str">
        <f t="shared" si="5"/>
        <v>ВКВТХ.100.360.2700.12ТП.24V</v>
      </c>
    </row>
    <row r="136" spans="1:25" ht="16.5" thickBot="1">
      <c r="A136" s="48" t="s">
        <v>47</v>
      </c>
      <c r="B136" s="49">
        <f t="shared" si="6"/>
        <v>100</v>
      </c>
      <c r="C136" s="49" t="s">
        <v>3</v>
      </c>
      <c r="D136" s="49">
        <f t="shared" si="7"/>
        <v>360</v>
      </c>
      <c r="E136" s="49" t="s">
        <v>3</v>
      </c>
      <c r="F136" s="50">
        <f t="shared" si="8"/>
        <v>2750</v>
      </c>
      <c r="G136" s="49" t="s">
        <v>3</v>
      </c>
      <c r="H136" s="49">
        <v>12</v>
      </c>
      <c r="I136" s="52" t="s">
        <v>531</v>
      </c>
      <c r="J136" s="1886">
        <v>100</v>
      </c>
      <c r="K136" s="66">
        <v>360</v>
      </c>
      <c r="L136" s="66">
        <v>2750</v>
      </c>
      <c r="M136" s="156"/>
      <c r="N136" s="66"/>
      <c r="O136" s="66"/>
      <c r="P136" s="113">
        <v>115881.87076972</v>
      </c>
      <c r="Q136" s="1892">
        <v>133115.33754792003</v>
      </c>
      <c r="R136" s="161">
        <v>40503.873881659463</v>
      </c>
      <c r="S136" s="161">
        <v>117461.2342568125</v>
      </c>
      <c r="T136" s="161">
        <v>156385.74465137947</v>
      </c>
      <c r="U136" s="161">
        <v>173619.2114295795</v>
      </c>
      <c r="V136" s="1887">
        <v>233343.10502653249</v>
      </c>
      <c r="W136" s="1887">
        <v>250576.57180473255</v>
      </c>
      <c r="Y136" s="65" t="str">
        <f t="shared" si="5"/>
        <v>ВКВТХ.100.360.2750.12ТП.24V</v>
      </c>
    </row>
    <row r="137" spans="1:25" ht="16.5" thickBot="1">
      <c r="A137" s="48" t="s">
        <v>47</v>
      </c>
      <c r="B137" s="49">
        <f t="shared" si="6"/>
        <v>100</v>
      </c>
      <c r="C137" s="49" t="s">
        <v>3</v>
      </c>
      <c r="D137" s="49">
        <f t="shared" si="7"/>
        <v>360</v>
      </c>
      <c r="E137" s="49" t="s">
        <v>3</v>
      </c>
      <c r="F137" s="50">
        <f t="shared" si="8"/>
        <v>2800</v>
      </c>
      <c r="G137" s="49" t="s">
        <v>3</v>
      </c>
      <c r="H137" s="49">
        <v>12</v>
      </c>
      <c r="I137" s="52" t="s">
        <v>531</v>
      </c>
      <c r="J137" s="1886">
        <v>100</v>
      </c>
      <c r="K137" s="66">
        <v>360</v>
      </c>
      <c r="L137" s="66">
        <v>2800</v>
      </c>
      <c r="M137" s="156"/>
      <c r="N137" s="66"/>
      <c r="O137" s="66"/>
      <c r="P137" s="113">
        <v>117326.14395292998</v>
      </c>
      <c r="Q137" s="1892">
        <v>134810.25831630002</v>
      </c>
      <c r="R137" s="161">
        <v>41358.628918068724</v>
      </c>
      <c r="S137" s="161">
        <v>119940.02386239932</v>
      </c>
      <c r="T137" s="161">
        <v>158684.77287099871</v>
      </c>
      <c r="U137" s="161">
        <v>176168.88723436874</v>
      </c>
      <c r="V137" s="1887">
        <v>237266.1678153293</v>
      </c>
      <c r="W137" s="1887">
        <v>254750.28217869933</v>
      </c>
      <c r="Y137" s="65" t="str">
        <f t="shared" si="5"/>
        <v>ВКВТХ.100.360.2800.12ТП.24V</v>
      </c>
    </row>
    <row r="138" spans="1:25" ht="16.5" thickBot="1">
      <c r="A138" s="48" t="s">
        <v>47</v>
      </c>
      <c r="B138" s="49">
        <f t="shared" si="6"/>
        <v>100</v>
      </c>
      <c r="C138" s="49" t="s">
        <v>3</v>
      </c>
      <c r="D138" s="49">
        <f t="shared" si="7"/>
        <v>360</v>
      </c>
      <c r="E138" s="49" t="s">
        <v>3</v>
      </c>
      <c r="F138" s="50">
        <f t="shared" si="8"/>
        <v>2850</v>
      </c>
      <c r="G138" s="49" t="s">
        <v>3</v>
      </c>
      <c r="H138" s="49">
        <v>12</v>
      </c>
      <c r="I138" s="52" t="s">
        <v>531</v>
      </c>
      <c r="J138" s="1886">
        <v>100</v>
      </c>
      <c r="K138" s="66">
        <v>360</v>
      </c>
      <c r="L138" s="66">
        <v>2850</v>
      </c>
      <c r="M138" s="156"/>
      <c r="N138" s="66"/>
      <c r="O138" s="66"/>
      <c r="P138" s="113">
        <v>118770.41700425</v>
      </c>
      <c r="Q138" s="1892">
        <v>136505.17922202</v>
      </c>
      <c r="R138" s="161">
        <v>41962.049810850047</v>
      </c>
      <c r="S138" s="161">
        <v>121689.94445146529</v>
      </c>
      <c r="T138" s="161">
        <v>160732.46681510005</v>
      </c>
      <c r="U138" s="161">
        <v>178467.22903287003</v>
      </c>
      <c r="V138" s="1887">
        <v>240460.36145571529</v>
      </c>
      <c r="W138" s="1887">
        <v>258195.1236734853</v>
      </c>
      <c r="Y138" s="65" t="str">
        <f t="shared" ref="Y138:Y201" si="9">A138&amp;B138&amp;"."&amp;D138&amp;"."&amp;F138&amp;"."&amp;H138&amp;I138</f>
        <v>ВКВТХ.100.360.2850.12ТП.24V</v>
      </c>
    </row>
    <row r="139" spans="1:25" ht="16.5" thickBot="1">
      <c r="A139" s="48" t="s">
        <v>47</v>
      </c>
      <c r="B139" s="49">
        <f t="shared" si="6"/>
        <v>100</v>
      </c>
      <c r="C139" s="49" t="s">
        <v>3</v>
      </c>
      <c r="D139" s="49">
        <f t="shared" si="7"/>
        <v>360</v>
      </c>
      <c r="E139" s="49" t="s">
        <v>3</v>
      </c>
      <c r="F139" s="50">
        <f t="shared" si="8"/>
        <v>2900</v>
      </c>
      <c r="G139" s="49" t="s">
        <v>3</v>
      </c>
      <c r="H139" s="49">
        <v>12</v>
      </c>
      <c r="I139" s="52" t="s">
        <v>531</v>
      </c>
      <c r="J139" s="1886">
        <v>100</v>
      </c>
      <c r="K139" s="66">
        <v>360</v>
      </c>
      <c r="L139" s="66">
        <v>2900</v>
      </c>
      <c r="M139" s="156"/>
      <c r="N139" s="66"/>
      <c r="O139" s="66"/>
      <c r="P139" s="113">
        <v>120214.69005557</v>
      </c>
      <c r="Q139" s="1892">
        <v>138200.09999040002</v>
      </c>
      <c r="R139" s="161">
        <v>42816.804847259315</v>
      </c>
      <c r="S139" s="161">
        <v>124168.73405705226</v>
      </c>
      <c r="T139" s="161">
        <v>163031.49490282932</v>
      </c>
      <c r="U139" s="161">
        <v>181016.90483765933</v>
      </c>
      <c r="V139" s="1887">
        <v>244383.42411262228</v>
      </c>
      <c r="W139" s="1887">
        <v>262368.83404745231</v>
      </c>
      <c r="Y139" s="65" t="str">
        <f t="shared" si="9"/>
        <v>ВКВТХ.100.360.2900.12ТП.24V</v>
      </c>
    </row>
    <row r="140" spans="1:25" ht="16.5" thickBot="1">
      <c r="A140" s="48" t="s">
        <v>47</v>
      </c>
      <c r="B140" s="49">
        <f t="shared" si="6"/>
        <v>100</v>
      </c>
      <c r="C140" s="49" t="s">
        <v>3</v>
      </c>
      <c r="D140" s="49">
        <f t="shared" si="7"/>
        <v>360</v>
      </c>
      <c r="E140" s="49" t="s">
        <v>3</v>
      </c>
      <c r="F140" s="50">
        <f t="shared" si="8"/>
        <v>2950</v>
      </c>
      <c r="G140" s="49" t="s">
        <v>3</v>
      </c>
      <c r="H140" s="49">
        <v>12</v>
      </c>
      <c r="I140" s="52" t="s">
        <v>531</v>
      </c>
      <c r="J140" s="1886">
        <v>100</v>
      </c>
      <c r="K140" s="66">
        <v>360</v>
      </c>
      <c r="L140" s="66">
        <v>2950</v>
      </c>
      <c r="M140" s="156"/>
      <c r="N140" s="66"/>
      <c r="O140" s="66"/>
      <c r="P140" s="113">
        <v>122374.16749415</v>
      </c>
      <c r="Q140" s="1892">
        <v>140639.77904634003</v>
      </c>
      <c r="R140" s="161">
        <v>43420.225740040791</v>
      </c>
      <c r="S140" s="161">
        <v>125918.6546461182</v>
      </c>
      <c r="T140" s="161">
        <v>165794.39323419079</v>
      </c>
      <c r="U140" s="161">
        <v>184060.00478638083</v>
      </c>
      <c r="V140" s="1887">
        <v>248292.8221402682</v>
      </c>
      <c r="W140" s="1887">
        <v>266558.4336924582</v>
      </c>
      <c r="Y140" s="65" t="str">
        <f t="shared" si="9"/>
        <v>ВКВТХ.100.360.2950.12ТП.24V</v>
      </c>
    </row>
    <row r="141" spans="1:25" ht="16.5" thickBot="1">
      <c r="A141" s="55" t="s">
        <v>47</v>
      </c>
      <c r="B141" s="56">
        <f t="shared" si="6"/>
        <v>100</v>
      </c>
      <c r="C141" s="56" t="s">
        <v>3</v>
      </c>
      <c r="D141" s="56">
        <f t="shared" si="7"/>
        <v>360</v>
      </c>
      <c r="E141" s="56" t="s">
        <v>3</v>
      </c>
      <c r="F141" s="57">
        <f t="shared" si="8"/>
        <v>3000</v>
      </c>
      <c r="G141" s="56" t="s">
        <v>3</v>
      </c>
      <c r="H141" s="56">
        <v>12</v>
      </c>
      <c r="I141" s="1888" t="s">
        <v>531</v>
      </c>
      <c r="J141" s="1889">
        <v>100</v>
      </c>
      <c r="K141" s="266">
        <v>360</v>
      </c>
      <c r="L141" s="266">
        <v>3000</v>
      </c>
      <c r="M141" s="281"/>
      <c r="N141" s="266"/>
      <c r="O141" s="266"/>
      <c r="P141" s="251">
        <v>123961.41352594999</v>
      </c>
      <c r="Q141" s="1893">
        <v>142483.58090694001</v>
      </c>
      <c r="R141" s="283">
        <v>44274.980776450058</v>
      </c>
      <c r="S141" s="283">
        <v>128397.44425170516</v>
      </c>
      <c r="T141" s="283">
        <v>168236.39430240006</v>
      </c>
      <c r="U141" s="283">
        <v>186758.56168339006</v>
      </c>
      <c r="V141" s="1890">
        <v>252358.85777765515</v>
      </c>
      <c r="W141" s="1890">
        <v>270881.02515864518</v>
      </c>
      <c r="Y141" s="65" t="str">
        <f t="shared" si="9"/>
        <v>ВКВТХ.100.360.3000.12ТП.24V</v>
      </c>
    </row>
    <row r="142" spans="1:25">
      <c r="A142" s="3080" t="s">
        <v>43</v>
      </c>
      <c r="B142" s="3081"/>
      <c r="C142" s="3081"/>
      <c r="D142" s="3081"/>
      <c r="E142" s="3081"/>
      <c r="F142" s="3081"/>
      <c r="G142" s="3081"/>
      <c r="H142" s="3081"/>
      <c r="I142" s="3081"/>
      <c r="J142" s="3081"/>
      <c r="K142" s="3081"/>
      <c r="L142" s="3081"/>
      <c r="M142" s="3081"/>
      <c r="N142" s="3081"/>
      <c r="O142" s="3081"/>
      <c r="P142" s="3081"/>
      <c r="Q142" s="3081"/>
      <c r="R142" s="3081"/>
      <c r="S142" s="3081"/>
      <c r="T142" s="3081"/>
      <c r="U142" s="3081"/>
      <c r="V142" s="3081"/>
      <c r="W142" s="3082"/>
      <c r="Y142" s="65"/>
    </row>
    <row r="143" spans="1:25" ht="15.75" thickBot="1">
      <c r="A143" s="3083"/>
      <c r="B143" s="3018"/>
      <c r="C143" s="3018"/>
      <c r="D143" s="3018"/>
      <c r="E143" s="3018"/>
      <c r="F143" s="3018"/>
      <c r="G143" s="3018"/>
      <c r="H143" s="3018"/>
      <c r="I143" s="3018"/>
      <c r="J143" s="3018"/>
      <c r="K143" s="3018"/>
      <c r="L143" s="3018"/>
      <c r="M143" s="3018"/>
      <c r="N143" s="3018"/>
      <c r="O143" s="3018"/>
      <c r="P143" s="3018"/>
      <c r="Q143" s="3018"/>
      <c r="R143" s="3018"/>
      <c r="S143" s="3018"/>
      <c r="T143" s="3018"/>
      <c r="U143" s="3018"/>
      <c r="V143" s="3018"/>
      <c r="W143" s="3019"/>
      <c r="Y143" s="65"/>
    </row>
    <row r="144" spans="1:25" ht="16.5" thickBot="1">
      <c r="A144" s="53" t="s">
        <v>47</v>
      </c>
      <c r="B144" s="51">
        <f t="shared" ref="B144:B186" si="10">J144</f>
        <v>150</v>
      </c>
      <c r="C144" s="51" t="s">
        <v>3</v>
      </c>
      <c r="D144" s="51">
        <f t="shared" ref="D144:D186" si="11">K144</f>
        <v>300</v>
      </c>
      <c r="E144" s="51" t="s">
        <v>3</v>
      </c>
      <c r="F144" s="54">
        <f t="shared" ref="F144:F186" si="12">L144</f>
        <v>900</v>
      </c>
      <c r="G144" s="51" t="s">
        <v>3</v>
      </c>
      <c r="H144" s="51">
        <v>16</v>
      </c>
      <c r="I144" s="52" t="s">
        <v>530</v>
      </c>
      <c r="J144" s="1886">
        <v>150</v>
      </c>
      <c r="K144" s="271">
        <v>300</v>
      </c>
      <c r="L144" s="271">
        <v>900</v>
      </c>
      <c r="M144" s="282"/>
      <c r="N144" s="271"/>
      <c r="O144" s="271"/>
      <c r="P144" s="247">
        <v>43254.790370620001</v>
      </c>
      <c r="Q144" s="247">
        <v>50754.493054639999</v>
      </c>
      <c r="R144" s="170">
        <v>12586.18991087539</v>
      </c>
      <c r="S144" s="170">
        <v>33982.712759363596</v>
      </c>
      <c r="T144" s="170">
        <v>55840.980281495387</v>
      </c>
      <c r="U144" s="170">
        <v>63340.682965515385</v>
      </c>
      <c r="V144" s="1887">
        <v>77237.503129983597</v>
      </c>
      <c r="W144" s="1887">
        <v>84737.205814003595</v>
      </c>
      <c r="Y144" s="65" t="str">
        <f t="shared" si="9"/>
        <v>ВКВТХ.150.300.900.16ТК.24V</v>
      </c>
    </row>
    <row r="145" spans="1:25" ht="16.5" thickBot="1">
      <c r="A145" s="48" t="s">
        <v>47</v>
      </c>
      <c r="B145" s="49">
        <f t="shared" si="10"/>
        <v>150</v>
      </c>
      <c r="C145" s="49" t="s">
        <v>3</v>
      </c>
      <c r="D145" s="49">
        <f t="shared" si="11"/>
        <v>300</v>
      </c>
      <c r="E145" s="49" t="s">
        <v>3</v>
      </c>
      <c r="F145" s="50">
        <f t="shared" si="12"/>
        <v>950</v>
      </c>
      <c r="G145" s="49" t="s">
        <v>3</v>
      </c>
      <c r="H145" s="49">
        <v>16</v>
      </c>
      <c r="I145" s="52" t="s">
        <v>530</v>
      </c>
      <c r="J145" s="1886">
        <v>150</v>
      </c>
      <c r="K145" s="66">
        <v>300</v>
      </c>
      <c r="L145" s="66">
        <v>950</v>
      </c>
      <c r="M145" s="156"/>
      <c r="N145" s="66"/>
      <c r="O145" s="66"/>
      <c r="P145" s="113">
        <v>45563.151903279999</v>
      </c>
      <c r="Q145" s="113">
        <v>53382.295265080007</v>
      </c>
      <c r="R145" s="161">
        <v>13361.165742710224</v>
      </c>
      <c r="S145" s="161">
        <v>36075.147505317538</v>
      </c>
      <c r="T145" s="161">
        <v>58924.317645990224</v>
      </c>
      <c r="U145" s="161">
        <v>66743.461007790233</v>
      </c>
      <c r="V145" s="1887">
        <v>81638.299408597537</v>
      </c>
      <c r="W145" s="1887">
        <v>89457.442770397553</v>
      </c>
      <c r="Y145" s="65" t="str">
        <f t="shared" si="9"/>
        <v>ВКВТХ.150.300.950.16ТК.24V</v>
      </c>
    </row>
    <row r="146" spans="1:25" ht="16.5" thickBot="1">
      <c r="A146" s="48" t="s">
        <v>47</v>
      </c>
      <c r="B146" s="49">
        <f t="shared" si="10"/>
        <v>150</v>
      </c>
      <c r="C146" s="49" t="s">
        <v>3</v>
      </c>
      <c r="D146" s="49">
        <f t="shared" si="11"/>
        <v>300</v>
      </c>
      <c r="E146" s="49" t="s">
        <v>3</v>
      </c>
      <c r="F146" s="50">
        <f t="shared" si="12"/>
        <v>1000</v>
      </c>
      <c r="G146" s="49" t="s">
        <v>3</v>
      </c>
      <c r="H146" s="49">
        <v>16</v>
      </c>
      <c r="I146" s="52" t="s">
        <v>530</v>
      </c>
      <c r="J146" s="1886">
        <v>150</v>
      </c>
      <c r="K146" s="66">
        <v>300</v>
      </c>
      <c r="L146" s="66">
        <v>1000</v>
      </c>
      <c r="M146" s="156"/>
      <c r="N146" s="66"/>
      <c r="O146" s="66"/>
      <c r="P146" s="113">
        <v>48862.692082660004</v>
      </c>
      <c r="Q146" s="113">
        <v>57051.67503648001</v>
      </c>
      <c r="R146" s="161">
        <v>13884.807430917122</v>
      </c>
      <c r="S146" s="161">
        <v>37488.980063476207</v>
      </c>
      <c r="T146" s="161">
        <v>62747.499513577124</v>
      </c>
      <c r="U146" s="161">
        <v>70936.482467397131</v>
      </c>
      <c r="V146" s="1887">
        <v>86351.672146136203</v>
      </c>
      <c r="W146" s="1887">
        <v>94540.655099956217</v>
      </c>
      <c r="Y146" s="65" t="str">
        <f t="shared" si="9"/>
        <v>ВКВТХ.150.300.1000.16ТК.24V</v>
      </c>
    </row>
    <row r="147" spans="1:25" ht="16.5" thickBot="1">
      <c r="A147" s="48" t="s">
        <v>47</v>
      </c>
      <c r="B147" s="49">
        <f t="shared" si="10"/>
        <v>150</v>
      </c>
      <c r="C147" s="49" t="s">
        <v>3</v>
      </c>
      <c r="D147" s="49">
        <f t="shared" si="11"/>
        <v>300</v>
      </c>
      <c r="E147" s="49" t="s">
        <v>3</v>
      </c>
      <c r="F147" s="50">
        <f t="shared" si="12"/>
        <v>1050</v>
      </c>
      <c r="G147" s="49" t="s">
        <v>3</v>
      </c>
      <c r="H147" s="49">
        <v>16</v>
      </c>
      <c r="I147" s="52" t="s">
        <v>530</v>
      </c>
      <c r="J147" s="1886">
        <v>150</v>
      </c>
      <c r="K147" s="66">
        <v>300</v>
      </c>
      <c r="L147" s="66">
        <v>1050</v>
      </c>
      <c r="M147" s="156"/>
      <c r="N147" s="66"/>
      <c r="O147" s="66"/>
      <c r="P147" s="113">
        <v>52098.586970200005</v>
      </c>
      <c r="Q147" s="113">
        <v>60654.17331476001</v>
      </c>
      <c r="R147" s="161">
        <v>14659.78326275196</v>
      </c>
      <c r="S147" s="161">
        <v>39581.414809430302</v>
      </c>
      <c r="T147" s="161">
        <v>66758.370232951973</v>
      </c>
      <c r="U147" s="161">
        <v>75313.95657751197</v>
      </c>
      <c r="V147" s="1887">
        <v>91680.001779630315</v>
      </c>
      <c r="W147" s="1887">
        <v>100235.58812419031</v>
      </c>
      <c r="Y147" s="65" t="str">
        <f t="shared" si="9"/>
        <v>ВКВТХ.150.300.1050.16ТК.24V</v>
      </c>
    </row>
    <row r="148" spans="1:25" ht="16.5" thickBot="1">
      <c r="A148" s="48" t="s">
        <v>47</v>
      </c>
      <c r="B148" s="49">
        <f t="shared" si="10"/>
        <v>150</v>
      </c>
      <c r="C148" s="49" t="s">
        <v>3</v>
      </c>
      <c r="D148" s="49">
        <f t="shared" si="11"/>
        <v>300</v>
      </c>
      <c r="E148" s="49" t="s">
        <v>3</v>
      </c>
      <c r="F148" s="50">
        <f t="shared" si="12"/>
        <v>1100</v>
      </c>
      <c r="G148" s="49" t="s">
        <v>3</v>
      </c>
      <c r="H148" s="49">
        <v>16</v>
      </c>
      <c r="I148" s="52" t="s">
        <v>530</v>
      </c>
      <c r="J148" s="1886">
        <v>150</v>
      </c>
      <c r="K148" s="66">
        <v>300</v>
      </c>
      <c r="L148" s="66">
        <v>1100</v>
      </c>
      <c r="M148" s="156"/>
      <c r="N148" s="66"/>
      <c r="O148" s="66"/>
      <c r="P148" s="113">
        <v>55334.481986359999</v>
      </c>
      <c r="Q148" s="113">
        <v>64256.67159304001</v>
      </c>
      <c r="R148" s="161">
        <v>15183.424950958857</v>
      </c>
      <c r="S148" s="161">
        <v>40995.247367588963</v>
      </c>
      <c r="T148" s="161">
        <v>70517.906937318854</v>
      </c>
      <c r="U148" s="161">
        <v>79440.096543998865</v>
      </c>
      <c r="V148" s="1887">
        <v>96329.729353948962</v>
      </c>
      <c r="W148" s="1887">
        <v>105251.91896062897</v>
      </c>
      <c r="Y148" s="65" t="str">
        <f t="shared" si="9"/>
        <v>ВКВТХ.150.300.1100.16ТК.24V</v>
      </c>
    </row>
    <row r="149" spans="1:25" ht="16.5" thickBot="1">
      <c r="A149" s="48" t="s">
        <v>47</v>
      </c>
      <c r="B149" s="49">
        <f t="shared" si="10"/>
        <v>150</v>
      </c>
      <c r="C149" s="49" t="s">
        <v>3</v>
      </c>
      <c r="D149" s="49">
        <f t="shared" si="11"/>
        <v>300</v>
      </c>
      <c r="E149" s="49" t="s">
        <v>3</v>
      </c>
      <c r="F149" s="50">
        <f t="shared" si="12"/>
        <v>1150</v>
      </c>
      <c r="G149" s="49" t="s">
        <v>3</v>
      </c>
      <c r="H149" s="49">
        <v>16</v>
      </c>
      <c r="I149" s="52" t="s">
        <v>530</v>
      </c>
      <c r="J149" s="1886">
        <v>150</v>
      </c>
      <c r="K149" s="66">
        <v>300</v>
      </c>
      <c r="L149" s="66">
        <v>1150</v>
      </c>
      <c r="M149" s="156"/>
      <c r="N149" s="66"/>
      <c r="O149" s="66"/>
      <c r="P149" s="113">
        <v>58570.376873900001</v>
      </c>
      <c r="Q149" s="113">
        <v>67859.169871320017</v>
      </c>
      <c r="R149" s="161">
        <v>15707.066639165709</v>
      </c>
      <c r="S149" s="161">
        <v>42409.079925747479</v>
      </c>
      <c r="T149" s="161">
        <v>74277.443513065708</v>
      </c>
      <c r="U149" s="161">
        <v>83566.236510485731</v>
      </c>
      <c r="V149" s="1887">
        <v>100979.45679964748</v>
      </c>
      <c r="W149" s="1887">
        <v>110268.24979706749</v>
      </c>
      <c r="Y149" s="65" t="str">
        <f t="shared" si="9"/>
        <v>ВКВТХ.150.300.1150.16ТК.24V</v>
      </c>
    </row>
    <row r="150" spans="1:25" ht="16.5" thickBot="1">
      <c r="A150" s="48" t="s">
        <v>47</v>
      </c>
      <c r="B150" s="49">
        <f t="shared" si="10"/>
        <v>150</v>
      </c>
      <c r="C150" s="49" t="s">
        <v>3</v>
      </c>
      <c r="D150" s="49">
        <f t="shared" si="11"/>
        <v>300</v>
      </c>
      <c r="E150" s="49" t="s">
        <v>3</v>
      </c>
      <c r="F150" s="50">
        <f t="shared" si="12"/>
        <v>1200</v>
      </c>
      <c r="G150" s="49" t="s">
        <v>3</v>
      </c>
      <c r="H150" s="49">
        <v>16</v>
      </c>
      <c r="I150" s="52" t="s">
        <v>530</v>
      </c>
      <c r="J150" s="1886">
        <v>150</v>
      </c>
      <c r="K150" s="66">
        <v>300</v>
      </c>
      <c r="L150" s="66">
        <v>1200</v>
      </c>
      <c r="M150" s="156"/>
      <c r="N150" s="66"/>
      <c r="O150" s="66"/>
      <c r="P150" s="113">
        <v>61806.271890060001</v>
      </c>
      <c r="Q150" s="113">
        <v>71461.668149600009</v>
      </c>
      <c r="R150" s="161">
        <v>16482.042471000514</v>
      </c>
      <c r="S150" s="161">
        <v>44501.514671701574</v>
      </c>
      <c r="T150" s="161">
        <v>78288.314361060518</v>
      </c>
      <c r="U150" s="161">
        <v>87943.710620600526</v>
      </c>
      <c r="V150" s="1887">
        <v>106307.78656176158</v>
      </c>
      <c r="W150" s="1887">
        <v>115963.18282130158</v>
      </c>
      <c r="Y150" s="65" t="str">
        <f t="shared" si="9"/>
        <v>ВКВТХ.150.300.1200.16ТК.24V</v>
      </c>
    </row>
    <row r="151" spans="1:25" ht="16.5" thickBot="1">
      <c r="A151" s="48" t="s">
        <v>47</v>
      </c>
      <c r="B151" s="49">
        <f t="shared" si="10"/>
        <v>150</v>
      </c>
      <c r="C151" s="49" t="s">
        <v>3</v>
      </c>
      <c r="D151" s="49">
        <f t="shared" si="11"/>
        <v>300</v>
      </c>
      <c r="E151" s="49" t="s">
        <v>3</v>
      </c>
      <c r="F151" s="50">
        <f t="shared" si="12"/>
        <v>1250</v>
      </c>
      <c r="G151" s="49" t="s">
        <v>3</v>
      </c>
      <c r="H151" s="49">
        <v>16</v>
      </c>
      <c r="I151" s="52" t="s">
        <v>530</v>
      </c>
      <c r="J151" s="1886">
        <v>150</v>
      </c>
      <c r="K151" s="66">
        <v>300</v>
      </c>
      <c r="L151" s="66">
        <v>1250</v>
      </c>
      <c r="M151" s="156"/>
      <c r="N151" s="66"/>
      <c r="O151" s="66"/>
      <c r="P151" s="113">
        <v>65042.166777600003</v>
      </c>
      <c r="Q151" s="113">
        <v>75064.166563040009</v>
      </c>
      <c r="R151" s="161">
        <v>17005.684159207536</v>
      </c>
      <c r="S151" s="161">
        <v>45915.347229860236</v>
      </c>
      <c r="T151" s="161">
        <v>82047.850936807547</v>
      </c>
      <c r="U151" s="161">
        <v>92069.850722247545</v>
      </c>
      <c r="V151" s="1887">
        <v>110957.51400746024</v>
      </c>
      <c r="W151" s="1887">
        <v>120979.51379290025</v>
      </c>
      <c r="Y151" s="65" t="str">
        <f t="shared" si="9"/>
        <v>ВКВТХ.150.300.1250.16ТК.24V</v>
      </c>
    </row>
    <row r="152" spans="1:25" ht="16.5" thickBot="1">
      <c r="A152" s="48" t="s">
        <v>47</v>
      </c>
      <c r="B152" s="49">
        <f t="shared" si="10"/>
        <v>150</v>
      </c>
      <c r="C152" s="49" t="s">
        <v>3</v>
      </c>
      <c r="D152" s="49">
        <f t="shared" si="11"/>
        <v>300</v>
      </c>
      <c r="E152" s="49" t="s">
        <v>3</v>
      </c>
      <c r="F152" s="50">
        <f t="shared" si="12"/>
        <v>1300</v>
      </c>
      <c r="G152" s="49" t="s">
        <v>3</v>
      </c>
      <c r="H152" s="49">
        <v>16</v>
      </c>
      <c r="I152" s="52" t="s">
        <v>530</v>
      </c>
      <c r="J152" s="1886">
        <v>150</v>
      </c>
      <c r="K152" s="66">
        <v>300</v>
      </c>
      <c r="L152" s="66">
        <v>1300</v>
      </c>
      <c r="M152" s="156"/>
      <c r="N152" s="66"/>
      <c r="O152" s="66"/>
      <c r="P152" s="113">
        <v>68776.990606799998</v>
      </c>
      <c r="Q152" s="113">
        <v>79292.391710640004</v>
      </c>
      <c r="R152" s="161">
        <v>17780.659991042339</v>
      </c>
      <c r="S152" s="161">
        <v>48007.781975814338</v>
      </c>
      <c r="T152" s="161">
        <v>86557.650597842337</v>
      </c>
      <c r="U152" s="161">
        <v>97073.051701682343</v>
      </c>
      <c r="V152" s="1887">
        <v>116784.77258261433</v>
      </c>
      <c r="W152" s="1887">
        <v>127300.17368645433</v>
      </c>
      <c r="Y152" s="65" t="str">
        <f t="shared" si="9"/>
        <v>ВКВТХ.150.300.1300.16ТК.24V</v>
      </c>
    </row>
    <row r="153" spans="1:25" ht="16.5" thickBot="1">
      <c r="A153" s="48" t="s">
        <v>47</v>
      </c>
      <c r="B153" s="49">
        <f t="shared" si="10"/>
        <v>150</v>
      </c>
      <c r="C153" s="49" t="s">
        <v>3</v>
      </c>
      <c r="D153" s="49">
        <f t="shared" si="11"/>
        <v>300</v>
      </c>
      <c r="E153" s="49" t="s">
        <v>3</v>
      </c>
      <c r="F153" s="50">
        <f t="shared" si="12"/>
        <v>1350</v>
      </c>
      <c r="G153" s="49" t="s">
        <v>3</v>
      </c>
      <c r="H153" s="49">
        <v>16</v>
      </c>
      <c r="I153" s="52" t="s">
        <v>530</v>
      </c>
      <c r="J153" s="1886">
        <v>150</v>
      </c>
      <c r="K153" s="66">
        <v>300</v>
      </c>
      <c r="L153" s="66">
        <v>1350</v>
      </c>
      <c r="M153" s="156"/>
      <c r="N153" s="66"/>
      <c r="O153" s="66"/>
      <c r="P153" s="113">
        <v>71691.335494340005</v>
      </c>
      <c r="Q153" s="113">
        <v>82556.990124079864</v>
      </c>
      <c r="R153" s="161">
        <v>18304.301679249205</v>
      </c>
      <c r="S153" s="161">
        <v>49421.614533972846</v>
      </c>
      <c r="T153" s="161">
        <v>89995.637173589203</v>
      </c>
      <c r="U153" s="161">
        <v>100861.29180332908</v>
      </c>
      <c r="V153" s="1887">
        <v>121112.95002831286</v>
      </c>
      <c r="W153" s="1887">
        <v>131978.6046580527</v>
      </c>
      <c r="Y153" s="65" t="str">
        <f t="shared" si="9"/>
        <v>ВКВТХ.150.300.1350.16ТК.24V</v>
      </c>
    </row>
    <row r="154" spans="1:25" ht="16.5" thickBot="1">
      <c r="A154" s="48" t="s">
        <v>47</v>
      </c>
      <c r="B154" s="49">
        <f t="shared" si="10"/>
        <v>150</v>
      </c>
      <c r="C154" s="49" t="s">
        <v>3</v>
      </c>
      <c r="D154" s="49">
        <f t="shared" si="11"/>
        <v>300</v>
      </c>
      <c r="E154" s="49" t="s">
        <v>3</v>
      </c>
      <c r="F154" s="50">
        <f t="shared" si="12"/>
        <v>1400</v>
      </c>
      <c r="G154" s="49" t="s">
        <v>3</v>
      </c>
      <c r="H154" s="49">
        <v>16</v>
      </c>
      <c r="I154" s="52" t="s">
        <v>530</v>
      </c>
      <c r="J154" s="1886">
        <v>150</v>
      </c>
      <c r="K154" s="66">
        <v>300</v>
      </c>
      <c r="L154" s="66">
        <v>1400</v>
      </c>
      <c r="M154" s="156"/>
      <c r="N154" s="66"/>
      <c r="O154" s="66"/>
      <c r="P154" s="113">
        <v>73940.886046479995</v>
      </c>
      <c r="Q154" s="113">
        <v>85072.544928040006</v>
      </c>
      <c r="R154" s="161">
        <v>19079.277511084012</v>
      </c>
      <c r="S154" s="161">
        <v>51514.049279926934</v>
      </c>
      <c r="T154" s="161">
        <v>93020.16355756401</v>
      </c>
      <c r="U154" s="161">
        <v>104151.82243912402</v>
      </c>
      <c r="V154" s="1887">
        <v>125454.93532640694</v>
      </c>
      <c r="W154" s="1887">
        <v>136586.59420796693</v>
      </c>
      <c r="Y154" s="65" t="str">
        <f t="shared" si="9"/>
        <v>ВКВТХ.150.300.1400.16ТК.24V</v>
      </c>
    </row>
    <row r="155" spans="1:25" ht="16.5" thickBot="1">
      <c r="A155" s="48" t="s">
        <v>47</v>
      </c>
      <c r="B155" s="49">
        <f t="shared" si="10"/>
        <v>150</v>
      </c>
      <c r="C155" s="49" t="s">
        <v>3</v>
      </c>
      <c r="D155" s="49">
        <f t="shared" si="11"/>
        <v>300</v>
      </c>
      <c r="E155" s="49" t="s">
        <v>3</v>
      </c>
      <c r="F155" s="50">
        <f t="shared" si="12"/>
        <v>1450</v>
      </c>
      <c r="G155" s="49" t="s">
        <v>3</v>
      </c>
      <c r="H155" s="49">
        <v>16</v>
      </c>
      <c r="I155" s="52" t="s">
        <v>530</v>
      </c>
      <c r="J155" s="1886">
        <v>150</v>
      </c>
      <c r="K155" s="66">
        <v>300</v>
      </c>
      <c r="L155" s="66">
        <v>1450</v>
      </c>
      <c r="M155" s="156"/>
      <c r="N155" s="66"/>
      <c r="O155" s="66"/>
      <c r="P155" s="113">
        <v>76352.800184239997</v>
      </c>
      <c r="Q155" s="113">
        <v>87809.165130280016</v>
      </c>
      <c r="R155" s="161">
        <v>19602.919199290882</v>
      </c>
      <c r="S155" s="161">
        <v>52927.88183808561</v>
      </c>
      <c r="T155" s="161">
        <v>95955.719383530872</v>
      </c>
      <c r="U155" s="161">
        <v>107412.08432957091</v>
      </c>
      <c r="V155" s="1887">
        <v>129280.68202232561</v>
      </c>
      <c r="W155" s="1887">
        <v>140737.04696836561</v>
      </c>
      <c r="Y155" s="65" t="str">
        <f t="shared" si="9"/>
        <v>ВКВТХ.150.300.1450.16ТК.24V</v>
      </c>
    </row>
    <row r="156" spans="1:25" ht="16.5" thickBot="1">
      <c r="A156" s="48" t="s">
        <v>47</v>
      </c>
      <c r="B156" s="49">
        <f t="shared" si="10"/>
        <v>150</v>
      </c>
      <c r="C156" s="49" t="s">
        <v>3</v>
      </c>
      <c r="D156" s="49">
        <f t="shared" si="11"/>
        <v>300</v>
      </c>
      <c r="E156" s="49" t="s">
        <v>3</v>
      </c>
      <c r="F156" s="50">
        <f t="shared" si="12"/>
        <v>1500</v>
      </c>
      <c r="G156" s="49" t="s">
        <v>3</v>
      </c>
      <c r="H156" s="49">
        <v>16</v>
      </c>
      <c r="I156" s="52" t="s">
        <v>530</v>
      </c>
      <c r="J156" s="1886">
        <v>150</v>
      </c>
      <c r="K156" s="66">
        <v>300</v>
      </c>
      <c r="L156" s="66">
        <v>1500</v>
      </c>
      <c r="M156" s="156"/>
      <c r="N156" s="66"/>
      <c r="O156" s="66"/>
      <c r="P156" s="113">
        <v>78863.858733839996</v>
      </c>
      <c r="Q156" s="113">
        <v>90649.970985640015</v>
      </c>
      <c r="R156" s="161">
        <v>20377.895031125838</v>
      </c>
      <c r="S156" s="161">
        <v>55020.316584039705</v>
      </c>
      <c r="T156" s="161">
        <v>99241.753764965833</v>
      </c>
      <c r="U156" s="161">
        <v>111027.86601676585</v>
      </c>
      <c r="V156" s="1887">
        <v>133884.17531787971</v>
      </c>
      <c r="W156" s="1887">
        <v>145670.28756967973</v>
      </c>
      <c r="Y156" s="65" t="str">
        <f t="shared" si="9"/>
        <v>ВКВТХ.150.300.1500.16ТК.24V</v>
      </c>
    </row>
    <row r="157" spans="1:25" ht="16.5" thickBot="1">
      <c r="A157" s="48" t="s">
        <v>47</v>
      </c>
      <c r="B157" s="49">
        <f t="shared" si="10"/>
        <v>150</v>
      </c>
      <c r="C157" s="49" t="s">
        <v>3</v>
      </c>
      <c r="D157" s="49">
        <f t="shared" si="11"/>
        <v>300</v>
      </c>
      <c r="E157" s="49" t="s">
        <v>3</v>
      </c>
      <c r="F157" s="50">
        <f t="shared" si="12"/>
        <v>1550</v>
      </c>
      <c r="G157" s="49" t="s">
        <v>3</v>
      </c>
      <c r="H157" s="49">
        <v>16</v>
      </c>
      <c r="I157" s="52" t="s">
        <v>530</v>
      </c>
      <c r="J157" s="1886">
        <v>150</v>
      </c>
      <c r="K157" s="66">
        <v>300</v>
      </c>
      <c r="L157" s="66">
        <v>1550</v>
      </c>
      <c r="M157" s="156"/>
      <c r="N157" s="66"/>
      <c r="O157" s="66"/>
      <c r="P157" s="113">
        <v>82088.092160460001</v>
      </c>
      <c r="Q157" s="113">
        <v>94240.21484736001</v>
      </c>
      <c r="R157" s="161">
        <v>20901.536719332704</v>
      </c>
      <c r="S157" s="161">
        <v>56434.149142198214</v>
      </c>
      <c r="T157" s="161">
        <v>102989.6288797927</v>
      </c>
      <c r="U157" s="161">
        <v>115141.75156669272</v>
      </c>
      <c r="V157" s="1887">
        <v>138522.24130265822</v>
      </c>
      <c r="W157" s="1887">
        <v>150674.36398955822</v>
      </c>
      <c r="Y157" s="65" t="str">
        <f t="shared" si="9"/>
        <v>ВКВТХ.150.300.1550.16ТК.24V</v>
      </c>
    </row>
    <row r="158" spans="1:25" ht="16.5" thickBot="1">
      <c r="A158" s="48" t="s">
        <v>47</v>
      </c>
      <c r="B158" s="49">
        <f t="shared" si="10"/>
        <v>150</v>
      </c>
      <c r="C158" s="49" t="s">
        <v>3</v>
      </c>
      <c r="D158" s="49">
        <f t="shared" si="11"/>
        <v>300</v>
      </c>
      <c r="E158" s="49" t="s">
        <v>3</v>
      </c>
      <c r="F158" s="50">
        <f t="shared" si="12"/>
        <v>1600</v>
      </c>
      <c r="G158" s="49" t="s">
        <v>3</v>
      </c>
      <c r="H158" s="49">
        <v>16</v>
      </c>
      <c r="I158" s="52" t="s">
        <v>530</v>
      </c>
      <c r="J158" s="1886">
        <v>150</v>
      </c>
      <c r="K158" s="66">
        <v>300</v>
      </c>
      <c r="L158" s="66">
        <v>1600</v>
      </c>
      <c r="M158" s="156"/>
      <c r="N158" s="66"/>
      <c r="O158" s="66"/>
      <c r="P158" s="113">
        <v>84500.006298220003</v>
      </c>
      <c r="Q158" s="113">
        <v>96976.83504960002</v>
      </c>
      <c r="R158" s="161">
        <v>21425.178407539574</v>
      </c>
      <c r="S158" s="161">
        <v>57847.981700356875</v>
      </c>
      <c r="T158" s="161">
        <v>105925.18470575957</v>
      </c>
      <c r="U158" s="161">
        <v>118402.01345713959</v>
      </c>
      <c r="V158" s="1887">
        <v>142347.98799857689</v>
      </c>
      <c r="W158" s="1887">
        <v>154824.8167499569</v>
      </c>
      <c r="Y158" s="65" t="str">
        <f t="shared" si="9"/>
        <v>ВКВТХ.150.300.1600.16ТК.24V</v>
      </c>
    </row>
    <row r="159" spans="1:25" ht="16.5" thickBot="1">
      <c r="A159" s="48" t="s">
        <v>47</v>
      </c>
      <c r="B159" s="49">
        <f t="shared" si="10"/>
        <v>150</v>
      </c>
      <c r="C159" s="49" t="s">
        <v>3</v>
      </c>
      <c r="D159" s="49">
        <f t="shared" si="11"/>
        <v>300</v>
      </c>
      <c r="E159" s="49" t="s">
        <v>3</v>
      </c>
      <c r="F159" s="50">
        <f t="shared" si="12"/>
        <v>1650</v>
      </c>
      <c r="G159" s="49" t="s">
        <v>3</v>
      </c>
      <c r="H159" s="49">
        <v>16</v>
      </c>
      <c r="I159" s="52" t="s">
        <v>530</v>
      </c>
      <c r="J159" s="1886">
        <v>150</v>
      </c>
      <c r="K159" s="66">
        <v>300</v>
      </c>
      <c r="L159" s="66">
        <v>1650</v>
      </c>
      <c r="M159" s="156"/>
      <c r="N159" s="66"/>
      <c r="O159" s="66"/>
      <c r="P159" s="113">
        <v>86911.920564600005</v>
      </c>
      <c r="Q159" s="113">
        <v>99713.455251840016</v>
      </c>
      <c r="R159" s="161">
        <v>22200.15423937438</v>
      </c>
      <c r="S159" s="161">
        <v>59940.41644631097</v>
      </c>
      <c r="T159" s="161">
        <v>109112.07480397439</v>
      </c>
      <c r="U159" s="161">
        <v>121913.60949121439</v>
      </c>
      <c r="V159" s="1887">
        <v>146852.33701091097</v>
      </c>
      <c r="W159" s="1887">
        <v>159653.87169815099</v>
      </c>
      <c r="Y159" s="65" t="str">
        <f t="shared" si="9"/>
        <v>ВКВТХ.150.300.1650.16ТК.24V</v>
      </c>
    </row>
    <row r="160" spans="1:25" ht="16.5" thickBot="1">
      <c r="A160" s="48" t="s">
        <v>47</v>
      </c>
      <c r="B160" s="49">
        <f t="shared" si="10"/>
        <v>150</v>
      </c>
      <c r="C160" s="49" t="s">
        <v>3</v>
      </c>
      <c r="D160" s="49">
        <f t="shared" si="11"/>
        <v>300</v>
      </c>
      <c r="E160" s="49" t="s">
        <v>3</v>
      </c>
      <c r="F160" s="50">
        <f t="shared" si="12"/>
        <v>1700</v>
      </c>
      <c r="G160" s="49" t="s">
        <v>3</v>
      </c>
      <c r="H160" s="49">
        <v>16</v>
      </c>
      <c r="I160" s="52" t="s">
        <v>530</v>
      </c>
      <c r="J160" s="1886">
        <v>150</v>
      </c>
      <c r="K160" s="66">
        <v>300</v>
      </c>
      <c r="L160" s="66">
        <v>1700</v>
      </c>
      <c r="M160" s="156"/>
      <c r="N160" s="66"/>
      <c r="O160" s="66"/>
      <c r="P160" s="113">
        <v>89323.834702359993</v>
      </c>
      <c r="Q160" s="113">
        <v>102450.07545408001</v>
      </c>
      <c r="R160" s="161">
        <v>22723.795927581246</v>
      </c>
      <c r="S160" s="161">
        <v>61354.249004469639</v>
      </c>
      <c r="T160" s="161">
        <v>112047.63062994124</v>
      </c>
      <c r="U160" s="161">
        <v>125173.87138166126</v>
      </c>
      <c r="V160" s="1887">
        <v>150678.08370682964</v>
      </c>
      <c r="W160" s="1887">
        <v>163804.32445854964</v>
      </c>
      <c r="Y160" s="65" t="str">
        <f t="shared" si="9"/>
        <v>ВКВТХ.150.300.1700.16ТК.24V</v>
      </c>
    </row>
    <row r="161" spans="1:25" ht="16.5" thickBot="1">
      <c r="A161" s="48" t="s">
        <v>47</v>
      </c>
      <c r="B161" s="49">
        <f t="shared" si="10"/>
        <v>150</v>
      </c>
      <c r="C161" s="49" t="s">
        <v>3</v>
      </c>
      <c r="D161" s="49">
        <f t="shared" si="11"/>
        <v>300</v>
      </c>
      <c r="E161" s="49" t="s">
        <v>3</v>
      </c>
      <c r="F161" s="50">
        <f t="shared" si="12"/>
        <v>1750</v>
      </c>
      <c r="G161" s="49" t="s">
        <v>3</v>
      </c>
      <c r="H161" s="49">
        <v>16</v>
      </c>
      <c r="I161" s="52" t="s">
        <v>530</v>
      </c>
      <c r="J161" s="1886">
        <v>150</v>
      </c>
      <c r="K161" s="66">
        <v>300</v>
      </c>
      <c r="L161" s="66">
        <v>1750</v>
      </c>
      <c r="M161" s="156"/>
      <c r="N161" s="66"/>
      <c r="O161" s="66"/>
      <c r="P161" s="113">
        <v>91735.748840119995</v>
      </c>
      <c r="Q161" s="113">
        <v>105186.69565632001</v>
      </c>
      <c r="R161" s="161">
        <v>23498.771759416202</v>
      </c>
      <c r="S161" s="161">
        <v>63446.683750423574</v>
      </c>
      <c r="T161" s="161">
        <v>115234.52059953619</v>
      </c>
      <c r="U161" s="161">
        <v>128685.4674157362</v>
      </c>
      <c r="V161" s="1887">
        <v>155182.43259054358</v>
      </c>
      <c r="W161" s="1887">
        <v>168633.37940674357</v>
      </c>
      <c r="Y161" s="65" t="str">
        <f t="shared" si="9"/>
        <v>ВКВТХ.150.300.1750.16ТК.24V</v>
      </c>
    </row>
    <row r="162" spans="1:25" ht="16.5" thickBot="1">
      <c r="A162" s="48" t="s">
        <v>47</v>
      </c>
      <c r="B162" s="49">
        <f t="shared" si="10"/>
        <v>150</v>
      </c>
      <c r="C162" s="49" t="s">
        <v>3</v>
      </c>
      <c r="D162" s="49">
        <f t="shared" si="11"/>
        <v>300</v>
      </c>
      <c r="E162" s="49" t="s">
        <v>3</v>
      </c>
      <c r="F162" s="50">
        <f t="shared" si="12"/>
        <v>1800</v>
      </c>
      <c r="G162" s="49" t="s">
        <v>3</v>
      </c>
      <c r="H162" s="49">
        <v>16</v>
      </c>
      <c r="I162" s="52" t="s">
        <v>530</v>
      </c>
      <c r="J162" s="1886">
        <v>150</v>
      </c>
      <c r="K162" s="66">
        <v>300</v>
      </c>
      <c r="L162" s="66">
        <v>1800</v>
      </c>
      <c r="M162" s="156"/>
      <c r="N162" s="66"/>
      <c r="O162" s="66"/>
      <c r="P162" s="113">
        <v>94646.591919540006</v>
      </c>
      <c r="Q162" s="113">
        <v>108549.04272788001</v>
      </c>
      <c r="R162" s="161">
        <v>24022.413447623072</v>
      </c>
      <c r="S162" s="161">
        <v>64860.51630858225</v>
      </c>
      <c r="T162" s="161">
        <v>118669.00536716307</v>
      </c>
      <c r="U162" s="161">
        <v>132571.45617550309</v>
      </c>
      <c r="V162" s="1887">
        <v>159507.10822812226</v>
      </c>
      <c r="W162" s="1887">
        <v>173409.55903646225</v>
      </c>
      <c r="Y162" s="65" t="str">
        <f t="shared" si="9"/>
        <v>ВКВТХ.150.300.1800.16ТК.24V</v>
      </c>
    </row>
    <row r="163" spans="1:25" ht="16.5" thickBot="1">
      <c r="A163" s="48" t="s">
        <v>47</v>
      </c>
      <c r="B163" s="49">
        <f t="shared" si="10"/>
        <v>150</v>
      </c>
      <c r="C163" s="49" t="s">
        <v>3</v>
      </c>
      <c r="D163" s="49">
        <f t="shared" si="11"/>
        <v>300</v>
      </c>
      <c r="E163" s="49" t="s">
        <v>3</v>
      </c>
      <c r="F163" s="50">
        <f t="shared" si="12"/>
        <v>1850</v>
      </c>
      <c r="G163" s="49" t="s">
        <v>3</v>
      </c>
      <c r="H163" s="49">
        <v>16</v>
      </c>
      <c r="I163" s="52" t="s">
        <v>530</v>
      </c>
      <c r="J163" s="1886">
        <v>150</v>
      </c>
      <c r="K163" s="66">
        <v>300</v>
      </c>
      <c r="L163" s="66">
        <v>1850</v>
      </c>
      <c r="M163" s="156"/>
      <c r="N163" s="66"/>
      <c r="O163" s="66"/>
      <c r="P163" s="113">
        <v>97380.056057299997</v>
      </c>
      <c r="Q163" s="113">
        <v>111623.56293012001</v>
      </c>
      <c r="R163" s="161">
        <v>24797.389279457875</v>
      </c>
      <c r="S163" s="161">
        <v>66952.951054536345</v>
      </c>
      <c r="T163" s="161">
        <v>122177.44533675787</v>
      </c>
      <c r="U163" s="161">
        <v>136420.9522095779</v>
      </c>
      <c r="V163" s="1887">
        <v>164333.00711183634</v>
      </c>
      <c r="W163" s="1887">
        <v>178576.51398465637</v>
      </c>
      <c r="Y163" s="65" t="str">
        <f t="shared" si="9"/>
        <v>ВКВТХ.150.300.1850.16ТК.24V</v>
      </c>
    </row>
    <row r="164" spans="1:25" ht="16.5" thickBot="1">
      <c r="A164" s="48" t="s">
        <v>47</v>
      </c>
      <c r="B164" s="49">
        <f t="shared" si="10"/>
        <v>150</v>
      </c>
      <c r="C164" s="49" t="s">
        <v>3</v>
      </c>
      <c r="D164" s="49">
        <f t="shared" si="11"/>
        <v>300</v>
      </c>
      <c r="E164" s="49" t="s">
        <v>3</v>
      </c>
      <c r="F164" s="50">
        <f t="shared" si="12"/>
        <v>1900</v>
      </c>
      <c r="G164" s="49" t="s">
        <v>3</v>
      </c>
      <c r="H164" s="49">
        <v>16</v>
      </c>
      <c r="I164" s="52" t="s">
        <v>530</v>
      </c>
      <c r="J164" s="1886">
        <v>150</v>
      </c>
      <c r="K164" s="66">
        <v>300</v>
      </c>
      <c r="L164" s="66">
        <v>1900</v>
      </c>
      <c r="M164" s="156"/>
      <c r="N164" s="66"/>
      <c r="O164" s="66"/>
      <c r="P164" s="113">
        <v>100113.52019506</v>
      </c>
      <c r="Q164" s="113">
        <v>114698.08326752001</v>
      </c>
      <c r="R164" s="161">
        <v>25321.030967664741</v>
      </c>
      <c r="S164" s="161">
        <v>68366.783612695013</v>
      </c>
      <c r="T164" s="161">
        <v>125434.55116272475</v>
      </c>
      <c r="U164" s="161">
        <v>140019.11423518474</v>
      </c>
      <c r="V164" s="1887">
        <v>168480.303807755</v>
      </c>
      <c r="W164" s="1887">
        <v>183064.86688021501</v>
      </c>
      <c r="Y164" s="65" t="str">
        <f t="shared" si="9"/>
        <v>ВКВТХ.150.300.1900.16ТК.24V</v>
      </c>
    </row>
    <row r="165" spans="1:25" ht="16.5" thickBot="1">
      <c r="A165" s="48" t="s">
        <v>47</v>
      </c>
      <c r="B165" s="49">
        <f t="shared" si="10"/>
        <v>150</v>
      </c>
      <c r="C165" s="49" t="s">
        <v>3</v>
      </c>
      <c r="D165" s="49">
        <f t="shared" si="11"/>
        <v>300</v>
      </c>
      <c r="E165" s="49" t="s">
        <v>3</v>
      </c>
      <c r="F165" s="50">
        <f t="shared" si="12"/>
        <v>1950</v>
      </c>
      <c r="G165" s="49" t="s">
        <v>3</v>
      </c>
      <c r="H165" s="49">
        <v>16</v>
      </c>
      <c r="I165" s="52" t="s">
        <v>530</v>
      </c>
      <c r="J165" s="1886">
        <v>150</v>
      </c>
      <c r="K165" s="66">
        <v>300</v>
      </c>
      <c r="L165" s="66">
        <v>1950</v>
      </c>
      <c r="M165" s="156"/>
      <c r="N165" s="66"/>
      <c r="O165" s="66"/>
      <c r="P165" s="113">
        <v>102846.98433281999</v>
      </c>
      <c r="Q165" s="113">
        <v>117772.60346976001</v>
      </c>
      <c r="R165" s="161">
        <v>25844.672655871764</v>
      </c>
      <c r="S165" s="161">
        <v>69780.616170853507</v>
      </c>
      <c r="T165" s="161">
        <v>128691.65698869176</v>
      </c>
      <c r="U165" s="161">
        <v>143617.27612563176</v>
      </c>
      <c r="V165" s="1887">
        <v>172627.60050367349</v>
      </c>
      <c r="W165" s="1887">
        <v>187553.21964061353</v>
      </c>
      <c r="Y165" s="65" t="str">
        <f t="shared" si="9"/>
        <v>ВКВТХ.150.300.1950.16ТК.24V</v>
      </c>
    </row>
    <row r="166" spans="1:25" ht="16.5" thickBot="1">
      <c r="A166" s="48" t="s">
        <v>47</v>
      </c>
      <c r="B166" s="49">
        <f t="shared" si="10"/>
        <v>150</v>
      </c>
      <c r="C166" s="49" t="s">
        <v>3</v>
      </c>
      <c r="D166" s="49">
        <f t="shared" si="11"/>
        <v>300</v>
      </c>
      <c r="E166" s="49" t="s">
        <v>3</v>
      </c>
      <c r="F166" s="50">
        <f t="shared" si="12"/>
        <v>2000</v>
      </c>
      <c r="G166" s="49" t="s">
        <v>3</v>
      </c>
      <c r="H166" s="49">
        <v>16</v>
      </c>
      <c r="I166" s="52" t="s">
        <v>530</v>
      </c>
      <c r="J166" s="1886">
        <v>150</v>
      </c>
      <c r="K166" s="66">
        <v>300</v>
      </c>
      <c r="L166" s="66">
        <v>2000</v>
      </c>
      <c r="M166" s="156"/>
      <c r="N166" s="66"/>
      <c r="O166" s="66"/>
      <c r="P166" s="113">
        <v>106821.27467869999</v>
      </c>
      <c r="Q166" s="113">
        <v>122202.02549564</v>
      </c>
      <c r="R166" s="161">
        <v>26619.64848770657</v>
      </c>
      <c r="S166" s="161">
        <v>71873.050916807624</v>
      </c>
      <c r="T166" s="161">
        <v>133440.92316640657</v>
      </c>
      <c r="U166" s="161">
        <v>148821.67398334658</v>
      </c>
      <c r="V166" s="1887">
        <v>178694.32559550763</v>
      </c>
      <c r="W166" s="1887">
        <v>194075.07641244761</v>
      </c>
      <c r="Y166" s="65" t="str">
        <f t="shared" si="9"/>
        <v>ВКВТХ.150.300.2000.16ТК.24V</v>
      </c>
    </row>
    <row r="167" spans="1:25" ht="16.5" thickBot="1">
      <c r="A167" s="48" t="s">
        <v>47</v>
      </c>
      <c r="B167" s="49">
        <f t="shared" si="10"/>
        <v>150</v>
      </c>
      <c r="C167" s="49" t="s">
        <v>3</v>
      </c>
      <c r="D167" s="49">
        <f t="shared" si="11"/>
        <v>300</v>
      </c>
      <c r="E167" s="49" t="s">
        <v>3</v>
      </c>
      <c r="F167" s="50">
        <f t="shared" si="12"/>
        <v>2050</v>
      </c>
      <c r="G167" s="49" t="s">
        <v>3</v>
      </c>
      <c r="H167" s="49">
        <v>16</v>
      </c>
      <c r="I167" s="52" t="s">
        <v>530</v>
      </c>
      <c r="J167" s="1886">
        <v>150</v>
      </c>
      <c r="K167" s="66">
        <v>300</v>
      </c>
      <c r="L167" s="66">
        <v>2050</v>
      </c>
      <c r="M167" s="156"/>
      <c r="N167" s="66"/>
      <c r="O167" s="66"/>
      <c r="P167" s="113">
        <v>109929.52064724</v>
      </c>
      <c r="Q167" s="113">
        <v>125657.69770884002</v>
      </c>
      <c r="R167" s="161">
        <v>27143.290175913437</v>
      </c>
      <c r="S167" s="161">
        <v>73286.883474966278</v>
      </c>
      <c r="T167" s="161">
        <v>137072.81082315344</v>
      </c>
      <c r="U167" s="161">
        <v>152800.98788475344</v>
      </c>
      <c r="V167" s="1887">
        <v>183216.40412220627</v>
      </c>
      <c r="W167" s="1887">
        <v>198944.58118380629</v>
      </c>
      <c r="Y167" s="65" t="str">
        <f t="shared" si="9"/>
        <v>ВКВТХ.150.300.2050.16ТК.24V</v>
      </c>
    </row>
    <row r="168" spans="1:25" ht="16.5" thickBot="1">
      <c r="A168" s="48" t="s">
        <v>47</v>
      </c>
      <c r="B168" s="49">
        <f t="shared" si="10"/>
        <v>150</v>
      </c>
      <c r="C168" s="49" t="s">
        <v>3</v>
      </c>
      <c r="D168" s="49">
        <f t="shared" si="11"/>
        <v>300</v>
      </c>
      <c r="E168" s="49" t="s">
        <v>3</v>
      </c>
      <c r="F168" s="50">
        <f t="shared" si="12"/>
        <v>2100</v>
      </c>
      <c r="G168" s="49" t="s">
        <v>3</v>
      </c>
      <c r="H168" s="49">
        <v>16</v>
      </c>
      <c r="I168" s="52" t="s">
        <v>530</v>
      </c>
      <c r="J168" s="1886">
        <v>150</v>
      </c>
      <c r="K168" s="66">
        <v>300</v>
      </c>
      <c r="L168" s="66">
        <v>2100</v>
      </c>
      <c r="M168" s="156"/>
      <c r="N168" s="66"/>
      <c r="O168" s="66"/>
      <c r="P168" s="113">
        <v>112662.98491361999</v>
      </c>
      <c r="Q168" s="113">
        <v>128732.21791108002</v>
      </c>
      <c r="R168" s="161">
        <v>27918.26600774824</v>
      </c>
      <c r="S168" s="161">
        <v>75379.31822092022</v>
      </c>
      <c r="T168" s="161">
        <v>140581.25092136822</v>
      </c>
      <c r="U168" s="161">
        <v>156650.48391882825</v>
      </c>
      <c r="V168" s="1887">
        <v>188042.30313454021</v>
      </c>
      <c r="W168" s="1887">
        <v>204111.53613200024</v>
      </c>
      <c r="Y168" s="65" t="str">
        <f t="shared" si="9"/>
        <v>ВКВТХ.150.300.2100.16ТК.24V</v>
      </c>
    </row>
    <row r="169" spans="1:25" ht="16.5" thickBot="1">
      <c r="A169" s="48" t="s">
        <v>47</v>
      </c>
      <c r="B169" s="49">
        <f t="shared" si="10"/>
        <v>150</v>
      </c>
      <c r="C169" s="49" t="s">
        <v>3</v>
      </c>
      <c r="D169" s="49">
        <f t="shared" si="11"/>
        <v>300</v>
      </c>
      <c r="E169" s="49" t="s">
        <v>3</v>
      </c>
      <c r="F169" s="50">
        <f t="shared" si="12"/>
        <v>2150</v>
      </c>
      <c r="G169" s="49" t="s">
        <v>3</v>
      </c>
      <c r="H169" s="49">
        <v>16</v>
      </c>
      <c r="I169" s="52" t="s">
        <v>530</v>
      </c>
      <c r="J169" s="1886">
        <v>150</v>
      </c>
      <c r="K169" s="66">
        <v>300</v>
      </c>
      <c r="L169" s="66">
        <v>2150</v>
      </c>
      <c r="M169" s="156"/>
      <c r="N169" s="66"/>
      <c r="O169" s="66"/>
      <c r="P169" s="113">
        <v>115396.44905138001</v>
      </c>
      <c r="Q169" s="113">
        <v>131806.73811332003</v>
      </c>
      <c r="R169" s="161">
        <v>28441.907695955109</v>
      </c>
      <c r="S169" s="161">
        <v>76793.150779078889</v>
      </c>
      <c r="T169" s="161">
        <v>143838.35674733511</v>
      </c>
      <c r="U169" s="161">
        <v>160248.64580927513</v>
      </c>
      <c r="V169" s="1887">
        <v>192189.5998304589</v>
      </c>
      <c r="W169" s="1887">
        <v>208599.88889239891</v>
      </c>
      <c r="Y169" s="65" t="str">
        <f t="shared" si="9"/>
        <v>ВКВТХ.150.300.2150.16ТК.24V</v>
      </c>
    </row>
    <row r="170" spans="1:25" ht="16.5" thickBot="1">
      <c r="A170" s="48" t="s">
        <v>47</v>
      </c>
      <c r="B170" s="49">
        <f t="shared" si="10"/>
        <v>150</v>
      </c>
      <c r="C170" s="49" t="s">
        <v>3</v>
      </c>
      <c r="D170" s="49">
        <f t="shared" si="11"/>
        <v>300</v>
      </c>
      <c r="E170" s="49" t="s">
        <v>3</v>
      </c>
      <c r="F170" s="50">
        <f t="shared" si="12"/>
        <v>2200</v>
      </c>
      <c r="G170" s="49" t="s">
        <v>3</v>
      </c>
      <c r="H170" s="49">
        <v>16</v>
      </c>
      <c r="I170" s="52" t="s">
        <v>530</v>
      </c>
      <c r="J170" s="1886">
        <v>150</v>
      </c>
      <c r="K170" s="66">
        <v>300</v>
      </c>
      <c r="L170" s="66">
        <v>2200</v>
      </c>
      <c r="M170" s="156"/>
      <c r="N170" s="66"/>
      <c r="O170" s="66"/>
      <c r="P170" s="113">
        <v>117816.52284193999</v>
      </c>
      <c r="Q170" s="113">
        <v>134653.36166056001</v>
      </c>
      <c r="R170" s="161">
        <v>29216.883527790069</v>
      </c>
      <c r="S170" s="161">
        <v>78885.585525032977</v>
      </c>
      <c r="T170" s="161">
        <v>147033.40636973007</v>
      </c>
      <c r="U170" s="161">
        <v>163870.24518835009</v>
      </c>
      <c r="V170" s="1887">
        <v>196702.10836697297</v>
      </c>
      <c r="W170" s="1887">
        <v>213538.94718559299</v>
      </c>
      <c r="Y170" s="65" t="str">
        <f t="shared" si="9"/>
        <v>ВКВТХ.150.300.2200.16ТК.24V</v>
      </c>
    </row>
    <row r="171" spans="1:25" ht="16.5" thickBot="1">
      <c r="A171" s="48" t="s">
        <v>47</v>
      </c>
      <c r="B171" s="49">
        <f t="shared" si="10"/>
        <v>150</v>
      </c>
      <c r="C171" s="49" t="s">
        <v>3</v>
      </c>
      <c r="D171" s="49">
        <f t="shared" si="11"/>
        <v>300</v>
      </c>
      <c r="E171" s="49" t="s">
        <v>3</v>
      </c>
      <c r="F171" s="50">
        <f t="shared" si="12"/>
        <v>2250</v>
      </c>
      <c r="G171" s="49" t="s">
        <v>3</v>
      </c>
      <c r="H171" s="49">
        <v>16</v>
      </c>
      <c r="I171" s="52" t="s">
        <v>530</v>
      </c>
      <c r="J171" s="1886">
        <v>150</v>
      </c>
      <c r="K171" s="66">
        <v>300</v>
      </c>
      <c r="L171" s="66">
        <v>2250</v>
      </c>
      <c r="M171" s="156"/>
      <c r="N171" s="66"/>
      <c r="O171" s="66"/>
      <c r="P171" s="113">
        <v>119994.46356598001</v>
      </c>
      <c r="Q171" s="113">
        <v>137144.11149584001</v>
      </c>
      <c r="R171" s="161">
        <v>29740.525215996935</v>
      </c>
      <c r="S171" s="161">
        <v>80299.418083191646</v>
      </c>
      <c r="T171" s="161">
        <v>149734.98878197695</v>
      </c>
      <c r="U171" s="161">
        <v>166884.63671183694</v>
      </c>
      <c r="V171" s="1887">
        <v>200293.88164917164</v>
      </c>
      <c r="W171" s="1887">
        <v>217443.52957903166</v>
      </c>
      <c r="Y171" s="65" t="str">
        <f t="shared" si="9"/>
        <v>ВКВТХ.150.300.2250.16ТК.24V</v>
      </c>
    </row>
    <row r="172" spans="1:25" ht="16.5" thickBot="1">
      <c r="A172" s="48" t="s">
        <v>47</v>
      </c>
      <c r="B172" s="49">
        <f t="shared" si="10"/>
        <v>150</v>
      </c>
      <c r="C172" s="49" t="s">
        <v>3</v>
      </c>
      <c r="D172" s="49">
        <f t="shared" si="11"/>
        <v>300</v>
      </c>
      <c r="E172" s="49" t="s">
        <v>3</v>
      </c>
      <c r="F172" s="50">
        <f t="shared" si="12"/>
        <v>2300</v>
      </c>
      <c r="G172" s="49" t="s">
        <v>3</v>
      </c>
      <c r="H172" s="49">
        <v>16</v>
      </c>
      <c r="I172" s="52" t="s">
        <v>530</v>
      </c>
      <c r="J172" s="1886">
        <v>150</v>
      </c>
      <c r="K172" s="66">
        <v>300</v>
      </c>
      <c r="L172" s="66">
        <v>2300</v>
      </c>
      <c r="M172" s="156"/>
      <c r="N172" s="66"/>
      <c r="O172" s="66"/>
      <c r="P172" s="113">
        <v>121673.47547698001</v>
      </c>
      <c r="Q172" s="113">
        <v>139009.13446180001</v>
      </c>
      <c r="R172" s="161">
        <v>30264.166904203805</v>
      </c>
      <c r="S172" s="161">
        <v>81713.250641350314</v>
      </c>
      <c r="T172" s="161">
        <v>151937.6423811838</v>
      </c>
      <c r="U172" s="161">
        <v>169273.30136600381</v>
      </c>
      <c r="V172" s="1887">
        <v>203386.72611833032</v>
      </c>
      <c r="W172" s="1887">
        <v>220722.38510315033</v>
      </c>
      <c r="Y172" s="65" t="str">
        <f t="shared" si="9"/>
        <v>ВКВТХ.150.300.2300.16ТК.24V</v>
      </c>
    </row>
    <row r="173" spans="1:25" ht="16.5" thickBot="1">
      <c r="A173" s="48" t="s">
        <v>47</v>
      </c>
      <c r="B173" s="49">
        <f t="shared" si="10"/>
        <v>150</v>
      </c>
      <c r="C173" s="49" t="s">
        <v>3</v>
      </c>
      <c r="D173" s="49">
        <f t="shared" si="11"/>
        <v>300</v>
      </c>
      <c r="E173" s="49" t="s">
        <v>3</v>
      </c>
      <c r="F173" s="50">
        <f t="shared" si="12"/>
        <v>2350</v>
      </c>
      <c r="G173" s="49" t="s">
        <v>3</v>
      </c>
      <c r="H173" s="49">
        <v>16</v>
      </c>
      <c r="I173" s="52" t="s">
        <v>530</v>
      </c>
      <c r="J173" s="1886">
        <v>150</v>
      </c>
      <c r="K173" s="66">
        <v>300</v>
      </c>
      <c r="L173" s="66">
        <v>2350</v>
      </c>
      <c r="M173" s="156"/>
      <c r="N173" s="66"/>
      <c r="O173" s="66"/>
      <c r="P173" s="113">
        <v>123851.41620101999</v>
      </c>
      <c r="Q173" s="113">
        <v>141499.88429708002</v>
      </c>
      <c r="R173" s="161">
        <v>31039.142736038608</v>
      </c>
      <c r="S173" s="161">
        <v>83805.685387304256</v>
      </c>
      <c r="T173" s="161">
        <v>154890.55893705861</v>
      </c>
      <c r="U173" s="161">
        <v>172539.02703311862</v>
      </c>
      <c r="V173" s="1887">
        <v>207657.10158832424</v>
      </c>
      <c r="W173" s="1887">
        <v>225305.56968438427</v>
      </c>
      <c r="Y173" s="65" t="str">
        <f t="shared" si="9"/>
        <v>ВКВТХ.150.300.2350.16ТК.24V</v>
      </c>
    </row>
    <row r="174" spans="1:25" ht="16.5" thickBot="1">
      <c r="A174" s="48" t="s">
        <v>47</v>
      </c>
      <c r="B174" s="49">
        <f t="shared" si="10"/>
        <v>150</v>
      </c>
      <c r="C174" s="49" t="s">
        <v>3</v>
      </c>
      <c r="D174" s="49">
        <f t="shared" si="11"/>
        <v>300</v>
      </c>
      <c r="E174" s="49" t="s">
        <v>3</v>
      </c>
      <c r="F174" s="50">
        <f t="shared" si="12"/>
        <v>2400</v>
      </c>
      <c r="G174" s="49" t="s">
        <v>3</v>
      </c>
      <c r="H174" s="49">
        <v>16</v>
      </c>
      <c r="I174" s="52" t="s">
        <v>530</v>
      </c>
      <c r="J174" s="1886">
        <v>150</v>
      </c>
      <c r="K174" s="66">
        <v>300</v>
      </c>
      <c r="L174" s="66">
        <v>2400</v>
      </c>
      <c r="M174" s="156"/>
      <c r="N174" s="66"/>
      <c r="O174" s="66"/>
      <c r="P174" s="113">
        <v>126029.35705368</v>
      </c>
      <c r="Q174" s="113">
        <v>143990.63413236002</v>
      </c>
      <c r="R174" s="161">
        <v>31562.784424245474</v>
      </c>
      <c r="S174" s="161">
        <v>85219.517945462911</v>
      </c>
      <c r="T174" s="161">
        <v>157592.14147792547</v>
      </c>
      <c r="U174" s="161">
        <v>175553.41855660549</v>
      </c>
      <c r="V174" s="1887">
        <v>211248.87499914289</v>
      </c>
      <c r="W174" s="1887">
        <v>229210.15207782295</v>
      </c>
      <c r="Y174" s="65" t="str">
        <f t="shared" si="9"/>
        <v>ВКВТХ.150.300.2400.16ТК.24V</v>
      </c>
    </row>
    <row r="175" spans="1:25" ht="16.5" thickBot="1">
      <c r="A175" s="48" t="s">
        <v>47</v>
      </c>
      <c r="B175" s="49">
        <f t="shared" si="10"/>
        <v>150</v>
      </c>
      <c r="C175" s="49" t="s">
        <v>3</v>
      </c>
      <c r="D175" s="49">
        <f t="shared" si="11"/>
        <v>300</v>
      </c>
      <c r="E175" s="49" t="s">
        <v>3</v>
      </c>
      <c r="F175" s="50">
        <f t="shared" si="12"/>
        <v>2450</v>
      </c>
      <c r="G175" s="49" t="s">
        <v>3</v>
      </c>
      <c r="H175" s="49">
        <v>16</v>
      </c>
      <c r="I175" s="52" t="s">
        <v>530</v>
      </c>
      <c r="J175" s="1886">
        <v>150</v>
      </c>
      <c r="K175" s="66">
        <v>300</v>
      </c>
      <c r="L175" s="66">
        <v>2450</v>
      </c>
      <c r="M175" s="156"/>
      <c r="N175" s="66"/>
      <c r="O175" s="66"/>
      <c r="P175" s="113">
        <v>128207.29777772</v>
      </c>
      <c r="Q175" s="113">
        <v>146481.38410280002</v>
      </c>
      <c r="R175" s="161">
        <v>32337.760256080281</v>
      </c>
      <c r="S175" s="161">
        <v>87311.952691417013</v>
      </c>
      <c r="T175" s="161">
        <v>160545.05803380028</v>
      </c>
      <c r="U175" s="161">
        <v>178819.14435888029</v>
      </c>
      <c r="V175" s="1887">
        <v>215519.25046913701</v>
      </c>
      <c r="W175" s="1887">
        <v>233793.33679421703</v>
      </c>
      <c r="Y175" s="65" t="str">
        <f t="shared" si="9"/>
        <v>ВКВТХ.150.300.2450.16ТК.24V</v>
      </c>
    </row>
    <row r="176" spans="1:25" ht="16.5" thickBot="1">
      <c r="A176" s="48" t="s">
        <v>47</v>
      </c>
      <c r="B176" s="49">
        <f t="shared" si="10"/>
        <v>150</v>
      </c>
      <c r="C176" s="49" t="s">
        <v>3</v>
      </c>
      <c r="D176" s="49">
        <f t="shared" si="11"/>
        <v>300</v>
      </c>
      <c r="E176" s="49" t="s">
        <v>3</v>
      </c>
      <c r="F176" s="50">
        <f t="shared" si="12"/>
        <v>2500</v>
      </c>
      <c r="G176" s="49" t="s">
        <v>3</v>
      </c>
      <c r="H176" s="49">
        <v>16</v>
      </c>
      <c r="I176" s="52" t="s">
        <v>530</v>
      </c>
      <c r="J176" s="1886">
        <v>150</v>
      </c>
      <c r="K176" s="66">
        <v>300</v>
      </c>
      <c r="L176" s="66">
        <v>2500</v>
      </c>
      <c r="M176" s="156"/>
      <c r="N176" s="66"/>
      <c r="O176" s="66"/>
      <c r="P176" s="113">
        <v>130484.38304222</v>
      </c>
      <c r="Q176" s="113">
        <v>149076.31959120001</v>
      </c>
      <c r="R176" s="161">
        <v>32861.401944287303</v>
      </c>
      <c r="S176" s="161">
        <v>88725.785249575521</v>
      </c>
      <c r="T176" s="161">
        <v>163345.78498650729</v>
      </c>
      <c r="U176" s="161">
        <v>181937.7215354873</v>
      </c>
      <c r="V176" s="1887">
        <v>219210.16829179553</v>
      </c>
      <c r="W176" s="1887">
        <v>237802.10484077554</v>
      </c>
      <c r="Y176" s="65" t="str">
        <f t="shared" si="9"/>
        <v>ВКВТХ.150.300.2500.16ТК.24V</v>
      </c>
    </row>
    <row r="177" spans="1:25" ht="16.5" thickBot="1">
      <c r="A177" s="48" t="s">
        <v>47</v>
      </c>
      <c r="B177" s="49">
        <f t="shared" si="10"/>
        <v>150</v>
      </c>
      <c r="C177" s="49" t="s">
        <v>3</v>
      </c>
      <c r="D177" s="49">
        <f t="shared" si="11"/>
        <v>300</v>
      </c>
      <c r="E177" s="49" t="s">
        <v>3</v>
      </c>
      <c r="F177" s="50">
        <f t="shared" si="12"/>
        <v>2550</v>
      </c>
      <c r="G177" s="49" t="s">
        <v>3</v>
      </c>
      <c r="H177" s="49">
        <v>16</v>
      </c>
      <c r="I177" s="52" t="s">
        <v>530</v>
      </c>
      <c r="J177" s="1886">
        <v>150</v>
      </c>
      <c r="K177" s="66">
        <v>300</v>
      </c>
      <c r="L177" s="66">
        <v>2550</v>
      </c>
      <c r="M177" s="156"/>
      <c r="N177" s="66"/>
      <c r="O177" s="66"/>
      <c r="P177" s="113">
        <v>134286.96221535999</v>
      </c>
      <c r="Q177" s="113">
        <v>153274.31661028002</v>
      </c>
      <c r="R177" s="161">
        <v>33636.377776122106</v>
      </c>
      <c r="S177" s="161">
        <v>90818.219995529624</v>
      </c>
      <c r="T177" s="161">
        <v>167923.33999148209</v>
      </c>
      <c r="U177" s="161">
        <v>186910.69438640212</v>
      </c>
      <c r="V177" s="1887">
        <v>225105.18221088962</v>
      </c>
      <c r="W177" s="1887">
        <v>244092.53660580964</v>
      </c>
      <c r="Y177" s="65" t="str">
        <f t="shared" si="9"/>
        <v>ВКВТХ.150.300.2550.16ТК.24V</v>
      </c>
    </row>
    <row r="178" spans="1:25" ht="16.5" thickBot="1">
      <c r="A178" s="48" t="s">
        <v>47</v>
      </c>
      <c r="B178" s="49">
        <f t="shared" si="10"/>
        <v>150</v>
      </c>
      <c r="C178" s="49" t="s">
        <v>3</v>
      </c>
      <c r="D178" s="49">
        <f t="shared" si="11"/>
        <v>300</v>
      </c>
      <c r="E178" s="49" t="s">
        <v>3</v>
      </c>
      <c r="F178" s="50">
        <f t="shared" si="12"/>
        <v>2600</v>
      </c>
      <c r="G178" s="49" t="s">
        <v>3</v>
      </c>
      <c r="H178" s="49">
        <v>16</v>
      </c>
      <c r="I178" s="52" t="s">
        <v>530</v>
      </c>
      <c r="J178" s="1886">
        <v>150</v>
      </c>
      <c r="K178" s="66">
        <v>300</v>
      </c>
      <c r="L178" s="66">
        <v>2600</v>
      </c>
      <c r="M178" s="156"/>
      <c r="N178" s="66"/>
      <c r="O178" s="66"/>
      <c r="P178" s="113">
        <v>136464.90306802001</v>
      </c>
      <c r="Q178" s="113">
        <v>155765.06644556002</v>
      </c>
      <c r="R178" s="161">
        <v>34160.019464328972</v>
      </c>
      <c r="S178" s="161">
        <v>92232.052553688292</v>
      </c>
      <c r="T178" s="161">
        <v>170624.92253234898</v>
      </c>
      <c r="U178" s="161">
        <v>189925.08590988899</v>
      </c>
      <c r="V178" s="1887">
        <v>228696.9556217083</v>
      </c>
      <c r="W178" s="1887">
        <v>247997.11899924831</v>
      </c>
      <c r="Y178" s="65" t="str">
        <f t="shared" si="9"/>
        <v>ВКВТХ.150.300.2600.16ТК.24V</v>
      </c>
    </row>
    <row r="179" spans="1:25" ht="16.5" thickBot="1">
      <c r="A179" s="48" t="s">
        <v>47</v>
      </c>
      <c r="B179" s="49">
        <f t="shared" si="10"/>
        <v>150</v>
      </c>
      <c r="C179" s="49" t="s">
        <v>3</v>
      </c>
      <c r="D179" s="49">
        <f t="shared" si="11"/>
        <v>300</v>
      </c>
      <c r="E179" s="49" t="s">
        <v>3</v>
      </c>
      <c r="F179" s="50">
        <f t="shared" si="12"/>
        <v>2650</v>
      </c>
      <c r="G179" s="49" t="s">
        <v>3</v>
      </c>
      <c r="H179" s="49">
        <v>16</v>
      </c>
      <c r="I179" s="52" t="s">
        <v>530</v>
      </c>
      <c r="J179" s="1886">
        <v>150</v>
      </c>
      <c r="K179" s="66">
        <v>300</v>
      </c>
      <c r="L179" s="66">
        <v>2650</v>
      </c>
      <c r="M179" s="156"/>
      <c r="N179" s="66"/>
      <c r="O179" s="66"/>
      <c r="P179" s="113">
        <v>138670.14801738001</v>
      </c>
      <c r="Q179" s="113">
        <v>158284.50885660003</v>
      </c>
      <c r="R179" s="161">
        <v>34934.995296163783</v>
      </c>
      <c r="S179" s="161">
        <v>94324.48729964238</v>
      </c>
      <c r="T179" s="161">
        <v>173605.14331354378</v>
      </c>
      <c r="U179" s="161">
        <v>193219.50415276381</v>
      </c>
      <c r="V179" s="1887">
        <v>232994.63531702239</v>
      </c>
      <c r="W179" s="1887">
        <v>252608.99615624241</v>
      </c>
      <c r="Y179" s="65" t="str">
        <f t="shared" si="9"/>
        <v>ВКВТХ.150.300.2650.16ТК.24V</v>
      </c>
    </row>
    <row r="180" spans="1:25" ht="16.5" thickBot="1">
      <c r="A180" s="48" t="s">
        <v>47</v>
      </c>
      <c r="B180" s="49">
        <f t="shared" si="10"/>
        <v>150</v>
      </c>
      <c r="C180" s="49" t="s">
        <v>3</v>
      </c>
      <c r="D180" s="49">
        <f t="shared" si="11"/>
        <v>300</v>
      </c>
      <c r="E180" s="49" t="s">
        <v>3</v>
      </c>
      <c r="F180" s="50">
        <f t="shared" si="12"/>
        <v>2700</v>
      </c>
      <c r="G180" s="49" t="s">
        <v>3</v>
      </c>
      <c r="H180" s="49">
        <v>16</v>
      </c>
      <c r="I180" s="52" t="s">
        <v>530</v>
      </c>
      <c r="J180" s="1886">
        <v>150</v>
      </c>
      <c r="K180" s="66">
        <v>300</v>
      </c>
      <c r="L180" s="66">
        <v>2700</v>
      </c>
      <c r="M180" s="156"/>
      <c r="N180" s="66"/>
      <c r="O180" s="66"/>
      <c r="P180" s="113">
        <v>140562.00249092001</v>
      </c>
      <c r="Q180" s="113">
        <v>160576.05461264003</v>
      </c>
      <c r="R180" s="161">
        <v>35458.636984370802</v>
      </c>
      <c r="S180" s="161">
        <v>95738.319857801049</v>
      </c>
      <c r="T180" s="161">
        <v>176020.63947529081</v>
      </c>
      <c r="U180" s="161">
        <v>196034.69159701082</v>
      </c>
      <c r="V180" s="1887">
        <v>236300.32234872106</v>
      </c>
      <c r="W180" s="1887">
        <v>256314.37447044108</v>
      </c>
      <c r="Y180" s="65" t="str">
        <f t="shared" si="9"/>
        <v>ВКВТХ.150.300.2700.16ТК.24V</v>
      </c>
    </row>
    <row r="181" spans="1:25" ht="16.5" thickBot="1">
      <c r="A181" s="48" t="s">
        <v>47</v>
      </c>
      <c r="B181" s="49">
        <f t="shared" si="10"/>
        <v>150</v>
      </c>
      <c r="C181" s="49" t="s">
        <v>3</v>
      </c>
      <c r="D181" s="49">
        <f t="shared" si="11"/>
        <v>300</v>
      </c>
      <c r="E181" s="49" t="s">
        <v>3</v>
      </c>
      <c r="F181" s="50">
        <f t="shared" si="12"/>
        <v>2750</v>
      </c>
      <c r="G181" s="49" t="s">
        <v>3</v>
      </c>
      <c r="H181" s="49">
        <v>16</v>
      </c>
      <c r="I181" s="52" t="s">
        <v>530</v>
      </c>
      <c r="J181" s="1886">
        <v>150</v>
      </c>
      <c r="K181" s="66">
        <v>300</v>
      </c>
      <c r="L181" s="66">
        <v>2750</v>
      </c>
      <c r="M181" s="156"/>
      <c r="N181" s="66"/>
      <c r="O181" s="66"/>
      <c r="P181" s="113">
        <v>142767.2475689</v>
      </c>
      <c r="Q181" s="113">
        <v>163095.49702368001</v>
      </c>
      <c r="R181" s="161">
        <v>35982.278672577668</v>
      </c>
      <c r="S181" s="161">
        <v>97152.152415959557</v>
      </c>
      <c r="T181" s="161">
        <v>178749.52624147767</v>
      </c>
      <c r="U181" s="161">
        <v>199077.77569625768</v>
      </c>
      <c r="V181" s="1887">
        <v>239919.39998485957</v>
      </c>
      <c r="W181" s="1887">
        <v>260247.64943963959</v>
      </c>
      <c r="Y181" s="65" t="str">
        <f t="shared" si="9"/>
        <v>ВКВТХ.150.300.2750.16ТК.24V</v>
      </c>
    </row>
    <row r="182" spans="1:25" ht="16.5" thickBot="1">
      <c r="A182" s="48" t="s">
        <v>47</v>
      </c>
      <c r="B182" s="49">
        <f t="shared" si="10"/>
        <v>150</v>
      </c>
      <c r="C182" s="49" t="s">
        <v>3</v>
      </c>
      <c r="D182" s="49">
        <f t="shared" si="11"/>
        <v>300</v>
      </c>
      <c r="E182" s="49" t="s">
        <v>3</v>
      </c>
      <c r="F182" s="50">
        <f t="shared" si="12"/>
        <v>2800</v>
      </c>
      <c r="G182" s="49" t="s">
        <v>3</v>
      </c>
      <c r="H182" s="49">
        <v>16</v>
      </c>
      <c r="I182" s="52" t="s">
        <v>530</v>
      </c>
      <c r="J182" s="1886">
        <v>150</v>
      </c>
      <c r="K182" s="66">
        <v>300</v>
      </c>
      <c r="L182" s="66">
        <v>2800</v>
      </c>
      <c r="M182" s="156"/>
      <c r="N182" s="66"/>
      <c r="O182" s="66"/>
      <c r="P182" s="113">
        <v>144972.49251826</v>
      </c>
      <c r="Q182" s="113">
        <v>165614.93943472003</v>
      </c>
      <c r="R182" s="161">
        <v>36757.254504412471</v>
      </c>
      <c r="S182" s="161">
        <v>99244.58716191366</v>
      </c>
      <c r="T182" s="161">
        <v>181729.74702267247</v>
      </c>
      <c r="U182" s="161">
        <v>202372.1939391325</v>
      </c>
      <c r="V182" s="1887">
        <v>244217.07968017366</v>
      </c>
      <c r="W182" s="1887">
        <v>264859.52659663372</v>
      </c>
      <c r="Y182" s="65" t="str">
        <f t="shared" si="9"/>
        <v>ВКВТХ.150.300.2800.16ТК.24V</v>
      </c>
    </row>
    <row r="183" spans="1:25" ht="16.5" thickBot="1">
      <c r="A183" s="48" t="s">
        <v>47</v>
      </c>
      <c r="B183" s="49">
        <f t="shared" si="10"/>
        <v>150</v>
      </c>
      <c r="C183" s="49" t="s">
        <v>3</v>
      </c>
      <c r="D183" s="49">
        <f t="shared" si="11"/>
        <v>300</v>
      </c>
      <c r="E183" s="49" t="s">
        <v>3</v>
      </c>
      <c r="F183" s="50">
        <f t="shared" si="12"/>
        <v>2850</v>
      </c>
      <c r="G183" s="49" t="s">
        <v>3</v>
      </c>
      <c r="H183" s="49">
        <v>16</v>
      </c>
      <c r="I183" s="52" t="s">
        <v>530</v>
      </c>
      <c r="J183" s="1886">
        <v>150</v>
      </c>
      <c r="K183" s="66">
        <v>300</v>
      </c>
      <c r="L183" s="66">
        <v>2850</v>
      </c>
      <c r="M183" s="156"/>
      <c r="N183" s="66"/>
      <c r="O183" s="66"/>
      <c r="P183" s="113">
        <v>147177.73746762</v>
      </c>
      <c r="Q183" s="113">
        <v>168134.38184576001</v>
      </c>
      <c r="R183" s="161">
        <v>37280.896192619337</v>
      </c>
      <c r="S183" s="161">
        <v>100658.41972007231</v>
      </c>
      <c r="T183" s="161">
        <v>184458.63366023934</v>
      </c>
      <c r="U183" s="161">
        <v>205415.27803837936</v>
      </c>
      <c r="V183" s="1887">
        <v>247836.1571876923</v>
      </c>
      <c r="W183" s="1887">
        <v>268792.80156583234</v>
      </c>
      <c r="Y183" s="65" t="str">
        <f t="shared" si="9"/>
        <v>ВКВТХ.150.300.2850.16ТК.24V</v>
      </c>
    </row>
    <row r="184" spans="1:25" ht="16.5" thickBot="1">
      <c r="A184" s="48" t="s">
        <v>47</v>
      </c>
      <c r="B184" s="49">
        <f t="shared" si="10"/>
        <v>150</v>
      </c>
      <c r="C184" s="49" t="s">
        <v>3</v>
      </c>
      <c r="D184" s="49">
        <f t="shared" si="11"/>
        <v>300</v>
      </c>
      <c r="E184" s="49" t="s">
        <v>3</v>
      </c>
      <c r="F184" s="50">
        <f t="shared" si="12"/>
        <v>2900</v>
      </c>
      <c r="G184" s="49" t="s">
        <v>3</v>
      </c>
      <c r="H184" s="49">
        <v>16</v>
      </c>
      <c r="I184" s="52" t="s">
        <v>530</v>
      </c>
      <c r="J184" s="1886">
        <v>150</v>
      </c>
      <c r="K184" s="66">
        <v>300</v>
      </c>
      <c r="L184" s="66">
        <v>2900</v>
      </c>
      <c r="M184" s="156"/>
      <c r="N184" s="66"/>
      <c r="O184" s="66"/>
      <c r="P184" s="113">
        <v>149382.98241698</v>
      </c>
      <c r="Q184" s="113">
        <v>170653.82425680003</v>
      </c>
      <c r="R184" s="161">
        <v>38055.87202445414</v>
      </c>
      <c r="S184" s="161">
        <v>102750.85446602642</v>
      </c>
      <c r="T184" s="161">
        <v>187438.85444143414</v>
      </c>
      <c r="U184" s="161">
        <v>208709.69628125418</v>
      </c>
      <c r="V184" s="1887">
        <v>252133.83688300641</v>
      </c>
      <c r="W184" s="1887">
        <v>273404.67872282641</v>
      </c>
      <c r="Y184" s="65" t="str">
        <f t="shared" si="9"/>
        <v>ВКВТХ.150.300.2900.16ТК.24V</v>
      </c>
    </row>
    <row r="185" spans="1:25" ht="16.5" thickBot="1">
      <c r="A185" s="48" t="s">
        <v>47</v>
      </c>
      <c r="B185" s="49">
        <f t="shared" si="10"/>
        <v>150</v>
      </c>
      <c r="C185" s="49" t="s">
        <v>3</v>
      </c>
      <c r="D185" s="49">
        <f t="shared" si="11"/>
        <v>300</v>
      </c>
      <c r="E185" s="49" t="s">
        <v>3</v>
      </c>
      <c r="F185" s="50">
        <f t="shared" si="12"/>
        <v>2950</v>
      </c>
      <c r="G185" s="49" t="s">
        <v>3</v>
      </c>
      <c r="H185" s="49">
        <v>16</v>
      </c>
      <c r="I185" s="52" t="s">
        <v>530</v>
      </c>
      <c r="J185" s="1886">
        <v>150</v>
      </c>
      <c r="K185" s="66">
        <v>300</v>
      </c>
      <c r="L185" s="66">
        <v>2950</v>
      </c>
      <c r="M185" s="156"/>
      <c r="N185" s="66"/>
      <c r="O185" s="66"/>
      <c r="P185" s="113">
        <v>151588.22736634</v>
      </c>
      <c r="Q185" s="113">
        <v>173173.26653268002</v>
      </c>
      <c r="R185" s="161">
        <v>38579.513712661013</v>
      </c>
      <c r="S185" s="161">
        <v>104164.68702418492</v>
      </c>
      <c r="T185" s="161">
        <v>190167.74107900102</v>
      </c>
      <c r="U185" s="161">
        <v>211752.78024534104</v>
      </c>
      <c r="V185" s="1887">
        <v>255752.91439052491</v>
      </c>
      <c r="W185" s="1887">
        <v>277337.95355686493</v>
      </c>
      <c r="Y185" s="65" t="str">
        <f t="shared" si="9"/>
        <v>ВКВТХ.150.300.2950.16ТК.24V</v>
      </c>
    </row>
    <row r="186" spans="1:25" ht="16.5" thickBot="1">
      <c r="A186" s="55" t="s">
        <v>47</v>
      </c>
      <c r="B186" s="56">
        <f t="shared" si="10"/>
        <v>150</v>
      </c>
      <c r="C186" s="56" t="s">
        <v>3</v>
      </c>
      <c r="D186" s="56">
        <f t="shared" si="11"/>
        <v>300</v>
      </c>
      <c r="E186" s="56" t="s">
        <v>3</v>
      </c>
      <c r="F186" s="57">
        <f t="shared" si="12"/>
        <v>3000</v>
      </c>
      <c r="G186" s="56" t="s">
        <v>3</v>
      </c>
      <c r="H186" s="56">
        <v>16</v>
      </c>
      <c r="I186" s="1888" t="s">
        <v>530</v>
      </c>
      <c r="J186" s="1889">
        <v>150</v>
      </c>
      <c r="K186" s="266">
        <v>300</v>
      </c>
      <c r="L186" s="266">
        <v>3000</v>
      </c>
      <c r="M186" s="281"/>
      <c r="N186" s="266"/>
      <c r="O186" s="266"/>
      <c r="P186" s="251">
        <v>153911.09479122001</v>
      </c>
      <c r="Q186" s="251">
        <v>175816.31222308002</v>
      </c>
      <c r="R186" s="283">
        <v>39354.489544495969</v>
      </c>
      <c r="S186" s="283">
        <v>106257.12177013903</v>
      </c>
      <c r="T186" s="283">
        <v>193265.58433571598</v>
      </c>
      <c r="U186" s="283">
        <v>215170.80176757599</v>
      </c>
      <c r="V186" s="1890">
        <v>260168.21656135903</v>
      </c>
      <c r="W186" s="1890">
        <v>282073.43399321905</v>
      </c>
      <c r="Y186" s="65" t="str">
        <f t="shared" si="9"/>
        <v>ВКВТХ.150.300.3000.16ТК.24V</v>
      </c>
    </row>
    <row r="187" spans="1:25">
      <c r="A187" s="3080" t="s">
        <v>475</v>
      </c>
      <c r="B187" s="3081"/>
      <c r="C187" s="3081"/>
      <c r="D187" s="3081"/>
      <c r="E187" s="3081"/>
      <c r="F187" s="3081"/>
      <c r="G187" s="3081"/>
      <c r="H187" s="3081"/>
      <c r="I187" s="3081"/>
      <c r="J187" s="3081"/>
      <c r="K187" s="3081"/>
      <c r="L187" s="3081"/>
      <c r="M187" s="3081"/>
      <c r="N187" s="3081"/>
      <c r="O187" s="3081"/>
      <c r="P187" s="3081"/>
      <c r="Q187" s="3081"/>
      <c r="R187" s="3081"/>
      <c r="S187" s="3081"/>
      <c r="T187" s="3081"/>
      <c r="U187" s="3081"/>
      <c r="V187" s="3081"/>
      <c r="W187" s="3082"/>
      <c r="Y187" s="65"/>
    </row>
    <row r="188" spans="1:25" ht="15.75" thickBot="1">
      <c r="A188" s="3083"/>
      <c r="B188" s="3018"/>
      <c r="C188" s="3018"/>
      <c r="D188" s="3018"/>
      <c r="E188" s="3018"/>
      <c r="F188" s="3018"/>
      <c r="G188" s="3018"/>
      <c r="H188" s="3018"/>
      <c r="I188" s="3018"/>
      <c r="J188" s="3018"/>
      <c r="K188" s="3018"/>
      <c r="L188" s="3018"/>
      <c r="M188" s="3018"/>
      <c r="N188" s="3018"/>
      <c r="O188" s="3018"/>
      <c r="P188" s="3018"/>
      <c r="Q188" s="3018"/>
      <c r="R188" s="3018"/>
      <c r="S188" s="3018"/>
      <c r="T188" s="3018"/>
      <c r="U188" s="3018"/>
      <c r="V188" s="3018"/>
      <c r="W188" s="3019"/>
      <c r="Y188" s="65"/>
    </row>
    <row r="189" spans="1:25" ht="16.5" thickBot="1">
      <c r="A189" s="53" t="s">
        <v>47</v>
      </c>
      <c r="B189" s="51">
        <f t="shared" ref="B189:B231" si="13">J189</f>
        <v>150</v>
      </c>
      <c r="C189" s="51" t="s">
        <v>3</v>
      </c>
      <c r="D189" s="51">
        <f t="shared" ref="D189:D231" si="14">K189</f>
        <v>360</v>
      </c>
      <c r="E189" s="51" t="s">
        <v>3</v>
      </c>
      <c r="F189" s="54">
        <f t="shared" ref="F189:F231" si="15">L189</f>
        <v>900</v>
      </c>
      <c r="G189" s="51" t="s">
        <v>3</v>
      </c>
      <c r="H189" s="51">
        <v>24</v>
      </c>
      <c r="I189" s="52" t="s">
        <v>531</v>
      </c>
      <c r="J189" s="1886">
        <v>150</v>
      </c>
      <c r="K189" s="271">
        <v>360</v>
      </c>
      <c r="L189" s="271">
        <v>900</v>
      </c>
      <c r="M189" s="282"/>
      <c r="N189" s="271"/>
      <c r="O189" s="271"/>
      <c r="P189" s="247">
        <v>49555.750920300001</v>
      </c>
      <c r="Q189" s="247">
        <v>58123.628185520007</v>
      </c>
      <c r="R189" s="170">
        <v>14155.954550702281</v>
      </c>
      <c r="S189" s="170">
        <v>41052.268197036625</v>
      </c>
      <c r="T189" s="170">
        <v>63711.705471002279</v>
      </c>
      <c r="U189" s="170">
        <v>72279.582736222292</v>
      </c>
      <c r="V189" s="1887">
        <v>90608.019117336633</v>
      </c>
      <c r="W189" s="1887">
        <v>99175.896382556632</v>
      </c>
      <c r="Y189" s="65" t="str">
        <f t="shared" si="9"/>
        <v>ВКВТХ.150.360.900.24ТП.24V</v>
      </c>
    </row>
    <row r="190" spans="1:25" ht="16.5" thickBot="1">
      <c r="A190" s="48" t="s">
        <v>47</v>
      </c>
      <c r="B190" s="49">
        <f t="shared" si="13"/>
        <v>150</v>
      </c>
      <c r="C190" s="49" t="s">
        <v>3</v>
      </c>
      <c r="D190" s="49">
        <f t="shared" si="14"/>
        <v>360</v>
      </c>
      <c r="E190" s="49" t="s">
        <v>3</v>
      </c>
      <c r="F190" s="50">
        <f t="shared" si="15"/>
        <v>950</v>
      </c>
      <c r="G190" s="49" t="s">
        <v>3</v>
      </c>
      <c r="H190" s="49">
        <v>24</v>
      </c>
      <c r="I190" s="52" t="s">
        <v>531</v>
      </c>
      <c r="J190" s="1886">
        <v>150</v>
      </c>
      <c r="K190" s="66">
        <v>360</v>
      </c>
      <c r="L190" s="66">
        <v>950</v>
      </c>
      <c r="M190" s="156"/>
      <c r="N190" s="66"/>
      <c r="O190" s="66"/>
      <c r="P190" s="113">
        <v>52292.271455119997</v>
      </c>
      <c r="Q190" s="113">
        <v>61222.555986040003</v>
      </c>
      <c r="R190" s="161">
        <v>15010.70958711156</v>
      </c>
      <c r="S190" s="161">
        <v>43531.057802623596</v>
      </c>
      <c r="T190" s="161">
        <v>67302.98104223155</v>
      </c>
      <c r="U190" s="161">
        <v>76233.265573151555</v>
      </c>
      <c r="V190" s="1887">
        <v>95823.329257743593</v>
      </c>
      <c r="W190" s="1887">
        <v>104753.6137886636</v>
      </c>
      <c r="Y190" s="65" t="str">
        <f t="shared" si="9"/>
        <v>ВКВТХ.150.360.950.24ТП.24V</v>
      </c>
    </row>
    <row r="191" spans="1:25" ht="16.5" thickBot="1">
      <c r="A191" s="48" t="s">
        <v>47</v>
      </c>
      <c r="B191" s="49">
        <f t="shared" si="13"/>
        <v>150</v>
      </c>
      <c r="C191" s="49" t="s">
        <v>3</v>
      </c>
      <c r="D191" s="49">
        <f t="shared" si="14"/>
        <v>360</v>
      </c>
      <c r="E191" s="49" t="s">
        <v>3</v>
      </c>
      <c r="F191" s="50">
        <f t="shared" si="15"/>
        <v>1000</v>
      </c>
      <c r="G191" s="49" t="s">
        <v>3</v>
      </c>
      <c r="H191" s="49">
        <v>24</v>
      </c>
      <c r="I191" s="52" t="s">
        <v>531</v>
      </c>
      <c r="J191" s="1886">
        <v>150</v>
      </c>
      <c r="K191" s="66">
        <v>360</v>
      </c>
      <c r="L191" s="66">
        <v>1000</v>
      </c>
      <c r="M191" s="156"/>
      <c r="N191" s="66"/>
      <c r="O191" s="66"/>
      <c r="P191" s="113">
        <v>56032.055257380001</v>
      </c>
      <c r="Q191" s="113">
        <v>65375.760305320007</v>
      </c>
      <c r="R191" s="161">
        <v>15614.130479892932</v>
      </c>
      <c r="S191" s="161">
        <v>45280.978391689547</v>
      </c>
      <c r="T191" s="161">
        <v>71646.185737272928</v>
      </c>
      <c r="U191" s="161">
        <v>80989.890785212934</v>
      </c>
      <c r="V191" s="1887">
        <v>101313.03364906955</v>
      </c>
      <c r="W191" s="1887">
        <v>110656.73869700955</v>
      </c>
      <c r="Y191" s="65" t="str">
        <f t="shared" si="9"/>
        <v>ВКВТХ.150.360.1000.24ТП.24V</v>
      </c>
    </row>
    <row r="192" spans="1:25" ht="16.5" thickBot="1">
      <c r="A192" s="48" t="s">
        <v>47</v>
      </c>
      <c r="B192" s="49">
        <f t="shared" si="13"/>
        <v>150</v>
      </c>
      <c r="C192" s="49" t="s">
        <v>3</v>
      </c>
      <c r="D192" s="49">
        <f t="shared" si="14"/>
        <v>360</v>
      </c>
      <c r="E192" s="49" t="s">
        <v>3</v>
      </c>
      <c r="F192" s="50">
        <f t="shared" si="15"/>
        <v>1050</v>
      </c>
      <c r="G192" s="49" t="s">
        <v>3</v>
      </c>
      <c r="H192" s="49">
        <v>24</v>
      </c>
      <c r="I192" s="52" t="s">
        <v>531</v>
      </c>
      <c r="J192" s="1886">
        <v>150</v>
      </c>
      <c r="K192" s="66">
        <v>360</v>
      </c>
      <c r="L192" s="66">
        <v>1050</v>
      </c>
      <c r="M192" s="156"/>
      <c r="N192" s="66"/>
      <c r="O192" s="66"/>
      <c r="P192" s="113">
        <v>59696.109275700008</v>
      </c>
      <c r="Q192" s="113">
        <v>69449.384308840003</v>
      </c>
      <c r="R192" s="161">
        <v>16468.885516302194</v>
      </c>
      <c r="S192" s="161">
        <v>47759.767997276365</v>
      </c>
      <c r="T192" s="161">
        <v>76164.994792002195</v>
      </c>
      <c r="U192" s="161">
        <v>85918.269825142197</v>
      </c>
      <c r="V192" s="1887">
        <v>107455.87727297637</v>
      </c>
      <c r="W192" s="1887">
        <v>117209.15230611636</v>
      </c>
      <c r="Y192" s="65" t="str">
        <f t="shared" si="9"/>
        <v>ВКВТХ.150.360.1050.24ТП.24V</v>
      </c>
    </row>
    <row r="193" spans="1:25" ht="16.5" thickBot="1">
      <c r="A193" s="48" t="s">
        <v>47</v>
      </c>
      <c r="B193" s="49">
        <f t="shared" si="13"/>
        <v>150</v>
      </c>
      <c r="C193" s="49" t="s">
        <v>3</v>
      </c>
      <c r="D193" s="49">
        <f t="shared" si="14"/>
        <v>360</v>
      </c>
      <c r="E193" s="49" t="s">
        <v>3</v>
      </c>
      <c r="F193" s="50">
        <f t="shared" si="15"/>
        <v>1100</v>
      </c>
      <c r="G193" s="49" t="s">
        <v>3</v>
      </c>
      <c r="H193" s="49">
        <v>24</v>
      </c>
      <c r="I193" s="52" t="s">
        <v>531</v>
      </c>
      <c r="J193" s="1886">
        <v>150</v>
      </c>
      <c r="K193" s="66">
        <v>360</v>
      </c>
      <c r="L193" s="66">
        <v>1100</v>
      </c>
      <c r="M193" s="156"/>
      <c r="N193" s="66"/>
      <c r="O193" s="66"/>
      <c r="P193" s="113">
        <v>63360.16329402</v>
      </c>
      <c r="Q193" s="113">
        <v>73523.008177200012</v>
      </c>
      <c r="R193" s="161">
        <v>17072.306409083521</v>
      </c>
      <c r="S193" s="161">
        <v>49509.688586342316</v>
      </c>
      <c r="T193" s="161">
        <v>80432.469703103518</v>
      </c>
      <c r="U193" s="161">
        <v>90595.314586283537</v>
      </c>
      <c r="V193" s="1887">
        <v>112869.85188036232</v>
      </c>
      <c r="W193" s="1887">
        <v>123032.69676354234</v>
      </c>
      <c r="Y193" s="65" t="str">
        <f t="shared" si="9"/>
        <v>ВКВТХ.150.360.1100.24ТП.24V</v>
      </c>
    </row>
    <row r="194" spans="1:25" ht="16.5" thickBot="1">
      <c r="A194" s="48" t="s">
        <v>47</v>
      </c>
      <c r="B194" s="49">
        <f t="shared" si="13"/>
        <v>150</v>
      </c>
      <c r="C194" s="49" t="s">
        <v>3</v>
      </c>
      <c r="D194" s="49">
        <f t="shared" si="14"/>
        <v>360</v>
      </c>
      <c r="E194" s="49" t="s">
        <v>3</v>
      </c>
      <c r="F194" s="50">
        <f t="shared" si="15"/>
        <v>1150</v>
      </c>
      <c r="G194" s="49" t="s">
        <v>3</v>
      </c>
      <c r="H194" s="49">
        <v>24</v>
      </c>
      <c r="I194" s="52" t="s">
        <v>531</v>
      </c>
      <c r="J194" s="1886">
        <v>150</v>
      </c>
      <c r="K194" s="66">
        <v>360</v>
      </c>
      <c r="L194" s="66">
        <v>1150</v>
      </c>
      <c r="M194" s="156"/>
      <c r="N194" s="66"/>
      <c r="O194" s="66"/>
      <c r="P194" s="113">
        <v>67024.217312339999</v>
      </c>
      <c r="Q194" s="113">
        <v>77596.63218072</v>
      </c>
      <c r="R194" s="161">
        <v>17675.727301864998</v>
      </c>
      <c r="S194" s="161">
        <v>51259.609175408266</v>
      </c>
      <c r="T194" s="161">
        <v>84699.944614205</v>
      </c>
      <c r="U194" s="161">
        <v>95272.359482585001</v>
      </c>
      <c r="V194" s="1887">
        <v>118283.82648774827</v>
      </c>
      <c r="W194" s="1887">
        <v>128856.24135612827</v>
      </c>
      <c r="Y194" s="65" t="str">
        <f t="shared" si="9"/>
        <v>ВКВТХ.150.360.1150.24ТП.24V</v>
      </c>
    </row>
    <row r="195" spans="1:25" ht="16.5" thickBot="1">
      <c r="A195" s="48" t="s">
        <v>47</v>
      </c>
      <c r="B195" s="49">
        <f t="shared" si="13"/>
        <v>150</v>
      </c>
      <c r="C195" s="49" t="s">
        <v>3</v>
      </c>
      <c r="D195" s="49">
        <f t="shared" si="14"/>
        <v>360</v>
      </c>
      <c r="E195" s="49" t="s">
        <v>3</v>
      </c>
      <c r="F195" s="50">
        <f t="shared" si="15"/>
        <v>1200</v>
      </c>
      <c r="G195" s="49" t="s">
        <v>3</v>
      </c>
      <c r="H195" s="49">
        <v>24</v>
      </c>
      <c r="I195" s="52" t="s">
        <v>531</v>
      </c>
      <c r="J195" s="1886">
        <v>150</v>
      </c>
      <c r="K195" s="66">
        <v>360</v>
      </c>
      <c r="L195" s="66">
        <v>1200</v>
      </c>
      <c r="M195" s="156"/>
      <c r="N195" s="66"/>
      <c r="O195" s="66"/>
      <c r="P195" s="113">
        <v>70688.271330660005</v>
      </c>
      <c r="Q195" s="113">
        <v>81670.256184240017</v>
      </c>
      <c r="R195" s="161">
        <v>18530.482338274265</v>
      </c>
      <c r="S195" s="161">
        <v>53738.398780995238</v>
      </c>
      <c r="T195" s="161">
        <v>89218.753668934267</v>
      </c>
      <c r="U195" s="161">
        <v>100200.73852251428</v>
      </c>
      <c r="V195" s="1887">
        <v>124426.67011165524</v>
      </c>
      <c r="W195" s="1887">
        <v>135408.65496523527</v>
      </c>
      <c r="Y195" s="65" t="str">
        <f t="shared" si="9"/>
        <v>ВКВТХ.150.360.1200.24ТП.24V</v>
      </c>
    </row>
    <row r="196" spans="1:25" ht="16.5" thickBot="1">
      <c r="A196" s="48" t="s">
        <v>47</v>
      </c>
      <c r="B196" s="49">
        <f t="shared" si="13"/>
        <v>150</v>
      </c>
      <c r="C196" s="49" t="s">
        <v>3</v>
      </c>
      <c r="D196" s="49">
        <f t="shared" si="14"/>
        <v>360</v>
      </c>
      <c r="E196" s="49" t="s">
        <v>3</v>
      </c>
      <c r="F196" s="50">
        <f t="shared" si="15"/>
        <v>1250</v>
      </c>
      <c r="G196" s="49" t="s">
        <v>3</v>
      </c>
      <c r="H196" s="49">
        <v>24</v>
      </c>
      <c r="I196" s="52" t="s">
        <v>531</v>
      </c>
      <c r="J196" s="1886">
        <v>150</v>
      </c>
      <c r="K196" s="66">
        <v>360</v>
      </c>
      <c r="L196" s="66">
        <v>1250</v>
      </c>
      <c r="M196" s="156"/>
      <c r="N196" s="66"/>
      <c r="O196" s="66"/>
      <c r="P196" s="113">
        <v>74352.325348979997</v>
      </c>
      <c r="Q196" s="113">
        <v>85743.880052599998</v>
      </c>
      <c r="R196" s="161">
        <v>19133.903231055589</v>
      </c>
      <c r="S196" s="161">
        <v>55488.319370061188</v>
      </c>
      <c r="T196" s="161">
        <v>93486.228580035589</v>
      </c>
      <c r="U196" s="161">
        <v>104877.78328365559</v>
      </c>
      <c r="V196" s="1887">
        <v>129840.64471904119</v>
      </c>
      <c r="W196" s="1887">
        <v>141232.19942266119</v>
      </c>
      <c r="Y196" s="65" t="str">
        <f t="shared" si="9"/>
        <v>ВКВТХ.150.360.1250.24ТП.24V</v>
      </c>
    </row>
    <row r="197" spans="1:25" ht="16.5" thickBot="1">
      <c r="A197" s="48" t="s">
        <v>47</v>
      </c>
      <c r="B197" s="49">
        <f t="shared" si="13"/>
        <v>150</v>
      </c>
      <c r="C197" s="49" t="s">
        <v>3</v>
      </c>
      <c r="D197" s="49">
        <f t="shared" si="14"/>
        <v>360</v>
      </c>
      <c r="E197" s="49" t="s">
        <v>3</v>
      </c>
      <c r="F197" s="50">
        <f t="shared" si="15"/>
        <v>1300</v>
      </c>
      <c r="G197" s="49" t="s">
        <v>3</v>
      </c>
      <c r="H197" s="49">
        <v>24</v>
      </c>
      <c r="I197" s="52" t="s">
        <v>531</v>
      </c>
      <c r="J197" s="1886">
        <v>150</v>
      </c>
      <c r="K197" s="66">
        <v>360</v>
      </c>
      <c r="L197" s="66">
        <v>1300</v>
      </c>
      <c r="M197" s="156"/>
      <c r="N197" s="66"/>
      <c r="O197" s="66"/>
      <c r="P197" s="113">
        <v>78515.308180339998</v>
      </c>
      <c r="Q197" s="113">
        <v>90443.230925440017</v>
      </c>
      <c r="R197" s="161">
        <v>19988.658267464849</v>
      </c>
      <c r="S197" s="161">
        <v>57967.10897564816</v>
      </c>
      <c r="T197" s="161">
        <v>98503.966447804851</v>
      </c>
      <c r="U197" s="161">
        <v>110431.88919290487</v>
      </c>
      <c r="V197" s="1887">
        <v>136482.41715598817</v>
      </c>
      <c r="W197" s="1887">
        <v>148410.33990108818</v>
      </c>
      <c r="Y197" s="65" t="str">
        <f t="shared" si="9"/>
        <v>ВКВТХ.150.360.1300.24ТП.24V</v>
      </c>
    </row>
    <row r="198" spans="1:25" ht="16.5" thickBot="1">
      <c r="A198" s="48" t="s">
        <v>47</v>
      </c>
      <c r="B198" s="49">
        <f t="shared" si="13"/>
        <v>150</v>
      </c>
      <c r="C198" s="49" t="s">
        <v>3</v>
      </c>
      <c r="D198" s="49">
        <f t="shared" si="14"/>
        <v>360</v>
      </c>
      <c r="E198" s="49" t="s">
        <v>3</v>
      </c>
      <c r="F198" s="50">
        <f t="shared" si="15"/>
        <v>1350</v>
      </c>
      <c r="G198" s="49" t="s">
        <v>3</v>
      </c>
      <c r="H198" s="49">
        <v>24</v>
      </c>
      <c r="I198" s="52" t="s">
        <v>531</v>
      </c>
      <c r="J198" s="1886">
        <v>150</v>
      </c>
      <c r="K198" s="66">
        <v>360</v>
      </c>
      <c r="L198" s="66">
        <v>1350</v>
      </c>
      <c r="M198" s="156"/>
      <c r="N198" s="66"/>
      <c r="O198" s="66"/>
      <c r="P198" s="113">
        <v>81857.812198660002</v>
      </c>
      <c r="Q198" s="113">
        <v>94178.954928959996</v>
      </c>
      <c r="R198" s="161">
        <v>20592.079160246176</v>
      </c>
      <c r="S198" s="161">
        <v>59717.02956471411</v>
      </c>
      <c r="T198" s="161">
        <v>102449.89135890617</v>
      </c>
      <c r="U198" s="161">
        <v>114771.03408920616</v>
      </c>
      <c r="V198" s="1887">
        <v>141574.8417633741</v>
      </c>
      <c r="W198" s="1887">
        <v>153895.9844936741</v>
      </c>
      <c r="Y198" s="65" t="str">
        <f t="shared" si="9"/>
        <v>ВКВТХ.150.360.1350.24ТП.24V</v>
      </c>
    </row>
    <row r="199" spans="1:25" ht="16.5" thickBot="1">
      <c r="A199" s="48" t="s">
        <v>47</v>
      </c>
      <c r="B199" s="49">
        <f t="shared" si="13"/>
        <v>150</v>
      </c>
      <c r="C199" s="49" t="s">
        <v>3</v>
      </c>
      <c r="D199" s="49">
        <f t="shared" si="14"/>
        <v>360</v>
      </c>
      <c r="E199" s="49" t="s">
        <v>3</v>
      </c>
      <c r="F199" s="50">
        <f t="shared" si="15"/>
        <v>1400</v>
      </c>
      <c r="G199" s="49" t="s">
        <v>3</v>
      </c>
      <c r="H199" s="49">
        <v>24</v>
      </c>
      <c r="I199" s="52" t="s">
        <v>531</v>
      </c>
      <c r="J199" s="1886">
        <v>150</v>
      </c>
      <c r="K199" s="66">
        <v>360</v>
      </c>
      <c r="L199" s="66">
        <v>1400</v>
      </c>
      <c r="M199" s="156"/>
      <c r="N199" s="66"/>
      <c r="O199" s="66"/>
      <c r="P199" s="113">
        <v>84566.656924979994</v>
      </c>
      <c r="Q199" s="113">
        <v>97215.734269239998</v>
      </c>
      <c r="R199" s="161">
        <v>21446.834196655593</v>
      </c>
      <c r="S199" s="161">
        <v>62195.819170301089</v>
      </c>
      <c r="T199" s="161">
        <v>106013.49112163558</v>
      </c>
      <c r="U199" s="161">
        <v>118662.56846589559</v>
      </c>
      <c r="V199" s="1887">
        <v>146762.47609528108</v>
      </c>
      <c r="W199" s="1887">
        <v>159411.55343954108</v>
      </c>
      <c r="Y199" s="65" t="str">
        <f t="shared" si="9"/>
        <v>ВКВТХ.150.360.1400.24ТП.24V</v>
      </c>
    </row>
    <row r="200" spans="1:25" ht="16.5" thickBot="1">
      <c r="A200" s="48" t="s">
        <v>47</v>
      </c>
      <c r="B200" s="49">
        <f t="shared" si="13"/>
        <v>150</v>
      </c>
      <c r="C200" s="49" t="s">
        <v>3</v>
      </c>
      <c r="D200" s="49">
        <f t="shared" si="14"/>
        <v>360</v>
      </c>
      <c r="E200" s="49" t="s">
        <v>3</v>
      </c>
      <c r="F200" s="50">
        <f t="shared" si="15"/>
        <v>1450</v>
      </c>
      <c r="G200" s="49" t="s">
        <v>3</v>
      </c>
      <c r="H200" s="49">
        <v>24</v>
      </c>
      <c r="I200" s="52" t="s">
        <v>531</v>
      </c>
      <c r="J200" s="1886">
        <v>150</v>
      </c>
      <c r="K200" s="66">
        <v>360</v>
      </c>
      <c r="L200" s="66">
        <v>1450</v>
      </c>
      <c r="M200" s="156"/>
      <c r="N200" s="66"/>
      <c r="O200" s="66"/>
      <c r="P200" s="113">
        <v>87406.730193520008</v>
      </c>
      <c r="Q200" s="113">
        <v>100423.48006156001</v>
      </c>
      <c r="R200" s="161">
        <v>22050.25508943692</v>
      </c>
      <c r="S200" s="161">
        <v>63945.739759367032</v>
      </c>
      <c r="T200" s="161">
        <v>109456.98528295693</v>
      </c>
      <c r="U200" s="161">
        <v>122473.73515099693</v>
      </c>
      <c r="V200" s="1887">
        <v>151352.46995288704</v>
      </c>
      <c r="W200" s="1887">
        <v>164369.21982092704</v>
      </c>
      <c r="Y200" s="65" t="str">
        <f t="shared" si="9"/>
        <v>ВКВТХ.150.360.1450.24ТП.24V</v>
      </c>
    </row>
    <row r="201" spans="1:25" ht="16.5" thickBot="1">
      <c r="A201" s="48" t="s">
        <v>47</v>
      </c>
      <c r="B201" s="49">
        <f t="shared" si="13"/>
        <v>150</v>
      </c>
      <c r="C201" s="49" t="s">
        <v>3</v>
      </c>
      <c r="D201" s="49">
        <f t="shared" si="14"/>
        <v>360</v>
      </c>
      <c r="E201" s="49" t="s">
        <v>3</v>
      </c>
      <c r="F201" s="50">
        <f t="shared" si="15"/>
        <v>1500</v>
      </c>
      <c r="G201" s="49" t="s">
        <v>3</v>
      </c>
      <c r="H201" s="49">
        <v>24</v>
      </c>
      <c r="I201" s="52" t="s">
        <v>531</v>
      </c>
      <c r="J201" s="1886">
        <v>150</v>
      </c>
      <c r="K201" s="66">
        <v>360</v>
      </c>
      <c r="L201" s="66">
        <v>1500</v>
      </c>
      <c r="M201" s="156"/>
      <c r="N201" s="66"/>
      <c r="O201" s="66"/>
      <c r="P201" s="113">
        <v>90369.865406000012</v>
      </c>
      <c r="Q201" s="113">
        <v>103760.54531996002</v>
      </c>
      <c r="R201" s="161">
        <v>22905.010125846184</v>
      </c>
      <c r="S201" s="161">
        <v>66424.529364953851</v>
      </c>
      <c r="T201" s="161">
        <v>113274.87553184619</v>
      </c>
      <c r="U201" s="161">
        <v>126665.5554458062</v>
      </c>
      <c r="V201" s="1887">
        <v>156794.39477095386</v>
      </c>
      <c r="W201" s="1887">
        <v>170185.07468491385</v>
      </c>
      <c r="Y201" s="65" t="str">
        <f t="shared" si="9"/>
        <v>ВКВТХ.150.360.1500.24ТП.24V</v>
      </c>
    </row>
    <row r="202" spans="1:25" ht="16.5" thickBot="1">
      <c r="A202" s="48" t="s">
        <v>47</v>
      </c>
      <c r="B202" s="49">
        <f t="shared" si="13"/>
        <v>150</v>
      </c>
      <c r="C202" s="49" t="s">
        <v>3</v>
      </c>
      <c r="D202" s="49">
        <f t="shared" si="14"/>
        <v>360</v>
      </c>
      <c r="E202" s="49" t="s">
        <v>3</v>
      </c>
      <c r="F202" s="50">
        <f t="shared" si="15"/>
        <v>1550</v>
      </c>
      <c r="G202" s="49" t="s">
        <v>3</v>
      </c>
      <c r="H202" s="49">
        <v>24</v>
      </c>
      <c r="I202" s="52" t="s">
        <v>531</v>
      </c>
      <c r="J202" s="1886">
        <v>150</v>
      </c>
      <c r="K202" s="66">
        <v>360</v>
      </c>
      <c r="L202" s="66">
        <v>1550</v>
      </c>
      <c r="M202" s="156"/>
      <c r="N202" s="66"/>
      <c r="O202" s="66"/>
      <c r="P202" s="113">
        <v>94148.048709260009</v>
      </c>
      <c r="Q202" s="113">
        <v>107954.10179240002</v>
      </c>
      <c r="R202" s="161">
        <v>23508.431018627507</v>
      </c>
      <c r="S202" s="161">
        <v>68174.449954019801</v>
      </c>
      <c r="T202" s="161">
        <v>117656.47972788752</v>
      </c>
      <c r="U202" s="161">
        <v>131462.53281102751</v>
      </c>
      <c r="V202" s="1887">
        <v>162322.49866327981</v>
      </c>
      <c r="W202" s="1887">
        <v>176128.55174641981</v>
      </c>
      <c r="Y202" s="65" t="str">
        <f t="shared" ref="Y202:Y265" si="16">A202&amp;B202&amp;"."&amp;D202&amp;"."&amp;F202&amp;"."&amp;H202&amp;I202</f>
        <v>ВКВТХ.150.360.1550.24ТП.24V</v>
      </c>
    </row>
    <row r="203" spans="1:25" ht="16.5" thickBot="1">
      <c r="A203" s="48" t="s">
        <v>47</v>
      </c>
      <c r="B203" s="49">
        <f t="shared" si="13"/>
        <v>150</v>
      </c>
      <c r="C203" s="49" t="s">
        <v>3</v>
      </c>
      <c r="D203" s="49">
        <f t="shared" si="14"/>
        <v>360</v>
      </c>
      <c r="E203" s="49" t="s">
        <v>3</v>
      </c>
      <c r="F203" s="50">
        <f t="shared" si="15"/>
        <v>1600</v>
      </c>
      <c r="G203" s="49" t="s">
        <v>3</v>
      </c>
      <c r="H203" s="49">
        <v>24</v>
      </c>
      <c r="I203" s="52" t="s">
        <v>531</v>
      </c>
      <c r="J203" s="1886">
        <v>150</v>
      </c>
      <c r="K203" s="66">
        <v>360</v>
      </c>
      <c r="L203" s="66">
        <v>1600</v>
      </c>
      <c r="M203" s="156"/>
      <c r="N203" s="66"/>
      <c r="O203" s="66"/>
      <c r="P203" s="113">
        <v>96988.121977799994</v>
      </c>
      <c r="Q203" s="113">
        <v>111161.84771988002</v>
      </c>
      <c r="R203" s="161">
        <v>24111.851911408834</v>
      </c>
      <c r="S203" s="161">
        <v>69924.370543085752</v>
      </c>
      <c r="T203" s="161">
        <v>121099.97388920884</v>
      </c>
      <c r="U203" s="161">
        <v>135273.69963128885</v>
      </c>
      <c r="V203" s="1887">
        <v>166912.49252088575</v>
      </c>
      <c r="W203" s="1887">
        <v>181086.21826296579</v>
      </c>
      <c r="Y203" s="65" t="str">
        <f t="shared" si="16"/>
        <v>ВКВТХ.150.360.1600.24ТП.24V</v>
      </c>
    </row>
    <row r="204" spans="1:25" ht="16.5" thickBot="1">
      <c r="A204" s="48" t="s">
        <v>47</v>
      </c>
      <c r="B204" s="49">
        <f t="shared" si="13"/>
        <v>150</v>
      </c>
      <c r="C204" s="49" t="s">
        <v>3</v>
      </c>
      <c r="D204" s="49">
        <f t="shared" si="14"/>
        <v>360</v>
      </c>
      <c r="E204" s="49" t="s">
        <v>3</v>
      </c>
      <c r="F204" s="50">
        <f t="shared" si="15"/>
        <v>1650</v>
      </c>
      <c r="G204" s="49" t="s">
        <v>3</v>
      </c>
      <c r="H204" s="49">
        <v>24</v>
      </c>
      <c r="I204" s="52" t="s">
        <v>531</v>
      </c>
      <c r="J204" s="1886">
        <v>150</v>
      </c>
      <c r="K204" s="66">
        <v>360</v>
      </c>
      <c r="L204" s="66">
        <v>1650</v>
      </c>
      <c r="M204" s="156"/>
      <c r="N204" s="66"/>
      <c r="O204" s="66"/>
      <c r="P204" s="113">
        <v>99828.195246340008</v>
      </c>
      <c r="Q204" s="113">
        <v>114369.59351220001</v>
      </c>
      <c r="R204" s="161">
        <v>24966.606947818247</v>
      </c>
      <c r="S204" s="161">
        <v>72403.16014867273</v>
      </c>
      <c r="T204" s="161">
        <v>124794.80219415826</v>
      </c>
      <c r="U204" s="161">
        <v>139336.20046001824</v>
      </c>
      <c r="V204" s="1887">
        <v>172231.35539501274</v>
      </c>
      <c r="W204" s="1887">
        <v>186772.75366087275</v>
      </c>
      <c r="Y204" s="65" t="str">
        <f t="shared" si="16"/>
        <v>ВКВТХ.150.360.1650.24ТП.24V</v>
      </c>
    </row>
    <row r="205" spans="1:25" ht="16.5" thickBot="1">
      <c r="A205" s="48" t="s">
        <v>47</v>
      </c>
      <c r="B205" s="49">
        <f t="shared" si="13"/>
        <v>150</v>
      </c>
      <c r="C205" s="49" t="s">
        <v>3</v>
      </c>
      <c r="D205" s="49">
        <f t="shared" si="14"/>
        <v>360</v>
      </c>
      <c r="E205" s="49" t="s">
        <v>3</v>
      </c>
      <c r="F205" s="50">
        <f t="shared" si="15"/>
        <v>1700</v>
      </c>
      <c r="G205" s="49" t="s">
        <v>3</v>
      </c>
      <c r="H205" s="49">
        <v>24</v>
      </c>
      <c r="I205" s="52" t="s">
        <v>531</v>
      </c>
      <c r="J205" s="1886">
        <v>150</v>
      </c>
      <c r="K205" s="66">
        <v>360</v>
      </c>
      <c r="L205" s="66">
        <v>1700</v>
      </c>
      <c r="M205" s="156"/>
      <c r="N205" s="66"/>
      <c r="O205" s="66"/>
      <c r="P205" s="113">
        <v>102668.26851487999</v>
      </c>
      <c r="Q205" s="113">
        <v>117577.33930452002</v>
      </c>
      <c r="R205" s="161">
        <v>25570.027840599574</v>
      </c>
      <c r="S205" s="161">
        <v>74153.080737738681</v>
      </c>
      <c r="T205" s="161">
        <v>128238.29635547957</v>
      </c>
      <c r="U205" s="161">
        <v>143147.36714511958</v>
      </c>
      <c r="V205" s="1887">
        <v>176821.34925261867</v>
      </c>
      <c r="W205" s="1887">
        <v>191730.42004225869</v>
      </c>
      <c r="Y205" s="65" t="str">
        <f t="shared" si="16"/>
        <v>ВКВТХ.150.360.1700.24ТП.24V</v>
      </c>
    </row>
    <row r="206" spans="1:25" ht="16.5" thickBot="1">
      <c r="A206" s="48" t="s">
        <v>47</v>
      </c>
      <c r="B206" s="49">
        <f t="shared" si="13"/>
        <v>150</v>
      </c>
      <c r="C206" s="49" t="s">
        <v>3</v>
      </c>
      <c r="D206" s="49">
        <f t="shared" si="14"/>
        <v>360</v>
      </c>
      <c r="E206" s="49" t="s">
        <v>3</v>
      </c>
      <c r="F206" s="50">
        <f t="shared" si="15"/>
        <v>1750</v>
      </c>
      <c r="G206" s="49" t="s">
        <v>3</v>
      </c>
      <c r="H206" s="49">
        <v>24</v>
      </c>
      <c r="I206" s="52" t="s">
        <v>531</v>
      </c>
      <c r="J206" s="1886">
        <v>150</v>
      </c>
      <c r="K206" s="66">
        <v>360</v>
      </c>
      <c r="L206" s="66">
        <v>1750</v>
      </c>
      <c r="M206" s="156"/>
      <c r="N206" s="66"/>
      <c r="O206" s="66"/>
      <c r="P206" s="113">
        <v>105508.34178341999</v>
      </c>
      <c r="Q206" s="113">
        <v>120785.08523200001</v>
      </c>
      <c r="R206" s="161">
        <v>26424.782877008838</v>
      </c>
      <c r="S206" s="161">
        <v>76631.870343325645</v>
      </c>
      <c r="T206" s="161">
        <v>131933.12466042885</v>
      </c>
      <c r="U206" s="161">
        <v>147209.86810900885</v>
      </c>
      <c r="V206" s="1887">
        <v>182140.21212674564</v>
      </c>
      <c r="W206" s="1887">
        <v>197416.95557532564</v>
      </c>
      <c r="Y206" s="65" t="str">
        <f t="shared" si="16"/>
        <v>ВКВТХ.150.360.1750.24ТП.24V</v>
      </c>
    </row>
    <row r="207" spans="1:25" ht="16.5" thickBot="1">
      <c r="A207" s="48" t="s">
        <v>47</v>
      </c>
      <c r="B207" s="49">
        <f t="shared" si="13"/>
        <v>150</v>
      </c>
      <c r="C207" s="49" t="s">
        <v>3</v>
      </c>
      <c r="D207" s="49">
        <f t="shared" si="14"/>
        <v>360</v>
      </c>
      <c r="E207" s="49" t="s">
        <v>3</v>
      </c>
      <c r="F207" s="50">
        <f t="shared" si="15"/>
        <v>1800</v>
      </c>
      <c r="G207" s="49" t="s">
        <v>3</v>
      </c>
      <c r="H207" s="49">
        <v>24</v>
      </c>
      <c r="I207" s="52" t="s">
        <v>531</v>
      </c>
      <c r="J207" s="1886">
        <v>150</v>
      </c>
      <c r="K207" s="66">
        <v>360</v>
      </c>
      <c r="L207" s="66">
        <v>1800</v>
      </c>
      <c r="M207" s="156"/>
      <c r="N207" s="66"/>
      <c r="O207" s="66"/>
      <c r="P207" s="113">
        <v>108847.343865</v>
      </c>
      <c r="Q207" s="113">
        <v>124618.55802880001</v>
      </c>
      <c r="R207" s="161">
        <v>27028.203769790161</v>
      </c>
      <c r="S207" s="161">
        <v>78381.790932391596</v>
      </c>
      <c r="T207" s="161">
        <v>135875.54763479016</v>
      </c>
      <c r="U207" s="161">
        <v>151646.76179859016</v>
      </c>
      <c r="V207" s="1887">
        <v>187229.1347973916</v>
      </c>
      <c r="W207" s="1887">
        <v>203000.3489611916</v>
      </c>
      <c r="Y207" s="65" t="str">
        <f t="shared" si="16"/>
        <v>ВКВТХ.150.360.1800.24ТП.24V</v>
      </c>
    </row>
    <row r="208" spans="1:25" ht="16.5" thickBot="1">
      <c r="A208" s="48" t="s">
        <v>47</v>
      </c>
      <c r="B208" s="49">
        <f t="shared" si="13"/>
        <v>150</v>
      </c>
      <c r="C208" s="49" t="s">
        <v>3</v>
      </c>
      <c r="D208" s="49">
        <f t="shared" si="14"/>
        <v>360</v>
      </c>
      <c r="E208" s="49" t="s">
        <v>3</v>
      </c>
      <c r="F208" s="50">
        <f t="shared" si="15"/>
        <v>1850</v>
      </c>
      <c r="G208" s="49" t="s">
        <v>3</v>
      </c>
      <c r="H208" s="49">
        <v>24</v>
      </c>
      <c r="I208" s="52" t="s">
        <v>531</v>
      </c>
      <c r="J208" s="1886">
        <v>150</v>
      </c>
      <c r="K208" s="66">
        <v>360</v>
      </c>
      <c r="L208" s="66">
        <v>1850</v>
      </c>
      <c r="M208" s="156"/>
      <c r="N208" s="66"/>
      <c r="O208" s="66"/>
      <c r="P208" s="113">
        <v>112008.96713354001</v>
      </c>
      <c r="Q208" s="113">
        <v>128164.20382112001</v>
      </c>
      <c r="R208" s="161">
        <v>27882.958806199425</v>
      </c>
      <c r="S208" s="161">
        <v>80860.580537978574</v>
      </c>
      <c r="T208" s="161">
        <v>139891.92593973942</v>
      </c>
      <c r="U208" s="161">
        <v>156047.16262731943</v>
      </c>
      <c r="V208" s="1887">
        <v>192869.54767151858</v>
      </c>
      <c r="W208" s="1887">
        <v>209024.78435909859</v>
      </c>
      <c r="Y208" s="65" t="str">
        <f t="shared" si="16"/>
        <v>ВКВТХ.150.360.1850.24ТП.24V</v>
      </c>
    </row>
    <row r="209" spans="1:25" ht="16.5" thickBot="1">
      <c r="A209" s="48" t="s">
        <v>47</v>
      </c>
      <c r="B209" s="49">
        <f t="shared" si="13"/>
        <v>150</v>
      </c>
      <c r="C209" s="49" t="s">
        <v>3</v>
      </c>
      <c r="D209" s="49">
        <f t="shared" si="14"/>
        <v>360</v>
      </c>
      <c r="E209" s="49" t="s">
        <v>3</v>
      </c>
      <c r="F209" s="50">
        <f t="shared" si="15"/>
        <v>1900</v>
      </c>
      <c r="G209" s="49" t="s">
        <v>3</v>
      </c>
      <c r="H209" s="49">
        <v>24</v>
      </c>
      <c r="I209" s="52" t="s">
        <v>531</v>
      </c>
      <c r="J209" s="1886">
        <v>150</v>
      </c>
      <c r="K209" s="66">
        <v>360</v>
      </c>
      <c r="L209" s="66">
        <v>1900</v>
      </c>
      <c r="M209" s="156"/>
      <c r="N209" s="66"/>
      <c r="O209" s="66"/>
      <c r="P209" s="113">
        <v>115170.59027345999</v>
      </c>
      <c r="Q209" s="113">
        <v>131709.84974860001</v>
      </c>
      <c r="R209" s="161">
        <v>28486.379698980905</v>
      </c>
      <c r="S209" s="161">
        <v>82610.501127044365</v>
      </c>
      <c r="T209" s="161">
        <v>143656.96997244091</v>
      </c>
      <c r="U209" s="161">
        <v>160196.22944758093</v>
      </c>
      <c r="V209" s="1887">
        <v>197781.09140050435</v>
      </c>
      <c r="W209" s="1887">
        <v>214320.35087564436</v>
      </c>
      <c r="Y209" s="65" t="str">
        <f t="shared" si="16"/>
        <v>ВКВТХ.150.360.1900.24ТП.24V</v>
      </c>
    </row>
    <row r="210" spans="1:25" ht="16.5" thickBot="1">
      <c r="A210" s="48" t="s">
        <v>47</v>
      </c>
      <c r="B210" s="49">
        <f t="shared" si="13"/>
        <v>150</v>
      </c>
      <c r="C210" s="49" t="s">
        <v>3</v>
      </c>
      <c r="D210" s="49">
        <f t="shared" si="14"/>
        <v>360</v>
      </c>
      <c r="E210" s="49" t="s">
        <v>3</v>
      </c>
      <c r="F210" s="50">
        <f t="shared" si="15"/>
        <v>1950</v>
      </c>
      <c r="G210" s="49" t="s">
        <v>3</v>
      </c>
      <c r="H210" s="49">
        <v>24</v>
      </c>
      <c r="I210" s="52" t="s">
        <v>531</v>
      </c>
      <c r="J210" s="1886">
        <v>150</v>
      </c>
      <c r="K210" s="66">
        <v>360</v>
      </c>
      <c r="L210" s="66">
        <v>1950</v>
      </c>
      <c r="M210" s="156"/>
      <c r="N210" s="66"/>
      <c r="O210" s="66"/>
      <c r="P210" s="113">
        <v>118332.21354200001</v>
      </c>
      <c r="Q210" s="113">
        <v>135255.49554092</v>
      </c>
      <c r="R210" s="161">
        <v>29089.800591762229</v>
      </c>
      <c r="S210" s="161">
        <v>84360.421716110315</v>
      </c>
      <c r="T210" s="161">
        <v>147422.01413376225</v>
      </c>
      <c r="U210" s="161">
        <v>164345.29613268224</v>
      </c>
      <c r="V210" s="1887">
        <v>202692.63525811033</v>
      </c>
      <c r="W210" s="1887">
        <v>219615.91725703032</v>
      </c>
      <c r="Y210" s="65" t="str">
        <f t="shared" si="16"/>
        <v>ВКВТХ.150.360.1950.24ТП.24V</v>
      </c>
    </row>
    <row r="211" spans="1:25" ht="16.5" thickBot="1">
      <c r="A211" s="48" t="s">
        <v>47</v>
      </c>
      <c r="B211" s="49">
        <f t="shared" si="13"/>
        <v>150</v>
      </c>
      <c r="C211" s="49" t="s">
        <v>3</v>
      </c>
      <c r="D211" s="49">
        <f t="shared" si="14"/>
        <v>360</v>
      </c>
      <c r="E211" s="49" t="s">
        <v>3</v>
      </c>
      <c r="F211" s="50">
        <f t="shared" si="15"/>
        <v>2000</v>
      </c>
      <c r="G211" s="49" t="s">
        <v>3</v>
      </c>
      <c r="H211" s="49">
        <v>24</v>
      </c>
      <c r="I211" s="52" t="s">
        <v>531</v>
      </c>
      <c r="J211" s="1886">
        <v>150</v>
      </c>
      <c r="K211" s="66">
        <v>360</v>
      </c>
      <c r="L211" s="66">
        <v>2000</v>
      </c>
      <c r="M211" s="156"/>
      <c r="N211" s="66"/>
      <c r="O211" s="66"/>
      <c r="P211" s="113">
        <v>122903.67355726</v>
      </c>
      <c r="Q211" s="113">
        <v>140351.02821672001</v>
      </c>
      <c r="R211" s="161">
        <v>29944.555628171496</v>
      </c>
      <c r="S211" s="161">
        <v>86839.211321697294</v>
      </c>
      <c r="T211" s="161">
        <v>152848.2291854315</v>
      </c>
      <c r="U211" s="161">
        <v>170295.58384489152</v>
      </c>
      <c r="V211" s="1887">
        <v>209742.88487895729</v>
      </c>
      <c r="W211" s="1887">
        <v>227190.23953841731</v>
      </c>
      <c r="Y211" s="65" t="str">
        <f t="shared" si="16"/>
        <v>ВКВТХ.150.360.2000.24ТП.24V</v>
      </c>
    </row>
    <row r="212" spans="1:25" ht="16.5" thickBot="1">
      <c r="A212" s="48" t="s">
        <v>47</v>
      </c>
      <c r="B212" s="49">
        <f t="shared" si="13"/>
        <v>150</v>
      </c>
      <c r="C212" s="49" t="s">
        <v>3</v>
      </c>
      <c r="D212" s="49">
        <f t="shared" si="14"/>
        <v>360</v>
      </c>
      <c r="E212" s="49" t="s">
        <v>3</v>
      </c>
      <c r="F212" s="50">
        <f t="shared" si="15"/>
        <v>2050</v>
      </c>
      <c r="G212" s="49" t="s">
        <v>3</v>
      </c>
      <c r="H212" s="49">
        <v>24</v>
      </c>
      <c r="I212" s="52" t="s">
        <v>531</v>
      </c>
      <c r="J212" s="1886">
        <v>150</v>
      </c>
      <c r="K212" s="66">
        <v>360</v>
      </c>
      <c r="L212" s="66">
        <v>2050</v>
      </c>
      <c r="M212" s="156"/>
      <c r="N212" s="66"/>
      <c r="O212" s="66"/>
      <c r="P212" s="113">
        <v>126440.07865658001</v>
      </c>
      <c r="Q212" s="113">
        <v>144277.82602000001</v>
      </c>
      <c r="R212" s="161">
        <v>30547.97652095282</v>
      </c>
      <c r="S212" s="161">
        <v>88589.131910763244</v>
      </c>
      <c r="T212" s="161">
        <v>156988.05517753283</v>
      </c>
      <c r="U212" s="161">
        <v>174825.80254095283</v>
      </c>
      <c r="V212" s="1887">
        <v>215029.21056734325</v>
      </c>
      <c r="W212" s="1887">
        <v>232866.95793076325</v>
      </c>
      <c r="Y212" s="65" t="str">
        <f t="shared" si="16"/>
        <v>ВКВТХ.150.360.2050.24ТП.24V</v>
      </c>
    </row>
    <row r="213" spans="1:25" ht="16.5" thickBot="1">
      <c r="A213" s="48" t="s">
        <v>47</v>
      </c>
      <c r="B213" s="49">
        <f t="shared" si="13"/>
        <v>150</v>
      </c>
      <c r="C213" s="49" t="s">
        <v>3</v>
      </c>
      <c r="D213" s="49">
        <f t="shared" si="14"/>
        <v>360</v>
      </c>
      <c r="E213" s="49" t="s">
        <v>3</v>
      </c>
      <c r="F213" s="50">
        <f t="shared" si="15"/>
        <v>2100</v>
      </c>
      <c r="G213" s="49" t="s">
        <v>3</v>
      </c>
      <c r="H213" s="49">
        <v>24</v>
      </c>
      <c r="I213" s="52" t="s">
        <v>531</v>
      </c>
      <c r="J213" s="1886">
        <v>150</v>
      </c>
      <c r="K213" s="66">
        <v>360</v>
      </c>
      <c r="L213" s="66">
        <v>2100</v>
      </c>
      <c r="M213" s="156"/>
      <c r="N213" s="66"/>
      <c r="O213" s="66"/>
      <c r="P213" s="113">
        <v>129601.70179650001</v>
      </c>
      <c r="Q213" s="113">
        <v>147823.47194748002</v>
      </c>
      <c r="R213" s="161">
        <v>31402.731557362084</v>
      </c>
      <c r="S213" s="161">
        <v>91067.921516350209</v>
      </c>
      <c r="T213" s="161">
        <v>161004.43335386208</v>
      </c>
      <c r="U213" s="161">
        <v>179226.20350484209</v>
      </c>
      <c r="V213" s="1887">
        <v>220669.62331285022</v>
      </c>
      <c r="W213" s="1887">
        <v>238891.39346383023</v>
      </c>
      <c r="Y213" s="65" t="str">
        <f t="shared" si="16"/>
        <v>ВКВТХ.150.360.2100.24ТП.24V</v>
      </c>
    </row>
    <row r="214" spans="1:25" ht="16.5" thickBot="1">
      <c r="A214" s="48" t="s">
        <v>47</v>
      </c>
      <c r="B214" s="49">
        <f t="shared" si="13"/>
        <v>150</v>
      </c>
      <c r="C214" s="49" t="s">
        <v>3</v>
      </c>
      <c r="D214" s="49">
        <f t="shared" si="14"/>
        <v>360</v>
      </c>
      <c r="E214" s="49" t="s">
        <v>3</v>
      </c>
      <c r="F214" s="50">
        <f t="shared" si="15"/>
        <v>2150</v>
      </c>
      <c r="G214" s="49" t="s">
        <v>3</v>
      </c>
      <c r="H214" s="49">
        <v>24</v>
      </c>
      <c r="I214" s="52" t="s">
        <v>531</v>
      </c>
      <c r="J214" s="1886">
        <v>150</v>
      </c>
      <c r="K214" s="66">
        <v>360</v>
      </c>
      <c r="L214" s="66">
        <v>2150</v>
      </c>
      <c r="M214" s="156"/>
      <c r="N214" s="66"/>
      <c r="O214" s="66"/>
      <c r="P214" s="113">
        <v>132763.32506504</v>
      </c>
      <c r="Q214" s="113">
        <v>151369.11773980001</v>
      </c>
      <c r="R214" s="161">
        <v>32006.152450143563</v>
      </c>
      <c r="S214" s="161">
        <v>92817.842105416159</v>
      </c>
      <c r="T214" s="161">
        <v>164769.47751518356</v>
      </c>
      <c r="U214" s="161">
        <v>183375.27018994358</v>
      </c>
      <c r="V214" s="1887">
        <v>225581.16717045614</v>
      </c>
      <c r="W214" s="1887">
        <v>244186.95984521619</v>
      </c>
      <c r="Y214" s="65" t="str">
        <f t="shared" si="16"/>
        <v>ВКВТХ.150.360.2150.24ТП.24V</v>
      </c>
    </row>
    <row r="215" spans="1:25" ht="16.5" thickBot="1">
      <c r="A215" s="48" t="s">
        <v>47</v>
      </c>
      <c r="B215" s="49">
        <f t="shared" si="13"/>
        <v>150</v>
      </c>
      <c r="C215" s="49" t="s">
        <v>3</v>
      </c>
      <c r="D215" s="49">
        <f t="shared" si="14"/>
        <v>360</v>
      </c>
      <c r="E215" s="49" t="s">
        <v>3</v>
      </c>
      <c r="F215" s="50">
        <f t="shared" si="15"/>
        <v>2200</v>
      </c>
      <c r="G215" s="49" t="s">
        <v>3</v>
      </c>
      <c r="H215" s="49">
        <v>24</v>
      </c>
      <c r="I215" s="52" t="s">
        <v>531</v>
      </c>
      <c r="J215" s="1886">
        <v>150</v>
      </c>
      <c r="K215" s="66">
        <v>360</v>
      </c>
      <c r="L215" s="66">
        <v>2200</v>
      </c>
      <c r="M215" s="156"/>
      <c r="N215" s="66"/>
      <c r="O215" s="66"/>
      <c r="P215" s="113">
        <v>135485.76698327999</v>
      </c>
      <c r="Q215" s="113">
        <v>154554.67985648001</v>
      </c>
      <c r="R215" s="161">
        <v>32860.907486552824</v>
      </c>
      <c r="S215" s="161">
        <v>95296.631711003138</v>
      </c>
      <c r="T215" s="161">
        <v>168346.6744698328</v>
      </c>
      <c r="U215" s="161">
        <v>187415.58734303282</v>
      </c>
      <c r="V215" s="1887">
        <v>230782.39869428313</v>
      </c>
      <c r="W215" s="1887">
        <v>249851.31156748315</v>
      </c>
      <c r="Y215" s="65" t="str">
        <f t="shared" si="16"/>
        <v>ВКВТХ.150.360.2200.24ТП.24V</v>
      </c>
    </row>
    <row r="216" spans="1:25" ht="16.5" thickBot="1">
      <c r="A216" s="48" t="s">
        <v>47</v>
      </c>
      <c r="B216" s="49">
        <f t="shared" si="13"/>
        <v>150</v>
      </c>
      <c r="C216" s="49" t="s">
        <v>3</v>
      </c>
      <c r="D216" s="49">
        <f t="shared" si="14"/>
        <v>360</v>
      </c>
      <c r="E216" s="49" t="s">
        <v>3</v>
      </c>
      <c r="F216" s="50">
        <f t="shared" si="15"/>
        <v>2250</v>
      </c>
      <c r="G216" s="49" t="s">
        <v>3</v>
      </c>
      <c r="H216" s="49">
        <v>24</v>
      </c>
      <c r="I216" s="52" t="s">
        <v>531</v>
      </c>
      <c r="J216" s="1886">
        <v>150</v>
      </c>
      <c r="K216" s="66">
        <v>360</v>
      </c>
      <c r="L216" s="66">
        <v>2250</v>
      </c>
      <c r="M216" s="156"/>
      <c r="N216" s="66"/>
      <c r="O216" s="66"/>
      <c r="P216" s="113">
        <v>138091.86683809999</v>
      </c>
      <c r="Q216" s="113">
        <v>157516.555417</v>
      </c>
      <c r="R216" s="161">
        <v>33464.328379334147</v>
      </c>
      <c r="S216" s="161">
        <v>97046.552300069088</v>
      </c>
      <c r="T216" s="161">
        <v>171556.19521743414</v>
      </c>
      <c r="U216" s="161">
        <v>190980.88379633415</v>
      </c>
      <c r="V216" s="1887">
        <v>235138.41913816909</v>
      </c>
      <c r="W216" s="1887">
        <v>254563.1077170691</v>
      </c>
      <c r="Y216" s="65" t="str">
        <f t="shared" si="16"/>
        <v>ВКВТХ.150.360.2250.24ТП.24V</v>
      </c>
    </row>
    <row r="217" spans="1:25" ht="16.5" thickBot="1">
      <c r="A217" s="48" t="s">
        <v>47</v>
      </c>
      <c r="B217" s="49">
        <f t="shared" si="13"/>
        <v>150</v>
      </c>
      <c r="C217" s="49" t="s">
        <v>3</v>
      </c>
      <c r="D217" s="49">
        <f t="shared" si="14"/>
        <v>360</v>
      </c>
      <c r="E217" s="49" t="s">
        <v>3</v>
      </c>
      <c r="F217" s="50">
        <f t="shared" si="15"/>
        <v>2300</v>
      </c>
      <c r="G217" s="49" t="s">
        <v>3</v>
      </c>
      <c r="H217" s="49">
        <v>24</v>
      </c>
      <c r="I217" s="52" t="s">
        <v>531</v>
      </c>
      <c r="J217" s="1886">
        <v>150</v>
      </c>
      <c r="K217" s="66">
        <v>360</v>
      </c>
      <c r="L217" s="66">
        <v>2300</v>
      </c>
      <c r="M217" s="156"/>
      <c r="N217" s="66"/>
      <c r="O217" s="66"/>
      <c r="P217" s="113">
        <v>140199.03787987999</v>
      </c>
      <c r="Q217" s="113">
        <v>159852.70397304001</v>
      </c>
      <c r="R217" s="161">
        <v>34067.74927211547</v>
      </c>
      <c r="S217" s="161">
        <v>98796.472889134719</v>
      </c>
      <c r="T217" s="161">
        <v>174266.78715199546</v>
      </c>
      <c r="U217" s="161">
        <v>193920.45324515548</v>
      </c>
      <c r="V217" s="1887">
        <v>238995.51076901471</v>
      </c>
      <c r="W217" s="1887">
        <v>258649.17686217473</v>
      </c>
      <c r="Y217" s="65" t="str">
        <f t="shared" si="16"/>
        <v>ВКВТХ.150.360.2300.24ТП.24V</v>
      </c>
    </row>
    <row r="218" spans="1:25" ht="16.5" thickBot="1">
      <c r="A218" s="48" t="s">
        <v>47</v>
      </c>
      <c r="B218" s="49">
        <f t="shared" si="13"/>
        <v>150</v>
      </c>
      <c r="C218" s="49" t="s">
        <v>3</v>
      </c>
      <c r="D218" s="49">
        <f t="shared" si="14"/>
        <v>360</v>
      </c>
      <c r="E218" s="49" t="s">
        <v>3</v>
      </c>
      <c r="F218" s="50">
        <f t="shared" si="15"/>
        <v>2350</v>
      </c>
      <c r="G218" s="49" t="s">
        <v>3</v>
      </c>
      <c r="H218" s="49">
        <v>24</v>
      </c>
      <c r="I218" s="52" t="s">
        <v>531</v>
      </c>
      <c r="J218" s="1886">
        <v>150</v>
      </c>
      <c r="K218" s="66">
        <v>360</v>
      </c>
      <c r="L218" s="66">
        <v>2350</v>
      </c>
      <c r="M218" s="156"/>
      <c r="N218" s="66"/>
      <c r="O218" s="66"/>
      <c r="P218" s="113">
        <v>142805.13773469999</v>
      </c>
      <c r="Q218" s="113">
        <v>162814.5793984</v>
      </c>
      <c r="R218" s="161">
        <v>34922.504308524738</v>
      </c>
      <c r="S218" s="161">
        <v>101275.26249472184</v>
      </c>
      <c r="T218" s="161">
        <v>177727.64204322474</v>
      </c>
      <c r="U218" s="161">
        <v>197737.08370692475</v>
      </c>
      <c r="V218" s="1887">
        <v>244080.40022942185</v>
      </c>
      <c r="W218" s="1887">
        <v>264089.84189312183</v>
      </c>
      <c r="Y218" s="65" t="str">
        <f t="shared" si="16"/>
        <v>ВКВТХ.150.360.2350.24ТП.24V</v>
      </c>
    </row>
    <row r="219" spans="1:25" ht="16.5" thickBot="1">
      <c r="A219" s="48" t="s">
        <v>47</v>
      </c>
      <c r="B219" s="49">
        <f t="shared" si="13"/>
        <v>150</v>
      </c>
      <c r="C219" s="49" t="s">
        <v>3</v>
      </c>
      <c r="D219" s="49">
        <f t="shared" si="14"/>
        <v>360</v>
      </c>
      <c r="E219" s="49" t="s">
        <v>3</v>
      </c>
      <c r="F219" s="50">
        <f t="shared" si="15"/>
        <v>2400</v>
      </c>
      <c r="G219" s="49" t="s">
        <v>3</v>
      </c>
      <c r="H219" s="49">
        <v>24</v>
      </c>
      <c r="I219" s="52" t="s">
        <v>531</v>
      </c>
      <c r="J219" s="1886">
        <v>150</v>
      </c>
      <c r="K219" s="66">
        <v>360</v>
      </c>
      <c r="L219" s="66">
        <v>2400</v>
      </c>
      <c r="M219" s="156"/>
      <c r="N219" s="66"/>
      <c r="O219" s="66"/>
      <c r="P219" s="113">
        <v>145411.23758951999</v>
      </c>
      <c r="Q219" s="113">
        <v>165776.45495892002</v>
      </c>
      <c r="R219" s="161">
        <v>35525.925201306214</v>
      </c>
      <c r="S219" s="161">
        <v>103025.18308378779</v>
      </c>
      <c r="T219" s="161">
        <v>180937.1627908262</v>
      </c>
      <c r="U219" s="161">
        <v>201302.38016022622</v>
      </c>
      <c r="V219" s="1887">
        <v>248436.42067330779</v>
      </c>
      <c r="W219" s="1887">
        <v>268801.63804270781</v>
      </c>
      <c r="Y219" s="65" t="str">
        <f t="shared" si="16"/>
        <v>ВКВТХ.150.360.2400.24ТП.24V</v>
      </c>
    </row>
    <row r="220" spans="1:25" ht="16.5" thickBot="1">
      <c r="A220" s="48" t="s">
        <v>47</v>
      </c>
      <c r="B220" s="49">
        <f t="shared" si="13"/>
        <v>150</v>
      </c>
      <c r="C220" s="49" t="s">
        <v>3</v>
      </c>
      <c r="D220" s="49">
        <f t="shared" si="14"/>
        <v>360</v>
      </c>
      <c r="E220" s="49" t="s">
        <v>3</v>
      </c>
      <c r="F220" s="50">
        <f t="shared" si="15"/>
        <v>2450</v>
      </c>
      <c r="G220" s="49" t="s">
        <v>3</v>
      </c>
      <c r="H220" s="49">
        <v>24</v>
      </c>
      <c r="I220" s="52" t="s">
        <v>531</v>
      </c>
      <c r="J220" s="1886">
        <v>150</v>
      </c>
      <c r="K220" s="66">
        <v>360</v>
      </c>
      <c r="L220" s="66">
        <v>2450</v>
      </c>
      <c r="M220" s="156"/>
      <c r="N220" s="66"/>
      <c r="O220" s="66"/>
      <c r="P220" s="113">
        <v>148017.33744434</v>
      </c>
      <c r="Q220" s="113">
        <v>168738.33038428001</v>
      </c>
      <c r="R220" s="161">
        <v>36380.680237715482</v>
      </c>
      <c r="S220" s="161">
        <v>105503.97268937476</v>
      </c>
      <c r="T220" s="161">
        <v>184398.01768205548</v>
      </c>
      <c r="U220" s="161">
        <v>205119.01062199549</v>
      </c>
      <c r="V220" s="1887">
        <v>253521.31013371475</v>
      </c>
      <c r="W220" s="1887">
        <v>274242.30307365477</v>
      </c>
      <c r="Y220" s="65" t="str">
        <f t="shared" si="16"/>
        <v>ВКВТХ.150.360.2450.24ТП.24V</v>
      </c>
    </row>
    <row r="221" spans="1:25" ht="16.5" thickBot="1">
      <c r="A221" s="48" t="s">
        <v>47</v>
      </c>
      <c r="B221" s="49">
        <f t="shared" si="13"/>
        <v>150</v>
      </c>
      <c r="C221" s="49" t="s">
        <v>3</v>
      </c>
      <c r="D221" s="49">
        <f t="shared" si="14"/>
        <v>360</v>
      </c>
      <c r="E221" s="49" t="s">
        <v>3</v>
      </c>
      <c r="F221" s="50">
        <f t="shared" si="15"/>
        <v>2500</v>
      </c>
      <c r="G221" s="49" t="s">
        <v>3</v>
      </c>
      <c r="H221" s="49">
        <v>24</v>
      </c>
      <c r="I221" s="52" t="s">
        <v>531</v>
      </c>
      <c r="J221" s="1886">
        <v>150</v>
      </c>
      <c r="K221" s="66">
        <v>360</v>
      </c>
      <c r="L221" s="66">
        <v>2500</v>
      </c>
      <c r="M221" s="156"/>
      <c r="N221" s="66"/>
      <c r="O221" s="66"/>
      <c r="P221" s="113">
        <v>150746.4992431</v>
      </c>
      <c r="Q221" s="113">
        <v>171829.52527572002</v>
      </c>
      <c r="R221" s="161">
        <v>36984.101130496805</v>
      </c>
      <c r="S221" s="161">
        <v>107253.89327844072</v>
      </c>
      <c r="T221" s="161">
        <v>187730.6003735968</v>
      </c>
      <c r="U221" s="161">
        <v>208813.62640621682</v>
      </c>
      <c r="V221" s="1887">
        <v>258000.39252154072</v>
      </c>
      <c r="W221" s="1887">
        <v>279083.41855416074</v>
      </c>
      <c r="Y221" s="65" t="str">
        <f t="shared" si="16"/>
        <v>ВКВТХ.150.360.2500.24ТП.24V</v>
      </c>
    </row>
    <row r="222" spans="1:25" ht="16.5" thickBot="1">
      <c r="A222" s="48" t="s">
        <v>47</v>
      </c>
      <c r="B222" s="49">
        <f t="shared" si="13"/>
        <v>150</v>
      </c>
      <c r="C222" s="49" t="s">
        <v>3</v>
      </c>
      <c r="D222" s="49">
        <f t="shared" si="14"/>
        <v>360</v>
      </c>
      <c r="E222" s="49" t="s">
        <v>3</v>
      </c>
      <c r="F222" s="50">
        <f t="shared" si="15"/>
        <v>2550</v>
      </c>
      <c r="G222" s="49" t="s">
        <v>3</v>
      </c>
      <c r="H222" s="49">
        <v>24</v>
      </c>
      <c r="I222" s="52" t="s">
        <v>531</v>
      </c>
      <c r="J222" s="1886">
        <v>150</v>
      </c>
      <c r="K222" s="66">
        <v>360</v>
      </c>
      <c r="L222" s="66">
        <v>2550</v>
      </c>
      <c r="M222" s="156"/>
      <c r="N222" s="66"/>
      <c r="O222" s="66"/>
      <c r="P222" s="113">
        <v>155228.81942460002</v>
      </c>
      <c r="Q222" s="113">
        <v>176763.02219648001</v>
      </c>
      <c r="R222" s="161">
        <v>37838.856166906073</v>
      </c>
      <c r="S222" s="161">
        <v>109732.6828840277</v>
      </c>
      <c r="T222" s="161">
        <v>193067.67559150609</v>
      </c>
      <c r="U222" s="161">
        <v>214601.87836338609</v>
      </c>
      <c r="V222" s="1887">
        <v>264961.50230862771</v>
      </c>
      <c r="W222" s="1887">
        <v>286495.70508050773</v>
      </c>
      <c r="Y222" s="65" t="str">
        <f t="shared" si="16"/>
        <v>ВКВТХ.150.360.2550.24ТП.24V</v>
      </c>
    </row>
    <row r="223" spans="1:25" ht="16.5" thickBot="1">
      <c r="A223" s="48" t="s">
        <v>47</v>
      </c>
      <c r="B223" s="49">
        <f t="shared" si="13"/>
        <v>150</v>
      </c>
      <c r="C223" s="49" t="s">
        <v>3</v>
      </c>
      <c r="D223" s="49">
        <f t="shared" si="14"/>
        <v>360</v>
      </c>
      <c r="E223" s="49" t="s">
        <v>3</v>
      </c>
      <c r="F223" s="50">
        <f t="shared" si="15"/>
        <v>2600</v>
      </c>
      <c r="G223" s="49" t="s">
        <v>3</v>
      </c>
      <c r="H223" s="49">
        <v>24</v>
      </c>
      <c r="I223" s="52" t="s">
        <v>531</v>
      </c>
      <c r="J223" s="1886">
        <v>150</v>
      </c>
      <c r="K223" s="66">
        <v>360</v>
      </c>
      <c r="L223" s="66">
        <v>2600</v>
      </c>
      <c r="M223" s="156"/>
      <c r="N223" s="66"/>
      <c r="O223" s="66"/>
      <c r="P223" s="113">
        <v>157834.91927941999</v>
      </c>
      <c r="Q223" s="113">
        <v>179724.89762184003</v>
      </c>
      <c r="R223" s="161">
        <v>38442.277059687396</v>
      </c>
      <c r="S223" s="161">
        <v>111482.60347309351</v>
      </c>
      <c r="T223" s="161">
        <v>196277.19633910738</v>
      </c>
      <c r="U223" s="161">
        <v>218167.17468152742</v>
      </c>
      <c r="V223" s="1887">
        <v>269317.52275251353</v>
      </c>
      <c r="W223" s="1887">
        <v>291207.50109493354</v>
      </c>
      <c r="Y223" s="65" t="str">
        <f t="shared" si="16"/>
        <v>ВКВТХ.150.360.2600.24ТП.24V</v>
      </c>
    </row>
    <row r="224" spans="1:25" ht="16.5" thickBot="1">
      <c r="A224" s="48" t="s">
        <v>47</v>
      </c>
      <c r="B224" s="49">
        <f t="shared" si="13"/>
        <v>150</v>
      </c>
      <c r="C224" s="49" t="s">
        <v>3</v>
      </c>
      <c r="D224" s="49">
        <f t="shared" si="14"/>
        <v>360</v>
      </c>
      <c r="E224" s="49" t="s">
        <v>3</v>
      </c>
      <c r="F224" s="50">
        <f t="shared" si="15"/>
        <v>2650</v>
      </c>
      <c r="G224" s="49" t="s">
        <v>3</v>
      </c>
      <c r="H224" s="49">
        <v>24</v>
      </c>
      <c r="I224" s="52" t="s">
        <v>531</v>
      </c>
      <c r="J224" s="1886">
        <v>150</v>
      </c>
      <c r="K224" s="66">
        <v>360</v>
      </c>
      <c r="L224" s="66">
        <v>2650</v>
      </c>
      <c r="M224" s="156"/>
      <c r="N224" s="66"/>
      <c r="O224" s="66"/>
      <c r="P224" s="113">
        <v>160468.32323094</v>
      </c>
      <c r="Q224" s="113">
        <v>182715.46575812003</v>
      </c>
      <c r="R224" s="161">
        <v>39297.032096096817</v>
      </c>
      <c r="S224" s="161">
        <v>113961.3930786806</v>
      </c>
      <c r="T224" s="161">
        <v>199765.35532703681</v>
      </c>
      <c r="U224" s="161">
        <v>222012.49785421684</v>
      </c>
      <c r="V224" s="1887">
        <v>274429.71630962059</v>
      </c>
      <c r="W224" s="1887">
        <v>296676.85883680062</v>
      </c>
      <c r="Y224" s="65" t="str">
        <f t="shared" si="16"/>
        <v>ВКВТХ.150.360.2650.24ТП.24V</v>
      </c>
    </row>
    <row r="225" spans="1:25" ht="16.5" thickBot="1">
      <c r="A225" s="48" t="s">
        <v>47</v>
      </c>
      <c r="B225" s="49">
        <f t="shared" si="13"/>
        <v>150</v>
      </c>
      <c r="C225" s="49" t="s">
        <v>3</v>
      </c>
      <c r="D225" s="49">
        <f t="shared" si="14"/>
        <v>360</v>
      </c>
      <c r="E225" s="49" t="s">
        <v>3</v>
      </c>
      <c r="F225" s="50">
        <f t="shared" si="15"/>
        <v>2700</v>
      </c>
      <c r="G225" s="49" t="s">
        <v>3</v>
      </c>
      <c r="H225" s="49">
        <v>24</v>
      </c>
      <c r="I225" s="52" t="s">
        <v>531</v>
      </c>
      <c r="J225" s="1886">
        <v>150</v>
      </c>
      <c r="K225" s="66">
        <v>360</v>
      </c>
      <c r="L225" s="66">
        <v>2700</v>
      </c>
      <c r="M225" s="156"/>
      <c r="N225" s="66"/>
      <c r="O225" s="66"/>
      <c r="P225" s="113">
        <v>162662.54596078</v>
      </c>
      <c r="Q225" s="113">
        <v>185345.95008360004</v>
      </c>
      <c r="R225" s="161">
        <v>39900.45298887814</v>
      </c>
      <c r="S225" s="161">
        <v>115711.31366774657</v>
      </c>
      <c r="T225" s="161">
        <v>202562.99894965813</v>
      </c>
      <c r="U225" s="161">
        <v>225246.40307247819</v>
      </c>
      <c r="V225" s="1887">
        <v>278373.85962852655</v>
      </c>
      <c r="W225" s="1887">
        <v>301057.26375134662</v>
      </c>
      <c r="Y225" s="65" t="str">
        <f t="shared" si="16"/>
        <v>ВКВТХ.150.360.2700.24ТП.24V</v>
      </c>
    </row>
    <row r="226" spans="1:25" ht="16.5" thickBot="1">
      <c r="A226" s="48" t="s">
        <v>47</v>
      </c>
      <c r="B226" s="49">
        <f t="shared" si="13"/>
        <v>150</v>
      </c>
      <c r="C226" s="49" t="s">
        <v>3</v>
      </c>
      <c r="D226" s="49">
        <f t="shared" si="14"/>
        <v>360</v>
      </c>
      <c r="E226" s="49" t="s">
        <v>3</v>
      </c>
      <c r="F226" s="50">
        <f t="shared" si="15"/>
        <v>2750</v>
      </c>
      <c r="G226" s="49" t="s">
        <v>3</v>
      </c>
      <c r="H226" s="49">
        <v>24</v>
      </c>
      <c r="I226" s="52" t="s">
        <v>531</v>
      </c>
      <c r="J226" s="1886">
        <v>150</v>
      </c>
      <c r="K226" s="66">
        <v>360</v>
      </c>
      <c r="L226" s="66">
        <v>2750</v>
      </c>
      <c r="M226" s="156"/>
      <c r="N226" s="66"/>
      <c r="O226" s="66"/>
      <c r="P226" s="113">
        <v>165295.95004092</v>
      </c>
      <c r="Q226" s="113">
        <v>188336.51808472001</v>
      </c>
      <c r="R226" s="161">
        <v>40503.873881659463</v>
      </c>
      <c r="S226" s="161">
        <v>117461.2342568125</v>
      </c>
      <c r="T226" s="161">
        <v>205799.82392257947</v>
      </c>
      <c r="U226" s="161">
        <v>228840.39196637948</v>
      </c>
      <c r="V226" s="1887">
        <v>282757.18429773248</v>
      </c>
      <c r="W226" s="1887">
        <v>305797.7523415325</v>
      </c>
      <c r="Y226" s="65" t="str">
        <f t="shared" si="16"/>
        <v>ВКВТХ.150.360.2750.24ТП.24V</v>
      </c>
    </row>
    <row r="227" spans="1:25" ht="16.5" thickBot="1">
      <c r="A227" s="48" t="s">
        <v>47</v>
      </c>
      <c r="B227" s="49">
        <f t="shared" si="13"/>
        <v>150</v>
      </c>
      <c r="C227" s="49" t="s">
        <v>3</v>
      </c>
      <c r="D227" s="49">
        <f t="shared" si="14"/>
        <v>360</v>
      </c>
      <c r="E227" s="49" t="s">
        <v>3</v>
      </c>
      <c r="F227" s="50">
        <f t="shared" si="15"/>
        <v>2800</v>
      </c>
      <c r="G227" s="49" t="s">
        <v>3</v>
      </c>
      <c r="H227" s="49">
        <v>24</v>
      </c>
      <c r="I227" s="52" t="s">
        <v>531</v>
      </c>
      <c r="J227" s="1886">
        <v>150</v>
      </c>
      <c r="K227" s="66">
        <v>360</v>
      </c>
      <c r="L227" s="66">
        <v>2800</v>
      </c>
      <c r="M227" s="156"/>
      <c r="N227" s="66"/>
      <c r="O227" s="66"/>
      <c r="P227" s="113">
        <v>167929.35399244001</v>
      </c>
      <c r="Q227" s="113">
        <v>191327.08608584001</v>
      </c>
      <c r="R227" s="161">
        <v>41358.628918068724</v>
      </c>
      <c r="S227" s="161">
        <v>119940.02386239932</v>
      </c>
      <c r="T227" s="161">
        <v>209287.98291050873</v>
      </c>
      <c r="U227" s="161">
        <v>232685.71500390873</v>
      </c>
      <c r="V227" s="1887">
        <v>287869.37785483932</v>
      </c>
      <c r="W227" s="1887">
        <v>311267.10994823935</v>
      </c>
      <c r="Y227" s="65" t="str">
        <f t="shared" si="16"/>
        <v>ВКВТХ.150.360.2800.24ТП.24V</v>
      </c>
    </row>
    <row r="228" spans="1:25" ht="16.5" thickBot="1">
      <c r="A228" s="48" t="s">
        <v>47</v>
      </c>
      <c r="B228" s="49">
        <f t="shared" si="13"/>
        <v>150</v>
      </c>
      <c r="C228" s="49" t="s">
        <v>3</v>
      </c>
      <c r="D228" s="49">
        <f t="shared" si="14"/>
        <v>360</v>
      </c>
      <c r="E228" s="49" t="s">
        <v>3</v>
      </c>
      <c r="F228" s="50">
        <f t="shared" si="15"/>
        <v>2850</v>
      </c>
      <c r="G228" s="49" t="s">
        <v>3</v>
      </c>
      <c r="H228" s="49">
        <v>24</v>
      </c>
      <c r="I228" s="52" t="s">
        <v>531</v>
      </c>
      <c r="J228" s="1886">
        <v>150</v>
      </c>
      <c r="K228" s="66">
        <v>360</v>
      </c>
      <c r="L228" s="66">
        <v>2850</v>
      </c>
      <c r="M228" s="156"/>
      <c r="N228" s="66"/>
      <c r="O228" s="66"/>
      <c r="P228" s="113">
        <v>170562.75807258001</v>
      </c>
      <c r="Q228" s="113">
        <v>194317.65408696004</v>
      </c>
      <c r="R228" s="161">
        <v>41962.049810850047</v>
      </c>
      <c r="S228" s="161">
        <v>121689.94445146529</v>
      </c>
      <c r="T228" s="161">
        <v>212524.80788343004</v>
      </c>
      <c r="U228" s="161">
        <v>236279.70389781008</v>
      </c>
      <c r="V228" s="1887">
        <v>292252.70252404531</v>
      </c>
      <c r="W228" s="1887">
        <v>316007.59853842534</v>
      </c>
      <c r="Y228" s="65" t="str">
        <f t="shared" si="16"/>
        <v>ВКВТХ.150.360.2850.24ТП.24V</v>
      </c>
    </row>
    <row r="229" spans="1:25" ht="16.5" thickBot="1">
      <c r="A229" s="48" t="s">
        <v>47</v>
      </c>
      <c r="B229" s="49">
        <f t="shared" si="13"/>
        <v>150</v>
      </c>
      <c r="C229" s="49" t="s">
        <v>3</v>
      </c>
      <c r="D229" s="49">
        <f t="shared" si="14"/>
        <v>360</v>
      </c>
      <c r="E229" s="49" t="s">
        <v>3</v>
      </c>
      <c r="F229" s="50">
        <f t="shared" si="15"/>
        <v>2900</v>
      </c>
      <c r="G229" s="49" t="s">
        <v>3</v>
      </c>
      <c r="H229" s="49">
        <v>24</v>
      </c>
      <c r="I229" s="52" t="s">
        <v>531</v>
      </c>
      <c r="J229" s="1886">
        <v>150</v>
      </c>
      <c r="K229" s="66">
        <v>360</v>
      </c>
      <c r="L229" s="66">
        <v>2900</v>
      </c>
      <c r="M229" s="156"/>
      <c r="N229" s="66"/>
      <c r="O229" s="66"/>
      <c r="P229" s="113">
        <v>173196.16215272</v>
      </c>
      <c r="Q229" s="113">
        <v>197308.22222324004</v>
      </c>
      <c r="R229" s="161">
        <v>42816.804847259315</v>
      </c>
      <c r="S229" s="161">
        <v>124168.73405705226</v>
      </c>
      <c r="T229" s="161">
        <v>216012.96699997931</v>
      </c>
      <c r="U229" s="161">
        <v>240125.02707049935</v>
      </c>
      <c r="V229" s="1887">
        <v>297364.89620977227</v>
      </c>
      <c r="W229" s="1887">
        <v>321476.9562802923</v>
      </c>
      <c r="Y229" s="65" t="str">
        <f t="shared" si="16"/>
        <v>ВКВТХ.150.360.2900.24ТП.24V</v>
      </c>
    </row>
    <row r="230" spans="1:25" ht="16.5" thickBot="1">
      <c r="A230" s="48" t="s">
        <v>47</v>
      </c>
      <c r="B230" s="49">
        <f t="shared" si="13"/>
        <v>150</v>
      </c>
      <c r="C230" s="49" t="s">
        <v>3</v>
      </c>
      <c r="D230" s="49">
        <f t="shared" si="14"/>
        <v>360</v>
      </c>
      <c r="E230" s="49" t="s">
        <v>3</v>
      </c>
      <c r="F230" s="50">
        <f t="shared" si="15"/>
        <v>2950</v>
      </c>
      <c r="G230" s="49" t="s">
        <v>3</v>
      </c>
      <c r="H230" s="49">
        <v>24</v>
      </c>
      <c r="I230" s="52" t="s">
        <v>531</v>
      </c>
      <c r="J230" s="1886">
        <v>150</v>
      </c>
      <c r="K230" s="66">
        <v>360</v>
      </c>
      <c r="L230" s="66">
        <v>2950</v>
      </c>
      <c r="M230" s="156"/>
      <c r="N230" s="66"/>
      <c r="O230" s="66"/>
      <c r="P230" s="113">
        <v>175829.56610424002</v>
      </c>
      <c r="Q230" s="113">
        <v>200298.79022436004</v>
      </c>
      <c r="R230" s="161">
        <v>43420.225740040791</v>
      </c>
      <c r="S230" s="161">
        <v>125918.6546461182</v>
      </c>
      <c r="T230" s="161">
        <v>219249.79184428081</v>
      </c>
      <c r="U230" s="161">
        <v>243719.01596440084</v>
      </c>
      <c r="V230" s="1887">
        <v>301748.22075035819</v>
      </c>
      <c r="W230" s="1887">
        <v>326217.44487047824</v>
      </c>
      <c r="Y230" s="65" t="str">
        <f t="shared" si="16"/>
        <v>ВКВТХ.150.360.2950.24ТП.24V</v>
      </c>
    </row>
    <row r="231" spans="1:25" ht="16.5" thickBot="1">
      <c r="A231" s="55" t="s">
        <v>47</v>
      </c>
      <c r="B231" s="56">
        <f t="shared" si="13"/>
        <v>150</v>
      </c>
      <c r="C231" s="56" t="s">
        <v>3</v>
      </c>
      <c r="D231" s="56">
        <f t="shared" si="14"/>
        <v>360</v>
      </c>
      <c r="E231" s="56" t="s">
        <v>3</v>
      </c>
      <c r="F231" s="57">
        <f t="shared" si="15"/>
        <v>3000</v>
      </c>
      <c r="G231" s="56" t="s">
        <v>3</v>
      </c>
      <c r="H231" s="56">
        <v>24</v>
      </c>
      <c r="I231" s="1888" t="s">
        <v>531</v>
      </c>
      <c r="J231" s="1889">
        <v>150</v>
      </c>
      <c r="K231" s="266">
        <v>360</v>
      </c>
      <c r="L231" s="266">
        <v>3000</v>
      </c>
      <c r="M231" s="281"/>
      <c r="N231" s="266"/>
      <c r="O231" s="266"/>
      <c r="P231" s="251">
        <v>178603.47261445998</v>
      </c>
      <c r="Q231" s="251">
        <v>203437.00484692003</v>
      </c>
      <c r="R231" s="283">
        <v>44274.980776450058</v>
      </c>
      <c r="S231" s="283">
        <v>128397.44425170516</v>
      </c>
      <c r="T231" s="283">
        <v>222878.45339091006</v>
      </c>
      <c r="U231" s="283">
        <v>247711.9856233701</v>
      </c>
      <c r="V231" s="1890">
        <v>307000.91686616512</v>
      </c>
      <c r="W231" s="1890">
        <v>331834.44909862522</v>
      </c>
      <c r="Y231" s="65" t="str">
        <f t="shared" si="16"/>
        <v>ВКВТХ.150.360.3000.24ТП.24V</v>
      </c>
    </row>
    <row r="232" spans="1:25">
      <c r="A232" s="3080" t="s">
        <v>476</v>
      </c>
      <c r="B232" s="3081"/>
      <c r="C232" s="3081"/>
      <c r="D232" s="3081"/>
      <c r="E232" s="3081"/>
      <c r="F232" s="3081"/>
      <c r="G232" s="3081"/>
      <c r="H232" s="3081"/>
      <c r="I232" s="3081"/>
      <c r="J232" s="3081"/>
      <c r="K232" s="3081"/>
      <c r="L232" s="3081"/>
      <c r="M232" s="3081"/>
      <c r="N232" s="3081"/>
      <c r="O232" s="3081"/>
      <c r="P232" s="3081"/>
      <c r="Q232" s="3081"/>
      <c r="R232" s="3081"/>
      <c r="S232" s="3081"/>
      <c r="T232" s="3081"/>
      <c r="U232" s="3081"/>
      <c r="V232" s="3081"/>
      <c r="W232" s="3082"/>
      <c r="Y232" s="65"/>
    </row>
    <row r="233" spans="1:25" ht="15.75" thickBot="1">
      <c r="A233" s="3083"/>
      <c r="B233" s="3018"/>
      <c r="C233" s="3018"/>
      <c r="D233" s="3018"/>
      <c r="E233" s="3018"/>
      <c r="F233" s="3018"/>
      <c r="G233" s="3018"/>
      <c r="H233" s="3018"/>
      <c r="I233" s="3018"/>
      <c r="J233" s="3018"/>
      <c r="K233" s="3018"/>
      <c r="L233" s="3018"/>
      <c r="M233" s="3018"/>
      <c r="N233" s="3018"/>
      <c r="O233" s="3018"/>
      <c r="P233" s="3018"/>
      <c r="Q233" s="3018"/>
      <c r="R233" s="3018"/>
      <c r="S233" s="3018"/>
      <c r="T233" s="3018"/>
      <c r="U233" s="3018"/>
      <c r="V233" s="3018"/>
      <c r="W233" s="3019"/>
      <c r="Y233" s="65"/>
    </row>
    <row r="234" spans="1:25" ht="16.5" thickBot="1">
      <c r="A234" s="53" t="s">
        <v>47</v>
      </c>
      <c r="B234" s="51">
        <f t="shared" ref="B234:B276" si="17">J234</f>
        <v>150</v>
      </c>
      <c r="C234" s="51" t="s">
        <v>3</v>
      </c>
      <c r="D234" s="51">
        <f t="shared" ref="D234:D276" si="18">K234</f>
        <v>400</v>
      </c>
      <c r="E234" s="51" t="s">
        <v>3</v>
      </c>
      <c r="F234" s="54">
        <f t="shared" ref="F234:F276" si="19">L234</f>
        <v>900</v>
      </c>
      <c r="G234" s="51" t="s">
        <v>3</v>
      </c>
      <c r="H234" s="51">
        <v>24</v>
      </c>
      <c r="I234" s="52" t="s">
        <v>531</v>
      </c>
      <c r="J234" s="1886">
        <v>150</v>
      </c>
      <c r="K234" s="271">
        <v>400</v>
      </c>
      <c r="L234" s="271">
        <v>900</v>
      </c>
      <c r="M234" s="282"/>
      <c r="N234" s="271"/>
      <c r="O234" s="271"/>
      <c r="P234" s="247">
        <v>50703.451360860003</v>
      </c>
      <c r="Q234" s="247">
        <v>59828.210825080008</v>
      </c>
      <c r="R234" s="170">
        <v>15202.46431058686</v>
      </c>
      <c r="S234" s="170">
        <v>45607.392931760573</v>
      </c>
      <c r="T234" s="170">
        <v>65905.915671446855</v>
      </c>
      <c r="U234" s="170">
        <v>75030.675135666868</v>
      </c>
      <c r="V234" s="1887">
        <v>96310.844292620575</v>
      </c>
      <c r="W234" s="1887">
        <v>105435.60375684057</v>
      </c>
      <c r="Y234" s="65" t="str">
        <f t="shared" si="16"/>
        <v>ВКВТХ.150.400.900.24ТП.24V</v>
      </c>
    </row>
    <row r="235" spans="1:25" ht="16.5" thickBot="1">
      <c r="A235" s="48" t="s">
        <v>47</v>
      </c>
      <c r="B235" s="49">
        <f t="shared" si="17"/>
        <v>150</v>
      </c>
      <c r="C235" s="49" t="s">
        <v>3</v>
      </c>
      <c r="D235" s="49">
        <f t="shared" si="18"/>
        <v>400</v>
      </c>
      <c r="E235" s="49" t="s">
        <v>3</v>
      </c>
      <c r="F235" s="50">
        <f t="shared" si="19"/>
        <v>950</v>
      </c>
      <c r="G235" s="49" t="s">
        <v>3</v>
      </c>
      <c r="H235" s="51">
        <v>24</v>
      </c>
      <c r="I235" s="52" t="s">
        <v>531</v>
      </c>
      <c r="J235" s="1886">
        <v>150</v>
      </c>
      <c r="K235" s="66">
        <v>400</v>
      </c>
      <c r="L235" s="66">
        <v>950</v>
      </c>
      <c r="M235" s="156"/>
      <c r="N235" s="66"/>
      <c r="O235" s="66"/>
      <c r="P235" s="113">
        <v>53484.711076480002</v>
      </c>
      <c r="Q235" s="113">
        <v>62988.282982200013</v>
      </c>
      <c r="R235" s="161">
        <v>16110.405483379143</v>
      </c>
      <c r="S235" s="161">
        <v>48331.216450137428</v>
      </c>
      <c r="T235" s="161">
        <v>69595.116559859147</v>
      </c>
      <c r="U235" s="161">
        <v>79098.688465579151</v>
      </c>
      <c r="V235" s="1887">
        <v>101815.92752661742</v>
      </c>
      <c r="W235" s="1887">
        <v>111319.49943233744</v>
      </c>
      <c r="Y235" s="65" t="str">
        <f t="shared" si="16"/>
        <v>ВКВТХ.150.400.950.24ТП.24V</v>
      </c>
    </row>
    <row r="236" spans="1:25" ht="16.5" thickBot="1">
      <c r="A236" s="48" t="s">
        <v>47</v>
      </c>
      <c r="B236" s="49">
        <f t="shared" si="17"/>
        <v>150</v>
      </c>
      <c r="C236" s="49" t="s">
        <v>3</v>
      </c>
      <c r="D236" s="49">
        <f t="shared" si="18"/>
        <v>400</v>
      </c>
      <c r="E236" s="49" t="s">
        <v>3</v>
      </c>
      <c r="F236" s="50">
        <f t="shared" si="19"/>
        <v>1000</v>
      </c>
      <c r="G236" s="49" t="s">
        <v>3</v>
      </c>
      <c r="H236" s="51">
        <v>24</v>
      </c>
      <c r="I236" s="52" t="s">
        <v>531</v>
      </c>
      <c r="J236" s="1886">
        <v>150</v>
      </c>
      <c r="K236" s="66">
        <v>400</v>
      </c>
      <c r="L236" s="66">
        <v>1000</v>
      </c>
      <c r="M236" s="156"/>
      <c r="N236" s="66"/>
      <c r="O236" s="66"/>
      <c r="P236" s="113">
        <v>57277.290301859997</v>
      </c>
      <c r="Q236" s="113">
        <v>67211.097945320013</v>
      </c>
      <c r="R236" s="161">
        <v>16767.012512543439</v>
      </c>
      <c r="S236" s="161">
        <v>50301.03753763032</v>
      </c>
      <c r="T236" s="161">
        <v>74044.302814403432</v>
      </c>
      <c r="U236" s="161">
        <v>83978.110457863455</v>
      </c>
      <c r="V236" s="1887">
        <v>107578.32783949032</v>
      </c>
      <c r="W236" s="1887">
        <v>117512.13548295034</v>
      </c>
      <c r="Y236" s="65" t="str">
        <f t="shared" si="16"/>
        <v>ВКВТХ.150.400.1000.24ТП.24V</v>
      </c>
    </row>
    <row r="237" spans="1:25" ht="16.5" thickBot="1">
      <c r="A237" s="48" t="s">
        <v>47</v>
      </c>
      <c r="B237" s="49">
        <f t="shared" si="17"/>
        <v>150</v>
      </c>
      <c r="C237" s="49" t="s">
        <v>3</v>
      </c>
      <c r="D237" s="49">
        <f t="shared" si="18"/>
        <v>400</v>
      </c>
      <c r="E237" s="49" t="s">
        <v>3</v>
      </c>
      <c r="F237" s="50">
        <f t="shared" si="19"/>
        <v>1050</v>
      </c>
      <c r="G237" s="49" t="s">
        <v>3</v>
      </c>
      <c r="H237" s="51">
        <v>24</v>
      </c>
      <c r="I237" s="52" t="s">
        <v>531</v>
      </c>
      <c r="J237" s="1886">
        <v>150</v>
      </c>
      <c r="K237" s="66">
        <v>400</v>
      </c>
      <c r="L237" s="66">
        <v>1050</v>
      </c>
      <c r="M237" s="156"/>
      <c r="N237" s="66"/>
      <c r="O237" s="66"/>
      <c r="P237" s="113">
        <v>60986.083500979999</v>
      </c>
      <c r="Q237" s="113">
        <v>71345.866440600003</v>
      </c>
      <c r="R237" s="161">
        <v>17674.953685335677</v>
      </c>
      <c r="S237" s="161">
        <v>53024.861056007176</v>
      </c>
      <c r="T237" s="161">
        <v>78661.037186315676</v>
      </c>
      <c r="U237" s="161">
        <v>89020.820125935687</v>
      </c>
      <c r="V237" s="1887">
        <v>114010.94455698718</v>
      </c>
      <c r="W237" s="1887">
        <v>124370.72749660717</v>
      </c>
      <c r="Y237" s="65" t="str">
        <f t="shared" si="16"/>
        <v>ВКВТХ.150.400.1050.24ТП.24V</v>
      </c>
    </row>
    <row r="238" spans="1:25" ht="16.5" thickBot="1">
      <c r="A238" s="48" t="s">
        <v>47</v>
      </c>
      <c r="B238" s="49">
        <f t="shared" si="17"/>
        <v>150</v>
      </c>
      <c r="C238" s="49" t="s">
        <v>3</v>
      </c>
      <c r="D238" s="49">
        <f t="shared" si="18"/>
        <v>400</v>
      </c>
      <c r="E238" s="49" t="s">
        <v>3</v>
      </c>
      <c r="F238" s="50">
        <f t="shared" si="19"/>
        <v>1100</v>
      </c>
      <c r="G238" s="49" t="s">
        <v>3</v>
      </c>
      <c r="H238" s="51">
        <v>24</v>
      </c>
      <c r="I238" s="52" t="s">
        <v>531</v>
      </c>
      <c r="J238" s="1886">
        <v>150</v>
      </c>
      <c r="K238" s="66">
        <v>400</v>
      </c>
      <c r="L238" s="66">
        <v>1100</v>
      </c>
      <c r="M238" s="156"/>
      <c r="N238" s="66"/>
      <c r="O238" s="66"/>
      <c r="P238" s="113">
        <v>64694.876700100001</v>
      </c>
      <c r="Q238" s="113">
        <v>75480.634935880007</v>
      </c>
      <c r="R238" s="161">
        <v>18331.560714500123</v>
      </c>
      <c r="S238" s="161">
        <v>54994.682143500228</v>
      </c>
      <c r="T238" s="161">
        <v>83026.437414600121</v>
      </c>
      <c r="U238" s="161">
        <v>93812.195650380134</v>
      </c>
      <c r="V238" s="1887">
        <v>119689.55884360023</v>
      </c>
      <c r="W238" s="1887">
        <v>130475.31707938024</v>
      </c>
      <c r="Y238" s="65" t="str">
        <f t="shared" si="16"/>
        <v>ВКВТХ.150.400.1100.24ТП.24V</v>
      </c>
    </row>
    <row r="239" spans="1:25" ht="16.5" thickBot="1">
      <c r="A239" s="48" t="s">
        <v>47</v>
      </c>
      <c r="B239" s="49">
        <f t="shared" si="17"/>
        <v>150</v>
      </c>
      <c r="C239" s="49" t="s">
        <v>3</v>
      </c>
      <c r="D239" s="49">
        <f t="shared" si="18"/>
        <v>400</v>
      </c>
      <c r="E239" s="49" t="s">
        <v>3</v>
      </c>
      <c r="F239" s="50">
        <f t="shared" si="19"/>
        <v>1150</v>
      </c>
      <c r="G239" s="49" t="s">
        <v>3</v>
      </c>
      <c r="H239" s="51">
        <v>24</v>
      </c>
      <c r="I239" s="52" t="s">
        <v>531</v>
      </c>
      <c r="J239" s="1886">
        <v>150</v>
      </c>
      <c r="K239" s="66">
        <v>400</v>
      </c>
      <c r="L239" s="66">
        <v>1150</v>
      </c>
      <c r="M239" s="156"/>
      <c r="N239" s="66"/>
      <c r="O239" s="66"/>
      <c r="P239" s="113">
        <v>68403.669899219996</v>
      </c>
      <c r="Q239" s="113">
        <v>79615.403431160012</v>
      </c>
      <c r="R239" s="161">
        <v>18988.167743664424</v>
      </c>
      <c r="S239" s="161">
        <v>56964.503230993112</v>
      </c>
      <c r="T239" s="161">
        <v>87391.83764288442</v>
      </c>
      <c r="U239" s="161">
        <v>98603.571174824436</v>
      </c>
      <c r="V239" s="1887">
        <v>125368.17313021311</v>
      </c>
      <c r="W239" s="1887">
        <v>136579.90666215314</v>
      </c>
      <c r="Y239" s="65" t="str">
        <f t="shared" si="16"/>
        <v>ВКВТХ.150.400.1150.24ТП.24V</v>
      </c>
    </row>
    <row r="240" spans="1:25" ht="16.5" thickBot="1">
      <c r="A240" s="48" t="s">
        <v>47</v>
      </c>
      <c r="B240" s="49">
        <f t="shared" si="17"/>
        <v>150</v>
      </c>
      <c r="C240" s="49" t="s">
        <v>3</v>
      </c>
      <c r="D240" s="49">
        <f t="shared" si="18"/>
        <v>400</v>
      </c>
      <c r="E240" s="49" t="s">
        <v>3</v>
      </c>
      <c r="F240" s="50">
        <f t="shared" si="19"/>
        <v>1200</v>
      </c>
      <c r="G240" s="49" t="s">
        <v>3</v>
      </c>
      <c r="H240" s="51">
        <v>24</v>
      </c>
      <c r="I240" s="52" t="s">
        <v>531</v>
      </c>
      <c r="J240" s="1886">
        <v>150</v>
      </c>
      <c r="K240" s="66">
        <v>400</v>
      </c>
      <c r="L240" s="66">
        <v>1200</v>
      </c>
      <c r="M240" s="156"/>
      <c r="N240" s="66"/>
      <c r="O240" s="66"/>
      <c r="P240" s="113">
        <v>72112.46296972</v>
      </c>
      <c r="Q240" s="113">
        <v>83750.171926440002</v>
      </c>
      <c r="R240" s="161">
        <v>19896.108916456658</v>
      </c>
      <c r="S240" s="161">
        <v>59688.326749369968</v>
      </c>
      <c r="T240" s="161">
        <v>92008.571886176651</v>
      </c>
      <c r="U240" s="161">
        <v>103646.28084289667</v>
      </c>
      <c r="V240" s="1887">
        <v>131800.78971908998</v>
      </c>
      <c r="W240" s="1887">
        <v>143438.49867580997</v>
      </c>
      <c r="Y240" s="65" t="str">
        <f t="shared" si="16"/>
        <v>ВКВТХ.150.400.1200.24ТП.24V</v>
      </c>
    </row>
    <row r="241" spans="1:25" ht="16.5" thickBot="1">
      <c r="A241" s="48" t="s">
        <v>47</v>
      </c>
      <c r="B241" s="49">
        <f t="shared" si="17"/>
        <v>150</v>
      </c>
      <c r="C241" s="49" t="s">
        <v>3</v>
      </c>
      <c r="D241" s="49">
        <f t="shared" si="18"/>
        <v>400</v>
      </c>
      <c r="E241" s="49" t="s">
        <v>3</v>
      </c>
      <c r="F241" s="50">
        <f t="shared" si="19"/>
        <v>1250</v>
      </c>
      <c r="G241" s="49" t="s">
        <v>3</v>
      </c>
      <c r="H241" s="51">
        <v>24</v>
      </c>
      <c r="I241" s="52" t="s">
        <v>531</v>
      </c>
      <c r="J241" s="1886">
        <v>150</v>
      </c>
      <c r="K241" s="66">
        <v>400</v>
      </c>
      <c r="L241" s="66">
        <v>1250</v>
      </c>
      <c r="M241" s="156"/>
      <c r="N241" s="66"/>
      <c r="O241" s="66"/>
      <c r="P241" s="113">
        <v>75821.256168840002</v>
      </c>
      <c r="Q241" s="113">
        <v>87884.940421720006</v>
      </c>
      <c r="R241" s="161">
        <v>20552.715945620956</v>
      </c>
      <c r="S241" s="161">
        <v>61658.147836862867</v>
      </c>
      <c r="T241" s="161">
        <v>96373.97211446095</v>
      </c>
      <c r="U241" s="161">
        <v>108437.65636734097</v>
      </c>
      <c r="V241" s="1887">
        <v>137479.40400570288</v>
      </c>
      <c r="W241" s="1887">
        <v>149543.08825858287</v>
      </c>
      <c r="Y241" s="65" t="str">
        <f t="shared" si="16"/>
        <v>ВКВТХ.150.400.1250.24ТП.24V</v>
      </c>
    </row>
    <row r="242" spans="1:25" ht="16.5" thickBot="1">
      <c r="A242" s="48" t="s">
        <v>47</v>
      </c>
      <c r="B242" s="49">
        <f t="shared" si="17"/>
        <v>150</v>
      </c>
      <c r="C242" s="49" t="s">
        <v>3</v>
      </c>
      <c r="D242" s="49">
        <f t="shared" si="18"/>
        <v>400</v>
      </c>
      <c r="E242" s="49" t="s">
        <v>3</v>
      </c>
      <c r="F242" s="50">
        <f t="shared" si="19"/>
        <v>1300</v>
      </c>
      <c r="G242" s="49" t="s">
        <v>3</v>
      </c>
      <c r="H242" s="51">
        <v>24</v>
      </c>
      <c r="I242" s="52" t="s">
        <v>531</v>
      </c>
      <c r="J242" s="1886">
        <v>150</v>
      </c>
      <c r="K242" s="66">
        <v>400</v>
      </c>
      <c r="L242" s="66">
        <v>1300</v>
      </c>
      <c r="M242" s="156"/>
      <c r="N242" s="66"/>
      <c r="O242" s="66"/>
      <c r="P242" s="113">
        <v>80028.978180999999</v>
      </c>
      <c r="Q242" s="113">
        <v>92645.435921480006</v>
      </c>
      <c r="R242" s="161">
        <v>21460.657118413194</v>
      </c>
      <c r="S242" s="161">
        <v>64381.971355239722</v>
      </c>
      <c r="T242" s="161">
        <v>101489.63529941319</v>
      </c>
      <c r="U242" s="161">
        <v>114106.0930398932</v>
      </c>
      <c r="V242" s="1887">
        <v>144410.94953623973</v>
      </c>
      <c r="W242" s="1887">
        <v>157027.40727671972</v>
      </c>
      <c r="Y242" s="65" t="str">
        <f t="shared" si="16"/>
        <v>ВКВТХ.150.400.1300.24ТП.24V</v>
      </c>
    </row>
    <row r="243" spans="1:25" ht="16.5" thickBot="1">
      <c r="A243" s="48" t="s">
        <v>47</v>
      </c>
      <c r="B243" s="49">
        <f t="shared" si="17"/>
        <v>150</v>
      </c>
      <c r="C243" s="49" t="s">
        <v>3</v>
      </c>
      <c r="D243" s="49">
        <f t="shared" si="18"/>
        <v>400</v>
      </c>
      <c r="E243" s="49" t="s">
        <v>3</v>
      </c>
      <c r="F243" s="50">
        <f t="shared" si="19"/>
        <v>1350</v>
      </c>
      <c r="G243" s="49" t="s">
        <v>3</v>
      </c>
      <c r="H243" s="51">
        <v>24</v>
      </c>
      <c r="I243" s="52" t="s">
        <v>531</v>
      </c>
      <c r="J243" s="1886">
        <v>150</v>
      </c>
      <c r="K243" s="66">
        <v>400</v>
      </c>
      <c r="L243" s="66">
        <v>1350</v>
      </c>
      <c r="M243" s="156"/>
      <c r="N243" s="66"/>
      <c r="O243" s="66"/>
      <c r="P243" s="113">
        <v>83416.221380119998</v>
      </c>
      <c r="Q243" s="113">
        <v>96442.304416760002</v>
      </c>
      <c r="R243" s="161">
        <v>22117.26414757764</v>
      </c>
      <c r="S243" s="161">
        <v>66351.792442732782</v>
      </c>
      <c r="T243" s="161">
        <v>105533.48552769763</v>
      </c>
      <c r="U243" s="161">
        <v>118559.56856433765</v>
      </c>
      <c r="V243" s="1887">
        <v>149768.01382285278</v>
      </c>
      <c r="W243" s="1887">
        <v>162794.09685949277</v>
      </c>
      <c r="Y243" s="65" t="str">
        <f t="shared" si="16"/>
        <v>ВКВТХ.150.400.1350.24ТП.24V</v>
      </c>
    </row>
    <row r="244" spans="1:25" ht="16.5" thickBot="1">
      <c r="A244" s="48" t="s">
        <v>47</v>
      </c>
      <c r="B244" s="49">
        <f t="shared" si="17"/>
        <v>150</v>
      </c>
      <c r="C244" s="49" t="s">
        <v>3</v>
      </c>
      <c r="D244" s="49">
        <f t="shared" si="18"/>
        <v>400</v>
      </c>
      <c r="E244" s="49" t="s">
        <v>3</v>
      </c>
      <c r="F244" s="50">
        <f t="shared" si="19"/>
        <v>1400</v>
      </c>
      <c r="G244" s="49" t="s">
        <v>3</v>
      </c>
      <c r="H244" s="51">
        <v>24</v>
      </c>
      <c r="I244" s="52" t="s">
        <v>531</v>
      </c>
      <c r="J244" s="1886">
        <v>150</v>
      </c>
      <c r="K244" s="66">
        <v>400</v>
      </c>
      <c r="L244" s="66">
        <v>1400</v>
      </c>
      <c r="M244" s="156"/>
      <c r="N244" s="66"/>
      <c r="O244" s="66"/>
      <c r="P244" s="113">
        <v>86181.987401919992</v>
      </c>
      <c r="Q244" s="113">
        <v>99564.616789520005</v>
      </c>
      <c r="R244" s="161">
        <v>23025.205320369725</v>
      </c>
      <c r="S244" s="161">
        <v>69075.615961109477</v>
      </c>
      <c r="T244" s="161">
        <v>109207.19272228972</v>
      </c>
      <c r="U244" s="161">
        <v>122589.82210988973</v>
      </c>
      <c r="V244" s="1887">
        <v>155257.60336302948</v>
      </c>
      <c r="W244" s="1887">
        <v>168640.23275062948</v>
      </c>
      <c r="Y244" s="65" t="str">
        <f t="shared" si="16"/>
        <v>ВКВТХ.150.400.1400.24ТП.24V</v>
      </c>
    </row>
    <row r="245" spans="1:25" ht="16.5" thickBot="1">
      <c r="A245" s="48" t="s">
        <v>47</v>
      </c>
      <c r="B245" s="49">
        <f t="shared" si="17"/>
        <v>150</v>
      </c>
      <c r="C245" s="49" t="s">
        <v>3</v>
      </c>
      <c r="D245" s="49">
        <f t="shared" si="18"/>
        <v>400</v>
      </c>
      <c r="E245" s="49" t="s">
        <v>3</v>
      </c>
      <c r="F245" s="50">
        <f t="shared" si="19"/>
        <v>1450</v>
      </c>
      <c r="G245" s="49" t="s">
        <v>3</v>
      </c>
      <c r="H245" s="51">
        <v>24</v>
      </c>
      <c r="I245" s="52" t="s">
        <v>531</v>
      </c>
      <c r="J245" s="1886">
        <v>150</v>
      </c>
      <c r="K245" s="66">
        <v>400</v>
      </c>
      <c r="L245" s="66">
        <v>1450</v>
      </c>
      <c r="M245" s="156"/>
      <c r="N245" s="66"/>
      <c r="O245" s="66"/>
      <c r="P245" s="113">
        <v>89066.799722640004</v>
      </c>
      <c r="Q245" s="113">
        <v>102833.50720876001</v>
      </c>
      <c r="R245" s="161">
        <v>23681.812349534175</v>
      </c>
      <c r="S245" s="161">
        <v>71045.437048602529</v>
      </c>
      <c r="T245" s="161">
        <v>112748.61207217418</v>
      </c>
      <c r="U245" s="161">
        <v>126515.31955829418</v>
      </c>
      <c r="V245" s="1887">
        <v>160112.23677124252</v>
      </c>
      <c r="W245" s="1887">
        <v>173878.94425736254</v>
      </c>
      <c r="Y245" s="65" t="str">
        <f t="shared" si="16"/>
        <v>ВКВТХ.150.400.1450.24ТП.24V</v>
      </c>
    </row>
    <row r="246" spans="1:25" ht="16.5" thickBot="1">
      <c r="A246" s="48" t="s">
        <v>47</v>
      </c>
      <c r="B246" s="49">
        <f t="shared" si="17"/>
        <v>150</v>
      </c>
      <c r="C246" s="49" t="s">
        <v>3</v>
      </c>
      <c r="D246" s="49">
        <f t="shared" si="18"/>
        <v>400</v>
      </c>
      <c r="E246" s="49" t="s">
        <v>3</v>
      </c>
      <c r="F246" s="50">
        <f t="shared" si="19"/>
        <v>1500</v>
      </c>
      <c r="G246" s="49" t="s">
        <v>3</v>
      </c>
      <c r="H246" s="51">
        <v>24</v>
      </c>
      <c r="I246" s="52" t="s">
        <v>531</v>
      </c>
      <c r="J246" s="1886">
        <v>150</v>
      </c>
      <c r="K246" s="66">
        <v>400</v>
      </c>
      <c r="L246" s="66">
        <v>1500</v>
      </c>
      <c r="M246" s="156"/>
      <c r="N246" s="66"/>
      <c r="O246" s="66"/>
      <c r="P246" s="113">
        <v>92082.730486859989</v>
      </c>
      <c r="Q246" s="113">
        <v>106240.18297584001</v>
      </c>
      <c r="R246" s="161">
        <v>24589.753522326413</v>
      </c>
      <c r="S246" s="161">
        <v>73769.260566979225</v>
      </c>
      <c r="T246" s="161">
        <v>116672.4840091864</v>
      </c>
      <c r="U246" s="161">
        <v>130829.93649816643</v>
      </c>
      <c r="V246" s="1887">
        <v>165851.99105383921</v>
      </c>
      <c r="W246" s="1887">
        <v>180009.44354281924</v>
      </c>
      <c r="Y246" s="65" t="str">
        <f t="shared" si="16"/>
        <v>ВКВТХ.150.400.1500.24ТП.24V</v>
      </c>
    </row>
    <row r="247" spans="1:25" ht="16.5" thickBot="1">
      <c r="A247" s="48" t="s">
        <v>47</v>
      </c>
      <c r="B247" s="49">
        <f t="shared" si="17"/>
        <v>150</v>
      </c>
      <c r="C247" s="49" t="s">
        <v>3</v>
      </c>
      <c r="D247" s="49">
        <f t="shared" si="18"/>
        <v>400</v>
      </c>
      <c r="E247" s="49" t="s">
        <v>3</v>
      </c>
      <c r="F247" s="50">
        <f t="shared" si="19"/>
        <v>1550</v>
      </c>
      <c r="G247" s="49" t="s">
        <v>3</v>
      </c>
      <c r="H247" s="51">
        <v>24</v>
      </c>
      <c r="I247" s="52" t="s">
        <v>531</v>
      </c>
      <c r="J247" s="1886">
        <v>150</v>
      </c>
      <c r="K247" s="66">
        <v>400</v>
      </c>
      <c r="L247" s="66">
        <v>1550</v>
      </c>
      <c r="M247" s="156"/>
      <c r="N247" s="66"/>
      <c r="O247" s="66"/>
      <c r="P247" s="113">
        <v>95987.370015859997</v>
      </c>
      <c r="Q247" s="113">
        <v>110580.75608896001</v>
      </c>
      <c r="R247" s="161">
        <v>25246.360551490707</v>
      </c>
      <c r="S247" s="161">
        <v>75739.081654472277</v>
      </c>
      <c r="T247" s="161">
        <v>121233.73056735071</v>
      </c>
      <c r="U247" s="161">
        <v>135827.11664045072</v>
      </c>
      <c r="V247" s="1887">
        <v>171726.45167033229</v>
      </c>
      <c r="W247" s="1887">
        <v>186319.83774343229</v>
      </c>
      <c r="Y247" s="65" t="str">
        <f t="shared" si="16"/>
        <v>ВКВТХ.150.400.1550.24ТП.24V</v>
      </c>
    </row>
    <row r="248" spans="1:25" ht="16.5" thickBot="1">
      <c r="A248" s="48" t="s">
        <v>47</v>
      </c>
      <c r="B248" s="49">
        <f t="shared" si="17"/>
        <v>150</v>
      </c>
      <c r="C248" s="49" t="s">
        <v>3</v>
      </c>
      <c r="D248" s="49">
        <f t="shared" si="18"/>
        <v>400</v>
      </c>
      <c r="E248" s="49" t="s">
        <v>3</v>
      </c>
      <c r="F248" s="50">
        <f t="shared" si="19"/>
        <v>1600</v>
      </c>
      <c r="G248" s="49" t="s">
        <v>3</v>
      </c>
      <c r="H248" s="51">
        <v>24</v>
      </c>
      <c r="I248" s="52" t="s">
        <v>531</v>
      </c>
      <c r="J248" s="1886">
        <v>150</v>
      </c>
      <c r="K248" s="66">
        <v>400</v>
      </c>
      <c r="L248" s="66">
        <v>1600</v>
      </c>
      <c r="M248" s="156"/>
      <c r="N248" s="66"/>
      <c r="O248" s="66"/>
      <c r="P248" s="113">
        <v>98872.182336579994</v>
      </c>
      <c r="Q248" s="113">
        <v>113849.64637304001</v>
      </c>
      <c r="R248" s="161">
        <v>25902.967580655008</v>
      </c>
      <c r="S248" s="161">
        <v>77708.902741965168</v>
      </c>
      <c r="T248" s="161">
        <v>124775.149917235</v>
      </c>
      <c r="U248" s="161">
        <v>139752.61395369502</v>
      </c>
      <c r="V248" s="1887">
        <v>176581.08507854515</v>
      </c>
      <c r="W248" s="1887">
        <v>191558.54911500518</v>
      </c>
      <c r="Y248" s="65" t="str">
        <f t="shared" si="16"/>
        <v>ВКВТХ.150.400.1600.24ТП.24V</v>
      </c>
    </row>
    <row r="249" spans="1:25" ht="16.5" thickBot="1">
      <c r="A249" s="48" t="s">
        <v>47</v>
      </c>
      <c r="B249" s="49">
        <f t="shared" si="17"/>
        <v>150</v>
      </c>
      <c r="C249" s="49" t="s">
        <v>3</v>
      </c>
      <c r="D249" s="49">
        <f t="shared" si="18"/>
        <v>400</v>
      </c>
      <c r="E249" s="49" t="s">
        <v>3</v>
      </c>
      <c r="F249" s="50">
        <f t="shared" si="19"/>
        <v>1650</v>
      </c>
      <c r="G249" s="49" t="s">
        <v>3</v>
      </c>
      <c r="H249" s="51">
        <v>24</v>
      </c>
      <c r="I249" s="52" t="s">
        <v>531</v>
      </c>
      <c r="J249" s="1886">
        <v>150</v>
      </c>
      <c r="K249" s="66">
        <v>400</v>
      </c>
      <c r="L249" s="66">
        <v>1650</v>
      </c>
      <c r="M249" s="156"/>
      <c r="N249" s="66"/>
      <c r="O249" s="66"/>
      <c r="P249" s="113">
        <v>101756.99478592</v>
      </c>
      <c r="Q249" s="113">
        <v>117118.53679228001</v>
      </c>
      <c r="R249" s="161">
        <v>26810.908753447395</v>
      </c>
      <c r="S249" s="161">
        <v>80432.726260342039</v>
      </c>
      <c r="T249" s="161">
        <v>128567.9035393674</v>
      </c>
      <c r="U249" s="161">
        <v>143929.44554572739</v>
      </c>
      <c r="V249" s="1887">
        <v>182189.72104626204</v>
      </c>
      <c r="W249" s="1887">
        <v>197551.26305262203</v>
      </c>
      <c r="Y249" s="65" t="str">
        <f t="shared" si="16"/>
        <v>ВКВТХ.150.400.1650.24ТП.24V</v>
      </c>
    </row>
    <row r="250" spans="1:25" ht="16.5" thickBot="1">
      <c r="A250" s="48" t="s">
        <v>47</v>
      </c>
      <c r="B250" s="49">
        <f t="shared" si="17"/>
        <v>150</v>
      </c>
      <c r="C250" s="49" t="s">
        <v>3</v>
      </c>
      <c r="D250" s="49">
        <f t="shared" si="18"/>
        <v>400</v>
      </c>
      <c r="E250" s="49" t="s">
        <v>3</v>
      </c>
      <c r="F250" s="50">
        <f t="shared" si="19"/>
        <v>1700</v>
      </c>
      <c r="G250" s="49" t="s">
        <v>3</v>
      </c>
      <c r="H250" s="51">
        <v>24</v>
      </c>
      <c r="I250" s="52" t="s">
        <v>531</v>
      </c>
      <c r="J250" s="1886">
        <v>150</v>
      </c>
      <c r="K250" s="66">
        <v>400</v>
      </c>
      <c r="L250" s="66">
        <v>1700</v>
      </c>
      <c r="M250" s="156"/>
      <c r="N250" s="66"/>
      <c r="O250" s="66"/>
      <c r="P250" s="113">
        <v>104641.80723526</v>
      </c>
      <c r="Q250" s="113">
        <v>120387.42721152</v>
      </c>
      <c r="R250" s="161">
        <v>27467.515782611692</v>
      </c>
      <c r="S250" s="161">
        <v>82402.547347835076</v>
      </c>
      <c r="T250" s="161">
        <v>132109.32301787171</v>
      </c>
      <c r="U250" s="161">
        <v>147854.94299413171</v>
      </c>
      <c r="V250" s="1887">
        <v>187044.35458309506</v>
      </c>
      <c r="W250" s="1887">
        <v>202789.97455935506</v>
      </c>
      <c r="Y250" s="65" t="str">
        <f t="shared" si="16"/>
        <v>ВКВТХ.150.400.1700.24ТП.24V</v>
      </c>
    </row>
    <row r="251" spans="1:25" ht="16.5" thickBot="1">
      <c r="A251" s="48" t="s">
        <v>47</v>
      </c>
      <c r="B251" s="49">
        <f t="shared" si="17"/>
        <v>150</v>
      </c>
      <c r="C251" s="49" t="s">
        <v>3</v>
      </c>
      <c r="D251" s="49">
        <f t="shared" si="18"/>
        <v>400</v>
      </c>
      <c r="E251" s="49" t="s">
        <v>3</v>
      </c>
      <c r="F251" s="50">
        <f t="shared" si="19"/>
        <v>1750</v>
      </c>
      <c r="G251" s="49" t="s">
        <v>3</v>
      </c>
      <c r="H251" s="51">
        <v>24</v>
      </c>
      <c r="I251" s="52" t="s">
        <v>531</v>
      </c>
      <c r="J251" s="1886">
        <v>150</v>
      </c>
      <c r="K251" s="66">
        <v>400</v>
      </c>
      <c r="L251" s="66">
        <v>1750</v>
      </c>
      <c r="M251" s="156"/>
      <c r="N251" s="66"/>
      <c r="O251" s="66"/>
      <c r="P251" s="113">
        <v>107526.61955598001</v>
      </c>
      <c r="Q251" s="113">
        <v>123656.31763076002</v>
      </c>
      <c r="R251" s="161">
        <v>28375.456955403926</v>
      </c>
      <c r="S251" s="161">
        <v>85126.370866211786</v>
      </c>
      <c r="T251" s="161">
        <v>135902.07651138393</v>
      </c>
      <c r="U251" s="161">
        <v>152031.77458616396</v>
      </c>
      <c r="V251" s="1887">
        <v>192652.9904221918</v>
      </c>
      <c r="W251" s="1887">
        <v>208782.68849697179</v>
      </c>
      <c r="Y251" s="65" t="str">
        <f t="shared" si="16"/>
        <v>ВКВТХ.150.400.1750.24ТП.24V</v>
      </c>
    </row>
    <row r="252" spans="1:25" ht="16.5" thickBot="1">
      <c r="A252" s="48" t="s">
        <v>47</v>
      </c>
      <c r="B252" s="49">
        <f t="shared" si="17"/>
        <v>150</v>
      </c>
      <c r="C252" s="49" t="s">
        <v>3</v>
      </c>
      <c r="D252" s="49">
        <f t="shared" si="18"/>
        <v>400</v>
      </c>
      <c r="E252" s="49" t="s">
        <v>3</v>
      </c>
      <c r="F252" s="50">
        <f t="shared" si="19"/>
        <v>1800</v>
      </c>
      <c r="G252" s="49" t="s">
        <v>3</v>
      </c>
      <c r="H252" s="51">
        <v>24</v>
      </c>
      <c r="I252" s="52" t="s">
        <v>531</v>
      </c>
      <c r="J252" s="1886">
        <v>150</v>
      </c>
      <c r="K252" s="66">
        <v>400</v>
      </c>
      <c r="L252" s="66">
        <v>1800</v>
      </c>
      <c r="M252" s="156"/>
      <c r="N252" s="66"/>
      <c r="O252" s="66"/>
      <c r="P252" s="113">
        <v>110910.36081836</v>
      </c>
      <c r="Q252" s="113">
        <v>127550.93491932</v>
      </c>
      <c r="R252" s="161">
        <v>29032.063984568224</v>
      </c>
      <c r="S252" s="161">
        <v>87096.191953704823</v>
      </c>
      <c r="T252" s="161">
        <v>139942.42480292823</v>
      </c>
      <c r="U252" s="161">
        <v>156582.99890388822</v>
      </c>
      <c r="V252" s="1887">
        <v>198006.55277206481</v>
      </c>
      <c r="W252" s="1887">
        <v>214647.12687302483</v>
      </c>
      <c r="Y252" s="65" t="str">
        <f t="shared" si="16"/>
        <v>ВКВТХ.150.400.1800.24ТП.24V</v>
      </c>
    </row>
    <row r="253" spans="1:25" ht="16.5" thickBot="1">
      <c r="A253" s="48" t="s">
        <v>47</v>
      </c>
      <c r="B253" s="49">
        <f t="shared" si="17"/>
        <v>150</v>
      </c>
      <c r="C253" s="49" t="s">
        <v>3</v>
      </c>
      <c r="D253" s="49">
        <f t="shared" si="18"/>
        <v>400</v>
      </c>
      <c r="E253" s="49" t="s">
        <v>3</v>
      </c>
      <c r="F253" s="50">
        <f t="shared" si="19"/>
        <v>1850</v>
      </c>
      <c r="G253" s="49" t="s">
        <v>3</v>
      </c>
      <c r="H253" s="51">
        <v>24</v>
      </c>
      <c r="I253" s="52" t="s">
        <v>531</v>
      </c>
      <c r="J253" s="1886">
        <v>150</v>
      </c>
      <c r="K253" s="66">
        <v>400</v>
      </c>
      <c r="L253" s="66">
        <v>1850</v>
      </c>
      <c r="M253" s="156"/>
      <c r="N253" s="66"/>
      <c r="O253" s="66"/>
      <c r="P253" s="113">
        <v>114116.7232677</v>
      </c>
      <c r="Q253" s="113">
        <v>131157.72533856001</v>
      </c>
      <c r="R253" s="161">
        <v>29940.005157360458</v>
      </c>
      <c r="S253" s="161">
        <v>89820.015472081534</v>
      </c>
      <c r="T253" s="161">
        <v>144056.72842506046</v>
      </c>
      <c r="U253" s="161">
        <v>161097.73049592046</v>
      </c>
      <c r="V253" s="1887">
        <v>203936.73873978155</v>
      </c>
      <c r="W253" s="1887">
        <v>220977.74081064155</v>
      </c>
      <c r="Y253" s="65" t="str">
        <f t="shared" si="16"/>
        <v>ВКВТХ.150.400.1850.24ТП.24V</v>
      </c>
    </row>
    <row r="254" spans="1:25" ht="16.5" thickBot="1">
      <c r="A254" s="48" t="s">
        <v>47</v>
      </c>
      <c r="B254" s="49">
        <f t="shared" si="17"/>
        <v>150</v>
      </c>
      <c r="C254" s="49" t="s">
        <v>3</v>
      </c>
      <c r="D254" s="49">
        <f t="shared" si="18"/>
        <v>400</v>
      </c>
      <c r="E254" s="49" t="s">
        <v>3</v>
      </c>
      <c r="F254" s="50">
        <f t="shared" si="19"/>
        <v>1900</v>
      </c>
      <c r="G254" s="49" t="s">
        <v>3</v>
      </c>
      <c r="H254" s="51">
        <v>24</v>
      </c>
      <c r="I254" s="52" t="s">
        <v>531</v>
      </c>
      <c r="J254" s="1886">
        <v>150</v>
      </c>
      <c r="K254" s="66">
        <v>400</v>
      </c>
      <c r="L254" s="66">
        <v>1900</v>
      </c>
      <c r="M254" s="156"/>
      <c r="N254" s="66"/>
      <c r="O254" s="66"/>
      <c r="P254" s="113">
        <v>117323.08571704</v>
      </c>
      <c r="Q254" s="113">
        <v>134764.51575780002</v>
      </c>
      <c r="R254" s="161">
        <v>30596.612186524912</v>
      </c>
      <c r="S254" s="161">
        <v>91789.836559574571</v>
      </c>
      <c r="T254" s="161">
        <v>147919.6979035649</v>
      </c>
      <c r="U254" s="161">
        <v>165361.12794432492</v>
      </c>
      <c r="V254" s="1887">
        <v>209112.92227661458</v>
      </c>
      <c r="W254" s="1887">
        <v>226554.35231737461</v>
      </c>
      <c r="Y254" s="65" t="str">
        <f t="shared" si="16"/>
        <v>ВКВТХ.150.400.1900.24ТП.24V</v>
      </c>
    </row>
    <row r="255" spans="1:25" ht="16.5" thickBot="1">
      <c r="A255" s="48" t="s">
        <v>47</v>
      </c>
      <c r="B255" s="49">
        <f t="shared" si="17"/>
        <v>150</v>
      </c>
      <c r="C255" s="49" t="s">
        <v>3</v>
      </c>
      <c r="D255" s="49">
        <f t="shared" si="18"/>
        <v>400</v>
      </c>
      <c r="E255" s="49" t="s">
        <v>3</v>
      </c>
      <c r="F255" s="50">
        <f t="shared" si="19"/>
        <v>1950</v>
      </c>
      <c r="G255" s="49" t="s">
        <v>3</v>
      </c>
      <c r="H255" s="51">
        <v>24</v>
      </c>
      <c r="I255" s="52" t="s">
        <v>531</v>
      </c>
      <c r="J255" s="1886">
        <v>150</v>
      </c>
      <c r="K255" s="66">
        <v>400</v>
      </c>
      <c r="L255" s="66">
        <v>1950</v>
      </c>
      <c r="M255" s="156"/>
      <c r="N255" s="66"/>
      <c r="O255" s="66"/>
      <c r="P255" s="113">
        <v>120529.44803776</v>
      </c>
      <c r="Q255" s="113">
        <v>138371.30617704001</v>
      </c>
      <c r="R255" s="161">
        <v>31253.219215689209</v>
      </c>
      <c r="S255" s="161">
        <v>93759.657647067623</v>
      </c>
      <c r="T255" s="161">
        <v>151782.66725344921</v>
      </c>
      <c r="U255" s="161">
        <v>169624.52539272921</v>
      </c>
      <c r="V255" s="1887">
        <v>214289.10568482761</v>
      </c>
      <c r="W255" s="1887">
        <v>232130.96382410763</v>
      </c>
      <c r="Y255" s="65" t="str">
        <f t="shared" si="16"/>
        <v>ВКВТХ.150.400.1950.24ТП.24V</v>
      </c>
    </row>
    <row r="256" spans="1:25" ht="16.5" thickBot="1">
      <c r="A256" s="48" t="s">
        <v>47</v>
      </c>
      <c r="B256" s="49">
        <f t="shared" si="17"/>
        <v>150</v>
      </c>
      <c r="C256" s="49" t="s">
        <v>3</v>
      </c>
      <c r="D256" s="49">
        <f t="shared" si="18"/>
        <v>400</v>
      </c>
      <c r="E256" s="49" t="s">
        <v>3</v>
      </c>
      <c r="F256" s="50">
        <f t="shared" si="19"/>
        <v>2000</v>
      </c>
      <c r="G256" s="49" t="s">
        <v>3</v>
      </c>
      <c r="H256" s="51">
        <v>24</v>
      </c>
      <c r="I256" s="52" t="s">
        <v>531</v>
      </c>
      <c r="J256" s="1886">
        <v>150</v>
      </c>
      <c r="K256" s="66">
        <v>400</v>
      </c>
      <c r="L256" s="66">
        <v>2000</v>
      </c>
      <c r="M256" s="156"/>
      <c r="N256" s="66"/>
      <c r="O256" s="66"/>
      <c r="P256" s="113">
        <v>125247.60250714001</v>
      </c>
      <c r="Q256" s="113">
        <v>143646.70991600002</v>
      </c>
      <c r="R256" s="161">
        <v>32161.160388481443</v>
      </c>
      <c r="S256" s="161">
        <v>96483.481165444333</v>
      </c>
      <c r="T256" s="161">
        <v>157408.76289562145</v>
      </c>
      <c r="U256" s="161">
        <v>175807.87030448148</v>
      </c>
      <c r="V256" s="1887">
        <v>221731.08367258433</v>
      </c>
      <c r="W256" s="1887">
        <v>240130.19108144435</v>
      </c>
      <c r="Y256" s="65" t="str">
        <f t="shared" si="16"/>
        <v>ВКВТХ.150.400.2000.24ТП.24V</v>
      </c>
    </row>
    <row r="257" spans="1:25" ht="16.5" thickBot="1">
      <c r="A257" s="48" t="s">
        <v>47</v>
      </c>
      <c r="B257" s="49">
        <f t="shared" si="17"/>
        <v>150</v>
      </c>
      <c r="C257" s="49" t="s">
        <v>3</v>
      </c>
      <c r="D257" s="49">
        <f t="shared" si="18"/>
        <v>400</v>
      </c>
      <c r="E257" s="49" t="s">
        <v>3</v>
      </c>
      <c r="F257" s="50">
        <f t="shared" si="19"/>
        <v>2050</v>
      </c>
      <c r="G257" s="49" t="s">
        <v>3</v>
      </c>
      <c r="H257" s="51">
        <v>24</v>
      </c>
      <c r="I257" s="52" t="s">
        <v>531</v>
      </c>
      <c r="J257" s="1886">
        <v>150</v>
      </c>
      <c r="K257" s="66">
        <v>400</v>
      </c>
      <c r="L257" s="66">
        <v>2050</v>
      </c>
      <c r="M257" s="156"/>
      <c r="N257" s="66"/>
      <c r="O257" s="66"/>
      <c r="P257" s="113">
        <v>128828.74678726001</v>
      </c>
      <c r="Q257" s="113">
        <v>147634.65234620002</v>
      </c>
      <c r="R257" s="161">
        <v>32817.767417645737</v>
      </c>
      <c r="S257" s="161">
        <v>98453.302252937385</v>
      </c>
      <c r="T257" s="161">
        <v>161646.51420490575</v>
      </c>
      <c r="U257" s="161">
        <v>180452.41976384574</v>
      </c>
      <c r="V257" s="1887">
        <v>227282.04904019739</v>
      </c>
      <c r="W257" s="1887">
        <v>246087.95459913742</v>
      </c>
      <c r="Y257" s="65" t="str">
        <f t="shared" si="16"/>
        <v>ВКВТХ.150.400.2050.24ТП.24V</v>
      </c>
    </row>
    <row r="258" spans="1:25" ht="16.5" thickBot="1">
      <c r="A258" s="48" t="s">
        <v>47</v>
      </c>
      <c r="B258" s="49">
        <f t="shared" si="17"/>
        <v>150</v>
      </c>
      <c r="C258" s="49" t="s">
        <v>3</v>
      </c>
      <c r="D258" s="49">
        <f t="shared" si="18"/>
        <v>400</v>
      </c>
      <c r="E258" s="49" t="s">
        <v>3</v>
      </c>
      <c r="F258" s="50">
        <f t="shared" si="19"/>
        <v>2100</v>
      </c>
      <c r="G258" s="49" t="s">
        <v>3</v>
      </c>
      <c r="H258" s="51">
        <v>24</v>
      </c>
      <c r="I258" s="52" t="s">
        <v>531</v>
      </c>
      <c r="J258" s="1886">
        <v>150</v>
      </c>
      <c r="K258" s="66">
        <v>400</v>
      </c>
      <c r="L258" s="66">
        <v>2100</v>
      </c>
      <c r="M258" s="156"/>
      <c r="N258" s="66"/>
      <c r="O258" s="66"/>
      <c r="P258" s="113">
        <v>132035.10923659999</v>
      </c>
      <c r="Q258" s="113">
        <v>151241.44276544001</v>
      </c>
      <c r="R258" s="161">
        <v>33725.708590437978</v>
      </c>
      <c r="S258" s="161">
        <v>101177.12577131409</v>
      </c>
      <c r="T258" s="161">
        <v>165760.81782703797</v>
      </c>
      <c r="U258" s="161">
        <v>184967.15135587798</v>
      </c>
      <c r="V258" s="1887">
        <v>233212.23500791407</v>
      </c>
      <c r="W258" s="1887">
        <v>252418.56853675412</v>
      </c>
      <c r="Y258" s="65" t="str">
        <f t="shared" si="16"/>
        <v>ВКВТХ.150.400.2100.24ТП.24V</v>
      </c>
    </row>
    <row r="259" spans="1:25" ht="16.5" thickBot="1">
      <c r="A259" s="48" t="s">
        <v>47</v>
      </c>
      <c r="B259" s="49">
        <f t="shared" si="17"/>
        <v>150</v>
      </c>
      <c r="C259" s="49" t="s">
        <v>3</v>
      </c>
      <c r="D259" s="49">
        <f t="shared" si="18"/>
        <v>400</v>
      </c>
      <c r="E259" s="49" t="s">
        <v>3</v>
      </c>
      <c r="F259" s="50">
        <f t="shared" si="19"/>
        <v>2150</v>
      </c>
      <c r="G259" s="49" t="s">
        <v>3</v>
      </c>
      <c r="H259" s="51">
        <v>24</v>
      </c>
      <c r="I259" s="52" t="s">
        <v>531</v>
      </c>
      <c r="J259" s="1886">
        <v>150</v>
      </c>
      <c r="K259" s="66">
        <v>400</v>
      </c>
      <c r="L259" s="66">
        <v>2150</v>
      </c>
      <c r="M259" s="156"/>
      <c r="N259" s="66"/>
      <c r="O259" s="66"/>
      <c r="P259" s="113">
        <v>135241.47155732001</v>
      </c>
      <c r="Q259" s="113">
        <v>154848.23304952003</v>
      </c>
      <c r="R259" s="161">
        <v>34382.315619602428</v>
      </c>
      <c r="S259" s="161">
        <v>103146.94685880712</v>
      </c>
      <c r="T259" s="161">
        <v>169623.78717692243</v>
      </c>
      <c r="U259" s="161">
        <v>189230.54866912245</v>
      </c>
      <c r="V259" s="1887">
        <v>238388.41841612713</v>
      </c>
      <c r="W259" s="1887">
        <v>257995.17990832715</v>
      </c>
      <c r="Y259" s="65" t="str">
        <f t="shared" si="16"/>
        <v>ВКВТХ.150.400.2150.24ТП.24V</v>
      </c>
    </row>
    <row r="260" spans="1:25" ht="16.5" thickBot="1">
      <c r="A260" s="48" t="s">
        <v>47</v>
      </c>
      <c r="B260" s="49">
        <f t="shared" si="17"/>
        <v>150</v>
      </c>
      <c r="C260" s="49" t="s">
        <v>3</v>
      </c>
      <c r="D260" s="49">
        <f t="shared" si="18"/>
        <v>400</v>
      </c>
      <c r="E260" s="49" t="s">
        <v>3</v>
      </c>
      <c r="F260" s="50">
        <f t="shared" si="19"/>
        <v>2200</v>
      </c>
      <c r="G260" s="49" t="s">
        <v>3</v>
      </c>
      <c r="H260" s="51">
        <v>24</v>
      </c>
      <c r="I260" s="52" t="s">
        <v>531</v>
      </c>
      <c r="J260" s="1886">
        <v>150</v>
      </c>
      <c r="K260" s="66">
        <v>400</v>
      </c>
      <c r="L260" s="66">
        <v>2200</v>
      </c>
      <c r="M260" s="156"/>
      <c r="N260" s="66"/>
      <c r="O260" s="66"/>
      <c r="P260" s="113">
        <v>137926.93574004</v>
      </c>
      <c r="Q260" s="113">
        <v>158009.06777936002</v>
      </c>
      <c r="R260" s="161">
        <v>35290.256792394663</v>
      </c>
      <c r="S260" s="161">
        <v>105870.77037718399</v>
      </c>
      <c r="T260" s="161">
        <v>173217.19253243465</v>
      </c>
      <c r="U260" s="161">
        <v>193299.32457175467</v>
      </c>
      <c r="V260" s="1887">
        <v>243797.70611722401</v>
      </c>
      <c r="W260" s="1887">
        <v>263879.83815654402</v>
      </c>
      <c r="Y260" s="65" t="str">
        <f t="shared" si="16"/>
        <v>ВКВТХ.150.400.2200.24ТП.24V</v>
      </c>
    </row>
    <row r="261" spans="1:25" ht="16.5" thickBot="1">
      <c r="A261" s="48" t="s">
        <v>47</v>
      </c>
      <c r="B261" s="49">
        <f t="shared" si="17"/>
        <v>150</v>
      </c>
      <c r="C261" s="49" t="s">
        <v>3</v>
      </c>
      <c r="D261" s="49">
        <f t="shared" si="18"/>
        <v>400</v>
      </c>
      <c r="E261" s="49" t="s">
        <v>3</v>
      </c>
      <c r="F261" s="50">
        <f t="shared" si="19"/>
        <v>2250</v>
      </c>
      <c r="G261" s="49" t="s">
        <v>3</v>
      </c>
      <c r="H261" s="51">
        <v>24</v>
      </c>
      <c r="I261" s="52" t="s">
        <v>531</v>
      </c>
      <c r="J261" s="1886">
        <v>150</v>
      </c>
      <c r="K261" s="66">
        <v>400</v>
      </c>
      <c r="L261" s="66">
        <v>2250</v>
      </c>
      <c r="M261" s="156"/>
      <c r="N261" s="66"/>
      <c r="O261" s="66"/>
      <c r="P261" s="113">
        <v>140577.77477566001</v>
      </c>
      <c r="Q261" s="113">
        <v>161032.08783164</v>
      </c>
      <c r="R261" s="161">
        <v>35946.86382155896</v>
      </c>
      <c r="S261" s="161">
        <v>107840.59146467688</v>
      </c>
      <c r="T261" s="161">
        <v>176524.63859721896</v>
      </c>
      <c r="U261" s="161">
        <v>196978.95165319898</v>
      </c>
      <c r="V261" s="1887">
        <v>248418.36624033691</v>
      </c>
      <c r="W261" s="1887">
        <v>268872.67929631687</v>
      </c>
      <c r="Y261" s="65" t="str">
        <f t="shared" si="16"/>
        <v>ВКВТХ.150.400.2250.24ТП.24V</v>
      </c>
    </row>
    <row r="262" spans="1:25" ht="16.5" thickBot="1">
      <c r="A262" s="48" t="s">
        <v>47</v>
      </c>
      <c r="B262" s="49">
        <f t="shared" si="17"/>
        <v>150</v>
      </c>
      <c r="C262" s="49" t="s">
        <v>3</v>
      </c>
      <c r="D262" s="49">
        <f t="shared" si="18"/>
        <v>400</v>
      </c>
      <c r="E262" s="49" t="s">
        <v>3</v>
      </c>
      <c r="F262" s="50">
        <f t="shared" si="19"/>
        <v>2300</v>
      </c>
      <c r="G262" s="49" t="s">
        <v>3</v>
      </c>
      <c r="H262" s="51">
        <v>24</v>
      </c>
      <c r="I262" s="52" t="s">
        <v>531</v>
      </c>
      <c r="J262" s="1886">
        <v>150</v>
      </c>
      <c r="K262" s="66">
        <v>400</v>
      </c>
      <c r="L262" s="66">
        <v>2300</v>
      </c>
      <c r="M262" s="156"/>
      <c r="N262" s="66"/>
      <c r="O262" s="66"/>
      <c r="P262" s="113">
        <v>142729.68486961999</v>
      </c>
      <c r="Q262" s="113">
        <v>163429.38087944002</v>
      </c>
      <c r="R262" s="161">
        <v>36603.470850723257</v>
      </c>
      <c r="S262" s="161">
        <v>109810.41255216992</v>
      </c>
      <c r="T262" s="161">
        <v>179333.15572034323</v>
      </c>
      <c r="U262" s="161">
        <v>200032.85173016327</v>
      </c>
      <c r="V262" s="1887">
        <v>252540.09742178989</v>
      </c>
      <c r="W262" s="1887">
        <v>273239.79343160993</v>
      </c>
      <c r="Y262" s="65" t="str">
        <f t="shared" si="16"/>
        <v>ВКВТХ.150.400.2300.24ТП.24V</v>
      </c>
    </row>
    <row r="263" spans="1:25" ht="16.5" thickBot="1">
      <c r="A263" s="48" t="s">
        <v>47</v>
      </c>
      <c r="B263" s="49">
        <f t="shared" si="17"/>
        <v>150</v>
      </c>
      <c r="C263" s="49" t="s">
        <v>3</v>
      </c>
      <c r="D263" s="49">
        <f t="shared" si="18"/>
        <v>400</v>
      </c>
      <c r="E263" s="49" t="s">
        <v>3</v>
      </c>
      <c r="F263" s="50">
        <f t="shared" si="19"/>
        <v>2350</v>
      </c>
      <c r="G263" s="49" t="s">
        <v>3</v>
      </c>
      <c r="H263" s="51">
        <v>24</v>
      </c>
      <c r="I263" s="52" t="s">
        <v>531</v>
      </c>
      <c r="J263" s="1886">
        <v>150</v>
      </c>
      <c r="K263" s="66">
        <v>400</v>
      </c>
      <c r="L263" s="66">
        <v>2350</v>
      </c>
      <c r="M263" s="156"/>
      <c r="N263" s="66"/>
      <c r="O263" s="66"/>
      <c r="P263" s="113">
        <v>145380.52390524</v>
      </c>
      <c r="Q263" s="113">
        <v>166452.40093172001</v>
      </c>
      <c r="R263" s="161">
        <v>37511.412023515491</v>
      </c>
      <c r="S263" s="161">
        <v>112534.23607054663</v>
      </c>
      <c r="T263" s="161">
        <v>182891.9359287555</v>
      </c>
      <c r="U263" s="161">
        <v>203963.81295523551</v>
      </c>
      <c r="V263" s="1887">
        <v>257914.75997578661</v>
      </c>
      <c r="W263" s="1887">
        <v>278986.63700226665</v>
      </c>
      <c r="Y263" s="65" t="str">
        <f t="shared" si="16"/>
        <v>ВКВТХ.150.400.2350.24ТП.24V</v>
      </c>
    </row>
    <row r="264" spans="1:25" ht="16.5" thickBot="1">
      <c r="A264" s="48" t="s">
        <v>47</v>
      </c>
      <c r="B264" s="49">
        <f t="shared" si="17"/>
        <v>150</v>
      </c>
      <c r="C264" s="49" t="s">
        <v>3</v>
      </c>
      <c r="D264" s="49">
        <f t="shared" si="18"/>
        <v>400</v>
      </c>
      <c r="E264" s="49" t="s">
        <v>3</v>
      </c>
      <c r="F264" s="50">
        <f t="shared" si="19"/>
        <v>2400</v>
      </c>
      <c r="G264" s="49" t="s">
        <v>3</v>
      </c>
      <c r="H264" s="51">
        <v>24</v>
      </c>
      <c r="I264" s="52" t="s">
        <v>531</v>
      </c>
      <c r="J264" s="1886">
        <v>150</v>
      </c>
      <c r="K264" s="66">
        <v>400</v>
      </c>
      <c r="L264" s="66">
        <v>2400</v>
      </c>
      <c r="M264" s="156"/>
      <c r="N264" s="66"/>
      <c r="O264" s="66"/>
      <c r="P264" s="113">
        <v>148031.36294085998</v>
      </c>
      <c r="Q264" s="113">
        <v>169475.42098400003</v>
      </c>
      <c r="R264" s="161">
        <v>38168.019052679942</v>
      </c>
      <c r="S264" s="161">
        <v>114504.05715803968</v>
      </c>
      <c r="T264" s="161">
        <v>186199.38199353992</v>
      </c>
      <c r="U264" s="161">
        <v>207643.44003667997</v>
      </c>
      <c r="V264" s="1887">
        <v>262535.42009889963</v>
      </c>
      <c r="W264" s="1887">
        <v>283979.47814203973</v>
      </c>
      <c r="Y264" s="65" t="str">
        <f t="shared" si="16"/>
        <v>ВКВТХ.150.400.2400.24ТП.24V</v>
      </c>
    </row>
    <row r="265" spans="1:25" ht="16.5" thickBot="1">
      <c r="A265" s="48" t="s">
        <v>47</v>
      </c>
      <c r="B265" s="49">
        <f t="shared" si="17"/>
        <v>150</v>
      </c>
      <c r="C265" s="49" t="s">
        <v>3</v>
      </c>
      <c r="D265" s="49">
        <f t="shared" si="18"/>
        <v>400</v>
      </c>
      <c r="E265" s="49" t="s">
        <v>3</v>
      </c>
      <c r="F265" s="50">
        <f t="shared" si="19"/>
        <v>2450</v>
      </c>
      <c r="G265" s="49" t="s">
        <v>3</v>
      </c>
      <c r="H265" s="51">
        <v>24</v>
      </c>
      <c r="I265" s="52" t="s">
        <v>531</v>
      </c>
      <c r="J265" s="1886">
        <v>150</v>
      </c>
      <c r="K265" s="66">
        <v>400</v>
      </c>
      <c r="L265" s="66">
        <v>2450</v>
      </c>
      <c r="M265" s="156"/>
      <c r="N265" s="66"/>
      <c r="O265" s="66"/>
      <c r="P265" s="113">
        <v>150682.20197647999</v>
      </c>
      <c r="Q265" s="113">
        <v>172498.44103628001</v>
      </c>
      <c r="R265" s="161">
        <v>39075.960225472183</v>
      </c>
      <c r="S265" s="161">
        <v>117227.88067641655</v>
      </c>
      <c r="T265" s="161">
        <v>189758.16220195219</v>
      </c>
      <c r="U265" s="161">
        <v>211574.40126175218</v>
      </c>
      <c r="V265" s="1887">
        <v>267910.08265289653</v>
      </c>
      <c r="W265" s="1887">
        <v>289726.32171269658</v>
      </c>
      <c r="Y265" s="65" t="str">
        <f t="shared" si="16"/>
        <v>ВКВТХ.150.400.2450.24ТП.24V</v>
      </c>
    </row>
    <row r="266" spans="1:25" ht="16.5" thickBot="1">
      <c r="A266" s="48" t="s">
        <v>47</v>
      </c>
      <c r="B266" s="49">
        <f t="shared" si="17"/>
        <v>150</v>
      </c>
      <c r="C266" s="49" t="s">
        <v>3</v>
      </c>
      <c r="D266" s="49">
        <f t="shared" si="18"/>
        <v>400</v>
      </c>
      <c r="E266" s="49" t="s">
        <v>3</v>
      </c>
      <c r="F266" s="50">
        <f t="shared" si="19"/>
        <v>2500</v>
      </c>
      <c r="G266" s="49" t="s">
        <v>3</v>
      </c>
      <c r="H266" s="51">
        <v>24</v>
      </c>
      <c r="I266" s="52" t="s">
        <v>531</v>
      </c>
      <c r="J266" s="1886">
        <v>150</v>
      </c>
      <c r="K266" s="66">
        <v>400</v>
      </c>
      <c r="L266" s="66">
        <v>2500</v>
      </c>
      <c r="M266" s="156"/>
      <c r="N266" s="66"/>
      <c r="O266" s="66"/>
      <c r="P266" s="113">
        <v>153464.15932698001</v>
      </c>
      <c r="Q266" s="113">
        <v>175659.24643640002</v>
      </c>
      <c r="R266" s="161">
        <v>39732.567254636473</v>
      </c>
      <c r="S266" s="161">
        <v>119197.70176390941</v>
      </c>
      <c r="T266" s="161">
        <v>193196.72658161647</v>
      </c>
      <c r="U266" s="161">
        <v>215391.81369103648</v>
      </c>
      <c r="V266" s="1887">
        <v>272661.86109088943</v>
      </c>
      <c r="W266" s="1887">
        <v>294856.94820030942</v>
      </c>
      <c r="Y266" s="65" t="str">
        <f t="shared" ref="Y266:Y276" si="20">A266&amp;B266&amp;"."&amp;D266&amp;"."&amp;F266&amp;"."&amp;H266&amp;I266</f>
        <v>ВКВТХ.150.400.2500.24ТП.24V</v>
      </c>
    </row>
    <row r="267" spans="1:25" ht="16.5" thickBot="1">
      <c r="A267" s="48" t="s">
        <v>47</v>
      </c>
      <c r="B267" s="49">
        <f t="shared" si="17"/>
        <v>150</v>
      </c>
      <c r="C267" s="49" t="s">
        <v>3</v>
      </c>
      <c r="D267" s="49">
        <f t="shared" si="18"/>
        <v>400</v>
      </c>
      <c r="E267" s="49" t="s">
        <v>3</v>
      </c>
      <c r="F267" s="50">
        <f t="shared" si="19"/>
        <v>2550</v>
      </c>
      <c r="G267" s="49" t="s">
        <v>3</v>
      </c>
      <c r="H267" s="51">
        <v>24</v>
      </c>
      <c r="I267" s="52" t="s">
        <v>531</v>
      </c>
      <c r="J267" s="1886">
        <v>150</v>
      </c>
      <c r="K267" s="66">
        <v>400</v>
      </c>
      <c r="L267" s="66">
        <v>2550</v>
      </c>
      <c r="M267" s="156"/>
      <c r="N267" s="66"/>
      <c r="O267" s="66"/>
      <c r="P267" s="113">
        <v>158154.65252192001</v>
      </c>
      <c r="Q267" s="113">
        <v>180825.63187643999</v>
      </c>
      <c r="R267" s="161">
        <v>40640.508427428715</v>
      </c>
      <c r="S267" s="161">
        <v>121921.52528228628</v>
      </c>
      <c r="T267" s="161">
        <v>198795.16094934873</v>
      </c>
      <c r="U267" s="161">
        <v>221466.14030386871</v>
      </c>
      <c r="V267" s="1887">
        <v>280076.17780420627</v>
      </c>
      <c r="W267" s="1887">
        <v>302747.15715872624</v>
      </c>
      <c r="Y267" s="65" t="str">
        <f t="shared" si="20"/>
        <v>ВКВТХ.150.400.2550.24ТП.24V</v>
      </c>
    </row>
    <row r="268" spans="1:25" ht="16.5" thickBot="1">
      <c r="A268" s="48" t="s">
        <v>47</v>
      </c>
      <c r="B268" s="49">
        <f t="shared" si="17"/>
        <v>150</v>
      </c>
      <c r="C268" s="49" t="s">
        <v>3</v>
      </c>
      <c r="D268" s="49">
        <f t="shared" si="18"/>
        <v>400</v>
      </c>
      <c r="E268" s="49" t="s">
        <v>3</v>
      </c>
      <c r="F268" s="50">
        <f t="shared" si="19"/>
        <v>2600</v>
      </c>
      <c r="G268" s="49" t="s">
        <v>3</v>
      </c>
      <c r="H268" s="51">
        <v>24</v>
      </c>
      <c r="I268" s="52" t="s">
        <v>531</v>
      </c>
      <c r="J268" s="1886">
        <v>150</v>
      </c>
      <c r="K268" s="66">
        <v>400</v>
      </c>
      <c r="L268" s="66">
        <v>2600</v>
      </c>
      <c r="M268" s="156"/>
      <c r="N268" s="66"/>
      <c r="O268" s="66"/>
      <c r="P268" s="113">
        <v>160805.49142892001</v>
      </c>
      <c r="Q268" s="113">
        <v>183848.65192872001</v>
      </c>
      <c r="R268" s="161">
        <v>41297.115456593165</v>
      </c>
      <c r="S268" s="161">
        <v>123891.34636977919</v>
      </c>
      <c r="T268" s="161">
        <v>202102.60688551317</v>
      </c>
      <c r="U268" s="161">
        <v>225145.76738531317</v>
      </c>
      <c r="V268" s="1887">
        <v>284696.83779869921</v>
      </c>
      <c r="W268" s="1887">
        <v>307739.99829849921</v>
      </c>
      <c r="Y268" s="65" t="str">
        <f t="shared" si="20"/>
        <v>ВКВТХ.150.400.2600.24ТП.24V</v>
      </c>
    </row>
    <row r="269" spans="1:25" ht="16.5" thickBot="1">
      <c r="A269" s="48" t="s">
        <v>47</v>
      </c>
      <c r="B269" s="49">
        <f t="shared" si="17"/>
        <v>150</v>
      </c>
      <c r="C269" s="49" t="s">
        <v>3</v>
      </c>
      <c r="D269" s="49">
        <f t="shared" si="18"/>
        <v>400</v>
      </c>
      <c r="E269" s="49" t="s">
        <v>3</v>
      </c>
      <c r="F269" s="50">
        <f t="shared" si="19"/>
        <v>2650</v>
      </c>
      <c r="G269" s="49" t="s">
        <v>3</v>
      </c>
      <c r="H269" s="51">
        <v>24</v>
      </c>
      <c r="I269" s="52" t="s">
        <v>531</v>
      </c>
      <c r="J269" s="1886">
        <v>150</v>
      </c>
      <c r="K269" s="66">
        <v>400</v>
      </c>
      <c r="L269" s="66">
        <v>2650</v>
      </c>
      <c r="M269" s="156"/>
      <c r="N269" s="66"/>
      <c r="O269" s="66"/>
      <c r="P269" s="113">
        <v>163483.63468985999</v>
      </c>
      <c r="Q269" s="113">
        <v>186900.36455676003</v>
      </c>
      <c r="R269" s="161">
        <v>42205.056629385399</v>
      </c>
      <c r="S269" s="161">
        <v>126615.16988815604</v>
      </c>
      <c r="T269" s="161">
        <v>205688.69131924538</v>
      </c>
      <c r="U269" s="161">
        <v>229105.42118614542</v>
      </c>
      <c r="V269" s="1887">
        <v>290098.80457801605</v>
      </c>
      <c r="W269" s="1887">
        <v>313515.53444491606</v>
      </c>
      <c r="Y269" s="65" t="str">
        <f t="shared" si="20"/>
        <v>ВКВТХ.150.400.2650.24ТП.24V</v>
      </c>
    </row>
    <row r="270" spans="1:25" ht="16.5" thickBot="1">
      <c r="A270" s="48" t="s">
        <v>47</v>
      </c>
      <c r="B270" s="49">
        <f t="shared" si="17"/>
        <v>150</v>
      </c>
      <c r="C270" s="49" t="s">
        <v>3</v>
      </c>
      <c r="D270" s="49">
        <f t="shared" si="18"/>
        <v>400</v>
      </c>
      <c r="E270" s="49" t="s">
        <v>3</v>
      </c>
      <c r="F270" s="50">
        <f t="shared" si="19"/>
        <v>2700</v>
      </c>
      <c r="G270" s="49" t="s">
        <v>3</v>
      </c>
      <c r="H270" s="51">
        <v>24</v>
      </c>
      <c r="I270" s="52" t="s">
        <v>531</v>
      </c>
      <c r="J270" s="1886">
        <v>150</v>
      </c>
      <c r="K270" s="66">
        <v>400</v>
      </c>
      <c r="L270" s="66">
        <v>2700</v>
      </c>
      <c r="M270" s="156"/>
      <c r="N270" s="66"/>
      <c r="O270" s="66"/>
      <c r="P270" s="113">
        <v>165640.87968417999</v>
      </c>
      <c r="Q270" s="113">
        <v>189506.12136024001</v>
      </c>
      <c r="R270" s="161">
        <v>42861.663658549696</v>
      </c>
      <c r="S270" s="161">
        <v>128584.99097564908</v>
      </c>
      <c r="T270" s="161">
        <v>208502.54334272968</v>
      </c>
      <c r="U270" s="161">
        <v>232367.7850187897</v>
      </c>
      <c r="V270" s="1887">
        <v>294225.87065982906</v>
      </c>
      <c r="W270" s="1887">
        <v>318091.11233588908</v>
      </c>
      <c r="Y270" s="65" t="str">
        <f t="shared" si="20"/>
        <v>ВКВТХ.150.400.2700.24ТП.24V</v>
      </c>
    </row>
    <row r="271" spans="1:25" ht="16.5" thickBot="1">
      <c r="A271" s="48" t="s">
        <v>47</v>
      </c>
      <c r="B271" s="49">
        <f t="shared" si="17"/>
        <v>150</v>
      </c>
      <c r="C271" s="49" t="s">
        <v>3</v>
      </c>
      <c r="D271" s="49">
        <f t="shared" si="18"/>
        <v>400</v>
      </c>
      <c r="E271" s="49" t="s">
        <v>3</v>
      </c>
      <c r="F271" s="50">
        <f t="shared" si="19"/>
        <v>2750</v>
      </c>
      <c r="G271" s="49" t="s">
        <v>3</v>
      </c>
      <c r="H271" s="51">
        <v>24</v>
      </c>
      <c r="I271" s="52" t="s">
        <v>531</v>
      </c>
      <c r="J271" s="1886">
        <v>150</v>
      </c>
      <c r="K271" s="66">
        <v>400</v>
      </c>
      <c r="L271" s="66">
        <v>2750</v>
      </c>
      <c r="M271" s="156"/>
      <c r="N271" s="66"/>
      <c r="O271" s="66"/>
      <c r="P271" s="113">
        <v>168319.02281649999</v>
      </c>
      <c r="Q271" s="113">
        <v>192557.83398828001</v>
      </c>
      <c r="R271" s="161">
        <v>43518.270687713994</v>
      </c>
      <c r="S271" s="161">
        <v>130554.81206314197</v>
      </c>
      <c r="T271" s="161">
        <v>211837.29350421397</v>
      </c>
      <c r="U271" s="161">
        <v>236076.10467599399</v>
      </c>
      <c r="V271" s="1887">
        <v>298873.83487964195</v>
      </c>
      <c r="W271" s="1887">
        <v>323112.64605142199</v>
      </c>
      <c r="Y271" s="65" t="str">
        <f t="shared" si="20"/>
        <v>ВКВТХ.150.400.2750.24ТП.24V</v>
      </c>
    </row>
    <row r="272" spans="1:25" ht="16.5" thickBot="1">
      <c r="A272" s="48" t="s">
        <v>47</v>
      </c>
      <c r="B272" s="49">
        <f t="shared" si="17"/>
        <v>150</v>
      </c>
      <c r="C272" s="49" t="s">
        <v>3</v>
      </c>
      <c r="D272" s="49">
        <f t="shared" si="18"/>
        <v>400</v>
      </c>
      <c r="E272" s="49" t="s">
        <v>3</v>
      </c>
      <c r="F272" s="50">
        <f t="shared" si="19"/>
        <v>2800</v>
      </c>
      <c r="G272" s="49" t="s">
        <v>3</v>
      </c>
      <c r="H272" s="51">
        <v>24</v>
      </c>
      <c r="I272" s="52" t="s">
        <v>531</v>
      </c>
      <c r="J272" s="1886">
        <v>150</v>
      </c>
      <c r="K272" s="66">
        <v>400</v>
      </c>
      <c r="L272" s="66">
        <v>2800</v>
      </c>
      <c r="M272" s="156"/>
      <c r="N272" s="66"/>
      <c r="O272" s="66"/>
      <c r="P272" s="113">
        <v>170997.16594882001</v>
      </c>
      <c r="Q272" s="113">
        <v>195609.54648116001</v>
      </c>
      <c r="R272" s="161">
        <v>44426.211860506228</v>
      </c>
      <c r="S272" s="161">
        <v>133278.63558151884</v>
      </c>
      <c r="T272" s="161">
        <v>215423.37780932622</v>
      </c>
      <c r="U272" s="161">
        <v>240035.75834166625</v>
      </c>
      <c r="V272" s="1887">
        <v>304275.80153033882</v>
      </c>
      <c r="W272" s="1887">
        <v>328888.18206267885</v>
      </c>
      <c r="Y272" s="65" t="str">
        <f t="shared" si="20"/>
        <v>ВКВТХ.150.400.2800.24ТП.24V</v>
      </c>
    </row>
    <row r="273" spans="1:25" ht="16.5" thickBot="1">
      <c r="A273" s="48" t="s">
        <v>47</v>
      </c>
      <c r="B273" s="49">
        <f t="shared" si="17"/>
        <v>150</v>
      </c>
      <c r="C273" s="49" t="s">
        <v>3</v>
      </c>
      <c r="D273" s="49">
        <f t="shared" si="18"/>
        <v>400</v>
      </c>
      <c r="E273" s="49" t="s">
        <v>3</v>
      </c>
      <c r="F273" s="50">
        <f t="shared" si="19"/>
        <v>2850</v>
      </c>
      <c r="G273" s="49" t="s">
        <v>3</v>
      </c>
      <c r="H273" s="51">
        <v>24</v>
      </c>
      <c r="I273" s="52" t="s">
        <v>531</v>
      </c>
      <c r="J273" s="1886">
        <v>150</v>
      </c>
      <c r="K273" s="66">
        <v>400</v>
      </c>
      <c r="L273" s="66">
        <v>2850</v>
      </c>
      <c r="M273" s="156"/>
      <c r="N273" s="66"/>
      <c r="O273" s="66"/>
      <c r="P273" s="113">
        <v>173675.30920975999</v>
      </c>
      <c r="Q273" s="113">
        <v>198661.25910920004</v>
      </c>
      <c r="R273" s="161">
        <v>45082.818889670525</v>
      </c>
      <c r="S273" s="161">
        <v>135248.45666901188</v>
      </c>
      <c r="T273" s="161">
        <v>218758.12809943053</v>
      </c>
      <c r="U273" s="161">
        <v>243744.07799887058</v>
      </c>
      <c r="V273" s="1887">
        <v>308923.7658787719</v>
      </c>
      <c r="W273" s="1887">
        <v>333909.71577821195</v>
      </c>
      <c r="Y273" s="65" t="str">
        <f t="shared" si="20"/>
        <v>ВКВТХ.150.400.2850.24ТП.24V</v>
      </c>
    </row>
    <row r="274" spans="1:25" ht="16.5" thickBot="1">
      <c r="A274" s="48" t="s">
        <v>47</v>
      </c>
      <c r="B274" s="49">
        <f t="shared" si="17"/>
        <v>150</v>
      </c>
      <c r="C274" s="49" t="s">
        <v>3</v>
      </c>
      <c r="D274" s="49">
        <f t="shared" si="18"/>
        <v>400</v>
      </c>
      <c r="E274" s="49" t="s">
        <v>3</v>
      </c>
      <c r="F274" s="50">
        <f t="shared" si="19"/>
        <v>2900</v>
      </c>
      <c r="G274" s="49" t="s">
        <v>3</v>
      </c>
      <c r="H274" s="51">
        <v>24</v>
      </c>
      <c r="I274" s="52" t="s">
        <v>531</v>
      </c>
      <c r="J274" s="1886">
        <v>150</v>
      </c>
      <c r="K274" s="66">
        <v>400</v>
      </c>
      <c r="L274" s="66">
        <v>2900</v>
      </c>
      <c r="M274" s="156"/>
      <c r="N274" s="66"/>
      <c r="O274" s="66"/>
      <c r="P274" s="113">
        <v>176353.45234208001</v>
      </c>
      <c r="Q274" s="113">
        <v>201712.97173724</v>
      </c>
      <c r="R274" s="161">
        <v>45990.760062462912</v>
      </c>
      <c r="S274" s="161">
        <v>137972.28018738859</v>
      </c>
      <c r="T274" s="161">
        <v>222344.21240454292</v>
      </c>
      <c r="U274" s="161">
        <v>247703.73179970292</v>
      </c>
      <c r="V274" s="1887">
        <v>314325.7325294686</v>
      </c>
      <c r="W274" s="1887">
        <v>339685.25192462862</v>
      </c>
      <c r="Y274" s="65" t="str">
        <f t="shared" si="20"/>
        <v>ВКВТХ.150.400.2900.24ТП.24V</v>
      </c>
    </row>
    <row r="275" spans="1:25" ht="16.5" thickBot="1">
      <c r="A275" s="48" t="s">
        <v>47</v>
      </c>
      <c r="B275" s="49">
        <f t="shared" si="17"/>
        <v>150</v>
      </c>
      <c r="C275" s="49" t="s">
        <v>3</v>
      </c>
      <c r="D275" s="49">
        <f t="shared" si="18"/>
        <v>400</v>
      </c>
      <c r="E275" s="49" t="s">
        <v>3</v>
      </c>
      <c r="F275" s="50">
        <f t="shared" si="19"/>
        <v>2950</v>
      </c>
      <c r="G275" s="49" t="s">
        <v>3</v>
      </c>
      <c r="H275" s="51">
        <v>24</v>
      </c>
      <c r="I275" s="52" t="s">
        <v>531</v>
      </c>
      <c r="J275" s="1886">
        <v>150</v>
      </c>
      <c r="K275" s="66">
        <v>400</v>
      </c>
      <c r="L275" s="66">
        <v>2950</v>
      </c>
      <c r="M275" s="156"/>
      <c r="N275" s="66"/>
      <c r="O275" s="66"/>
      <c r="P275" s="113">
        <v>179031.59560302002</v>
      </c>
      <c r="Q275" s="113">
        <v>204764.68423012001</v>
      </c>
      <c r="R275" s="161">
        <v>46647.367091627217</v>
      </c>
      <c r="S275" s="161">
        <v>139942.10127488163</v>
      </c>
      <c r="T275" s="161">
        <v>225678.96269464723</v>
      </c>
      <c r="U275" s="161">
        <v>251412.05132174722</v>
      </c>
      <c r="V275" s="1887">
        <v>318973.69687790168</v>
      </c>
      <c r="W275" s="1887">
        <v>344706.78550500167</v>
      </c>
      <c r="Y275" s="65" t="str">
        <f t="shared" si="20"/>
        <v>ВКВТХ.150.400.2950.24ТП.24V</v>
      </c>
    </row>
    <row r="276" spans="1:25" ht="16.5" thickBot="1">
      <c r="A276" s="48" t="s">
        <v>47</v>
      </c>
      <c r="B276" s="49">
        <f t="shared" si="17"/>
        <v>150</v>
      </c>
      <c r="C276" s="49" t="s">
        <v>3</v>
      </c>
      <c r="D276" s="49">
        <f t="shared" si="18"/>
        <v>400</v>
      </c>
      <c r="E276" s="49" t="s">
        <v>3</v>
      </c>
      <c r="F276" s="50">
        <f t="shared" si="19"/>
        <v>3000</v>
      </c>
      <c r="G276" s="49" t="s">
        <v>3</v>
      </c>
      <c r="H276" s="51">
        <v>24</v>
      </c>
      <c r="I276" s="52" t="s">
        <v>531</v>
      </c>
      <c r="J276" s="1894">
        <v>150</v>
      </c>
      <c r="K276" s="126">
        <v>400</v>
      </c>
      <c r="L276" s="126">
        <v>3000</v>
      </c>
      <c r="M276" s="157"/>
      <c r="N276" s="126"/>
      <c r="O276" s="126"/>
      <c r="P276" s="128">
        <v>181865.49446846001</v>
      </c>
      <c r="Q276" s="128">
        <v>207980.07237432004</v>
      </c>
      <c r="R276" s="162">
        <v>47555.308264419451</v>
      </c>
      <c r="S276" s="162">
        <v>142665.92479325851</v>
      </c>
      <c r="T276" s="162">
        <v>229420.80273287947</v>
      </c>
      <c r="U276" s="162">
        <v>255535.3806387395</v>
      </c>
      <c r="V276" s="1895">
        <v>324531.41926171852</v>
      </c>
      <c r="W276" s="1895">
        <v>350645.99716757855</v>
      </c>
      <c r="Y276" s="65" t="str">
        <f t="shared" si="20"/>
        <v>ВКВТХ.150.400.3000.24ТП.24V</v>
      </c>
    </row>
    <row r="277" spans="1:25">
      <c r="Y277" s="65"/>
    </row>
  </sheetData>
  <mergeCells count="20">
    <mergeCell ref="U3:U4"/>
    <mergeCell ref="V3:V4"/>
    <mergeCell ref="W3:W4"/>
    <mergeCell ref="A6:W6"/>
    <mergeCell ref="A3:I5"/>
    <mergeCell ref="J3:M4"/>
    <mergeCell ref="O3:O5"/>
    <mergeCell ref="Q3:Q4"/>
    <mergeCell ref="R3:R4"/>
    <mergeCell ref="S3:S4"/>
    <mergeCell ref="N3:N5"/>
    <mergeCell ref="P3:P4"/>
    <mergeCell ref="T3:T4"/>
    <mergeCell ref="A97:W98"/>
    <mergeCell ref="A142:W143"/>
    <mergeCell ref="A187:W188"/>
    <mergeCell ref="A232:W233"/>
    <mergeCell ref="P5:W5"/>
    <mergeCell ref="A7:W8"/>
    <mergeCell ref="A52:W53"/>
  </mergeCells>
  <hyperlinks>
    <hyperlink ref="A1:I1" location="Главная!A1" display="Вернуться на главную страницу" xr:uid="{A0AB2A76-CC3D-450A-96BA-91A00F9E66B9}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FF5D0-A97C-4A85-AB92-B03DBD2940F8}">
  <sheetPr>
    <tabColor theme="7" tint="-0.249977111117893"/>
  </sheetPr>
  <dimension ref="A1:Q198"/>
  <sheetViews>
    <sheetView zoomScale="70" zoomScaleNormal="70" workbookViewId="0">
      <pane ySplit="6" topLeftCell="A7" activePane="bottomLeft" state="frozen"/>
      <selection pane="bottomLeft"/>
    </sheetView>
  </sheetViews>
  <sheetFormatPr defaultRowHeight="15"/>
  <cols>
    <col min="1" max="1" width="5.28515625" customWidth="1"/>
    <col min="2" max="2" width="6" customWidth="1"/>
    <col min="3" max="3" width="3" customWidth="1"/>
    <col min="4" max="4" width="6" customWidth="1"/>
    <col min="5" max="5" width="3" customWidth="1"/>
    <col min="6" max="6" width="7.7109375" customWidth="1"/>
    <col min="7" max="7" width="3" customWidth="1"/>
    <col min="8" max="8" width="6" customWidth="1"/>
    <col min="9" max="9" width="4.5703125" customWidth="1"/>
    <col min="10" max="12" width="11.28515625" customWidth="1"/>
    <col min="13" max="13" width="0" hidden="1" customWidth="1"/>
    <col min="14" max="14" width="19.140625" customWidth="1"/>
    <col min="15" max="15" width="27.7109375" customWidth="1"/>
    <col min="16" max="16" width="26.28515625" customWidth="1"/>
    <col min="17" max="17" width="27.7109375" customWidth="1"/>
  </cols>
  <sheetData>
    <row r="1" spans="1:17" ht="15.75">
      <c r="A1" s="2006" t="s">
        <v>9</v>
      </c>
      <c r="B1" s="2006"/>
      <c r="C1" s="2006"/>
      <c r="D1" s="2006"/>
      <c r="E1" s="2006"/>
      <c r="F1" s="88"/>
      <c r="G1" s="2006"/>
      <c r="H1" s="2006"/>
      <c r="I1" s="2006"/>
      <c r="J1" s="7"/>
      <c r="K1" s="87"/>
      <c r="L1" s="87"/>
      <c r="M1" s="140"/>
      <c r="N1" s="7"/>
      <c r="O1" s="107"/>
      <c r="P1" s="107"/>
      <c r="Q1" s="107"/>
    </row>
    <row r="2" spans="1:17" ht="15.75">
      <c r="A2" s="895" t="s">
        <v>7692</v>
      </c>
      <c r="B2" s="2006"/>
      <c r="C2" s="2006"/>
      <c r="D2" s="2006"/>
      <c r="E2" s="2006"/>
      <c r="F2" s="88"/>
      <c r="G2" s="2006"/>
      <c r="H2" s="2006"/>
      <c r="I2" s="2006"/>
      <c r="J2" s="7"/>
      <c r="K2" s="87"/>
      <c r="L2" s="87"/>
      <c r="M2" s="140"/>
      <c r="N2" s="7"/>
      <c r="O2" s="107"/>
      <c r="P2" s="107"/>
      <c r="Q2" s="107"/>
    </row>
    <row r="3" spans="1:17" ht="16.5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N3" s="7"/>
      <c r="O3" s="106"/>
      <c r="P3" s="107"/>
      <c r="Q3" s="107"/>
    </row>
    <row r="4" spans="1:17" ht="75" customHeight="1">
      <c r="A4" s="3118" t="s">
        <v>8</v>
      </c>
      <c r="B4" s="3119"/>
      <c r="C4" s="3119"/>
      <c r="D4" s="3119"/>
      <c r="E4" s="3119"/>
      <c r="F4" s="3119"/>
      <c r="G4" s="3119"/>
      <c r="H4" s="3119"/>
      <c r="I4" s="3120"/>
      <c r="J4" s="3127" t="s">
        <v>78</v>
      </c>
      <c r="K4" s="3128"/>
      <c r="L4" s="3128"/>
      <c r="M4" s="3129"/>
      <c r="N4" s="3133" t="s">
        <v>77</v>
      </c>
      <c r="O4" s="3136" t="s">
        <v>7712</v>
      </c>
      <c r="P4" s="3136" t="s">
        <v>7693</v>
      </c>
      <c r="Q4" s="3113" t="s">
        <v>7713</v>
      </c>
    </row>
    <row r="5" spans="1:17" ht="75" customHeight="1" thickBot="1">
      <c r="A5" s="3121"/>
      <c r="B5" s="3122"/>
      <c r="C5" s="3122"/>
      <c r="D5" s="3122"/>
      <c r="E5" s="3122"/>
      <c r="F5" s="3122"/>
      <c r="G5" s="3122"/>
      <c r="H5" s="3122"/>
      <c r="I5" s="3123"/>
      <c r="J5" s="3130"/>
      <c r="K5" s="3131"/>
      <c r="L5" s="3131"/>
      <c r="M5" s="3132"/>
      <c r="N5" s="3134"/>
      <c r="O5" s="3137"/>
      <c r="P5" s="3137"/>
      <c r="Q5" s="3114"/>
    </row>
    <row r="6" spans="1:17" ht="61.5" customHeight="1" thickBot="1">
      <c r="A6" s="3124"/>
      <c r="B6" s="3125"/>
      <c r="C6" s="3125"/>
      <c r="D6" s="3125"/>
      <c r="E6" s="3125"/>
      <c r="F6" s="3125"/>
      <c r="G6" s="3125"/>
      <c r="H6" s="3125"/>
      <c r="I6" s="3126"/>
      <c r="J6" s="2028" t="s">
        <v>0</v>
      </c>
      <c r="K6" s="2029" t="s">
        <v>1</v>
      </c>
      <c r="L6" s="2029" t="s">
        <v>2</v>
      </c>
      <c r="M6" s="2030" t="s">
        <v>75</v>
      </c>
      <c r="N6" s="3135"/>
      <c r="O6" s="3115" t="s">
        <v>141</v>
      </c>
      <c r="P6" s="3116"/>
      <c r="Q6" s="3117"/>
    </row>
    <row r="7" spans="1:17" ht="19.5" thickBot="1">
      <c r="A7" s="2971" t="s">
        <v>7694</v>
      </c>
      <c r="B7" s="2972"/>
      <c r="C7" s="2972"/>
      <c r="D7" s="2972"/>
      <c r="E7" s="2972"/>
      <c r="F7" s="2972"/>
      <c r="G7" s="2972"/>
      <c r="H7" s="2972"/>
      <c r="I7" s="2972"/>
      <c r="J7" s="2972"/>
      <c r="K7" s="2972"/>
      <c r="L7" s="2972"/>
      <c r="M7" s="2972"/>
      <c r="N7" s="2972"/>
      <c r="O7" s="2972"/>
      <c r="P7" s="2972"/>
      <c r="Q7" s="2973"/>
    </row>
    <row r="8" spans="1:17" ht="21.75" thickBot="1">
      <c r="A8" s="2968" t="s">
        <v>7695</v>
      </c>
      <c r="B8" s="2969"/>
      <c r="C8" s="2969"/>
      <c r="D8" s="2969"/>
      <c r="E8" s="2969"/>
      <c r="F8" s="2969"/>
      <c r="G8" s="2969"/>
      <c r="H8" s="2969"/>
      <c r="I8" s="2969"/>
      <c r="J8" s="2969"/>
      <c r="K8" s="2969"/>
      <c r="L8" s="2969"/>
      <c r="M8" s="2969"/>
      <c r="N8" s="2969"/>
      <c r="O8" s="2969"/>
      <c r="P8" s="2969"/>
      <c r="Q8" s="2970"/>
    </row>
    <row r="9" spans="1:17" ht="16.5" thickBot="1">
      <c r="A9" s="2974" t="s">
        <v>111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6"/>
    </row>
    <row r="10" spans="1:17" ht="16.5" thickBot="1">
      <c r="A10" s="2031" t="s">
        <v>7696</v>
      </c>
      <c r="B10" s="2032">
        <f>J10</f>
        <v>85</v>
      </c>
      <c r="C10" s="2032" t="s">
        <v>3</v>
      </c>
      <c r="D10" s="2032">
        <f>K10</f>
        <v>140</v>
      </c>
      <c r="E10" s="2032" t="s">
        <v>3</v>
      </c>
      <c r="F10" s="2033">
        <f>L10</f>
        <v>600</v>
      </c>
      <c r="G10" s="2032" t="s">
        <v>3</v>
      </c>
      <c r="H10" s="2032">
        <v>2</v>
      </c>
      <c r="I10" s="2034" t="s">
        <v>40</v>
      </c>
      <c r="J10" s="146">
        <v>85</v>
      </c>
      <c r="K10" s="138">
        <v>140</v>
      </c>
      <c r="L10" s="138">
        <v>600</v>
      </c>
      <c r="M10" s="147"/>
      <c r="N10" s="123">
        <v>84.972750000000005</v>
      </c>
      <c r="O10" s="148">
        <f>(11705.9744)*'[1]Изменение цен'!$D$50</f>
        <v>11705.974399999999</v>
      </c>
      <c r="P10" s="253">
        <f>(3934.6587)*'[1]Изменение цен'!$D$85</f>
        <v>6021.1596204933794</v>
      </c>
      <c r="Q10" s="256">
        <f t="shared" ref="Q10:Q41" si="0">O10+P10</f>
        <v>17727.13402049338</v>
      </c>
    </row>
    <row r="11" spans="1:17" ht="16.5" thickBot="1">
      <c r="A11" s="2031" t="s">
        <v>7696</v>
      </c>
      <c r="B11" s="2035">
        <f t="shared" ref="B11:B58" si="1">J11</f>
        <v>85</v>
      </c>
      <c r="C11" s="2035" t="s">
        <v>3</v>
      </c>
      <c r="D11" s="2035">
        <f t="shared" ref="D11:D58" si="2">K11</f>
        <v>140</v>
      </c>
      <c r="E11" s="2035" t="s">
        <v>3</v>
      </c>
      <c r="F11" s="2033">
        <f t="shared" ref="F11:F58" si="3">L11</f>
        <v>650</v>
      </c>
      <c r="G11" s="2035" t="s">
        <v>3</v>
      </c>
      <c r="H11" s="2032">
        <v>2</v>
      </c>
      <c r="I11" s="2034" t="s">
        <v>40</v>
      </c>
      <c r="J11" s="149">
        <v>85</v>
      </c>
      <c r="K11" s="104">
        <v>140</v>
      </c>
      <c r="L11" s="104">
        <v>650</v>
      </c>
      <c r="M11" s="150"/>
      <c r="N11" s="78">
        <v>101.96729999999999</v>
      </c>
      <c r="O11" s="111">
        <f>(12183.3282)*'[1]Изменение цен'!$D$50</f>
        <v>12183.3282</v>
      </c>
      <c r="P11" s="254">
        <f>(4142.2808)*'[1]Изменение цен'!$D$85</f>
        <v>6338.8811562499732</v>
      </c>
      <c r="Q11" s="258">
        <f t="shared" si="0"/>
        <v>18522.209356249972</v>
      </c>
    </row>
    <row r="12" spans="1:17" ht="16.5" thickBot="1">
      <c r="A12" s="2031" t="s">
        <v>7696</v>
      </c>
      <c r="B12" s="2035">
        <f t="shared" si="1"/>
        <v>85</v>
      </c>
      <c r="C12" s="2035" t="s">
        <v>3</v>
      </c>
      <c r="D12" s="2035">
        <f t="shared" si="2"/>
        <v>140</v>
      </c>
      <c r="E12" s="2035" t="s">
        <v>3</v>
      </c>
      <c r="F12" s="2033">
        <f t="shared" si="3"/>
        <v>700</v>
      </c>
      <c r="G12" s="2035" t="s">
        <v>3</v>
      </c>
      <c r="H12" s="2032">
        <v>2</v>
      </c>
      <c r="I12" s="2034" t="s">
        <v>40</v>
      </c>
      <c r="J12" s="149">
        <v>85</v>
      </c>
      <c r="K12" s="104">
        <v>140</v>
      </c>
      <c r="L12" s="104">
        <v>700</v>
      </c>
      <c r="M12" s="150"/>
      <c r="N12" s="78">
        <v>118.96185</v>
      </c>
      <c r="O12" s="111">
        <f>(12660.6821)*'[1]Изменение цен'!$D$50</f>
        <v>12660.6821</v>
      </c>
      <c r="P12" s="254">
        <f>(4504.5224)*'[1]Изменение цен'!$D$85</f>
        <v>6893.2150034990145</v>
      </c>
      <c r="Q12" s="258">
        <f t="shared" si="0"/>
        <v>19553.897103499014</v>
      </c>
    </row>
    <row r="13" spans="1:17" ht="16.5" thickBot="1">
      <c r="A13" s="2031" t="s">
        <v>7696</v>
      </c>
      <c r="B13" s="2035">
        <f t="shared" si="1"/>
        <v>85</v>
      </c>
      <c r="C13" s="2035" t="s">
        <v>3</v>
      </c>
      <c r="D13" s="2035">
        <f t="shared" si="2"/>
        <v>140</v>
      </c>
      <c r="E13" s="2035" t="s">
        <v>3</v>
      </c>
      <c r="F13" s="2033">
        <f t="shared" si="3"/>
        <v>750</v>
      </c>
      <c r="G13" s="2035" t="s">
        <v>3</v>
      </c>
      <c r="H13" s="2032">
        <v>2</v>
      </c>
      <c r="I13" s="2034" t="s">
        <v>40</v>
      </c>
      <c r="J13" s="149">
        <v>85</v>
      </c>
      <c r="K13" s="104">
        <v>140</v>
      </c>
      <c r="L13" s="104">
        <v>750</v>
      </c>
      <c r="M13" s="150"/>
      <c r="N13" s="78">
        <v>135.9564</v>
      </c>
      <c r="O13" s="111">
        <f>(13138.036)*'[1]Изменение цен'!$D$50</f>
        <v>13138.036</v>
      </c>
      <c r="P13" s="254">
        <f>(4712.1445)*'[1]Изменение цен'!$D$85</f>
        <v>7210.9365392556074</v>
      </c>
      <c r="Q13" s="258">
        <f t="shared" si="0"/>
        <v>20348.972539255607</v>
      </c>
    </row>
    <row r="14" spans="1:17" ht="16.5" thickBot="1">
      <c r="A14" s="2031" t="s">
        <v>7696</v>
      </c>
      <c r="B14" s="2035">
        <f t="shared" si="1"/>
        <v>85</v>
      </c>
      <c r="C14" s="2035" t="s">
        <v>3</v>
      </c>
      <c r="D14" s="2035">
        <f t="shared" si="2"/>
        <v>140</v>
      </c>
      <c r="E14" s="2035" t="s">
        <v>3</v>
      </c>
      <c r="F14" s="2033">
        <f t="shared" si="3"/>
        <v>800</v>
      </c>
      <c r="G14" s="2035" t="s">
        <v>3</v>
      </c>
      <c r="H14" s="2032">
        <v>2</v>
      </c>
      <c r="I14" s="2034" t="s">
        <v>40</v>
      </c>
      <c r="J14" s="149">
        <v>85</v>
      </c>
      <c r="K14" s="104">
        <v>140</v>
      </c>
      <c r="L14" s="104">
        <v>800</v>
      </c>
      <c r="M14" s="150"/>
      <c r="N14" s="78">
        <v>152.95095000000001</v>
      </c>
      <c r="O14" s="111">
        <f>(13615.3898)*'[1]Изменение цен'!$D$50</f>
        <v>13615.389800000001</v>
      </c>
      <c r="P14" s="254">
        <f>(4919.7666)*'[1]Изменение цен'!$D$85</f>
        <v>7528.6580750121993</v>
      </c>
      <c r="Q14" s="258">
        <f t="shared" si="0"/>
        <v>21144.047875012198</v>
      </c>
    </row>
    <row r="15" spans="1:17" ht="16.5" thickBot="1">
      <c r="A15" s="2031" t="s">
        <v>7696</v>
      </c>
      <c r="B15" s="2035">
        <f t="shared" si="1"/>
        <v>85</v>
      </c>
      <c r="C15" s="2035" t="s">
        <v>3</v>
      </c>
      <c r="D15" s="2035">
        <f t="shared" si="2"/>
        <v>140</v>
      </c>
      <c r="E15" s="2035" t="s">
        <v>3</v>
      </c>
      <c r="F15" s="2033">
        <f t="shared" si="3"/>
        <v>850</v>
      </c>
      <c r="G15" s="2035" t="s">
        <v>3</v>
      </c>
      <c r="H15" s="2032">
        <v>2</v>
      </c>
      <c r="I15" s="2034" t="s">
        <v>40</v>
      </c>
      <c r="J15" s="149">
        <v>85</v>
      </c>
      <c r="K15" s="104">
        <v>140</v>
      </c>
      <c r="L15" s="104">
        <v>850</v>
      </c>
      <c r="M15" s="150"/>
      <c r="N15" s="78">
        <v>169.94550000000001</v>
      </c>
      <c r="O15" s="111">
        <f>(14092.7437)*'[1]Изменение цен'!$D$50</f>
        <v>14092.743700000001</v>
      </c>
      <c r="P15" s="254">
        <f>(5282.0081)*'[1]Изменение цен'!$D$85</f>
        <v>8082.9917692324771</v>
      </c>
      <c r="Q15" s="258">
        <f t="shared" si="0"/>
        <v>22175.735469232477</v>
      </c>
    </row>
    <row r="16" spans="1:17" ht="16.5" thickBot="1">
      <c r="A16" s="2031" t="s">
        <v>7696</v>
      </c>
      <c r="B16" s="2035">
        <f t="shared" si="1"/>
        <v>85</v>
      </c>
      <c r="C16" s="2035" t="s">
        <v>3</v>
      </c>
      <c r="D16" s="2035">
        <f t="shared" si="2"/>
        <v>140</v>
      </c>
      <c r="E16" s="2035" t="s">
        <v>3</v>
      </c>
      <c r="F16" s="2033">
        <f t="shared" si="3"/>
        <v>900</v>
      </c>
      <c r="G16" s="2035" t="s">
        <v>3</v>
      </c>
      <c r="H16" s="2032">
        <v>2</v>
      </c>
      <c r="I16" s="2034" t="s">
        <v>40</v>
      </c>
      <c r="J16" s="149">
        <v>85</v>
      </c>
      <c r="K16" s="104">
        <v>140</v>
      </c>
      <c r="L16" s="104">
        <v>900</v>
      </c>
      <c r="M16" s="150"/>
      <c r="N16" s="78">
        <v>186.94005000000001</v>
      </c>
      <c r="O16" s="111">
        <f>(14570.0976)*'[1]Изменение цен'!$D$50</f>
        <v>14570.097599999999</v>
      </c>
      <c r="P16" s="254">
        <f>(5489.6302)*'[1]Изменение цен'!$D$85</f>
        <v>8400.713304989069</v>
      </c>
      <c r="Q16" s="258">
        <f t="shared" si="0"/>
        <v>22970.81090498907</v>
      </c>
    </row>
    <row r="17" spans="1:17" ht="16.5" thickBot="1">
      <c r="A17" s="2031" t="s">
        <v>7696</v>
      </c>
      <c r="B17" s="2035">
        <f t="shared" si="1"/>
        <v>85</v>
      </c>
      <c r="C17" s="2035" t="s">
        <v>3</v>
      </c>
      <c r="D17" s="2035">
        <f t="shared" si="2"/>
        <v>140</v>
      </c>
      <c r="E17" s="2035" t="s">
        <v>3</v>
      </c>
      <c r="F17" s="2033">
        <f t="shared" si="3"/>
        <v>950</v>
      </c>
      <c r="G17" s="2035" t="s">
        <v>3</v>
      </c>
      <c r="H17" s="2032">
        <v>2</v>
      </c>
      <c r="I17" s="2034" t="s">
        <v>40</v>
      </c>
      <c r="J17" s="149">
        <v>85</v>
      </c>
      <c r="K17" s="104">
        <v>140</v>
      </c>
      <c r="L17" s="104">
        <v>950</v>
      </c>
      <c r="M17" s="150"/>
      <c r="N17" s="78">
        <v>203.93459999999999</v>
      </c>
      <c r="O17" s="111">
        <f>(15047.4514)*'[1]Изменение цен'!$D$50</f>
        <v>15047.4514</v>
      </c>
      <c r="P17" s="254">
        <f>(5851.8718)*'[1]Изменение цен'!$D$85</f>
        <v>8955.0471522381122</v>
      </c>
      <c r="Q17" s="258">
        <f t="shared" si="0"/>
        <v>24002.49855223811</v>
      </c>
    </row>
    <row r="18" spans="1:17" ht="16.5" thickBot="1">
      <c r="A18" s="2031" t="s">
        <v>7696</v>
      </c>
      <c r="B18" s="2035">
        <f t="shared" si="1"/>
        <v>85</v>
      </c>
      <c r="C18" s="2035" t="s">
        <v>3</v>
      </c>
      <c r="D18" s="2035">
        <f t="shared" si="2"/>
        <v>140</v>
      </c>
      <c r="E18" s="2035" t="s">
        <v>3</v>
      </c>
      <c r="F18" s="2033">
        <f t="shared" si="3"/>
        <v>1000</v>
      </c>
      <c r="G18" s="2035" t="s">
        <v>3</v>
      </c>
      <c r="H18" s="2032">
        <v>2</v>
      </c>
      <c r="I18" s="2034" t="s">
        <v>40</v>
      </c>
      <c r="J18" s="149">
        <v>85</v>
      </c>
      <c r="K18" s="104">
        <v>140</v>
      </c>
      <c r="L18" s="104">
        <v>1000</v>
      </c>
      <c r="M18" s="150"/>
      <c r="N18" s="78">
        <v>220.92914999999999</v>
      </c>
      <c r="O18" s="111">
        <f>(15524.8053)*'[1]Изменение цен'!$D$50</f>
        <v>15524.8053</v>
      </c>
      <c r="P18" s="254">
        <f>(6059.4939)*'[1]Изменение цен'!$D$85</f>
        <v>9272.768687994705</v>
      </c>
      <c r="Q18" s="258">
        <f t="shared" si="0"/>
        <v>24797.573987994707</v>
      </c>
    </row>
    <row r="19" spans="1:17" ht="16.5" thickBot="1">
      <c r="A19" s="2031" t="s">
        <v>7696</v>
      </c>
      <c r="B19" s="2035">
        <f t="shared" si="1"/>
        <v>85</v>
      </c>
      <c r="C19" s="2035" t="s">
        <v>3</v>
      </c>
      <c r="D19" s="2035">
        <f t="shared" si="2"/>
        <v>140</v>
      </c>
      <c r="E19" s="2035" t="s">
        <v>3</v>
      </c>
      <c r="F19" s="2033">
        <f t="shared" si="3"/>
        <v>1050</v>
      </c>
      <c r="G19" s="2035" t="s">
        <v>3</v>
      </c>
      <c r="H19" s="2032">
        <v>2</v>
      </c>
      <c r="I19" s="2034" t="s">
        <v>40</v>
      </c>
      <c r="J19" s="149">
        <v>85</v>
      </c>
      <c r="K19" s="104">
        <v>140</v>
      </c>
      <c r="L19" s="104">
        <v>1050</v>
      </c>
      <c r="M19" s="150"/>
      <c r="N19" s="78">
        <v>237.9237</v>
      </c>
      <c r="O19" s="111">
        <f>(16002.1592)*'[1]Изменение цен'!$D$50</f>
        <v>16002.1592</v>
      </c>
      <c r="P19" s="254">
        <f>(6421.7354)*'[1]Изменение цен'!$D$85</f>
        <v>9827.10238221498</v>
      </c>
      <c r="Q19" s="258">
        <f t="shared" si="0"/>
        <v>25829.261582214982</v>
      </c>
    </row>
    <row r="20" spans="1:17" ht="16.5" thickBot="1">
      <c r="A20" s="2031" t="s">
        <v>7696</v>
      </c>
      <c r="B20" s="2032">
        <f t="shared" si="1"/>
        <v>85</v>
      </c>
      <c r="C20" s="2032" t="s">
        <v>3</v>
      </c>
      <c r="D20" s="2032">
        <f t="shared" si="2"/>
        <v>140</v>
      </c>
      <c r="E20" s="2032" t="s">
        <v>3</v>
      </c>
      <c r="F20" s="2033">
        <f t="shared" si="3"/>
        <v>1100</v>
      </c>
      <c r="G20" s="2032" t="s">
        <v>3</v>
      </c>
      <c r="H20" s="2032">
        <v>2</v>
      </c>
      <c r="I20" s="2034" t="s">
        <v>40</v>
      </c>
      <c r="J20" s="149">
        <v>85</v>
      </c>
      <c r="K20" s="104">
        <v>140</v>
      </c>
      <c r="L20" s="104">
        <v>1100</v>
      </c>
      <c r="M20" s="150"/>
      <c r="N20" s="78">
        <v>254.91825000000003</v>
      </c>
      <c r="O20" s="111">
        <f>(16479.513)*'[1]Изменение цен'!$D$50</f>
        <v>16479.512999999999</v>
      </c>
      <c r="P20" s="254">
        <f>(6629.3575)*'[1]Изменение цен'!$D$85</f>
        <v>10144.823917971575</v>
      </c>
      <c r="Q20" s="258">
        <f t="shared" si="0"/>
        <v>26624.336917971574</v>
      </c>
    </row>
    <row r="21" spans="1:17" ht="16.5" thickBot="1">
      <c r="A21" s="2031" t="s">
        <v>7696</v>
      </c>
      <c r="B21" s="2035">
        <f t="shared" si="1"/>
        <v>85</v>
      </c>
      <c r="C21" s="2035" t="s">
        <v>3</v>
      </c>
      <c r="D21" s="2035">
        <f t="shared" si="2"/>
        <v>140</v>
      </c>
      <c r="E21" s="2035" t="s">
        <v>3</v>
      </c>
      <c r="F21" s="2033">
        <f t="shared" si="3"/>
        <v>1150</v>
      </c>
      <c r="G21" s="2035" t="s">
        <v>3</v>
      </c>
      <c r="H21" s="2032">
        <v>2</v>
      </c>
      <c r="I21" s="2034" t="s">
        <v>40</v>
      </c>
      <c r="J21" s="149">
        <v>85</v>
      </c>
      <c r="K21" s="104">
        <v>140</v>
      </c>
      <c r="L21" s="104">
        <v>1150</v>
      </c>
      <c r="M21" s="150"/>
      <c r="N21" s="78">
        <v>271.9128</v>
      </c>
      <c r="O21" s="111">
        <f>(16956.8669)*'[1]Изменение цен'!$D$50</f>
        <v>16956.866900000001</v>
      </c>
      <c r="P21" s="254">
        <f>(6836.9796)*'[1]Изменение цен'!$D$85</f>
        <v>10462.545453728166</v>
      </c>
      <c r="Q21" s="258">
        <f t="shared" si="0"/>
        <v>27419.412353728167</v>
      </c>
    </row>
    <row r="22" spans="1:17" ht="16.5" thickBot="1">
      <c r="A22" s="2031" t="s">
        <v>7696</v>
      </c>
      <c r="B22" s="2035">
        <f t="shared" si="1"/>
        <v>85</v>
      </c>
      <c r="C22" s="2035" t="s">
        <v>3</v>
      </c>
      <c r="D22" s="2035">
        <f t="shared" si="2"/>
        <v>140</v>
      </c>
      <c r="E22" s="2035" t="s">
        <v>3</v>
      </c>
      <c r="F22" s="2033">
        <f t="shared" si="3"/>
        <v>1200</v>
      </c>
      <c r="G22" s="2035" t="s">
        <v>3</v>
      </c>
      <c r="H22" s="2032">
        <v>2</v>
      </c>
      <c r="I22" s="2034" t="s">
        <v>40</v>
      </c>
      <c r="J22" s="149">
        <v>85</v>
      </c>
      <c r="K22" s="104">
        <v>140</v>
      </c>
      <c r="L22" s="104">
        <v>1200</v>
      </c>
      <c r="M22" s="150"/>
      <c r="N22" s="78">
        <v>288.90735000000001</v>
      </c>
      <c r="O22" s="111">
        <f>(17488.1786)*'[1]Изменение цен'!$D$50</f>
        <v>17488.178599999999</v>
      </c>
      <c r="P22" s="254">
        <f>(7199.2211)*'[1]Изменение цен'!$D$85</f>
        <v>11016.879147948443</v>
      </c>
      <c r="Q22" s="258">
        <f t="shared" si="0"/>
        <v>28505.057747948442</v>
      </c>
    </row>
    <row r="23" spans="1:17" ht="16.5" thickBot="1">
      <c r="A23" s="2031" t="s">
        <v>7696</v>
      </c>
      <c r="B23" s="2035">
        <f t="shared" si="1"/>
        <v>85</v>
      </c>
      <c r="C23" s="2035" t="s">
        <v>3</v>
      </c>
      <c r="D23" s="2035">
        <f t="shared" si="2"/>
        <v>140</v>
      </c>
      <c r="E23" s="2035" t="s">
        <v>3</v>
      </c>
      <c r="F23" s="2033">
        <f t="shared" si="3"/>
        <v>1250</v>
      </c>
      <c r="G23" s="2035" t="s">
        <v>3</v>
      </c>
      <c r="H23" s="2032">
        <v>2</v>
      </c>
      <c r="I23" s="2034" t="s">
        <v>40</v>
      </c>
      <c r="J23" s="149">
        <v>85</v>
      </c>
      <c r="K23" s="104">
        <v>140</v>
      </c>
      <c r="L23" s="104">
        <v>1250</v>
      </c>
      <c r="M23" s="150"/>
      <c r="N23" s="78">
        <v>305.90190000000001</v>
      </c>
      <c r="O23" s="111">
        <f>(17965.5324)*'[1]Изменение цен'!$D$50</f>
        <v>17965.5324</v>
      </c>
      <c r="P23" s="254">
        <f>(7406.8433)*'[1]Изменение цен'!$D$85</f>
        <v>11334.600836733802</v>
      </c>
      <c r="Q23" s="258">
        <f t="shared" si="0"/>
        <v>29300.133236733804</v>
      </c>
    </row>
    <row r="24" spans="1:17" ht="16.5" thickBot="1">
      <c r="A24" s="2031" t="s">
        <v>7696</v>
      </c>
      <c r="B24" s="2035">
        <f t="shared" si="1"/>
        <v>85</v>
      </c>
      <c r="C24" s="2035" t="s">
        <v>3</v>
      </c>
      <c r="D24" s="2035">
        <f t="shared" si="2"/>
        <v>140</v>
      </c>
      <c r="E24" s="2035" t="s">
        <v>3</v>
      </c>
      <c r="F24" s="2033">
        <f t="shared" si="3"/>
        <v>1300</v>
      </c>
      <c r="G24" s="2035" t="s">
        <v>3</v>
      </c>
      <c r="H24" s="2032">
        <v>2</v>
      </c>
      <c r="I24" s="2034" t="s">
        <v>40</v>
      </c>
      <c r="J24" s="149">
        <v>85</v>
      </c>
      <c r="K24" s="104">
        <v>140</v>
      </c>
      <c r="L24" s="104">
        <v>1300</v>
      </c>
      <c r="M24" s="150"/>
      <c r="N24" s="78">
        <v>322.89645000000002</v>
      </c>
      <c r="O24" s="111">
        <f>(18442.8863)*'[1]Изменение цен'!$D$50</f>
        <v>18442.886299999998</v>
      </c>
      <c r="P24" s="254">
        <f>(7769.0848)*'[1]Изменение цен'!$D$85</f>
        <v>11888.934530954079</v>
      </c>
      <c r="Q24" s="258">
        <f t="shared" si="0"/>
        <v>30331.820830954079</v>
      </c>
    </row>
    <row r="25" spans="1:17" ht="16.5" thickBot="1">
      <c r="A25" s="2031" t="s">
        <v>7696</v>
      </c>
      <c r="B25" s="2035">
        <f t="shared" si="1"/>
        <v>85</v>
      </c>
      <c r="C25" s="2035" t="s">
        <v>3</v>
      </c>
      <c r="D25" s="2035">
        <f t="shared" si="2"/>
        <v>140</v>
      </c>
      <c r="E25" s="2035" t="s">
        <v>3</v>
      </c>
      <c r="F25" s="2033">
        <f t="shared" si="3"/>
        <v>1350</v>
      </c>
      <c r="G25" s="2035" t="s">
        <v>3</v>
      </c>
      <c r="H25" s="2032">
        <v>2</v>
      </c>
      <c r="I25" s="2034" t="s">
        <v>40</v>
      </c>
      <c r="J25" s="149">
        <v>85</v>
      </c>
      <c r="K25" s="104">
        <v>140</v>
      </c>
      <c r="L25" s="104">
        <v>1350</v>
      </c>
      <c r="M25" s="150"/>
      <c r="N25" s="78">
        <v>339.89100000000002</v>
      </c>
      <c r="O25" s="111">
        <f>(18920.2402)*'[1]Изменение цен'!$D$50</f>
        <v>18920.2402</v>
      </c>
      <c r="P25" s="254">
        <f>(7976.7069)*'[1]Изменение цен'!$D$85</f>
        <v>12206.656066710671</v>
      </c>
      <c r="Q25" s="258">
        <f t="shared" si="0"/>
        <v>31126.896266710672</v>
      </c>
    </row>
    <row r="26" spans="1:17" ht="16.5" thickBot="1">
      <c r="A26" s="2031" t="s">
        <v>7696</v>
      </c>
      <c r="B26" s="2035">
        <f t="shared" si="1"/>
        <v>85</v>
      </c>
      <c r="C26" s="2035" t="s">
        <v>3</v>
      </c>
      <c r="D26" s="2035">
        <f t="shared" si="2"/>
        <v>140</v>
      </c>
      <c r="E26" s="2035" t="s">
        <v>3</v>
      </c>
      <c r="F26" s="2033">
        <f t="shared" si="3"/>
        <v>1400</v>
      </c>
      <c r="G26" s="2035" t="s">
        <v>3</v>
      </c>
      <c r="H26" s="2032">
        <v>2</v>
      </c>
      <c r="I26" s="2034" t="s">
        <v>40</v>
      </c>
      <c r="J26" s="149">
        <v>85</v>
      </c>
      <c r="K26" s="104">
        <v>140</v>
      </c>
      <c r="L26" s="104">
        <v>1400</v>
      </c>
      <c r="M26" s="150"/>
      <c r="N26" s="78">
        <v>356.88555000000002</v>
      </c>
      <c r="O26" s="111">
        <f>(19397.594)*'[1]Изменение цен'!$D$50</f>
        <v>19397.594000000001</v>
      </c>
      <c r="P26" s="254">
        <f>(8338.9484)*'[1]Изменение цен'!$D$85</f>
        <v>12760.989760930946</v>
      </c>
      <c r="Q26" s="258">
        <f t="shared" si="0"/>
        <v>32158.583760930946</v>
      </c>
    </row>
    <row r="27" spans="1:17" ht="16.5" thickBot="1">
      <c r="A27" s="2031" t="s">
        <v>7696</v>
      </c>
      <c r="B27" s="2035">
        <f t="shared" si="1"/>
        <v>85</v>
      </c>
      <c r="C27" s="2035" t="s">
        <v>3</v>
      </c>
      <c r="D27" s="2035">
        <f t="shared" si="2"/>
        <v>140</v>
      </c>
      <c r="E27" s="2035" t="s">
        <v>3</v>
      </c>
      <c r="F27" s="2033">
        <f t="shared" si="3"/>
        <v>1450</v>
      </c>
      <c r="G27" s="2035" t="s">
        <v>3</v>
      </c>
      <c r="H27" s="2032">
        <v>2</v>
      </c>
      <c r="I27" s="2034" t="s">
        <v>40</v>
      </c>
      <c r="J27" s="149">
        <v>85</v>
      </c>
      <c r="K27" s="104">
        <v>140</v>
      </c>
      <c r="L27" s="104">
        <v>1450</v>
      </c>
      <c r="M27" s="150"/>
      <c r="N27" s="78">
        <v>373.88010000000003</v>
      </c>
      <c r="O27" s="111">
        <f>(19874.9479)*'[1]Изменение цен'!$D$50</f>
        <v>19874.947899999999</v>
      </c>
      <c r="P27" s="254">
        <f>(8546.5705)*'[1]Изменение цен'!$D$85</f>
        <v>13078.711296687541</v>
      </c>
      <c r="Q27" s="258">
        <f t="shared" si="0"/>
        <v>32953.659196687542</v>
      </c>
    </row>
    <row r="28" spans="1:17" ht="16.5" thickBot="1">
      <c r="A28" s="2031" t="s">
        <v>7696</v>
      </c>
      <c r="B28" s="2035">
        <f t="shared" si="1"/>
        <v>85</v>
      </c>
      <c r="C28" s="2035" t="s">
        <v>3</v>
      </c>
      <c r="D28" s="2035">
        <f t="shared" si="2"/>
        <v>140</v>
      </c>
      <c r="E28" s="2035" t="s">
        <v>3</v>
      </c>
      <c r="F28" s="2033">
        <f t="shared" si="3"/>
        <v>1500</v>
      </c>
      <c r="G28" s="2035" t="s">
        <v>3</v>
      </c>
      <c r="H28" s="2032">
        <v>2</v>
      </c>
      <c r="I28" s="2034" t="s">
        <v>40</v>
      </c>
      <c r="J28" s="149">
        <v>85</v>
      </c>
      <c r="K28" s="104">
        <v>140</v>
      </c>
      <c r="L28" s="104">
        <v>1500</v>
      </c>
      <c r="M28" s="150"/>
      <c r="N28" s="78">
        <v>390.87464999999997</v>
      </c>
      <c r="O28" s="111">
        <f>(20986.8247)*'[1]Изменение цен'!$D$50</f>
        <v>20986.824700000001</v>
      </c>
      <c r="P28" s="254">
        <f>(8908.8121)*'[1]Изменение цен'!$D$85</f>
        <v>13633.045143936582</v>
      </c>
      <c r="Q28" s="258">
        <f t="shared" si="0"/>
        <v>34619.869843936583</v>
      </c>
    </row>
    <row r="29" spans="1:17" ht="16.5" thickBot="1">
      <c r="A29" s="2031" t="s">
        <v>7696</v>
      </c>
      <c r="B29" s="2035">
        <f t="shared" si="1"/>
        <v>85</v>
      </c>
      <c r="C29" s="2035" t="s">
        <v>3</v>
      </c>
      <c r="D29" s="2035">
        <f t="shared" si="2"/>
        <v>140</v>
      </c>
      <c r="E29" s="2035" t="s">
        <v>3</v>
      </c>
      <c r="F29" s="2033">
        <f t="shared" si="3"/>
        <v>1550</v>
      </c>
      <c r="G29" s="2035" t="s">
        <v>3</v>
      </c>
      <c r="H29" s="2032">
        <v>2</v>
      </c>
      <c r="I29" s="2034" t="s">
        <v>40</v>
      </c>
      <c r="J29" s="149">
        <v>85</v>
      </c>
      <c r="K29" s="104">
        <v>140</v>
      </c>
      <c r="L29" s="104">
        <v>1550</v>
      </c>
      <c r="M29" s="150"/>
      <c r="N29" s="78">
        <v>407.86919999999998</v>
      </c>
      <c r="O29" s="111">
        <f>(21464.1786)*'[1]Изменение цен'!$D$50</f>
        <v>21464.178599999999</v>
      </c>
      <c r="P29" s="254">
        <f>(9116.4342)*'[1]Изменение цен'!$D$85</f>
        <v>13950.766679693175</v>
      </c>
      <c r="Q29" s="258">
        <f t="shared" si="0"/>
        <v>35414.945279693173</v>
      </c>
    </row>
    <row r="30" spans="1:17" ht="16.5" thickBot="1">
      <c r="A30" s="2031" t="s">
        <v>7696</v>
      </c>
      <c r="B30" s="2032">
        <f t="shared" si="1"/>
        <v>85</v>
      </c>
      <c r="C30" s="2032" t="s">
        <v>3</v>
      </c>
      <c r="D30" s="2032">
        <f t="shared" si="2"/>
        <v>140</v>
      </c>
      <c r="E30" s="2032" t="s">
        <v>3</v>
      </c>
      <c r="F30" s="2033">
        <f t="shared" si="3"/>
        <v>1600</v>
      </c>
      <c r="G30" s="2032" t="s">
        <v>3</v>
      </c>
      <c r="H30" s="2032">
        <v>2</v>
      </c>
      <c r="I30" s="2034" t="s">
        <v>40</v>
      </c>
      <c r="J30" s="149">
        <v>85</v>
      </c>
      <c r="K30" s="104">
        <v>140</v>
      </c>
      <c r="L30" s="104">
        <v>1600</v>
      </c>
      <c r="M30" s="150"/>
      <c r="N30" s="78">
        <v>424.86374999999998</v>
      </c>
      <c r="O30" s="111">
        <f>(21941.5324)*'[1]Изменение цен'!$D$50</f>
        <v>21941.5324</v>
      </c>
      <c r="P30" s="254">
        <f>(9324.0563)*'[1]Изменение цен'!$D$85</f>
        <v>14268.488215449768</v>
      </c>
      <c r="Q30" s="258">
        <f t="shared" si="0"/>
        <v>36210.020615449772</v>
      </c>
    </row>
    <row r="31" spans="1:17" ht="16.5" thickBot="1">
      <c r="A31" s="2031" t="s">
        <v>7696</v>
      </c>
      <c r="B31" s="2035">
        <f t="shared" si="1"/>
        <v>85</v>
      </c>
      <c r="C31" s="2035" t="s">
        <v>3</v>
      </c>
      <c r="D31" s="2035">
        <f t="shared" si="2"/>
        <v>140</v>
      </c>
      <c r="E31" s="2035" t="s">
        <v>3</v>
      </c>
      <c r="F31" s="2033">
        <f t="shared" si="3"/>
        <v>1650</v>
      </c>
      <c r="G31" s="2035" t="s">
        <v>3</v>
      </c>
      <c r="H31" s="2032">
        <v>2</v>
      </c>
      <c r="I31" s="2034" t="s">
        <v>40</v>
      </c>
      <c r="J31" s="149">
        <v>85</v>
      </c>
      <c r="K31" s="104">
        <v>140</v>
      </c>
      <c r="L31" s="104">
        <v>1650</v>
      </c>
      <c r="M31" s="150"/>
      <c r="N31" s="78">
        <v>441.85829999999999</v>
      </c>
      <c r="O31" s="111">
        <f>(22418.8863)*'[1]Изменение цен'!$D$50</f>
        <v>22418.886299999998</v>
      </c>
      <c r="P31" s="254">
        <f>(9686.2978)*'[1]Изменение цен'!$D$85</f>
        <v>14822.821909670045</v>
      </c>
      <c r="Q31" s="258">
        <f t="shared" si="0"/>
        <v>37241.708209670047</v>
      </c>
    </row>
    <row r="32" spans="1:17" ht="16.5" thickBot="1">
      <c r="A32" s="2031" t="s">
        <v>7696</v>
      </c>
      <c r="B32" s="2035">
        <f t="shared" si="1"/>
        <v>85</v>
      </c>
      <c r="C32" s="2035" t="s">
        <v>3</v>
      </c>
      <c r="D32" s="2035">
        <f t="shared" si="2"/>
        <v>140</v>
      </c>
      <c r="E32" s="2035" t="s">
        <v>3</v>
      </c>
      <c r="F32" s="2033">
        <f t="shared" si="3"/>
        <v>1700</v>
      </c>
      <c r="G32" s="2035" t="s">
        <v>3</v>
      </c>
      <c r="H32" s="2032">
        <v>2</v>
      </c>
      <c r="I32" s="2034" t="s">
        <v>40</v>
      </c>
      <c r="J32" s="149">
        <v>85</v>
      </c>
      <c r="K32" s="104">
        <v>140</v>
      </c>
      <c r="L32" s="104">
        <v>1700</v>
      </c>
      <c r="M32" s="150"/>
      <c r="N32" s="78">
        <v>458.85285000000005</v>
      </c>
      <c r="O32" s="111">
        <f>(22896.2402)*'[1]Изменение цен'!$D$50</f>
        <v>22896.2402</v>
      </c>
      <c r="P32" s="254">
        <f>(9893.9199)*'[1]Изменение цен'!$D$85</f>
        <v>15140.54344542664</v>
      </c>
      <c r="Q32" s="258">
        <f t="shared" si="0"/>
        <v>38036.783645426636</v>
      </c>
    </row>
    <row r="33" spans="1:17" ht="16.5" thickBot="1">
      <c r="A33" s="2031" t="s">
        <v>7696</v>
      </c>
      <c r="B33" s="2035">
        <f t="shared" si="1"/>
        <v>85</v>
      </c>
      <c r="C33" s="2035" t="s">
        <v>3</v>
      </c>
      <c r="D33" s="2035">
        <f t="shared" si="2"/>
        <v>140</v>
      </c>
      <c r="E33" s="2035" t="s">
        <v>3</v>
      </c>
      <c r="F33" s="2033">
        <f t="shared" si="3"/>
        <v>1750</v>
      </c>
      <c r="G33" s="2035" t="s">
        <v>3</v>
      </c>
      <c r="H33" s="2032">
        <v>2</v>
      </c>
      <c r="I33" s="2034" t="s">
        <v>40</v>
      </c>
      <c r="J33" s="149">
        <v>85</v>
      </c>
      <c r="K33" s="104">
        <v>140</v>
      </c>
      <c r="L33" s="104">
        <v>1750</v>
      </c>
      <c r="M33" s="150"/>
      <c r="N33" s="78">
        <v>475.84739999999999</v>
      </c>
      <c r="O33" s="111">
        <f>(23373.594)*'[1]Изменение цен'!$D$50</f>
        <v>23373.594000000001</v>
      </c>
      <c r="P33" s="254">
        <f>(10256.1615)*'[1]Изменение цен'!$D$85</f>
        <v>15694.877292675681</v>
      </c>
      <c r="Q33" s="258">
        <f t="shared" si="0"/>
        <v>39068.471292675684</v>
      </c>
    </row>
    <row r="34" spans="1:17" ht="16.5" thickBot="1">
      <c r="A34" s="2031" t="s">
        <v>7696</v>
      </c>
      <c r="B34" s="2035">
        <f t="shared" si="1"/>
        <v>85</v>
      </c>
      <c r="C34" s="2035" t="s">
        <v>3</v>
      </c>
      <c r="D34" s="2035">
        <f t="shared" si="2"/>
        <v>140</v>
      </c>
      <c r="E34" s="2035" t="s">
        <v>3</v>
      </c>
      <c r="F34" s="2033">
        <f t="shared" si="3"/>
        <v>1800</v>
      </c>
      <c r="G34" s="2035" t="s">
        <v>3</v>
      </c>
      <c r="H34" s="2032">
        <v>2</v>
      </c>
      <c r="I34" s="2034" t="s">
        <v>40</v>
      </c>
      <c r="J34" s="149">
        <v>85</v>
      </c>
      <c r="K34" s="104">
        <v>140</v>
      </c>
      <c r="L34" s="104">
        <v>1800</v>
      </c>
      <c r="M34" s="150"/>
      <c r="N34" s="78">
        <v>492.84195000000005</v>
      </c>
      <c r="O34" s="111">
        <f>(23850.9479)*'[1]Изменение цен'!$D$50</f>
        <v>23850.947899999999</v>
      </c>
      <c r="P34" s="254">
        <f>(10463.7836)*'[1]Изменение цен'!$D$85</f>
        <v>16012.598828432274</v>
      </c>
      <c r="Q34" s="258">
        <f t="shared" si="0"/>
        <v>39863.546728432273</v>
      </c>
    </row>
    <row r="35" spans="1:17" ht="16.5" thickBot="1">
      <c r="A35" s="2031" t="s">
        <v>7696</v>
      </c>
      <c r="B35" s="2035">
        <f t="shared" si="1"/>
        <v>85</v>
      </c>
      <c r="C35" s="2035" t="s">
        <v>3</v>
      </c>
      <c r="D35" s="2035">
        <f t="shared" si="2"/>
        <v>140</v>
      </c>
      <c r="E35" s="2035" t="s">
        <v>3</v>
      </c>
      <c r="F35" s="2033">
        <f t="shared" si="3"/>
        <v>1850</v>
      </c>
      <c r="G35" s="2035" t="s">
        <v>3</v>
      </c>
      <c r="H35" s="2032">
        <v>2</v>
      </c>
      <c r="I35" s="2034" t="s">
        <v>40</v>
      </c>
      <c r="J35" s="149">
        <v>85</v>
      </c>
      <c r="K35" s="104">
        <v>140</v>
      </c>
      <c r="L35" s="104">
        <v>1850</v>
      </c>
      <c r="M35" s="150"/>
      <c r="N35" s="78">
        <v>509.83650000000006</v>
      </c>
      <c r="O35" s="111">
        <f>(24328.3018)*'[1]Изменение цен'!$D$50</f>
        <v>24328.301800000001</v>
      </c>
      <c r="P35" s="254">
        <f>(10826.0251)*'[1]Изменение цен'!$D$85</f>
        <v>16566.932522652551</v>
      </c>
      <c r="Q35" s="258">
        <f t="shared" si="0"/>
        <v>40895.234322652555</v>
      </c>
    </row>
    <row r="36" spans="1:17" ht="16.5" thickBot="1">
      <c r="A36" s="2031" t="s">
        <v>7696</v>
      </c>
      <c r="B36" s="2035">
        <f t="shared" si="1"/>
        <v>85</v>
      </c>
      <c r="C36" s="2035" t="s">
        <v>3</v>
      </c>
      <c r="D36" s="2035">
        <f t="shared" si="2"/>
        <v>140</v>
      </c>
      <c r="E36" s="2035" t="s">
        <v>3</v>
      </c>
      <c r="F36" s="2033">
        <f t="shared" si="3"/>
        <v>1900</v>
      </c>
      <c r="G36" s="2035" t="s">
        <v>3</v>
      </c>
      <c r="H36" s="2032">
        <v>2</v>
      </c>
      <c r="I36" s="2034" t="s">
        <v>40</v>
      </c>
      <c r="J36" s="149">
        <v>85</v>
      </c>
      <c r="K36" s="104">
        <v>140</v>
      </c>
      <c r="L36" s="104">
        <v>1900</v>
      </c>
      <c r="M36" s="150"/>
      <c r="N36" s="78">
        <v>526.83105</v>
      </c>
      <c r="O36" s="111">
        <f>(24805.6556)*'[1]Изменение цен'!$D$50</f>
        <v>24805.655599999998</v>
      </c>
      <c r="P36" s="254">
        <f>(11033.6472)*'[1]Изменение цен'!$D$85</f>
        <v>16884.654058409142</v>
      </c>
      <c r="Q36" s="258">
        <f t="shared" si="0"/>
        <v>41690.30965840914</v>
      </c>
    </row>
    <row r="37" spans="1:17" ht="16.5" thickBot="1">
      <c r="A37" s="2031" t="s">
        <v>7696</v>
      </c>
      <c r="B37" s="2035">
        <f t="shared" si="1"/>
        <v>85</v>
      </c>
      <c r="C37" s="2035" t="s">
        <v>3</v>
      </c>
      <c r="D37" s="2035">
        <f t="shared" si="2"/>
        <v>140</v>
      </c>
      <c r="E37" s="2035" t="s">
        <v>3</v>
      </c>
      <c r="F37" s="2033">
        <f t="shared" si="3"/>
        <v>1950</v>
      </c>
      <c r="G37" s="2035" t="s">
        <v>3</v>
      </c>
      <c r="H37" s="2032">
        <v>2</v>
      </c>
      <c r="I37" s="2034" t="s">
        <v>40</v>
      </c>
      <c r="J37" s="149">
        <v>85</v>
      </c>
      <c r="K37" s="104">
        <v>140</v>
      </c>
      <c r="L37" s="104">
        <v>1950</v>
      </c>
      <c r="M37" s="150"/>
      <c r="N37" s="78">
        <v>543.82560000000001</v>
      </c>
      <c r="O37" s="111">
        <f>(25336.9673)*'[1]Изменение цен'!$D$50</f>
        <v>25336.9673</v>
      </c>
      <c r="P37" s="254">
        <f>(11241.2693)*'[1]Изменение цен'!$D$85</f>
        <v>17202.375594165736</v>
      </c>
      <c r="Q37" s="258">
        <f t="shared" si="0"/>
        <v>42539.342894165733</v>
      </c>
    </row>
    <row r="38" spans="1:17" ht="16.5" thickBot="1">
      <c r="A38" s="2031" t="s">
        <v>7696</v>
      </c>
      <c r="B38" s="2035">
        <f t="shared" si="1"/>
        <v>85</v>
      </c>
      <c r="C38" s="2035" t="s">
        <v>3</v>
      </c>
      <c r="D38" s="2035">
        <f t="shared" si="2"/>
        <v>140</v>
      </c>
      <c r="E38" s="2035" t="s">
        <v>3</v>
      </c>
      <c r="F38" s="2033">
        <f t="shared" si="3"/>
        <v>2000</v>
      </c>
      <c r="G38" s="2035" t="s">
        <v>3</v>
      </c>
      <c r="H38" s="2032">
        <v>2</v>
      </c>
      <c r="I38" s="2034" t="s">
        <v>40</v>
      </c>
      <c r="J38" s="149">
        <v>85</v>
      </c>
      <c r="K38" s="104">
        <v>140</v>
      </c>
      <c r="L38" s="104">
        <v>2000</v>
      </c>
      <c r="M38" s="150"/>
      <c r="N38" s="78">
        <v>560.82015000000001</v>
      </c>
      <c r="O38" s="111">
        <f>(26085.5027)*'[1]Изменение цен'!$D$50</f>
        <v>26085.502700000001</v>
      </c>
      <c r="P38" s="254">
        <f>(11603.5109)*'[1]Изменение цен'!$D$85</f>
        <v>17756.709441414776</v>
      </c>
      <c r="Q38" s="258">
        <f t="shared" si="0"/>
        <v>43842.212141414777</v>
      </c>
    </row>
    <row r="39" spans="1:17" ht="16.5" thickBot="1">
      <c r="A39" s="2031" t="s">
        <v>7696</v>
      </c>
      <c r="B39" s="2035">
        <f t="shared" si="1"/>
        <v>85</v>
      </c>
      <c r="C39" s="2035" t="s">
        <v>3</v>
      </c>
      <c r="D39" s="2035">
        <f t="shared" si="2"/>
        <v>140</v>
      </c>
      <c r="E39" s="2035" t="s">
        <v>3</v>
      </c>
      <c r="F39" s="2033">
        <f t="shared" si="3"/>
        <v>2050</v>
      </c>
      <c r="G39" s="2035" t="s">
        <v>3</v>
      </c>
      <c r="H39" s="2032">
        <v>2</v>
      </c>
      <c r="I39" s="2034" t="s">
        <v>40</v>
      </c>
      <c r="J39" s="149">
        <v>85</v>
      </c>
      <c r="K39" s="104">
        <v>140</v>
      </c>
      <c r="L39" s="104">
        <v>2050</v>
      </c>
      <c r="M39" s="150"/>
      <c r="N39" s="78">
        <v>577.81470000000002</v>
      </c>
      <c r="O39" s="111">
        <f>(26562.8564)*'[1]Изменение цен'!$D$50</f>
        <v>26562.856400000001</v>
      </c>
      <c r="P39" s="254">
        <f>(11811.133)*'[1]Изменение цен'!$D$85</f>
        <v>18074.430977171371</v>
      </c>
      <c r="Q39" s="258">
        <f t="shared" si="0"/>
        <v>44637.287377171371</v>
      </c>
    </row>
    <row r="40" spans="1:17" ht="16.5" thickBot="1">
      <c r="A40" s="2031" t="s">
        <v>7696</v>
      </c>
      <c r="B40" s="2032">
        <f t="shared" si="1"/>
        <v>85</v>
      </c>
      <c r="C40" s="2032" t="s">
        <v>3</v>
      </c>
      <c r="D40" s="2032">
        <f t="shared" si="2"/>
        <v>140</v>
      </c>
      <c r="E40" s="2032" t="s">
        <v>3</v>
      </c>
      <c r="F40" s="2033">
        <f t="shared" si="3"/>
        <v>2100</v>
      </c>
      <c r="G40" s="2032" t="s">
        <v>3</v>
      </c>
      <c r="H40" s="2032">
        <v>2</v>
      </c>
      <c r="I40" s="2034" t="s">
        <v>40</v>
      </c>
      <c r="J40" s="149">
        <v>85</v>
      </c>
      <c r="K40" s="104">
        <v>140</v>
      </c>
      <c r="L40" s="104">
        <v>2100</v>
      </c>
      <c r="M40" s="150"/>
      <c r="N40" s="78">
        <v>594.80925000000002</v>
      </c>
      <c r="O40" s="111">
        <f>(27040.2103)*'[1]Изменение цен'!$D$50</f>
        <v>27040.210299999999</v>
      </c>
      <c r="P40" s="254">
        <f>(12173.3745)*'[1]Изменение цен'!$D$85</f>
        <v>18628.764671391647</v>
      </c>
      <c r="Q40" s="258">
        <f t="shared" si="0"/>
        <v>45668.974971391646</v>
      </c>
    </row>
    <row r="41" spans="1:17" ht="16.5" thickBot="1">
      <c r="A41" s="2031" t="s">
        <v>7696</v>
      </c>
      <c r="B41" s="2035">
        <f t="shared" si="1"/>
        <v>85</v>
      </c>
      <c r="C41" s="2035" t="s">
        <v>3</v>
      </c>
      <c r="D41" s="2035">
        <f t="shared" si="2"/>
        <v>140</v>
      </c>
      <c r="E41" s="2035" t="s">
        <v>3</v>
      </c>
      <c r="F41" s="2033">
        <f t="shared" si="3"/>
        <v>2150</v>
      </c>
      <c r="G41" s="2035" t="s">
        <v>3</v>
      </c>
      <c r="H41" s="2032">
        <v>2</v>
      </c>
      <c r="I41" s="2034" t="s">
        <v>40</v>
      </c>
      <c r="J41" s="149">
        <v>85</v>
      </c>
      <c r="K41" s="104">
        <v>140</v>
      </c>
      <c r="L41" s="104">
        <v>2150</v>
      </c>
      <c r="M41" s="150"/>
      <c r="N41" s="78">
        <v>611.80380000000002</v>
      </c>
      <c r="O41" s="111">
        <f>(27517.5642)*'[1]Изменение цен'!$D$50</f>
        <v>27517.564200000001</v>
      </c>
      <c r="P41" s="254">
        <f>(12380.9966)*'[1]Изменение цен'!$D$85</f>
        <v>18946.486207148242</v>
      </c>
      <c r="Q41" s="258">
        <f t="shared" si="0"/>
        <v>46464.050407148243</v>
      </c>
    </row>
    <row r="42" spans="1:17" ht="16.5" thickBot="1">
      <c r="A42" s="2031" t="s">
        <v>7696</v>
      </c>
      <c r="B42" s="2035">
        <f t="shared" si="1"/>
        <v>85</v>
      </c>
      <c r="C42" s="2035" t="s">
        <v>3</v>
      </c>
      <c r="D42" s="2035">
        <f t="shared" si="2"/>
        <v>140</v>
      </c>
      <c r="E42" s="2035" t="s">
        <v>3</v>
      </c>
      <c r="F42" s="2033">
        <f t="shared" si="3"/>
        <v>2200</v>
      </c>
      <c r="G42" s="2035" t="s">
        <v>3</v>
      </c>
      <c r="H42" s="2032">
        <v>2</v>
      </c>
      <c r="I42" s="2034" t="s">
        <v>40</v>
      </c>
      <c r="J42" s="149">
        <v>85</v>
      </c>
      <c r="K42" s="104">
        <v>140</v>
      </c>
      <c r="L42" s="104">
        <v>2200</v>
      </c>
      <c r="M42" s="150"/>
      <c r="N42" s="78">
        <v>628.79835000000014</v>
      </c>
      <c r="O42" s="111">
        <f>(27994.918)*'[1]Изменение цен'!$D$50</f>
        <v>27994.918000000001</v>
      </c>
      <c r="P42" s="254">
        <f>(12743.2381)*'[1]Изменение цен'!$D$85</f>
        <v>19500.819901368519</v>
      </c>
      <c r="Q42" s="258">
        <f t="shared" ref="Q42:Q58" si="4">O42+P42</f>
        <v>47495.73790136852</v>
      </c>
    </row>
    <row r="43" spans="1:17" ht="16.5" thickBot="1">
      <c r="A43" s="2031" t="s">
        <v>7696</v>
      </c>
      <c r="B43" s="2035">
        <f t="shared" si="1"/>
        <v>85</v>
      </c>
      <c r="C43" s="2035" t="s">
        <v>3</v>
      </c>
      <c r="D43" s="2035">
        <f t="shared" si="2"/>
        <v>140</v>
      </c>
      <c r="E43" s="2035" t="s">
        <v>3</v>
      </c>
      <c r="F43" s="2033">
        <f t="shared" si="3"/>
        <v>2250</v>
      </c>
      <c r="G43" s="2035" t="s">
        <v>3</v>
      </c>
      <c r="H43" s="2032">
        <v>2</v>
      </c>
      <c r="I43" s="2034" t="s">
        <v>40</v>
      </c>
      <c r="J43" s="149">
        <v>85</v>
      </c>
      <c r="K43" s="104">
        <v>140</v>
      </c>
      <c r="L43" s="104">
        <v>2250</v>
      </c>
      <c r="M43" s="150"/>
      <c r="N43" s="78">
        <v>645.79290000000003</v>
      </c>
      <c r="O43" s="111">
        <f>(28472.2719)*'[1]Изменение цен'!$D$50</f>
        <v>28472.2719</v>
      </c>
      <c r="P43" s="254">
        <f>(12950.8603)*'[1]Изменение цен'!$D$85</f>
        <v>19818.541590153876</v>
      </c>
      <c r="Q43" s="258">
        <f t="shared" si="4"/>
        <v>48290.813490153872</v>
      </c>
    </row>
    <row r="44" spans="1:17" ht="16.5" thickBot="1">
      <c r="A44" s="2031" t="s">
        <v>7696</v>
      </c>
      <c r="B44" s="2035">
        <f t="shared" si="1"/>
        <v>85</v>
      </c>
      <c r="C44" s="2035" t="s">
        <v>3</v>
      </c>
      <c r="D44" s="2035">
        <f t="shared" si="2"/>
        <v>140</v>
      </c>
      <c r="E44" s="2035" t="s">
        <v>3</v>
      </c>
      <c r="F44" s="2033">
        <f t="shared" si="3"/>
        <v>2300</v>
      </c>
      <c r="G44" s="2035" t="s">
        <v>3</v>
      </c>
      <c r="H44" s="2032">
        <v>2</v>
      </c>
      <c r="I44" s="2034" t="s">
        <v>40</v>
      </c>
      <c r="J44" s="149">
        <v>85</v>
      </c>
      <c r="K44" s="104">
        <v>140</v>
      </c>
      <c r="L44" s="104">
        <v>2300</v>
      </c>
      <c r="M44" s="150"/>
      <c r="N44" s="78">
        <v>662.78745000000004</v>
      </c>
      <c r="O44" s="111">
        <f>(28949.6258)*'[1]Изменение цен'!$D$50</f>
        <v>28949.625800000002</v>
      </c>
      <c r="P44" s="254">
        <f>(13158.4824)*'[1]Изменение цен'!$D$85</f>
        <v>20136.263125910467</v>
      </c>
      <c r="Q44" s="258">
        <f t="shared" si="4"/>
        <v>49085.888925910469</v>
      </c>
    </row>
    <row r="45" spans="1:17" ht="16.5" thickBot="1">
      <c r="A45" s="2031" t="s">
        <v>7696</v>
      </c>
      <c r="B45" s="2035">
        <f t="shared" si="1"/>
        <v>85</v>
      </c>
      <c r="C45" s="2035" t="s">
        <v>3</v>
      </c>
      <c r="D45" s="2035">
        <f t="shared" si="2"/>
        <v>140</v>
      </c>
      <c r="E45" s="2035" t="s">
        <v>3</v>
      </c>
      <c r="F45" s="2033">
        <f t="shared" si="3"/>
        <v>2350</v>
      </c>
      <c r="G45" s="2035" t="s">
        <v>3</v>
      </c>
      <c r="H45" s="2032">
        <v>2</v>
      </c>
      <c r="I45" s="2034" t="s">
        <v>40</v>
      </c>
      <c r="J45" s="149">
        <v>85</v>
      </c>
      <c r="K45" s="104">
        <v>140</v>
      </c>
      <c r="L45" s="104">
        <v>2350</v>
      </c>
      <c r="M45" s="150"/>
      <c r="N45" s="78">
        <v>679.78200000000004</v>
      </c>
      <c r="O45" s="111">
        <f>(29426.9796)*'[1]Изменение цен'!$D$50</f>
        <v>29426.979599999999</v>
      </c>
      <c r="P45" s="254">
        <f>(13520.7239)*'[1]Изменение цен'!$D$85</f>
        <v>20690.596820130744</v>
      </c>
      <c r="Q45" s="258">
        <f t="shared" si="4"/>
        <v>50117.576420130747</v>
      </c>
    </row>
    <row r="46" spans="1:17" ht="16.5" thickBot="1">
      <c r="A46" s="2031" t="s">
        <v>7696</v>
      </c>
      <c r="B46" s="2035">
        <f t="shared" si="1"/>
        <v>85</v>
      </c>
      <c r="C46" s="2035" t="s">
        <v>3</v>
      </c>
      <c r="D46" s="2035">
        <f t="shared" si="2"/>
        <v>140</v>
      </c>
      <c r="E46" s="2035" t="s">
        <v>3</v>
      </c>
      <c r="F46" s="2033">
        <f t="shared" si="3"/>
        <v>2400</v>
      </c>
      <c r="G46" s="2035" t="s">
        <v>3</v>
      </c>
      <c r="H46" s="2032">
        <v>2</v>
      </c>
      <c r="I46" s="2034" t="s">
        <v>40</v>
      </c>
      <c r="J46" s="149">
        <v>85</v>
      </c>
      <c r="K46" s="104">
        <v>140</v>
      </c>
      <c r="L46" s="104">
        <v>2400</v>
      </c>
      <c r="M46" s="150"/>
      <c r="N46" s="78">
        <v>696.77654999999993</v>
      </c>
      <c r="O46" s="111">
        <f>(29904.3335)*'[1]Изменение цен'!$D$50</f>
        <v>29904.333500000001</v>
      </c>
      <c r="P46" s="254">
        <f>(13728.346)*'[1]Изменение цен'!$D$85</f>
        <v>21008.318355887335</v>
      </c>
      <c r="Q46" s="258">
        <f t="shared" si="4"/>
        <v>50912.651855887336</v>
      </c>
    </row>
    <row r="47" spans="1:17" ht="16.5" thickBot="1">
      <c r="A47" s="2031" t="s">
        <v>7696</v>
      </c>
      <c r="B47" s="2035">
        <f t="shared" si="1"/>
        <v>85</v>
      </c>
      <c r="C47" s="2035" t="s">
        <v>3</v>
      </c>
      <c r="D47" s="2035">
        <f t="shared" si="2"/>
        <v>140</v>
      </c>
      <c r="E47" s="2035" t="s">
        <v>3</v>
      </c>
      <c r="F47" s="2033">
        <f t="shared" si="3"/>
        <v>2450</v>
      </c>
      <c r="G47" s="2035" t="s">
        <v>3</v>
      </c>
      <c r="H47" s="2032">
        <v>2</v>
      </c>
      <c r="I47" s="2034" t="s">
        <v>40</v>
      </c>
      <c r="J47" s="149">
        <v>85</v>
      </c>
      <c r="K47" s="104">
        <v>140</v>
      </c>
      <c r="L47" s="104">
        <v>2450</v>
      </c>
      <c r="M47" s="150"/>
      <c r="N47" s="78">
        <v>713.77110000000005</v>
      </c>
      <c r="O47" s="111">
        <f>(31016.2105)*'[1]Изменение цен'!$D$50</f>
        <v>31016.210500000001</v>
      </c>
      <c r="P47" s="254">
        <f>(14090.5875)*'[1]Изменение цен'!$D$85</f>
        <v>21562.652050107612</v>
      </c>
      <c r="Q47" s="258">
        <f t="shared" si="4"/>
        <v>52578.862550107617</v>
      </c>
    </row>
    <row r="48" spans="1:17" ht="16.5" thickBot="1">
      <c r="A48" s="2031" t="s">
        <v>7696</v>
      </c>
      <c r="B48" s="2035">
        <f t="shared" si="1"/>
        <v>85</v>
      </c>
      <c r="C48" s="2035" t="s">
        <v>3</v>
      </c>
      <c r="D48" s="2035">
        <f t="shared" si="2"/>
        <v>140</v>
      </c>
      <c r="E48" s="2035" t="s">
        <v>3</v>
      </c>
      <c r="F48" s="2033">
        <f t="shared" si="3"/>
        <v>2500</v>
      </c>
      <c r="G48" s="2035" t="s">
        <v>3</v>
      </c>
      <c r="H48" s="2032">
        <v>2</v>
      </c>
      <c r="I48" s="2034" t="s">
        <v>40</v>
      </c>
      <c r="J48" s="149">
        <v>85</v>
      </c>
      <c r="K48" s="104">
        <v>140</v>
      </c>
      <c r="L48" s="104">
        <v>2500</v>
      </c>
      <c r="M48" s="150"/>
      <c r="N48" s="78">
        <v>730.76564999999994</v>
      </c>
      <c r="O48" s="111">
        <f>(31493.5643)*'[1]Изменение цен'!$D$50</f>
        <v>31493.564299999998</v>
      </c>
      <c r="P48" s="254">
        <f>(14298.2096)*'[1]Изменение цен'!$D$85</f>
        <v>21880.373585864207</v>
      </c>
      <c r="Q48" s="258">
        <f t="shared" si="4"/>
        <v>53373.937885864201</v>
      </c>
    </row>
    <row r="49" spans="1:17" ht="16.5" thickBot="1">
      <c r="A49" s="2031" t="s">
        <v>7696</v>
      </c>
      <c r="B49" s="2035">
        <f t="shared" si="1"/>
        <v>85</v>
      </c>
      <c r="C49" s="2035" t="s">
        <v>3</v>
      </c>
      <c r="D49" s="2035">
        <f t="shared" si="2"/>
        <v>140</v>
      </c>
      <c r="E49" s="2035" t="s">
        <v>3</v>
      </c>
      <c r="F49" s="2033">
        <f t="shared" si="3"/>
        <v>2550</v>
      </c>
      <c r="G49" s="2035" t="s">
        <v>3</v>
      </c>
      <c r="H49" s="2032">
        <v>2</v>
      </c>
      <c r="I49" s="2034" t="s">
        <v>40</v>
      </c>
      <c r="J49" s="149">
        <v>85</v>
      </c>
      <c r="K49" s="104">
        <v>140</v>
      </c>
      <c r="L49" s="104">
        <v>2550</v>
      </c>
      <c r="M49" s="150"/>
      <c r="N49" s="78">
        <v>747.76020000000005</v>
      </c>
      <c r="O49" s="111">
        <f>(31970.9182)*'[1]Изменение цен'!$D$50</f>
        <v>31970.9182</v>
      </c>
      <c r="P49" s="254">
        <f>(14660.4512)*'[1]Изменение цен'!$D$85</f>
        <v>22434.707433113246</v>
      </c>
      <c r="Q49" s="258">
        <f t="shared" si="4"/>
        <v>54405.625633113246</v>
      </c>
    </row>
    <row r="50" spans="1:17" ht="16.5" thickBot="1">
      <c r="A50" s="2031" t="s">
        <v>7696</v>
      </c>
      <c r="B50" s="2032">
        <f t="shared" si="1"/>
        <v>85</v>
      </c>
      <c r="C50" s="2032" t="s">
        <v>3</v>
      </c>
      <c r="D50" s="2032">
        <f t="shared" si="2"/>
        <v>140</v>
      </c>
      <c r="E50" s="2032" t="s">
        <v>3</v>
      </c>
      <c r="F50" s="2033">
        <f t="shared" si="3"/>
        <v>2600</v>
      </c>
      <c r="G50" s="2032" t="s">
        <v>3</v>
      </c>
      <c r="H50" s="2032">
        <v>2</v>
      </c>
      <c r="I50" s="2034" t="s">
        <v>40</v>
      </c>
      <c r="J50" s="149">
        <v>85</v>
      </c>
      <c r="K50" s="104">
        <v>140</v>
      </c>
      <c r="L50" s="104">
        <v>2600</v>
      </c>
      <c r="M50" s="150"/>
      <c r="N50" s="78">
        <v>764.75475000000006</v>
      </c>
      <c r="O50" s="111">
        <f>(32448.2721)*'[1]Изменение цен'!$D$50</f>
        <v>32448.272099999998</v>
      </c>
      <c r="P50" s="254">
        <f>(14868.0733)*'[1]Изменение цен'!$D$85</f>
        <v>22752.428968869841</v>
      </c>
      <c r="Q50" s="258">
        <f t="shared" si="4"/>
        <v>55200.701068869836</v>
      </c>
    </row>
    <row r="51" spans="1:17" ht="16.5" thickBot="1">
      <c r="A51" s="2031" t="s">
        <v>7696</v>
      </c>
      <c r="B51" s="2035">
        <f t="shared" si="1"/>
        <v>85</v>
      </c>
      <c r="C51" s="2035" t="s">
        <v>3</v>
      </c>
      <c r="D51" s="2035">
        <f t="shared" si="2"/>
        <v>140</v>
      </c>
      <c r="E51" s="2035" t="s">
        <v>3</v>
      </c>
      <c r="F51" s="2033">
        <f t="shared" si="3"/>
        <v>2650</v>
      </c>
      <c r="G51" s="2035" t="s">
        <v>3</v>
      </c>
      <c r="H51" s="2032">
        <v>2</v>
      </c>
      <c r="I51" s="2034" t="s">
        <v>40</v>
      </c>
      <c r="J51" s="149">
        <v>85</v>
      </c>
      <c r="K51" s="104">
        <v>140</v>
      </c>
      <c r="L51" s="104">
        <v>2650</v>
      </c>
      <c r="M51" s="150"/>
      <c r="N51" s="78">
        <v>781.74929999999995</v>
      </c>
      <c r="O51" s="111">
        <f>(32925.6259)*'[1]Изменение цен'!$D$50</f>
        <v>32925.625899999999</v>
      </c>
      <c r="P51" s="254">
        <f>(15230.3148)*'[1]Изменение цен'!$D$85</f>
        <v>23306.762663090118</v>
      </c>
      <c r="Q51" s="258">
        <f t="shared" si="4"/>
        <v>56232.38856309012</v>
      </c>
    </row>
    <row r="52" spans="1:17" ht="16.5" thickBot="1">
      <c r="A52" s="2031" t="s">
        <v>7696</v>
      </c>
      <c r="B52" s="2035">
        <f t="shared" si="1"/>
        <v>85</v>
      </c>
      <c r="C52" s="2035" t="s">
        <v>3</v>
      </c>
      <c r="D52" s="2035">
        <f t="shared" si="2"/>
        <v>140</v>
      </c>
      <c r="E52" s="2035" t="s">
        <v>3</v>
      </c>
      <c r="F52" s="2033">
        <f t="shared" si="3"/>
        <v>2700</v>
      </c>
      <c r="G52" s="2035" t="s">
        <v>3</v>
      </c>
      <c r="H52" s="2032">
        <v>2</v>
      </c>
      <c r="I52" s="2034" t="s">
        <v>40</v>
      </c>
      <c r="J52" s="149">
        <v>85</v>
      </c>
      <c r="K52" s="104">
        <v>140</v>
      </c>
      <c r="L52" s="104">
        <v>2700</v>
      </c>
      <c r="M52" s="150"/>
      <c r="N52" s="78">
        <v>798.74385000000007</v>
      </c>
      <c r="O52" s="111">
        <f>(33456.9374)*'[1]Изменение цен'!$D$50</f>
        <v>33456.937400000003</v>
      </c>
      <c r="P52" s="254">
        <f>(15437.9369)*'[1]Изменение цен'!$D$85</f>
        <v>23624.484198846712</v>
      </c>
      <c r="Q52" s="258">
        <f t="shared" si="4"/>
        <v>57081.421598846719</v>
      </c>
    </row>
    <row r="53" spans="1:17" ht="16.5" thickBot="1">
      <c r="A53" s="2031" t="s">
        <v>7696</v>
      </c>
      <c r="B53" s="2035">
        <f t="shared" si="1"/>
        <v>85</v>
      </c>
      <c r="C53" s="2035" t="s">
        <v>3</v>
      </c>
      <c r="D53" s="2035">
        <f t="shared" si="2"/>
        <v>140</v>
      </c>
      <c r="E53" s="2035" t="s">
        <v>3</v>
      </c>
      <c r="F53" s="2033">
        <f t="shared" si="3"/>
        <v>2750</v>
      </c>
      <c r="G53" s="2035" t="s">
        <v>3</v>
      </c>
      <c r="H53" s="2032">
        <v>2</v>
      </c>
      <c r="I53" s="2034" t="s">
        <v>40</v>
      </c>
      <c r="J53" s="149">
        <v>85</v>
      </c>
      <c r="K53" s="104">
        <v>140</v>
      </c>
      <c r="L53" s="104">
        <v>2750</v>
      </c>
      <c r="M53" s="150"/>
      <c r="N53" s="78">
        <v>815.73839999999996</v>
      </c>
      <c r="O53" s="111">
        <f>(33934.2913)*'[1]Изменение цен'!$D$50</f>
        <v>33934.291299999997</v>
      </c>
      <c r="P53" s="254">
        <f>(15645.559)*'[1]Изменение цен'!$D$85</f>
        <v>23942.205734603303</v>
      </c>
      <c r="Q53" s="258">
        <f t="shared" si="4"/>
        <v>57876.497034603301</v>
      </c>
    </row>
    <row r="54" spans="1:17" ht="16.5" thickBot="1">
      <c r="A54" s="2031" t="s">
        <v>7696</v>
      </c>
      <c r="B54" s="2035">
        <f t="shared" si="1"/>
        <v>85</v>
      </c>
      <c r="C54" s="2035" t="s">
        <v>3</v>
      </c>
      <c r="D54" s="2035">
        <f t="shared" si="2"/>
        <v>140</v>
      </c>
      <c r="E54" s="2035" t="s">
        <v>3</v>
      </c>
      <c r="F54" s="2033">
        <f t="shared" si="3"/>
        <v>2800</v>
      </c>
      <c r="G54" s="2035" t="s">
        <v>3</v>
      </c>
      <c r="H54" s="2032">
        <v>2</v>
      </c>
      <c r="I54" s="2034" t="s">
        <v>40</v>
      </c>
      <c r="J54" s="149">
        <v>85</v>
      </c>
      <c r="K54" s="104">
        <v>140</v>
      </c>
      <c r="L54" s="104">
        <v>2800</v>
      </c>
      <c r="M54" s="150"/>
      <c r="N54" s="78">
        <v>832.73295000000007</v>
      </c>
      <c r="O54" s="111">
        <f>(34411.6452)*'[1]Изменение цен'!$D$50</f>
        <v>34411.645199999999</v>
      </c>
      <c r="P54" s="254">
        <f>(16007.8006)*'[1]Изменение цен'!$D$85</f>
        <v>24496.539581852347</v>
      </c>
      <c r="Q54" s="258">
        <f t="shared" si="4"/>
        <v>58908.184781852346</v>
      </c>
    </row>
    <row r="55" spans="1:17" ht="16.5" thickBot="1">
      <c r="A55" s="2031" t="s">
        <v>7696</v>
      </c>
      <c r="B55" s="2035">
        <f t="shared" si="1"/>
        <v>85</v>
      </c>
      <c r="C55" s="2035" t="s">
        <v>3</v>
      </c>
      <c r="D55" s="2035">
        <f t="shared" si="2"/>
        <v>140</v>
      </c>
      <c r="E55" s="2035" t="s">
        <v>3</v>
      </c>
      <c r="F55" s="2033">
        <f t="shared" si="3"/>
        <v>2850</v>
      </c>
      <c r="G55" s="2035" t="s">
        <v>3</v>
      </c>
      <c r="H55" s="2032">
        <v>2</v>
      </c>
      <c r="I55" s="2034" t="s">
        <v>40</v>
      </c>
      <c r="J55" s="149">
        <v>85</v>
      </c>
      <c r="K55" s="104">
        <v>140</v>
      </c>
      <c r="L55" s="104">
        <v>2850</v>
      </c>
      <c r="M55" s="150"/>
      <c r="N55" s="78">
        <v>849.72749999999996</v>
      </c>
      <c r="O55" s="111">
        <f>(34888.999)*'[1]Изменение цен'!$D$50</f>
        <v>34888.999000000003</v>
      </c>
      <c r="P55" s="254">
        <f>(16215.4227)*'[1]Изменение цен'!$D$85</f>
        <v>24814.261117608938</v>
      </c>
      <c r="Q55" s="258">
        <f t="shared" si="4"/>
        <v>59703.260117608937</v>
      </c>
    </row>
    <row r="56" spans="1:17" ht="16.5" thickBot="1">
      <c r="A56" s="2031" t="s">
        <v>7696</v>
      </c>
      <c r="B56" s="2035">
        <f t="shared" si="1"/>
        <v>85</v>
      </c>
      <c r="C56" s="2035" t="s">
        <v>3</v>
      </c>
      <c r="D56" s="2035">
        <f t="shared" si="2"/>
        <v>140</v>
      </c>
      <c r="E56" s="2035" t="s">
        <v>3</v>
      </c>
      <c r="F56" s="2033">
        <f t="shared" si="3"/>
        <v>2900</v>
      </c>
      <c r="G56" s="2035" t="s">
        <v>3</v>
      </c>
      <c r="H56" s="2032">
        <v>2</v>
      </c>
      <c r="I56" s="2034" t="s">
        <v>40</v>
      </c>
      <c r="J56" s="149">
        <v>85</v>
      </c>
      <c r="K56" s="104">
        <v>140</v>
      </c>
      <c r="L56" s="104">
        <v>2900</v>
      </c>
      <c r="M56" s="150"/>
      <c r="N56" s="78">
        <v>866.72204999999997</v>
      </c>
      <c r="O56" s="111">
        <f>(35366.3529)*'[1]Изменение цен'!$D$50</f>
        <v>35366.352899999998</v>
      </c>
      <c r="P56" s="254">
        <f>(16577.6641999999)*'[1]Изменение цен'!$D$85</f>
        <v>25368.594811829065</v>
      </c>
      <c r="Q56" s="258">
        <f t="shared" si="4"/>
        <v>60734.947711829067</v>
      </c>
    </row>
    <row r="57" spans="1:17" ht="16.5" thickBot="1">
      <c r="A57" s="2031" t="s">
        <v>7696</v>
      </c>
      <c r="B57" s="2035">
        <f t="shared" si="1"/>
        <v>85</v>
      </c>
      <c r="C57" s="2035" t="s">
        <v>3</v>
      </c>
      <c r="D57" s="2035">
        <f t="shared" si="2"/>
        <v>140</v>
      </c>
      <c r="E57" s="2035" t="s">
        <v>3</v>
      </c>
      <c r="F57" s="2033">
        <f t="shared" si="3"/>
        <v>2950</v>
      </c>
      <c r="G57" s="2035" t="s">
        <v>3</v>
      </c>
      <c r="H57" s="2032">
        <v>2</v>
      </c>
      <c r="I57" s="2034" t="s">
        <v>40</v>
      </c>
      <c r="J57" s="149">
        <v>85</v>
      </c>
      <c r="K57" s="104">
        <v>140</v>
      </c>
      <c r="L57" s="104">
        <v>2950</v>
      </c>
      <c r="M57" s="150"/>
      <c r="N57" s="78">
        <v>883.71659999999997</v>
      </c>
      <c r="O57" s="111">
        <f>(35843.7068)*'[1]Изменение цен'!$D$50</f>
        <v>35843.7068</v>
      </c>
      <c r="P57" s="254">
        <f>(16785.2863)*'[1]Изменение цен'!$D$85</f>
        <v>25686.316347585809</v>
      </c>
      <c r="Q57" s="258">
        <f t="shared" si="4"/>
        <v>61530.023147585809</v>
      </c>
    </row>
    <row r="58" spans="1:17" ht="16.5" thickBot="1">
      <c r="A58" s="2031" t="s">
        <v>7696</v>
      </c>
      <c r="B58" s="2036">
        <f t="shared" si="1"/>
        <v>85</v>
      </c>
      <c r="C58" s="2036" t="s">
        <v>3</v>
      </c>
      <c r="D58" s="2036">
        <f t="shared" si="2"/>
        <v>140</v>
      </c>
      <c r="E58" s="2036" t="s">
        <v>3</v>
      </c>
      <c r="F58" s="2037">
        <f t="shared" si="3"/>
        <v>3000</v>
      </c>
      <c r="G58" s="2036" t="s">
        <v>3</v>
      </c>
      <c r="H58" s="2038">
        <v>2</v>
      </c>
      <c r="I58" s="2039" t="s">
        <v>40</v>
      </c>
      <c r="J58" s="151">
        <v>85</v>
      </c>
      <c r="K58" s="134">
        <v>140</v>
      </c>
      <c r="L58" s="134">
        <v>3000</v>
      </c>
      <c r="M58" s="152"/>
      <c r="N58" s="127">
        <v>900.71114999999998</v>
      </c>
      <c r="O58" s="135">
        <f>(37703.3667)*'[1]Изменение цен'!$D$50</f>
        <v>37703.366699999999</v>
      </c>
      <c r="P58" s="255">
        <f>(17147.5278)*'[1]Изменение цен'!$D$85</f>
        <v>26240.650041806086</v>
      </c>
      <c r="Q58" s="260">
        <f t="shared" si="4"/>
        <v>63944.016741806088</v>
      </c>
    </row>
    <row r="59" spans="1:17" ht="21.75" thickBot="1">
      <c r="A59" s="2968" t="s">
        <v>7697</v>
      </c>
      <c r="B59" s="2969"/>
      <c r="C59" s="2969"/>
      <c r="D59" s="2969"/>
      <c r="E59" s="2969"/>
      <c r="F59" s="2969"/>
      <c r="G59" s="2969"/>
      <c r="H59" s="2969"/>
      <c r="I59" s="2969"/>
      <c r="J59" s="2969"/>
      <c r="K59" s="2969"/>
      <c r="L59" s="2969"/>
      <c r="M59" s="2969"/>
      <c r="N59" s="2969"/>
      <c r="O59" s="2969"/>
      <c r="P59" s="2969"/>
      <c r="Q59" s="2970"/>
    </row>
    <row r="60" spans="1:17" ht="16.5" thickBot="1">
      <c r="A60" s="2974" t="s">
        <v>112</v>
      </c>
      <c r="B60" s="2975"/>
      <c r="C60" s="2975"/>
      <c r="D60" s="2975"/>
      <c r="E60" s="2975"/>
      <c r="F60" s="2975"/>
      <c r="G60" s="2975"/>
      <c r="H60" s="2975"/>
      <c r="I60" s="2975"/>
      <c r="J60" s="2975"/>
      <c r="K60" s="2975"/>
      <c r="L60" s="2975"/>
      <c r="M60" s="2975"/>
      <c r="N60" s="2975"/>
      <c r="O60" s="2975"/>
      <c r="P60" s="2975"/>
      <c r="Q60" s="2976"/>
    </row>
    <row r="61" spans="1:17" ht="16.5" thickBot="1">
      <c r="A61" s="2031" t="s">
        <v>7696</v>
      </c>
      <c r="B61" s="2032">
        <f>J61</f>
        <v>85</v>
      </c>
      <c r="C61" s="2032" t="s">
        <v>3</v>
      </c>
      <c r="D61" s="2032">
        <f>K61</f>
        <v>180</v>
      </c>
      <c r="E61" s="2032" t="s">
        <v>3</v>
      </c>
      <c r="F61" s="2040">
        <f>L61</f>
        <v>600</v>
      </c>
      <c r="G61" s="2032" t="s">
        <v>3</v>
      </c>
      <c r="H61" s="2032">
        <v>2</v>
      </c>
      <c r="I61" s="2034" t="s">
        <v>40</v>
      </c>
      <c r="J61" s="146">
        <v>85</v>
      </c>
      <c r="K61" s="122">
        <v>180</v>
      </c>
      <c r="L61" s="122">
        <v>600</v>
      </c>
      <c r="M61" s="147"/>
      <c r="N61" s="123">
        <v>91.681124999999994</v>
      </c>
      <c r="O61" s="139">
        <f>(12748.9563)*'[1]Изменение цен'!$D$50</f>
        <v>12748.9563</v>
      </c>
      <c r="P61" s="253">
        <f>(4423.8762)*'[1]Изменение цен'!$D$85</f>
        <v>6769.8031195187759</v>
      </c>
      <c r="Q61" s="256">
        <f t="shared" ref="Q61:Q92" si="5">O61+P61</f>
        <v>19518.759419518778</v>
      </c>
    </row>
    <row r="62" spans="1:17" ht="16.5" thickBot="1">
      <c r="A62" s="2031" t="s">
        <v>7696</v>
      </c>
      <c r="B62" s="2035">
        <f t="shared" ref="B62:B109" si="6">J62</f>
        <v>85</v>
      </c>
      <c r="C62" s="2035" t="s">
        <v>3</v>
      </c>
      <c r="D62" s="2035">
        <f t="shared" ref="D62:D109" si="7">K62</f>
        <v>180</v>
      </c>
      <c r="E62" s="2035" t="s">
        <v>3</v>
      </c>
      <c r="F62" s="2040">
        <f t="shared" ref="F62:F109" si="8">L62</f>
        <v>650</v>
      </c>
      <c r="G62" s="2035" t="s">
        <v>3</v>
      </c>
      <c r="H62" s="2032">
        <v>2</v>
      </c>
      <c r="I62" s="2034" t="s">
        <v>40</v>
      </c>
      <c r="J62" s="149">
        <v>85</v>
      </c>
      <c r="K62" s="66">
        <v>180</v>
      </c>
      <c r="L62" s="66">
        <v>650</v>
      </c>
      <c r="M62" s="150"/>
      <c r="N62" s="78">
        <v>110.01734999999999</v>
      </c>
      <c r="O62" s="110">
        <f>(13268.8415)*'[1]Изменение цен'!$D$50</f>
        <v>13268.8415</v>
      </c>
      <c r="P62" s="254">
        <f>(4657.3131)*'[1]Изменение цен'!$D$85</f>
        <v>7127.0287249348585</v>
      </c>
      <c r="Q62" s="258">
        <f t="shared" si="5"/>
        <v>20395.870224934857</v>
      </c>
    </row>
    <row r="63" spans="1:17" ht="16.5" thickBot="1">
      <c r="A63" s="2031" t="s">
        <v>7696</v>
      </c>
      <c r="B63" s="2035">
        <f t="shared" si="6"/>
        <v>85</v>
      </c>
      <c r="C63" s="2035" t="s">
        <v>3</v>
      </c>
      <c r="D63" s="2035">
        <f t="shared" si="7"/>
        <v>180</v>
      </c>
      <c r="E63" s="2035" t="s">
        <v>3</v>
      </c>
      <c r="F63" s="2040">
        <f t="shared" si="8"/>
        <v>700</v>
      </c>
      <c r="G63" s="2035" t="s">
        <v>3</v>
      </c>
      <c r="H63" s="2032">
        <v>2</v>
      </c>
      <c r="I63" s="2034" t="s">
        <v>40</v>
      </c>
      <c r="J63" s="149">
        <v>85</v>
      </c>
      <c r="K63" s="66">
        <v>180</v>
      </c>
      <c r="L63" s="66">
        <v>700</v>
      </c>
      <c r="M63" s="150"/>
      <c r="N63" s="78">
        <v>128.35357499999998</v>
      </c>
      <c r="O63" s="110">
        <f>(13788.7268)*'[1]Изменение цен'!$D$50</f>
        <v>13788.7268</v>
      </c>
      <c r="P63" s="254">
        <f>(5064.5941)*'[1]Изменение цен'!$D$85</f>
        <v>7750.2858098236093</v>
      </c>
      <c r="Q63" s="258">
        <f t="shared" si="5"/>
        <v>21539.012609823611</v>
      </c>
    </row>
    <row r="64" spans="1:17" ht="16.5" thickBot="1">
      <c r="A64" s="2031" t="s">
        <v>7696</v>
      </c>
      <c r="B64" s="2035">
        <f t="shared" si="6"/>
        <v>85</v>
      </c>
      <c r="C64" s="2035" t="s">
        <v>3</v>
      </c>
      <c r="D64" s="2035">
        <f t="shared" si="7"/>
        <v>180</v>
      </c>
      <c r="E64" s="2035" t="s">
        <v>3</v>
      </c>
      <c r="F64" s="2040">
        <f t="shared" si="8"/>
        <v>750</v>
      </c>
      <c r="G64" s="2035" t="s">
        <v>3</v>
      </c>
      <c r="H64" s="2032">
        <v>2</v>
      </c>
      <c r="I64" s="2034" t="s">
        <v>40</v>
      </c>
      <c r="J64" s="149">
        <v>85</v>
      </c>
      <c r="K64" s="66">
        <v>180</v>
      </c>
      <c r="L64" s="66">
        <v>750</v>
      </c>
      <c r="M64" s="150"/>
      <c r="N64" s="78">
        <v>146.68980000000002</v>
      </c>
      <c r="O64" s="110">
        <f>(14308.6121)*'[1]Изменение цен'!$D$50</f>
        <v>14308.6121</v>
      </c>
      <c r="P64" s="254">
        <f>(5298.031)*'[1]Изменение цен'!$D$85</f>
        <v>8107.51141523969</v>
      </c>
      <c r="Q64" s="258">
        <f t="shared" si="5"/>
        <v>22416.123515239691</v>
      </c>
    </row>
    <row r="65" spans="1:17" ht="16.5" thickBot="1">
      <c r="A65" s="2031" t="s">
        <v>7696</v>
      </c>
      <c r="B65" s="2035">
        <f t="shared" si="6"/>
        <v>85</v>
      </c>
      <c r="C65" s="2035" t="s">
        <v>3</v>
      </c>
      <c r="D65" s="2035">
        <f t="shared" si="7"/>
        <v>180</v>
      </c>
      <c r="E65" s="2035" t="s">
        <v>3</v>
      </c>
      <c r="F65" s="2040">
        <f t="shared" si="8"/>
        <v>800</v>
      </c>
      <c r="G65" s="2035" t="s">
        <v>3</v>
      </c>
      <c r="H65" s="2032">
        <v>2</v>
      </c>
      <c r="I65" s="2034" t="s">
        <v>40</v>
      </c>
      <c r="J65" s="149">
        <v>85</v>
      </c>
      <c r="K65" s="66">
        <v>180</v>
      </c>
      <c r="L65" s="66">
        <v>800</v>
      </c>
      <c r="M65" s="150"/>
      <c r="N65" s="78">
        <v>165.026025</v>
      </c>
      <c r="O65" s="110">
        <f>(14828.4973)*'[1]Изменение цен'!$D$50</f>
        <v>14828.497300000001</v>
      </c>
      <c r="P65" s="254">
        <f>(5531.4679)*'[1]Изменение цен'!$D$85</f>
        <v>8464.7370206557716</v>
      </c>
      <c r="Q65" s="258">
        <f t="shared" si="5"/>
        <v>23293.234320655771</v>
      </c>
    </row>
    <row r="66" spans="1:17" ht="16.5" thickBot="1">
      <c r="A66" s="2031" t="s">
        <v>7696</v>
      </c>
      <c r="B66" s="2035">
        <f t="shared" si="6"/>
        <v>85</v>
      </c>
      <c r="C66" s="2035" t="s">
        <v>3</v>
      </c>
      <c r="D66" s="2035">
        <f t="shared" si="7"/>
        <v>180</v>
      </c>
      <c r="E66" s="2035" t="s">
        <v>3</v>
      </c>
      <c r="F66" s="2040">
        <f t="shared" si="8"/>
        <v>850</v>
      </c>
      <c r="G66" s="2035" t="s">
        <v>3</v>
      </c>
      <c r="H66" s="2032">
        <v>2</v>
      </c>
      <c r="I66" s="2034" t="s">
        <v>40</v>
      </c>
      <c r="J66" s="149">
        <v>85</v>
      </c>
      <c r="K66" s="66">
        <v>180</v>
      </c>
      <c r="L66" s="66">
        <v>850</v>
      </c>
      <c r="M66" s="150"/>
      <c r="N66" s="78">
        <v>183.36224999999999</v>
      </c>
      <c r="O66" s="110">
        <f>(15348.3826)*'[1]Изменение цен'!$D$50</f>
        <v>15348.382600000001</v>
      </c>
      <c r="P66" s="254">
        <f>(5938.7489)*'[1]Изменение цен'!$D$85</f>
        <v>9087.9941055445233</v>
      </c>
      <c r="Q66" s="258">
        <f t="shared" si="5"/>
        <v>24436.376705544524</v>
      </c>
    </row>
    <row r="67" spans="1:17" ht="16.5" thickBot="1">
      <c r="A67" s="2031" t="s">
        <v>7696</v>
      </c>
      <c r="B67" s="2035">
        <f t="shared" si="6"/>
        <v>85</v>
      </c>
      <c r="C67" s="2035" t="s">
        <v>3</v>
      </c>
      <c r="D67" s="2035">
        <f t="shared" si="7"/>
        <v>180</v>
      </c>
      <c r="E67" s="2035" t="s">
        <v>3</v>
      </c>
      <c r="F67" s="2040">
        <f t="shared" si="8"/>
        <v>900</v>
      </c>
      <c r="G67" s="2035" t="s">
        <v>3</v>
      </c>
      <c r="H67" s="2032">
        <v>2</v>
      </c>
      <c r="I67" s="2034" t="s">
        <v>40</v>
      </c>
      <c r="J67" s="149">
        <v>85</v>
      </c>
      <c r="K67" s="66">
        <v>180</v>
      </c>
      <c r="L67" s="66">
        <v>900</v>
      </c>
      <c r="M67" s="150"/>
      <c r="N67" s="78">
        <v>201.698475</v>
      </c>
      <c r="O67" s="110">
        <f>(15868.2679)*'[1]Изменение цен'!$D$50</f>
        <v>15868.267900000001</v>
      </c>
      <c r="P67" s="254">
        <f>(6172.1858)*'[1]Изменение цен'!$D$85</f>
        <v>9445.2197109606041</v>
      </c>
      <c r="Q67" s="258">
        <f t="shared" si="5"/>
        <v>25313.487610960605</v>
      </c>
    </row>
    <row r="68" spans="1:17" ht="16.5" thickBot="1">
      <c r="A68" s="2031" t="s">
        <v>7696</v>
      </c>
      <c r="B68" s="2035">
        <f t="shared" si="6"/>
        <v>85</v>
      </c>
      <c r="C68" s="2035" t="s">
        <v>3</v>
      </c>
      <c r="D68" s="2035">
        <f t="shared" si="7"/>
        <v>180</v>
      </c>
      <c r="E68" s="2035" t="s">
        <v>3</v>
      </c>
      <c r="F68" s="2040">
        <f t="shared" si="8"/>
        <v>950</v>
      </c>
      <c r="G68" s="2035" t="s">
        <v>3</v>
      </c>
      <c r="H68" s="2032">
        <v>2</v>
      </c>
      <c r="I68" s="2034" t="s">
        <v>40</v>
      </c>
      <c r="J68" s="149">
        <v>85</v>
      </c>
      <c r="K68" s="66">
        <v>180</v>
      </c>
      <c r="L68" s="66">
        <v>950</v>
      </c>
      <c r="M68" s="150"/>
      <c r="N68" s="78">
        <v>220.03469999999999</v>
      </c>
      <c r="O68" s="110">
        <f>(16388.153)*'[1]Изменение цен'!$D$50</f>
        <v>16388.152999999998</v>
      </c>
      <c r="P68" s="254">
        <f>(6579.4668)*'[1]Изменение цен'!$D$85</f>
        <v>10068.476795849356</v>
      </c>
      <c r="Q68" s="258">
        <f t="shared" si="5"/>
        <v>26456.629795849352</v>
      </c>
    </row>
    <row r="69" spans="1:17" ht="16.5" thickBot="1">
      <c r="A69" s="2031" t="s">
        <v>7696</v>
      </c>
      <c r="B69" s="2035">
        <f t="shared" si="6"/>
        <v>85</v>
      </c>
      <c r="C69" s="2035" t="s">
        <v>3</v>
      </c>
      <c r="D69" s="2035">
        <f t="shared" si="7"/>
        <v>180</v>
      </c>
      <c r="E69" s="2035" t="s">
        <v>3</v>
      </c>
      <c r="F69" s="2040">
        <f t="shared" si="8"/>
        <v>1000</v>
      </c>
      <c r="G69" s="2035" t="s">
        <v>3</v>
      </c>
      <c r="H69" s="2032">
        <v>2</v>
      </c>
      <c r="I69" s="2034" t="s">
        <v>40</v>
      </c>
      <c r="J69" s="149">
        <v>85</v>
      </c>
      <c r="K69" s="66">
        <v>180</v>
      </c>
      <c r="L69" s="66">
        <v>1000</v>
      </c>
      <c r="M69" s="150"/>
      <c r="N69" s="78">
        <v>238.370925</v>
      </c>
      <c r="O69" s="110">
        <f>(16908.0384)*'[1]Изменение цен'!$D$50</f>
        <v>16908.038400000001</v>
      </c>
      <c r="P69" s="254">
        <f>(6812.9037)*'[1]Изменение цен'!$D$85</f>
        <v>10425.702401265436</v>
      </c>
      <c r="Q69" s="258">
        <f t="shared" si="5"/>
        <v>27333.740801265438</v>
      </c>
    </row>
    <row r="70" spans="1:17" ht="16.5" thickBot="1">
      <c r="A70" s="2031" t="s">
        <v>7696</v>
      </c>
      <c r="B70" s="2035">
        <f t="shared" si="6"/>
        <v>85</v>
      </c>
      <c r="C70" s="2035" t="s">
        <v>3</v>
      </c>
      <c r="D70" s="2035">
        <f t="shared" si="7"/>
        <v>180</v>
      </c>
      <c r="E70" s="2035" t="s">
        <v>3</v>
      </c>
      <c r="F70" s="2040">
        <f t="shared" si="8"/>
        <v>1050</v>
      </c>
      <c r="G70" s="2035" t="s">
        <v>3</v>
      </c>
      <c r="H70" s="2032">
        <v>2</v>
      </c>
      <c r="I70" s="2034" t="s">
        <v>40</v>
      </c>
      <c r="J70" s="149">
        <v>85</v>
      </c>
      <c r="K70" s="66">
        <v>180</v>
      </c>
      <c r="L70" s="66">
        <v>1050</v>
      </c>
      <c r="M70" s="150"/>
      <c r="N70" s="78">
        <v>256.70714999999996</v>
      </c>
      <c r="O70" s="110">
        <f>(17427.9237)*'[1]Изменение цен'!$D$50</f>
        <v>17427.923699999999</v>
      </c>
      <c r="P70" s="254">
        <f>(7220.1847)*'[1]Изменение цен'!$D$85</f>
        <v>11048.959486154188</v>
      </c>
      <c r="Q70" s="258">
        <f t="shared" si="5"/>
        <v>28476.883186154188</v>
      </c>
    </row>
    <row r="71" spans="1:17" ht="16.5" thickBot="1">
      <c r="A71" s="2031" t="s">
        <v>7696</v>
      </c>
      <c r="B71" s="2032">
        <f t="shared" si="6"/>
        <v>85</v>
      </c>
      <c r="C71" s="2032" t="s">
        <v>3</v>
      </c>
      <c r="D71" s="2032">
        <f t="shared" si="7"/>
        <v>180</v>
      </c>
      <c r="E71" s="2032" t="s">
        <v>3</v>
      </c>
      <c r="F71" s="2040">
        <f t="shared" si="8"/>
        <v>1100</v>
      </c>
      <c r="G71" s="2032" t="s">
        <v>3</v>
      </c>
      <c r="H71" s="2032">
        <v>2</v>
      </c>
      <c r="I71" s="2034" t="s">
        <v>40</v>
      </c>
      <c r="J71" s="149">
        <v>85</v>
      </c>
      <c r="K71" s="66">
        <v>180</v>
      </c>
      <c r="L71" s="66">
        <v>1100</v>
      </c>
      <c r="M71" s="150"/>
      <c r="N71" s="78">
        <v>275.04337500000003</v>
      </c>
      <c r="O71" s="110">
        <f>(17947.8087999999)*'[1]Изменение цен'!$D$50</f>
        <v>17947.808799999901</v>
      </c>
      <c r="P71" s="254">
        <f>(7453.6216)*'[1]Изменение цен'!$D$85</f>
        <v>11406.185091570271</v>
      </c>
      <c r="Q71" s="258">
        <f t="shared" si="5"/>
        <v>29353.993891570171</v>
      </c>
    </row>
    <row r="72" spans="1:17" ht="16.5" thickBot="1">
      <c r="A72" s="2031" t="s">
        <v>7696</v>
      </c>
      <c r="B72" s="2035">
        <f t="shared" si="6"/>
        <v>85</v>
      </c>
      <c r="C72" s="2035" t="s">
        <v>3</v>
      </c>
      <c r="D72" s="2035">
        <f t="shared" si="7"/>
        <v>180</v>
      </c>
      <c r="E72" s="2035" t="s">
        <v>3</v>
      </c>
      <c r="F72" s="2040">
        <f t="shared" si="8"/>
        <v>1150</v>
      </c>
      <c r="G72" s="2035" t="s">
        <v>3</v>
      </c>
      <c r="H72" s="2032">
        <v>2</v>
      </c>
      <c r="I72" s="2034" t="s">
        <v>40</v>
      </c>
      <c r="J72" s="149">
        <v>85</v>
      </c>
      <c r="K72" s="66">
        <v>180</v>
      </c>
      <c r="L72" s="66">
        <v>1150</v>
      </c>
      <c r="M72" s="150"/>
      <c r="N72" s="78">
        <v>293.37960000000004</v>
      </c>
      <c r="O72" s="110">
        <f>(18467.6941)*'[1]Изменение цен'!$D$50</f>
        <v>18467.694100000001</v>
      </c>
      <c r="P72" s="254">
        <f>(7687.0585)*'[1]Изменение цен'!$D$85</f>
        <v>11763.410696986351</v>
      </c>
      <c r="Q72" s="258">
        <f t="shared" si="5"/>
        <v>30231.10479698635</v>
      </c>
    </row>
    <row r="73" spans="1:17" ht="16.5" thickBot="1">
      <c r="A73" s="2031" t="s">
        <v>7696</v>
      </c>
      <c r="B73" s="2035">
        <f t="shared" si="6"/>
        <v>85</v>
      </c>
      <c r="C73" s="2035" t="s">
        <v>3</v>
      </c>
      <c r="D73" s="2035">
        <f t="shared" si="7"/>
        <v>180</v>
      </c>
      <c r="E73" s="2035" t="s">
        <v>3</v>
      </c>
      <c r="F73" s="2040">
        <f t="shared" si="8"/>
        <v>1200</v>
      </c>
      <c r="G73" s="2035" t="s">
        <v>3</v>
      </c>
      <c r="H73" s="2032">
        <v>2</v>
      </c>
      <c r="I73" s="2034" t="s">
        <v>40</v>
      </c>
      <c r="J73" s="149">
        <v>85</v>
      </c>
      <c r="K73" s="66">
        <v>180</v>
      </c>
      <c r="L73" s="66">
        <v>1200</v>
      </c>
      <c r="M73" s="150"/>
      <c r="N73" s="78">
        <v>311.715825</v>
      </c>
      <c r="O73" s="110">
        <f>(19046.3447)*'[1]Изменение цен'!$D$50</f>
        <v>19046.344700000001</v>
      </c>
      <c r="P73" s="254">
        <f>(8094.3395)*'[1]Изменение цен'!$D$85</f>
        <v>12386.667781875101</v>
      </c>
      <c r="Q73" s="258">
        <f t="shared" si="5"/>
        <v>31433.012481875103</v>
      </c>
    </row>
    <row r="74" spans="1:17" ht="16.5" thickBot="1">
      <c r="A74" s="2031" t="s">
        <v>7696</v>
      </c>
      <c r="B74" s="2035">
        <f t="shared" si="6"/>
        <v>85</v>
      </c>
      <c r="C74" s="2035" t="s">
        <v>3</v>
      </c>
      <c r="D74" s="2035">
        <f t="shared" si="7"/>
        <v>180</v>
      </c>
      <c r="E74" s="2035" t="s">
        <v>3</v>
      </c>
      <c r="F74" s="2040">
        <f t="shared" si="8"/>
        <v>1250</v>
      </c>
      <c r="G74" s="2035" t="s">
        <v>3</v>
      </c>
      <c r="H74" s="2032">
        <v>2</v>
      </c>
      <c r="I74" s="2034" t="s">
        <v>40</v>
      </c>
      <c r="J74" s="149">
        <v>85</v>
      </c>
      <c r="K74" s="66">
        <v>180</v>
      </c>
      <c r="L74" s="66">
        <v>1250</v>
      </c>
      <c r="M74" s="150"/>
      <c r="N74" s="78">
        <v>330.05205000000001</v>
      </c>
      <c r="O74" s="110">
        <f>(19566.23)*'[1]Изменение цен'!$D$50</f>
        <v>19566.23</v>
      </c>
      <c r="P74" s="254">
        <f>(8327.7764)*'[1]Изменение цен'!$D$85</f>
        <v>12743.893387291184</v>
      </c>
      <c r="Q74" s="258">
        <f t="shared" si="5"/>
        <v>32310.123387291183</v>
      </c>
    </row>
    <row r="75" spans="1:17" ht="16.5" thickBot="1">
      <c r="A75" s="2031" t="s">
        <v>7696</v>
      </c>
      <c r="B75" s="2035">
        <f t="shared" si="6"/>
        <v>85</v>
      </c>
      <c r="C75" s="2035" t="s">
        <v>3</v>
      </c>
      <c r="D75" s="2035">
        <f t="shared" si="7"/>
        <v>180</v>
      </c>
      <c r="E75" s="2035" t="s">
        <v>3</v>
      </c>
      <c r="F75" s="2040">
        <f t="shared" si="8"/>
        <v>1300</v>
      </c>
      <c r="G75" s="2035" t="s">
        <v>3</v>
      </c>
      <c r="H75" s="2032">
        <v>2</v>
      </c>
      <c r="I75" s="2034" t="s">
        <v>40</v>
      </c>
      <c r="J75" s="149">
        <v>85</v>
      </c>
      <c r="K75" s="66">
        <v>180</v>
      </c>
      <c r="L75" s="66">
        <v>1300</v>
      </c>
      <c r="M75" s="150"/>
      <c r="N75" s="78">
        <v>348.38827499999996</v>
      </c>
      <c r="O75" s="110">
        <f>(20086.1153)*'[1]Изменение цен'!$D$50</f>
        <v>20086.115300000001</v>
      </c>
      <c r="P75" s="254">
        <f>(8735.0574)*'[1]Изменение цен'!$D$85</f>
        <v>13367.150472179934</v>
      </c>
      <c r="Q75" s="258">
        <f t="shared" si="5"/>
        <v>33453.265772179933</v>
      </c>
    </row>
    <row r="76" spans="1:17" ht="16.5" thickBot="1">
      <c r="A76" s="2031" t="s">
        <v>7696</v>
      </c>
      <c r="B76" s="2035">
        <f t="shared" si="6"/>
        <v>85</v>
      </c>
      <c r="C76" s="2035" t="s">
        <v>3</v>
      </c>
      <c r="D76" s="2035">
        <f t="shared" si="7"/>
        <v>180</v>
      </c>
      <c r="E76" s="2035" t="s">
        <v>3</v>
      </c>
      <c r="F76" s="2040">
        <f t="shared" si="8"/>
        <v>1350</v>
      </c>
      <c r="G76" s="2035" t="s">
        <v>3</v>
      </c>
      <c r="H76" s="2032">
        <v>2</v>
      </c>
      <c r="I76" s="2034" t="s">
        <v>40</v>
      </c>
      <c r="J76" s="149">
        <v>85</v>
      </c>
      <c r="K76" s="66">
        <v>180</v>
      </c>
      <c r="L76" s="66">
        <v>1350</v>
      </c>
      <c r="M76" s="150"/>
      <c r="N76" s="78">
        <v>366.72449999999998</v>
      </c>
      <c r="O76" s="110">
        <f>(20606.0004)*'[1]Изменение цен'!$D$50</f>
        <v>20606.000400000001</v>
      </c>
      <c r="P76" s="254">
        <f>(8968.4943)*'[1]Изменение цен'!$D$85</f>
        <v>13724.376077596016</v>
      </c>
      <c r="Q76" s="258">
        <f t="shared" si="5"/>
        <v>34330.376477596015</v>
      </c>
    </row>
    <row r="77" spans="1:17" ht="16.5" thickBot="1">
      <c r="A77" s="2031" t="s">
        <v>7696</v>
      </c>
      <c r="B77" s="2035">
        <f t="shared" si="6"/>
        <v>85</v>
      </c>
      <c r="C77" s="2035" t="s">
        <v>3</v>
      </c>
      <c r="D77" s="2035">
        <f t="shared" si="7"/>
        <v>180</v>
      </c>
      <c r="E77" s="2035" t="s">
        <v>3</v>
      </c>
      <c r="F77" s="2040">
        <f t="shared" si="8"/>
        <v>1400</v>
      </c>
      <c r="G77" s="2035" t="s">
        <v>3</v>
      </c>
      <c r="H77" s="2032">
        <v>2</v>
      </c>
      <c r="I77" s="2034" t="s">
        <v>40</v>
      </c>
      <c r="J77" s="149">
        <v>85</v>
      </c>
      <c r="K77" s="66">
        <v>180</v>
      </c>
      <c r="L77" s="66">
        <v>1400</v>
      </c>
      <c r="M77" s="150"/>
      <c r="N77" s="78">
        <v>385.06072499999999</v>
      </c>
      <c r="O77" s="110">
        <f>(21125.8858)*'[1]Изменение цен'!$D$50</f>
        <v>21125.8858</v>
      </c>
      <c r="P77" s="254">
        <f>(9375.7752)*'[1]Изменение цен'!$D$85</f>
        <v>14347.633009456002</v>
      </c>
      <c r="Q77" s="258">
        <f t="shared" si="5"/>
        <v>35473.518809456</v>
      </c>
    </row>
    <row r="78" spans="1:17" ht="16.5" thickBot="1">
      <c r="A78" s="2031" t="s">
        <v>7696</v>
      </c>
      <c r="B78" s="2035">
        <f t="shared" si="6"/>
        <v>85</v>
      </c>
      <c r="C78" s="2035" t="s">
        <v>3</v>
      </c>
      <c r="D78" s="2035">
        <f t="shared" si="7"/>
        <v>180</v>
      </c>
      <c r="E78" s="2035" t="s">
        <v>3</v>
      </c>
      <c r="F78" s="2040">
        <f t="shared" si="8"/>
        <v>1450</v>
      </c>
      <c r="G78" s="2035" t="s">
        <v>3</v>
      </c>
      <c r="H78" s="2032">
        <v>2</v>
      </c>
      <c r="I78" s="2034" t="s">
        <v>40</v>
      </c>
      <c r="J78" s="149">
        <v>85</v>
      </c>
      <c r="K78" s="66">
        <v>180</v>
      </c>
      <c r="L78" s="66">
        <v>1450</v>
      </c>
      <c r="M78" s="150"/>
      <c r="N78" s="78">
        <v>403.39695</v>
      </c>
      <c r="O78" s="110">
        <f>(21645.7711)*'[1]Изменение цен'!$D$50</f>
        <v>21645.771100000002</v>
      </c>
      <c r="P78" s="254">
        <f>(9609.2121)*'[1]Изменение цен'!$D$85</f>
        <v>14704.858614872084</v>
      </c>
      <c r="Q78" s="258">
        <f t="shared" si="5"/>
        <v>36350.629714872084</v>
      </c>
    </row>
    <row r="79" spans="1:17" ht="16.5" thickBot="1">
      <c r="A79" s="2031" t="s">
        <v>7696</v>
      </c>
      <c r="B79" s="2035">
        <f t="shared" si="6"/>
        <v>85</v>
      </c>
      <c r="C79" s="2035" t="s">
        <v>3</v>
      </c>
      <c r="D79" s="2035">
        <f t="shared" si="7"/>
        <v>180</v>
      </c>
      <c r="E79" s="2035" t="s">
        <v>3</v>
      </c>
      <c r="F79" s="2040">
        <f t="shared" si="8"/>
        <v>1500</v>
      </c>
      <c r="G79" s="2035" t="s">
        <v>3</v>
      </c>
      <c r="H79" s="2032">
        <v>2</v>
      </c>
      <c r="I79" s="2034" t="s">
        <v>40</v>
      </c>
      <c r="J79" s="149">
        <v>85</v>
      </c>
      <c r="K79" s="66">
        <v>180</v>
      </c>
      <c r="L79" s="66">
        <v>1500</v>
      </c>
      <c r="M79" s="150"/>
      <c r="N79" s="78">
        <v>421.73317499999996</v>
      </c>
      <c r="O79" s="110">
        <f>(22856.7141)*'[1]Изменение цен'!$D$50</f>
        <v>22856.714100000001</v>
      </c>
      <c r="P79" s="254">
        <f>(10016.4931)*'[1]Изменение цен'!$D$85</f>
        <v>15328.115699760834</v>
      </c>
      <c r="Q79" s="258">
        <f t="shared" si="5"/>
        <v>38184.829799760832</v>
      </c>
    </row>
    <row r="80" spans="1:17" ht="16.5" thickBot="1">
      <c r="A80" s="2031" t="s">
        <v>7696</v>
      </c>
      <c r="B80" s="2035">
        <f t="shared" si="6"/>
        <v>85</v>
      </c>
      <c r="C80" s="2035" t="s">
        <v>3</v>
      </c>
      <c r="D80" s="2035">
        <f t="shared" si="7"/>
        <v>180</v>
      </c>
      <c r="E80" s="2035" t="s">
        <v>3</v>
      </c>
      <c r="F80" s="2040">
        <f t="shared" si="8"/>
        <v>1550</v>
      </c>
      <c r="G80" s="2035" t="s">
        <v>3</v>
      </c>
      <c r="H80" s="2032">
        <v>2</v>
      </c>
      <c r="I80" s="2034" t="s">
        <v>40</v>
      </c>
      <c r="J80" s="149">
        <v>85</v>
      </c>
      <c r="K80" s="66">
        <v>180</v>
      </c>
      <c r="L80" s="66">
        <v>1550</v>
      </c>
      <c r="M80" s="150"/>
      <c r="N80" s="78">
        <v>440.06939999999997</v>
      </c>
      <c r="O80" s="110">
        <f>(23376.5994)*'[1]Изменение цен'!$D$50</f>
        <v>23376.599399999999</v>
      </c>
      <c r="P80" s="254">
        <f>(10249.93)*'[1]Изменение цен'!$D$85</f>
        <v>15685.341305176917</v>
      </c>
      <c r="Q80" s="258">
        <f t="shared" si="5"/>
        <v>39061.940705176916</v>
      </c>
    </row>
    <row r="81" spans="1:17" ht="16.5" thickBot="1">
      <c r="A81" s="2031" t="s">
        <v>7696</v>
      </c>
      <c r="B81" s="2032">
        <f t="shared" si="6"/>
        <v>85</v>
      </c>
      <c r="C81" s="2032" t="s">
        <v>3</v>
      </c>
      <c r="D81" s="2032">
        <f t="shared" si="7"/>
        <v>180</v>
      </c>
      <c r="E81" s="2032" t="s">
        <v>3</v>
      </c>
      <c r="F81" s="2040">
        <f t="shared" si="8"/>
        <v>1600</v>
      </c>
      <c r="G81" s="2032" t="s">
        <v>3</v>
      </c>
      <c r="H81" s="2032">
        <v>2</v>
      </c>
      <c r="I81" s="2034" t="s">
        <v>40</v>
      </c>
      <c r="J81" s="149">
        <v>85</v>
      </c>
      <c r="K81" s="66">
        <v>180</v>
      </c>
      <c r="L81" s="66">
        <v>1600</v>
      </c>
      <c r="M81" s="150"/>
      <c r="N81" s="78">
        <v>458.40562499999999</v>
      </c>
      <c r="O81" s="110">
        <f>(23896.4848)*'[1]Изменение цен'!$D$50</f>
        <v>23896.484799999998</v>
      </c>
      <c r="P81" s="254">
        <f>(10483.3669)*'[1]Изменение цен'!$D$85</f>
        <v>16042.566910592999</v>
      </c>
      <c r="Q81" s="258">
        <f t="shared" si="5"/>
        <v>39939.051710592998</v>
      </c>
    </row>
    <row r="82" spans="1:17" ht="16.5" thickBot="1">
      <c r="A82" s="2031" t="s">
        <v>7696</v>
      </c>
      <c r="B82" s="2035">
        <f t="shared" si="6"/>
        <v>85</v>
      </c>
      <c r="C82" s="2035" t="s">
        <v>3</v>
      </c>
      <c r="D82" s="2035">
        <f t="shared" si="7"/>
        <v>180</v>
      </c>
      <c r="E82" s="2035" t="s">
        <v>3</v>
      </c>
      <c r="F82" s="2040">
        <f t="shared" si="8"/>
        <v>1650</v>
      </c>
      <c r="G82" s="2035" t="s">
        <v>3</v>
      </c>
      <c r="H82" s="2032">
        <v>2</v>
      </c>
      <c r="I82" s="2034" t="s">
        <v>40</v>
      </c>
      <c r="J82" s="149">
        <v>85</v>
      </c>
      <c r="K82" s="66">
        <v>180</v>
      </c>
      <c r="L82" s="66">
        <v>1650</v>
      </c>
      <c r="M82" s="150"/>
      <c r="N82" s="78">
        <v>476.74185</v>
      </c>
      <c r="O82" s="110">
        <f>(24416.3699)*'[1]Изменение цен'!$D$50</f>
        <v>24416.369900000002</v>
      </c>
      <c r="P82" s="254">
        <f>(10890.6479)*'[1]Изменение цен'!$D$85</f>
        <v>16665.823995481747</v>
      </c>
      <c r="Q82" s="258">
        <f t="shared" si="5"/>
        <v>41082.193895481745</v>
      </c>
    </row>
    <row r="83" spans="1:17" ht="16.5" thickBot="1">
      <c r="A83" s="2031" t="s">
        <v>7696</v>
      </c>
      <c r="B83" s="2035">
        <f t="shared" si="6"/>
        <v>85</v>
      </c>
      <c r="C83" s="2035" t="s">
        <v>3</v>
      </c>
      <c r="D83" s="2035">
        <f t="shared" si="7"/>
        <v>180</v>
      </c>
      <c r="E83" s="2035" t="s">
        <v>3</v>
      </c>
      <c r="F83" s="2040">
        <f t="shared" si="8"/>
        <v>1700</v>
      </c>
      <c r="G83" s="2035" t="s">
        <v>3</v>
      </c>
      <c r="H83" s="2032">
        <v>2</v>
      </c>
      <c r="I83" s="2034" t="s">
        <v>40</v>
      </c>
      <c r="J83" s="149">
        <v>85</v>
      </c>
      <c r="K83" s="66">
        <v>180</v>
      </c>
      <c r="L83" s="66">
        <v>1700</v>
      </c>
      <c r="M83" s="150"/>
      <c r="N83" s="78">
        <v>495.07807500000007</v>
      </c>
      <c r="O83" s="110">
        <f>(24936.2552)*'[1]Изменение цен'!$D$50</f>
        <v>24936.2552</v>
      </c>
      <c r="P83" s="254">
        <f>(11124.0848)*'[1]Изменение цен'!$D$85</f>
        <v>17023.04960089783</v>
      </c>
      <c r="Q83" s="258">
        <f t="shared" si="5"/>
        <v>41959.304800897829</v>
      </c>
    </row>
    <row r="84" spans="1:17" ht="16.5" thickBot="1">
      <c r="A84" s="2031" t="s">
        <v>7696</v>
      </c>
      <c r="B84" s="2035">
        <f t="shared" si="6"/>
        <v>85</v>
      </c>
      <c r="C84" s="2035" t="s">
        <v>3</v>
      </c>
      <c r="D84" s="2035">
        <f t="shared" si="7"/>
        <v>180</v>
      </c>
      <c r="E84" s="2035" t="s">
        <v>3</v>
      </c>
      <c r="F84" s="2040">
        <f t="shared" si="8"/>
        <v>1750</v>
      </c>
      <c r="G84" s="2035" t="s">
        <v>3</v>
      </c>
      <c r="H84" s="2032">
        <v>2</v>
      </c>
      <c r="I84" s="2034" t="s">
        <v>40</v>
      </c>
      <c r="J84" s="149">
        <v>85</v>
      </c>
      <c r="K84" s="66">
        <v>180</v>
      </c>
      <c r="L84" s="66">
        <v>1750</v>
      </c>
      <c r="M84" s="150"/>
      <c r="N84" s="78">
        <v>513.41429999999991</v>
      </c>
      <c r="O84" s="110">
        <f>(25456.1405)*'[1]Изменение цен'!$D$50</f>
        <v>25456.140500000001</v>
      </c>
      <c r="P84" s="254">
        <f>(11531.3658)*'[1]Изменение цен'!$D$85</f>
        <v>17646.306685786582</v>
      </c>
      <c r="Q84" s="258">
        <f t="shared" si="5"/>
        <v>43102.447185786586</v>
      </c>
    </row>
    <row r="85" spans="1:17" ht="16.5" thickBot="1">
      <c r="A85" s="2031" t="s">
        <v>7696</v>
      </c>
      <c r="B85" s="2035">
        <f t="shared" si="6"/>
        <v>85</v>
      </c>
      <c r="C85" s="2035" t="s">
        <v>3</v>
      </c>
      <c r="D85" s="2035">
        <f t="shared" si="7"/>
        <v>180</v>
      </c>
      <c r="E85" s="2035" t="s">
        <v>3</v>
      </c>
      <c r="F85" s="2040">
        <f t="shared" si="8"/>
        <v>1800</v>
      </c>
      <c r="G85" s="2035" t="s">
        <v>3</v>
      </c>
      <c r="H85" s="2032">
        <v>2</v>
      </c>
      <c r="I85" s="2034" t="s">
        <v>40</v>
      </c>
      <c r="J85" s="149">
        <v>85</v>
      </c>
      <c r="K85" s="66">
        <v>180</v>
      </c>
      <c r="L85" s="66">
        <v>1800</v>
      </c>
      <c r="M85" s="150"/>
      <c r="N85" s="78">
        <v>531.75052500000004</v>
      </c>
      <c r="O85" s="110">
        <f>(25976.0257)*'[1]Изменение цен'!$D$50</f>
        <v>25976.025699999998</v>
      </c>
      <c r="P85" s="254">
        <f>(11764.8027)*'[1]Изменение цен'!$D$85</f>
        <v>18003.532291202664</v>
      </c>
      <c r="Q85" s="258">
        <f t="shared" si="5"/>
        <v>43979.557991202659</v>
      </c>
    </row>
    <row r="86" spans="1:17" ht="16.5" thickBot="1">
      <c r="A86" s="2031" t="s">
        <v>7696</v>
      </c>
      <c r="B86" s="2035">
        <f t="shared" si="6"/>
        <v>85</v>
      </c>
      <c r="C86" s="2035" t="s">
        <v>3</v>
      </c>
      <c r="D86" s="2035">
        <f t="shared" si="7"/>
        <v>180</v>
      </c>
      <c r="E86" s="2035" t="s">
        <v>3</v>
      </c>
      <c r="F86" s="2040">
        <f t="shared" si="8"/>
        <v>1850</v>
      </c>
      <c r="G86" s="2035" t="s">
        <v>3</v>
      </c>
      <c r="H86" s="2032">
        <v>2</v>
      </c>
      <c r="I86" s="2034" t="s">
        <v>40</v>
      </c>
      <c r="J86" s="149">
        <v>85</v>
      </c>
      <c r="K86" s="66">
        <v>180</v>
      </c>
      <c r="L86" s="66">
        <v>1850</v>
      </c>
      <c r="M86" s="150"/>
      <c r="N86" s="78">
        <v>550.08675000000005</v>
      </c>
      <c r="O86" s="110">
        <f>(26495.911)*'[1]Изменение цен'!$D$50</f>
        <v>26495.911</v>
      </c>
      <c r="P86" s="254">
        <f>(12172.0837)*'[1]Изменение цен'!$D$85</f>
        <v>18626.789376091412</v>
      </c>
      <c r="Q86" s="258">
        <f t="shared" si="5"/>
        <v>45122.700376091409</v>
      </c>
    </row>
    <row r="87" spans="1:17" ht="16.5" thickBot="1">
      <c r="A87" s="2031" t="s">
        <v>7696</v>
      </c>
      <c r="B87" s="2035">
        <f t="shared" si="6"/>
        <v>85</v>
      </c>
      <c r="C87" s="2035" t="s">
        <v>3</v>
      </c>
      <c r="D87" s="2035">
        <f t="shared" si="7"/>
        <v>180</v>
      </c>
      <c r="E87" s="2035" t="s">
        <v>3</v>
      </c>
      <c r="F87" s="2040">
        <f t="shared" si="8"/>
        <v>1900</v>
      </c>
      <c r="G87" s="2035" t="s">
        <v>3</v>
      </c>
      <c r="H87" s="2032">
        <v>2</v>
      </c>
      <c r="I87" s="2034" t="s">
        <v>40</v>
      </c>
      <c r="J87" s="149">
        <v>85</v>
      </c>
      <c r="K87" s="66">
        <v>180</v>
      </c>
      <c r="L87" s="66">
        <v>1900</v>
      </c>
      <c r="M87" s="150"/>
      <c r="N87" s="78">
        <v>568.42297500000006</v>
      </c>
      <c r="O87" s="110">
        <f>(27015.7963)*'[1]Изменение цен'!$D$50</f>
        <v>27015.796300000002</v>
      </c>
      <c r="P87" s="254">
        <f>(12405.5206)*'[1]Изменение цен'!$D$85</f>
        <v>18984.014981507495</v>
      </c>
      <c r="Q87" s="258">
        <f t="shared" si="5"/>
        <v>45999.8112815075</v>
      </c>
    </row>
    <row r="88" spans="1:17" ht="16.5" thickBot="1">
      <c r="A88" s="2031" t="s">
        <v>7696</v>
      </c>
      <c r="B88" s="2035">
        <f t="shared" si="6"/>
        <v>85</v>
      </c>
      <c r="C88" s="2035" t="s">
        <v>3</v>
      </c>
      <c r="D88" s="2035">
        <f t="shared" si="7"/>
        <v>180</v>
      </c>
      <c r="E88" s="2035" t="s">
        <v>3</v>
      </c>
      <c r="F88" s="2040">
        <f t="shared" si="8"/>
        <v>1950</v>
      </c>
      <c r="G88" s="2035" t="s">
        <v>3</v>
      </c>
      <c r="H88" s="2032">
        <v>2</v>
      </c>
      <c r="I88" s="2034" t="s">
        <v>40</v>
      </c>
      <c r="J88" s="149">
        <v>85</v>
      </c>
      <c r="K88" s="66">
        <v>180</v>
      </c>
      <c r="L88" s="66">
        <v>1950</v>
      </c>
      <c r="M88" s="150"/>
      <c r="N88" s="78">
        <v>586.75920000000008</v>
      </c>
      <c r="O88" s="110">
        <f>(27594.4468)*'[1]Изменение цен'!$D$50</f>
        <v>27594.446800000002</v>
      </c>
      <c r="P88" s="254">
        <f>(12638.9575)*'[1]Изменение цен'!$D$85</f>
        <v>19341.240586923577</v>
      </c>
      <c r="Q88" s="258">
        <f t="shared" si="5"/>
        <v>46935.687386923579</v>
      </c>
    </row>
    <row r="89" spans="1:17" ht="16.5" thickBot="1">
      <c r="A89" s="2031" t="s">
        <v>7696</v>
      </c>
      <c r="B89" s="2035">
        <f t="shared" si="6"/>
        <v>85</v>
      </c>
      <c r="C89" s="2035" t="s">
        <v>3</v>
      </c>
      <c r="D89" s="2035">
        <f t="shared" si="7"/>
        <v>180</v>
      </c>
      <c r="E89" s="2035" t="s">
        <v>3</v>
      </c>
      <c r="F89" s="2040">
        <f t="shared" si="8"/>
        <v>2000</v>
      </c>
      <c r="G89" s="2035" t="s">
        <v>3</v>
      </c>
      <c r="H89" s="2032">
        <v>2</v>
      </c>
      <c r="I89" s="2034" t="s">
        <v>40</v>
      </c>
      <c r="J89" s="149">
        <v>85</v>
      </c>
      <c r="K89" s="66">
        <v>180</v>
      </c>
      <c r="L89" s="66">
        <v>2000</v>
      </c>
      <c r="M89" s="150"/>
      <c r="N89" s="78">
        <v>605.09542499999998</v>
      </c>
      <c r="O89" s="110">
        <f>(28409.6753)*'[1]Изменение цен'!$D$50</f>
        <v>28409.675299999999</v>
      </c>
      <c r="P89" s="254">
        <f>(13046.2385)*'[1]Изменение цен'!$D$85</f>
        <v>19964.497671812325</v>
      </c>
      <c r="Q89" s="258">
        <f t="shared" si="5"/>
        <v>48374.172971812324</v>
      </c>
    </row>
    <row r="90" spans="1:17" ht="16.5" thickBot="1">
      <c r="A90" s="2031" t="s">
        <v>7696</v>
      </c>
      <c r="B90" s="2035">
        <f t="shared" si="6"/>
        <v>85</v>
      </c>
      <c r="C90" s="2035" t="s">
        <v>3</v>
      </c>
      <c r="D90" s="2035">
        <f t="shared" si="7"/>
        <v>180</v>
      </c>
      <c r="E90" s="2035" t="s">
        <v>3</v>
      </c>
      <c r="F90" s="2040">
        <f t="shared" si="8"/>
        <v>2050</v>
      </c>
      <c r="G90" s="2035" t="s">
        <v>3</v>
      </c>
      <c r="H90" s="2032">
        <v>2</v>
      </c>
      <c r="I90" s="2034" t="s">
        <v>40</v>
      </c>
      <c r="J90" s="149">
        <v>85</v>
      </c>
      <c r="K90" s="66">
        <v>180</v>
      </c>
      <c r="L90" s="66">
        <v>2050</v>
      </c>
      <c r="M90" s="150"/>
      <c r="N90" s="78">
        <v>623.43164999999999</v>
      </c>
      <c r="O90" s="110">
        <f>(28929.5607)*'[1]Изменение цен'!$D$50</f>
        <v>28929.560700000002</v>
      </c>
      <c r="P90" s="254">
        <f>(13279.6754)*'[1]Изменение цен'!$D$85</f>
        <v>20321.723277228408</v>
      </c>
      <c r="Q90" s="258">
        <f t="shared" si="5"/>
        <v>49251.283977228406</v>
      </c>
    </row>
    <row r="91" spans="1:17" ht="16.5" thickBot="1">
      <c r="A91" s="2031" t="s">
        <v>7696</v>
      </c>
      <c r="B91" s="2032">
        <f t="shared" si="6"/>
        <v>85</v>
      </c>
      <c r="C91" s="2032" t="s">
        <v>3</v>
      </c>
      <c r="D91" s="2032">
        <f t="shared" si="7"/>
        <v>180</v>
      </c>
      <c r="E91" s="2032" t="s">
        <v>3</v>
      </c>
      <c r="F91" s="2040">
        <f t="shared" si="8"/>
        <v>2100</v>
      </c>
      <c r="G91" s="2032" t="s">
        <v>3</v>
      </c>
      <c r="H91" s="2032">
        <v>2</v>
      </c>
      <c r="I91" s="2034" t="s">
        <v>40</v>
      </c>
      <c r="J91" s="149">
        <v>85</v>
      </c>
      <c r="K91" s="66">
        <v>180</v>
      </c>
      <c r="L91" s="66">
        <v>2100</v>
      </c>
      <c r="M91" s="150"/>
      <c r="N91" s="78">
        <v>641.767875</v>
      </c>
      <c r="O91" s="110">
        <f>(29449.446)*'[1]Изменение цен'!$D$50</f>
        <v>29449.446</v>
      </c>
      <c r="P91" s="254">
        <f>(13686.9563)*'[1]Изменение цен'!$D$85</f>
        <v>20944.980209088393</v>
      </c>
      <c r="Q91" s="258">
        <f t="shared" si="5"/>
        <v>50394.426209088393</v>
      </c>
    </row>
    <row r="92" spans="1:17" ht="16.5" thickBot="1">
      <c r="A92" s="2031" t="s">
        <v>7696</v>
      </c>
      <c r="B92" s="2035">
        <f t="shared" si="6"/>
        <v>85</v>
      </c>
      <c r="C92" s="2035" t="s">
        <v>3</v>
      </c>
      <c r="D92" s="2035">
        <f t="shared" si="7"/>
        <v>180</v>
      </c>
      <c r="E92" s="2035" t="s">
        <v>3</v>
      </c>
      <c r="F92" s="2040">
        <f t="shared" si="8"/>
        <v>2150</v>
      </c>
      <c r="G92" s="2035" t="s">
        <v>3</v>
      </c>
      <c r="H92" s="2032">
        <v>2</v>
      </c>
      <c r="I92" s="2034" t="s">
        <v>40</v>
      </c>
      <c r="J92" s="149">
        <v>85</v>
      </c>
      <c r="K92" s="66">
        <v>180</v>
      </c>
      <c r="L92" s="66">
        <v>2150</v>
      </c>
      <c r="M92" s="150"/>
      <c r="N92" s="78">
        <v>660.10410000000002</v>
      </c>
      <c r="O92" s="110">
        <f>(29969.3311)*'[1]Изменение цен'!$D$50</f>
        <v>29969.331099999999</v>
      </c>
      <c r="P92" s="254">
        <f>(13920.3933)*'[1]Изменение цен'!$D$85</f>
        <v>21302.205967533242</v>
      </c>
      <c r="Q92" s="258">
        <f t="shared" si="5"/>
        <v>51271.537067533238</v>
      </c>
    </row>
    <row r="93" spans="1:17" ht="16.5" thickBot="1">
      <c r="A93" s="2031" t="s">
        <v>7696</v>
      </c>
      <c r="B93" s="2035">
        <f t="shared" si="6"/>
        <v>85</v>
      </c>
      <c r="C93" s="2035" t="s">
        <v>3</v>
      </c>
      <c r="D93" s="2035">
        <f t="shared" si="7"/>
        <v>180</v>
      </c>
      <c r="E93" s="2035" t="s">
        <v>3</v>
      </c>
      <c r="F93" s="2040">
        <f t="shared" si="8"/>
        <v>2200</v>
      </c>
      <c r="G93" s="2035" t="s">
        <v>3</v>
      </c>
      <c r="H93" s="2032">
        <v>2</v>
      </c>
      <c r="I93" s="2034" t="s">
        <v>40</v>
      </c>
      <c r="J93" s="149">
        <v>85</v>
      </c>
      <c r="K93" s="66">
        <v>180</v>
      </c>
      <c r="L93" s="66">
        <v>2200</v>
      </c>
      <c r="M93" s="150"/>
      <c r="N93" s="78">
        <v>678.44032500000014</v>
      </c>
      <c r="O93" s="110">
        <f>(30489.2164)*'[1]Изменение цен'!$D$50</f>
        <v>30489.216400000001</v>
      </c>
      <c r="P93" s="254">
        <f>(14327.6742)*'[1]Изменение цен'!$D$85</f>
        <v>21925.462899393227</v>
      </c>
      <c r="Q93" s="258">
        <f t="shared" ref="Q93:Q109" si="9">O93+P93</f>
        <v>52414.679299393232</v>
      </c>
    </row>
    <row r="94" spans="1:17" ht="16.5" thickBot="1">
      <c r="A94" s="2031" t="s">
        <v>7696</v>
      </c>
      <c r="B94" s="2035">
        <f t="shared" si="6"/>
        <v>85</v>
      </c>
      <c r="C94" s="2035" t="s">
        <v>3</v>
      </c>
      <c r="D94" s="2035">
        <f t="shared" si="7"/>
        <v>180</v>
      </c>
      <c r="E94" s="2035" t="s">
        <v>3</v>
      </c>
      <c r="F94" s="2040">
        <f t="shared" si="8"/>
        <v>2250</v>
      </c>
      <c r="G94" s="2035" t="s">
        <v>3</v>
      </c>
      <c r="H94" s="2032">
        <v>2</v>
      </c>
      <c r="I94" s="2034" t="s">
        <v>40</v>
      </c>
      <c r="J94" s="149">
        <v>85</v>
      </c>
      <c r="K94" s="66">
        <v>180</v>
      </c>
      <c r="L94" s="66">
        <v>2250</v>
      </c>
      <c r="M94" s="150"/>
      <c r="N94" s="78">
        <v>696.77654999999993</v>
      </c>
      <c r="O94" s="110">
        <f>(31009.1018)*'[1]Изменение цен'!$D$50</f>
        <v>31009.1018</v>
      </c>
      <c r="P94" s="254">
        <f>(14561.1111)*'[1]Изменение цен'!$D$85</f>
        <v>22282.68850480931</v>
      </c>
      <c r="Q94" s="258">
        <f t="shared" si="9"/>
        <v>53291.790304809314</v>
      </c>
    </row>
    <row r="95" spans="1:17" ht="16.5" thickBot="1">
      <c r="A95" s="2031" t="s">
        <v>7696</v>
      </c>
      <c r="B95" s="2035">
        <f t="shared" si="6"/>
        <v>85</v>
      </c>
      <c r="C95" s="2035" t="s">
        <v>3</v>
      </c>
      <c r="D95" s="2035">
        <f t="shared" si="7"/>
        <v>180</v>
      </c>
      <c r="E95" s="2035" t="s">
        <v>3</v>
      </c>
      <c r="F95" s="2040">
        <f t="shared" si="8"/>
        <v>2300</v>
      </c>
      <c r="G95" s="2035" t="s">
        <v>3</v>
      </c>
      <c r="H95" s="2032">
        <v>2</v>
      </c>
      <c r="I95" s="2034" t="s">
        <v>40</v>
      </c>
      <c r="J95" s="149">
        <v>85</v>
      </c>
      <c r="K95" s="66">
        <v>180</v>
      </c>
      <c r="L95" s="66">
        <v>2300</v>
      </c>
      <c r="M95" s="150"/>
      <c r="N95" s="78">
        <v>715.11277499999994</v>
      </c>
      <c r="O95" s="110">
        <f>(31528.9869)*'[1]Изменение цен'!$D$50</f>
        <v>31528.9869</v>
      </c>
      <c r="P95" s="254">
        <f>(14794.5481)*'[1]Изменение цен'!$D$85</f>
        <v>22639.914263254155</v>
      </c>
      <c r="Q95" s="258">
        <f t="shared" si="9"/>
        <v>54168.901163254151</v>
      </c>
    </row>
    <row r="96" spans="1:17" ht="16.5" thickBot="1">
      <c r="A96" s="2031" t="s">
        <v>7696</v>
      </c>
      <c r="B96" s="2035">
        <f t="shared" si="6"/>
        <v>85</v>
      </c>
      <c r="C96" s="2035" t="s">
        <v>3</v>
      </c>
      <c r="D96" s="2035">
        <f t="shared" si="7"/>
        <v>180</v>
      </c>
      <c r="E96" s="2035" t="s">
        <v>3</v>
      </c>
      <c r="F96" s="2040">
        <f t="shared" si="8"/>
        <v>2350</v>
      </c>
      <c r="G96" s="2035" t="s">
        <v>3</v>
      </c>
      <c r="H96" s="2032">
        <v>2</v>
      </c>
      <c r="I96" s="2034" t="s">
        <v>40</v>
      </c>
      <c r="J96" s="149">
        <v>85</v>
      </c>
      <c r="K96" s="66">
        <v>180</v>
      </c>
      <c r="L96" s="66">
        <v>2350</v>
      </c>
      <c r="M96" s="150"/>
      <c r="N96" s="78">
        <v>733.44899999999996</v>
      </c>
      <c r="O96" s="110">
        <f>(32048.8722)*'[1]Изменение цен'!$D$50</f>
        <v>32048.872200000002</v>
      </c>
      <c r="P96" s="254">
        <f>(15201.829)*'[1]Изменение цен'!$D$85</f>
        <v>23263.171195114141</v>
      </c>
      <c r="Q96" s="258">
        <f t="shared" si="9"/>
        <v>55312.043395114146</v>
      </c>
    </row>
    <row r="97" spans="1:17" ht="16.5" thickBot="1">
      <c r="A97" s="2031" t="s">
        <v>7696</v>
      </c>
      <c r="B97" s="2035">
        <f t="shared" si="6"/>
        <v>85</v>
      </c>
      <c r="C97" s="2035" t="s">
        <v>3</v>
      </c>
      <c r="D97" s="2035">
        <f t="shared" si="7"/>
        <v>180</v>
      </c>
      <c r="E97" s="2035" t="s">
        <v>3</v>
      </c>
      <c r="F97" s="2040">
        <f t="shared" si="8"/>
        <v>2400</v>
      </c>
      <c r="G97" s="2035" t="s">
        <v>3</v>
      </c>
      <c r="H97" s="2032">
        <v>2</v>
      </c>
      <c r="I97" s="2034" t="s">
        <v>40</v>
      </c>
      <c r="J97" s="149">
        <v>85</v>
      </c>
      <c r="K97" s="66">
        <v>180</v>
      </c>
      <c r="L97" s="66">
        <v>2400</v>
      </c>
      <c r="M97" s="150"/>
      <c r="N97" s="78">
        <v>751.78522499999985</v>
      </c>
      <c r="O97" s="110">
        <f>(32568.7575)*'[1]Изменение цен'!$D$50</f>
        <v>32568.7575</v>
      </c>
      <c r="P97" s="254">
        <f>(15435.2659)*'[1]Изменение цен'!$D$85</f>
        <v>23620.396800530223</v>
      </c>
      <c r="Q97" s="258">
        <f t="shared" si="9"/>
        <v>56189.154300530223</v>
      </c>
    </row>
    <row r="98" spans="1:17" ht="16.5" thickBot="1">
      <c r="A98" s="2031" t="s">
        <v>7696</v>
      </c>
      <c r="B98" s="2035">
        <f t="shared" si="6"/>
        <v>85</v>
      </c>
      <c r="C98" s="2035" t="s">
        <v>3</v>
      </c>
      <c r="D98" s="2035">
        <f t="shared" si="7"/>
        <v>180</v>
      </c>
      <c r="E98" s="2035" t="s">
        <v>3</v>
      </c>
      <c r="F98" s="2040">
        <f t="shared" si="8"/>
        <v>2450</v>
      </c>
      <c r="G98" s="2035" t="s">
        <v>3</v>
      </c>
      <c r="H98" s="2032">
        <v>2</v>
      </c>
      <c r="I98" s="2034" t="s">
        <v>40</v>
      </c>
      <c r="J98" s="149">
        <v>85</v>
      </c>
      <c r="K98" s="66">
        <v>180</v>
      </c>
      <c r="L98" s="66">
        <v>2450</v>
      </c>
      <c r="M98" s="150"/>
      <c r="N98" s="78">
        <v>770.12144999999998</v>
      </c>
      <c r="O98" s="110">
        <f>(33779.7006)*'[1]Изменение цен'!$D$50</f>
        <v>33779.700599999996</v>
      </c>
      <c r="P98" s="254">
        <f>(15842.5469)*'[1]Изменение цен'!$D$85</f>
        <v>24243.653885418971</v>
      </c>
      <c r="Q98" s="258">
        <f t="shared" si="9"/>
        <v>58023.354485418968</v>
      </c>
    </row>
    <row r="99" spans="1:17" ht="16.5" thickBot="1">
      <c r="A99" s="2031" t="s">
        <v>7696</v>
      </c>
      <c r="B99" s="2035">
        <f t="shared" si="6"/>
        <v>85</v>
      </c>
      <c r="C99" s="2035" t="s">
        <v>3</v>
      </c>
      <c r="D99" s="2035">
        <f t="shared" si="7"/>
        <v>180</v>
      </c>
      <c r="E99" s="2035" t="s">
        <v>3</v>
      </c>
      <c r="F99" s="2040">
        <f t="shared" si="8"/>
        <v>2500</v>
      </c>
      <c r="G99" s="2035" t="s">
        <v>3</v>
      </c>
      <c r="H99" s="2032">
        <v>2</v>
      </c>
      <c r="I99" s="2034" t="s">
        <v>40</v>
      </c>
      <c r="J99" s="149">
        <v>85</v>
      </c>
      <c r="K99" s="66">
        <v>180</v>
      </c>
      <c r="L99" s="66">
        <v>2500</v>
      </c>
      <c r="M99" s="150"/>
      <c r="N99" s="78">
        <v>788.45767499999988</v>
      </c>
      <c r="O99" s="110">
        <f>(34299.5859)*'[1]Изменение цен'!$D$50</f>
        <v>34299.585899999998</v>
      </c>
      <c r="P99" s="254">
        <f>(16075.9838)*'[1]Изменение цен'!$D$85</f>
        <v>24600.879490835054</v>
      </c>
      <c r="Q99" s="258">
        <f t="shared" si="9"/>
        <v>58900.465390835052</v>
      </c>
    </row>
    <row r="100" spans="1:17" ht="16.5" thickBot="1">
      <c r="A100" s="2031" t="s">
        <v>7696</v>
      </c>
      <c r="B100" s="2035">
        <f t="shared" si="6"/>
        <v>85</v>
      </c>
      <c r="C100" s="2035" t="s">
        <v>3</v>
      </c>
      <c r="D100" s="2035">
        <f t="shared" si="7"/>
        <v>180</v>
      </c>
      <c r="E100" s="2035" t="s">
        <v>3</v>
      </c>
      <c r="F100" s="2040">
        <f t="shared" si="8"/>
        <v>2550</v>
      </c>
      <c r="G100" s="2035" t="s">
        <v>3</v>
      </c>
      <c r="H100" s="2032">
        <v>2</v>
      </c>
      <c r="I100" s="2034" t="s">
        <v>40</v>
      </c>
      <c r="J100" s="149">
        <v>85</v>
      </c>
      <c r="K100" s="66">
        <v>180</v>
      </c>
      <c r="L100" s="66">
        <v>2550</v>
      </c>
      <c r="M100" s="150"/>
      <c r="N100" s="78">
        <v>806.79390000000001</v>
      </c>
      <c r="O100" s="110">
        <f>(34819.4712)*'[1]Изменение цен'!$D$50</f>
        <v>34819.4712</v>
      </c>
      <c r="P100" s="254">
        <f>(16483.2648)*'[1]Изменение цен'!$D$85</f>
        <v>25224.136575723809</v>
      </c>
      <c r="Q100" s="258">
        <f t="shared" si="9"/>
        <v>60043.607775723809</v>
      </c>
    </row>
    <row r="101" spans="1:17" ht="16.5" thickBot="1">
      <c r="A101" s="2031" t="s">
        <v>7696</v>
      </c>
      <c r="B101" s="2032">
        <f t="shared" si="6"/>
        <v>85</v>
      </c>
      <c r="C101" s="2032" t="s">
        <v>3</v>
      </c>
      <c r="D101" s="2032">
        <f t="shared" si="7"/>
        <v>180</v>
      </c>
      <c r="E101" s="2032" t="s">
        <v>3</v>
      </c>
      <c r="F101" s="2040">
        <f t="shared" si="8"/>
        <v>2600</v>
      </c>
      <c r="G101" s="2032" t="s">
        <v>3</v>
      </c>
      <c r="H101" s="2032">
        <v>2</v>
      </c>
      <c r="I101" s="2034" t="s">
        <v>40</v>
      </c>
      <c r="J101" s="149">
        <v>85</v>
      </c>
      <c r="K101" s="66">
        <v>180</v>
      </c>
      <c r="L101" s="66">
        <v>2600</v>
      </c>
      <c r="M101" s="150"/>
      <c r="N101" s="78">
        <v>825.13012500000002</v>
      </c>
      <c r="O101" s="110">
        <f>(35339.3564)*'[1]Изменение цен'!$D$50</f>
        <v>35339.356399999997</v>
      </c>
      <c r="P101" s="254">
        <f>(16716.7017)*'[1]Изменение цен'!$D$85</f>
        <v>25581.362181139888</v>
      </c>
      <c r="Q101" s="258">
        <f t="shared" si="9"/>
        <v>60920.718581139881</v>
      </c>
    </row>
    <row r="102" spans="1:17" ht="16.5" thickBot="1">
      <c r="A102" s="2031" t="s">
        <v>7696</v>
      </c>
      <c r="B102" s="2035">
        <f t="shared" si="6"/>
        <v>85</v>
      </c>
      <c r="C102" s="2035" t="s">
        <v>3</v>
      </c>
      <c r="D102" s="2035">
        <f t="shared" si="7"/>
        <v>180</v>
      </c>
      <c r="E102" s="2035" t="s">
        <v>3</v>
      </c>
      <c r="F102" s="2040">
        <f t="shared" si="8"/>
        <v>2650</v>
      </c>
      <c r="G102" s="2035" t="s">
        <v>3</v>
      </c>
      <c r="H102" s="2032">
        <v>2</v>
      </c>
      <c r="I102" s="2034" t="s">
        <v>40</v>
      </c>
      <c r="J102" s="149">
        <v>85</v>
      </c>
      <c r="K102" s="66">
        <v>180</v>
      </c>
      <c r="L102" s="66">
        <v>2650</v>
      </c>
      <c r="M102" s="150"/>
      <c r="N102" s="78">
        <v>843.46634999999992</v>
      </c>
      <c r="O102" s="110">
        <f>(35859.2417)*'[1]Изменение цен'!$D$50</f>
        <v>35859.241699999999</v>
      </c>
      <c r="P102" s="254">
        <f>(17123.9827)*'[1]Изменение цен'!$D$85</f>
        <v>26204.61926602864</v>
      </c>
      <c r="Q102" s="258">
        <f t="shared" si="9"/>
        <v>62063.860966028638</v>
      </c>
    </row>
    <row r="103" spans="1:17" ht="16.5" thickBot="1">
      <c r="A103" s="2031" t="s">
        <v>7696</v>
      </c>
      <c r="B103" s="2035">
        <f t="shared" si="6"/>
        <v>85</v>
      </c>
      <c r="C103" s="2035" t="s">
        <v>3</v>
      </c>
      <c r="D103" s="2035">
        <f t="shared" si="7"/>
        <v>180</v>
      </c>
      <c r="E103" s="2035" t="s">
        <v>3</v>
      </c>
      <c r="F103" s="2040">
        <f t="shared" si="8"/>
        <v>2700</v>
      </c>
      <c r="G103" s="2035" t="s">
        <v>3</v>
      </c>
      <c r="H103" s="2032">
        <v>2</v>
      </c>
      <c r="I103" s="2034" t="s">
        <v>40</v>
      </c>
      <c r="J103" s="149">
        <v>85</v>
      </c>
      <c r="K103" s="66">
        <v>180</v>
      </c>
      <c r="L103" s="66">
        <v>2700</v>
      </c>
      <c r="M103" s="150"/>
      <c r="N103" s="78">
        <v>861.80257500000005</v>
      </c>
      <c r="O103" s="110">
        <f>(36437.8922)*'[1]Изменение цен'!$D$50</f>
        <v>36437.892200000002</v>
      </c>
      <c r="P103" s="254">
        <f>(17357.4196)*'[1]Изменение цен'!$D$85</f>
        <v>26561.844871444722</v>
      </c>
      <c r="Q103" s="258">
        <f t="shared" si="9"/>
        <v>62999.737071444724</v>
      </c>
    </row>
    <row r="104" spans="1:17" ht="16.5" thickBot="1">
      <c r="A104" s="2031" t="s">
        <v>7696</v>
      </c>
      <c r="B104" s="2035">
        <f t="shared" si="6"/>
        <v>85</v>
      </c>
      <c r="C104" s="2035" t="s">
        <v>3</v>
      </c>
      <c r="D104" s="2035">
        <f t="shared" si="7"/>
        <v>180</v>
      </c>
      <c r="E104" s="2035" t="s">
        <v>3</v>
      </c>
      <c r="F104" s="2040">
        <f t="shared" si="8"/>
        <v>2750</v>
      </c>
      <c r="G104" s="2035" t="s">
        <v>3</v>
      </c>
      <c r="H104" s="2032">
        <v>2</v>
      </c>
      <c r="I104" s="2034" t="s">
        <v>40</v>
      </c>
      <c r="J104" s="149">
        <v>85</v>
      </c>
      <c r="K104" s="66">
        <v>180</v>
      </c>
      <c r="L104" s="66">
        <v>2750</v>
      </c>
      <c r="M104" s="150"/>
      <c r="N104" s="78">
        <v>880.13879999999995</v>
      </c>
      <c r="O104" s="110">
        <f>(36957.7775)*'[1]Изменение цен'!$D$50</f>
        <v>36957.777499999997</v>
      </c>
      <c r="P104" s="254">
        <f>(17590.8565)*'[1]Изменение цен'!$D$85</f>
        <v>26919.070476860805</v>
      </c>
      <c r="Q104" s="258">
        <f t="shared" si="9"/>
        <v>63876.847976860801</v>
      </c>
    </row>
    <row r="105" spans="1:17" ht="16.5" thickBot="1">
      <c r="A105" s="2031" t="s">
        <v>7696</v>
      </c>
      <c r="B105" s="2035">
        <f t="shared" si="6"/>
        <v>85</v>
      </c>
      <c r="C105" s="2035" t="s">
        <v>3</v>
      </c>
      <c r="D105" s="2035">
        <f t="shared" si="7"/>
        <v>180</v>
      </c>
      <c r="E105" s="2035" t="s">
        <v>3</v>
      </c>
      <c r="F105" s="2040">
        <f t="shared" si="8"/>
        <v>2800</v>
      </c>
      <c r="G105" s="2035" t="s">
        <v>3</v>
      </c>
      <c r="H105" s="2032">
        <v>2</v>
      </c>
      <c r="I105" s="2034" t="s">
        <v>40</v>
      </c>
      <c r="J105" s="149">
        <v>85</v>
      </c>
      <c r="K105" s="66">
        <v>180</v>
      </c>
      <c r="L105" s="66">
        <v>2800</v>
      </c>
      <c r="M105" s="150"/>
      <c r="N105" s="78">
        <v>898.47502500000007</v>
      </c>
      <c r="O105" s="110">
        <f>(37477.6627)*'[1]Изменение цен'!$D$50</f>
        <v>37477.662700000001</v>
      </c>
      <c r="P105" s="254">
        <f>(17998.1375)*'[1]Изменение цен'!$D$85</f>
        <v>27542.327561749553</v>
      </c>
      <c r="Q105" s="258">
        <f t="shared" si="9"/>
        <v>65019.990261749554</v>
      </c>
    </row>
    <row r="106" spans="1:17" ht="16.5" thickBot="1">
      <c r="A106" s="2031" t="s">
        <v>7696</v>
      </c>
      <c r="B106" s="2035">
        <f t="shared" si="6"/>
        <v>85</v>
      </c>
      <c r="C106" s="2035" t="s">
        <v>3</v>
      </c>
      <c r="D106" s="2035">
        <f t="shared" si="7"/>
        <v>180</v>
      </c>
      <c r="E106" s="2035" t="s">
        <v>3</v>
      </c>
      <c r="F106" s="2040">
        <f t="shared" si="8"/>
        <v>2850</v>
      </c>
      <c r="G106" s="2035" t="s">
        <v>3</v>
      </c>
      <c r="H106" s="2032">
        <v>2</v>
      </c>
      <c r="I106" s="2034" t="s">
        <v>40</v>
      </c>
      <c r="J106" s="149">
        <v>85</v>
      </c>
      <c r="K106" s="66">
        <v>180</v>
      </c>
      <c r="L106" s="66">
        <v>2850</v>
      </c>
      <c r="M106" s="150"/>
      <c r="N106" s="78">
        <v>916.81124999999997</v>
      </c>
      <c r="O106" s="110">
        <f>(37997.548)*'[1]Изменение цен'!$D$50</f>
        <v>37997.548000000003</v>
      </c>
      <c r="P106" s="254">
        <f>(18231.5744)*'[1]Изменение цен'!$D$85</f>
        <v>27899.553167165635</v>
      </c>
      <c r="Q106" s="258">
        <f t="shared" si="9"/>
        <v>65897.101167165645</v>
      </c>
    </row>
    <row r="107" spans="1:17" ht="16.5" thickBot="1">
      <c r="A107" s="2031" t="s">
        <v>7696</v>
      </c>
      <c r="B107" s="2035">
        <f t="shared" si="6"/>
        <v>85</v>
      </c>
      <c r="C107" s="2035" t="s">
        <v>3</v>
      </c>
      <c r="D107" s="2035">
        <f t="shared" si="7"/>
        <v>180</v>
      </c>
      <c r="E107" s="2035" t="s">
        <v>3</v>
      </c>
      <c r="F107" s="2040">
        <f t="shared" si="8"/>
        <v>2900</v>
      </c>
      <c r="G107" s="2035" t="s">
        <v>3</v>
      </c>
      <c r="H107" s="2032">
        <v>2</v>
      </c>
      <c r="I107" s="2034" t="s">
        <v>40</v>
      </c>
      <c r="J107" s="149">
        <v>85</v>
      </c>
      <c r="K107" s="66">
        <v>180</v>
      </c>
      <c r="L107" s="66">
        <v>2900</v>
      </c>
      <c r="M107" s="150"/>
      <c r="N107" s="78">
        <v>935.14747499999999</v>
      </c>
      <c r="O107" s="110">
        <f>(38517.4333)*'[1]Изменение цен'!$D$50</f>
        <v>38517.433299999997</v>
      </c>
      <c r="P107" s="254">
        <f>(18638.8553)*'[1]Изменение цен'!$D$85</f>
        <v>28522.810099025621</v>
      </c>
      <c r="Q107" s="258">
        <f t="shared" si="9"/>
        <v>67040.24339902561</v>
      </c>
    </row>
    <row r="108" spans="1:17" ht="16.5" thickBot="1">
      <c r="A108" s="2031" t="s">
        <v>7696</v>
      </c>
      <c r="B108" s="2035">
        <f t="shared" si="6"/>
        <v>85</v>
      </c>
      <c r="C108" s="2035" t="s">
        <v>3</v>
      </c>
      <c r="D108" s="2035">
        <f t="shared" si="7"/>
        <v>180</v>
      </c>
      <c r="E108" s="2035" t="s">
        <v>3</v>
      </c>
      <c r="F108" s="2040">
        <f t="shared" si="8"/>
        <v>2950</v>
      </c>
      <c r="G108" s="2035" t="s">
        <v>3</v>
      </c>
      <c r="H108" s="2032">
        <v>2</v>
      </c>
      <c r="I108" s="2034" t="s">
        <v>40</v>
      </c>
      <c r="J108" s="149">
        <v>85</v>
      </c>
      <c r="K108" s="66">
        <v>180</v>
      </c>
      <c r="L108" s="66">
        <v>2950</v>
      </c>
      <c r="M108" s="150"/>
      <c r="N108" s="78">
        <v>953.4837</v>
      </c>
      <c r="O108" s="110">
        <f>(39037.3184)*'[1]Изменение цен'!$D$50</f>
        <v>39037.318399999996</v>
      </c>
      <c r="P108" s="254">
        <f>(18872.2923)*'[1]Изменение цен'!$D$85</f>
        <v>28880.03585747047</v>
      </c>
      <c r="Q108" s="258">
        <f t="shared" si="9"/>
        <v>67917.354257470462</v>
      </c>
    </row>
    <row r="109" spans="1:17" ht="16.5" thickBot="1">
      <c r="A109" s="2031" t="s">
        <v>7696</v>
      </c>
      <c r="B109" s="2035">
        <f t="shared" si="6"/>
        <v>85</v>
      </c>
      <c r="C109" s="2035" t="s">
        <v>3</v>
      </c>
      <c r="D109" s="2035">
        <f t="shared" si="7"/>
        <v>180</v>
      </c>
      <c r="E109" s="2035" t="s">
        <v>3</v>
      </c>
      <c r="F109" s="2041">
        <f t="shared" si="8"/>
        <v>3000</v>
      </c>
      <c r="G109" s="2035" t="s">
        <v>3</v>
      </c>
      <c r="H109" s="2035">
        <v>2</v>
      </c>
      <c r="I109" s="2042" t="s">
        <v>40</v>
      </c>
      <c r="J109" s="151">
        <v>85</v>
      </c>
      <c r="K109" s="126">
        <v>180</v>
      </c>
      <c r="L109" s="126">
        <v>3000</v>
      </c>
      <c r="M109" s="152"/>
      <c r="N109" s="127">
        <v>971.81992500000001</v>
      </c>
      <c r="O109" s="136">
        <f>(41062.6709)*'[1]Изменение цен'!$D$50</f>
        <v>41062.670899999997</v>
      </c>
      <c r="P109" s="255">
        <f>(19279.5732)*'[1]Изменение цен'!$D$85</f>
        <v>29503.292789330451</v>
      </c>
      <c r="Q109" s="260">
        <f t="shared" si="9"/>
        <v>70565.963689330441</v>
      </c>
    </row>
    <row r="110" spans="1:17" ht="21.75" thickBot="1">
      <c r="A110" s="2968" t="s">
        <v>7695</v>
      </c>
      <c r="B110" s="2969"/>
      <c r="C110" s="2969"/>
      <c r="D110" s="2969"/>
      <c r="E110" s="2969"/>
      <c r="F110" s="2969"/>
      <c r="G110" s="2969"/>
      <c r="H110" s="2969"/>
      <c r="I110" s="2969"/>
      <c r="J110" s="2969"/>
      <c r="K110" s="2969"/>
      <c r="L110" s="2969"/>
      <c r="M110" s="2969"/>
      <c r="N110" s="2969"/>
      <c r="O110" s="2969"/>
      <c r="P110" s="2969"/>
      <c r="Q110" s="2970"/>
    </row>
    <row r="111" spans="1:17" ht="16.5" thickBot="1">
      <c r="A111" s="2974" t="s">
        <v>117</v>
      </c>
      <c r="B111" s="2975"/>
      <c r="C111" s="2975"/>
      <c r="D111" s="2975"/>
      <c r="E111" s="2975"/>
      <c r="F111" s="2975"/>
      <c r="G111" s="2975"/>
      <c r="H111" s="2975"/>
      <c r="I111" s="2975"/>
      <c r="J111" s="2975"/>
      <c r="K111" s="2975"/>
      <c r="L111" s="2975"/>
      <c r="M111" s="2975"/>
      <c r="N111" s="2975"/>
      <c r="O111" s="2975"/>
      <c r="P111" s="2975"/>
      <c r="Q111" s="2976"/>
    </row>
    <row r="112" spans="1:17" ht="16.5" thickBot="1">
      <c r="A112" s="2043" t="s">
        <v>7696</v>
      </c>
      <c r="B112" s="2035">
        <f>J112</f>
        <v>140</v>
      </c>
      <c r="C112" s="2035" t="s">
        <v>3</v>
      </c>
      <c r="D112" s="2035">
        <f>K112</f>
        <v>140</v>
      </c>
      <c r="E112" s="2035" t="s">
        <v>3</v>
      </c>
      <c r="F112" s="2044">
        <f>L112</f>
        <v>600</v>
      </c>
      <c r="G112" s="2035" t="s">
        <v>3</v>
      </c>
      <c r="H112" s="2035">
        <v>4</v>
      </c>
      <c r="I112" s="2045" t="s">
        <v>41</v>
      </c>
      <c r="J112" s="146">
        <v>140</v>
      </c>
      <c r="K112" s="138">
        <v>140</v>
      </c>
      <c r="L112" s="138">
        <v>600</v>
      </c>
      <c r="M112" s="163"/>
      <c r="N112" s="123">
        <v>154.80882224999996</v>
      </c>
      <c r="O112" s="148">
        <f>(15670.6043)*'[1]Изменение цен'!$D$50</f>
        <v>15670.604300000001</v>
      </c>
      <c r="P112" s="253">
        <f>(3934.6587)*'[1]Изменение цен'!$D$85</f>
        <v>6021.1596204933794</v>
      </c>
      <c r="Q112" s="139">
        <f t="shared" ref="Q112:Q143" si="10">O112+P112</f>
        <v>21691.76392049338</v>
      </c>
    </row>
    <row r="113" spans="1:17" ht="16.5" thickBot="1">
      <c r="A113" s="2031" t="s">
        <v>7696</v>
      </c>
      <c r="B113" s="2035">
        <f t="shared" ref="B113:B160" si="11">J113</f>
        <v>140</v>
      </c>
      <c r="C113" s="2035" t="s">
        <v>3</v>
      </c>
      <c r="D113" s="2035">
        <f t="shared" ref="D113:D160" si="12">K113</f>
        <v>140</v>
      </c>
      <c r="E113" s="2035" t="s">
        <v>3</v>
      </c>
      <c r="F113" s="2033">
        <f t="shared" ref="F113:F160" si="13">L113</f>
        <v>650</v>
      </c>
      <c r="G113" s="2035" t="s">
        <v>3</v>
      </c>
      <c r="H113" s="2032">
        <v>4</v>
      </c>
      <c r="I113" s="2034" t="s">
        <v>41</v>
      </c>
      <c r="J113" s="149">
        <v>140</v>
      </c>
      <c r="K113" s="104">
        <v>140</v>
      </c>
      <c r="L113" s="104">
        <v>650</v>
      </c>
      <c r="M113" s="164"/>
      <c r="N113" s="78">
        <v>185.77058669999997</v>
      </c>
      <c r="O113" s="111">
        <f>(16450.4105)*'[1]Изменение цен'!$D$50</f>
        <v>16450.410500000002</v>
      </c>
      <c r="P113" s="254">
        <f>(4142.2808)*'[1]Изменение цен'!$D$85</f>
        <v>6338.8811562499732</v>
      </c>
      <c r="Q113" s="110">
        <f t="shared" si="10"/>
        <v>22789.291656249974</v>
      </c>
    </row>
    <row r="114" spans="1:17" ht="16.5" thickBot="1">
      <c r="A114" s="2031" t="s">
        <v>7696</v>
      </c>
      <c r="B114" s="2035">
        <f t="shared" si="11"/>
        <v>140</v>
      </c>
      <c r="C114" s="2035" t="s">
        <v>3</v>
      </c>
      <c r="D114" s="2035">
        <f t="shared" si="12"/>
        <v>140</v>
      </c>
      <c r="E114" s="2035" t="s">
        <v>3</v>
      </c>
      <c r="F114" s="2033">
        <f t="shared" si="13"/>
        <v>700</v>
      </c>
      <c r="G114" s="2035" t="s">
        <v>3</v>
      </c>
      <c r="H114" s="2032">
        <v>4</v>
      </c>
      <c r="I114" s="2034" t="s">
        <v>41</v>
      </c>
      <c r="J114" s="149">
        <v>140</v>
      </c>
      <c r="K114" s="104">
        <v>140</v>
      </c>
      <c r="L114" s="104">
        <v>700</v>
      </c>
      <c r="M114" s="164"/>
      <c r="N114" s="78">
        <v>216.73235114999994</v>
      </c>
      <c r="O114" s="111">
        <f>(17230.2168)*'[1]Изменение цен'!$D$50</f>
        <v>17230.216799999998</v>
      </c>
      <c r="P114" s="254">
        <f>(4504.5224)*'[1]Изменение цен'!$D$85</f>
        <v>6893.2150034990145</v>
      </c>
      <c r="Q114" s="110">
        <f t="shared" si="10"/>
        <v>24123.431803499014</v>
      </c>
    </row>
    <row r="115" spans="1:17" ht="16.5" thickBot="1">
      <c r="A115" s="2031" t="s">
        <v>7696</v>
      </c>
      <c r="B115" s="2035">
        <f t="shared" si="11"/>
        <v>140</v>
      </c>
      <c r="C115" s="2035" t="s">
        <v>3</v>
      </c>
      <c r="D115" s="2035">
        <f t="shared" si="12"/>
        <v>140</v>
      </c>
      <c r="E115" s="2035" t="s">
        <v>3</v>
      </c>
      <c r="F115" s="2033">
        <f t="shared" si="13"/>
        <v>750</v>
      </c>
      <c r="G115" s="2035" t="s">
        <v>3</v>
      </c>
      <c r="H115" s="2032">
        <v>4</v>
      </c>
      <c r="I115" s="2034" t="s">
        <v>41</v>
      </c>
      <c r="J115" s="149">
        <v>140</v>
      </c>
      <c r="K115" s="104">
        <v>140</v>
      </c>
      <c r="L115" s="104">
        <v>750</v>
      </c>
      <c r="M115" s="164"/>
      <c r="N115" s="78">
        <v>247.69411559999998</v>
      </c>
      <c r="O115" s="111">
        <f>(18010.0229)*'[1]Изменение цен'!$D$50</f>
        <v>18010.0229</v>
      </c>
      <c r="P115" s="254">
        <f>(4712.1445)*'[1]Изменение цен'!$D$85</f>
        <v>7210.9365392556074</v>
      </c>
      <c r="Q115" s="110">
        <f t="shared" si="10"/>
        <v>25220.959439255606</v>
      </c>
    </row>
    <row r="116" spans="1:17" ht="16.5" thickBot="1">
      <c r="A116" s="2031" t="s">
        <v>7696</v>
      </c>
      <c r="B116" s="2035">
        <f t="shared" si="11"/>
        <v>140</v>
      </c>
      <c r="C116" s="2035" t="s">
        <v>3</v>
      </c>
      <c r="D116" s="2035">
        <f t="shared" si="12"/>
        <v>140</v>
      </c>
      <c r="E116" s="2035" t="s">
        <v>3</v>
      </c>
      <c r="F116" s="2033">
        <f t="shared" si="13"/>
        <v>800</v>
      </c>
      <c r="G116" s="2035" t="s">
        <v>3</v>
      </c>
      <c r="H116" s="2032">
        <v>4</v>
      </c>
      <c r="I116" s="2034" t="s">
        <v>41</v>
      </c>
      <c r="J116" s="149">
        <v>140</v>
      </c>
      <c r="K116" s="104">
        <v>140</v>
      </c>
      <c r="L116" s="104">
        <v>800</v>
      </c>
      <c r="M116" s="164"/>
      <c r="N116" s="78">
        <v>278.65588005000001</v>
      </c>
      <c r="O116" s="111">
        <f>(18789.8292)*'[1]Изменение цен'!$D$50</f>
        <v>18789.8292</v>
      </c>
      <c r="P116" s="254">
        <f>(4919.7666)*'[1]Изменение цен'!$D$85</f>
        <v>7528.6580750121993</v>
      </c>
      <c r="Q116" s="110">
        <f t="shared" si="10"/>
        <v>26318.487275012201</v>
      </c>
    </row>
    <row r="117" spans="1:17" ht="16.5" thickBot="1">
      <c r="A117" s="2031" t="s">
        <v>7696</v>
      </c>
      <c r="B117" s="2035">
        <f t="shared" si="11"/>
        <v>140</v>
      </c>
      <c r="C117" s="2035" t="s">
        <v>3</v>
      </c>
      <c r="D117" s="2035">
        <f t="shared" si="12"/>
        <v>140</v>
      </c>
      <c r="E117" s="2035" t="s">
        <v>3</v>
      </c>
      <c r="F117" s="2033">
        <f t="shared" si="13"/>
        <v>850</v>
      </c>
      <c r="G117" s="2035" t="s">
        <v>3</v>
      </c>
      <c r="H117" s="2032">
        <v>4</v>
      </c>
      <c r="I117" s="2034" t="s">
        <v>41</v>
      </c>
      <c r="J117" s="149">
        <v>140</v>
      </c>
      <c r="K117" s="104">
        <v>140</v>
      </c>
      <c r="L117" s="104">
        <v>850</v>
      </c>
      <c r="M117" s="164"/>
      <c r="N117" s="78">
        <v>309.61764449999993</v>
      </c>
      <c r="O117" s="111">
        <f>(19569.6355)*'[1]Изменение цен'!$D$50</f>
        <v>19569.6355</v>
      </c>
      <c r="P117" s="254">
        <f>(5282.0081)*'[1]Изменение цен'!$D$85</f>
        <v>8082.9917692324771</v>
      </c>
      <c r="Q117" s="110">
        <f t="shared" si="10"/>
        <v>27652.627269232478</v>
      </c>
    </row>
    <row r="118" spans="1:17" ht="16.5" thickBot="1">
      <c r="A118" s="2031" t="s">
        <v>7696</v>
      </c>
      <c r="B118" s="2035">
        <f t="shared" si="11"/>
        <v>140</v>
      </c>
      <c r="C118" s="2035" t="s">
        <v>3</v>
      </c>
      <c r="D118" s="2035">
        <f t="shared" si="12"/>
        <v>140</v>
      </c>
      <c r="E118" s="2035" t="s">
        <v>3</v>
      </c>
      <c r="F118" s="2033">
        <f t="shared" si="13"/>
        <v>900</v>
      </c>
      <c r="G118" s="2035" t="s">
        <v>3</v>
      </c>
      <c r="H118" s="2032">
        <v>4</v>
      </c>
      <c r="I118" s="2034" t="s">
        <v>41</v>
      </c>
      <c r="J118" s="149">
        <v>140</v>
      </c>
      <c r="K118" s="104">
        <v>140</v>
      </c>
      <c r="L118" s="104">
        <v>900</v>
      </c>
      <c r="M118" s="164"/>
      <c r="N118" s="78">
        <v>340.57940894999996</v>
      </c>
      <c r="O118" s="111">
        <f>(20349.4417)*'[1]Изменение цен'!$D$50</f>
        <v>20349.441699999999</v>
      </c>
      <c r="P118" s="254">
        <f>(5489.6302)*'[1]Изменение цен'!$D$85</f>
        <v>8400.713304989069</v>
      </c>
      <c r="Q118" s="110">
        <f t="shared" si="10"/>
        <v>28750.155004989068</v>
      </c>
    </row>
    <row r="119" spans="1:17" ht="16.5" thickBot="1">
      <c r="A119" s="2031" t="s">
        <v>7696</v>
      </c>
      <c r="B119" s="2035">
        <f t="shared" si="11"/>
        <v>140</v>
      </c>
      <c r="C119" s="2035" t="s">
        <v>3</v>
      </c>
      <c r="D119" s="2035">
        <f t="shared" si="12"/>
        <v>140</v>
      </c>
      <c r="E119" s="2035" t="s">
        <v>3</v>
      </c>
      <c r="F119" s="2033">
        <f t="shared" si="13"/>
        <v>950</v>
      </c>
      <c r="G119" s="2035" t="s">
        <v>3</v>
      </c>
      <c r="H119" s="2032">
        <v>4</v>
      </c>
      <c r="I119" s="2034" t="s">
        <v>41</v>
      </c>
      <c r="J119" s="149">
        <v>140</v>
      </c>
      <c r="K119" s="104">
        <v>140</v>
      </c>
      <c r="L119" s="104">
        <v>950</v>
      </c>
      <c r="M119" s="164"/>
      <c r="N119" s="78">
        <v>371.54117339999993</v>
      </c>
      <c r="O119" s="111">
        <f>(21129.248)*'[1]Изменение цен'!$D$50</f>
        <v>21129.248</v>
      </c>
      <c r="P119" s="254">
        <f>(5851.8718)*'[1]Изменение цен'!$D$85</f>
        <v>8955.0471522381122</v>
      </c>
      <c r="Q119" s="110">
        <f t="shared" si="10"/>
        <v>30084.295152238112</v>
      </c>
    </row>
    <row r="120" spans="1:17" ht="16.5" thickBot="1">
      <c r="A120" s="2031" t="s">
        <v>7696</v>
      </c>
      <c r="B120" s="2035">
        <f t="shared" si="11"/>
        <v>140</v>
      </c>
      <c r="C120" s="2035" t="s">
        <v>3</v>
      </c>
      <c r="D120" s="2035">
        <f t="shared" si="12"/>
        <v>140</v>
      </c>
      <c r="E120" s="2035" t="s">
        <v>3</v>
      </c>
      <c r="F120" s="2033">
        <f t="shared" si="13"/>
        <v>1000</v>
      </c>
      <c r="G120" s="2035" t="s">
        <v>3</v>
      </c>
      <c r="H120" s="2032">
        <v>4</v>
      </c>
      <c r="I120" s="2034" t="s">
        <v>41</v>
      </c>
      <c r="J120" s="149">
        <v>140</v>
      </c>
      <c r="K120" s="104">
        <v>140</v>
      </c>
      <c r="L120" s="104">
        <v>1000</v>
      </c>
      <c r="M120" s="164"/>
      <c r="N120" s="78">
        <v>402.50293784999997</v>
      </c>
      <c r="O120" s="111">
        <f>(21909.0541)*'[1]Изменение цен'!$D$50</f>
        <v>21909.054100000001</v>
      </c>
      <c r="P120" s="254">
        <f>(6059.4939)*'[1]Изменение цен'!$D$85</f>
        <v>9272.768687994705</v>
      </c>
      <c r="Q120" s="110">
        <f t="shared" si="10"/>
        <v>31181.822787994708</v>
      </c>
    </row>
    <row r="121" spans="1:17" ht="16.5" thickBot="1">
      <c r="A121" s="2031" t="s">
        <v>7696</v>
      </c>
      <c r="B121" s="2035">
        <f t="shared" si="11"/>
        <v>140</v>
      </c>
      <c r="C121" s="2035" t="s">
        <v>3</v>
      </c>
      <c r="D121" s="2035">
        <f t="shared" si="12"/>
        <v>140</v>
      </c>
      <c r="E121" s="2035" t="s">
        <v>3</v>
      </c>
      <c r="F121" s="2033">
        <f t="shared" si="13"/>
        <v>1050</v>
      </c>
      <c r="G121" s="2035" t="s">
        <v>3</v>
      </c>
      <c r="H121" s="2032">
        <v>4</v>
      </c>
      <c r="I121" s="2034" t="s">
        <v>41</v>
      </c>
      <c r="J121" s="149">
        <v>140</v>
      </c>
      <c r="K121" s="104">
        <v>140</v>
      </c>
      <c r="L121" s="104">
        <v>1050</v>
      </c>
      <c r="M121" s="164"/>
      <c r="N121" s="78">
        <v>433.46470229999989</v>
      </c>
      <c r="O121" s="111">
        <f>(22688.8604)*'[1]Изменение цен'!$D$50</f>
        <v>22688.860400000001</v>
      </c>
      <c r="P121" s="254">
        <f>(6421.7354)*'[1]Изменение цен'!$D$85</f>
        <v>9827.10238221498</v>
      </c>
      <c r="Q121" s="110">
        <f t="shared" si="10"/>
        <v>32515.962782214981</v>
      </c>
    </row>
    <row r="122" spans="1:17" ht="16.5" thickBot="1">
      <c r="A122" s="2031" t="s">
        <v>7696</v>
      </c>
      <c r="B122" s="2032">
        <f t="shared" si="11"/>
        <v>140</v>
      </c>
      <c r="C122" s="2032" t="s">
        <v>3</v>
      </c>
      <c r="D122" s="2032">
        <f t="shared" si="12"/>
        <v>140</v>
      </c>
      <c r="E122" s="2032" t="s">
        <v>3</v>
      </c>
      <c r="F122" s="2033">
        <f t="shared" si="13"/>
        <v>1100</v>
      </c>
      <c r="G122" s="2032" t="s">
        <v>3</v>
      </c>
      <c r="H122" s="2032">
        <v>4</v>
      </c>
      <c r="I122" s="2034" t="s">
        <v>41</v>
      </c>
      <c r="J122" s="149">
        <v>140</v>
      </c>
      <c r="K122" s="104">
        <v>140</v>
      </c>
      <c r="L122" s="104">
        <v>1100</v>
      </c>
      <c r="M122" s="164"/>
      <c r="N122" s="78">
        <v>464.42646674999997</v>
      </c>
      <c r="O122" s="111">
        <f>(23468.6667)*'[1]Изменение цен'!$D$50</f>
        <v>23468.666700000002</v>
      </c>
      <c r="P122" s="254">
        <f>(6629.3575)*'[1]Изменение цен'!$D$85</f>
        <v>10144.823917971575</v>
      </c>
      <c r="Q122" s="110">
        <f t="shared" si="10"/>
        <v>33613.490617971576</v>
      </c>
    </row>
    <row r="123" spans="1:17" ht="16.5" thickBot="1">
      <c r="A123" s="2031" t="s">
        <v>7696</v>
      </c>
      <c r="B123" s="2035">
        <f t="shared" si="11"/>
        <v>140</v>
      </c>
      <c r="C123" s="2035" t="s">
        <v>3</v>
      </c>
      <c r="D123" s="2035">
        <f t="shared" si="12"/>
        <v>140</v>
      </c>
      <c r="E123" s="2035" t="s">
        <v>3</v>
      </c>
      <c r="F123" s="2033">
        <f t="shared" si="13"/>
        <v>1150</v>
      </c>
      <c r="G123" s="2035" t="s">
        <v>3</v>
      </c>
      <c r="H123" s="2032">
        <v>4</v>
      </c>
      <c r="I123" s="2034" t="s">
        <v>41</v>
      </c>
      <c r="J123" s="149">
        <v>140</v>
      </c>
      <c r="K123" s="104">
        <v>140</v>
      </c>
      <c r="L123" s="104">
        <v>1150</v>
      </c>
      <c r="M123" s="164"/>
      <c r="N123" s="78">
        <v>495.38823119999995</v>
      </c>
      <c r="O123" s="111">
        <f>(24248.4729)*'[1]Изменение цен'!$D$50</f>
        <v>24248.472900000001</v>
      </c>
      <c r="P123" s="254">
        <f>(6836.9796)*'[1]Изменение цен'!$D$85</f>
        <v>10462.545453728166</v>
      </c>
      <c r="Q123" s="110">
        <f t="shared" si="10"/>
        <v>34711.01835372817</v>
      </c>
    </row>
    <row r="124" spans="1:17" ht="16.5" thickBot="1">
      <c r="A124" s="2031" t="s">
        <v>7696</v>
      </c>
      <c r="B124" s="2035">
        <f t="shared" si="11"/>
        <v>140</v>
      </c>
      <c r="C124" s="2035" t="s">
        <v>3</v>
      </c>
      <c r="D124" s="2035">
        <f t="shared" si="12"/>
        <v>140</v>
      </c>
      <c r="E124" s="2035" t="s">
        <v>3</v>
      </c>
      <c r="F124" s="2033">
        <f t="shared" si="13"/>
        <v>1200</v>
      </c>
      <c r="G124" s="2035" t="s">
        <v>3</v>
      </c>
      <c r="H124" s="2032">
        <v>4</v>
      </c>
      <c r="I124" s="2034" t="s">
        <v>41</v>
      </c>
      <c r="J124" s="149">
        <v>140</v>
      </c>
      <c r="K124" s="104">
        <v>140</v>
      </c>
      <c r="L124" s="104">
        <v>1200</v>
      </c>
      <c r="M124" s="164"/>
      <c r="N124" s="78">
        <v>526.34999564999987</v>
      </c>
      <c r="O124" s="111">
        <f>(25118.5276)*'[1]Изменение цен'!$D$50</f>
        <v>25118.527600000001</v>
      </c>
      <c r="P124" s="254">
        <f>(7199.2211)*'[1]Изменение цен'!$D$85</f>
        <v>11016.879147948443</v>
      </c>
      <c r="Q124" s="110">
        <f t="shared" si="10"/>
        <v>36135.406747948444</v>
      </c>
    </row>
    <row r="125" spans="1:17" ht="16.5" thickBot="1">
      <c r="A125" s="2031" t="s">
        <v>7696</v>
      </c>
      <c r="B125" s="2035">
        <f t="shared" si="11"/>
        <v>140</v>
      </c>
      <c r="C125" s="2035" t="s">
        <v>3</v>
      </c>
      <c r="D125" s="2035">
        <f t="shared" si="12"/>
        <v>140</v>
      </c>
      <c r="E125" s="2035" t="s">
        <v>3</v>
      </c>
      <c r="F125" s="2033">
        <f t="shared" si="13"/>
        <v>1250</v>
      </c>
      <c r="G125" s="2035" t="s">
        <v>3</v>
      </c>
      <c r="H125" s="2032">
        <v>4</v>
      </c>
      <c r="I125" s="2034" t="s">
        <v>41</v>
      </c>
      <c r="J125" s="149">
        <v>140</v>
      </c>
      <c r="K125" s="104">
        <v>140</v>
      </c>
      <c r="L125" s="104">
        <v>1250</v>
      </c>
      <c r="M125" s="164"/>
      <c r="N125" s="78">
        <v>557.31176010000001</v>
      </c>
      <c r="O125" s="111">
        <f>(25898.3339)*'[1]Изменение цен'!$D$50</f>
        <v>25898.333900000001</v>
      </c>
      <c r="P125" s="254">
        <f>(7406.8433)*'[1]Изменение цен'!$D$85</f>
        <v>11334.600836733802</v>
      </c>
      <c r="Q125" s="110">
        <f t="shared" si="10"/>
        <v>37232.934736733805</v>
      </c>
    </row>
    <row r="126" spans="1:17" ht="16.5" thickBot="1">
      <c r="A126" s="2031" t="s">
        <v>7696</v>
      </c>
      <c r="B126" s="2035">
        <f t="shared" si="11"/>
        <v>140</v>
      </c>
      <c r="C126" s="2035" t="s">
        <v>3</v>
      </c>
      <c r="D126" s="2035">
        <f t="shared" si="12"/>
        <v>140</v>
      </c>
      <c r="E126" s="2035" t="s">
        <v>3</v>
      </c>
      <c r="F126" s="2033">
        <f t="shared" si="13"/>
        <v>1300</v>
      </c>
      <c r="G126" s="2035" t="s">
        <v>3</v>
      </c>
      <c r="H126" s="2032">
        <v>4</v>
      </c>
      <c r="I126" s="2034" t="s">
        <v>41</v>
      </c>
      <c r="J126" s="149">
        <v>140</v>
      </c>
      <c r="K126" s="104">
        <v>140</v>
      </c>
      <c r="L126" s="104">
        <v>1300</v>
      </c>
      <c r="M126" s="164"/>
      <c r="N126" s="78">
        <v>588.27352454999982</v>
      </c>
      <c r="O126" s="111">
        <f>(26678.1402)*'[1]Изменение цен'!$D$50</f>
        <v>26678.140200000002</v>
      </c>
      <c r="P126" s="254">
        <f>(7769.0848)*'[1]Изменение цен'!$D$85</f>
        <v>11888.934530954079</v>
      </c>
      <c r="Q126" s="110">
        <f t="shared" si="10"/>
        <v>38567.074730954082</v>
      </c>
    </row>
    <row r="127" spans="1:17" ht="16.5" thickBot="1">
      <c r="A127" s="2031" t="s">
        <v>7696</v>
      </c>
      <c r="B127" s="2035">
        <f t="shared" si="11"/>
        <v>140</v>
      </c>
      <c r="C127" s="2035" t="s">
        <v>3</v>
      </c>
      <c r="D127" s="2035">
        <f t="shared" si="12"/>
        <v>140</v>
      </c>
      <c r="E127" s="2035" t="s">
        <v>3</v>
      </c>
      <c r="F127" s="2033">
        <f t="shared" si="13"/>
        <v>1350</v>
      </c>
      <c r="G127" s="2035" t="s">
        <v>3</v>
      </c>
      <c r="H127" s="2032">
        <v>4</v>
      </c>
      <c r="I127" s="2034" t="s">
        <v>41</v>
      </c>
      <c r="J127" s="149">
        <v>140</v>
      </c>
      <c r="K127" s="104">
        <v>140</v>
      </c>
      <c r="L127" s="104">
        <v>1350</v>
      </c>
      <c r="M127" s="164"/>
      <c r="N127" s="78">
        <v>619.23528899999985</v>
      </c>
      <c r="O127" s="111">
        <f>(27457.9463)*'[1]Изменение цен'!$D$50</f>
        <v>27457.9463</v>
      </c>
      <c r="P127" s="254">
        <f>(7976.7069)*'[1]Изменение цен'!$D$85</f>
        <v>12206.656066710671</v>
      </c>
      <c r="Q127" s="110">
        <f t="shared" si="10"/>
        <v>39664.602366710671</v>
      </c>
    </row>
    <row r="128" spans="1:17" ht="16.5" thickBot="1">
      <c r="A128" s="2031" t="s">
        <v>7696</v>
      </c>
      <c r="B128" s="2035">
        <f t="shared" si="11"/>
        <v>140</v>
      </c>
      <c r="C128" s="2035" t="s">
        <v>3</v>
      </c>
      <c r="D128" s="2035">
        <f t="shared" si="12"/>
        <v>140</v>
      </c>
      <c r="E128" s="2035" t="s">
        <v>3</v>
      </c>
      <c r="F128" s="2033">
        <f t="shared" si="13"/>
        <v>1400</v>
      </c>
      <c r="G128" s="2035" t="s">
        <v>3</v>
      </c>
      <c r="H128" s="2032">
        <v>4</v>
      </c>
      <c r="I128" s="2034" t="s">
        <v>41</v>
      </c>
      <c r="J128" s="149">
        <v>140</v>
      </c>
      <c r="K128" s="104">
        <v>140</v>
      </c>
      <c r="L128" s="104">
        <v>1400</v>
      </c>
      <c r="M128" s="164"/>
      <c r="N128" s="78">
        <v>650.19705345</v>
      </c>
      <c r="O128" s="111">
        <f>(28237.7527)*'[1]Изменение цен'!$D$50</f>
        <v>28237.752700000001</v>
      </c>
      <c r="P128" s="254">
        <f>(8338.9484)*'[1]Изменение цен'!$D$85</f>
        <v>12760.989760930946</v>
      </c>
      <c r="Q128" s="110">
        <f t="shared" si="10"/>
        <v>40998.742460930946</v>
      </c>
    </row>
    <row r="129" spans="1:17" ht="16.5" thickBot="1">
      <c r="A129" s="2031" t="s">
        <v>7696</v>
      </c>
      <c r="B129" s="2035">
        <f t="shared" si="11"/>
        <v>140</v>
      </c>
      <c r="C129" s="2035" t="s">
        <v>3</v>
      </c>
      <c r="D129" s="2035">
        <f t="shared" si="12"/>
        <v>140</v>
      </c>
      <c r="E129" s="2035" t="s">
        <v>3</v>
      </c>
      <c r="F129" s="2033">
        <f t="shared" si="13"/>
        <v>1450</v>
      </c>
      <c r="G129" s="2035" t="s">
        <v>3</v>
      </c>
      <c r="H129" s="2032">
        <v>4</v>
      </c>
      <c r="I129" s="2034" t="s">
        <v>41</v>
      </c>
      <c r="J129" s="149">
        <v>140</v>
      </c>
      <c r="K129" s="104">
        <v>140</v>
      </c>
      <c r="L129" s="104">
        <v>1450</v>
      </c>
      <c r="M129" s="164"/>
      <c r="N129" s="78">
        <v>681.15881789999992</v>
      </c>
      <c r="O129" s="111">
        <f>(29017.5587999999)*'[1]Изменение цен'!$D$50</f>
        <v>29017.558799999901</v>
      </c>
      <c r="P129" s="254">
        <f>(8546.5705)*'[1]Изменение цен'!$D$85</f>
        <v>13078.711296687541</v>
      </c>
      <c r="Q129" s="110">
        <f t="shared" si="10"/>
        <v>42096.27009668744</v>
      </c>
    </row>
    <row r="130" spans="1:17" ht="16.5" thickBot="1">
      <c r="A130" s="2031" t="s">
        <v>7696</v>
      </c>
      <c r="B130" s="2035">
        <f t="shared" si="11"/>
        <v>140</v>
      </c>
      <c r="C130" s="2035" t="s">
        <v>3</v>
      </c>
      <c r="D130" s="2035">
        <f t="shared" si="12"/>
        <v>140</v>
      </c>
      <c r="E130" s="2035" t="s">
        <v>3</v>
      </c>
      <c r="F130" s="2033">
        <f t="shared" si="13"/>
        <v>1500</v>
      </c>
      <c r="G130" s="2035" t="s">
        <v>3</v>
      </c>
      <c r="H130" s="2032">
        <v>4</v>
      </c>
      <c r="I130" s="2034" t="s">
        <v>41</v>
      </c>
      <c r="J130" s="149">
        <v>140</v>
      </c>
      <c r="K130" s="104">
        <v>140</v>
      </c>
      <c r="L130" s="104">
        <v>1500</v>
      </c>
      <c r="M130" s="164"/>
      <c r="N130" s="78">
        <v>712.12058234999984</v>
      </c>
      <c r="O130" s="111">
        <f>(30416.6177)*'[1]Изменение цен'!$D$50</f>
        <v>30416.617699999999</v>
      </c>
      <c r="P130" s="254">
        <f>(8908.8121)*'[1]Изменение цен'!$D$85</f>
        <v>13633.045143936582</v>
      </c>
      <c r="Q130" s="110">
        <f t="shared" si="10"/>
        <v>44049.662843936581</v>
      </c>
    </row>
    <row r="131" spans="1:17" ht="16.5" thickBot="1">
      <c r="A131" s="2031" t="s">
        <v>7696</v>
      </c>
      <c r="B131" s="2035">
        <f t="shared" si="11"/>
        <v>140</v>
      </c>
      <c r="C131" s="2035" t="s">
        <v>3</v>
      </c>
      <c r="D131" s="2035">
        <f t="shared" si="12"/>
        <v>140</v>
      </c>
      <c r="E131" s="2035" t="s">
        <v>3</v>
      </c>
      <c r="F131" s="2033">
        <f t="shared" si="13"/>
        <v>1550</v>
      </c>
      <c r="G131" s="2035" t="s">
        <v>3</v>
      </c>
      <c r="H131" s="2032">
        <v>4</v>
      </c>
      <c r="I131" s="2034" t="s">
        <v>41</v>
      </c>
      <c r="J131" s="149">
        <v>140</v>
      </c>
      <c r="K131" s="104">
        <v>140</v>
      </c>
      <c r="L131" s="104">
        <v>1550</v>
      </c>
      <c r="M131" s="164"/>
      <c r="N131" s="78">
        <v>743.08234679999987</v>
      </c>
      <c r="O131" s="111">
        <f>(31196.424)*'[1]Изменение цен'!$D$50</f>
        <v>31196.423999999999</v>
      </c>
      <c r="P131" s="254">
        <f>(9116.4342)*'[1]Изменение цен'!$D$85</f>
        <v>13950.766679693175</v>
      </c>
      <c r="Q131" s="110">
        <f t="shared" si="10"/>
        <v>45147.190679693173</v>
      </c>
    </row>
    <row r="132" spans="1:17" ht="16.5" thickBot="1">
      <c r="A132" s="2031" t="s">
        <v>7696</v>
      </c>
      <c r="B132" s="2032">
        <f t="shared" si="11"/>
        <v>140</v>
      </c>
      <c r="C132" s="2032" t="s">
        <v>3</v>
      </c>
      <c r="D132" s="2032">
        <f t="shared" si="12"/>
        <v>140</v>
      </c>
      <c r="E132" s="2032" t="s">
        <v>3</v>
      </c>
      <c r="F132" s="2033">
        <f t="shared" si="13"/>
        <v>1600</v>
      </c>
      <c r="G132" s="2032" t="s">
        <v>3</v>
      </c>
      <c r="H132" s="2032">
        <v>4</v>
      </c>
      <c r="I132" s="2034" t="s">
        <v>41</v>
      </c>
      <c r="J132" s="149">
        <v>140</v>
      </c>
      <c r="K132" s="104">
        <v>140</v>
      </c>
      <c r="L132" s="104">
        <v>1600</v>
      </c>
      <c r="M132" s="164"/>
      <c r="N132" s="78">
        <v>774.0441112499999</v>
      </c>
      <c r="O132" s="111">
        <f>(31976.2301)*'[1]Изменение цен'!$D$50</f>
        <v>31976.230100000001</v>
      </c>
      <c r="P132" s="254">
        <f>(9324.0563)*'[1]Изменение цен'!$D$85</f>
        <v>14268.488215449768</v>
      </c>
      <c r="Q132" s="110">
        <f t="shared" si="10"/>
        <v>46244.718315449769</v>
      </c>
    </row>
    <row r="133" spans="1:17" ht="16.5" thickBot="1">
      <c r="A133" s="2031" t="s">
        <v>7696</v>
      </c>
      <c r="B133" s="2035">
        <f t="shared" si="11"/>
        <v>140</v>
      </c>
      <c r="C133" s="2035" t="s">
        <v>3</v>
      </c>
      <c r="D133" s="2035">
        <f t="shared" si="12"/>
        <v>140</v>
      </c>
      <c r="E133" s="2035" t="s">
        <v>3</v>
      </c>
      <c r="F133" s="2033">
        <f t="shared" si="13"/>
        <v>1650</v>
      </c>
      <c r="G133" s="2035" t="s">
        <v>3</v>
      </c>
      <c r="H133" s="2032">
        <v>4</v>
      </c>
      <c r="I133" s="2034" t="s">
        <v>41</v>
      </c>
      <c r="J133" s="149">
        <v>140</v>
      </c>
      <c r="K133" s="104">
        <v>140</v>
      </c>
      <c r="L133" s="104">
        <v>1650</v>
      </c>
      <c r="M133" s="164"/>
      <c r="N133" s="78">
        <v>805.00587569999993</v>
      </c>
      <c r="O133" s="111">
        <f>(32756.0364)*'[1]Изменение цен'!$D$50</f>
        <v>32756.036400000001</v>
      </c>
      <c r="P133" s="254">
        <f>(9686.2978)*'[1]Изменение цен'!$D$85</f>
        <v>14822.821909670045</v>
      </c>
      <c r="Q133" s="110">
        <f t="shared" si="10"/>
        <v>47578.858309670046</v>
      </c>
    </row>
    <row r="134" spans="1:17" ht="16.5" thickBot="1">
      <c r="A134" s="2031" t="s">
        <v>7696</v>
      </c>
      <c r="B134" s="2035">
        <f t="shared" si="11"/>
        <v>140</v>
      </c>
      <c r="C134" s="2035" t="s">
        <v>3</v>
      </c>
      <c r="D134" s="2035">
        <f t="shared" si="12"/>
        <v>140</v>
      </c>
      <c r="E134" s="2035" t="s">
        <v>3</v>
      </c>
      <c r="F134" s="2033">
        <f t="shared" si="13"/>
        <v>1700</v>
      </c>
      <c r="G134" s="2035" t="s">
        <v>3</v>
      </c>
      <c r="H134" s="2032">
        <v>4</v>
      </c>
      <c r="I134" s="2034" t="s">
        <v>41</v>
      </c>
      <c r="J134" s="149">
        <v>140</v>
      </c>
      <c r="K134" s="104">
        <v>140</v>
      </c>
      <c r="L134" s="104">
        <v>1700</v>
      </c>
      <c r="M134" s="164"/>
      <c r="N134" s="78">
        <v>835.96764014999985</v>
      </c>
      <c r="O134" s="111">
        <f>(33535.8427)*'[1]Изменение цен'!$D$50</f>
        <v>33535.842700000001</v>
      </c>
      <c r="P134" s="254">
        <f>(9893.9199)*'[1]Изменение цен'!$D$85</f>
        <v>15140.54344542664</v>
      </c>
      <c r="Q134" s="110">
        <f t="shared" si="10"/>
        <v>48676.386145426644</v>
      </c>
    </row>
    <row r="135" spans="1:17" ht="16.5" thickBot="1">
      <c r="A135" s="2031" t="s">
        <v>7696</v>
      </c>
      <c r="B135" s="2035">
        <f t="shared" si="11"/>
        <v>140</v>
      </c>
      <c r="C135" s="2035" t="s">
        <v>3</v>
      </c>
      <c r="D135" s="2035">
        <f t="shared" si="12"/>
        <v>140</v>
      </c>
      <c r="E135" s="2035" t="s">
        <v>3</v>
      </c>
      <c r="F135" s="2033">
        <f t="shared" si="13"/>
        <v>1750</v>
      </c>
      <c r="G135" s="2035" t="s">
        <v>3</v>
      </c>
      <c r="H135" s="2032">
        <v>4</v>
      </c>
      <c r="I135" s="2034" t="s">
        <v>41</v>
      </c>
      <c r="J135" s="149">
        <v>140</v>
      </c>
      <c r="K135" s="104">
        <v>140</v>
      </c>
      <c r="L135" s="104">
        <v>1750</v>
      </c>
      <c r="M135" s="164"/>
      <c r="N135" s="78">
        <v>866.92940459999977</v>
      </c>
      <c r="O135" s="111">
        <f>(34315.6489)*'[1]Изменение цен'!$D$50</f>
        <v>34315.6489</v>
      </c>
      <c r="P135" s="254">
        <f>(10256.1615)*'[1]Изменение цен'!$D$85</f>
        <v>15694.877292675681</v>
      </c>
      <c r="Q135" s="110">
        <f t="shared" si="10"/>
        <v>50010.526192675679</v>
      </c>
    </row>
    <row r="136" spans="1:17" ht="16.5" thickBot="1">
      <c r="A136" s="2031" t="s">
        <v>7696</v>
      </c>
      <c r="B136" s="2035">
        <f t="shared" si="11"/>
        <v>140</v>
      </c>
      <c r="C136" s="2035" t="s">
        <v>3</v>
      </c>
      <c r="D136" s="2035">
        <f t="shared" si="12"/>
        <v>140</v>
      </c>
      <c r="E136" s="2035" t="s">
        <v>3</v>
      </c>
      <c r="F136" s="2033">
        <f t="shared" si="13"/>
        <v>1800</v>
      </c>
      <c r="G136" s="2035" t="s">
        <v>3</v>
      </c>
      <c r="H136" s="2032">
        <v>4</v>
      </c>
      <c r="I136" s="2034" t="s">
        <v>41</v>
      </c>
      <c r="J136" s="149">
        <v>140</v>
      </c>
      <c r="K136" s="104">
        <v>140</v>
      </c>
      <c r="L136" s="104">
        <v>1800</v>
      </c>
      <c r="M136" s="164"/>
      <c r="N136" s="78">
        <v>897.8911690499998</v>
      </c>
      <c r="O136" s="111">
        <f>(35095.4552)*'[1]Изменение цен'!$D$50</f>
        <v>35095.455199999997</v>
      </c>
      <c r="P136" s="254">
        <f>(10463.7836)*'[1]Изменение цен'!$D$85</f>
        <v>16012.598828432274</v>
      </c>
      <c r="Q136" s="110">
        <f t="shared" si="10"/>
        <v>51108.054028432271</v>
      </c>
    </row>
    <row r="137" spans="1:17" ht="16.5" thickBot="1">
      <c r="A137" s="2031" t="s">
        <v>7696</v>
      </c>
      <c r="B137" s="2035">
        <f t="shared" si="11"/>
        <v>140</v>
      </c>
      <c r="C137" s="2035" t="s">
        <v>3</v>
      </c>
      <c r="D137" s="2035">
        <f t="shared" si="12"/>
        <v>140</v>
      </c>
      <c r="E137" s="2035" t="s">
        <v>3</v>
      </c>
      <c r="F137" s="2033">
        <f t="shared" si="13"/>
        <v>1850</v>
      </c>
      <c r="G137" s="2035" t="s">
        <v>3</v>
      </c>
      <c r="H137" s="2032">
        <v>4</v>
      </c>
      <c r="I137" s="2034" t="s">
        <v>41</v>
      </c>
      <c r="J137" s="149">
        <v>140</v>
      </c>
      <c r="K137" s="104">
        <v>140</v>
      </c>
      <c r="L137" s="104">
        <v>1850</v>
      </c>
      <c r="M137" s="164"/>
      <c r="N137" s="78">
        <v>928.85293349999995</v>
      </c>
      <c r="O137" s="111">
        <f>(35875.2613)*'[1]Изменение цен'!$D$50</f>
        <v>35875.261299999998</v>
      </c>
      <c r="P137" s="254">
        <f>(10826.0251)*'[1]Изменение цен'!$D$85</f>
        <v>16566.932522652551</v>
      </c>
      <c r="Q137" s="110">
        <f t="shared" si="10"/>
        <v>52442.193822652553</v>
      </c>
    </row>
    <row r="138" spans="1:17" ht="16.5" thickBot="1">
      <c r="A138" s="2031" t="s">
        <v>7696</v>
      </c>
      <c r="B138" s="2035">
        <f t="shared" si="11"/>
        <v>140</v>
      </c>
      <c r="C138" s="2035" t="s">
        <v>3</v>
      </c>
      <c r="D138" s="2035">
        <f t="shared" si="12"/>
        <v>140</v>
      </c>
      <c r="E138" s="2035" t="s">
        <v>3</v>
      </c>
      <c r="F138" s="2033">
        <f t="shared" si="13"/>
        <v>1900</v>
      </c>
      <c r="G138" s="2035" t="s">
        <v>3</v>
      </c>
      <c r="H138" s="2032">
        <v>4</v>
      </c>
      <c r="I138" s="2034" t="s">
        <v>41</v>
      </c>
      <c r="J138" s="149">
        <v>140</v>
      </c>
      <c r="K138" s="104">
        <v>140</v>
      </c>
      <c r="L138" s="104">
        <v>1900</v>
      </c>
      <c r="M138" s="164"/>
      <c r="N138" s="78">
        <v>959.81469794999987</v>
      </c>
      <c r="O138" s="111">
        <f>(36655.0676)*'[1]Изменение цен'!$D$50</f>
        <v>36655.067600000002</v>
      </c>
      <c r="P138" s="254">
        <f>(11033.6472)*'[1]Изменение цен'!$D$85</f>
        <v>16884.654058409142</v>
      </c>
      <c r="Q138" s="110">
        <f t="shared" si="10"/>
        <v>53539.721658409144</v>
      </c>
    </row>
    <row r="139" spans="1:17" ht="16.5" thickBot="1">
      <c r="A139" s="2031" t="s">
        <v>7696</v>
      </c>
      <c r="B139" s="2035">
        <f t="shared" si="11"/>
        <v>140</v>
      </c>
      <c r="C139" s="2035" t="s">
        <v>3</v>
      </c>
      <c r="D139" s="2035">
        <f t="shared" si="12"/>
        <v>140</v>
      </c>
      <c r="E139" s="2035" t="s">
        <v>3</v>
      </c>
      <c r="F139" s="2033">
        <f t="shared" si="13"/>
        <v>1950</v>
      </c>
      <c r="G139" s="2035" t="s">
        <v>3</v>
      </c>
      <c r="H139" s="2032">
        <v>4</v>
      </c>
      <c r="I139" s="2034" t="s">
        <v>41</v>
      </c>
      <c r="J139" s="149">
        <v>140</v>
      </c>
      <c r="K139" s="104">
        <v>140</v>
      </c>
      <c r="L139" s="104">
        <v>1950</v>
      </c>
      <c r="M139" s="164"/>
      <c r="N139" s="78">
        <v>990.7764623999999</v>
      </c>
      <c r="O139" s="111">
        <f>(37525.1224)*'[1]Изменение цен'!$D$50</f>
        <v>37525.1224</v>
      </c>
      <c r="P139" s="254">
        <f>(11241.2693)*'[1]Изменение цен'!$D$85</f>
        <v>17202.375594165736</v>
      </c>
      <c r="Q139" s="110">
        <f t="shared" si="10"/>
        <v>54727.497994165737</v>
      </c>
    </row>
    <row r="140" spans="1:17" ht="16.5" thickBot="1">
      <c r="A140" s="2031" t="s">
        <v>7696</v>
      </c>
      <c r="B140" s="2035">
        <f t="shared" si="11"/>
        <v>140</v>
      </c>
      <c r="C140" s="2035" t="s">
        <v>3</v>
      </c>
      <c r="D140" s="2035">
        <f t="shared" si="12"/>
        <v>140</v>
      </c>
      <c r="E140" s="2035" t="s">
        <v>3</v>
      </c>
      <c r="F140" s="2033">
        <f t="shared" si="13"/>
        <v>2000</v>
      </c>
      <c r="G140" s="2035" t="s">
        <v>3</v>
      </c>
      <c r="H140" s="2032">
        <v>4</v>
      </c>
      <c r="I140" s="2034" t="s">
        <v>41</v>
      </c>
      <c r="J140" s="149">
        <v>140</v>
      </c>
      <c r="K140" s="104">
        <v>140</v>
      </c>
      <c r="L140" s="104">
        <v>2000</v>
      </c>
      <c r="M140" s="164"/>
      <c r="N140" s="78">
        <v>1021.7382268499997</v>
      </c>
      <c r="O140" s="111">
        <f>(38574.5979)*'[1]Изменение цен'!$D$50</f>
        <v>38574.597900000001</v>
      </c>
      <c r="P140" s="254">
        <f>(11603.5109)*'[1]Изменение цен'!$D$85</f>
        <v>17756.709441414776</v>
      </c>
      <c r="Q140" s="110">
        <f t="shared" si="10"/>
        <v>56331.30734141478</v>
      </c>
    </row>
    <row r="141" spans="1:17" ht="16.5" thickBot="1">
      <c r="A141" s="2031" t="s">
        <v>7696</v>
      </c>
      <c r="B141" s="2035">
        <f t="shared" si="11"/>
        <v>140</v>
      </c>
      <c r="C141" s="2035" t="s">
        <v>3</v>
      </c>
      <c r="D141" s="2035">
        <f t="shared" si="12"/>
        <v>140</v>
      </c>
      <c r="E141" s="2035" t="s">
        <v>3</v>
      </c>
      <c r="F141" s="2033">
        <f t="shared" si="13"/>
        <v>2050</v>
      </c>
      <c r="G141" s="2035" t="s">
        <v>3</v>
      </c>
      <c r="H141" s="2032">
        <v>4</v>
      </c>
      <c r="I141" s="2034" t="s">
        <v>41</v>
      </c>
      <c r="J141" s="149">
        <v>140</v>
      </c>
      <c r="K141" s="104">
        <v>140</v>
      </c>
      <c r="L141" s="104">
        <v>2050</v>
      </c>
      <c r="M141" s="164"/>
      <c r="N141" s="78">
        <v>1052.6999912999997</v>
      </c>
      <c r="O141" s="111">
        <f>(39354.4042)*'[1]Изменение цен'!$D$50</f>
        <v>39354.404199999997</v>
      </c>
      <c r="P141" s="254">
        <f>(11811.133)*'[1]Изменение цен'!$D$85</f>
        <v>18074.430977171371</v>
      </c>
      <c r="Q141" s="110">
        <f t="shared" si="10"/>
        <v>57428.835177171364</v>
      </c>
    </row>
    <row r="142" spans="1:17" ht="16.5" thickBot="1">
      <c r="A142" s="2031" t="s">
        <v>7696</v>
      </c>
      <c r="B142" s="2032">
        <f t="shared" si="11"/>
        <v>140</v>
      </c>
      <c r="C142" s="2032" t="s">
        <v>3</v>
      </c>
      <c r="D142" s="2032">
        <f t="shared" si="12"/>
        <v>140</v>
      </c>
      <c r="E142" s="2032" t="s">
        <v>3</v>
      </c>
      <c r="F142" s="2033">
        <f t="shared" si="13"/>
        <v>2100</v>
      </c>
      <c r="G142" s="2032" t="s">
        <v>3</v>
      </c>
      <c r="H142" s="2032">
        <v>4</v>
      </c>
      <c r="I142" s="2034" t="s">
        <v>41</v>
      </c>
      <c r="J142" s="149">
        <v>140</v>
      </c>
      <c r="K142" s="104">
        <v>140</v>
      </c>
      <c r="L142" s="104">
        <v>2100</v>
      </c>
      <c r="M142" s="164"/>
      <c r="N142" s="78">
        <v>1083.6617557499999</v>
      </c>
      <c r="O142" s="111">
        <f>(40134.2103)*'[1]Изменение цен'!$D$50</f>
        <v>40134.210299999999</v>
      </c>
      <c r="P142" s="254">
        <f>(12173.3745)*'[1]Изменение цен'!$D$85</f>
        <v>18628.764671391647</v>
      </c>
      <c r="Q142" s="110">
        <f t="shared" si="10"/>
        <v>58762.974971391646</v>
      </c>
    </row>
    <row r="143" spans="1:17" ht="16.5" thickBot="1">
      <c r="A143" s="2031" t="s">
        <v>7696</v>
      </c>
      <c r="B143" s="2035">
        <f t="shared" si="11"/>
        <v>140</v>
      </c>
      <c r="C143" s="2035" t="s">
        <v>3</v>
      </c>
      <c r="D143" s="2035">
        <f t="shared" si="12"/>
        <v>140</v>
      </c>
      <c r="E143" s="2035" t="s">
        <v>3</v>
      </c>
      <c r="F143" s="2033">
        <f t="shared" si="13"/>
        <v>2150</v>
      </c>
      <c r="G143" s="2035" t="s">
        <v>3</v>
      </c>
      <c r="H143" s="2032">
        <v>4</v>
      </c>
      <c r="I143" s="2034" t="s">
        <v>41</v>
      </c>
      <c r="J143" s="149">
        <v>140</v>
      </c>
      <c r="K143" s="104">
        <v>140</v>
      </c>
      <c r="L143" s="104">
        <v>2150</v>
      </c>
      <c r="M143" s="164"/>
      <c r="N143" s="78">
        <v>1114.6235202</v>
      </c>
      <c r="O143" s="111">
        <f>(40914.0166)*'[1]Изменение цен'!$D$50</f>
        <v>40914.016600000003</v>
      </c>
      <c r="P143" s="254">
        <f>(12380.9966)*'[1]Изменение цен'!$D$85</f>
        <v>18946.486207148242</v>
      </c>
      <c r="Q143" s="110">
        <f t="shared" si="10"/>
        <v>59860.502807148245</v>
      </c>
    </row>
    <row r="144" spans="1:17" ht="16.5" thickBot="1">
      <c r="A144" s="2031" t="s">
        <v>7696</v>
      </c>
      <c r="B144" s="2035">
        <f t="shared" si="11"/>
        <v>140</v>
      </c>
      <c r="C144" s="2035" t="s">
        <v>3</v>
      </c>
      <c r="D144" s="2035">
        <f t="shared" si="12"/>
        <v>140</v>
      </c>
      <c r="E144" s="2035" t="s">
        <v>3</v>
      </c>
      <c r="F144" s="2033">
        <f t="shared" si="13"/>
        <v>2200</v>
      </c>
      <c r="G144" s="2035" t="s">
        <v>3</v>
      </c>
      <c r="H144" s="2032">
        <v>4</v>
      </c>
      <c r="I144" s="2034" t="s">
        <v>41</v>
      </c>
      <c r="J144" s="149">
        <v>140</v>
      </c>
      <c r="K144" s="104">
        <v>140</v>
      </c>
      <c r="L144" s="104">
        <v>2200</v>
      </c>
      <c r="M144" s="164"/>
      <c r="N144" s="78">
        <v>1145.5852846499997</v>
      </c>
      <c r="O144" s="111">
        <f>(41693.8229)*'[1]Изменение цен'!$D$50</f>
        <v>41693.822899999999</v>
      </c>
      <c r="P144" s="254">
        <f>(12743.2381)*'[1]Изменение цен'!$D$85</f>
        <v>19500.819901368519</v>
      </c>
      <c r="Q144" s="110">
        <f t="shared" ref="Q144:Q160" si="14">O144+P144</f>
        <v>61194.642801368522</v>
      </c>
    </row>
    <row r="145" spans="1:17" ht="16.5" thickBot="1">
      <c r="A145" s="2031" t="s">
        <v>7696</v>
      </c>
      <c r="B145" s="2035">
        <f t="shared" si="11"/>
        <v>140</v>
      </c>
      <c r="C145" s="2035" t="s">
        <v>3</v>
      </c>
      <c r="D145" s="2035">
        <f t="shared" si="12"/>
        <v>140</v>
      </c>
      <c r="E145" s="2035" t="s">
        <v>3</v>
      </c>
      <c r="F145" s="2033">
        <f t="shared" si="13"/>
        <v>2250</v>
      </c>
      <c r="G145" s="2035" t="s">
        <v>3</v>
      </c>
      <c r="H145" s="2032">
        <v>4</v>
      </c>
      <c r="I145" s="2034" t="s">
        <v>41</v>
      </c>
      <c r="J145" s="149">
        <v>140</v>
      </c>
      <c r="K145" s="104">
        <v>140</v>
      </c>
      <c r="L145" s="104">
        <v>2250</v>
      </c>
      <c r="M145" s="164"/>
      <c r="N145" s="78">
        <v>1176.5470490999996</v>
      </c>
      <c r="O145" s="111">
        <f>(42473.6291)*'[1]Изменение цен'!$D$50</f>
        <v>42473.629099999998</v>
      </c>
      <c r="P145" s="254">
        <f>(12950.8603)*'[1]Изменение цен'!$D$85</f>
        <v>19818.541590153876</v>
      </c>
      <c r="Q145" s="110">
        <f t="shared" si="14"/>
        <v>62292.170690153871</v>
      </c>
    </row>
    <row r="146" spans="1:17" ht="16.5" thickBot="1">
      <c r="A146" s="2031" t="s">
        <v>7696</v>
      </c>
      <c r="B146" s="2035">
        <f t="shared" si="11"/>
        <v>140</v>
      </c>
      <c r="C146" s="2035" t="s">
        <v>3</v>
      </c>
      <c r="D146" s="2035">
        <f t="shared" si="12"/>
        <v>140</v>
      </c>
      <c r="E146" s="2035" t="s">
        <v>3</v>
      </c>
      <c r="F146" s="2033">
        <f t="shared" si="13"/>
        <v>2300</v>
      </c>
      <c r="G146" s="2035" t="s">
        <v>3</v>
      </c>
      <c r="H146" s="2032">
        <v>4</v>
      </c>
      <c r="I146" s="2034" t="s">
        <v>41</v>
      </c>
      <c r="J146" s="149">
        <v>140</v>
      </c>
      <c r="K146" s="104">
        <v>140</v>
      </c>
      <c r="L146" s="104">
        <v>2300</v>
      </c>
      <c r="M146" s="164"/>
      <c r="N146" s="78">
        <v>1207.5088135499998</v>
      </c>
      <c r="O146" s="111">
        <f>(43253.4354)*'[1]Изменение цен'!$D$50</f>
        <v>43253.435400000002</v>
      </c>
      <c r="P146" s="254">
        <f>(13158.4824)*'[1]Изменение цен'!$D$85</f>
        <v>20136.263125910467</v>
      </c>
      <c r="Q146" s="110">
        <f t="shared" si="14"/>
        <v>63389.698525910469</v>
      </c>
    </row>
    <row r="147" spans="1:17" ht="16.5" thickBot="1">
      <c r="A147" s="2031" t="s">
        <v>7696</v>
      </c>
      <c r="B147" s="2035">
        <f t="shared" si="11"/>
        <v>140</v>
      </c>
      <c r="C147" s="2035" t="s">
        <v>3</v>
      </c>
      <c r="D147" s="2035">
        <f t="shared" si="12"/>
        <v>140</v>
      </c>
      <c r="E147" s="2035" t="s">
        <v>3</v>
      </c>
      <c r="F147" s="2033">
        <f t="shared" si="13"/>
        <v>2350</v>
      </c>
      <c r="G147" s="2035" t="s">
        <v>3</v>
      </c>
      <c r="H147" s="2032">
        <v>4</v>
      </c>
      <c r="I147" s="2034" t="s">
        <v>41</v>
      </c>
      <c r="J147" s="149">
        <v>140</v>
      </c>
      <c r="K147" s="104">
        <v>140</v>
      </c>
      <c r="L147" s="104">
        <v>2350</v>
      </c>
      <c r="M147" s="164"/>
      <c r="N147" s="78">
        <v>1238.4705779999997</v>
      </c>
      <c r="O147" s="111">
        <f>(44033.2415)*'[1]Изменение цен'!$D$50</f>
        <v>44033.241499999996</v>
      </c>
      <c r="P147" s="254">
        <f>(13520.7239)*'[1]Изменение цен'!$D$85</f>
        <v>20690.596820130744</v>
      </c>
      <c r="Q147" s="110">
        <f t="shared" si="14"/>
        <v>64723.838320130744</v>
      </c>
    </row>
    <row r="148" spans="1:17" ht="16.5" thickBot="1">
      <c r="A148" s="2031" t="s">
        <v>7696</v>
      </c>
      <c r="B148" s="2035">
        <f t="shared" si="11"/>
        <v>140</v>
      </c>
      <c r="C148" s="2035" t="s">
        <v>3</v>
      </c>
      <c r="D148" s="2035">
        <f t="shared" si="12"/>
        <v>140</v>
      </c>
      <c r="E148" s="2035" t="s">
        <v>3</v>
      </c>
      <c r="F148" s="2033">
        <f t="shared" si="13"/>
        <v>2400</v>
      </c>
      <c r="G148" s="2035" t="s">
        <v>3</v>
      </c>
      <c r="H148" s="2032">
        <v>4</v>
      </c>
      <c r="I148" s="2034" t="s">
        <v>41</v>
      </c>
      <c r="J148" s="149">
        <v>140</v>
      </c>
      <c r="K148" s="104">
        <v>140</v>
      </c>
      <c r="L148" s="104">
        <v>2400</v>
      </c>
      <c r="M148" s="164"/>
      <c r="N148" s="78">
        <v>1269.4323424499996</v>
      </c>
      <c r="O148" s="111">
        <f>(44813.0478)*'[1]Изменение цен'!$D$50</f>
        <v>44813.0478</v>
      </c>
      <c r="P148" s="254">
        <f>(13728.346)*'[1]Изменение цен'!$D$85</f>
        <v>21008.318355887335</v>
      </c>
      <c r="Q148" s="110">
        <f t="shared" si="14"/>
        <v>65821.366155887343</v>
      </c>
    </row>
    <row r="149" spans="1:17" ht="16.5" thickBot="1">
      <c r="A149" s="2031" t="s">
        <v>7696</v>
      </c>
      <c r="B149" s="2035">
        <f t="shared" si="11"/>
        <v>140</v>
      </c>
      <c r="C149" s="2035" t="s">
        <v>3</v>
      </c>
      <c r="D149" s="2035">
        <f t="shared" si="12"/>
        <v>140</v>
      </c>
      <c r="E149" s="2035" t="s">
        <v>3</v>
      </c>
      <c r="F149" s="2033">
        <f t="shared" si="13"/>
        <v>2450</v>
      </c>
      <c r="G149" s="2035" t="s">
        <v>3</v>
      </c>
      <c r="H149" s="2032">
        <v>4</v>
      </c>
      <c r="I149" s="2034" t="s">
        <v>41</v>
      </c>
      <c r="J149" s="149">
        <v>140</v>
      </c>
      <c r="K149" s="104">
        <v>140</v>
      </c>
      <c r="L149" s="104">
        <v>2450</v>
      </c>
      <c r="M149" s="164"/>
      <c r="N149" s="78">
        <v>1300.3941069</v>
      </c>
      <c r="O149" s="111">
        <f>(46212.1067)*'[1]Изменение цен'!$D$50</f>
        <v>46212.106699999997</v>
      </c>
      <c r="P149" s="254">
        <f>(14090.5875)*'[1]Изменение цен'!$D$85</f>
        <v>21562.652050107612</v>
      </c>
      <c r="Q149" s="110">
        <f t="shared" si="14"/>
        <v>67774.758750107605</v>
      </c>
    </row>
    <row r="150" spans="1:17" ht="16.5" thickBot="1">
      <c r="A150" s="2031" t="s">
        <v>7696</v>
      </c>
      <c r="B150" s="2035">
        <f t="shared" si="11"/>
        <v>140</v>
      </c>
      <c r="C150" s="2035" t="s">
        <v>3</v>
      </c>
      <c r="D150" s="2035">
        <f t="shared" si="12"/>
        <v>140</v>
      </c>
      <c r="E150" s="2035" t="s">
        <v>3</v>
      </c>
      <c r="F150" s="2033">
        <f t="shared" si="13"/>
        <v>2500</v>
      </c>
      <c r="G150" s="2035" t="s">
        <v>3</v>
      </c>
      <c r="H150" s="2032">
        <v>4</v>
      </c>
      <c r="I150" s="2034" t="s">
        <v>41</v>
      </c>
      <c r="J150" s="149">
        <v>140</v>
      </c>
      <c r="K150" s="104">
        <v>140</v>
      </c>
      <c r="L150" s="104">
        <v>2500</v>
      </c>
      <c r="M150" s="164"/>
      <c r="N150" s="78">
        <v>1331.3558713499999</v>
      </c>
      <c r="O150" s="111">
        <f>(46991.9128)*'[1]Изменение цен'!$D$50</f>
        <v>46991.912799999998</v>
      </c>
      <c r="P150" s="254">
        <f>(14298.2096)*'[1]Изменение цен'!$D$85</f>
        <v>21880.373585864207</v>
      </c>
      <c r="Q150" s="110">
        <f t="shared" si="14"/>
        <v>68872.286385864209</v>
      </c>
    </row>
    <row r="151" spans="1:17" ht="16.5" thickBot="1">
      <c r="A151" s="2031" t="s">
        <v>7696</v>
      </c>
      <c r="B151" s="2035">
        <f t="shared" si="11"/>
        <v>140</v>
      </c>
      <c r="C151" s="2035" t="s">
        <v>3</v>
      </c>
      <c r="D151" s="2035">
        <f t="shared" si="12"/>
        <v>140</v>
      </c>
      <c r="E151" s="2035" t="s">
        <v>3</v>
      </c>
      <c r="F151" s="2033">
        <f t="shared" si="13"/>
        <v>2550</v>
      </c>
      <c r="G151" s="2035" t="s">
        <v>3</v>
      </c>
      <c r="H151" s="2032">
        <v>4</v>
      </c>
      <c r="I151" s="2034" t="s">
        <v>41</v>
      </c>
      <c r="J151" s="149">
        <v>140</v>
      </c>
      <c r="K151" s="104">
        <v>140</v>
      </c>
      <c r="L151" s="104">
        <v>2550</v>
      </c>
      <c r="M151" s="164"/>
      <c r="N151" s="78">
        <v>1362.3176357999998</v>
      </c>
      <c r="O151" s="111">
        <f>(47771.7191)*'[1]Изменение цен'!$D$50</f>
        <v>47771.719100000002</v>
      </c>
      <c r="P151" s="254">
        <f>(14660.4512)*'[1]Изменение цен'!$D$85</f>
        <v>22434.707433113246</v>
      </c>
      <c r="Q151" s="110">
        <f t="shared" si="14"/>
        <v>70206.426533113248</v>
      </c>
    </row>
    <row r="152" spans="1:17" ht="16.5" thickBot="1">
      <c r="A152" s="2031" t="s">
        <v>7696</v>
      </c>
      <c r="B152" s="2032">
        <f t="shared" si="11"/>
        <v>140</v>
      </c>
      <c r="C152" s="2032" t="s">
        <v>3</v>
      </c>
      <c r="D152" s="2032">
        <f t="shared" si="12"/>
        <v>140</v>
      </c>
      <c r="E152" s="2032" t="s">
        <v>3</v>
      </c>
      <c r="F152" s="2033">
        <f t="shared" si="13"/>
        <v>2600</v>
      </c>
      <c r="G152" s="2032" t="s">
        <v>3</v>
      </c>
      <c r="H152" s="2032">
        <v>4</v>
      </c>
      <c r="I152" s="2034" t="s">
        <v>41</v>
      </c>
      <c r="J152" s="149">
        <v>140</v>
      </c>
      <c r="K152" s="104">
        <v>140</v>
      </c>
      <c r="L152" s="104">
        <v>2600</v>
      </c>
      <c r="M152" s="164"/>
      <c r="N152" s="78">
        <v>1393.2794002499998</v>
      </c>
      <c r="O152" s="111">
        <f>(48551.5255)*'[1]Изменение цен'!$D$50</f>
        <v>48551.525500000003</v>
      </c>
      <c r="P152" s="254">
        <f>(14868.0733)*'[1]Изменение цен'!$D$85</f>
        <v>22752.428968869841</v>
      </c>
      <c r="Q152" s="110">
        <f t="shared" si="14"/>
        <v>71303.954468869837</v>
      </c>
    </row>
    <row r="153" spans="1:17" ht="16.5" thickBot="1">
      <c r="A153" s="2031" t="s">
        <v>7696</v>
      </c>
      <c r="B153" s="2035">
        <f t="shared" si="11"/>
        <v>140</v>
      </c>
      <c r="C153" s="2035" t="s">
        <v>3</v>
      </c>
      <c r="D153" s="2035">
        <f t="shared" si="12"/>
        <v>140</v>
      </c>
      <c r="E153" s="2035" t="s">
        <v>3</v>
      </c>
      <c r="F153" s="2033">
        <f t="shared" si="13"/>
        <v>2650</v>
      </c>
      <c r="G153" s="2035" t="s">
        <v>3</v>
      </c>
      <c r="H153" s="2032">
        <v>4</v>
      </c>
      <c r="I153" s="2034" t="s">
        <v>41</v>
      </c>
      <c r="J153" s="149">
        <v>140</v>
      </c>
      <c r="K153" s="104">
        <v>140</v>
      </c>
      <c r="L153" s="104">
        <v>2650</v>
      </c>
      <c r="M153" s="164"/>
      <c r="N153" s="78">
        <v>1424.2411646999997</v>
      </c>
      <c r="O153" s="111">
        <f>(49331.3316)*'[1]Изменение цен'!$D$50</f>
        <v>49331.331599999998</v>
      </c>
      <c r="P153" s="254">
        <f>(15230.3148)*'[1]Изменение цен'!$D$85</f>
        <v>23306.762663090118</v>
      </c>
      <c r="Q153" s="110">
        <f t="shared" si="14"/>
        <v>72638.094263090112</v>
      </c>
    </row>
    <row r="154" spans="1:17" ht="16.5" thickBot="1">
      <c r="A154" s="2031" t="s">
        <v>7696</v>
      </c>
      <c r="B154" s="2035">
        <f t="shared" si="11"/>
        <v>140</v>
      </c>
      <c r="C154" s="2035" t="s">
        <v>3</v>
      </c>
      <c r="D154" s="2035">
        <f t="shared" si="12"/>
        <v>140</v>
      </c>
      <c r="E154" s="2035" t="s">
        <v>3</v>
      </c>
      <c r="F154" s="2033">
        <f t="shared" si="13"/>
        <v>2700</v>
      </c>
      <c r="G154" s="2035" t="s">
        <v>3</v>
      </c>
      <c r="H154" s="2032">
        <v>4</v>
      </c>
      <c r="I154" s="2034" t="s">
        <v>41</v>
      </c>
      <c r="J154" s="149">
        <v>140</v>
      </c>
      <c r="K154" s="104">
        <v>140</v>
      </c>
      <c r="L154" s="104">
        <v>2700</v>
      </c>
      <c r="M154" s="164"/>
      <c r="N154" s="78">
        <v>1455.2029291499998</v>
      </c>
      <c r="O154" s="111">
        <f>(50201.3863)*'[1]Изменение цен'!$D$50</f>
        <v>50201.386299999998</v>
      </c>
      <c r="P154" s="254">
        <f>(15437.9369)*'[1]Изменение цен'!$D$85</f>
        <v>23624.484198846712</v>
      </c>
      <c r="Q154" s="110">
        <f t="shared" si="14"/>
        <v>73825.870498846707</v>
      </c>
    </row>
    <row r="155" spans="1:17" ht="16.5" thickBot="1">
      <c r="A155" s="2031" t="s">
        <v>7696</v>
      </c>
      <c r="B155" s="2035">
        <f t="shared" si="11"/>
        <v>140</v>
      </c>
      <c r="C155" s="2035" t="s">
        <v>3</v>
      </c>
      <c r="D155" s="2035">
        <f t="shared" si="12"/>
        <v>140</v>
      </c>
      <c r="E155" s="2035" t="s">
        <v>3</v>
      </c>
      <c r="F155" s="2033">
        <f t="shared" si="13"/>
        <v>2750</v>
      </c>
      <c r="G155" s="2035" t="s">
        <v>3</v>
      </c>
      <c r="H155" s="2032">
        <v>4</v>
      </c>
      <c r="I155" s="2034" t="s">
        <v>41</v>
      </c>
      <c r="J155" s="149">
        <v>140</v>
      </c>
      <c r="K155" s="104">
        <v>140</v>
      </c>
      <c r="L155" s="104">
        <v>2750</v>
      </c>
      <c r="M155" s="164"/>
      <c r="N155" s="78">
        <v>1486.1646935999997</v>
      </c>
      <c r="O155" s="111">
        <f>(50981.1926)*'[1]Изменение цен'!$D$50</f>
        <v>50981.192600000002</v>
      </c>
      <c r="P155" s="254">
        <f>(15645.559)*'[1]Изменение цен'!$D$85</f>
        <v>23942.205734603303</v>
      </c>
      <c r="Q155" s="110">
        <f t="shared" si="14"/>
        <v>74923.398334603306</v>
      </c>
    </row>
    <row r="156" spans="1:17" ht="16.5" thickBot="1">
      <c r="A156" s="2031" t="s">
        <v>7696</v>
      </c>
      <c r="B156" s="2035">
        <f t="shared" si="11"/>
        <v>140</v>
      </c>
      <c r="C156" s="2035" t="s">
        <v>3</v>
      </c>
      <c r="D156" s="2035">
        <f t="shared" si="12"/>
        <v>140</v>
      </c>
      <c r="E156" s="2035" t="s">
        <v>3</v>
      </c>
      <c r="F156" s="2033">
        <f t="shared" si="13"/>
        <v>2800</v>
      </c>
      <c r="G156" s="2035" t="s">
        <v>3</v>
      </c>
      <c r="H156" s="2032">
        <v>4</v>
      </c>
      <c r="I156" s="2034" t="s">
        <v>41</v>
      </c>
      <c r="J156" s="149">
        <v>140</v>
      </c>
      <c r="K156" s="104">
        <v>140</v>
      </c>
      <c r="L156" s="104">
        <v>2800</v>
      </c>
      <c r="M156" s="164"/>
      <c r="N156" s="78">
        <v>1517.1264580499999</v>
      </c>
      <c r="O156" s="111">
        <f>(51760.9989)*'[1]Изменение цен'!$D$50</f>
        <v>51760.998899999999</v>
      </c>
      <c r="P156" s="254">
        <f>(16007.8006)*'[1]Изменение цен'!$D$85</f>
        <v>24496.539581852347</v>
      </c>
      <c r="Q156" s="110">
        <f t="shared" si="14"/>
        <v>76257.538481852345</v>
      </c>
    </row>
    <row r="157" spans="1:17" ht="16.5" thickBot="1">
      <c r="A157" s="2031" t="s">
        <v>7696</v>
      </c>
      <c r="B157" s="2035">
        <f t="shared" si="11"/>
        <v>140</v>
      </c>
      <c r="C157" s="2035" t="s">
        <v>3</v>
      </c>
      <c r="D157" s="2035">
        <f t="shared" si="12"/>
        <v>140</v>
      </c>
      <c r="E157" s="2035" t="s">
        <v>3</v>
      </c>
      <c r="F157" s="2033">
        <f t="shared" si="13"/>
        <v>2850</v>
      </c>
      <c r="G157" s="2035" t="s">
        <v>3</v>
      </c>
      <c r="H157" s="2032">
        <v>4</v>
      </c>
      <c r="I157" s="2034" t="s">
        <v>41</v>
      </c>
      <c r="J157" s="149">
        <v>140</v>
      </c>
      <c r="K157" s="104">
        <v>140</v>
      </c>
      <c r="L157" s="104">
        <v>2850</v>
      </c>
      <c r="M157" s="164"/>
      <c r="N157" s="78">
        <v>1548.0882224999998</v>
      </c>
      <c r="O157" s="111">
        <f>(52540.8050999999)*'[1]Изменение цен'!$D$50</f>
        <v>52540.805099999903</v>
      </c>
      <c r="P157" s="254">
        <f>(16215.4227)*'[1]Изменение цен'!$D$85</f>
        <v>24814.261117608938</v>
      </c>
      <c r="Q157" s="110">
        <f t="shared" si="14"/>
        <v>77355.066217608837</v>
      </c>
    </row>
    <row r="158" spans="1:17" ht="16.5" thickBot="1">
      <c r="A158" s="2031" t="s">
        <v>7696</v>
      </c>
      <c r="B158" s="2035">
        <f t="shared" si="11"/>
        <v>140</v>
      </c>
      <c r="C158" s="2035" t="s">
        <v>3</v>
      </c>
      <c r="D158" s="2035">
        <f t="shared" si="12"/>
        <v>140</v>
      </c>
      <c r="E158" s="2035" t="s">
        <v>3</v>
      </c>
      <c r="F158" s="2033">
        <f t="shared" si="13"/>
        <v>2900</v>
      </c>
      <c r="G158" s="2035" t="s">
        <v>3</v>
      </c>
      <c r="H158" s="2032">
        <v>4</v>
      </c>
      <c r="I158" s="2034" t="s">
        <v>41</v>
      </c>
      <c r="J158" s="149">
        <v>140</v>
      </c>
      <c r="K158" s="104">
        <v>140</v>
      </c>
      <c r="L158" s="104">
        <v>2900</v>
      </c>
      <c r="M158" s="164"/>
      <c r="N158" s="78">
        <v>1579.0499869499995</v>
      </c>
      <c r="O158" s="111">
        <f>(53320.6114)*'[1]Изменение цен'!$D$50</f>
        <v>53320.611400000002</v>
      </c>
      <c r="P158" s="254">
        <f>(16577.6641999999)*'[1]Изменение цен'!$D$85</f>
        <v>25368.594811829065</v>
      </c>
      <c r="Q158" s="110">
        <f t="shared" si="14"/>
        <v>78689.206211829063</v>
      </c>
    </row>
    <row r="159" spans="1:17" ht="16.5" thickBot="1">
      <c r="A159" s="2031" t="s">
        <v>7696</v>
      </c>
      <c r="B159" s="2035">
        <f t="shared" si="11"/>
        <v>140</v>
      </c>
      <c r="C159" s="2035" t="s">
        <v>3</v>
      </c>
      <c r="D159" s="2035">
        <f t="shared" si="12"/>
        <v>140</v>
      </c>
      <c r="E159" s="2035" t="s">
        <v>3</v>
      </c>
      <c r="F159" s="2033">
        <f t="shared" si="13"/>
        <v>2950</v>
      </c>
      <c r="G159" s="2035" t="s">
        <v>3</v>
      </c>
      <c r="H159" s="2032">
        <v>4</v>
      </c>
      <c r="I159" s="2034" t="s">
        <v>41</v>
      </c>
      <c r="J159" s="149">
        <v>140</v>
      </c>
      <c r="K159" s="104">
        <v>140</v>
      </c>
      <c r="L159" s="104">
        <v>2950</v>
      </c>
      <c r="M159" s="164"/>
      <c r="N159" s="78">
        <v>1610.0117513999999</v>
      </c>
      <c r="O159" s="111">
        <f>(54100.4175)*'[1]Изменение цен'!$D$50</f>
        <v>54100.417500000003</v>
      </c>
      <c r="P159" s="254">
        <f>(16785.2863)*'[1]Изменение цен'!$D$85</f>
        <v>25686.316347585809</v>
      </c>
      <c r="Q159" s="110">
        <f t="shared" si="14"/>
        <v>79786.733847585812</v>
      </c>
    </row>
    <row r="160" spans="1:17" ht="16.5" thickBot="1">
      <c r="A160" s="2043" t="s">
        <v>7696</v>
      </c>
      <c r="B160" s="2035">
        <f t="shared" si="11"/>
        <v>140</v>
      </c>
      <c r="C160" s="2035" t="s">
        <v>3</v>
      </c>
      <c r="D160" s="2035">
        <f t="shared" si="12"/>
        <v>140</v>
      </c>
      <c r="E160" s="2035" t="s">
        <v>3</v>
      </c>
      <c r="F160" s="2044">
        <f t="shared" si="13"/>
        <v>3000</v>
      </c>
      <c r="G160" s="2035" t="s">
        <v>3</v>
      </c>
      <c r="H160" s="2035">
        <v>4</v>
      </c>
      <c r="I160" s="2042" t="s">
        <v>41</v>
      </c>
      <c r="J160" s="151">
        <v>140</v>
      </c>
      <c r="K160" s="134">
        <v>140</v>
      </c>
      <c r="L160" s="134">
        <v>3000</v>
      </c>
      <c r="M160" s="171"/>
      <c r="N160" s="127">
        <v>1640.9735158499998</v>
      </c>
      <c r="O160" s="135">
        <f>(56086.5076)*'[1]Изменение цен'!$D$50</f>
        <v>56086.507599999997</v>
      </c>
      <c r="P160" s="255">
        <f>(17147.5278)*'[1]Изменение цен'!$D$85</f>
        <v>26240.650041806086</v>
      </c>
      <c r="Q160" s="136">
        <f t="shared" si="14"/>
        <v>82327.157641806087</v>
      </c>
    </row>
    <row r="161" spans="1:17" ht="15.75">
      <c r="A161" s="940"/>
      <c r="B161" s="940"/>
      <c r="C161" s="940"/>
      <c r="D161" s="940"/>
      <c r="E161" s="940"/>
      <c r="F161" s="941"/>
      <c r="G161" s="940"/>
      <c r="H161" s="940"/>
      <c r="I161" s="940"/>
      <c r="J161" s="940"/>
      <c r="K161" s="941"/>
      <c r="L161" s="941"/>
      <c r="M161" s="2046"/>
      <c r="N161" s="940"/>
      <c r="O161" s="2047"/>
      <c r="P161" s="2047"/>
      <c r="Q161" s="2047"/>
    </row>
    <row r="162" spans="1:17" ht="15.75">
      <c r="A162" s="940"/>
      <c r="B162" s="940"/>
      <c r="C162" s="940"/>
      <c r="D162" s="940"/>
      <c r="E162" s="940"/>
      <c r="F162" s="941"/>
      <c r="G162" s="940"/>
      <c r="H162" s="940"/>
      <c r="I162" s="940"/>
      <c r="J162" s="940"/>
      <c r="K162" s="941"/>
      <c r="L162" s="941"/>
      <c r="M162" s="2046"/>
      <c r="N162" s="940"/>
      <c r="O162" s="2047"/>
      <c r="P162" s="2047"/>
      <c r="Q162" s="2047"/>
    </row>
    <row r="163" spans="1:17" ht="15.75">
      <c r="A163" s="940"/>
      <c r="B163" s="940"/>
      <c r="C163" s="940"/>
      <c r="D163" s="940"/>
      <c r="E163" s="940"/>
      <c r="F163" s="941"/>
      <c r="G163" s="940"/>
      <c r="H163" s="940"/>
      <c r="I163" s="940"/>
      <c r="J163" s="940"/>
      <c r="K163" s="941"/>
      <c r="L163" s="941"/>
      <c r="M163" s="2046"/>
      <c r="N163" s="940"/>
      <c r="O163" s="2047"/>
      <c r="P163" s="2047"/>
      <c r="Q163" s="2047"/>
    </row>
    <row r="164" spans="1:17" ht="15.75">
      <c r="A164" s="940"/>
      <c r="B164" s="940"/>
      <c r="C164" s="940"/>
      <c r="D164" s="940"/>
      <c r="E164" s="940"/>
      <c r="F164" s="941"/>
      <c r="G164" s="940"/>
      <c r="H164" s="940"/>
      <c r="I164" s="940"/>
      <c r="J164" s="940"/>
      <c r="K164" s="941"/>
      <c r="L164" s="941"/>
      <c r="M164" s="2046"/>
      <c r="N164" s="940"/>
      <c r="O164" s="2047"/>
      <c r="P164" s="2047"/>
      <c r="Q164" s="2047"/>
    </row>
    <row r="165" spans="1:17" ht="15.75">
      <c r="A165" s="940"/>
      <c r="B165" s="940"/>
      <c r="C165" s="940"/>
      <c r="D165" s="940"/>
      <c r="E165" s="940"/>
      <c r="F165" s="941"/>
      <c r="G165" s="940"/>
      <c r="H165" s="940"/>
      <c r="I165" s="940"/>
      <c r="J165" s="940"/>
      <c r="K165" s="941"/>
      <c r="L165" s="941"/>
      <c r="M165" s="2046"/>
      <c r="N165" s="940"/>
      <c r="O165" s="2047"/>
      <c r="P165" s="2047"/>
      <c r="Q165" s="2047"/>
    </row>
    <row r="166" spans="1:17" ht="15.75">
      <c r="A166" s="940"/>
      <c r="B166" s="940"/>
      <c r="C166" s="940"/>
      <c r="D166" s="940"/>
      <c r="E166" s="940"/>
      <c r="F166" s="941"/>
      <c r="G166" s="940"/>
      <c r="H166" s="940"/>
      <c r="I166" s="940"/>
      <c r="J166" s="940"/>
      <c r="K166" s="941"/>
      <c r="L166" s="941"/>
      <c r="M166" s="2046"/>
      <c r="N166" s="940"/>
      <c r="O166" s="2047"/>
      <c r="P166" s="2047"/>
      <c r="Q166" s="2047"/>
    </row>
    <row r="167" spans="1:17" ht="15.75">
      <c r="A167" s="940"/>
      <c r="B167" s="940"/>
      <c r="C167" s="940"/>
      <c r="D167" s="940"/>
      <c r="E167" s="940"/>
      <c r="F167" s="941"/>
      <c r="G167" s="940"/>
      <c r="H167" s="940"/>
      <c r="I167" s="940"/>
      <c r="J167" s="940"/>
      <c r="K167" s="941"/>
      <c r="L167" s="941"/>
      <c r="M167" s="2046"/>
      <c r="N167" s="940"/>
      <c r="O167" s="2047"/>
      <c r="P167" s="2047"/>
      <c r="Q167" s="2047"/>
    </row>
    <row r="168" spans="1:17" ht="15.75">
      <c r="A168" s="940"/>
      <c r="B168" s="940"/>
      <c r="C168" s="940"/>
      <c r="D168" s="940"/>
      <c r="E168" s="940"/>
      <c r="F168" s="941"/>
      <c r="G168" s="940"/>
      <c r="H168" s="940"/>
      <c r="I168" s="940"/>
      <c r="J168" s="940"/>
      <c r="K168" s="941"/>
      <c r="L168" s="941"/>
      <c r="M168" s="2046"/>
      <c r="N168" s="940"/>
      <c r="O168" s="2047"/>
      <c r="P168" s="2047"/>
      <c r="Q168" s="2047"/>
    </row>
    <row r="169" spans="1:17" ht="15.75">
      <c r="A169" s="940"/>
      <c r="B169" s="940"/>
      <c r="C169" s="940"/>
      <c r="D169" s="940"/>
      <c r="E169" s="940"/>
      <c r="F169" s="941"/>
      <c r="G169" s="940"/>
      <c r="H169" s="940"/>
      <c r="I169" s="940"/>
      <c r="J169" s="940"/>
      <c r="K169" s="941"/>
      <c r="L169" s="941"/>
      <c r="M169" s="2046"/>
      <c r="N169" s="940"/>
      <c r="O169" s="2047"/>
      <c r="P169" s="2047"/>
      <c r="Q169" s="2047"/>
    </row>
    <row r="170" spans="1:17" ht="15.75">
      <c r="A170" s="940"/>
      <c r="B170" s="940"/>
      <c r="C170" s="940"/>
      <c r="D170" s="940"/>
      <c r="E170" s="940"/>
      <c r="F170" s="941"/>
      <c r="G170" s="940"/>
      <c r="H170" s="940"/>
      <c r="I170" s="940"/>
      <c r="J170" s="940"/>
      <c r="K170" s="941"/>
      <c r="L170" s="941"/>
      <c r="M170" s="2046"/>
      <c r="N170" s="940"/>
      <c r="O170" s="2047"/>
      <c r="P170" s="2047"/>
      <c r="Q170" s="2047"/>
    </row>
    <row r="171" spans="1:17" ht="15.75">
      <c r="A171" s="940"/>
      <c r="B171" s="940"/>
      <c r="C171" s="940"/>
      <c r="D171" s="940"/>
      <c r="E171" s="940"/>
      <c r="F171" s="941"/>
      <c r="G171" s="940"/>
      <c r="H171" s="940"/>
      <c r="I171" s="940"/>
      <c r="J171" s="940"/>
      <c r="K171" s="941"/>
      <c r="L171" s="941"/>
      <c r="M171" s="2046"/>
      <c r="N171" s="940"/>
      <c r="O171" s="2047"/>
      <c r="P171" s="2047"/>
      <c r="Q171" s="2047"/>
    </row>
    <row r="172" spans="1:17" ht="15.75">
      <c r="A172" s="940"/>
      <c r="B172" s="940"/>
      <c r="C172" s="940"/>
      <c r="D172" s="940"/>
      <c r="E172" s="940"/>
      <c r="F172" s="941"/>
      <c r="G172" s="940"/>
      <c r="H172" s="940"/>
      <c r="I172" s="940"/>
      <c r="J172" s="940"/>
      <c r="K172" s="941"/>
      <c r="L172" s="941"/>
      <c r="M172" s="2046"/>
      <c r="N172" s="940"/>
      <c r="O172" s="2047"/>
      <c r="P172" s="2047"/>
      <c r="Q172" s="2047"/>
    </row>
    <row r="173" spans="1:17" ht="15.75">
      <c r="A173" s="940"/>
      <c r="B173" s="940"/>
      <c r="C173" s="940"/>
      <c r="D173" s="940"/>
      <c r="E173" s="940"/>
      <c r="F173" s="941"/>
      <c r="G173" s="940"/>
      <c r="H173" s="940"/>
      <c r="I173" s="940"/>
      <c r="J173" s="940"/>
      <c r="K173" s="941"/>
      <c r="L173" s="941"/>
      <c r="M173" s="2046"/>
      <c r="N173" s="940"/>
      <c r="O173" s="2047"/>
      <c r="P173" s="2047"/>
      <c r="Q173" s="2047"/>
    </row>
    <row r="174" spans="1:17" ht="15.75">
      <c r="A174" s="940"/>
      <c r="B174" s="940"/>
      <c r="C174" s="940"/>
      <c r="D174" s="940"/>
      <c r="E174" s="940"/>
      <c r="F174" s="941"/>
      <c r="G174" s="940"/>
      <c r="H174" s="940"/>
      <c r="I174" s="940"/>
      <c r="J174" s="940"/>
      <c r="K174" s="941"/>
      <c r="L174" s="941"/>
      <c r="M174" s="2046"/>
      <c r="N174" s="940"/>
      <c r="O174" s="2047"/>
      <c r="P174" s="2047"/>
      <c r="Q174" s="2047"/>
    </row>
    <row r="175" spans="1:17" ht="15.75">
      <c r="A175" s="940"/>
      <c r="B175" s="940"/>
      <c r="C175" s="940"/>
      <c r="D175" s="940"/>
      <c r="E175" s="940"/>
      <c r="F175" s="941"/>
      <c r="G175" s="940"/>
      <c r="H175" s="940"/>
      <c r="I175" s="940"/>
      <c r="J175" s="940"/>
      <c r="K175" s="941"/>
      <c r="L175" s="941"/>
      <c r="M175" s="2046"/>
      <c r="N175" s="940"/>
      <c r="O175" s="2047"/>
      <c r="P175" s="2047"/>
      <c r="Q175" s="2047"/>
    </row>
    <row r="176" spans="1:17" ht="15.75">
      <c r="A176" s="940"/>
      <c r="B176" s="940"/>
      <c r="C176" s="940"/>
      <c r="D176" s="940"/>
      <c r="E176" s="940"/>
      <c r="F176" s="941"/>
      <c r="G176" s="940"/>
      <c r="H176" s="940"/>
      <c r="I176" s="940"/>
      <c r="J176" s="940"/>
      <c r="K176" s="941"/>
      <c r="L176" s="941"/>
      <c r="M176" s="2046"/>
      <c r="N176" s="940"/>
      <c r="O176" s="2047"/>
      <c r="P176" s="2047"/>
      <c r="Q176" s="2047"/>
    </row>
    <row r="177" spans="1:17" ht="15.75">
      <c r="A177" s="940"/>
      <c r="B177" s="940"/>
      <c r="C177" s="940"/>
      <c r="D177" s="940"/>
      <c r="E177" s="940"/>
      <c r="F177" s="941"/>
      <c r="G177" s="940"/>
      <c r="H177" s="940"/>
      <c r="I177" s="940"/>
      <c r="J177" s="940"/>
      <c r="K177" s="941"/>
      <c r="L177" s="941"/>
      <c r="M177" s="2046"/>
      <c r="N177" s="940"/>
      <c r="O177" s="2047"/>
      <c r="P177" s="2047"/>
      <c r="Q177" s="2047"/>
    </row>
    <row r="178" spans="1:17" ht="15.75">
      <c r="A178" s="940"/>
      <c r="B178" s="940"/>
      <c r="C178" s="940"/>
      <c r="D178" s="940"/>
      <c r="E178" s="940"/>
      <c r="F178" s="941"/>
      <c r="G178" s="940"/>
      <c r="H178" s="940"/>
      <c r="I178" s="940"/>
      <c r="J178" s="940"/>
      <c r="K178" s="941"/>
      <c r="L178" s="941"/>
      <c r="M178" s="2046"/>
      <c r="N178" s="940"/>
      <c r="O178" s="2047"/>
      <c r="P178" s="2047"/>
      <c r="Q178" s="2047"/>
    </row>
    <row r="179" spans="1:17" ht="15.75">
      <c r="A179" s="940"/>
      <c r="B179" s="940"/>
      <c r="C179" s="940"/>
      <c r="D179" s="940"/>
      <c r="E179" s="940"/>
      <c r="F179" s="941"/>
      <c r="G179" s="940"/>
      <c r="H179" s="940"/>
      <c r="I179" s="940"/>
      <c r="J179" s="940"/>
      <c r="K179" s="941"/>
      <c r="L179" s="941"/>
      <c r="M179" s="2046"/>
      <c r="N179" s="940"/>
      <c r="O179" s="2047"/>
      <c r="P179" s="2047"/>
      <c r="Q179" s="2047"/>
    </row>
    <row r="180" spans="1:17" ht="15.75">
      <c r="A180" s="940"/>
      <c r="B180" s="940"/>
      <c r="C180" s="940"/>
      <c r="D180" s="940"/>
      <c r="E180" s="940"/>
      <c r="F180" s="941"/>
      <c r="G180" s="940"/>
      <c r="H180" s="940"/>
      <c r="I180" s="940"/>
      <c r="J180" s="940"/>
      <c r="K180" s="941"/>
      <c r="L180" s="941"/>
      <c r="M180" s="2046"/>
      <c r="N180" s="940"/>
      <c r="O180" s="2047"/>
      <c r="P180" s="2047"/>
      <c r="Q180" s="2047"/>
    </row>
    <row r="181" spans="1:17" ht="15.75">
      <c r="A181" s="940"/>
      <c r="B181" s="940"/>
      <c r="C181" s="940"/>
      <c r="D181" s="940"/>
      <c r="E181" s="940"/>
      <c r="F181" s="941"/>
      <c r="G181" s="940"/>
      <c r="H181" s="940"/>
      <c r="I181" s="940"/>
      <c r="J181" s="940"/>
      <c r="K181" s="941"/>
      <c r="L181" s="941"/>
      <c r="M181" s="2046"/>
      <c r="N181" s="940"/>
      <c r="O181" s="2047"/>
      <c r="P181" s="2047"/>
      <c r="Q181" s="2047"/>
    </row>
    <row r="182" spans="1:17" ht="15.75">
      <c r="A182" s="940"/>
      <c r="B182" s="940"/>
      <c r="C182" s="940"/>
      <c r="D182" s="940"/>
      <c r="E182" s="940"/>
      <c r="F182" s="941"/>
      <c r="G182" s="940"/>
      <c r="H182" s="940"/>
      <c r="I182" s="940"/>
      <c r="J182" s="940"/>
      <c r="K182" s="941"/>
      <c r="L182" s="941"/>
      <c r="M182" s="2046"/>
      <c r="N182" s="940"/>
      <c r="O182" s="2047"/>
      <c r="P182" s="2047"/>
      <c r="Q182" s="2047"/>
    </row>
    <row r="183" spans="1:17" ht="15.75">
      <c r="A183" s="940"/>
      <c r="B183" s="940"/>
      <c r="C183" s="940"/>
      <c r="D183" s="940"/>
      <c r="E183" s="940"/>
      <c r="F183" s="941"/>
      <c r="G183" s="940"/>
      <c r="H183" s="940"/>
      <c r="I183" s="940"/>
      <c r="J183" s="940"/>
      <c r="K183" s="941"/>
      <c r="L183" s="941"/>
      <c r="M183" s="2046"/>
      <c r="N183" s="940"/>
      <c r="O183" s="2047"/>
      <c r="P183" s="2047"/>
      <c r="Q183" s="2047"/>
    </row>
    <row r="184" spans="1:17" ht="15.75">
      <c r="A184" s="940"/>
      <c r="B184" s="940"/>
      <c r="C184" s="940"/>
      <c r="D184" s="940"/>
      <c r="E184" s="940"/>
      <c r="F184" s="941"/>
      <c r="G184" s="940"/>
      <c r="H184" s="940"/>
      <c r="I184" s="940"/>
      <c r="J184" s="940"/>
      <c r="K184" s="941"/>
      <c r="L184" s="941"/>
      <c r="M184" s="2046"/>
      <c r="N184" s="940"/>
      <c r="O184" s="2047"/>
      <c r="P184" s="2047"/>
      <c r="Q184" s="2047"/>
    </row>
    <row r="185" spans="1:17" ht="15.75">
      <c r="A185" s="940"/>
      <c r="B185" s="940"/>
      <c r="C185" s="940"/>
      <c r="D185" s="940"/>
      <c r="E185" s="940"/>
      <c r="F185" s="941"/>
      <c r="G185" s="940"/>
      <c r="H185" s="940"/>
      <c r="I185" s="940"/>
      <c r="J185" s="940"/>
      <c r="K185" s="941"/>
      <c r="L185" s="941"/>
      <c r="M185" s="2046"/>
      <c r="N185" s="940"/>
      <c r="O185" s="2047"/>
      <c r="P185" s="2047"/>
      <c r="Q185" s="2047"/>
    </row>
    <row r="186" spans="1:17" ht="15.75">
      <c r="A186" s="940"/>
      <c r="B186" s="940"/>
      <c r="C186" s="940"/>
      <c r="D186" s="940"/>
      <c r="E186" s="940"/>
      <c r="F186" s="941"/>
      <c r="G186" s="940"/>
      <c r="H186" s="940"/>
      <c r="I186" s="940"/>
      <c r="J186" s="940"/>
      <c r="K186" s="941"/>
      <c r="L186" s="941"/>
      <c r="M186" s="2046"/>
      <c r="N186" s="940"/>
      <c r="O186" s="2047"/>
      <c r="P186" s="2047"/>
      <c r="Q186" s="2047"/>
    </row>
    <row r="187" spans="1:17" ht="15.75">
      <c r="A187" s="940"/>
      <c r="B187" s="940"/>
      <c r="C187" s="940"/>
      <c r="D187" s="940"/>
      <c r="E187" s="940"/>
      <c r="F187" s="941"/>
      <c r="G187" s="940"/>
      <c r="H187" s="940"/>
      <c r="I187" s="940"/>
      <c r="J187" s="940"/>
      <c r="K187" s="941"/>
      <c r="L187" s="941"/>
      <c r="M187" s="2046"/>
      <c r="N187" s="940"/>
      <c r="O187" s="2047"/>
      <c r="P187" s="2047"/>
      <c r="Q187" s="2047"/>
    </row>
    <row r="188" spans="1:17" ht="15.75">
      <c r="A188" s="940"/>
      <c r="B188" s="940"/>
      <c r="C188" s="940"/>
      <c r="D188" s="940"/>
      <c r="E188" s="940"/>
      <c r="F188" s="941"/>
      <c r="G188" s="940"/>
      <c r="H188" s="940"/>
      <c r="I188" s="940"/>
      <c r="J188" s="940"/>
      <c r="K188" s="941"/>
      <c r="L188" s="941"/>
      <c r="M188" s="2046"/>
      <c r="N188" s="940"/>
      <c r="O188" s="2047"/>
      <c r="P188" s="2047"/>
      <c r="Q188" s="2047"/>
    </row>
    <row r="189" spans="1:17" ht="15.75">
      <c r="A189" s="940"/>
      <c r="B189" s="940"/>
      <c r="C189" s="940"/>
      <c r="D189" s="940"/>
      <c r="E189" s="940"/>
      <c r="F189" s="941"/>
      <c r="G189" s="940"/>
      <c r="H189" s="940"/>
      <c r="I189" s="940"/>
      <c r="J189" s="940"/>
      <c r="K189" s="941"/>
      <c r="L189" s="941"/>
      <c r="M189" s="2046"/>
      <c r="N189" s="940"/>
      <c r="O189" s="2047"/>
      <c r="P189" s="2047"/>
      <c r="Q189" s="2047"/>
    </row>
    <row r="190" spans="1:17" ht="15.75">
      <c r="A190" s="940"/>
      <c r="B190" s="940"/>
      <c r="C190" s="940"/>
      <c r="D190" s="940"/>
      <c r="E190" s="940"/>
      <c r="F190" s="941"/>
      <c r="G190" s="940"/>
      <c r="H190" s="940"/>
      <c r="I190" s="940"/>
      <c r="J190" s="940"/>
      <c r="K190" s="941"/>
      <c r="L190" s="941"/>
      <c r="M190" s="2046"/>
      <c r="N190" s="940"/>
      <c r="O190" s="2047"/>
      <c r="P190" s="2047"/>
      <c r="Q190" s="2047"/>
    </row>
    <row r="191" spans="1:17" ht="15.75">
      <c r="A191" s="940"/>
      <c r="B191" s="940"/>
      <c r="C191" s="940"/>
      <c r="D191" s="940"/>
      <c r="E191" s="940"/>
      <c r="F191" s="941"/>
      <c r="G191" s="940"/>
      <c r="H191" s="940"/>
      <c r="I191" s="940"/>
      <c r="J191" s="940"/>
      <c r="K191" s="941"/>
      <c r="L191" s="941"/>
      <c r="M191" s="2046"/>
      <c r="N191" s="940"/>
      <c r="O191" s="2047"/>
      <c r="P191" s="2047"/>
      <c r="Q191" s="2047"/>
    </row>
    <row r="192" spans="1:17" ht="15.75">
      <c r="A192" s="940"/>
      <c r="B192" s="940"/>
      <c r="C192" s="940"/>
      <c r="D192" s="940"/>
      <c r="E192" s="940"/>
      <c r="F192" s="941"/>
      <c r="G192" s="940"/>
      <c r="H192" s="940"/>
      <c r="I192" s="940"/>
      <c r="J192" s="940"/>
      <c r="K192" s="941"/>
      <c r="L192" s="941"/>
      <c r="M192" s="2046"/>
      <c r="N192" s="940"/>
      <c r="O192" s="2047"/>
      <c r="P192" s="2047"/>
      <c r="Q192" s="2047"/>
    </row>
    <row r="193" spans="1:17" ht="15.75">
      <c r="A193" s="940"/>
      <c r="B193" s="940"/>
      <c r="C193" s="940"/>
      <c r="D193" s="940"/>
      <c r="E193" s="940"/>
      <c r="F193" s="941"/>
      <c r="G193" s="940"/>
      <c r="H193" s="940"/>
      <c r="I193" s="940"/>
      <c r="J193" s="940"/>
      <c r="K193" s="941"/>
      <c r="L193" s="941"/>
      <c r="M193" s="2046"/>
      <c r="N193" s="940"/>
      <c r="O193" s="2047"/>
      <c r="P193" s="2047"/>
      <c r="Q193" s="2047"/>
    </row>
    <row r="194" spans="1:17" ht="15.75">
      <c r="A194" s="940"/>
      <c r="B194" s="940"/>
      <c r="C194" s="940"/>
      <c r="D194" s="940"/>
      <c r="E194" s="940"/>
      <c r="F194" s="941"/>
      <c r="G194" s="940"/>
      <c r="H194" s="940"/>
      <c r="I194" s="940"/>
      <c r="J194" s="940"/>
      <c r="K194" s="941"/>
      <c r="L194" s="941"/>
      <c r="M194" s="2046"/>
      <c r="N194" s="940"/>
      <c r="O194" s="2047"/>
      <c r="P194" s="2047"/>
      <c r="Q194" s="2047"/>
    </row>
    <row r="195" spans="1:17" ht="15.75">
      <c r="A195" s="940"/>
      <c r="B195" s="940"/>
      <c r="C195" s="940"/>
      <c r="D195" s="940"/>
      <c r="E195" s="940"/>
      <c r="F195" s="941"/>
      <c r="G195" s="940"/>
      <c r="H195" s="940"/>
      <c r="I195" s="940"/>
      <c r="J195" s="940"/>
      <c r="K195" s="941"/>
      <c r="L195" s="941"/>
      <c r="M195" s="2046"/>
      <c r="N195" s="940"/>
      <c r="O195" s="2047"/>
      <c r="P195" s="2047"/>
      <c r="Q195" s="2047"/>
    </row>
    <row r="196" spans="1:17" ht="15.75">
      <c r="A196" s="940"/>
      <c r="B196" s="940"/>
      <c r="C196" s="940"/>
      <c r="D196" s="940"/>
      <c r="E196" s="940"/>
      <c r="F196" s="941"/>
      <c r="G196" s="940"/>
      <c r="H196" s="940"/>
      <c r="I196" s="940"/>
      <c r="J196" s="940"/>
      <c r="K196" s="941"/>
      <c r="L196" s="941"/>
      <c r="M196" s="2046"/>
      <c r="N196" s="940"/>
      <c r="O196" s="2047"/>
      <c r="P196" s="2047"/>
      <c r="Q196" s="2047"/>
    </row>
    <row r="197" spans="1:17" ht="15.75">
      <c r="A197" s="940"/>
      <c r="B197" s="940"/>
      <c r="C197" s="940"/>
      <c r="D197" s="940"/>
      <c r="E197" s="940"/>
      <c r="F197" s="941"/>
      <c r="G197" s="940"/>
      <c r="H197" s="940"/>
      <c r="I197" s="940"/>
      <c r="J197" s="940"/>
      <c r="K197" s="941"/>
      <c r="L197" s="941"/>
      <c r="M197" s="2046"/>
      <c r="N197" s="940"/>
      <c r="O197" s="2047"/>
      <c r="P197" s="2047"/>
      <c r="Q197" s="2047"/>
    </row>
    <row r="198" spans="1:17" ht="15.75">
      <c r="A198" s="940"/>
      <c r="B198" s="940"/>
      <c r="C198" s="940"/>
      <c r="D198" s="940"/>
      <c r="E198" s="940"/>
      <c r="F198" s="941"/>
      <c r="G198" s="940"/>
      <c r="H198" s="940"/>
      <c r="I198" s="940"/>
      <c r="J198" s="940"/>
      <c r="K198" s="941"/>
      <c r="L198" s="941"/>
      <c r="M198" s="2046"/>
      <c r="N198" s="940"/>
      <c r="O198" s="2047"/>
      <c r="P198" s="2047"/>
      <c r="Q198" s="2047"/>
    </row>
  </sheetData>
  <mergeCells count="14">
    <mergeCell ref="Q4:Q5"/>
    <mergeCell ref="O6:Q6"/>
    <mergeCell ref="A4:I6"/>
    <mergeCell ref="J4:M5"/>
    <mergeCell ref="N4:N6"/>
    <mergeCell ref="O4:O5"/>
    <mergeCell ref="P4:P5"/>
    <mergeCell ref="A111:Q111"/>
    <mergeCell ref="A7:Q7"/>
    <mergeCell ref="A8:Q8"/>
    <mergeCell ref="A9:Q9"/>
    <mergeCell ref="A59:Q59"/>
    <mergeCell ref="A60:Q60"/>
    <mergeCell ref="A110:Q110"/>
  </mergeCells>
  <hyperlinks>
    <hyperlink ref="A1:I1" location="Главная!A1" display="Вернуться на главную страницу" xr:uid="{A74A493A-91D7-41D2-81C3-4CFD7A9D119C}"/>
    <hyperlink ref="A2" location="'Калькулятор теплоотдач ВК'!R1C1" display="Вернуться Калькулятор теплоотдач ВК" xr:uid="{21DB281E-92F5-4706-9AA9-5789229740C8}"/>
  </hyperlink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D87CF-809F-43CB-BACF-D36ABC8C449F}">
  <sheetPr>
    <tabColor theme="7" tint="-0.499984740745262"/>
  </sheetPr>
  <dimension ref="A1:Q156"/>
  <sheetViews>
    <sheetView zoomScale="70" zoomScaleNormal="70" workbookViewId="0">
      <pane ySplit="6" topLeftCell="A7" activePane="bottomLeft" state="frozen"/>
      <selection pane="bottomLeft" activeCell="AB24" sqref="AB24"/>
    </sheetView>
  </sheetViews>
  <sheetFormatPr defaultRowHeight="15.75"/>
  <cols>
    <col min="1" max="1" width="5.2851562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4.5703125" style="7" customWidth="1"/>
    <col min="10" max="10" width="11.28515625" style="7" customWidth="1"/>
    <col min="11" max="12" width="11.28515625" style="87" customWidth="1"/>
    <col min="13" max="13" width="27.7109375" style="1" hidden="1" customWidth="1"/>
    <col min="14" max="14" width="19.140625" style="7" customWidth="1"/>
    <col min="15" max="15" width="27.7109375" style="112" customWidth="1"/>
    <col min="16" max="16" width="26.28515625" style="112" customWidth="1"/>
    <col min="17" max="17" width="27.7109375" style="112" customWidth="1"/>
  </cols>
  <sheetData>
    <row r="1" spans="1:17">
      <c r="A1" s="2006" t="s">
        <v>9</v>
      </c>
      <c r="B1" s="2006"/>
      <c r="C1" s="2006"/>
      <c r="D1" s="2006"/>
      <c r="E1" s="2006"/>
      <c r="F1" s="88"/>
      <c r="G1" s="2006"/>
      <c r="H1" s="2006"/>
      <c r="I1" s="2006"/>
    </row>
    <row r="2" spans="1:17">
      <c r="A2" s="895" t="s">
        <v>7698</v>
      </c>
      <c r="B2" s="2006"/>
      <c r="C2" s="2006"/>
      <c r="D2" s="2006"/>
      <c r="E2" s="2006"/>
      <c r="F2" s="88"/>
      <c r="G2" s="2006"/>
      <c r="H2" s="2006"/>
      <c r="I2" s="2006"/>
      <c r="M2" s="140"/>
      <c r="O2" s="107"/>
      <c r="P2" s="107"/>
      <c r="Q2" s="107"/>
    </row>
    <row r="3" spans="1:17" ht="16.5" thickBot="1">
      <c r="A3" s="16"/>
      <c r="B3" s="16"/>
      <c r="C3" s="16"/>
      <c r="D3" s="16"/>
      <c r="E3" s="16"/>
      <c r="F3" s="100"/>
      <c r="G3" s="16"/>
      <c r="H3" s="16"/>
      <c r="I3" s="16"/>
      <c r="J3" s="16"/>
      <c r="K3" s="99"/>
      <c r="L3" s="99"/>
      <c r="M3" s="140"/>
      <c r="O3" s="106"/>
      <c r="P3" s="107"/>
      <c r="Q3" s="107"/>
    </row>
    <row r="4" spans="1:17" ht="75.75" customHeight="1">
      <c r="A4" s="3138" t="s">
        <v>8</v>
      </c>
      <c r="B4" s="3139"/>
      <c r="C4" s="3139"/>
      <c r="D4" s="3139"/>
      <c r="E4" s="3139"/>
      <c r="F4" s="3139"/>
      <c r="G4" s="3139"/>
      <c r="H4" s="3139"/>
      <c r="I4" s="3140"/>
      <c r="J4" s="3147" t="s">
        <v>78</v>
      </c>
      <c r="K4" s="3148"/>
      <c r="L4" s="3148"/>
      <c r="M4" s="3149"/>
      <c r="N4" s="3153" t="s">
        <v>77</v>
      </c>
      <c r="O4" s="3156" t="s">
        <v>7714</v>
      </c>
      <c r="P4" s="3156" t="s">
        <v>7693</v>
      </c>
      <c r="Q4" s="3156" t="s">
        <v>7715</v>
      </c>
    </row>
    <row r="5" spans="1:17" ht="75.75" customHeight="1" thickBot="1">
      <c r="A5" s="3141"/>
      <c r="B5" s="3142"/>
      <c r="C5" s="3142"/>
      <c r="D5" s="3142"/>
      <c r="E5" s="3142"/>
      <c r="F5" s="3142"/>
      <c r="G5" s="3142"/>
      <c r="H5" s="3142"/>
      <c r="I5" s="3143"/>
      <c r="J5" s="3150"/>
      <c r="K5" s="3151"/>
      <c r="L5" s="3151"/>
      <c r="M5" s="3152"/>
      <c r="N5" s="3154"/>
      <c r="O5" s="3157"/>
      <c r="P5" s="3158"/>
      <c r="Q5" s="3157"/>
    </row>
    <row r="6" spans="1:17" ht="63" customHeight="1" thickBot="1">
      <c r="A6" s="3144"/>
      <c r="B6" s="3145"/>
      <c r="C6" s="3145"/>
      <c r="D6" s="3145"/>
      <c r="E6" s="3145"/>
      <c r="F6" s="3145"/>
      <c r="G6" s="3145"/>
      <c r="H6" s="3145"/>
      <c r="I6" s="3146"/>
      <c r="J6" s="236" t="s">
        <v>0</v>
      </c>
      <c r="K6" s="241" t="s">
        <v>1</v>
      </c>
      <c r="L6" s="241" t="s">
        <v>2</v>
      </c>
      <c r="M6" s="242" t="s">
        <v>75</v>
      </c>
      <c r="N6" s="3155"/>
      <c r="O6" s="3159" t="s">
        <v>141</v>
      </c>
      <c r="P6" s="3160"/>
      <c r="Q6" s="3161"/>
    </row>
    <row r="7" spans="1:17" ht="19.5" customHeight="1" thickBot="1">
      <c r="A7" s="2986" t="s">
        <v>478</v>
      </c>
      <c r="B7" s="2987"/>
      <c r="C7" s="2987"/>
      <c r="D7" s="2987"/>
      <c r="E7" s="2987"/>
      <c r="F7" s="2987"/>
      <c r="G7" s="2987"/>
      <c r="H7" s="2987"/>
      <c r="I7" s="2987"/>
      <c r="J7" s="2987"/>
      <c r="K7" s="2987"/>
      <c r="L7" s="2987"/>
      <c r="M7" s="2987"/>
      <c r="N7" s="2987"/>
      <c r="O7" s="2987"/>
      <c r="P7" s="2987"/>
      <c r="Q7" s="2988"/>
    </row>
    <row r="8" spans="1:17" ht="19.5" thickBot="1">
      <c r="A8" s="2971" t="s">
        <v>7694</v>
      </c>
      <c r="B8" s="2972"/>
      <c r="C8" s="2972"/>
      <c r="D8" s="2972"/>
      <c r="E8" s="2972"/>
      <c r="F8" s="2972"/>
      <c r="G8" s="2972"/>
      <c r="H8" s="2972"/>
      <c r="I8" s="2972"/>
      <c r="J8" s="2972"/>
      <c r="K8" s="2972"/>
      <c r="L8" s="2972"/>
      <c r="M8" s="2972"/>
      <c r="N8" s="2972"/>
      <c r="O8" s="2972"/>
      <c r="P8" s="2972"/>
      <c r="Q8" s="2973"/>
    </row>
    <row r="9" spans="1:17" ht="21.75" thickBot="1">
      <c r="A9" s="2968" t="s">
        <v>7697</v>
      </c>
      <c r="B9" s="2969"/>
      <c r="C9" s="2969"/>
      <c r="D9" s="2969"/>
      <c r="E9" s="2969"/>
      <c r="F9" s="2969"/>
      <c r="G9" s="2969"/>
      <c r="H9" s="2969"/>
      <c r="I9" s="2969"/>
      <c r="J9" s="2969"/>
      <c r="K9" s="2969"/>
      <c r="L9" s="2969"/>
      <c r="M9" s="2969"/>
      <c r="N9" s="2969"/>
      <c r="O9" s="2969"/>
      <c r="P9" s="2969"/>
      <c r="Q9" s="2970"/>
    </row>
    <row r="10" spans="1:17" ht="16.5" thickBot="1">
      <c r="A10" s="2974" t="s">
        <v>112</v>
      </c>
      <c r="B10" s="2975"/>
      <c r="C10" s="2975"/>
      <c r="D10" s="2975"/>
      <c r="E10" s="2975"/>
      <c r="F10" s="2975"/>
      <c r="G10" s="2975"/>
      <c r="H10" s="2975"/>
      <c r="I10" s="2975"/>
      <c r="J10" s="2975"/>
      <c r="K10" s="2975"/>
      <c r="L10" s="2975"/>
      <c r="M10" s="2975"/>
      <c r="N10" s="2975"/>
      <c r="O10" s="2975"/>
      <c r="P10" s="2975"/>
      <c r="Q10" s="2976"/>
    </row>
    <row r="11" spans="1:17" ht="16.5" thickBot="1">
      <c r="A11" s="2048" t="s">
        <v>61</v>
      </c>
      <c r="B11" s="119">
        <f t="shared" ref="B11:B57" si="0">J11</f>
        <v>85</v>
      </c>
      <c r="C11" s="119" t="s">
        <v>3</v>
      </c>
      <c r="D11" s="119">
        <f t="shared" ref="D11:D57" si="1">K11</f>
        <v>180</v>
      </c>
      <c r="E11" s="119" t="s">
        <v>3</v>
      </c>
      <c r="F11" s="118">
        <f t="shared" ref="F11:F57" si="2">L11</f>
        <v>700</v>
      </c>
      <c r="G11" s="119" t="s">
        <v>3</v>
      </c>
      <c r="H11" s="117">
        <v>2</v>
      </c>
      <c r="I11" s="2049" t="s">
        <v>529</v>
      </c>
      <c r="J11" s="103">
        <v>85</v>
      </c>
      <c r="K11" s="66">
        <v>180</v>
      </c>
      <c r="L11" s="66">
        <v>700</v>
      </c>
      <c r="M11" s="164"/>
      <c r="N11" s="78">
        <v>738.89360999999997</v>
      </c>
      <c r="O11" s="113">
        <f>(31467.1341)*'[1]Изменение цен'!$D$50</f>
        <v>31467.134099999999</v>
      </c>
      <c r="P11" s="254">
        <f>(5064.5941)*'[1]Изменение цен'!$D$85</f>
        <v>7750.2858098236093</v>
      </c>
      <c r="Q11" s="113">
        <f t="shared" ref="Q11:Q57" si="3">O11+P11</f>
        <v>39217.419909823606</v>
      </c>
    </row>
    <row r="12" spans="1:17" ht="16.5" thickBot="1">
      <c r="A12" s="2048" t="s">
        <v>61</v>
      </c>
      <c r="B12" s="119">
        <f t="shared" si="0"/>
        <v>85</v>
      </c>
      <c r="C12" s="119" t="s">
        <v>3</v>
      </c>
      <c r="D12" s="119">
        <f t="shared" si="1"/>
        <v>180</v>
      </c>
      <c r="E12" s="119" t="s">
        <v>3</v>
      </c>
      <c r="F12" s="118">
        <f t="shared" si="2"/>
        <v>750</v>
      </c>
      <c r="G12" s="119" t="s">
        <v>3</v>
      </c>
      <c r="H12" s="117">
        <v>2</v>
      </c>
      <c r="I12" s="2049" t="s">
        <v>529</v>
      </c>
      <c r="J12" s="103">
        <v>85</v>
      </c>
      <c r="K12" s="66">
        <v>180</v>
      </c>
      <c r="L12" s="66">
        <v>750</v>
      </c>
      <c r="M12" s="164"/>
      <c r="N12" s="78">
        <v>844.44983999999999</v>
      </c>
      <c r="O12" s="113">
        <f>(33347.8039)*'[1]Изменение цен'!$D$50</f>
        <v>33347.803899999999</v>
      </c>
      <c r="P12" s="254">
        <f>(5298.031)*'[1]Изменение цен'!$D$85</f>
        <v>8107.51141523969</v>
      </c>
      <c r="Q12" s="113">
        <f t="shared" si="3"/>
        <v>41455.315315239692</v>
      </c>
    </row>
    <row r="13" spans="1:17" ht="16.5" thickBot="1">
      <c r="A13" s="2048" t="s">
        <v>61</v>
      </c>
      <c r="B13" s="119">
        <f t="shared" si="0"/>
        <v>85</v>
      </c>
      <c r="C13" s="119" t="s">
        <v>3</v>
      </c>
      <c r="D13" s="119">
        <f t="shared" si="1"/>
        <v>180</v>
      </c>
      <c r="E13" s="119" t="s">
        <v>3</v>
      </c>
      <c r="F13" s="118">
        <f t="shared" si="2"/>
        <v>800</v>
      </c>
      <c r="G13" s="119" t="s">
        <v>3</v>
      </c>
      <c r="H13" s="117">
        <v>2</v>
      </c>
      <c r="I13" s="2049" t="s">
        <v>529</v>
      </c>
      <c r="J13" s="103">
        <v>85</v>
      </c>
      <c r="K13" s="66">
        <v>180</v>
      </c>
      <c r="L13" s="66">
        <v>800</v>
      </c>
      <c r="M13" s="164"/>
      <c r="N13" s="78">
        <v>950.00607000000002</v>
      </c>
      <c r="O13" s="113">
        <f>(35228.4737)*'[1]Изменение цен'!$D$50</f>
        <v>35228.473700000002</v>
      </c>
      <c r="P13" s="254">
        <f>(5531.4679)*'[1]Изменение цен'!$D$85</f>
        <v>8464.7370206557716</v>
      </c>
      <c r="Q13" s="113">
        <f t="shared" si="3"/>
        <v>43693.21072065577</v>
      </c>
    </row>
    <row r="14" spans="1:17" ht="16.5" thickBot="1">
      <c r="A14" s="2048" t="s">
        <v>61</v>
      </c>
      <c r="B14" s="119">
        <f t="shared" si="0"/>
        <v>85</v>
      </c>
      <c r="C14" s="119" t="s">
        <v>3</v>
      </c>
      <c r="D14" s="119">
        <f t="shared" si="1"/>
        <v>180</v>
      </c>
      <c r="E14" s="119" t="s">
        <v>3</v>
      </c>
      <c r="F14" s="118">
        <f t="shared" si="2"/>
        <v>850</v>
      </c>
      <c r="G14" s="119" t="s">
        <v>3</v>
      </c>
      <c r="H14" s="117">
        <v>2</v>
      </c>
      <c r="I14" s="2049" t="s">
        <v>529</v>
      </c>
      <c r="J14" s="103">
        <v>85</v>
      </c>
      <c r="K14" s="66">
        <v>180</v>
      </c>
      <c r="L14" s="66">
        <v>850</v>
      </c>
      <c r="M14" s="164"/>
      <c r="N14" s="78">
        <v>1055.5623000000001</v>
      </c>
      <c r="O14" s="113">
        <f>(37109.1434)*'[1]Изменение цен'!$D$50</f>
        <v>37109.143400000001</v>
      </c>
      <c r="P14" s="254">
        <f>(5938.7489)*'[1]Изменение цен'!$D$85</f>
        <v>9087.9941055445233</v>
      </c>
      <c r="Q14" s="113">
        <f t="shared" si="3"/>
        <v>46197.137505544524</v>
      </c>
    </row>
    <row r="15" spans="1:17" ht="16.5" thickBot="1">
      <c r="A15" s="2048" t="s">
        <v>61</v>
      </c>
      <c r="B15" s="119">
        <f t="shared" si="0"/>
        <v>85</v>
      </c>
      <c r="C15" s="119" t="s">
        <v>3</v>
      </c>
      <c r="D15" s="119">
        <f t="shared" si="1"/>
        <v>180</v>
      </c>
      <c r="E15" s="119" t="s">
        <v>3</v>
      </c>
      <c r="F15" s="118">
        <f t="shared" si="2"/>
        <v>900</v>
      </c>
      <c r="G15" s="119" t="s">
        <v>3</v>
      </c>
      <c r="H15" s="117">
        <v>2</v>
      </c>
      <c r="I15" s="2049" t="s">
        <v>529</v>
      </c>
      <c r="J15" s="103">
        <v>85</v>
      </c>
      <c r="K15" s="66">
        <v>180</v>
      </c>
      <c r="L15" s="66">
        <v>900</v>
      </c>
      <c r="M15" s="164"/>
      <c r="N15" s="78">
        <v>1161.1185300000002</v>
      </c>
      <c r="O15" s="113">
        <f>(38989.8132)*'[1]Изменение цен'!$D$50</f>
        <v>38989.813199999997</v>
      </c>
      <c r="P15" s="254">
        <f>(6172.1858)*'[1]Изменение цен'!$D$85</f>
        <v>9445.2197109606041</v>
      </c>
      <c r="Q15" s="113">
        <f t="shared" si="3"/>
        <v>48435.032910960603</v>
      </c>
    </row>
    <row r="16" spans="1:17" ht="16.5" thickBot="1">
      <c r="A16" s="2048" t="s">
        <v>61</v>
      </c>
      <c r="B16" s="119">
        <f t="shared" si="0"/>
        <v>85</v>
      </c>
      <c r="C16" s="119" t="s">
        <v>3</v>
      </c>
      <c r="D16" s="119">
        <f t="shared" si="1"/>
        <v>180</v>
      </c>
      <c r="E16" s="119" t="s">
        <v>3</v>
      </c>
      <c r="F16" s="118">
        <f t="shared" si="2"/>
        <v>950</v>
      </c>
      <c r="G16" s="119" t="s">
        <v>3</v>
      </c>
      <c r="H16" s="117">
        <v>2</v>
      </c>
      <c r="I16" s="2049" t="s">
        <v>529</v>
      </c>
      <c r="J16" s="103">
        <v>85</v>
      </c>
      <c r="K16" s="66">
        <v>180</v>
      </c>
      <c r="L16" s="66">
        <v>950</v>
      </c>
      <c r="M16" s="164"/>
      <c r="N16" s="78">
        <v>1266.6747600000001</v>
      </c>
      <c r="O16" s="113">
        <f>(40870.483)*'[1]Изменение цен'!$D$50</f>
        <v>40870.483</v>
      </c>
      <c r="P16" s="254">
        <f>(6579.4668)*'[1]Изменение цен'!$D$85</f>
        <v>10068.476795849356</v>
      </c>
      <c r="Q16" s="113">
        <f t="shared" si="3"/>
        <v>50938.959795849354</v>
      </c>
    </row>
    <row r="17" spans="1:17" ht="16.5" thickBot="1">
      <c r="A17" s="2048" t="s">
        <v>61</v>
      </c>
      <c r="B17" s="119">
        <f t="shared" si="0"/>
        <v>85</v>
      </c>
      <c r="C17" s="119" t="s">
        <v>3</v>
      </c>
      <c r="D17" s="119">
        <f t="shared" si="1"/>
        <v>180</v>
      </c>
      <c r="E17" s="119" t="s">
        <v>3</v>
      </c>
      <c r="F17" s="118">
        <f t="shared" si="2"/>
        <v>1000</v>
      </c>
      <c r="G17" s="119" t="s">
        <v>3</v>
      </c>
      <c r="H17" s="117">
        <v>2</v>
      </c>
      <c r="I17" s="2049" t="s">
        <v>529</v>
      </c>
      <c r="J17" s="103">
        <v>85</v>
      </c>
      <c r="K17" s="66">
        <v>180</v>
      </c>
      <c r="L17" s="66">
        <v>1000</v>
      </c>
      <c r="M17" s="164"/>
      <c r="N17" s="78">
        <v>1372.23099</v>
      </c>
      <c r="O17" s="113">
        <f>(42633.0972)*'[1]Изменение цен'!$D$50</f>
        <v>42633.097199999997</v>
      </c>
      <c r="P17" s="254">
        <f>(6812.9037)*'[1]Изменение цен'!$D$85</f>
        <v>10425.702401265436</v>
      </c>
      <c r="Q17" s="113">
        <f t="shared" si="3"/>
        <v>53058.799601265433</v>
      </c>
    </row>
    <row r="18" spans="1:17" ht="16.5" thickBot="1">
      <c r="A18" s="2048" t="s">
        <v>61</v>
      </c>
      <c r="B18" s="119">
        <f t="shared" si="0"/>
        <v>85</v>
      </c>
      <c r="C18" s="119" t="s">
        <v>3</v>
      </c>
      <c r="D18" s="119">
        <f t="shared" si="1"/>
        <v>180</v>
      </c>
      <c r="E18" s="119" t="s">
        <v>3</v>
      </c>
      <c r="F18" s="118">
        <f t="shared" si="2"/>
        <v>1050</v>
      </c>
      <c r="G18" s="119" t="s">
        <v>3</v>
      </c>
      <c r="H18" s="117">
        <v>2</v>
      </c>
      <c r="I18" s="2049" t="s">
        <v>529</v>
      </c>
      <c r="J18" s="103">
        <v>85</v>
      </c>
      <c r="K18" s="66">
        <v>180</v>
      </c>
      <c r="L18" s="66">
        <v>1050</v>
      </c>
      <c r="M18" s="164"/>
      <c r="N18" s="78">
        <v>1477.7872199999999</v>
      </c>
      <c r="O18" s="113">
        <f>(44794.1489)*'[1]Изменение цен'!$D$50</f>
        <v>44794.1489</v>
      </c>
      <c r="P18" s="254">
        <f>(7220.1847)*'[1]Изменение цен'!$D$85</f>
        <v>11048.959486154188</v>
      </c>
      <c r="Q18" s="113">
        <f t="shared" si="3"/>
        <v>55843.108386154185</v>
      </c>
    </row>
    <row r="19" spans="1:17" ht="16.5" thickBot="1">
      <c r="A19" s="2048" t="s">
        <v>61</v>
      </c>
      <c r="B19" s="117">
        <f t="shared" si="0"/>
        <v>85</v>
      </c>
      <c r="C19" s="117" t="s">
        <v>3</v>
      </c>
      <c r="D19" s="117">
        <f t="shared" si="1"/>
        <v>180</v>
      </c>
      <c r="E19" s="117" t="s">
        <v>3</v>
      </c>
      <c r="F19" s="118">
        <f t="shared" si="2"/>
        <v>1100</v>
      </c>
      <c r="G19" s="117" t="s">
        <v>3</v>
      </c>
      <c r="H19" s="117">
        <v>2</v>
      </c>
      <c r="I19" s="2049" t="s">
        <v>529</v>
      </c>
      <c r="J19" s="103">
        <v>85</v>
      </c>
      <c r="K19" s="66">
        <v>180</v>
      </c>
      <c r="L19" s="66">
        <v>1100</v>
      </c>
      <c r="M19" s="164"/>
      <c r="N19" s="78">
        <v>1583.3434500000001</v>
      </c>
      <c r="O19" s="113">
        <f>(46674.8187)*'[1]Изменение цен'!$D$50</f>
        <v>46674.818700000003</v>
      </c>
      <c r="P19" s="254">
        <f>(7453.6216)*'[1]Изменение цен'!$D$85</f>
        <v>11406.185091570271</v>
      </c>
      <c r="Q19" s="113">
        <f t="shared" si="3"/>
        <v>58081.003791570271</v>
      </c>
    </row>
    <row r="20" spans="1:17" ht="16.5" thickBot="1">
      <c r="A20" s="2048" t="s">
        <v>61</v>
      </c>
      <c r="B20" s="119">
        <f t="shared" si="0"/>
        <v>85</v>
      </c>
      <c r="C20" s="119" t="s">
        <v>3</v>
      </c>
      <c r="D20" s="119">
        <f t="shared" si="1"/>
        <v>180</v>
      </c>
      <c r="E20" s="119" t="s">
        <v>3</v>
      </c>
      <c r="F20" s="118">
        <f t="shared" si="2"/>
        <v>1150</v>
      </c>
      <c r="G20" s="119" t="s">
        <v>3</v>
      </c>
      <c r="H20" s="117">
        <v>2</v>
      </c>
      <c r="I20" s="2049" t="s">
        <v>529</v>
      </c>
      <c r="J20" s="103">
        <v>85</v>
      </c>
      <c r="K20" s="66">
        <v>180</v>
      </c>
      <c r="L20" s="66">
        <v>1150</v>
      </c>
      <c r="M20" s="164"/>
      <c r="N20" s="78">
        <v>1688.89968</v>
      </c>
      <c r="O20" s="113">
        <f>(47618.1349)*'[1]Изменение цен'!$D$50</f>
        <v>47618.134899999997</v>
      </c>
      <c r="P20" s="254">
        <f>(7687.0585)*'[1]Изменение цен'!$D$85</f>
        <v>11763.410696986351</v>
      </c>
      <c r="Q20" s="113">
        <f t="shared" si="3"/>
        <v>59381.545596986347</v>
      </c>
    </row>
    <row r="21" spans="1:17" ht="16.5" thickBot="1">
      <c r="A21" s="2048" t="s">
        <v>61</v>
      </c>
      <c r="B21" s="119">
        <f t="shared" si="0"/>
        <v>85</v>
      </c>
      <c r="C21" s="119" t="s">
        <v>3</v>
      </c>
      <c r="D21" s="119">
        <f t="shared" si="1"/>
        <v>180</v>
      </c>
      <c r="E21" s="119" t="s">
        <v>3</v>
      </c>
      <c r="F21" s="118">
        <f t="shared" si="2"/>
        <v>1200</v>
      </c>
      <c r="G21" s="119" t="s">
        <v>3</v>
      </c>
      <c r="H21" s="117">
        <v>2</v>
      </c>
      <c r="I21" s="2049" t="s">
        <v>529</v>
      </c>
      <c r="J21" s="103">
        <v>85</v>
      </c>
      <c r="K21" s="66">
        <v>180</v>
      </c>
      <c r="L21" s="66">
        <v>1200</v>
      </c>
      <c r="M21" s="164"/>
      <c r="N21" s="78">
        <v>1794.4559099999999</v>
      </c>
      <c r="O21" s="113">
        <f>(48605.0574)*'[1]Изменение цен'!$D$50</f>
        <v>48605.057399999998</v>
      </c>
      <c r="P21" s="254">
        <f>(8094.3395)*'[1]Изменение цен'!$D$85</f>
        <v>12386.667781875101</v>
      </c>
      <c r="Q21" s="113">
        <f t="shared" si="3"/>
        <v>60991.725181875096</v>
      </c>
    </row>
    <row r="22" spans="1:17" ht="16.5" thickBot="1">
      <c r="A22" s="2048" t="s">
        <v>61</v>
      </c>
      <c r="B22" s="119">
        <f t="shared" si="0"/>
        <v>85</v>
      </c>
      <c r="C22" s="119" t="s">
        <v>3</v>
      </c>
      <c r="D22" s="119">
        <f t="shared" si="1"/>
        <v>180</v>
      </c>
      <c r="E22" s="119" t="s">
        <v>3</v>
      </c>
      <c r="F22" s="118">
        <f t="shared" si="2"/>
        <v>1250</v>
      </c>
      <c r="G22" s="119" t="s">
        <v>3</v>
      </c>
      <c r="H22" s="117">
        <v>2</v>
      </c>
      <c r="I22" s="2049" t="s">
        <v>529</v>
      </c>
      <c r="J22" s="103">
        <v>85</v>
      </c>
      <c r="K22" s="66">
        <v>180</v>
      </c>
      <c r="L22" s="66">
        <v>1250</v>
      </c>
      <c r="M22" s="164"/>
      <c r="N22" s="78">
        <v>1900.01214</v>
      </c>
      <c r="O22" s="113">
        <f>(49547.7765)*'[1]Изменение цен'!$D$50</f>
        <v>49547.7765</v>
      </c>
      <c r="P22" s="254">
        <f>(8327.7764)*'[1]Изменение цен'!$D$85</f>
        <v>12743.893387291184</v>
      </c>
      <c r="Q22" s="113">
        <f t="shared" si="3"/>
        <v>62291.66988729118</v>
      </c>
    </row>
    <row r="23" spans="1:17" ht="16.5" thickBot="1">
      <c r="A23" s="2048" t="s">
        <v>61</v>
      </c>
      <c r="B23" s="119">
        <f t="shared" si="0"/>
        <v>85</v>
      </c>
      <c r="C23" s="119" t="s">
        <v>3</v>
      </c>
      <c r="D23" s="119">
        <f t="shared" si="1"/>
        <v>180</v>
      </c>
      <c r="E23" s="119" t="s">
        <v>3</v>
      </c>
      <c r="F23" s="118">
        <f t="shared" si="2"/>
        <v>1300</v>
      </c>
      <c r="G23" s="119" t="s">
        <v>3</v>
      </c>
      <c r="H23" s="117">
        <v>2</v>
      </c>
      <c r="I23" s="2049" t="s">
        <v>529</v>
      </c>
      <c r="J23" s="103">
        <v>85</v>
      </c>
      <c r="K23" s="66">
        <v>180</v>
      </c>
      <c r="L23" s="66">
        <v>1300</v>
      </c>
      <c r="M23" s="164"/>
      <c r="N23" s="78">
        <v>2005.56837</v>
      </c>
      <c r="O23" s="113">
        <f>(53533.8179)*'[1]Изменение цен'!$D$50</f>
        <v>53533.817900000002</v>
      </c>
      <c r="P23" s="254">
        <f>(8735.0574)*'[1]Изменение цен'!$D$85</f>
        <v>13367.150472179934</v>
      </c>
      <c r="Q23" s="113">
        <f t="shared" si="3"/>
        <v>66900.968372179937</v>
      </c>
    </row>
    <row r="24" spans="1:17" ht="16.5" thickBot="1">
      <c r="A24" s="2048" t="s">
        <v>61</v>
      </c>
      <c r="B24" s="119">
        <f t="shared" si="0"/>
        <v>85</v>
      </c>
      <c r="C24" s="119" t="s">
        <v>3</v>
      </c>
      <c r="D24" s="119">
        <f t="shared" si="1"/>
        <v>180</v>
      </c>
      <c r="E24" s="119" t="s">
        <v>3</v>
      </c>
      <c r="F24" s="118">
        <f t="shared" si="2"/>
        <v>1350</v>
      </c>
      <c r="G24" s="119" t="s">
        <v>3</v>
      </c>
      <c r="H24" s="117">
        <v>2</v>
      </c>
      <c r="I24" s="2049" t="s">
        <v>529</v>
      </c>
      <c r="J24" s="103">
        <v>85</v>
      </c>
      <c r="K24" s="66">
        <v>180</v>
      </c>
      <c r="L24" s="66">
        <v>1350</v>
      </c>
      <c r="M24" s="164"/>
      <c r="N24" s="78">
        <v>2111.1246000000001</v>
      </c>
      <c r="O24" s="113">
        <f>(54786.4016)*'[1]Изменение цен'!$D$50</f>
        <v>54786.401599999997</v>
      </c>
      <c r="P24" s="254">
        <f>(8968.4943)*'[1]Изменение цен'!$D$85</f>
        <v>13724.376077596016</v>
      </c>
      <c r="Q24" s="113">
        <f t="shared" si="3"/>
        <v>68510.777677596008</v>
      </c>
    </row>
    <row r="25" spans="1:17" ht="16.5" thickBot="1">
      <c r="A25" s="2048" t="s">
        <v>61</v>
      </c>
      <c r="B25" s="119">
        <f t="shared" si="0"/>
        <v>85</v>
      </c>
      <c r="C25" s="119" t="s">
        <v>3</v>
      </c>
      <c r="D25" s="119">
        <f t="shared" si="1"/>
        <v>180</v>
      </c>
      <c r="E25" s="119" t="s">
        <v>3</v>
      </c>
      <c r="F25" s="118">
        <f t="shared" si="2"/>
        <v>1400</v>
      </c>
      <c r="G25" s="119" t="s">
        <v>3</v>
      </c>
      <c r="H25" s="117">
        <v>2</v>
      </c>
      <c r="I25" s="2049" t="s">
        <v>529</v>
      </c>
      <c r="J25" s="103">
        <v>85</v>
      </c>
      <c r="K25" s="66">
        <v>180</v>
      </c>
      <c r="L25" s="66">
        <v>1400</v>
      </c>
      <c r="M25" s="164"/>
      <c r="N25" s="78">
        <v>2216.6808300000002</v>
      </c>
      <c r="O25" s="113">
        <f>(56444.8013999999)*'[1]Изменение цен'!$D$50</f>
        <v>56444.801399999902</v>
      </c>
      <c r="P25" s="254">
        <f>(9375.7752)*'[1]Изменение цен'!$D$85</f>
        <v>14347.633009456002</v>
      </c>
      <c r="Q25" s="113">
        <f t="shared" si="3"/>
        <v>70792.434409455906</v>
      </c>
    </row>
    <row r="26" spans="1:17" ht="16.5" thickBot="1">
      <c r="A26" s="2048" t="s">
        <v>61</v>
      </c>
      <c r="B26" s="119">
        <f t="shared" si="0"/>
        <v>85</v>
      </c>
      <c r="C26" s="119" t="s">
        <v>3</v>
      </c>
      <c r="D26" s="119">
        <f t="shared" si="1"/>
        <v>180</v>
      </c>
      <c r="E26" s="119" t="s">
        <v>3</v>
      </c>
      <c r="F26" s="118">
        <f t="shared" si="2"/>
        <v>1450</v>
      </c>
      <c r="G26" s="119" t="s">
        <v>3</v>
      </c>
      <c r="H26" s="117">
        <v>2</v>
      </c>
      <c r="I26" s="2049" t="s">
        <v>529</v>
      </c>
      <c r="J26" s="103">
        <v>85</v>
      </c>
      <c r="K26" s="66">
        <v>180</v>
      </c>
      <c r="L26" s="66">
        <v>1450</v>
      </c>
      <c r="M26" s="164"/>
      <c r="N26" s="78">
        <v>2322.2370600000004</v>
      </c>
      <c r="O26" s="113">
        <f>(57697.3852)*'[1]Изменение цен'!$D$50</f>
        <v>57697.385199999997</v>
      </c>
      <c r="P26" s="254">
        <f>(9609.2121)*'[1]Изменение цен'!$D$85</f>
        <v>14704.858614872084</v>
      </c>
      <c r="Q26" s="113">
        <f t="shared" si="3"/>
        <v>72402.243814872083</v>
      </c>
    </row>
    <row r="27" spans="1:17" ht="16.5" thickBot="1">
      <c r="A27" s="2048" t="s">
        <v>61</v>
      </c>
      <c r="B27" s="119">
        <f t="shared" si="0"/>
        <v>85</v>
      </c>
      <c r="C27" s="119" t="s">
        <v>3</v>
      </c>
      <c r="D27" s="119">
        <f t="shared" si="1"/>
        <v>180</v>
      </c>
      <c r="E27" s="119" t="s">
        <v>3</v>
      </c>
      <c r="F27" s="118">
        <f t="shared" si="2"/>
        <v>1500</v>
      </c>
      <c r="G27" s="119" t="s">
        <v>3</v>
      </c>
      <c r="H27" s="117">
        <v>2</v>
      </c>
      <c r="I27" s="2049" t="s">
        <v>529</v>
      </c>
      <c r="J27" s="103">
        <v>85</v>
      </c>
      <c r="K27" s="66">
        <v>180</v>
      </c>
      <c r="L27" s="66">
        <v>1500</v>
      </c>
      <c r="M27" s="164"/>
      <c r="N27" s="78">
        <v>2427.7932899999996</v>
      </c>
      <c r="O27" s="113">
        <f>(59469.4646)*'[1]Изменение цен'!$D$50</f>
        <v>59469.464599999999</v>
      </c>
      <c r="P27" s="254">
        <f>(10016.4931)*'[1]Изменение цен'!$D$85</f>
        <v>15328.115699760834</v>
      </c>
      <c r="Q27" s="113">
        <f t="shared" si="3"/>
        <v>74797.580299760826</v>
      </c>
    </row>
    <row r="28" spans="1:17" ht="16.5" thickBot="1">
      <c r="A28" s="2048" t="s">
        <v>61</v>
      </c>
      <c r="B28" s="119">
        <f t="shared" si="0"/>
        <v>85</v>
      </c>
      <c r="C28" s="119" t="s">
        <v>3</v>
      </c>
      <c r="D28" s="119">
        <f t="shared" si="1"/>
        <v>180</v>
      </c>
      <c r="E28" s="119" t="s">
        <v>3</v>
      </c>
      <c r="F28" s="118">
        <f t="shared" si="2"/>
        <v>1550</v>
      </c>
      <c r="G28" s="119" t="s">
        <v>3</v>
      </c>
      <c r="H28" s="117">
        <v>2</v>
      </c>
      <c r="I28" s="2049" t="s">
        <v>529</v>
      </c>
      <c r="J28" s="103">
        <v>85</v>
      </c>
      <c r="K28" s="66">
        <v>180</v>
      </c>
      <c r="L28" s="66">
        <v>1550</v>
      </c>
      <c r="M28" s="164"/>
      <c r="N28" s="78">
        <v>2533.3495200000002</v>
      </c>
      <c r="O28" s="113">
        <f>(60722.0484)*'[1]Изменение цен'!$D$50</f>
        <v>60722.0484</v>
      </c>
      <c r="P28" s="254">
        <f>(10249.93)*'[1]Изменение цен'!$D$85</f>
        <v>15685.341305176917</v>
      </c>
      <c r="Q28" s="113">
        <f t="shared" si="3"/>
        <v>76407.389705176916</v>
      </c>
    </row>
    <row r="29" spans="1:17" ht="16.5" thickBot="1">
      <c r="A29" s="2048" t="s">
        <v>61</v>
      </c>
      <c r="B29" s="117">
        <f t="shared" si="0"/>
        <v>85</v>
      </c>
      <c r="C29" s="117" t="s">
        <v>3</v>
      </c>
      <c r="D29" s="117">
        <f t="shared" si="1"/>
        <v>180</v>
      </c>
      <c r="E29" s="117" t="s">
        <v>3</v>
      </c>
      <c r="F29" s="118">
        <f t="shared" si="2"/>
        <v>1600</v>
      </c>
      <c r="G29" s="117" t="s">
        <v>3</v>
      </c>
      <c r="H29" s="117">
        <v>2</v>
      </c>
      <c r="I29" s="2049" t="s">
        <v>529</v>
      </c>
      <c r="J29" s="103">
        <v>85</v>
      </c>
      <c r="K29" s="66">
        <v>180</v>
      </c>
      <c r="L29" s="66">
        <v>1600</v>
      </c>
      <c r="M29" s="164"/>
      <c r="N29" s="78">
        <v>2638.9057499999999</v>
      </c>
      <c r="O29" s="113">
        <f>(64389.6014)*'[1]Изменение цен'!$D$50</f>
        <v>64389.6014</v>
      </c>
      <c r="P29" s="254">
        <f>(10483.3669)*'[1]Изменение цен'!$D$85</f>
        <v>16042.566910592999</v>
      </c>
      <c r="Q29" s="113">
        <f t="shared" si="3"/>
        <v>80432.168310592999</v>
      </c>
    </row>
    <row r="30" spans="1:17" ht="16.5" thickBot="1">
      <c r="A30" s="2048" t="s">
        <v>61</v>
      </c>
      <c r="B30" s="119">
        <f t="shared" si="0"/>
        <v>85</v>
      </c>
      <c r="C30" s="119" t="s">
        <v>3</v>
      </c>
      <c r="D30" s="119">
        <f t="shared" si="1"/>
        <v>180</v>
      </c>
      <c r="E30" s="119" t="s">
        <v>3</v>
      </c>
      <c r="F30" s="118">
        <f t="shared" si="2"/>
        <v>1650</v>
      </c>
      <c r="G30" s="119" t="s">
        <v>3</v>
      </c>
      <c r="H30" s="117">
        <v>2</v>
      </c>
      <c r="I30" s="2049" t="s">
        <v>529</v>
      </c>
      <c r="J30" s="103">
        <v>85</v>
      </c>
      <c r="K30" s="66">
        <v>180</v>
      </c>
      <c r="L30" s="66">
        <v>1650</v>
      </c>
      <c r="M30" s="164"/>
      <c r="N30" s="78">
        <v>2744.46198</v>
      </c>
      <c r="O30" s="113">
        <f>(68370.2003)*'[1]Изменение цен'!$D$50</f>
        <v>68370.200299999997</v>
      </c>
      <c r="P30" s="254">
        <f>(10890.6479)*'[1]Изменение цен'!$D$85</f>
        <v>16665.823995481747</v>
      </c>
      <c r="Q30" s="113">
        <f t="shared" si="3"/>
        <v>85036.024295481737</v>
      </c>
    </row>
    <row r="31" spans="1:17" ht="16.5" thickBot="1">
      <c r="A31" s="2048" t="s">
        <v>61</v>
      </c>
      <c r="B31" s="119">
        <f t="shared" si="0"/>
        <v>85</v>
      </c>
      <c r="C31" s="119" t="s">
        <v>3</v>
      </c>
      <c r="D31" s="119">
        <f t="shared" si="1"/>
        <v>180</v>
      </c>
      <c r="E31" s="119" t="s">
        <v>3</v>
      </c>
      <c r="F31" s="118">
        <f t="shared" si="2"/>
        <v>1700</v>
      </c>
      <c r="G31" s="119" t="s">
        <v>3</v>
      </c>
      <c r="H31" s="117">
        <v>2</v>
      </c>
      <c r="I31" s="2049" t="s">
        <v>529</v>
      </c>
      <c r="J31" s="103">
        <v>85</v>
      </c>
      <c r="K31" s="66">
        <v>180</v>
      </c>
      <c r="L31" s="66">
        <v>1700</v>
      </c>
      <c r="M31" s="164"/>
      <c r="N31" s="78">
        <v>2850.0182100000002</v>
      </c>
      <c r="O31" s="113">
        <f>(69368.2032)*'[1]Изменение цен'!$D$50</f>
        <v>69368.203200000004</v>
      </c>
      <c r="P31" s="254">
        <f>(11124.0848)*'[1]Изменение цен'!$D$85</f>
        <v>17023.04960089783</v>
      </c>
      <c r="Q31" s="113">
        <f t="shared" si="3"/>
        <v>86391.252800897841</v>
      </c>
    </row>
    <row r="32" spans="1:17" ht="16.5" thickBot="1">
      <c r="A32" s="2048" t="s">
        <v>61</v>
      </c>
      <c r="B32" s="119">
        <f t="shared" si="0"/>
        <v>85</v>
      </c>
      <c r="C32" s="119" t="s">
        <v>3</v>
      </c>
      <c r="D32" s="119">
        <f t="shared" si="1"/>
        <v>180</v>
      </c>
      <c r="E32" s="119" t="s">
        <v>3</v>
      </c>
      <c r="F32" s="118">
        <f t="shared" si="2"/>
        <v>1750</v>
      </c>
      <c r="G32" s="119" t="s">
        <v>3</v>
      </c>
      <c r="H32" s="117">
        <v>2</v>
      </c>
      <c r="I32" s="2049" t="s">
        <v>529</v>
      </c>
      <c r="J32" s="103">
        <v>85</v>
      </c>
      <c r="K32" s="66">
        <v>180</v>
      </c>
      <c r="L32" s="66">
        <v>1750</v>
      </c>
      <c r="M32" s="164"/>
      <c r="N32" s="78">
        <v>2955.5744399999999</v>
      </c>
      <c r="O32" s="113">
        <f>(70271.7021)*'[1]Изменение цен'!$D$50</f>
        <v>70271.702099999995</v>
      </c>
      <c r="P32" s="254">
        <f>(11531.3658)*'[1]Изменение цен'!$D$85</f>
        <v>17646.306685786582</v>
      </c>
      <c r="Q32" s="113">
        <f t="shared" si="3"/>
        <v>87918.008785786573</v>
      </c>
    </row>
    <row r="33" spans="1:17" ht="16.5" thickBot="1">
      <c r="A33" s="2048" t="s">
        <v>61</v>
      </c>
      <c r="B33" s="119">
        <f t="shared" si="0"/>
        <v>85</v>
      </c>
      <c r="C33" s="119" t="s">
        <v>3</v>
      </c>
      <c r="D33" s="119">
        <f t="shared" si="1"/>
        <v>180</v>
      </c>
      <c r="E33" s="119" t="s">
        <v>3</v>
      </c>
      <c r="F33" s="118">
        <f t="shared" si="2"/>
        <v>1800</v>
      </c>
      <c r="G33" s="119" t="s">
        <v>3</v>
      </c>
      <c r="H33" s="117">
        <v>2</v>
      </c>
      <c r="I33" s="2049" t="s">
        <v>529</v>
      </c>
      <c r="J33" s="103">
        <v>85</v>
      </c>
      <c r="K33" s="66">
        <v>180</v>
      </c>
      <c r="L33" s="66">
        <v>1800</v>
      </c>
      <c r="M33" s="164"/>
      <c r="N33" s="78">
        <v>3061.1306699999996</v>
      </c>
      <c r="O33" s="113">
        <f>(71270.5695)*'[1]Изменение цен'!$D$50</f>
        <v>71270.569499999998</v>
      </c>
      <c r="P33" s="254">
        <f>(11764.8027)*'[1]Изменение цен'!$D$85</f>
        <v>18003.532291202664</v>
      </c>
      <c r="Q33" s="113">
        <f t="shared" si="3"/>
        <v>89274.101791202658</v>
      </c>
    </row>
    <row r="34" spans="1:17" ht="16.5" thickBot="1">
      <c r="A34" s="2048" t="s">
        <v>61</v>
      </c>
      <c r="B34" s="119">
        <f t="shared" si="0"/>
        <v>85</v>
      </c>
      <c r="C34" s="119" t="s">
        <v>3</v>
      </c>
      <c r="D34" s="119">
        <f t="shared" si="1"/>
        <v>180</v>
      </c>
      <c r="E34" s="119" t="s">
        <v>3</v>
      </c>
      <c r="F34" s="118">
        <f t="shared" si="2"/>
        <v>1850</v>
      </c>
      <c r="G34" s="119" t="s">
        <v>3</v>
      </c>
      <c r="H34" s="117">
        <v>2</v>
      </c>
      <c r="I34" s="2049" t="s">
        <v>529</v>
      </c>
      <c r="J34" s="103">
        <v>85</v>
      </c>
      <c r="K34" s="66">
        <v>180</v>
      </c>
      <c r="L34" s="66">
        <v>1850</v>
      </c>
      <c r="M34" s="164"/>
      <c r="N34" s="78">
        <v>3166.6869000000002</v>
      </c>
      <c r="O34" s="113">
        <f>(72269.3772)*'[1]Изменение цен'!$D$50</f>
        <v>72269.377200000003</v>
      </c>
      <c r="P34" s="254">
        <f>(12172.0837)*'[1]Изменение цен'!$D$85</f>
        <v>18626.789376091412</v>
      </c>
      <c r="Q34" s="113">
        <f t="shared" si="3"/>
        <v>90896.166576091418</v>
      </c>
    </row>
    <row r="35" spans="1:17" ht="16.5" thickBot="1">
      <c r="A35" s="2048" t="s">
        <v>61</v>
      </c>
      <c r="B35" s="119">
        <f t="shared" si="0"/>
        <v>85</v>
      </c>
      <c r="C35" s="119" t="s">
        <v>3</v>
      </c>
      <c r="D35" s="119">
        <f t="shared" si="1"/>
        <v>180</v>
      </c>
      <c r="E35" s="119" t="s">
        <v>3</v>
      </c>
      <c r="F35" s="118">
        <f t="shared" si="2"/>
        <v>1900</v>
      </c>
      <c r="G35" s="119" t="s">
        <v>3</v>
      </c>
      <c r="H35" s="117">
        <v>2</v>
      </c>
      <c r="I35" s="2049" t="s">
        <v>529</v>
      </c>
      <c r="J35" s="103">
        <v>85</v>
      </c>
      <c r="K35" s="66">
        <v>180</v>
      </c>
      <c r="L35" s="66">
        <v>1900</v>
      </c>
      <c r="M35" s="164"/>
      <c r="N35" s="78">
        <v>3272.2431299999998</v>
      </c>
      <c r="O35" s="113">
        <f>(73485.4213)*'[1]Изменение цен'!$D$50</f>
        <v>73485.421300000002</v>
      </c>
      <c r="P35" s="254">
        <f>(12405.5206)*'[1]Изменение цен'!$D$85</f>
        <v>18984.014981507495</v>
      </c>
      <c r="Q35" s="113">
        <f t="shared" si="3"/>
        <v>92469.4362815075</v>
      </c>
    </row>
    <row r="36" spans="1:17" ht="16.5" thickBot="1">
      <c r="A36" s="2048" t="s">
        <v>61</v>
      </c>
      <c r="B36" s="119">
        <f t="shared" si="0"/>
        <v>85</v>
      </c>
      <c r="C36" s="119" t="s">
        <v>3</v>
      </c>
      <c r="D36" s="119">
        <f t="shared" si="1"/>
        <v>180</v>
      </c>
      <c r="E36" s="119" t="s">
        <v>3</v>
      </c>
      <c r="F36" s="118">
        <f t="shared" si="2"/>
        <v>1950</v>
      </c>
      <c r="G36" s="119" t="s">
        <v>3</v>
      </c>
      <c r="H36" s="117">
        <v>2</v>
      </c>
      <c r="I36" s="2049" t="s">
        <v>529</v>
      </c>
      <c r="J36" s="103">
        <v>85</v>
      </c>
      <c r="K36" s="66">
        <v>180</v>
      </c>
      <c r="L36" s="66">
        <v>1950</v>
      </c>
      <c r="M36" s="164"/>
      <c r="N36" s="78">
        <v>3377.79936</v>
      </c>
      <c r="O36" s="113">
        <f>(74899.0286)*'[1]Изменение цен'!$D$50</f>
        <v>74899.028600000005</v>
      </c>
      <c r="P36" s="254">
        <f>(12638.9575)*'[1]Изменение цен'!$D$85</f>
        <v>19341.240586923577</v>
      </c>
      <c r="Q36" s="113">
        <f t="shared" si="3"/>
        <v>94240.269186923586</v>
      </c>
    </row>
    <row r="37" spans="1:17" ht="16.5" thickBot="1">
      <c r="A37" s="2048" t="s">
        <v>61</v>
      </c>
      <c r="B37" s="119">
        <f t="shared" si="0"/>
        <v>85</v>
      </c>
      <c r="C37" s="119" t="s">
        <v>3</v>
      </c>
      <c r="D37" s="119">
        <f t="shared" si="1"/>
        <v>180</v>
      </c>
      <c r="E37" s="119" t="s">
        <v>3</v>
      </c>
      <c r="F37" s="118">
        <f t="shared" si="2"/>
        <v>2000</v>
      </c>
      <c r="G37" s="119" t="s">
        <v>3</v>
      </c>
      <c r="H37" s="117">
        <v>2</v>
      </c>
      <c r="I37" s="2049" t="s">
        <v>529</v>
      </c>
      <c r="J37" s="103">
        <v>85</v>
      </c>
      <c r="K37" s="66">
        <v>180</v>
      </c>
      <c r="L37" s="66">
        <v>2000</v>
      </c>
      <c r="M37" s="164"/>
      <c r="N37" s="78">
        <v>3483.3555899999992</v>
      </c>
      <c r="O37" s="113">
        <f>(76153.8248)*'[1]Изменение цен'!$D$50</f>
        <v>76153.824800000002</v>
      </c>
      <c r="P37" s="254">
        <f>(13046.2385)*'[1]Изменение цен'!$D$85</f>
        <v>19964.497671812325</v>
      </c>
      <c r="Q37" s="113">
        <f t="shared" si="3"/>
        <v>96118.322471812324</v>
      </c>
    </row>
    <row r="38" spans="1:17" ht="16.5" thickBot="1">
      <c r="A38" s="2048" t="s">
        <v>61</v>
      </c>
      <c r="B38" s="119">
        <f t="shared" si="0"/>
        <v>85</v>
      </c>
      <c r="C38" s="119" t="s">
        <v>3</v>
      </c>
      <c r="D38" s="119">
        <f t="shared" si="1"/>
        <v>180</v>
      </c>
      <c r="E38" s="119" t="s">
        <v>3</v>
      </c>
      <c r="F38" s="118">
        <f t="shared" si="2"/>
        <v>2050</v>
      </c>
      <c r="G38" s="119" t="s">
        <v>3</v>
      </c>
      <c r="H38" s="117">
        <v>2</v>
      </c>
      <c r="I38" s="2049" t="s">
        <v>529</v>
      </c>
      <c r="J38" s="103">
        <v>85</v>
      </c>
      <c r="K38" s="66">
        <v>180</v>
      </c>
      <c r="L38" s="66">
        <v>2050</v>
      </c>
      <c r="M38" s="164"/>
      <c r="N38" s="78">
        <v>3588.9118199999998</v>
      </c>
      <c r="O38" s="113">
        <f>(79813.2245)*'[1]Изменение цен'!$D$50</f>
        <v>79813.224499999997</v>
      </c>
      <c r="P38" s="254">
        <f>(13279.6754)*'[1]Изменение цен'!$D$85</f>
        <v>20321.723277228408</v>
      </c>
      <c r="Q38" s="113">
        <f t="shared" si="3"/>
        <v>100134.9477772284</v>
      </c>
    </row>
    <row r="39" spans="1:17" ht="16.5" thickBot="1">
      <c r="A39" s="2048" t="s">
        <v>61</v>
      </c>
      <c r="B39" s="117">
        <f t="shared" si="0"/>
        <v>85</v>
      </c>
      <c r="C39" s="117" t="s">
        <v>3</v>
      </c>
      <c r="D39" s="117">
        <f t="shared" si="1"/>
        <v>180</v>
      </c>
      <c r="E39" s="117" t="s">
        <v>3</v>
      </c>
      <c r="F39" s="118">
        <f t="shared" si="2"/>
        <v>2100</v>
      </c>
      <c r="G39" s="117" t="s">
        <v>3</v>
      </c>
      <c r="H39" s="117">
        <v>2</v>
      </c>
      <c r="I39" s="2049" t="s">
        <v>529</v>
      </c>
      <c r="J39" s="103">
        <v>85</v>
      </c>
      <c r="K39" s="66">
        <v>180</v>
      </c>
      <c r="L39" s="66">
        <v>2100</v>
      </c>
      <c r="M39" s="164"/>
      <c r="N39" s="78">
        <v>3694.4680499999999</v>
      </c>
      <c r="O39" s="113">
        <f>(80888.885)*'[1]Изменение цен'!$D$50</f>
        <v>80888.884999999995</v>
      </c>
      <c r="P39" s="254">
        <f>(13686.9563)*'[1]Изменение цен'!$D$85</f>
        <v>20944.980209088393</v>
      </c>
      <c r="Q39" s="113">
        <f t="shared" si="3"/>
        <v>101833.86520908838</v>
      </c>
    </row>
    <row r="40" spans="1:17" ht="16.5" thickBot="1">
      <c r="A40" s="2048" t="s">
        <v>61</v>
      </c>
      <c r="B40" s="119">
        <f t="shared" si="0"/>
        <v>85</v>
      </c>
      <c r="C40" s="119" t="s">
        <v>3</v>
      </c>
      <c r="D40" s="119">
        <f t="shared" si="1"/>
        <v>180</v>
      </c>
      <c r="E40" s="119" t="s">
        <v>3</v>
      </c>
      <c r="F40" s="118">
        <f t="shared" si="2"/>
        <v>2150</v>
      </c>
      <c r="G40" s="119" t="s">
        <v>3</v>
      </c>
      <c r="H40" s="117">
        <v>2</v>
      </c>
      <c r="I40" s="2049" t="s">
        <v>529</v>
      </c>
      <c r="J40" s="103">
        <v>85</v>
      </c>
      <c r="K40" s="66">
        <v>180</v>
      </c>
      <c r="L40" s="66">
        <v>2150</v>
      </c>
      <c r="M40" s="164"/>
      <c r="N40" s="78">
        <v>3800.0242800000001</v>
      </c>
      <c r="O40" s="113">
        <f>(82147.7335)*'[1]Изменение цен'!$D$50</f>
        <v>82147.733500000002</v>
      </c>
      <c r="P40" s="254">
        <f>(13920.3933)*'[1]Изменение цен'!$D$85</f>
        <v>21302.205967533242</v>
      </c>
      <c r="Q40" s="113">
        <f t="shared" si="3"/>
        <v>103449.93946753324</v>
      </c>
    </row>
    <row r="41" spans="1:17" ht="16.5" thickBot="1">
      <c r="A41" s="2048" t="s">
        <v>61</v>
      </c>
      <c r="B41" s="119">
        <f t="shared" si="0"/>
        <v>85</v>
      </c>
      <c r="C41" s="119" t="s">
        <v>3</v>
      </c>
      <c r="D41" s="119">
        <f t="shared" si="1"/>
        <v>180</v>
      </c>
      <c r="E41" s="119" t="s">
        <v>3</v>
      </c>
      <c r="F41" s="118">
        <f t="shared" si="2"/>
        <v>2200</v>
      </c>
      <c r="G41" s="119" t="s">
        <v>3</v>
      </c>
      <c r="H41" s="117">
        <v>2</v>
      </c>
      <c r="I41" s="2049" t="s">
        <v>529</v>
      </c>
      <c r="J41" s="103">
        <v>85</v>
      </c>
      <c r="K41" s="66">
        <v>180</v>
      </c>
      <c r="L41" s="66">
        <v>2200</v>
      </c>
      <c r="M41" s="164"/>
      <c r="N41" s="78">
        <v>3905.5805099999998</v>
      </c>
      <c r="O41" s="113">
        <f>(83406.5222)*'[1]Изменение цен'!$D$50</f>
        <v>83406.522200000007</v>
      </c>
      <c r="P41" s="254">
        <f>(14327.6742)*'[1]Изменение цен'!$D$85</f>
        <v>21925.462899393227</v>
      </c>
      <c r="Q41" s="113">
        <f t="shared" si="3"/>
        <v>105331.98509939323</v>
      </c>
    </row>
    <row r="42" spans="1:17" ht="16.5" thickBot="1">
      <c r="A42" s="2048" t="s">
        <v>61</v>
      </c>
      <c r="B42" s="119">
        <f t="shared" si="0"/>
        <v>85</v>
      </c>
      <c r="C42" s="119" t="s">
        <v>3</v>
      </c>
      <c r="D42" s="119">
        <f t="shared" si="1"/>
        <v>180</v>
      </c>
      <c r="E42" s="119" t="s">
        <v>3</v>
      </c>
      <c r="F42" s="118">
        <f t="shared" si="2"/>
        <v>2250</v>
      </c>
      <c r="G42" s="119" t="s">
        <v>3</v>
      </c>
      <c r="H42" s="117">
        <v>2</v>
      </c>
      <c r="I42" s="2049" t="s">
        <v>529</v>
      </c>
      <c r="J42" s="103">
        <v>85</v>
      </c>
      <c r="K42" s="66">
        <v>180</v>
      </c>
      <c r="L42" s="66">
        <v>2250</v>
      </c>
      <c r="M42" s="164"/>
      <c r="N42" s="78">
        <v>4011.1367399999999</v>
      </c>
      <c r="O42" s="113">
        <f>(85061.9371)*'[1]Изменение цен'!$D$50</f>
        <v>85061.937099999996</v>
      </c>
      <c r="P42" s="254">
        <f>(14561.1111)*'[1]Изменение цен'!$D$85</f>
        <v>22282.68850480931</v>
      </c>
      <c r="Q42" s="113">
        <f t="shared" si="3"/>
        <v>107344.62560480931</v>
      </c>
    </row>
    <row r="43" spans="1:17" ht="16.5" thickBot="1">
      <c r="A43" s="2048" t="s">
        <v>61</v>
      </c>
      <c r="B43" s="119">
        <f t="shared" si="0"/>
        <v>85</v>
      </c>
      <c r="C43" s="119" t="s">
        <v>3</v>
      </c>
      <c r="D43" s="119">
        <f t="shared" si="1"/>
        <v>180</v>
      </c>
      <c r="E43" s="119" t="s">
        <v>3</v>
      </c>
      <c r="F43" s="118">
        <f t="shared" si="2"/>
        <v>2300</v>
      </c>
      <c r="G43" s="119" t="s">
        <v>3</v>
      </c>
      <c r="H43" s="117">
        <v>2</v>
      </c>
      <c r="I43" s="2049" t="s">
        <v>529</v>
      </c>
      <c r="J43" s="103">
        <v>85</v>
      </c>
      <c r="K43" s="66">
        <v>180</v>
      </c>
      <c r="L43" s="66">
        <v>2300</v>
      </c>
      <c r="M43" s="164"/>
      <c r="N43" s="78">
        <v>4116.6929700000001</v>
      </c>
      <c r="O43" s="113">
        <f>(86019.2887)*'[1]Изменение цен'!$D$50</f>
        <v>86019.288700000005</v>
      </c>
      <c r="P43" s="254">
        <f>(14794.5481)*'[1]Изменение цен'!$D$85</f>
        <v>22639.914263254155</v>
      </c>
      <c r="Q43" s="113">
        <f t="shared" si="3"/>
        <v>108659.20296325415</v>
      </c>
    </row>
    <row r="44" spans="1:17" ht="16.5" thickBot="1">
      <c r="A44" s="2048" t="s">
        <v>61</v>
      </c>
      <c r="B44" s="119">
        <f t="shared" si="0"/>
        <v>85</v>
      </c>
      <c r="C44" s="119" t="s">
        <v>3</v>
      </c>
      <c r="D44" s="119">
        <f t="shared" si="1"/>
        <v>180</v>
      </c>
      <c r="E44" s="119" t="s">
        <v>3</v>
      </c>
      <c r="F44" s="118">
        <f t="shared" si="2"/>
        <v>2350</v>
      </c>
      <c r="G44" s="119" t="s">
        <v>3</v>
      </c>
      <c r="H44" s="117">
        <v>2</v>
      </c>
      <c r="I44" s="2049" t="s">
        <v>529</v>
      </c>
      <c r="J44" s="103">
        <v>85</v>
      </c>
      <c r="K44" s="66">
        <v>180</v>
      </c>
      <c r="L44" s="66">
        <v>2350</v>
      </c>
      <c r="M44" s="164"/>
      <c r="N44" s="78">
        <v>4222.2492000000002</v>
      </c>
      <c r="O44" s="113">
        <f>(86976.5806)*'[1]Изменение цен'!$D$50</f>
        <v>86976.580600000001</v>
      </c>
      <c r="P44" s="254">
        <f>(15201.829)*'[1]Изменение цен'!$D$85</f>
        <v>23263.171195114141</v>
      </c>
      <c r="Q44" s="113">
        <f t="shared" si="3"/>
        <v>110239.75179511413</v>
      </c>
    </row>
    <row r="45" spans="1:17" ht="16.5" thickBot="1">
      <c r="A45" s="2048" t="s">
        <v>61</v>
      </c>
      <c r="B45" s="119">
        <f t="shared" si="0"/>
        <v>85</v>
      </c>
      <c r="C45" s="119" t="s">
        <v>3</v>
      </c>
      <c r="D45" s="119">
        <f t="shared" si="1"/>
        <v>180</v>
      </c>
      <c r="E45" s="119" t="s">
        <v>3</v>
      </c>
      <c r="F45" s="118">
        <f t="shared" si="2"/>
        <v>2400</v>
      </c>
      <c r="G45" s="119" t="s">
        <v>3</v>
      </c>
      <c r="H45" s="117">
        <v>2</v>
      </c>
      <c r="I45" s="2049" t="s">
        <v>529</v>
      </c>
      <c r="J45" s="103">
        <v>85</v>
      </c>
      <c r="K45" s="66">
        <v>180</v>
      </c>
      <c r="L45" s="66">
        <v>2400</v>
      </c>
      <c r="M45" s="164"/>
      <c r="N45" s="78">
        <v>4327.8054300000003</v>
      </c>
      <c r="O45" s="113">
        <f>(87933.8128)*'[1]Изменение цен'!$D$50</f>
        <v>87933.8128</v>
      </c>
      <c r="P45" s="254">
        <f>(15435.2659)*'[1]Изменение цен'!$D$85</f>
        <v>23620.396800530223</v>
      </c>
      <c r="Q45" s="113">
        <f t="shared" si="3"/>
        <v>111554.20960053022</v>
      </c>
    </row>
    <row r="46" spans="1:17" ht="16.5" thickBot="1">
      <c r="A46" s="2048" t="s">
        <v>61</v>
      </c>
      <c r="B46" s="119">
        <f t="shared" si="0"/>
        <v>85</v>
      </c>
      <c r="C46" s="119" t="s">
        <v>3</v>
      </c>
      <c r="D46" s="119">
        <f t="shared" si="1"/>
        <v>180</v>
      </c>
      <c r="E46" s="119" t="s">
        <v>3</v>
      </c>
      <c r="F46" s="118">
        <f t="shared" si="2"/>
        <v>2450</v>
      </c>
      <c r="G46" s="119" t="s">
        <v>3</v>
      </c>
      <c r="H46" s="117">
        <v>2</v>
      </c>
      <c r="I46" s="2049" t="s">
        <v>529</v>
      </c>
      <c r="J46" s="103">
        <v>85</v>
      </c>
      <c r="K46" s="66">
        <v>180</v>
      </c>
      <c r="L46" s="66">
        <v>2450</v>
      </c>
      <c r="M46" s="164"/>
      <c r="N46" s="78">
        <v>4433.3616600000005</v>
      </c>
      <c r="O46" s="113">
        <f>(89410.481)*'[1]Изменение цен'!$D$50</f>
        <v>89410.481</v>
      </c>
      <c r="P46" s="254">
        <f>(15842.5469)*'[1]Изменение цен'!$D$85</f>
        <v>24243.653885418971</v>
      </c>
      <c r="Q46" s="113">
        <f t="shared" si="3"/>
        <v>113654.13488541897</v>
      </c>
    </row>
    <row r="47" spans="1:17" ht="16.5" thickBot="1">
      <c r="A47" s="2048" t="s">
        <v>61</v>
      </c>
      <c r="B47" s="119">
        <f t="shared" si="0"/>
        <v>85</v>
      </c>
      <c r="C47" s="119" t="s">
        <v>3</v>
      </c>
      <c r="D47" s="119">
        <f t="shared" si="1"/>
        <v>180</v>
      </c>
      <c r="E47" s="119" t="s">
        <v>3</v>
      </c>
      <c r="F47" s="118">
        <f t="shared" si="2"/>
        <v>2500</v>
      </c>
      <c r="G47" s="119" t="s">
        <v>3</v>
      </c>
      <c r="H47" s="117">
        <v>2</v>
      </c>
      <c r="I47" s="2049" t="s">
        <v>529</v>
      </c>
      <c r="J47" s="103">
        <v>85</v>
      </c>
      <c r="K47" s="66">
        <v>180</v>
      </c>
      <c r="L47" s="66">
        <v>2500</v>
      </c>
      <c r="M47" s="164"/>
      <c r="N47" s="78">
        <v>4538.9178899999997</v>
      </c>
      <c r="O47" s="113">
        <f>(90367.5939)*'[1]Изменение цен'!$D$50</f>
        <v>90367.593900000007</v>
      </c>
      <c r="P47" s="254">
        <f>(16075.9838)*'[1]Изменение цен'!$D$85</f>
        <v>24600.879490835054</v>
      </c>
      <c r="Q47" s="113">
        <f t="shared" si="3"/>
        <v>114968.47339083506</v>
      </c>
    </row>
    <row r="48" spans="1:17" ht="16.5" thickBot="1">
      <c r="A48" s="2048" t="s">
        <v>61</v>
      </c>
      <c r="B48" s="119">
        <f t="shared" si="0"/>
        <v>85</v>
      </c>
      <c r="C48" s="119" t="s">
        <v>3</v>
      </c>
      <c r="D48" s="119">
        <f t="shared" si="1"/>
        <v>180</v>
      </c>
      <c r="E48" s="119" t="s">
        <v>3</v>
      </c>
      <c r="F48" s="118">
        <f t="shared" si="2"/>
        <v>2550</v>
      </c>
      <c r="G48" s="119" t="s">
        <v>3</v>
      </c>
      <c r="H48" s="117">
        <v>2</v>
      </c>
      <c r="I48" s="2049" t="s">
        <v>529</v>
      </c>
      <c r="J48" s="103">
        <v>85</v>
      </c>
      <c r="K48" s="66">
        <v>180</v>
      </c>
      <c r="L48" s="66">
        <v>2550</v>
      </c>
      <c r="M48" s="164"/>
      <c r="N48" s="78">
        <v>4644.4741200000008</v>
      </c>
      <c r="O48" s="113">
        <f>(95412.8023)*'[1]Изменение цен'!$D$50</f>
        <v>95412.802299999996</v>
      </c>
      <c r="P48" s="254">
        <f>(16483.2648)*'[1]Изменение цен'!$D$85</f>
        <v>25224.136575723809</v>
      </c>
      <c r="Q48" s="113">
        <f t="shared" si="3"/>
        <v>120636.9388757238</v>
      </c>
    </row>
    <row r="49" spans="1:17" ht="16.5" thickBot="1">
      <c r="A49" s="2048" t="s">
        <v>61</v>
      </c>
      <c r="B49" s="117">
        <f t="shared" si="0"/>
        <v>85</v>
      </c>
      <c r="C49" s="117" t="s">
        <v>3</v>
      </c>
      <c r="D49" s="117">
        <f t="shared" si="1"/>
        <v>180</v>
      </c>
      <c r="E49" s="117" t="s">
        <v>3</v>
      </c>
      <c r="F49" s="118">
        <f t="shared" si="2"/>
        <v>2600</v>
      </c>
      <c r="G49" s="117" t="s">
        <v>3</v>
      </c>
      <c r="H49" s="117">
        <v>2</v>
      </c>
      <c r="I49" s="2049" t="s">
        <v>529</v>
      </c>
      <c r="J49" s="103">
        <v>85</v>
      </c>
      <c r="K49" s="66">
        <v>180</v>
      </c>
      <c r="L49" s="66">
        <v>2600</v>
      </c>
      <c r="M49" s="164"/>
      <c r="N49" s="78">
        <v>4750.03035</v>
      </c>
      <c r="O49" s="113">
        <f>(96705.6054)*'[1]Изменение цен'!$D$50</f>
        <v>96705.6054</v>
      </c>
      <c r="P49" s="254">
        <f>(16716.7017)*'[1]Изменение цен'!$D$85</f>
        <v>25581.362181139888</v>
      </c>
      <c r="Q49" s="113">
        <f t="shared" si="3"/>
        <v>122286.96758113989</v>
      </c>
    </row>
    <row r="50" spans="1:17" ht="16.5" thickBot="1">
      <c r="A50" s="2048" t="s">
        <v>61</v>
      </c>
      <c r="B50" s="119">
        <f t="shared" si="0"/>
        <v>85</v>
      </c>
      <c r="C50" s="119" t="s">
        <v>3</v>
      </c>
      <c r="D50" s="119">
        <f t="shared" si="1"/>
        <v>180</v>
      </c>
      <c r="E50" s="119" t="s">
        <v>3</v>
      </c>
      <c r="F50" s="118">
        <f t="shared" si="2"/>
        <v>2650</v>
      </c>
      <c r="G50" s="119" t="s">
        <v>3</v>
      </c>
      <c r="H50" s="117">
        <v>2</v>
      </c>
      <c r="I50" s="2049" t="s">
        <v>529</v>
      </c>
      <c r="J50" s="103">
        <v>85</v>
      </c>
      <c r="K50" s="66">
        <v>180</v>
      </c>
      <c r="L50" s="66">
        <v>2650</v>
      </c>
      <c r="M50" s="164"/>
      <c r="N50" s="78">
        <v>4855.5865799999992</v>
      </c>
      <c r="O50" s="113">
        <f>(97464.0243)*'[1]Изменение цен'!$D$50</f>
        <v>97464.024300000005</v>
      </c>
      <c r="P50" s="254">
        <f>(17123.9827)*'[1]Изменение цен'!$D$85</f>
        <v>26204.61926602864</v>
      </c>
      <c r="Q50" s="113">
        <f t="shared" si="3"/>
        <v>123668.64356602865</v>
      </c>
    </row>
    <row r="51" spans="1:17" ht="16.5" thickBot="1">
      <c r="A51" s="2048" t="s">
        <v>61</v>
      </c>
      <c r="B51" s="119">
        <f t="shared" si="0"/>
        <v>85</v>
      </c>
      <c r="C51" s="119" t="s">
        <v>3</v>
      </c>
      <c r="D51" s="119">
        <f t="shared" si="1"/>
        <v>180</v>
      </c>
      <c r="E51" s="119" t="s">
        <v>3</v>
      </c>
      <c r="F51" s="118">
        <f t="shared" si="2"/>
        <v>2700</v>
      </c>
      <c r="G51" s="119" t="s">
        <v>3</v>
      </c>
      <c r="H51" s="117">
        <v>2</v>
      </c>
      <c r="I51" s="2049" t="s">
        <v>529</v>
      </c>
      <c r="J51" s="103">
        <v>85</v>
      </c>
      <c r="K51" s="66">
        <v>180</v>
      </c>
      <c r="L51" s="66">
        <v>2700</v>
      </c>
      <c r="M51" s="164"/>
      <c r="N51" s="78">
        <v>4961.1428100000003</v>
      </c>
      <c r="O51" s="113">
        <f>(98266.2881)*'[1]Изменение цен'!$D$50</f>
        <v>98266.288100000005</v>
      </c>
      <c r="P51" s="254">
        <f>(17357.4196)*'[1]Изменение цен'!$D$85</f>
        <v>26561.844871444722</v>
      </c>
      <c r="Q51" s="113">
        <f t="shared" si="3"/>
        <v>124828.13297144472</v>
      </c>
    </row>
    <row r="52" spans="1:17" ht="16.5" thickBot="1">
      <c r="A52" s="2048" t="s">
        <v>61</v>
      </c>
      <c r="B52" s="119">
        <f t="shared" si="0"/>
        <v>85</v>
      </c>
      <c r="C52" s="119" t="s">
        <v>3</v>
      </c>
      <c r="D52" s="119">
        <f t="shared" si="1"/>
        <v>180</v>
      </c>
      <c r="E52" s="119" t="s">
        <v>3</v>
      </c>
      <c r="F52" s="118">
        <f t="shared" si="2"/>
        <v>2750</v>
      </c>
      <c r="G52" s="119" t="s">
        <v>3</v>
      </c>
      <c r="H52" s="117">
        <v>2</v>
      </c>
      <c r="I52" s="2049" t="s">
        <v>529</v>
      </c>
      <c r="J52" s="103">
        <v>85</v>
      </c>
      <c r="K52" s="66">
        <v>180</v>
      </c>
      <c r="L52" s="66">
        <v>2750</v>
      </c>
      <c r="M52" s="164"/>
      <c r="N52" s="78">
        <v>5066.6990400000004</v>
      </c>
      <c r="O52" s="113">
        <f>(99126.0416)*'[1]Изменение цен'!$D$50</f>
        <v>99126.041599999997</v>
      </c>
      <c r="P52" s="254">
        <f>(17590.8565)*'[1]Изменение цен'!$D$85</f>
        <v>26919.070476860805</v>
      </c>
      <c r="Q52" s="113">
        <f t="shared" si="3"/>
        <v>126045.11207686079</v>
      </c>
    </row>
    <row r="53" spans="1:17" ht="16.5" thickBot="1">
      <c r="A53" s="2048" t="s">
        <v>61</v>
      </c>
      <c r="B53" s="119">
        <f t="shared" si="0"/>
        <v>85</v>
      </c>
      <c r="C53" s="119" t="s">
        <v>3</v>
      </c>
      <c r="D53" s="119">
        <f t="shared" si="1"/>
        <v>180</v>
      </c>
      <c r="E53" s="119" t="s">
        <v>3</v>
      </c>
      <c r="F53" s="118">
        <f t="shared" si="2"/>
        <v>2800</v>
      </c>
      <c r="G53" s="119" t="s">
        <v>3</v>
      </c>
      <c r="H53" s="117">
        <v>2</v>
      </c>
      <c r="I53" s="2049" t="s">
        <v>529</v>
      </c>
      <c r="J53" s="103">
        <v>85</v>
      </c>
      <c r="K53" s="66">
        <v>180</v>
      </c>
      <c r="L53" s="66">
        <v>2800</v>
      </c>
      <c r="M53" s="164"/>
      <c r="N53" s="78">
        <v>5172.2552699999997</v>
      </c>
      <c r="O53" s="113">
        <f>(99882.9287)*'[1]Изменение цен'!$D$50</f>
        <v>99882.928700000004</v>
      </c>
      <c r="P53" s="254">
        <f>(17998.1375)*'[1]Изменение цен'!$D$85</f>
        <v>27542.327561749553</v>
      </c>
      <c r="Q53" s="113">
        <f t="shared" si="3"/>
        <v>127425.25626174956</v>
      </c>
    </row>
    <row r="54" spans="1:17" ht="16.5" thickBot="1">
      <c r="A54" s="2048" t="s">
        <v>61</v>
      </c>
      <c r="B54" s="119">
        <f t="shared" si="0"/>
        <v>85</v>
      </c>
      <c r="C54" s="119" t="s">
        <v>3</v>
      </c>
      <c r="D54" s="119">
        <f t="shared" si="1"/>
        <v>180</v>
      </c>
      <c r="E54" s="119" t="s">
        <v>3</v>
      </c>
      <c r="F54" s="118">
        <f t="shared" si="2"/>
        <v>2850</v>
      </c>
      <c r="G54" s="119" t="s">
        <v>3</v>
      </c>
      <c r="H54" s="117">
        <v>2</v>
      </c>
      <c r="I54" s="2049" t="s">
        <v>529</v>
      </c>
      <c r="J54" s="103">
        <v>85</v>
      </c>
      <c r="K54" s="66">
        <v>180</v>
      </c>
      <c r="L54" s="66">
        <v>2850</v>
      </c>
      <c r="M54" s="164"/>
      <c r="N54" s="78">
        <v>5277.8114999999998</v>
      </c>
      <c r="O54" s="113">
        <f>(100639.7559)*'[1]Изменение цен'!$D$50</f>
        <v>100639.7559</v>
      </c>
      <c r="P54" s="254">
        <f>(18231.5744)*'[1]Изменение цен'!$D$85</f>
        <v>27899.553167165635</v>
      </c>
      <c r="Q54" s="113">
        <f t="shared" si="3"/>
        <v>128539.30906716564</v>
      </c>
    </row>
    <row r="55" spans="1:17" ht="16.5" thickBot="1">
      <c r="A55" s="2048" t="s">
        <v>61</v>
      </c>
      <c r="B55" s="119">
        <f t="shared" si="0"/>
        <v>85</v>
      </c>
      <c r="C55" s="119" t="s">
        <v>3</v>
      </c>
      <c r="D55" s="119">
        <f t="shared" si="1"/>
        <v>180</v>
      </c>
      <c r="E55" s="119" t="s">
        <v>3</v>
      </c>
      <c r="F55" s="118">
        <f t="shared" si="2"/>
        <v>2900</v>
      </c>
      <c r="G55" s="119" t="s">
        <v>3</v>
      </c>
      <c r="H55" s="117">
        <v>2</v>
      </c>
      <c r="I55" s="2049" t="s">
        <v>529</v>
      </c>
      <c r="J55" s="103">
        <v>85</v>
      </c>
      <c r="K55" s="66">
        <v>180</v>
      </c>
      <c r="L55" s="66">
        <v>2900</v>
      </c>
      <c r="M55" s="164"/>
      <c r="N55" s="78">
        <v>5383.3677299999999</v>
      </c>
      <c r="O55" s="113">
        <f>(101396.5236)*'[1]Изменение цен'!$D$50</f>
        <v>101396.5236</v>
      </c>
      <c r="P55" s="254">
        <f>(18638.8553)*'[1]Изменение цен'!$D$85</f>
        <v>28522.810099025621</v>
      </c>
      <c r="Q55" s="113">
        <f t="shared" si="3"/>
        <v>129919.33369902562</v>
      </c>
    </row>
    <row r="56" spans="1:17" ht="16.5" thickBot="1">
      <c r="A56" s="2048" t="s">
        <v>61</v>
      </c>
      <c r="B56" s="119">
        <f t="shared" si="0"/>
        <v>85</v>
      </c>
      <c r="C56" s="119" t="s">
        <v>3</v>
      </c>
      <c r="D56" s="119">
        <f t="shared" si="1"/>
        <v>180</v>
      </c>
      <c r="E56" s="119" t="s">
        <v>3</v>
      </c>
      <c r="F56" s="118">
        <f t="shared" si="2"/>
        <v>2950</v>
      </c>
      <c r="G56" s="119" t="s">
        <v>3</v>
      </c>
      <c r="H56" s="117">
        <v>2</v>
      </c>
      <c r="I56" s="2049" t="s">
        <v>529</v>
      </c>
      <c r="J56" s="103">
        <v>85</v>
      </c>
      <c r="K56" s="66">
        <v>180</v>
      </c>
      <c r="L56" s="66">
        <v>2950</v>
      </c>
      <c r="M56" s="164"/>
      <c r="N56" s="78">
        <v>5488.9239600000001</v>
      </c>
      <c r="O56" s="113">
        <f>(102153.2317)*'[1]Изменение цен'!$D$50</f>
        <v>102153.2317</v>
      </c>
      <c r="P56" s="254">
        <f>(18872.2923)*'[1]Изменение цен'!$D$85</f>
        <v>28880.03585747047</v>
      </c>
      <c r="Q56" s="113">
        <f t="shared" si="3"/>
        <v>131033.26755747048</v>
      </c>
    </row>
    <row r="57" spans="1:17" ht="16.5" thickBot="1">
      <c r="A57" s="2048" t="s">
        <v>61</v>
      </c>
      <c r="B57" s="2050">
        <f t="shared" si="0"/>
        <v>85</v>
      </c>
      <c r="C57" s="2050" t="s">
        <v>3</v>
      </c>
      <c r="D57" s="2050">
        <f t="shared" si="1"/>
        <v>180</v>
      </c>
      <c r="E57" s="2050" t="s">
        <v>3</v>
      </c>
      <c r="F57" s="2051">
        <f t="shared" si="2"/>
        <v>3000</v>
      </c>
      <c r="G57" s="2050" t="s">
        <v>3</v>
      </c>
      <c r="H57" s="2052">
        <v>2</v>
      </c>
      <c r="I57" s="2049" t="s">
        <v>529</v>
      </c>
      <c r="J57" s="103">
        <v>85</v>
      </c>
      <c r="K57" s="66">
        <v>180</v>
      </c>
      <c r="L57" s="266">
        <v>3000</v>
      </c>
      <c r="M57" s="249"/>
      <c r="N57" s="250">
        <v>5594.4801899999993</v>
      </c>
      <c r="O57" s="251">
        <f>(105040.4142)*'[1]Изменение цен'!$D$50</f>
        <v>105040.4142</v>
      </c>
      <c r="P57" s="255">
        <f>(19279.5732)*'[1]Изменение цен'!$D$85</f>
        <v>29503.292789330451</v>
      </c>
      <c r="Q57" s="251">
        <f t="shared" si="3"/>
        <v>134543.70698933044</v>
      </c>
    </row>
    <row r="58" spans="1:17" ht="19.5" thickBot="1">
      <c r="A58" s="2968" t="s">
        <v>7699</v>
      </c>
      <c r="B58" s="2969"/>
      <c r="C58" s="2969"/>
      <c r="D58" s="2969"/>
      <c r="E58" s="2969"/>
      <c r="F58" s="2969"/>
      <c r="G58" s="2969"/>
      <c r="H58" s="2969"/>
      <c r="I58" s="2969"/>
      <c r="J58" s="2969"/>
      <c r="K58" s="2969"/>
      <c r="L58" s="2969"/>
      <c r="M58" s="2969"/>
      <c r="N58" s="2969"/>
      <c r="O58" s="2969"/>
      <c r="P58" s="2969"/>
      <c r="Q58" s="2970"/>
    </row>
    <row r="59" spans="1:17" ht="19.5" thickBot="1">
      <c r="A59" s="3015" t="s">
        <v>112</v>
      </c>
      <c r="B59" s="3016"/>
      <c r="C59" s="3016"/>
      <c r="D59" s="3016"/>
      <c r="E59" s="3016"/>
      <c r="F59" s="3016"/>
      <c r="G59" s="3016"/>
      <c r="H59" s="3016"/>
      <c r="I59" s="3016"/>
      <c r="J59" s="3016"/>
      <c r="K59" s="3016"/>
      <c r="L59" s="3016"/>
      <c r="M59" s="3016"/>
      <c r="N59" s="3016"/>
      <c r="O59" s="3016"/>
      <c r="P59" s="3016"/>
      <c r="Q59" s="3017"/>
    </row>
    <row r="60" spans="1:17" ht="16.5" thickBot="1">
      <c r="A60" s="2048" t="s">
        <v>61</v>
      </c>
      <c r="B60" s="119">
        <f t="shared" ref="B60:B106" si="4">J60</f>
        <v>140</v>
      </c>
      <c r="C60" s="119" t="s">
        <v>3</v>
      </c>
      <c r="D60" s="119">
        <f t="shared" ref="D60:D106" si="5">K60</f>
        <v>140</v>
      </c>
      <c r="E60" s="119" t="s">
        <v>3</v>
      </c>
      <c r="F60" s="137">
        <f t="shared" ref="F60:F106" si="6">L60</f>
        <v>700</v>
      </c>
      <c r="G60" s="119" t="s">
        <v>3</v>
      </c>
      <c r="H60" s="119">
        <v>2</v>
      </c>
      <c r="I60" s="2053" t="s">
        <v>529</v>
      </c>
      <c r="J60" s="2054">
        <v>140</v>
      </c>
      <c r="K60" s="66">
        <v>140</v>
      </c>
      <c r="L60" s="66">
        <v>700</v>
      </c>
      <c r="M60" s="158"/>
      <c r="N60" s="78">
        <v>710.69952817499995</v>
      </c>
      <c r="O60" s="113">
        <f>(31552.7804)*'[1]Изменение цен'!$D$50</f>
        <v>31552.7804</v>
      </c>
      <c r="P60" s="254">
        <f>(4504.5224)*'[1]Изменение цен'!$D$85</f>
        <v>6893.2150034990145</v>
      </c>
      <c r="Q60" s="113">
        <f t="shared" ref="Q60:Q106" si="7">O60+P60</f>
        <v>38445.995403499015</v>
      </c>
    </row>
    <row r="61" spans="1:17" ht="16.5" thickBot="1">
      <c r="A61" s="2048" t="s">
        <v>61</v>
      </c>
      <c r="B61" s="119">
        <f t="shared" si="4"/>
        <v>140</v>
      </c>
      <c r="C61" s="119" t="s">
        <v>3</v>
      </c>
      <c r="D61" s="119">
        <f t="shared" si="5"/>
        <v>140</v>
      </c>
      <c r="E61" s="119" t="s">
        <v>3</v>
      </c>
      <c r="F61" s="118">
        <f t="shared" si="6"/>
        <v>750</v>
      </c>
      <c r="G61" s="119" t="s">
        <v>3</v>
      </c>
      <c r="H61" s="117">
        <v>2</v>
      </c>
      <c r="I61" s="2055" t="s">
        <v>529</v>
      </c>
      <c r="J61" s="2054">
        <v>140</v>
      </c>
      <c r="K61" s="66">
        <v>140</v>
      </c>
      <c r="L61" s="66">
        <v>750</v>
      </c>
      <c r="M61" s="158"/>
      <c r="N61" s="78">
        <v>812.22803220000014</v>
      </c>
      <c r="O61" s="113">
        <f>(33442.011)*'[1]Изменение цен'!$D$50</f>
        <v>33442.010999999999</v>
      </c>
      <c r="P61" s="254">
        <f>(4712.1445)*'[1]Изменение цен'!$D$85</f>
        <v>7210.9365392556074</v>
      </c>
      <c r="Q61" s="113">
        <f t="shared" si="7"/>
        <v>40652.947539255605</v>
      </c>
    </row>
    <row r="62" spans="1:17" ht="16.5" thickBot="1">
      <c r="A62" s="2048" t="s">
        <v>61</v>
      </c>
      <c r="B62" s="119">
        <f t="shared" si="4"/>
        <v>140</v>
      </c>
      <c r="C62" s="119" t="s">
        <v>3</v>
      </c>
      <c r="D62" s="119">
        <f t="shared" si="5"/>
        <v>140</v>
      </c>
      <c r="E62" s="119" t="s">
        <v>3</v>
      </c>
      <c r="F62" s="118">
        <f t="shared" si="6"/>
        <v>800</v>
      </c>
      <c r="G62" s="119" t="s">
        <v>3</v>
      </c>
      <c r="H62" s="117">
        <v>2</v>
      </c>
      <c r="I62" s="2055" t="s">
        <v>529</v>
      </c>
      <c r="J62" s="2054">
        <v>140</v>
      </c>
      <c r="K62" s="66">
        <v>140</v>
      </c>
      <c r="L62" s="66">
        <v>800</v>
      </c>
      <c r="M62" s="158"/>
      <c r="N62" s="78">
        <v>913.75653622499999</v>
      </c>
      <c r="O62" s="113">
        <f>(35331.2416)*'[1]Изменение цен'!$D$50</f>
        <v>35331.241600000001</v>
      </c>
      <c r="P62" s="254">
        <f>(4919.7666)*'[1]Изменение цен'!$D$85</f>
        <v>7528.6580750121993</v>
      </c>
      <c r="Q62" s="113">
        <f t="shared" si="7"/>
        <v>42859.899675012202</v>
      </c>
    </row>
    <row r="63" spans="1:17" ht="16.5" thickBot="1">
      <c r="A63" s="2048" t="s">
        <v>61</v>
      </c>
      <c r="B63" s="119">
        <f t="shared" si="4"/>
        <v>140</v>
      </c>
      <c r="C63" s="119" t="s">
        <v>3</v>
      </c>
      <c r="D63" s="119">
        <f t="shared" si="5"/>
        <v>140</v>
      </c>
      <c r="E63" s="119" t="s">
        <v>3</v>
      </c>
      <c r="F63" s="118">
        <f t="shared" si="6"/>
        <v>850</v>
      </c>
      <c r="G63" s="119" t="s">
        <v>3</v>
      </c>
      <c r="H63" s="117">
        <v>2</v>
      </c>
      <c r="I63" s="2055" t="s">
        <v>529</v>
      </c>
      <c r="J63" s="2054">
        <v>140</v>
      </c>
      <c r="K63" s="66">
        <v>140</v>
      </c>
      <c r="L63" s="66">
        <v>850</v>
      </c>
      <c r="M63" s="158"/>
      <c r="N63" s="78">
        <v>1015.2850402500001</v>
      </c>
      <c r="O63" s="113">
        <f>(37220.4722)*'[1]Изменение цен'!$D$50</f>
        <v>37220.472199999997</v>
      </c>
      <c r="P63" s="254">
        <f>(5282.0081)*'[1]Изменение цен'!$D$85</f>
        <v>8082.9917692324771</v>
      </c>
      <c r="Q63" s="113">
        <f t="shared" si="7"/>
        <v>45303.463969232471</v>
      </c>
    </row>
    <row r="64" spans="1:17" ht="16.5" thickBot="1">
      <c r="A64" s="2048" t="s">
        <v>61</v>
      </c>
      <c r="B64" s="119">
        <f t="shared" si="4"/>
        <v>140</v>
      </c>
      <c r="C64" s="119" t="s">
        <v>3</v>
      </c>
      <c r="D64" s="119">
        <f t="shared" si="5"/>
        <v>140</v>
      </c>
      <c r="E64" s="119" t="s">
        <v>3</v>
      </c>
      <c r="F64" s="118">
        <f t="shared" si="6"/>
        <v>900</v>
      </c>
      <c r="G64" s="119" t="s">
        <v>3</v>
      </c>
      <c r="H64" s="117">
        <v>2</v>
      </c>
      <c r="I64" s="2055" t="s">
        <v>529</v>
      </c>
      <c r="J64" s="2054">
        <v>140</v>
      </c>
      <c r="K64" s="66">
        <v>140</v>
      </c>
      <c r="L64" s="66">
        <v>900</v>
      </c>
      <c r="M64" s="158"/>
      <c r="N64" s="78">
        <v>1116.8135442750001</v>
      </c>
      <c r="O64" s="113">
        <f>(39109.7028)*'[1]Изменение цен'!$D$50</f>
        <v>39109.702799999999</v>
      </c>
      <c r="P64" s="254">
        <f>(5489.6302)*'[1]Изменение цен'!$D$85</f>
        <v>8400.713304989069</v>
      </c>
      <c r="Q64" s="113">
        <f t="shared" si="7"/>
        <v>47510.416104989068</v>
      </c>
    </row>
    <row r="65" spans="1:17" ht="16.5" thickBot="1">
      <c r="A65" s="2048" t="s">
        <v>61</v>
      </c>
      <c r="B65" s="119">
        <f t="shared" si="4"/>
        <v>140</v>
      </c>
      <c r="C65" s="119" t="s">
        <v>3</v>
      </c>
      <c r="D65" s="119">
        <f t="shared" si="5"/>
        <v>140</v>
      </c>
      <c r="E65" s="119" t="s">
        <v>3</v>
      </c>
      <c r="F65" s="118">
        <f t="shared" si="6"/>
        <v>950</v>
      </c>
      <c r="G65" s="119" t="s">
        <v>3</v>
      </c>
      <c r="H65" s="117">
        <v>2</v>
      </c>
      <c r="I65" s="2055" t="s">
        <v>529</v>
      </c>
      <c r="J65" s="2054">
        <v>140</v>
      </c>
      <c r="K65" s="66">
        <v>140</v>
      </c>
      <c r="L65" s="66">
        <v>950</v>
      </c>
      <c r="M65" s="158"/>
      <c r="N65" s="78">
        <v>1218.3420483</v>
      </c>
      <c r="O65" s="113">
        <f>(40998.9334)*'[1]Изменение цен'!$D$50</f>
        <v>40998.933400000002</v>
      </c>
      <c r="P65" s="254">
        <f>(5851.8718)*'[1]Изменение цен'!$D$85</f>
        <v>8955.0471522381122</v>
      </c>
      <c r="Q65" s="113">
        <f t="shared" si="7"/>
        <v>49953.980552238114</v>
      </c>
    </row>
    <row r="66" spans="1:17" ht="16.5" thickBot="1">
      <c r="A66" s="2048" t="s">
        <v>61</v>
      </c>
      <c r="B66" s="119">
        <f t="shared" si="4"/>
        <v>140</v>
      </c>
      <c r="C66" s="119" t="s">
        <v>3</v>
      </c>
      <c r="D66" s="119">
        <f t="shared" si="5"/>
        <v>140</v>
      </c>
      <c r="E66" s="119" t="s">
        <v>3</v>
      </c>
      <c r="F66" s="118">
        <f t="shared" si="6"/>
        <v>1000</v>
      </c>
      <c r="G66" s="119" t="s">
        <v>3</v>
      </c>
      <c r="H66" s="117">
        <v>2</v>
      </c>
      <c r="I66" s="2055" t="s">
        <v>529</v>
      </c>
      <c r="J66" s="2054">
        <v>140</v>
      </c>
      <c r="K66" s="66">
        <v>140</v>
      </c>
      <c r="L66" s="66">
        <v>1000</v>
      </c>
      <c r="M66" s="158"/>
      <c r="N66" s="78">
        <v>1319.8705523250001</v>
      </c>
      <c r="O66" s="113">
        <f>(42771.897)*'[1]Изменение цен'!$D$50</f>
        <v>42771.896999999997</v>
      </c>
      <c r="P66" s="254">
        <f>(6059.4939)*'[1]Изменение цен'!$D$85</f>
        <v>9272.768687994705</v>
      </c>
      <c r="Q66" s="113">
        <f t="shared" si="7"/>
        <v>52044.665687994704</v>
      </c>
    </row>
    <row r="67" spans="1:17" ht="16.5" thickBot="1">
      <c r="A67" s="2048" t="s">
        <v>61</v>
      </c>
      <c r="B67" s="119">
        <f t="shared" si="4"/>
        <v>140</v>
      </c>
      <c r="C67" s="119" t="s">
        <v>3</v>
      </c>
      <c r="D67" s="119">
        <f t="shared" si="5"/>
        <v>140</v>
      </c>
      <c r="E67" s="119" t="s">
        <v>3</v>
      </c>
      <c r="F67" s="118">
        <f t="shared" si="6"/>
        <v>1050</v>
      </c>
      <c r="G67" s="119" t="s">
        <v>3</v>
      </c>
      <c r="H67" s="117">
        <v>2</v>
      </c>
      <c r="I67" s="2055" t="s">
        <v>529</v>
      </c>
      <c r="J67" s="2054">
        <v>140</v>
      </c>
      <c r="K67" s="66">
        <v>140</v>
      </c>
      <c r="L67" s="66">
        <v>1050</v>
      </c>
      <c r="M67" s="158"/>
      <c r="N67" s="78">
        <v>1421.3990563499999</v>
      </c>
      <c r="O67" s="113">
        <f>(44937.2614)*'[1]Изменение цен'!$D$50</f>
        <v>44937.261400000003</v>
      </c>
      <c r="P67" s="254">
        <f>(6421.7354)*'[1]Изменение цен'!$D$85</f>
        <v>9827.10238221498</v>
      </c>
      <c r="Q67" s="113">
        <f t="shared" si="7"/>
        <v>54764.363782214983</v>
      </c>
    </row>
    <row r="68" spans="1:17" ht="16.5" thickBot="1">
      <c r="A68" s="2048" t="s">
        <v>61</v>
      </c>
      <c r="B68" s="117">
        <f t="shared" si="4"/>
        <v>140</v>
      </c>
      <c r="C68" s="117" t="s">
        <v>3</v>
      </c>
      <c r="D68" s="117">
        <f t="shared" si="5"/>
        <v>140</v>
      </c>
      <c r="E68" s="117" t="s">
        <v>3</v>
      </c>
      <c r="F68" s="118">
        <f t="shared" si="6"/>
        <v>1100</v>
      </c>
      <c r="G68" s="117" t="s">
        <v>3</v>
      </c>
      <c r="H68" s="117">
        <v>2</v>
      </c>
      <c r="I68" s="2055" t="s">
        <v>529</v>
      </c>
      <c r="J68" s="2054">
        <v>140</v>
      </c>
      <c r="K68" s="66">
        <v>140</v>
      </c>
      <c r="L68" s="66">
        <v>1100</v>
      </c>
      <c r="M68" s="158"/>
      <c r="N68" s="78">
        <v>1522.927560375</v>
      </c>
      <c r="O68" s="113">
        <f>(46826.492)*'[1]Изменение цен'!$D$50</f>
        <v>46826.491999999998</v>
      </c>
      <c r="P68" s="254">
        <f>(6629.3575)*'[1]Изменение цен'!$D$85</f>
        <v>10144.823917971575</v>
      </c>
      <c r="Q68" s="113">
        <f t="shared" si="7"/>
        <v>56971.315917971573</v>
      </c>
    </row>
    <row r="69" spans="1:17" ht="16.5" thickBot="1">
      <c r="A69" s="2048" t="s">
        <v>61</v>
      </c>
      <c r="B69" s="119">
        <f t="shared" si="4"/>
        <v>140</v>
      </c>
      <c r="C69" s="119" t="s">
        <v>3</v>
      </c>
      <c r="D69" s="119">
        <f t="shared" si="5"/>
        <v>140</v>
      </c>
      <c r="E69" s="119" t="s">
        <v>3</v>
      </c>
      <c r="F69" s="118">
        <f t="shared" si="6"/>
        <v>1150</v>
      </c>
      <c r="G69" s="119" t="s">
        <v>3</v>
      </c>
      <c r="H69" s="117">
        <v>2</v>
      </c>
      <c r="I69" s="2055" t="s">
        <v>529</v>
      </c>
      <c r="J69" s="2054">
        <v>140</v>
      </c>
      <c r="K69" s="66">
        <v>140</v>
      </c>
      <c r="L69" s="66">
        <v>1150</v>
      </c>
      <c r="M69" s="158"/>
      <c r="N69" s="78">
        <v>1624.4560644000003</v>
      </c>
      <c r="O69" s="113">
        <f>(47792.5713)*'[1]Изменение цен'!$D$50</f>
        <v>47792.571300000003</v>
      </c>
      <c r="P69" s="254">
        <f>(6836.9796)*'[1]Изменение цен'!$D$85</f>
        <v>10462.545453728166</v>
      </c>
      <c r="Q69" s="113">
        <f t="shared" si="7"/>
        <v>58255.116753728173</v>
      </c>
    </row>
    <row r="70" spans="1:17" ht="16.5" thickBot="1">
      <c r="A70" s="2048" t="s">
        <v>61</v>
      </c>
      <c r="B70" s="119">
        <f t="shared" si="4"/>
        <v>140</v>
      </c>
      <c r="C70" s="119" t="s">
        <v>3</v>
      </c>
      <c r="D70" s="119">
        <f t="shared" si="5"/>
        <v>140</v>
      </c>
      <c r="E70" s="119" t="s">
        <v>3</v>
      </c>
      <c r="F70" s="118">
        <f t="shared" si="6"/>
        <v>1200</v>
      </c>
      <c r="G70" s="119" t="s">
        <v>3</v>
      </c>
      <c r="H70" s="117">
        <v>2</v>
      </c>
      <c r="I70" s="2055" t="s">
        <v>529</v>
      </c>
      <c r="J70" s="2054">
        <v>140</v>
      </c>
      <c r="K70" s="66">
        <v>140</v>
      </c>
      <c r="L70" s="66">
        <v>1200</v>
      </c>
      <c r="M70" s="158"/>
      <c r="N70" s="78">
        <v>1725.9845684249999</v>
      </c>
      <c r="O70" s="113">
        <f>(48801.5962)*'[1]Изменение цен'!$D$50</f>
        <v>48801.5962</v>
      </c>
      <c r="P70" s="254">
        <f>(7199.2211)*'[1]Изменение цен'!$D$85</f>
        <v>11016.879147948443</v>
      </c>
      <c r="Q70" s="113">
        <f t="shared" si="7"/>
        <v>59818.475347948443</v>
      </c>
    </row>
    <row r="71" spans="1:17" ht="16.5" thickBot="1">
      <c r="A71" s="2048" t="s">
        <v>61</v>
      </c>
      <c r="B71" s="119">
        <f t="shared" si="4"/>
        <v>140</v>
      </c>
      <c r="C71" s="119" t="s">
        <v>3</v>
      </c>
      <c r="D71" s="119">
        <f t="shared" si="5"/>
        <v>140</v>
      </c>
      <c r="E71" s="119" t="s">
        <v>3</v>
      </c>
      <c r="F71" s="118">
        <f t="shared" si="6"/>
        <v>1250</v>
      </c>
      <c r="G71" s="119" t="s">
        <v>3</v>
      </c>
      <c r="H71" s="117">
        <v>2</v>
      </c>
      <c r="I71" s="2055" t="s">
        <v>529</v>
      </c>
      <c r="J71" s="2054">
        <v>140</v>
      </c>
      <c r="K71" s="66">
        <v>140</v>
      </c>
      <c r="L71" s="66">
        <v>1250</v>
      </c>
      <c r="M71" s="158"/>
      <c r="N71" s="78">
        <v>1827.51307245</v>
      </c>
      <c r="O71" s="113">
        <f>(49767.0876)*'[1]Изменение цен'!$D$50</f>
        <v>49767.087599999999</v>
      </c>
      <c r="P71" s="254">
        <f>(7406.8433)*'[1]Изменение цен'!$D$85</f>
        <v>11334.600836733802</v>
      </c>
      <c r="Q71" s="113">
        <f t="shared" si="7"/>
        <v>61101.688436733799</v>
      </c>
    </row>
    <row r="72" spans="1:17" ht="16.5" thickBot="1">
      <c r="A72" s="2048" t="s">
        <v>61</v>
      </c>
      <c r="B72" s="119">
        <f t="shared" si="4"/>
        <v>140</v>
      </c>
      <c r="C72" s="119" t="s">
        <v>3</v>
      </c>
      <c r="D72" s="119">
        <f t="shared" si="5"/>
        <v>140</v>
      </c>
      <c r="E72" s="119" t="s">
        <v>3</v>
      </c>
      <c r="F72" s="118">
        <f t="shared" si="6"/>
        <v>1300</v>
      </c>
      <c r="G72" s="119" t="s">
        <v>3</v>
      </c>
      <c r="H72" s="117">
        <v>2</v>
      </c>
      <c r="I72" s="2055" t="s">
        <v>529</v>
      </c>
      <c r="J72" s="2054">
        <v>140</v>
      </c>
      <c r="K72" s="66">
        <v>140</v>
      </c>
      <c r="L72" s="66">
        <v>1300</v>
      </c>
      <c r="M72" s="158"/>
      <c r="N72" s="78">
        <v>1929.0415764749998</v>
      </c>
      <c r="O72" s="113">
        <f>(53729.7902)*'[1]Изменение цен'!$D$50</f>
        <v>53729.790200000003</v>
      </c>
      <c r="P72" s="254">
        <f>(7769.0848)*'[1]Изменение цен'!$D$85</f>
        <v>11888.934530954079</v>
      </c>
      <c r="Q72" s="113">
        <f t="shared" si="7"/>
        <v>65618.724730954083</v>
      </c>
    </row>
    <row r="73" spans="1:17" ht="16.5" thickBot="1">
      <c r="A73" s="2048" t="s">
        <v>61</v>
      </c>
      <c r="B73" s="119">
        <f t="shared" si="4"/>
        <v>140</v>
      </c>
      <c r="C73" s="119" t="s">
        <v>3</v>
      </c>
      <c r="D73" s="119">
        <f t="shared" si="5"/>
        <v>140</v>
      </c>
      <c r="E73" s="119" t="s">
        <v>3</v>
      </c>
      <c r="F73" s="118">
        <f t="shared" si="6"/>
        <v>1350</v>
      </c>
      <c r="G73" s="119" t="s">
        <v>3</v>
      </c>
      <c r="H73" s="117">
        <v>2</v>
      </c>
      <c r="I73" s="2055" t="s">
        <v>529</v>
      </c>
      <c r="J73" s="2054">
        <v>140</v>
      </c>
      <c r="K73" s="66">
        <v>140</v>
      </c>
      <c r="L73" s="66">
        <v>1350</v>
      </c>
      <c r="M73" s="158"/>
      <c r="N73" s="78">
        <v>2030.5700805000001</v>
      </c>
      <c r="O73" s="113">
        <f>(55000.4511)*'[1]Изменение цен'!$D$50</f>
        <v>55000.451099999998</v>
      </c>
      <c r="P73" s="254">
        <f>(7976.7069)*'[1]Изменение цен'!$D$85</f>
        <v>12206.656066710671</v>
      </c>
      <c r="Q73" s="113">
        <f t="shared" si="7"/>
        <v>67207.107166710673</v>
      </c>
    </row>
    <row r="74" spans="1:17" ht="16.5" thickBot="1">
      <c r="A74" s="2048" t="s">
        <v>61</v>
      </c>
      <c r="B74" s="119">
        <f t="shared" si="4"/>
        <v>140</v>
      </c>
      <c r="C74" s="119" t="s">
        <v>3</v>
      </c>
      <c r="D74" s="119">
        <f t="shared" si="5"/>
        <v>140</v>
      </c>
      <c r="E74" s="119" t="s">
        <v>3</v>
      </c>
      <c r="F74" s="118">
        <f t="shared" si="6"/>
        <v>1400</v>
      </c>
      <c r="G74" s="119" t="s">
        <v>3</v>
      </c>
      <c r="H74" s="117">
        <v>2</v>
      </c>
      <c r="I74" s="2055" t="s">
        <v>529</v>
      </c>
      <c r="J74" s="2054">
        <v>140</v>
      </c>
      <c r="K74" s="66">
        <v>140</v>
      </c>
      <c r="L74" s="66">
        <v>1400</v>
      </c>
      <c r="M74" s="158"/>
      <c r="N74" s="78">
        <v>2132.0985845250002</v>
      </c>
      <c r="O74" s="113">
        <f>(56670.7796)*'[1]Изменение цен'!$D$50</f>
        <v>56670.779600000002</v>
      </c>
      <c r="P74" s="254">
        <f>(8338.9484)*'[1]Изменение цен'!$D$85</f>
        <v>12760.989760930946</v>
      </c>
      <c r="Q74" s="113">
        <f t="shared" si="7"/>
        <v>69431.76936093095</v>
      </c>
    </row>
    <row r="75" spans="1:17" ht="16.5" thickBot="1">
      <c r="A75" s="2048" t="s">
        <v>61</v>
      </c>
      <c r="B75" s="119">
        <f t="shared" si="4"/>
        <v>140</v>
      </c>
      <c r="C75" s="119" t="s">
        <v>3</v>
      </c>
      <c r="D75" s="119">
        <f t="shared" si="5"/>
        <v>140</v>
      </c>
      <c r="E75" s="119" t="s">
        <v>3</v>
      </c>
      <c r="F75" s="118">
        <f t="shared" si="6"/>
        <v>1450</v>
      </c>
      <c r="G75" s="119" t="s">
        <v>3</v>
      </c>
      <c r="H75" s="117">
        <v>2</v>
      </c>
      <c r="I75" s="2055" t="s">
        <v>529</v>
      </c>
      <c r="J75" s="2054">
        <v>140</v>
      </c>
      <c r="K75" s="66">
        <v>140</v>
      </c>
      <c r="L75" s="66">
        <v>1450</v>
      </c>
      <c r="M75" s="158"/>
      <c r="N75" s="78">
        <v>2233.6270885500003</v>
      </c>
      <c r="O75" s="113">
        <f>(57941.4405)*'[1]Изменение цен'!$D$50</f>
        <v>57941.440499999997</v>
      </c>
      <c r="P75" s="254">
        <f>(8546.5705)*'[1]Изменение цен'!$D$85</f>
        <v>13078.711296687541</v>
      </c>
      <c r="Q75" s="113">
        <f t="shared" si="7"/>
        <v>71020.15179668754</v>
      </c>
    </row>
    <row r="76" spans="1:17" ht="16.5" thickBot="1">
      <c r="A76" s="2048" t="s">
        <v>61</v>
      </c>
      <c r="B76" s="119">
        <f t="shared" si="4"/>
        <v>140</v>
      </c>
      <c r="C76" s="119" t="s">
        <v>3</v>
      </c>
      <c r="D76" s="119">
        <f t="shared" si="5"/>
        <v>140</v>
      </c>
      <c r="E76" s="119" t="s">
        <v>3</v>
      </c>
      <c r="F76" s="118">
        <f t="shared" si="6"/>
        <v>1500</v>
      </c>
      <c r="G76" s="119" t="s">
        <v>3</v>
      </c>
      <c r="H76" s="117">
        <v>2</v>
      </c>
      <c r="I76" s="2055" t="s">
        <v>529</v>
      </c>
      <c r="J76" s="2054">
        <v>140</v>
      </c>
      <c r="K76" s="66">
        <v>140</v>
      </c>
      <c r="L76" s="66">
        <v>1500</v>
      </c>
      <c r="M76" s="158"/>
      <c r="N76" s="78">
        <v>2335.1555925749994</v>
      </c>
      <c r="O76" s="113">
        <f>(59705.9032)*'[1]Изменение цен'!$D$50</f>
        <v>59705.903200000001</v>
      </c>
      <c r="P76" s="254">
        <f>(8908.8121)*'[1]Изменение цен'!$D$85</f>
        <v>13633.045143936582</v>
      </c>
      <c r="Q76" s="113">
        <f t="shared" si="7"/>
        <v>73338.948343936587</v>
      </c>
    </row>
    <row r="77" spans="1:17" ht="16.5" thickBot="1">
      <c r="A77" s="2048" t="s">
        <v>61</v>
      </c>
      <c r="B77" s="119">
        <f t="shared" si="4"/>
        <v>140</v>
      </c>
      <c r="C77" s="119" t="s">
        <v>3</v>
      </c>
      <c r="D77" s="119">
        <f t="shared" si="5"/>
        <v>140</v>
      </c>
      <c r="E77" s="119" t="s">
        <v>3</v>
      </c>
      <c r="F77" s="118">
        <f t="shared" si="6"/>
        <v>1550</v>
      </c>
      <c r="G77" s="119" t="s">
        <v>3</v>
      </c>
      <c r="H77" s="117">
        <v>2</v>
      </c>
      <c r="I77" s="2055" t="s">
        <v>529</v>
      </c>
      <c r="J77" s="2054">
        <v>140</v>
      </c>
      <c r="K77" s="66">
        <v>140</v>
      </c>
      <c r="L77" s="66">
        <v>1550</v>
      </c>
      <c r="M77" s="158"/>
      <c r="N77" s="78">
        <v>2436.6840966</v>
      </c>
      <c r="O77" s="113">
        <f>(60976.5643)*'[1]Изменение цен'!$D$50</f>
        <v>60976.564299999998</v>
      </c>
      <c r="P77" s="254">
        <f>(9116.4342)*'[1]Изменение цен'!$D$85</f>
        <v>13950.766679693175</v>
      </c>
      <c r="Q77" s="113">
        <f t="shared" si="7"/>
        <v>74927.330979693172</v>
      </c>
    </row>
    <row r="78" spans="1:17" ht="16.5" thickBot="1">
      <c r="A78" s="2048" t="s">
        <v>61</v>
      </c>
      <c r="B78" s="117">
        <f t="shared" si="4"/>
        <v>140</v>
      </c>
      <c r="C78" s="117" t="s">
        <v>3</v>
      </c>
      <c r="D78" s="117">
        <f t="shared" si="5"/>
        <v>140</v>
      </c>
      <c r="E78" s="117" t="s">
        <v>3</v>
      </c>
      <c r="F78" s="118">
        <f t="shared" si="6"/>
        <v>1600</v>
      </c>
      <c r="G78" s="117" t="s">
        <v>3</v>
      </c>
      <c r="H78" s="117">
        <v>2</v>
      </c>
      <c r="I78" s="2055" t="s">
        <v>529</v>
      </c>
      <c r="J78" s="2054">
        <v>140</v>
      </c>
      <c r="K78" s="66">
        <v>140</v>
      </c>
      <c r="L78" s="66">
        <v>1600</v>
      </c>
      <c r="M78" s="158"/>
      <c r="N78" s="78">
        <v>2538.2126006250001</v>
      </c>
      <c r="O78" s="113">
        <f>(64625.6041)*'[1]Изменение цен'!$D$50</f>
        <v>64625.604099999997</v>
      </c>
      <c r="P78" s="254">
        <f>(9324.0563)*'[1]Изменение цен'!$D$85</f>
        <v>14268.488215449768</v>
      </c>
      <c r="Q78" s="113">
        <f t="shared" si="7"/>
        <v>78894.092315449758</v>
      </c>
    </row>
    <row r="79" spans="1:17" ht="16.5" thickBot="1">
      <c r="A79" s="2048" t="s">
        <v>61</v>
      </c>
      <c r="B79" s="119">
        <f t="shared" si="4"/>
        <v>140</v>
      </c>
      <c r="C79" s="119" t="s">
        <v>3</v>
      </c>
      <c r="D79" s="119">
        <f t="shared" si="5"/>
        <v>140</v>
      </c>
      <c r="E79" s="119" t="s">
        <v>3</v>
      </c>
      <c r="F79" s="118">
        <f t="shared" si="6"/>
        <v>1650</v>
      </c>
      <c r="G79" s="119" t="s">
        <v>3</v>
      </c>
      <c r="H79" s="117">
        <v>2</v>
      </c>
      <c r="I79" s="2055" t="s">
        <v>529</v>
      </c>
      <c r="J79" s="2054">
        <v>140</v>
      </c>
      <c r="K79" s="66">
        <v>140</v>
      </c>
      <c r="L79" s="66">
        <v>1650</v>
      </c>
      <c r="M79" s="158"/>
      <c r="N79" s="78">
        <v>2639.7411046500001</v>
      </c>
      <c r="O79" s="113">
        <f>(68582.9467)*'[1]Изменение цен'!$D$50</f>
        <v>68582.9467</v>
      </c>
      <c r="P79" s="254">
        <f>(9686.2978)*'[1]Изменение цен'!$D$85</f>
        <v>14822.821909670045</v>
      </c>
      <c r="Q79" s="113">
        <f t="shared" si="7"/>
        <v>83405.768609670049</v>
      </c>
    </row>
    <row r="80" spans="1:17" ht="16.5" thickBot="1">
      <c r="A80" s="2048" t="s">
        <v>61</v>
      </c>
      <c r="B80" s="119">
        <f t="shared" si="4"/>
        <v>140</v>
      </c>
      <c r="C80" s="119" t="s">
        <v>3</v>
      </c>
      <c r="D80" s="119">
        <f t="shared" si="5"/>
        <v>140</v>
      </c>
      <c r="E80" s="119" t="s">
        <v>3</v>
      </c>
      <c r="F80" s="118">
        <f t="shared" si="6"/>
        <v>1700</v>
      </c>
      <c r="G80" s="119" t="s">
        <v>3</v>
      </c>
      <c r="H80" s="117">
        <v>2</v>
      </c>
      <c r="I80" s="2055" t="s">
        <v>529</v>
      </c>
      <c r="J80" s="2054">
        <v>140</v>
      </c>
      <c r="K80" s="66">
        <v>140</v>
      </c>
      <c r="L80" s="66">
        <v>1700</v>
      </c>
      <c r="M80" s="158"/>
      <c r="N80" s="78">
        <v>2741.2696086750002</v>
      </c>
      <c r="O80" s="113">
        <f>(69602.8842)*'[1]Изменение цен'!$D$50</f>
        <v>69602.8842</v>
      </c>
      <c r="P80" s="254">
        <f>(9893.9199)*'[1]Изменение цен'!$D$85</f>
        <v>15140.54344542664</v>
      </c>
      <c r="Q80" s="113">
        <f t="shared" si="7"/>
        <v>84743.427645426636</v>
      </c>
    </row>
    <row r="81" spans="1:17" ht="16.5" thickBot="1">
      <c r="A81" s="2048" t="s">
        <v>61</v>
      </c>
      <c r="B81" s="119">
        <f t="shared" si="4"/>
        <v>140</v>
      </c>
      <c r="C81" s="119" t="s">
        <v>3</v>
      </c>
      <c r="D81" s="119">
        <f t="shared" si="5"/>
        <v>140</v>
      </c>
      <c r="E81" s="119" t="s">
        <v>3</v>
      </c>
      <c r="F81" s="118">
        <f t="shared" si="6"/>
        <v>1750</v>
      </c>
      <c r="G81" s="119" t="s">
        <v>3</v>
      </c>
      <c r="H81" s="117">
        <v>2</v>
      </c>
      <c r="I81" s="2055" t="s">
        <v>529</v>
      </c>
      <c r="J81" s="2054">
        <v>140</v>
      </c>
      <c r="K81" s="66">
        <v>140</v>
      </c>
      <c r="L81" s="66">
        <v>1750</v>
      </c>
      <c r="M81" s="158"/>
      <c r="N81" s="78">
        <v>2842.7981126999998</v>
      </c>
      <c r="O81" s="113">
        <f>(70529.7496)*'[1]Изменение цен'!$D$50</f>
        <v>70529.749599999996</v>
      </c>
      <c r="P81" s="254">
        <f>(10256.1615)*'[1]Изменение цен'!$D$85</f>
        <v>15694.877292675681</v>
      </c>
      <c r="Q81" s="113">
        <f t="shared" si="7"/>
        <v>86224.626892675675</v>
      </c>
    </row>
    <row r="82" spans="1:17" ht="16.5" thickBot="1">
      <c r="A82" s="2048" t="s">
        <v>61</v>
      </c>
      <c r="B82" s="119">
        <f t="shared" si="4"/>
        <v>140</v>
      </c>
      <c r="C82" s="119" t="s">
        <v>3</v>
      </c>
      <c r="D82" s="119">
        <f t="shared" si="5"/>
        <v>140</v>
      </c>
      <c r="E82" s="119" t="s">
        <v>3</v>
      </c>
      <c r="F82" s="118">
        <f t="shared" si="6"/>
        <v>1800</v>
      </c>
      <c r="G82" s="119" t="s">
        <v>3</v>
      </c>
      <c r="H82" s="117">
        <v>2</v>
      </c>
      <c r="I82" s="2055" t="s">
        <v>529</v>
      </c>
      <c r="J82" s="2054">
        <v>140</v>
      </c>
      <c r="K82" s="66">
        <v>140</v>
      </c>
      <c r="L82" s="66">
        <v>1800</v>
      </c>
      <c r="M82" s="158"/>
      <c r="N82" s="78">
        <v>2944.3266167249999</v>
      </c>
      <c r="O82" s="113">
        <f>(71550.5384)*'[1]Изменение цен'!$D$50</f>
        <v>71550.538400000005</v>
      </c>
      <c r="P82" s="254">
        <f>(10463.7836)*'[1]Изменение цен'!$D$85</f>
        <v>16012.598828432274</v>
      </c>
      <c r="Q82" s="113">
        <f t="shared" si="7"/>
        <v>87563.137228432286</v>
      </c>
    </row>
    <row r="83" spans="1:17" ht="16.5" thickBot="1">
      <c r="A83" s="2048" t="s">
        <v>61</v>
      </c>
      <c r="B83" s="119">
        <f t="shared" si="4"/>
        <v>140</v>
      </c>
      <c r="C83" s="119" t="s">
        <v>3</v>
      </c>
      <c r="D83" s="119">
        <f t="shared" si="5"/>
        <v>140</v>
      </c>
      <c r="E83" s="119" t="s">
        <v>3</v>
      </c>
      <c r="F83" s="118">
        <f t="shared" si="6"/>
        <v>1850</v>
      </c>
      <c r="G83" s="119" t="s">
        <v>3</v>
      </c>
      <c r="H83" s="117">
        <v>2</v>
      </c>
      <c r="I83" s="2055" t="s">
        <v>529</v>
      </c>
      <c r="J83" s="2054">
        <v>140</v>
      </c>
      <c r="K83" s="66">
        <v>140</v>
      </c>
      <c r="L83" s="66">
        <v>1850</v>
      </c>
      <c r="M83" s="158"/>
      <c r="N83" s="78">
        <v>3045.85512075</v>
      </c>
      <c r="O83" s="113">
        <f>(72571.2685)*'[1]Изменение цен'!$D$50</f>
        <v>72571.268500000006</v>
      </c>
      <c r="P83" s="254">
        <f>(10826.0251)*'[1]Изменение цен'!$D$85</f>
        <v>16566.932522652551</v>
      </c>
      <c r="Q83" s="113">
        <f t="shared" si="7"/>
        <v>89138.20102265256</v>
      </c>
    </row>
    <row r="84" spans="1:17" ht="16.5" thickBot="1">
      <c r="A84" s="2048" t="s">
        <v>61</v>
      </c>
      <c r="B84" s="119">
        <f t="shared" si="4"/>
        <v>140</v>
      </c>
      <c r="C84" s="119" t="s">
        <v>3</v>
      </c>
      <c r="D84" s="119">
        <f t="shared" si="5"/>
        <v>140</v>
      </c>
      <c r="E84" s="119" t="s">
        <v>3</v>
      </c>
      <c r="F84" s="118">
        <f t="shared" si="6"/>
        <v>1900</v>
      </c>
      <c r="G84" s="119" t="s">
        <v>3</v>
      </c>
      <c r="H84" s="117">
        <v>2</v>
      </c>
      <c r="I84" s="2055" t="s">
        <v>529</v>
      </c>
      <c r="J84" s="2054">
        <v>140</v>
      </c>
      <c r="K84" s="66">
        <v>140</v>
      </c>
      <c r="L84" s="66">
        <v>1900</v>
      </c>
      <c r="M84" s="158"/>
      <c r="N84" s="78">
        <v>3147.383624775</v>
      </c>
      <c r="O84" s="113">
        <f>(73805.9433)*'[1]Изменение цен'!$D$50</f>
        <v>73805.943299999999</v>
      </c>
      <c r="P84" s="254">
        <f>(11033.6472)*'[1]Изменение цен'!$D$85</f>
        <v>16884.654058409142</v>
      </c>
      <c r="Q84" s="113">
        <f t="shared" si="7"/>
        <v>90690.597358409141</v>
      </c>
    </row>
    <row r="85" spans="1:17" ht="16.5" thickBot="1">
      <c r="A85" s="2048" t="s">
        <v>61</v>
      </c>
      <c r="B85" s="119">
        <f t="shared" si="4"/>
        <v>140</v>
      </c>
      <c r="C85" s="119" t="s">
        <v>3</v>
      </c>
      <c r="D85" s="119">
        <f t="shared" si="5"/>
        <v>140</v>
      </c>
      <c r="E85" s="119" t="s">
        <v>3</v>
      </c>
      <c r="F85" s="118">
        <f t="shared" si="6"/>
        <v>1950</v>
      </c>
      <c r="G85" s="119" t="s">
        <v>3</v>
      </c>
      <c r="H85" s="117">
        <v>2</v>
      </c>
      <c r="I85" s="2055" t="s">
        <v>529</v>
      </c>
      <c r="J85" s="2054">
        <v>140</v>
      </c>
      <c r="K85" s="66">
        <v>140</v>
      </c>
      <c r="L85" s="66">
        <v>1950</v>
      </c>
      <c r="M85" s="158"/>
      <c r="N85" s="78">
        <v>3248.9121288000006</v>
      </c>
      <c r="O85" s="113">
        <f>(75235.1881)*'[1]Изменение цен'!$D$50</f>
        <v>75235.188099999999</v>
      </c>
      <c r="P85" s="254">
        <f>(11241.2693)*'[1]Изменение цен'!$D$85</f>
        <v>17202.375594165736</v>
      </c>
      <c r="Q85" s="113">
        <f t="shared" si="7"/>
        <v>92437.563694165729</v>
      </c>
    </row>
    <row r="86" spans="1:17" ht="16.5" thickBot="1">
      <c r="A86" s="2048" t="s">
        <v>61</v>
      </c>
      <c r="B86" s="119">
        <f t="shared" si="4"/>
        <v>140</v>
      </c>
      <c r="C86" s="119" t="s">
        <v>3</v>
      </c>
      <c r="D86" s="119">
        <f t="shared" si="5"/>
        <v>140</v>
      </c>
      <c r="E86" s="119" t="s">
        <v>3</v>
      </c>
      <c r="F86" s="118">
        <f t="shared" si="6"/>
        <v>2000</v>
      </c>
      <c r="G86" s="119" t="s">
        <v>3</v>
      </c>
      <c r="H86" s="117">
        <v>2</v>
      </c>
      <c r="I86" s="2055" t="s">
        <v>529</v>
      </c>
      <c r="J86" s="2054">
        <v>140</v>
      </c>
      <c r="K86" s="66">
        <v>140</v>
      </c>
      <c r="L86" s="66">
        <v>2000</v>
      </c>
      <c r="M86" s="158"/>
      <c r="N86" s="78">
        <v>3350.4406328249997</v>
      </c>
      <c r="O86" s="113">
        <f>(76508.0283)*'[1]Изменение цен'!$D$50</f>
        <v>76508.028300000005</v>
      </c>
      <c r="P86" s="254">
        <f>(11603.5109)*'[1]Изменение цен'!$D$85</f>
        <v>17756.709441414776</v>
      </c>
      <c r="Q86" s="113">
        <f t="shared" si="7"/>
        <v>94264.737741414778</v>
      </c>
    </row>
    <row r="87" spans="1:17" ht="16.5" thickBot="1">
      <c r="A87" s="2048" t="s">
        <v>61</v>
      </c>
      <c r="B87" s="119">
        <f t="shared" si="4"/>
        <v>140</v>
      </c>
      <c r="C87" s="119" t="s">
        <v>3</v>
      </c>
      <c r="D87" s="119">
        <f t="shared" si="5"/>
        <v>140</v>
      </c>
      <c r="E87" s="119" t="s">
        <v>3</v>
      </c>
      <c r="F87" s="118">
        <f t="shared" si="6"/>
        <v>2050</v>
      </c>
      <c r="G87" s="119" t="s">
        <v>3</v>
      </c>
      <c r="H87" s="117">
        <v>2</v>
      </c>
      <c r="I87" s="2055" t="s">
        <v>529</v>
      </c>
      <c r="J87" s="2054">
        <v>140</v>
      </c>
      <c r="K87" s="66">
        <v>140</v>
      </c>
      <c r="L87" s="66">
        <v>2050</v>
      </c>
      <c r="M87" s="158"/>
      <c r="N87" s="78">
        <v>3451.9691368499998</v>
      </c>
      <c r="O87" s="113">
        <f>(80149.0384)*'[1]Изменение цен'!$D$50</f>
        <v>80149.038400000005</v>
      </c>
      <c r="P87" s="254">
        <f>(11811.133)*'[1]Изменение цен'!$D$85</f>
        <v>18074.430977171371</v>
      </c>
      <c r="Q87" s="113">
        <f t="shared" si="7"/>
        <v>98223.469377171379</v>
      </c>
    </row>
    <row r="88" spans="1:17" ht="16.5" thickBot="1">
      <c r="A88" s="2048" t="s">
        <v>61</v>
      </c>
      <c r="B88" s="117">
        <f t="shared" si="4"/>
        <v>140</v>
      </c>
      <c r="C88" s="117" t="s">
        <v>3</v>
      </c>
      <c r="D88" s="117">
        <f t="shared" si="5"/>
        <v>140</v>
      </c>
      <c r="E88" s="117" t="s">
        <v>3</v>
      </c>
      <c r="F88" s="118">
        <f t="shared" si="6"/>
        <v>2100</v>
      </c>
      <c r="G88" s="117" t="s">
        <v>3</v>
      </c>
      <c r="H88" s="117">
        <v>2</v>
      </c>
      <c r="I88" s="2055" t="s">
        <v>529</v>
      </c>
      <c r="J88" s="2054">
        <v>140</v>
      </c>
      <c r="K88" s="66">
        <v>140</v>
      </c>
      <c r="L88" s="66">
        <v>2100</v>
      </c>
      <c r="M88" s="158"/>
      <c r="N88" s="78">
        <v>3553.4976408749999</v>
      </c>
      <c r="O88" s="113">
        <f>(81245.4567)*'[1]Изменение цен'!$D$50</f>
        <v>81245.456699999995</v>
      </c>
      <c r="P88" s="254">
        <f>(12173.3745)*'[1]Изменение цен'!$D$85</f>
        <v>18628.764671391647</v>
      </c>
      <c r="Q88" s="113">
        <f t="shared" si="7"/>
        <v>99874.221371391643</v>
      </c>
    </row>
    <row r="89" spans="1:17" ht="16.5" thickBot="1">
      <c r="A89" s="2048" t="s">
        <v>61</v>
      </c>
      <c r="B89" s="119">
        <f t="shared" si="4"/>
        <v>140</v>
      </c>
      <c r="C89" s="119" t="s">
        <v>3</v>
      </c>
      <c r="D89" s="119">
        <f t="shared" si="5"/>
        <v>140</v>
      </c>
      <c r="E89" s="119" t="s">
        <v>3</v>
      </c>
      <c r="F89" s="118">
        <f t="shared" si="6"/>
        <v>2150</v>
      </c>
      <c r="G89" s="119" t="s">
        <v>3</v>
      </c>
      <c r="H89" s="117">
        <v>2</v>
      </c>
      <c r="I89" s="2055" t="s">
        <v>529</v>
      </c>
      <c r="J89" s="2054">
        <v>140</v>
      </c>
      <c r="K89" s="66">
        <v>140</v>
      </c>
      <c r="L89" s="66">
        <v>2150</v>
      </c>
      <c r="M89" s="158"/>
      <c r="N89" s="78">
        <v>3655.0261449</v>
      </c>
      <c r="O89" s="113">
        <f>(82522.2876)*'[1]Изменение цен'!$D$50</f>
        <v>82522.287599999996</v>
      </c>
      <c r="P89" s="254">
        <f>(12380.9966)*'[1]Изменение цен'!$D$85</f>
        <v>18946.486207148242</v>
      </c>
      <c r="Q89" s="113">
        <f t="shared" si="7"/>
        <v>101468.77380714825</v>
      </c>
    </row>
    <row r="90" spans="1:17" ht="16.5" thickBot="1">
      <c r="A90" s="2048" t="s">
        <v>61</v>
      </c>
      <c r="B90" s="119">
        <f t="shared" si="4"/>
        <v>140</v>
      </c>
      <c r="C90" s="119" t="s">
        <v>3</v>
      </c>
      <c r="D90" s="119">
        <f t="shared" si="5"/>
        <v>140</v>
      </c>
      <c r="E90" s="119" t="s">
        <v>3</v>
      </c>
      <c r="F90" s="118">
        <f t="shared" si="6"/>
        <v>2200</v>
      </c>
      <c r="G90" s="119" t="s">
        <v>3</v>
      </c>
      <c r="H90" s="117">
        <v>2</v>
      </c>
      <c r="I90" s="2055" t="s">
        <v>529</v>
      </c>
      <c r="J90" s="2054">
        <v>140</v>
      </c>
      <c r="K90" s="66">
        <v>140</v>
      </c>
      <c r="L90" s="66">
        <v>2200</v>
      </c>
      <c r="M90" s="158"/>
      <c r="N90" s="78">
        <v>3756.5546489250005</v>
      </c>
      <c r="O90" s="113">
        <f>(83799.0596)*'[1]Изменение цен'!$D$50</f>
        <v>83799.059599999993</v>
      </c>
      <c r="P90" s="254">
        <f>(12743.2381)*'[1]Изменение цен'!$D$85</f>
        <v>19500.819901368519</v>
      </c>
      <c r="Q90" s="113">
        <f t="shared" si="7"/>
        <v>103299.87950136852</v>
      </c>
    </row>
    <row r="91" spans="1:17" ht="16.5" thickBot="1">
      <c r="A91" s="2048" t="s">
        <v>61</v>
      </c>
      <c r="B91" s="119">
        <f t="shared" si="4"/>
        <v>140</v>
      </c>
      <c r="C91" s="119" t="s">
        <v>3</v>
      </c>
      <c r="D91" s="119">
        <f t="shared" si="5"/>
        <v>140</v>
      </c>
      <c r="E91" s="119" t="s">
        <v>3</v>
      </c>
      <c r="F91" s="118">
        <f t="shared" si="6"/>
        <v>2250</v>
      </c>
      <c r="G91" s="119" t="s">
        <v>3</v>
      </c>
      <c r="H91" s="117">
        <v>2</v>
      </c>
      <c r="I91" s="2055" t="s">
        <v>529</v>
      </c>
      <c r="J91" s="2054">
        <v>140</v>
      </c>
      <c r="K91" s="66">
        <v>140</v>
      </c>
      <c r="L91" s="66">
        <v>2250</v>
      </c>
      <c r="M91" s="158"/>
      <c r="N91" s="78">
        <v>3858.0831529499997</v>
      </c>
      <c r="O91" s="113">
        <f>(85466.4482)*'[1]Изменение цен'!$D$50</f>
        <v>85466.448199999999</v>
      </c>
      <c r="P91" s="254">
        <f>(12950.8603)*'[1]Изменение цен'!$D$85</f>
        <v>19818.541590153876</v>
      </c>
      <c r="Q91" s="113">
        <f t="shared" si="7"/>
        <v>105284.98979015388</v>
      </c>
    </row>
    <row r="92" spans="1:17" ht="16.5" thickBot="1">
      <c r="A92" s="2048" t="s">
        <v>61</v>
      </c>
      <c r="B92" s="119">
        <f t="shared" si="4"/>
        <v>140</v>
      </c>
      <c r="C92" s="119" t="s">
        <v>3</v>
      </c>
      <c r="D92" s="119">
        <f t="shared" si="5"/>
        <v>140</v>
      </c>
      <c r="E92" s="119" t="s">
        <v>3</v>
      </c>
      <c r="F92" s="118">
        <f t="shared" si="6"/>
        <v>2300</v>
      </c>
      <c r="G92" s="119" t="s">
        <v>3</v>
      </c>
      <c r="H92" s="117">
        <v>2</v>
      </c>
      <c r="I92" s="2055" t="s">
        <v>529</v>
      </c>
      <c r="J92" s="2054">
        <v>140</v>
      </c>
      <c r="K92" s="66">
        <v>140</v>
      </c>
      <c r="L92" s="66">
        <v>2300</v>
      </c>
      <c r="M92" s="158"/>
      <c r="N92" s="78">
        <v>3959.6116569750002</v>
      </c>
      <c r="O92" s="113">
        <f>(86446.3503)*'[1]Изменение цен'!$D$50</f>
        <v>86446.350300000006</v>
      </c>
      <c r="P92" s="254">
        <f>(13158.4824)*'[1]Изменение цен'!$D$85</f>
        <v>20136.263125910467</v>
      </c>
      <c r="Q92" s="113">
        <f t="shared" si="7"/>
        <v>106582.61342591047</v>
      </c>
    </row>
    <row r="93" spans="1:17" ht="16.5" thickBot="1">
      <c r="A93" s="2048" t="s">
        <v>61</v>
      </c>
      <c r="B93" s="119">
        <f t="shared" si="4"/>
        <v>140</v>
      </c>
      <c r="C93" s="119" t="s">
        <v>3</v>
      </c>
      <c r="D93" s="119">
        <f t="shared" si="5"/>
        <v>140</v>
      </c>
      <c r="E93" s="119" t="s">
        <v>3</v>
      </c>
      <c r="F93" s="118">
        <f t="shared" si="6"/>
        <v>2350</v>
      </c>
      <c r="G93" s="119" t="s">
        <v>3</v>
      </c>
      <c r="H93" s="117">
        <v>2</v>
      </c>
      <c r="I93" s="2055" t="s">
        <v>529</v>
      </c>
      <c r="J93" s="2054">
        <v>140</v>
      </c>
      <c r="K93" s="66">
        <v>140</v>
      </c>
      <c r="L93" s="66">
        <v>2350</v>
      </c>
      <c r="M93" s="158"/>
      <c r="N93" s="78">
        <v>4061.1401610000003</v>
      </c>
      <c r="O93" s="113">
        <f>(87426.1936)*'[1]Изменение цен'!$D$50</f>
        <v>87426.193599999999</v>
      </c>
      <c r="P93" s="254">
        <f>(13520.7239)*'[1]Изменение цен'!$D$85</f>
        <v>20690.596820130744</v>
      </c>
      <c r="Q93" s="113">
        <f t="shared" si="7"/>
        <v>108116.79042013074</v>
      </c>
    </row>
    <row r="94" spans="1:17" ht="16.5" thickBot="1">
      <c r="A94" s="2048" t="s">
        <v>61</v>
      </c>
      <c r="B94" s="119">
        <f t="shared" si="4"/>
        <v>140</v>
      </c>
      <c r="C94" s="119" t="s">
        <v>3</v>
      </c>
      <c r="D94" s="119">
        <f t="shared" si="5"/>
        <v>140</v>
      </c>
      <c r="E94" s="119" t="s">
        <v>3</v>
      </c>
      <c r="F94" s="118">
        <f t="shared" si="6"/>
        <v>2400</v>
      </c>
      <c r="G94" s="119" t="s">
        <v>3</v>
      </c>
      <c r="H94" s="117">
        <v>2</v>
      </c>
      <c r="I94" s="2055" t="s">
        <v>529</v>
      </c>
      <c r="J94" s="2054">
        <v>140</v>
      </c>
      <c r="K94" s="66">
        <v>140</v>
      </c>
      <c r="L94" s="66">
        <v>2400</v>
      </c>
      <c r="M94" s="158"/>
      <c r="N94" s="78">
        <v>4162.6686650249994</v>
      </c>
      <c r="O94" s="113">
        <f>(88405.978)*'[1]Изменение цен'!$D$50</f>
        <v>88405.978000000003</v>
      </c>
      <c r="P94" s="254">
        <f>(13728.346)*'[1]Изменение цен'!$D$85</f>
        <v>21008.318355887335</v>
      </c>
      <c r="Q94" s="113">
        <f t="shared" si="7"/>
        <v>109414.29635588735</v>
      </c>
    </row>
    <row r="95" spans="1:17" ht="16.5" thickBot="1">
      <c r="A95" s="2048" t="s">
        <v>61</v>
      </c>
      <c r="B95" s="119">
        <f t="shared" si="4"/>
        <v>140</v>
      </c>
      <c r="C95" s="119" t="s">
        <v>3</v>
      </c>
      <c r="D95" s="119">
        <f t="shared" si="5"/>
        <v>140</v>
      </c>
      <c r="E95" s="119" t="s">
        <v>3</v>
      </c>
      <c r="F95" s="118">
        <f t="shared" si="6"/>
        <v>2450</v>
      </c>
      <c r="G95" s="119" t="s">
        <v>3</v>
      </c>
      <c r="H95" s="117">
        <v>2</v>
      </c>
      <c r="I95" s="2055" t="s">
        <v>529</v>
      </c>
      <c r="J95" s="2054">
        <v>140</v>
      </c>
      <c r="K95" s="66">
        <v>140</v>
      </c>
      <c r="L95" s="66">
        <v>2450</v>
      </c>
      <c r="M95" s="158"/>
      <c r="N95" s="78">
        <v>4264.1971690500004</v>
      </c>
      <c r="O95" s="113">
        <f>(89879.5056)*'[1]Изменение цен'!$D$50</f>
        <v>89879.505600000004</v>
      </c>
      <c r="P95" s="254">
        <f>(14090.5875)*'[1]Изменение цен'!$D$85</f>
        <v>21562.652050107612</v>
      </c>
      <c r="Q95" s="113">
        <f t="shared" si="7"/>
        <v>111442.15765010762</v>
      </c>
    </row>
    <row r="96" spans="1:17" ht="16.5" thickBot="1">
      <c r="A96" s="2048" t="s">
        <v>61</v>
      </c>
      <c r="B96" s="119">
        <f t="shared" si="4"/>
        <v>140</v>
      </c>
      <c r="C96" s="119" t="s">
        <v>3</v>
      </c>
      <c r="D96" s="119">
        <f t="shared" si="5"/>
        <v>140</v>
      </c>
      <c r="E96" s="119" t="s">
        <v>3</v>
      </c>
      <c r="F96" s="118">
        <f t="shared" si="6"/>
        <v>2500</v>
      </c>
      <c r="G96" s="119" t="s">
        <v>3</v>
      </c>
      <c r="H96" s="117">
        <v>2</v>
      </c>
      <c r="I96" s="2055" t="s">
        <v>529</v>
      </c>
      <c r="J96" s="2054">
        <v>140</v>
      </c>
      <c r="K96" s="66">
        <v>140</v>
      </c>
      <c r="L96" s="66">
        <v>2500</v>
      </c>
      <c r="M96" s="158"/>
      <c r="N96" s="78">
        <v>4365.7256730750005</v>
      </c>
      <c r="O96" s="113">
        <f>(90859.1724)*'[1]Изменение цен'!$D$50</f>
        <v>90859.172399999996</v>
      </c>
      <c r="P96" s="254">
        <f>(14298.2096)*'[1]Изменение цен'!$D$85</f>
        <v>21880.373585864207</v>
      </c>
      <c r="Q96" s="113">
        <f t="shared" si="7"/>
        <v>112739.5459858642</v>
      </c>
    </row>
    <row r="97" spans="1:17" ht="16.5" thickBot="1">
      <c r="A97" s="2048" t="s">
        <v>61</v>
      </c>
      <c r="B97" s="119">
        <f t="shared" si="4"/>
        <v>140</v>
      </c>
      <c r="C97" s="119" t="s">
        <v>3</v>
      </c>
      <c r="D97" s="119">
        <f t="shared" si="5"/>
        <v>140</v>
      </c>
      <c r="E97" s="119" t="s">
        <v>3</v>
      </c>
      <c r="F97" s="118">
        <f t="shared" si="6"/>
        <v>2550</v>
      </c>
      <c r="G97" s="119" t="s">
        <v>3</v>
      </c>
      <c r="H97" s="117">
        <v>2</v>
      </c>
      <c r="I97" s="2055" t="s">
        <v>529</v>
      </c>
      <c r="J97" s="2054">
        <v>140</v>
      </c>
      <c r="K97" s="66">
        <v>140</v>
      </c>
      <c r="L97" s="66">
        <v>2550</v>
      </c>
      <c r="M97" s="158"/>
      <c r="N97" s="78">
        <v>4467.2541771000006</v>
      </c>
      <c r="O97" s="113">
        <f>(95864.9943)*'[1]Изменение цен'!$D$50</f>
        <v>95864.994300000006</v>
      </c>
      <c r="P97" s="254">
        <f>(14660.4512)*'[1]Изменение цен'!$D$85</f>
        <v>22434.707433113246</v>
      </c>
      <c r="Q97" s="113">
        <f t="shared" si="7"/>
        <v>118299.70173311325</v>
      </c>
    </row>
    <row r="98" spans="1:17" ht="16.5" thickBot="1">
      <c r="A98" s="2048" t="s">
        <v>61</v>
      </c>
      <c r="B98" s="117">
        <f t="shared" si="4"/>
        <v>140</v>
      </c>
      <c r="C98" s="117" t="s">
        <v>3</v>
      </c>
      <c r="D98" s="117">
        <f t="shared" si="5"/>
        <v>140</v>
      </c>
      <c r="E98" s="117" t="s">
        <v>3</v>
      </c>
      <c r="F98" s="118">
        <f t="shared" si="6"/>
        <v>2600</v>
      </c>
      <c r="G98" s="117" t="s">
        <v>3</v>
      </c>
      <c r="H98" s="117">
        <v>2</v>
      </c>
      <c r="I98" s="2055" t="s">
        <v>529</v>
      </c>
      <c r="J98" s="2054">
        <v>140</v>
      </c>
      <c r="K98" s="66">
        <v>140</v>
      </c>
      <c r="L98" s="66">
        <v>2600</v>
      </c>
      <c r="M98" s="158"/>
      <c r="N98" s="78">
        <v>4568.7826811249997</v>
      </c>
      <c r="O98" s="113">
        <f>(97175.2652)*'[1]Изменение цен'!$D$50</f>
        <v>97175.265199999994</v>
      </c>
      <c r="P98" s="254">
        <f>(14868.0733)*'[1]Изменение цен'!$D$85</f>
        <v>22752.428968869841</v>
      </c>
      <c r="Q98" s="113">
        <f t="shared" si="7"/>
        <v>119927.69416886984</v>
      </c>
    </row>
    <row r="99" spans="1:17" ht="16.5" thickBot="1">
      <c r="A99" s="2048" t="s">
        <v>61</v>
      </c>
      <c r="B99" s="119">
        <f t="shared" si="4"/>
        <v>140</v>
      </c>
      <c r="C99" s="119" t="s">
        <v>3</v>
      </c>
      <c r="D99" s="119">
        <f t="shared" si="5"/>
        <v>140</v>
      </c>
      <c r="E99" s="119" t="s">
        <v>3</v>
      </c>
      <c r="F99" s="118">
        <f t="shared" si="6"/>
        <v>2650</v>
      </c>
      <c r="G99" s="119" t="s">
        <v>3</v>
      </c>
      <c r="H99" s="117">
        <v>2</v>
      </c>
      <c r="I99" s="2055" t="s">
        <v>529</v>
      </c>
      <c r="J99" s="2054">
        <v>140</v>
      </c>
      <c r="K99" s="66">
        <v>140</v>
      </c>
      <c r="L99" s="66">
        <v>2650</v>
      </c>
      <c r="M99" s="158"/>
      <c r="N99" s="78">
        <v>4670.3111851499989</v>
      </c>
      <c r="O99" s="113">
        <f>(97959.2486)*'[1]Изменение цен'!$D$50</f>
        <v>97959.248600000006</v>
      </c>
      <c r="P99" s="254">
        <f>(15230.3148)*'[1]Изменение цен'!$D$85</f>
        <v>23306.762663090118</v>
      </c>
      <c r="Q99" s="113">
        <f t="shared" si="7"/>
        <v>121266.01126309013</v>
      </c>
    </row>
    <row r="100" spans="1:17" ht="16.5" thickBot="1">
      <c r="A100" s="2048" t="s">
        <v>61</v>
      </c>
      <c r="B100" s="119">
        <f t="shared" si="4"/>
        <v>140</v>
      </c>
      <c r="C100" s="119" t="s">
        <v>3</v>
      </c>
      <c r="D100" s="119">
        <f t="shared" si="5"/>
        <v>140</v>
      </c>
      <c r="E100" s="119" t="s">
        <v>3</v>
      </c>
      <c r="F100" s="118">
        <f t="shared" si="6"/>
        <v>2700</v>
      </c>
      <c r="G100" s="119" t="s">
        <v>3</v>
      </c>
      <c r="H100" s="117">
        <v>2</v>
      </c>
      <c r="I100" s="2055" t="s">
        <v>529</v>
      </c>
      <c r="J100" s="2054">
        <v>140</v>
      </c>
      <c r="K100" s="66">
        <v>140</v>
      </c>
      <c r="L100" s="66">
        <v>2700</v>
      </c>
      <c r="M100" s="158"/>
      <c r="N100" s="78">
        <v>4771.8396891749999</v>
      </c>
      <c r="O100" s="113">
        <f>(98786.4128)*'[1]Изменение цен'!$D$50</f>
        <v>98786.412800000006</v>
      </c>
      <c r="P100" s="254">
        <f>(15437.9369)*'[1]Изменение цен'!$D$85</f>
        <v>23624.484198846712</v>
      </c>
      <c r="Q100" s="113">
        <f t="shared" si="7"/>
        <v>122410.89699884671</v>
      </c>
    </row>
    <row r="101" spans="1:17" ht="16.5" thickBot="1">
      <c r="A101" s="2048" t="s">
        <v>61</v>
      </c>
      <c r="B101" s="119">
        <f t="shared" si="4"/>
        <v>140</v>
      </c>
      <c r="C101" s="119" t="s">
        <v>3</v>
      </c>
      <c r="D101" s="119">
        <f t="shared" si="5"/>
        <v>140</v>
      </c>
      <c r="E101" s="119" t="s">
        <v>3</v>
      </c>
      <c r="F101" s="118">
        <f t="shared" si="6"/>
        <v>2750</v>
      </c>
      <c r="G101" s="119" t="s">
        <v>3</v>
      </c>
      <c r="H101" s="117">
        <v>2</v>
      </c>
      <c r="I101" s="2055" t="s">
        <v>529</v>
      </c>
      <c r="J101" s="2054">
        <v>140</v>
      </c>
      <c r="K101" s="66">
        <v>140</v>
      </c>
      <c r="L101" s="66">
        <v>2750</v>
      </c>
      <c r="M101" s="158"/>
      <c r="N101" s="78">
        <v>4873.3681932</v>
      </c>
      <c r="O101" s="113">
        <f>(99670.1955)*'[1]Изменение цен'!$D$50</f>
        <v>99670.195500000002</v>
      </c>
      <c r="P101" s="254">
        <f>(15645.559)*'[1]Изменение цен'!$D$85</f>
        <v>23942.205734603303</v>
      </c>
      <c r="Q101" s="113">
        <f t="shared" si="7"/>
        <v>123612.40123460331</v>
      </c>
    </row>
    <row r="102" spans="1:17" ht="16.5" thickBot="1">
      <c r="A102" s="2048" t="s">
        <v>61</v>
      </c>
      <c r="B102" s="119">
        <f t="shared" si="4"/>
        <v>140</v>
      </c>
      <c r="C102" s="119" t="s">
        <v>3</v>
      </c>
      <c r="D102" s="119">
        <f t="shared" si="5"/>
        <v>140</v>
      </c>
      <c r="E102" s="119" t="s">
        <v>3</v>
      </c>
      <c r="F102" s="118">
        <f t="shared" si="6"/>
        <v>2800</v>
      </c>
      <c r="G102" s="119" t="s">
        <v>3</v>
      </c>
      <c r="H102" s="117">
        <v>2</v>
      </c>
      <c r="I102" s="2055" t="s">
        <v>529</v>
      </c>
      <c r="J102" s="2054">
        <v>140</v>
      </c>
      <c r="K102" s="66">
        <v>140</v>
      </c>
      <c r="L102" s="66">
        <v>2800</v>
      </c>
      <c r="M102" s="158"/>
      <c r="N102" s="78">
        <v>4974.896697225</v>
      </c>
      <c r="O102" s="113">
        <f>(100452.6704)*'[1]Изменение цен'!$D$50</f>
        <v>100452.6704</v>
      </c>
      <c r="P102" s="254">
        <f>(16007.8006)*'[1]Изменение цен'!$D$85</f>
        <v>24496.539581852347</v>
      </c>
      <c r="Q102" s="113">
        <f t="shared" si="7"/>
        <v>124949.20998185236</v>
      </c>
    </row>
    <row r="103" spans="1:17" ht="16.5" thickBot="1">
      <c r="A103" s="2048" t="s">
        <v>61</v>
      </c>
      <c r="B103" s="119">
        <f t="shared" si="4"/>
        <v>140</v>
      </c>
      <c r="C103" s="119" t="s">
        <v>3</v>
      </c>
      <c r="D103" s="119">
        <f t="shared" si="5"/>
        <v>140</v>
      </c>
      <c r="E103" s="119" t="s">
        <v>3</v>
      </c>
      <c r="F103" s="118">
        <f t="shared" si="6"/>
        <v>2850</v>
      </c>
      <c r="G103" s="119" t="s">
        <v>3</v>
      </c>
      <c r="H103" s="117">
        <v>2</v>
      </c>
      <c r="I103" s="2055" t="s">
        <v>529</v>
      </c>
      <c r="J103" s="2054">
        <v>140</v>
      </c>
      <c r="K103" s="66">
        <v>140</v>
      </c>
      <c r="L103" s="66">
        <v>2850</v>
      </c>
      <c r="M103" s="158"/>
      <c r="N103" s="78">
        <v>5076.4252012500001</v>
      </c>
      <c r="O103" s="113">
        <f>(101235.0865)*'[1]Изменение цен'!$D$50</f>
        <v>101235.0865</v>
      </c>
      <c r="P103" s="254">
        <f>(16215.4227)*'[1]Изменение цен'!$D$85</f>
        <v>24814.261117608938</v>
      </c>
      <c r="Q103" s="113">
        <f t="shared" si="7"/>
        <v>126049.34761760895</v>
      </c>
    </row>
    <row r="104" spans="1:17" ht="16.5" thickBot="1">
      <c r="A104" s="2048" t="s">
        <v>61</v>
      </c>
      <c r="B104" s="119">
        <f t="shared" si="4"/>
        <v>140</v>
      </c>
      <c r="C104" s="119" t="s">
        <v>3</v>
      </c>
      <c r="D104" s="119">
        <f t="shared" si="5"/>
        <v>140</v>
      </c>
      <c r="E104" s="119" t="s">
        <v>3</v>
      </c>
      <c r="F104" s="118">
        <f t="shared" si="6"/>
        <v>2900</v>
      </c>
      <c r="G104" s="119" t="s">
        <v>3</v>
      </c>
      <c r="H104" s="117">
        <v>2</v>
      </c>
      <c r="I104" s="2055" t="s">
        <v>529</v>
      </c>
      <c r="J104" s="2054">
        <v>140</v>
      </c>
      <c r="K104" s="66">
        <v>140</v>
      </c>
      <c r="L104" s="66">
        <v>2900</v>
      </c>
      <c r="M104" s="158"/>
      <c r="N104" s="78">
        <v>5177.9537052750002</v>
      </c>
      <c r="O104" s="113">
        <f>(102017.4437)*'[1]Изменение цен'!$D$50</f>
        <v>102017.4437</v>
      </c>
      <c r="P104" s="254">
        <f>(16577.6641999999)*'[1]Изменение цен'!$D$85</f>
        <v>25368.594811829065</v>
      </c>
      <c r="Q104" s="113">
        <f t="shared" si="7"/>
        <v>127386.03851182907</v>
      </c>
    </row>
    <row r="105" spans="1:17" ht="16.5" thickBot="1">
      <c r="A105" s="2048" t="s">
        <v>61</v>
      </c>
      <c r="B105" s="119">
        <f t="shared" si="4"/>
        <v>140</v>
      </c>
      <c r="C105" s="119" t="s">
        <v>3</v>
      </c>
      <c r="D105" s="119">
        <f t="shared" si="5"/>
        <v>140</v>
      </c>
      <c r="E105" s="119" t="s">
        <v>3</v>
      </c>
      <c r="F105" s="118">
        <f t="shared" si="6"/>
        <v>2950</v>
      </c>
      <c r="G105" s="119" t="s">
        <v>3</v>
      </c>
      <c r="H105" s="117">
        <v>2</v>
      </c>
      <c r="I105" s="2055" t="s">
        <v>529</v>
      </c>
      <c r="J105" s="2054">
        <v>140</v>
      </c>
      <c r="K105" s="66">
        <v>140</v>
      </c>
      <c r="L105" s="66">
        <v>2950</v>
      </c>
      <c r="M105" s="158"/>
      <c r="N105" s="78">
        <v>5279.4822093000002</v>
      </c>
      <c r="O105" s="113">
        <f>(102799.7423)*'[1]Изменение цен'!$D$50</f>
        <v>102799.7423</v>
      </c>
      <c r="P105" s="254">
        <f>(16785.2863)*'[1]Изменение цен'!$D$85</f>
        <v>25686.316347585809</v>
      </c>
      <c r="Q105" s="113">
        <f t="shared" si="7"/>
        <v>128486.0586475858</v>
      </c>
    </row>
    <row r="106" spans="1:17" ht="16.5" thickBot="1">
      <c r="A106" s="2048" t="s">
        <v>61</v>
      </c>
      <c r="B106" s="119">
        <f t="shared" si="4"/>
        <v>140</v>
      </c>
      <c r="C106" s="119" t="s">
        <v>3</v>
      </c>
      <c r="D106" s="119">
        <f t="shared" si="5"/>
        <v>140</v>
      </c>
      <c r="E106" s="119" t="s">
        <v>3</v>
      </c>
      <c r="F106" s="118">
        <f t="shared" si="6"/>
        <v>3000</v>
      </c>
      <c r="G106" s="119" t="s">
        <v>3</v>
      </c>
      <c r="H106" s="117">
        <v>2</v>
      </c>
      <c r="I106" s="2055" t="s">
        <v>529</v>
      </c>
      <c r="J106" s="2056">
        <v>140</v>
      </c>
      <c r="K106" s="126">
        <v>140</v>
      </c>
      <c r="L106" s="126">
        <v>3000</v>
      </c>
      <c r="M106" s="159"/>
      <c r="N106" s="127">
        <v>5381.0107133250003</v>
      </c>
      <c r="O106" s="128">
        <f>(105680.2355)*'[1]Изменение цен'!$D$50</f>
        <v>105680.2355</v>
      </c>
      <c r="P106" s="255">
        <f>(17147.5278)*'[1]Изменение цен'!$D$85</f>
        <v>26240.650041806086</v>
      </c>
      <c r="Q106" s="128">
        <f t="shared" si="7"/>
        <v>131920.88554180608</v>
      </c>
    </row>
    <row r="107" spans="1:17">
      <c r="A107" s="940"/>
      <c r="B107" s="940"/>
      <c r="C107" s="940"/>
      <c r="D107" s="940"/>
      <c r="E107" s="940"/>
      <c r="F107" s="941"/>
      <c r="G107" s="940"/>
      <c r="H107" s="940"/>
      <c r="I107" s="940"/>
      <c r="J107" s="940"/>
      <c r="K107" s="941"/>
      <c r="L107" s="941"/>
      <c r="M107" s="904"/>
      <c r="N107" s="940"/>
      <c r="O107" s="942"/>
      <c r="P107" s="942"/>
      <c r="Q107" s="942"/>
    </row>
    <row r="108" spans="1:17">
      <c r="A108" s="940"/>
      <c r="B108" s="940"/>
      <c r="C108" s="940"/>
      <c r="D108" s="940"/>
      <c r="E108" s="940"/>
      <c r="F108" s="941"/>
      <c r="G108" s="940"/>
      <c r="H108" s="940"/>
      <c r="I108" s="940"/>
      <c r="J108" s="940"/>
      <c r="K108" s="941"/>
      <c r="L108" s="941"/>
      <c r="M108" s="904"/>
      <c r="N108" s="940"/>
      <c r="O108" s="942"/>
      <c r="P108" s="942"/>
      <c r="Q108" s="942"/>
    </row>
    <row r="109" spans="1:17">
      <c r="A109" s="940"/>
      <c r="B109" s="940"/>
      <c r="C109" s="940"/>
      <c r="D109" s="940"/>
      <c r="E109" s="940"/>
      <c r="F109" s="941"/>
      <c r="G109" s="940"/>
      <c r="H109" s="940"/>
      <c r="I109" s="940"/>
      <c r="J109" s="940"/>
      <c r="K109" s="941"/>
      <c r="L109" s="941"/>
      <c r="M109" s="904"/>
      <c r="N109" s="940"/>
      <c r="O109" s="942"/>
      <c r="P109" s="942"/>
      <c r="Q109" s="942"/>
    </row>
    <row r="110" spans="1:17">
      <c r="A110" s="940"/>
      <c r="B110" s="940"/>
      <c r="C110" s="940"/>
      <c r="D110" s="940"/>
      <c r="E110" s="940"/>
      <c r="F110" s="941"/>
      <c r="G110" s="940"/>
      <c r="H110" s="940"/>
      <c r="I110" s="940"/>
      <c r="J110" s="940"/>
      <c r="K110" s="941"/>
      <c r="L110" s="941"/>
      <c r="M110" s="904"/>
      <c r="N110" s="940"/>
      <c r="O110" s="942"/>
      <c r="P110" s="942"/>
      <c r="Q110" s="942"/>
    </row>
    <row r="111" spans="1:17">
      <c r="A111" s="940"/>
      <c r="B111" s="940"/>
      <c r="C111" s="940"/>
      <c r="D111" s="940"/>
      <c r="E111" s="940"/>
      <c r="F111" s="941"/>
      <c r="G111" s="940"/>
      <c r="H111" s="940"/>
      <c r="I111" s="940"/>
      <c r="J111" s="940"/>
      <c r="K111" s="941"/>
      <c r="L111" s="941"/>
      <c r="M111" s="904"/>
      <c r="N111" s="940"/>
      <c r="O111" s="942"/>
      <c r="P111" s="942"/>
      <c r="Q111" s="942"/>
    </row>
    <row r="112" spans="1:17">
      <c r="A112" s="940"/>
      <c r="B112" s="940"/>
      <c r="C112" s="940"/>
      <c r="D112" s="940"/>
      <c r="E112" s="940"/>
      <c r="F112" s="941"/>
      <c r="G112" s="940"/>
      <c r="H112" s="940"/>
      <c r="I112" s="940"/>
      <c r="J112" s="940"/>
      <c r="K112" s="941"/>
      <c r="L112" s="941"/>
      <c r="M112" s="904"/>
      <c r="N112" s="940"/>
      <c r="O112" s="942"/>
      <c r="P112" s="942"/>
      <c r="Q112" s="942"/>
    </row>
    <row r="113" spans="1:17">
      <c r="A113" s="940"/>
      <c r="B113" s="940"/>
      <c r="C113" s="940"/>
      <c r="D113" s="940"/>
      <c r="E113" s="940"/>
      <c r="F113" s="941"/>
      <c r="G113" s="940"/>
      <c r="H113" s="940"/>
      <c r="I113" s="940"/>
      <c r="J113" s="940"/>
      <c r="K113" s="941"/>
      <c r="L113" s="941"/>
      <c r="M113" s="904"/>
      <c r="N113" s="940"/>
      <c r="O113" s="942"/>
      <c r="P113" s="942"/>
      <c r="Q113" s="942"/>
    </row>
    <row r="114" spans="1:17">
      <c r="A114" s="940"/>
      <c r="B114" s="940"/>
      <c r="C114" s="940"/>
      <c r="D114" s="940"/>
      <c r="E114" s="940"/>
      <c r="F114" s="941"/>
      <c r="G114" s="940"/>
      <c r="H114" s="940"/>
      <c r="I114" s="940"/>
      <c r="J114" s="940"/>
      <c r="K114" s="941"/>
      <c r="L114" s="941"/>
      <c r="M114" s="904"/>
      <c r="N114" s="940"/>
      <c r="O114" s="942"/>
      <c r="P114" s="942"/>
      <c r="Q114" s="942"/>
    </row>
    <row r="115" spans="1:17">
      <c r="A115" s="940"/>
      <c r="B115" s="940"/>
      <c r="C115" s="940"/>
      <c r="D115" s="940"/>
      <c r="E115" s="940"/>
      <c r="F115" s="941"/>
      <c r="G115" s="940"/>
      <c r="H115" s="940"/>
      <c r="I115" s="940"/>
      <c r="J115" s="940"/>
      <c r="K115" s="941"/>
      <c r="L115" s="941"/>
      <c r="M115" s="904"/>
      <c r="N115" s="940"/>
      <c r="O115" s="942"/>
      <c r="P115" s="942"/>
      <c r="Q115" s="942"/>
    </row>
    <row r="116" spans="1:17">
      <c r="A116" s="940"/>
      <c r="B116" s="940"/>
      <c r="C116" s="940"/>
      <c r="D116" s="940"/>
      <c r="E116" s="940"/>
      <c r="F116" s="941"/>
      <c r="G116" s="940"/>
      <c r="H116" s="940"/>
      <c r="I116" s="940"/>
      <c r="J116" s="940"/>
      <c r="K116" s="941"/>
      <c r="L116" s="941"/>
      <c r="M116" s="904"/>
      <c r="N116" s="940"/>
      <c r="O116" s="942"/>
      <c r="P116" s="942"/>
      <c r="Q116" s="942"/>
    </row>
    <row r="117" spans="1:17">
      <c r="A117" s="940"/>
      <c r="B117" s="940"/>
      <c r="C117" s="940"/>
      <c r="D117" s="940"/>
      <c r="E117" s="940"/>
      <c r="F117" s="941"/>
      <c r="G117" s="940"/>
      <c r="H117" s="940"/>
      <c r="I117" s="940"/>
      <c r="J117" s="940"/>
      <c r="K117" s="941"/>
      <c r="L117" s="941"/>
      <c r="M117" s="904"/>
      <c r="N117" s="940"/>
      <c r="O117" s="942"/>
      <c r="P117" s="942"/>
      <c r="Q117" s="942"/>
    </row>
    <row r="118" spans="1:17">
      <c r="A118" s="940"/>
      <c r="B118" s="940"/>
      <c r="C118" s="940"/>
      <c r="D118" s="940"/>
      <c r="E118" s="940"/>
      <c r="F118" s="941"/>
      <c r="G118" s="940"/>
      <c r="H118" s="940"/>
      <c r="I118" s="940"/>
      <c r="J118" s="940"/>
      <c r="K118" s="941"/>
      <c r="L118" s="941"/>
      <c r="M118" s="904"/>
      <c r="N118" s="940"/>
      <c r="O118" s="942"/>
      <c r="P118" s="942"/>
      <c r="Q118" s="942"/>
    </row>
    <row r="119" spans="1:17">
      <c r="A119" s="940"/>
      <c r="B119" s="940"/>
      <c r="C119" s="940"/>
      <c r="D119" s="940"/>
      <c r="E119" s="940"/>
      <c r="F119" s="941"/>
      <c r="G119" s="940"/>
      <c r="H119" s="940"/>
      <c r="I119" s="940"/>
      <c r="J119" s="940"/>
      <c r="K119" s="941"/>
      <c r="L119" s="941"/>
      <c r="M119" s="904"/>
      <c r="N119" s="940"/>
      <c r="O119" s="942"/>
      <c r="P119" s="942"/>
      <c r="Q119" s="942"/>
    </row>
    <row r="120" spans="1:17">
      <c r="A120" s="940"/>
      <c r="B120" s="940"/>
      <c r="C120" s="940"/>
      <c r="D120" s="940"/>
      <c r="E120" s="940"/>
      <c r="F120" s="941"/>
      <c r="G120" s="940"/>
      <c r="H120" s="940"/>
      <c r="I120" s="940"/>
      <c r="J120" s="940"/>
      <c r="K120" s="941"/>
      <c r="L120" s="941"/>
      <c r="M120" s="904"/>
      <c r="N120" s="940"/>
      <c r="O120" s="942"/>
      <c r="P120" s="942"/>
      <c r="Q120" s="942"/>
    </row>
    <row r="121" spans="1:17">
      <c r="A121" s="940"/>
      <c r="B121" s="940"/>
      <c r="C121" s="940"/>
      <c r="D121" s="940"/>
      <c r="E121" s="940"/>
      <c r="F121" s="941"/>
      <c r="G121" s="940"/>
      <c r="H121" s="940"/>
      <c r="I121" s="940"/>
      <c r="J121" s="940"/>
      <c r="K121" s="941"/>
      <c r="L121" s="941"/>
      <c r="M121" s="904"/>
      <c r="N121" s="940"/>
      <c r="O121" s="942"/>
      <c r="P121" s="942"/>
      <c r="Q121" s="942"/>
    </row>
    <row r="122" spans="1:17">
      <c r="A122" s="940"/>
      <c r="B122" s="940"/>
      <c r="C122" s="940"/>
      <c r="D122" s="940"/>
      <c r="E122" s="940"/>
      <c r="F122" s="941"/>
      <c r="G122" s="940"/>
      <c r="H122" s="940"/>
      <c r="I122" s="940"/>
      <c r="J122" s="940"/>
      <c r="K122" s="941"/>
      <c r="L122" s="941"/>
      <c r="M122" s="904"/>
      <c r="N122" s="940"/>
      <c r="O122" s="942"/>
      <c r="P122" s="942"/>
      <c r="Q122" s="942"/>
    </row>
    <row r="123" spans="1:17">
      <c r="A123" s="940"/>
      <c r="B123" s="940"/>
      <c r="C123" s="940"/>
      <c r="D123" s="940"/>
      <c r="E123" s="940"/>
      <c r="F123" s="941"/>
      <c r="G123" s="940"/>
      <c r="H123" s="940"/>
      <c r="I123" s="940"/>
      <c r="J123" s="940"/>
      <c r="K123" s="941"/>
      <c r="L123" s="941"/>
      <c r="M123" s="904"/>
      <c r="N123" s="940"/>
      <c r="O123" s="942"/>
      <c r="P123" s="942"/>
      <c r="Q123" s="942"/>
    </row>
    <row r="124" spans="1:17">
      <c r="A124" s="940"/>
      <c r="B124" s="940"/>
      <c r="C124" s="940"/>
      <c r="D124" s="940"/>
      <c r="E124" s="940"/>
      <c r="F124" s="941"/>
      <c r="G124" s="940"/>
      <c r="H124" s="940"/>
      <c r="I124" s="940"/>
      <c r="J124" s="940"/>
      <c r="K124" s="941"/>
      <c r="L124" s="941"/>
      <c r="M124" s="904"/>
      <c r="N124" s="940"/>
      <c r="O124" s="942"/>
      <c r="P124" s="942"/>
      <c r="Q124" s="942"/>
    </row>
    <row r="125" spans="1:17">
      <c r="A125" s="940"/>
      <c r="B125" s="940"/>
      <c r="C125" s="940"/>
      <c r="D125" s="940"/>
      <c r="E125" s="940"/>
      <c r="F125" s="941"/>
      <c r="G125" s="940"/>
      <c r="H125" s="940"/>
      <c r="I125" s="940"/>
      <c r="J125" s="940"/>
      <c r="K125" s="941"/>
      <c r="L125" s="941"/>
      <c r="M125" s="904"/>
      <c r="N125" s="940"/>
      <c r="O125" s="942"/>
      <c r="P125" s="942"/>
      <c r="Q125" s="942"/>
    </row>
    <row r="126" spans="1:17">
      <c r="A126" s="940"/>
      <c r="B126" s="940"/>
      <c r="C126" s="940"/>
      <c r="D126" s="940"/>
      <c r="E126" s="940"/>
      <c r="F126" s="941"/>
      <c r="G126" s="940"/>
      <c r="H126" s="940"/>
      <c r="I126" s="940"/>
      <c r="J126" s="940"/>
      <c r="K126" s="941"/>
      <c r="L126" s="941"/>
      <c r="M126" s="904"/>
      <c r="N126" s="940"/>
      <c r="O126" s="942"/>
      <c r="P126" s="942"/>
      <c r="Q126" s="942"/>
    </row>
    <row r="127" spans="1:17">
      <c r="A127" s="940"/>
      <c r="B127" s="940"/>
      <c r="C127" s="940"/>
      <c r="D127" s="940"/>
      <c r="E127" s="940"/>
      <c r="F127" s="941"/>
      <c r="G127" s="940"/>
      <c r="H127" s="940"/>
      <c r="I127" s="940"/>
      <c r="J127" s="940"/>
      <c r="K127" s="941"/>
      <c r="L127" s="941"/>
      <c r="M127" s="904"/>
      <c r="N127" s="940"/>
      <c r="O127" s="942"/>
      <c r="P127" s="942"/>
      <c r="Q127" s="942"/>
    </row>
    <row r="128" spans="1:17">
      <c r="A128" s="940"/>
      <c r="B128" s="940"/>
      <c r="C128" s="940"/>
      <c r="D128" s="940"/>
      <c r="E128" s="940"/>
      <c r="F128" s="941"/>
      <c r="G128" s="940"/>
      <c r="H128" s="940"/>
      <c r="I128" s="940"/>
      <c r="J128" s="940"/>
      <c r="K128" s="941"/>
      <c r="L128" s="941"/>
      <c r="M128" s="904"/>
      <c r="N128" s="940"/>
      <c r="O128" s="942"/>
      <c r="P128" s="942"/>
      <c r="Q128" s="942"/>
    </row>
    <row r="129" spans="1:17">
      <c r="A129" s="940"/>
      <c r="B129" s="940"/>
      <c r="C129" s="940"/>
      <c r="D129" s="940"/>
      <c r="E129" s="940"/>
      <c r="F129" s="941"/>
      <c r="G129" s="940"/>
      <c r="H129" s="940"/>
      <c r="I129" s="940"/>
      <c r="J129" s="940"/>
      <c r="K129" s="941"/>
      <c r="L129" s="941"/>
      <c r="M129" s="904"/>
      <c r="N129" s="940"/>
      <c r="O129" s="942"/>
      <c r="P129" s="942"/>
      <c r="Q129" s="942"/>
    </row>
    <row r="130" spans="1:17">
      <c r="A130" s="940"/>
      <c r="B130" s="940"/>
      <c r="C130" s="940"/>
      <c r="D130" s="940"/>
      <c r="E130" s="940"/>
      <c r="F130" s="941"/>
      <c r="G130" s="940"/>
      <c r="H130" s="940"/>
      <c r="I130" s="940"/>
      <c r="J130" s="940"/>
      <c r="K130" s="941"/>
      <c r="L130" s="941"/>
      <c r="M130" s="904"/>
      <c r="N130" s="940"/>
      <c r="O130" s="942"/>
      <c r="P130" s="942"/>
      <c r="Q130" s="942"/>
    </row>
    <row r="131" spans="1:17">
      <c r="A131" s="940"/>
      <c r="B131" s="940"/>
      <c r="C131" s="940"/>
      <c r="D131" s="940"/>
      <c r="E131" s="940"/>
      <c r="F131" s="941"/>
      <c r="G131" s="940"/>
      <c r="H131" s="940"/>
      <c r="I131" s="940"/>
      <c r="J131" s="940"/>
      <c r="K131" s="941"/>
      <c r="L131" s="941"/>
      <c r="M131" s="904"/>
      <c r="N131" s="940"/>
      <c r="O131" s="942"/>
      <c r="P131" s="942"/>
      <c r="Q131" s="942"/>
    </row>
    <row r="132" spans="1:17">
      <c r="A132" s="940"/>
      <c r="B132" s="940"/>
      <c r="C132" s="940"/>
      <c r="D132" s="940"/>
      <c r="E132" s="940"/>
      <c r="F132" s="941"/>
      <c r="G132" s="940"/>
      <c r="H132" s="940"/>
      <c r="I132" s="940"/>
      <c r="J132" s="940"/>
      <c r="K132" s="941"/>
      <c r="L132" s="941"/>
      <c r="M132" s="904"/>
      <c r="N132" s="940"/>
      <c r="O132" s="942"/>
      <c r="P132" s="942"/>
      <c r="Q132" s="942"/>
    </row>
    <row r="133" spans="1:17">
      <c r="A133" s="940"/>
      <c r="B133" s="940"/>
      <c r="C133" s="940"/>
      <c r="D133" s="940"/>
      <c r="E133" s="940"/>
      <c r="F133" s="941"/>
      <c r="G133" s="940"/>
      <c r="H133" s="940"/>
      <c r="I133" s="940"/>
      <c r="J133" s="940"/>
      <c r="K133" s="941"/>
      <c r="L133" s="941"/>
      <c r="M133" s="904"/>
      <c r="N133" s="940"/>
      <c r="O133" s="942"/>
      <c r="P133" s="942"/>
      <c r="Q133" s="942"/>
    </row>
    <row r="134" spans="1:17">
      <c r="A134" s="940"/>
      <c r="B134" s="940"/>
      <c r="C134" s="940"/>
      <c r="D134" s="940"/>
      <c r="E134" s="940"/>
      <c r="F134" s="941"/>
      <c r="G134" s="940"/>
      <c r="H134" s="940"/>
      <c r="I134" s="940"/>
      <c r="J134" s="940"/>
      <c r="K134" s="941"/>
      <c r="L134" s="941"/>
      <c r="M134" s="904"/>
      <c r="N134" s="940"/>
      <c r="O134" s="942"/>
      <c r="P134" s="942"/>
      <c r="Q134" s="942"/>
    </row>
    <row r="135" spans="1:17">
      <c r="A135" s="940"/>
      <c r="B135" s="940"/>
      <c r="C135" s="940"/>
      <c r="D135" s="940"/>
      <c r="E135" s="940"/>
      <c r="F135" s="941"/>
      <c r="G135" s="940"/>
      <c r="H135" s="940"/>
      <c r="I135" s="940"/>
      <c r="J135" s="940"/>
      <c r="K135" s="941"/>
      <c r="L135" s="941"/>
      <c r="M135" s="904"/>
      <c r="N135" s="940"/>
      <c r="O135" s="942"/>
      <c r="P135" s="942"/>
      <c r="Q135" s="942"/>
    </row>
    <row r="136" spans="1:17">
      <c r="A136" s="940"/>
      <c r="B136" s="940"/>
      <c r="C136" s="940"/>
      <c r="D136" s="940"/>
      <c r="E136" s="940"/>
      <c r="F136" s="941"/>
      <c r="G136" s="940"/>
      <c r="H136" s="940"/>
      <c r="I136" s="940"/>
      <c r="J136" s="940"/>
      <c r="K136" s="941"/>
      <c r="L136" s="941"/>
      <c r="M136" s="904"/>
      <c r="N136" s="940"/>
      <c r="O136" s="942"/>
      <c r="P136" s="942"/>
      <c r="Q136" s="942"/>
    </row>
    <row r="137" spans="1:17">
      <c r="A137" s="940"/>
      <c r="B137" s="940"/>
      <c r="C137" s="940"/>
      <c r="D137" s="940"/>
      <c r="E137" s="940"/>
      <c r="F137" s="941"/>
      <c r="G137" s="940"/>
      <c r="H137" s="940"/>
      <c r="I137" s="940"/>
      <c r="J137" s="940"/>
      <c r="K137" s="941"/>
      <c r="L137" s="941"/>
      <c r="M137" s="904"/>
      <c r="N137" s="940"/>
      <c r="O137" s="942"/>
      <c r="P137" s="942"/>
      <c r="Q137" s="942"/>
    </row>
    <row r="138" spans="1:17">
      <c r="A138" s="940"/>
      <c r="B138" s="940"/>
      <c r="C138" s="940"/>
      <c r="D138" s="940"/>
      <c r="E138" s="940"/>
      <c r="F138" s="941"/>
      <c r="G138" s="940"/>
      <c r="H138" s="940"/>
      <c r="I138" s="940"/>
      <c r="J138" s="940"/>
      <c r="K138" s="941"/>
      <c r="L138" s="941"/>
      <c r="M138" s="904"/>
      <c r="N138" s="940"/>
      <c r="O138" s="942"/>
      <c r="P138" s="942"/>
      <c r="Q138" s="942"/>
    </row>
    <row r="139" spans="1:17">
      <c r="A139" s="940"/>
      <c r="B139" s="940"/>
      <c r="C139" s="940"/>
      <c r="D139" s="940"/>
      <c r="E139" s="940"/>
      <c r="F139" s="941"/>
      <c r="G139" s="940"/>
      <c r="H139" s="940"/>
      <c r="I139" s="940"/>
      <c r="J139" s="940"/>
      <c r="K139" s="941"/>
      <c r="L139" s="941"/>
      <c r="M139" s="904"/>
      <c r="N139" s="940"/>
      <c r="O139" s="942"/>
      <c r="P139" s="942"/>
      <c r="Q139" s="942"/>
    </row>
    <row r="140" spans="1:17">
      <c r="A140" s="940"/>
      <c r="B140" s="940"/>
      <c r="C140" s="940"/>
      <c r="D140" s="940"/>
      <c r="E140" s="940"/>
      <c r="F140" s="941"/>
      <c r="G140" s="940"/>
      <c r="H140" s="940"/>
      <c r="I140" s="940"/>
      <c r="J140" s="940"/>
      <c r="K140" s="941"/>
      <c r="L140" s="941"/>
      <c r="M140" s="904"/>
      <c r="N140" s="940"/>
      <c r="O140" s="942"/>
      <c r="P140" s="942"/>
      <c r="Q140" s="942"/>
    </row>
    <row r="141" spans="1:17">
      <c r="A141" s="940"/>
      <c r="B141" s="940"/>
      <c r="C141" s="940"/>
      <c r="D141" s="940"/>
      <c r="E141" s="940"/>
      <c r="F141" s="941"/>
      <c r="G141" s="940"/>
      <c r="H141" s="940"/>
      <c r="I141" s="940"/>
      <c r="J141" s="940"/>
      <c r="K141" s="941"/>
      <c r="L141" s="941"/>
      <c r="M141" s="904"/>
      <c r="N141" s="940"/>
      <c r="O141" s="942"/>
      <c r="P141" s="942"/>
      <c r="Q141" s="942"/>
    </row>
    <row r="142" spans="1:17">
      <c r="A142" s="940"/>
      <c r="B142" s="940"/>
      <c r="C142" s="940"/>
      <c r="D142" s="940"/>
      <c r="E142" s="940"/>
      <c r="F142" s="941"/>
      <c r="G142" s="940"/>
      <c r="H142" s="940"/>
      <c r="I142" s="940"/>
      <c r="J142" s="940"/>
      <c r="K142" s="941"/>
      <c r="L142" s="941"/>
      <c r="M142" s="904"/>
      <c r="N142" s="940"/>
      <c r="O142" s="942"/>
      <c r="P142" s="942"/>
      <c r="Q142" s="942"/>
    </row>
    <row r="143" spans="1:17">
      <c r="A143" s="940"/>
      <c r="B143" s="940"/>
      <c r="C143" s="940"/>
      <c r="D143" s="940"/>
      <c r="E143" s="940"/>
      <c r="F143" s="941"/>
      <c r="G143" s="940"/>
      <c r="H143" s="940"/>
      <c r="I143" s="940"/>
      <c r="J143" s="940"/>
      <c r="K143" s="941"/>
      <c r="L143" s="941"/>
      <c r="M143" s="904"/>
      <c r="N143" s="940"/>
      <c r="O143" s="942"/>
      <c r="P143" s="942"/>
      <c r="Q143" s="942"/>
    </row>
    <row r="144" spans="1:17">
      <c r="A144" s="940"/>
      <c r="B144" s="940"/>
      <c r="C144" s="940"/>
      <c r="D144" s="940"/>
      <c r="E144" s="940"/>
      <c r="F144" s="941"/>
      <c r="G144" s="940"/>
      <c r="H144" s="940"/>
      <c r="I144" s="940"/>
      <c r="J144" s="940"/>
      <c r="K144" s="941"/>
      <c r="L144" s="941"/>
      <c r="M144" s="904"/>
      <c r="N144" s="940"/>
      <c r="O144" s="942"/>
      <c r="P144" s="942"/>
      <c r="Q144" s="942"/>
    </row>
    <row r="145" spans="1:17">
      <c r="A145" s="940"/>
      <c r="B145" s="940"/>
      <c r="C145" s="940"/>
      <c r="D145" s="940"/>
      <c r="E145" s="940"/>
      <c r="F145" s="941"/>
      <c r="G145" s="940"/>
      <c r="H145" s="940"/>
      <c r="I145" s="940"/>
      <c r="J145" s="940"/>
      <c r="K145" s="941"/>
      <c r="L145" s="941"/>
      <c r="M145" s="904"/>
      <c r="N145" s="940"/>
      <c r="O145" s="942"/>
      <c r="P145" s="942"/>
      <c r="Q145" s="942"/>
    </row>
    <row r="146" spans="1:17" ht="15" customHeight="1">
      <c r="A146" s="940"/>
      <c r="B146" s="940"/>
      <c r="C146" s="940"/>
      <c r="D146" s="940"/>
      <c r="E146" s="940"/>
      <c r="F146" s="941"/>
      <c r="G146" s="940"/>
      <c r="H146" s="940"/>
      <c r="I146" s="940"/>
      <c r="J146" s="940"/>
      <c r="K146" s="941"/>
      <c r="L146" s="941"/>
      <c r="M146" s="904"/>
      <c r="N146" s="940"/>
      <c r="O146" s="942"/>
      <c r="P146" s="942"/>
      <c r="Q146" s="942"/>
    </row>
    <row r="147" spans="1:17" ht="15.75" customHeight="1">
      <c r="A147" s="940"/>
      <c r="B147" s="940"/>
      <c r="C147" s="940"/>
      <c r="D147" s="940"/>
      <c r="E147" s="940"/>
      <c r="F147" s="941"/>
      <c r="G147" s="940"/>
      <c r="H147" s="940"/>
      <c r="I147" s="940"/>
      <c r="J147" s="940"/>
      <c r="K147" s="941"/>
      <c r="L147" s="941"/>
      <c r="M147" s="904"/>
      <c r="N147" s="940"/>
      <c r="O147" s="942"/>
      <c r="P147" s="942"/>
      <c r="Q147" s="942"/>
    </row>
    <row r="148" spans="1:17" ht="32.25" customHeight="1">
      <c r="A148" s="940"/>
      <c r="B148" s="940"/>
      <c r="C148" s="940"/>
      <c r="D148" s="940"/>
      <c r="E148" s="940"/>
      <c r="F148" s="941"/>
      <c r="G148" s="940"/>
      <c r="H148" s="940"/>
      <c r="I148" s="940"/>
      <c r="J148" s="940"/>
      <c r="K148" s="941"/>
      <c r="L148" s="941"/>
      <c r="M148" s="904"/>
      <c r="N148" s="940"/>
      <c r="O148" s="942"/>
      <c r="P148" s="942"/>
      <c r="Q148" s="942"/>
    </row>
    <row r="149" spans="1:17" ht="19.5" customHeight="1">
      <c r="A149" s="940"/>
      <c r="B149" s="940"/>
      <c r="C149" s="940"/>
      <c r="D149" s="940"/>
      <c r="E149" s="940"/>
      <c r="F149" s="941"/>
      <c r="G149" s="940"/>
      <c r="H149" s="940"/>
      <c r="I149" s="940"/>
      <c r="J149" s="940"/>
      <c r="K149" s="941"/>
      <c r="L149" s="941"/>
      <c r="M149" s="904"/>
      <c r="N149" s="940"/>
      <c r="O149" s="942"/>
      <c r="P149" s="942"/>
      <c r="Q149" s="942"/>
    </row>
    <row r="150" spans="1:17">
      <c r="A150" s="940"/>
      <c r="B150" s="940"/>
      <c r="C150" s="940"/>
      <c r="D150" s="940"/>
      <c r="E150" s="940"/>
      <c r="F150" s="941"/>
      <c r="G150" s="940"/>
      <c r="H150" s="940"/>
      <c r="I150" s="940"/>
      <c r="J150" s="940"/>
      <c r="K150" s="941"/>
      <c r="L150" s="941"/>
      <c r="M150" s="904"/>
      <c r="N150" s="940"/>
      <c r="O150" s="942"/>
      <c r="P150" s="942"/>
      <c r="Q150" s="942"/>
    </row>
    <row r="151" spans="1:17">
      <c r="A151" s="940"/>
      <c r="B151" s="940"/>
      <c r="C151" s="940"/>
      <c r="D151" s="940"/>
      <c r="E151" s="940"/>
      <c r="F151" s="941"/>
      <c r="G151" s="940"/>
      <c r="H151" s="940"/>
      <c r="I151" s="940"/>
      <c r="J151" s="940"/>
      <c r="K151" s="941"/>
      <c r="L151" s="941"/>
      <c r="M151" s="904"/>
      <c r="N151" s="940"/>
      <c r="O151" s="942"/>
      <c r="P151" s="942"/>
      <c r="Q151" s="942"/>
    </row>
    <row r="152" spans="1:17">
      <c r="A152" s="940"/>
      <c r="B152" s="940"/>
      <c r="C152" s="940"/>
      <c r="D152" s="940"/>
      <c r="E152" s="940"/>
      <c r="F152" s="941"/>
      <c r="G152" s="940"/>
      <c r="H152" s="940"/>
      <c r="I152" s="940"/>
      <c r="J152" s="940"/>
      <c r="K152" s="941"/>
      <c r="L152" s="941"/>
      <c r="M152" s="904"/>
      <c r="N152" s="940"/>
      <c r="O152" s="942"/>
      <c r="P152" s="942"/>
      <c r="Q152" s="942"/>
    </row>
    <row r="153" spans="1:17">
      <c r="A153" s="940"/>
      <c r="B153" s="940"/>
      <c r="C153" s="940"/>
      <c r="D153" s="940"/>
      <c r="E153" s="940"/>
      <c r="F153" s="941"/>
      <c r="G153" s="940"/>
      <c r="H153" s="940"/>
      <c r="I153" s="940"/>
      <c r="J153" s="940"/>
      <c r="K153" s="941"/>
      <c r="L153" s="941"/>
      <c r="M153" s="904"/>
      <c r="N153" s="940"/>
      <c r="O153" s="942"/>
      <c r="P153" s="942"/>
      <c r="Q153" s="942"/>
    </row>
    <row r="154" spans="1:17">
      <c r="A154" s="940"/>
      <c r="B154" s="940"/>
      <c r="C154" s="940"/>
      <c r="D154" s="940"/>
      <c r="E154" s="940"/>
      <c r="F154" s="941"/>
      <c r="G154" s="940"/>
      <c r="H154" s="940"/>
      <c r="I154" s="940"/>
      <c r="J154" s="940"/>
      <c r="K154" s="941"/>
      <c r="L154" s="941"/>
      <c r="M154" s="904"/>
      <c r="N154" s="940"/>
      <c r="O154" s="942"/>
      <c r="P154" s="942"/>
      <c r="Q154" s="942"/>
    </row>
    <row r="155" spans="1:17">
      <c r="A155" s="940"/>
      <c r="B155" s="940"/>
      <c r="C155" s="940"/>
      <c r="D155" s="940"/>
      <c r="E155" s="940"/>
      <c r="F155" s="941"/>
      <c r="G155" s="940"/>
      <c r="H155" s="940"/>
      <c r="I155" s="940"/>
      <c r="J155" s="940"/>
      <c r="K155" s="941"/>
      <c r="L155" s="941"/>
      <c r="M155" s="904"/>
      <c r="N155" s="940"/>
      <c r="O155" s="942"/>
      <c r="P155" s="942"/>
      <c r="Q155" s="942"/>
    </row>
    <row r="156" spans="1:17">
      <c r="A156" s="940"/>
      <c r="B156" s="940"/>
      <c r="C156" s="940"/>
      <c r="D156" s="940"/>
      <c r="E156" s="940"/>
      <c r="F156" s="941"/>
      <c r="G156" s="940"/>
      <c r="H156" s="940"/>
      <c r="I156" s="940"/>
      <c r="J156" s="940"/>
      <c r="K156" s="941"/>
      <c r="L156" s="941"/>
      <c r="M156" s="904"/>
      <c r="N156" s="940"/>
      <c r="O156" s="942"/>
      <c r="P156" s="942"/>
      <c r="Q156" s="942"/>
    </row>
  </sheetData>
  <mergeCells count="13">
    <mergeCell ref="A59:Q59"/>
    <mergeCell ref="A4:I6"/>
    <mergeCell ref="J4:M5"/>
    <mergeCell ref="N4:N6"/>
    <mergeCell ref="O4:O5"/>
    <mergeCell ref="P4:P5"/>
    <mergeCell ref="Q4:Q5"/>
    <mergeCell ref="O6:Q6"/>
    <mergeCell ref="A7:Q7"/>
    <mergeCell ref="A8:Q8"/>
    <mergeCell ref="A9:Q9"/>
    <mergeCell ref="A10:Q10"/>
    <mergeCell ref="A58:Q58"/>
  </mergeCells>
  <hyperlinks>
    <hyperlink ref="A1:I1" location="Главная!A1" display="Вернуться на главную страницу" xr:uid="{B8AFE9B9-57E1-4872-BDA8-7335840096DD}"/>
    <hyperlink ref="A2" location="'Калькулятор теплоотдач ВКВ'!R1C1" display="Вернуться Калькулятор теплоотдач ВКВ" xr:uid="{F69FA627-E9FA-4CF4-B6CA-CB16F3202E3F}"/>
  </hyperlink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CECF0-CDB4-4199-9899-2D0504BE8863}">
  <sheetPr>
    <tabColor theme="7" tint="-0.499984740745262"/>
  </sheetPr>
  <dimension ref="A1:S48"/>
  <sheetViews>
    <sheetView zoomScale="70" zoomScaleNormal="70" workbookViewId="0">
      <selection activeCell="Y8" sqref="Y8"/>
    </sheetView>
  </sheetViews>
  <sheetFormatPr defaultRowHeight="15"/>
  <cols>
    <col min="1" max="1" width="7" customWidth="1"/>
    <col min="2" max="2" width="6" customWidth="1"/>
    <col min="3" max="3" width="3" customWidth="1"/>
    <col min="4" max="4" width="6" customWidth="1"/>
    <col min="5" max="5" width="3" customWidth="1"/>
    <col min="6" max="6" width="7.7109375" customWidth="1"/>
    <col min="7" max="7" width="3" customWidth="1"/>
    <col min="8" max="8" width="6" customWidth="1"/>
    <col min="9" max="9" width="8.140625" customWidth="1"/>
    <col min="10" max="12" width="11.28515625" customWidth="1"/>
    <col min="13" max="13" width="27.7109375" customWidth="1"/>
    <col min="14" max="14" width="19.140625" customWidth="1"/>
    <col min="15" max="17" width="28.7109375" customWidth="1"/>
    <col min="19" max="19" width="31.28515625" customWidth="1"/>
  </cols>
  <sheetData>
    <row r="1" spans="1:19" s="65" customFormat="1" ht="15.75">
      <c r="A1" s="2057" t="s">
        <v>9</v>
      </c>
      <c r="B1" s="2057"/>
      <c r="C1" s="2057"/>
      <c r="D1" s="2057"/>
      <c r="E1" s="2057"/>
      <c r="F1" s="88"/>
      <c r="G1" s="2057"/>
      <c r="H1" s="2057"/>
      <c r="I1" s="2057"/>
      <c r="J1" s="7"/>
      <c r="K1" s="87"/>
      <c r="L1" s="87"/>
      <c r="M1" s="1"/>
      <c r="N1" s="7"/>
      <c r="O1" s="112"/>
      <c r="P1" s="112"/>
      <c r="Q1" s="112"/>
    </row>
    <row r="2" spans="1:19" s="65" customFormat="1" ht="16.5" thickBot="1">
      <c r="A2" s="895" t="s">
        <v>7698</v>
      </c>
      <c r="B2" s="2057"/>
      <c r="C2" s="2057"/>
      <c r="D2" s="2057"/>
      <c r="E2" s="2057"/>
      <c r="F2" s="88"/>
      <c r="G2" s="2057"/>
      <c r="H2" s="2057"/>
      <c r="I2" s="2057"/>
      <c r="J2" s="7"/>
      <c r="K2" s="87"/>
      <c r="L2" s="87"/>
      <c r="M2" s="140"/>
      <c r="N2" s="7"/>
      <c r="O2" s="107"/>
      <c r="P2" s="107"/>
      <c r="Q2" s="107"/>
    </row>
    <row r="3" spans="1:19" ht="78" customHeight="1">
      <c r="A3" s="3138" t="s">
        <v>8</v>
      </c>
      <c r="B3" s="3139"/>
      <c r="C3" s="3139"/>
      <c r="D3" s="3139"/>
      <c r="E3" s="3139"/>
      <c r="F3" s="3139"/>
      <c r="G3" s="3139"/>
      <c r="H3" s="3139"/>
      <c r="I3" s="3140"/>
      <c r="J3" s="3147" t="s">
        <v>78</v>
      </c>
      <c r="K3" s="3148"/>
      <c r="L3" s="3148"/>
      <c r="M3" s="3149"/>
      <c r="N3" s="3153" t="s">
        <v>77</v>
      </c>
      <c r="O3" s="3156" t="s">
        <v>7703</v>
      </c>
      <c r="P3" s="3156" t="s">
        <v>7704</v>
      </c>
      <c r="Q3" s="3156" t="s">
        <v>7705</v>
      </c>
      <c r="R3" s="65"/>
      <c r="S3" s="65"/>
    </row>
    <row r="4" spans="1:19" ht="78" customHeight="1" thickBot="1">
      <c r="A4" s="3141"/>
      <c r="B4" s="3142"/>
      <c r="C4" s="3142"/>
      <c r="D4" s="3142"/>
      <c r="E4" s="3142"/>
      <c r="F4" s="3142"/>
      <c r="G4" s="3142"/>
      <c r="H4" s="3142"/>
      <c r="I4" s="3143"/>
      <c r="J4" s="3150"/>
      <c r="K4" s="3151"/>
      <c r="L4" s="3151"/>
      <c r="M4" s="3152"/>
      <c r="N4" s="3154"/>
      <c r="O4" s="3157"/>
      <c r="P4" s="3158"/>
      <c r="Q4" s="3157"/>
      <c r="R4" s="65"/>
      <c r="S4" s="65"/>
    </row>
    <row r="5" spans="1:19" ht="111" customHeight="1" thickBot="1">
      <c r="A5" s="3144"/>
      <c r="B5" s="3145"/>
      <c r="C5" s="3145"/>
      <c r="D5" s="3145"/>
      <c r="E5" s="3145"/>
      <c r="F5" s="3145"/>
      <c r="G5" s="3145"/>
      <c r="H5" s="3145"/>
      <c r="I5" s="3146"/>
      <c r="J5" s="236" t="s">
        <v>0</v>
      </c>
      <c r="K5" s="241" t="s">
        <v>1</v>
      </c>
      <c r="L5" s="241" t="s">
        <v>2</v>
      </c>
      <c r="M5" s="242" t="s">
        <v>75</v>
      </c>
      <c r="N5" s="3155"/>
      <c r="O5" s="3159" t="s">
        <v>141</v>
      </c>
      <c r="P5" s="3160"/>
      <c r="Q5" s="3161"/>
      <c r="R5" s="65"/>
      <c r="S5" s="65"/>
    </row>
    <row r="6" spans="1:19" ht="19.5" customHeight="1" thickBot="1">
      <c r="A6" s="2986" t="s">
        <v>478</v>
      </c>
      <c r="B6" s="2987"/>
      <c r="C6" s="2987"/>
      <c r="D6" s="2987"/>
      <c r="E6" s="2987"/>
      <c r="F6" s="2987"/>
      <c r="G6" s="2987"/>
      <c r="H6" s="2987"/>
      <c r="I6" s="2987"/>
      <c r="J6" s="2987"/>
      <c r="K6" s="2987"/>
      <c r="L6" s="2987"/>
      <c r="M6" s="2987"/>
      <c r="N6" s="2987"/>
      <c r="O6" s="2987"/>
      <c r="P6" s="2987"/>
      <c r="Q6" s="2988"/>
      <c r="R6" s="65"/>
      <c r="S6" s="65"/>
    </row>
    <row r="7" spans="1:19" ht="19.5" thickBot="1">
      <c r="A7" s="2968" t="s">
        <v>7706</v>
      </c>
      <c r="B7" s="2969"/>
      <c r="C7" s="2969"/>
      <c r="D7" s="2969"/>
      <c r="E7" s="2969"/>
      <c r="F7" s="2969"/>
      <c r="G7" s="2969"/>
      <c r="H7" s="2969"/>
      <c r="I7" s="2969"/>
      <c r="J7" s="2969"/>
      <c r="K7" s="2969"/>
      <c r="L7" s="2969"/>
      <c r="M7" s="2969"/>
      <c r="N7" s="2969"/>
      <c r="O7" s="2969"/>
      <c r="P7" s="2969"/>
      <c r="Q7" s="2970"/>
      <c r="R7" s="65"/>
      <c r="S7" s="65"/>
    </row>
    <row r="8" spans="1:19" ht="16.5" thickBot="1">
      <c r="A8" s="2974" t="s">
        <v>112</v>
      </c>
      <c r="B8" s="2975"/>
      <c r="C8" s="2975"/>
      <c r="D8" s="2975"/>
      <c r="E8" s="2975"/>
      <c r="F8" s="2975"/>
      <c r="G8" s="2975"/>
      <c r="H8" s="2975"/>
      <c r="I8" s="2975"/>
      <c r="J8" s="2975"/>
      <c r="K8" s="2975"/>
      <c r="L8" s="2975"/>
      <c r="M8" s="2975"/>
      <c r="N8" s="2975"/>
      <c r="O8" s="2975"/>
      <c r="P8" s="2975"/>
      <c r="Q8" s="2976"/>
      <c r="R8" s="65"/>
      <c r="S8" s="65"/>
    </row>
    <row r="9" spans="1:19" ht="16.5" thickBot="1">
      <c r="A9" s="2059" t="s">
        <v>61</v>
      </c>
      <c r="B9" s="119">
        <v>90</v>
      </c>
      <c r="C9" s="119" t="s">
        <v>3</v>
      </c>
      <c r="D9" s="119">
        <v>290</v>
      </c>
      <c r="E9" s="119" t="s">
        <v>3</v>
      </c>
      <c r="F9" s="137">
        <v>900</v>
      </c>
      <c r="G9" s="119" t="s">
        <v>3</v>
      </c>
      <c r="H9" s="119">
        <v>2</v>
      </c>
      <c r="I9" s="2060" t="s">
        <v>529</v>
      </c>
      <c r="J9" s="146">
        <v>90</v>
      </c>
      <c r="K9" s="122">
        <v>290</v>
      </c>
      <c r="L9" s="122">
        <v>900</v>
      </c>
      <c r="M9" s="2061">
        <v>22.387410300375002</v>
      </c>
      <c r="N9" s="123">
        <v>1385.9603457702588</v>
      </c>
      <c r="O9" s="124">
        <v>36702.091392993876</v>
      </c>
      <c r="P9" s="124">
        <v>17895.947560284243</v>
      </c>
      <c r="Q9" s="124">
        <v>54598.038800249349</v>
      </c>
      <c r="R9" s="65"/>
      <c r="S9" s="7" t="s">
        <v>7707</v>
      </c>
    </row>
    <row r="10" spans="1:19" ht="16.5" thickBot="1">
      <c r="A10" s="2059" t="s">
        <v>61</v>
      </c>
      <c r="B10" s="119">
        <v>90</v>
      </c>
      <c r="C10" s="119" t="s">
        <v>3</v>
      </c>
      <c r="D10" s="119">
        <v>290</v>
      </c>
      <c r="E10" s="119" t="s">
        <v>3</v>
      </c>
      <c r="F10" s="118">
        <v>1000</v>
      </c>
      <c r="G10" s="119" t="s">
        <v>3</v>
      </c>
      <c r="H10" s="117">
        <v>2</v>
      </c>
      <c r="I10" s="2060" t="s">
        <v>529</v>
      </c>
      <c r="J10" s="149">
        <v>90</v>
      </c>
      <c r="K10" s="66">
        <v>290</v>
      </c>
      <c r="L10" s="66">
        <v>1000</v>
      </c>
      <c r="M10" s="2062">
        <v>24.780752016135001</v>
      </c>
      <c r="N10" s="78">
        <v>1637.9531359103057</v>
      </c>
      <c r="O10" s="113">
        <v>39448.624124279653</v>
      </c>
      <c r="P10" s="113">
        <v>19915.712713605535</v>
      </c>
      <c r="Q10" s="113">
        <v>59364.336837885196</v>
      </c>
      <c r="R10" s="65"/>
      <c r="S10" s="7" t="s">
        <v>7708</v>
      </c>
    </row>
    <row r="11" spans="1:19" ht="16.5" thickBot="1">
      <c r="A11" s="2059" t="s">
        <v>61</v>
      </c>
      <c r="B11" s="119">
        <v>90</v>
      </c>
      <c r="C11" s="119" t="s">
        <v>3</v>
      </c>
      <c r="D11" s="119">
        <v>290</v>
      </c>
      <c r="E11" s="119" t="s">
        <v>3</v>
      </c>
      <c r="F11" s="118">
        <v>1250</v>
      </c>
      <c r="G11" s="119" t="s">
        <v>3</v>
      </c>
      <c r="H11" s="117">
        <v>2</v>
      </c>
      <c r="I11" s="2060" t="s">
        <v>529</v>
      </c>
      <c r="J11" s="149">
        <v>90</v>
      </c>
      <c r="K11" s="66">
        <v>290</v>
      </c>
      <c r="L11" s="66">
        <v>1250</v>
      </c>
      <c r="M11" s="2062">
        <v>30.803356305534997</v>
      </c>
      <c r="N11" s="78">
        <v>2267.9351112604236</v>
      </c>
      <c r="O11" s="113">
        <v>51856.327546266366</v>
      </c>
      <c r="P11" s="113">
        <v>24260.277859260797</v>
      </c>
      <c r="Q11" s="113">
        <v>76116.605405527167</v>
      </c>
      <c r="R11" s="65"/>
      <c r="S11" s="7" t="s">
        <v>7709</v>
      </c>
    </row>
    <row r="12" spans="1:19" ht="16.5" thickBot="1">
      <c r="A12" s="2059" t="s">
        <v>61</v>
      </c>
      <c r="B12" s="119">
        <v>90</v>
      </c>
      <c r="C12" s="119" t="s">
        <v>3</v>
      </c>
      <c r="D12" s="119">
        <v>290</v>
      </c>
      <c r="E12" s="119" t="s">
        <v>3</v>
      </c>
      <c r="F12" s="118">
        <v>1500</v>
      </c>
      <c r="G12" s="119" t="s">
        <v>3</v>
      </c>
      <c r="H12" s="117">
        <v>2</v>
      </c>
      <c r="I12" s="2060" t="s">
        <v>529</v>
      </c>
      <c r="J12" s="151">
        <v>90</v>
      </c>
      <c r="K12" s="126">
        <v>290</v>
      </c>
      <c r="L12" s="126">
        <v>1500</v>
      </c>
      <c r="M12" s="2063">
        <v>36.930201061494998</v>
      </c>
      <c r="N12" s="127">
        <v>2897.9170866105414</v>
      </c>
      <c r="O12" s="128">
        <v>63419.047138941882</v>
      </c>
      <c r="P12" s="128">
        <v>28886.782130580999</v>
      </c>
      <c r="Q12" s="128">
        <v>92305.829422551658</v>
      </c>
      <c r="R12" s="65"/>
      <c r="S12" s="7" t="s">
        <v>7710</v>
      </c>
    </row>
    <row r="13" spans="1:19" ht="15.75">
      <c r="A13" s="940"/>
      <c r="B13" s="940"/>
      <c r="C13" s="940"/>
      <c r="D13" s="940"/>
      <c r="E13" s="940"/>
      <c r="F13" s="941"/>
      <c r="G13" s="940"/>
      <c r="H13" s="940"/>
      <c r="I13" s="940"/>
      <c r="J13" s="940"/>
      <c r="K13" s="941"/>
      <c r="L13" s="941"/>
      <c r="M13" s="904"/>
      <c r="N13" s="940"/>
      <c r="O13" s="942"/>
      <c r="P13" s="942"/>
      <c r="Q13" s="942"/>
      <c r="R13" s="2058"/>
      <c r="S13" s="2058"/>
    </row>
    <row r="14" spans="1:19" ht="15.75">
      <c r="A14" s="940"/>
      <c r="B14" s="940"/>
      <c r="C14" s="940"/>
      <c r="D14" s="940"/>
      <c r="E14" s="940"/>
      <c r="F14" s="941"/>
      <c r="G14" s="940"/>
      <c r="H14" s="940"/>
      <c r="I14" s="940"/>
      <c r="J14" s="940"/>
      <c r="K14" s="941"/>
      <c r="L14" s="941"/>
      <c r="M14" s="904"/>
      <c r="N14" s="940"/>
      <c r="O14" s="942"/>
      <c r="P14" s="942"/>
      <c r="Q14" s="942"/>
      <c r="R14" s="2058"/>
      <c r="S14" s="2058"/>
    </row>
    <row r="15" spans="1:19" ht="15.75">
      <c r="A15" s="940"/>
      <c r="B15" s="940"/>
      <c r="C15" s="940"/>
      <c r="D15" s="940"/>
      <c r="E15" s="940"/>
      <c r="F15" s="941"/>
      <c r="G15" s="940"/>
      <c r="H15" s="940"/>
      <c r="I15" s="940"/>
      <c r="J15" s="940"/>
      <c r="K15" s="941"/>
      <c r="L15" s="941"/>
      <c r="M15" s="904"/>
      <c r="N15" s="940"/>
      <c r="O15" s="942"/>
      <c r="P15" s="942"/>
      <c r="Q15" s="942"/>
      <c r="R15" s="2058"/>
      <c r="S15" s="2058"/>
    </row>
    <row r="16" spans="1:19" ht="15.75">
      <c r="A16" s="940"/>
      <c r="B16" s="940"/>
      <c r="C16" s="940"/>
      <c r="D16" s="940"/>
      <c r="E16" s="940"/>
      <c r="F16" s="941"/>
      <c r="G16" s="940"/>
      <c r="H16" s="940"/>
      <c r="I16" s="940"/>
      <c r="J16" s="940"/>
      <c r="K16" s="941"/>
      <c r="L16" s="941"/>
      <c r="M16" s="904"/>
      <c r="N16" s="940"/>
      <c r="O16" s="942"/>
      <c r="P16" s="942"/>
      <c r="Q16" s="942"/>
      <c r="R16" s="2058"/>
      <c r="S16" s="2058"/>
    </row>
    <row r="17" spans="1:19" ht="15.75">
      <c r="A17" s="940"/>
      <c r="B17" s="940"/>
      <c r="C17" s="940"/>
      <c r="D17" s="940"/>
      <c r="E17" s="940"/>
      <c r="F17" s="941"/>
      <c r="G17" s="940"/>
      <c r="H17" s="940"/>
      <c r="I17" s="940"/>
      <c r="J17" s="940"/>
      <c r="K17" s="941"/>
      <c r="L17" s="941"/>
      <c r="M17" s="904"/>
      <c r="N17" s="940"/>
      <c r="O17" s="942"/>
      <c r="P17" s="942"/>
      <c r="Q17" s="942"/>
      <c r="R17" s="2058"/>
      <c r="S17" s="2058"/>
    </row>
    <row r="18" spans="1:19" ht="15.75">
      <c r="A18" s="940"/>
      <c r="B18" s="940"/>
      <c r="C18" s="940"/>
      <c r="D18" s="940"/>
      <c r="E18" s="940"/>
      <c r="F18" s="941"/>
      <c r="G18" s="940"/>
      <c r="H18" s="940"/>
      <c r="I18" s="940"/>
      <c r="J18" s="940"/>
      <c r="K18" s="941"/>
      <c r="L18" s="941"/>
      <c r="M18" s="904"/>
      <c r="N18" s="940"/>
      <c r="O18" s="942"/>
      <c r="P18" s="942"/>
      <c r="Q18" s="942"/>
      <c r="R18" s="2058"/>
      <c r="S18" s="2058"/>
    </row>
    <row r="19" spans="1:19" ht="15.75">
      <c r="A19" s="940"/>
      <c r="B19" s="940"/>
      <c r="C19" s="940"/>
      <c r="D19" s="940"/>
      <c r="E19" s="940"/>
      <c r="F19" s="941"/>
      <c r="G19" s="940"/>
      <c r="H19" s="940"/>
      <c r="I19" s="940"/>
      <c r="J19" s="940"/>
      <c r="K19" s="941"/>
      <c r="L19" s="941"/>
      <c r="M19" s="904"/>
      <c r="N19" s="940"/>
      <c r="O19" s="942"/>
      <c r="P19" s="942"/>
      <c r="Q19" s="942"/>
      <c r="R19" s="2058"/>
      <c r="S19" s="2058"/>
    </row>
    <row r="20" spans="1:19" ht="15.75">
      <c r="A20" s="940"/>
      <c r="B20" s="940"/>
      <c r="C20" s="940"/>
      <c r="D20" s="940"/>
      <c r="E20" s="940"/>
      <c r="F20" s="941"/>
      <c r="G20" s="940"/>
      <c r="H20" s="940"/>
      <c r="I20" s="940"/>
      <c r="J20" s="940"/>
      <c r="K20" s="941"/>
      <c r="L20" s="941"/>
      <c r="M20" s="904"/>
      <c r="N20" s="940"/>
      <c r="O20" s="942"/>
      <c r="P20" s="942"/>
      <c r="Q20" s="942"/>
      <c r="R20" s="2058"/>
      <c r="S20" s="2058"/>
    </row>
    <row r="21" spans="1:19" ht="15.75">
      <c r="A21" s="940"/>
      <c r="B21" s="940"/>
      <c r="C21" s="940"/>
      <c r="D21" s="940"/>
      <c r="E21" s="940"/>
      <c r="F21" s="941"/>
      <c r="G21" s="940"/>
      <c r="H21" s="940"/>
      <c r="I21" s="940"/>
      <c r="J21" s="940"/>
      <c r="K21" s="941"/>
      <c r="L21" s="941"/>
      <c r="M21" s="904"/>
      <c r="N21" s="940"/>
      <c r="O21" s="942"/>
      <c r="P21" s="942"/>
      <c r="Q21" s="942"/>
      <c r="R21" s="2058"/>
      <c r="S21" s="2058"/>
    </row>
    <row r="22" spans="1:19" ht="15.75">
      <c r="A22" s="940"/>
      <c r="B22" s="940"/>
      <c r="C22" s="940"/>
      <c r="D22" s="940"/>
      <c r="E22" s="940"/>
      <c r="F22" s="941"/>
      <c r="G22" s="940"/>
      <c r="H22" s="940"/>
      <c r="I22" s="940"/>
      <c r="J22" s="940"/>
      <c r="K22" s="941"/>
      <c r="L22" s="941"/>
      <c r="M22" s="904"/>
      <c r="N22" s="940"/>
      <c r="O22" s="942"/>
      <c r="P22" s="942"/>
      <c r="Q22" s="942"/>
      <c r="R22" s="2058"/>
      <c r="S22" s="2058"/>
    </row>
    <row r="23" spans="1:19" ht="15.75">
      <c r="A23" s="940"/>
      <c r="B23" s="940"/>
      <c r="C23" s="940"/>
      <c r="D23" s="940"/>
      <c r="E23" s="940"/>
      <c r="F23" s="941"/>
      <c r="G23" s="940"/>
      <c r="H23" s="940"/>
      <c r="I23" s="940"/>
      <c r="J23" s="940"/>
      <c r="K23" s="941"/>
      <c r="L23" s="941"/>
      <c r="M23" s="904"/>
      <c r="N23" s="940"/>
      <c r="O23" s="942"/>
      <c r="P23" s="942"/>
      <c r="Q23" s="942"/>
      <c r="R23" s="2058"/>
      <c r="S23" s="2058"/>
    </row>
    <row r="24" spans="1:19" ht="15.75">
      <c r="A24" s="940"/>
      <c r="B24" s="940"/>
      <c r="C24" s="940"/>
      <c r="D24" s="940"/>
      <c r="E24" s="940"/>
      <c r="F24" s="941"/>
      <c r="G24" s="940"/>
      <c r="H24" s="940"/>
      <c r="I24" s="940"/>
      <c r="J24" s="940"/>
      <c r="K24" s="941"/>
      <c r="L24" s="941"/>
      <c r="M24" s="904"/>
      <c r="N24" s="940"/>
      <c r="O24" s="942"/>
      <c r="P24" s="942"/>
      <c r="Q24" s="942"/>
      <c r="R24" s="2058"/>
      <c r="S24" s="2058"/>
    </row>
    <row r="25" spans="1:19" ht="15.75">
      <c r="A25" s="940"/>
      <c r="B25" s="940"/>
      <c r="C25" s="940"/>
      <c r="D25" s="940"/>
      <c r="E25" s="940"/>
      <c r="F25" s="941"/>
      <c r="G25" s="940"/>
      <c r="H25" s="940"/>
      <c r="I25" s="940"/>
      <c r="J25" s="940"/>
      <c r="K25" s="941"/>
      <c r="L25" s="941"/>
      <c r="M25" s="904"/>
      <c r="N25" s="940"/>
      <c r="O25" s="942"/>
      <c r="P25" s="942"/>
      <c r="Q25" s="942"/>
      <c r="R25" s="2058"/>
      <c r="S25" s="2058"/>
    </row>
    <row r="26" spans="1:19" ht="15.75">
      <c r="A26" s="940"/>
      <c r="B26" s="940"/>
      <c r="C26" s="940"/>
      <c r="D26" s="940"/>
      <c r="E26" s="940"/>
      <c r="F26" s="941"/>
      <c r="G26" s="940"/>
      <c r="H26" s="940"/>
      <c r="I26" s="940"/>
      <c r="J26" s="940"/>
      <c r="K26" s="941"/>
      <c r="L26" s="941"/>
      <c r="M26" s="904"/>
      <c r="N26" s="940"/>
      <c r="O26" s="942"/>
      <c r="P26" s="942"/>
      <c r="Q26" s="942"/>
      <c r="R26" s="2058"/>
      <c r="S26" s="2058"/>
    </row>
    <row r="27" spans="1:19" ht="15.75">
      <c r="A27" s="940"/>
      <c r="B27" s="940"/>
      <c r="C27" s="940"/>
      <c r="D27" s="940"/>
      <c r="E27" s="940"/>
      <c r="F27" s="941"/>
      <c r="G27" s="940"/>
      <c r="H27" s="940"/>
      <c r="I27" s="940"/>
      <c r="J27" s="940"/>
      <c r="K27" s="941"/>
      <c r="L27" s="941"/>
      <c r="M27" s="904"/>
      <c r="N27" s="940"/>
      <c r="O27" s="942"/>
      <c r="P27" s="942"/>
      <c r="Q27" s="942"/>
      <c r="R27" s="2058"/>
      <c r="S27" s="2058"/>
    </row>
    <row r="28" spans="1:19" ht="15.75">
      <c r="A28" s="940"/>
      <c r="B28" s="940"/>
      <c r="C28" s="940"/>
      <c r="D28" s="940"/>
      <c r="E28" s="940"/>
      <c r="F28" s="941"/>
      <c r="G28" s="940"/>
      <c r="H28" s="940"/>
      <c r="I28" s="940"/>
      <c r="J28" s="940"/>
      <c r="K28" s="941"/>
      <c r="L28" s="941"/>
      <c r="M28" s="904"/>
      <c r="N28" s="940"/>
      <c r="O28" s="942"/>
      <c r="P28" s="942"/>
      <c r="Q28" s="942"/>
      <c r="R28" s="2058"/>
      <c r="S28" s="2058"/>
    </row>
    <row r="29" spans="1:19" ht="15.75">
      <c r="A29" s="940"/>
      <c r="B29" s="940"/>
      <c r="C29" s="940"/>
      <c r="D29" s="940"/>
      <c r="E29" s="940"/>
      <c r="F29" s="941"/>
      <c r="G29" s="940"/>
      <c r="H29" s="940"/>
      <c r="I29" s="940"/>
      <c r="J29" s="940"/>
      <c r="K29" s="941"/>
      <c r="L29" s="941"/>
      <c r="M29" s="904"/>
      <c r="N29" s="940"/>
      <c r="O29" s="942"/>
      <c r="P29" s="942"/>
      <c r="Q29" s="942"/>
      <c r="R29" s="2058"/>
      <c r="S29" s="2058"/>
    </row>
    <row r="30" spans="1:19" ht="15.75">
      <c r="A30" s="940"/>
      <c r="B30" s="940"/>
      <c r="C30" s="940"/>
      <c r="D30" s="940"/>
      <c r="E30" s="940"/>
      <c r="F30" s="941"/>
      <c r="G30" s="940"/>
      <c r="H30" s="940"/>
      <c r="I30" s="940"/>
      <c r="J30" s="940"/>
      <c r="K30" s="941"/>
      <c r="L30" s="941"/>
      <c r="M30" s="904"/>
      <c r="N30" s="940"/>
      <c r="O30" s="942"/>
      <c r="P30" s="942"/>
      <c r="Q30" s="942"/>
      <c r="R30" s="2058"/>
      <c r="S30" s="2058"/>
    </row>
    <row r="31" spans="1:19" ht="15.75">
      <c r="A31" s="940"/>
      <c r="B31" s="940"/>
      <c r="C31" s="940"/>
      <c r="D31" s="940"/>
      <c r="E31" s="940"/>
      <c r="F31" s="941"/>
      <c r="G31" s="940"/>
      <c r="H31" s="940"/>
      <c r="I31" s="940"/>
      <c r="J31" s="940"/>
      <c r="K31" s="941"/>
      <c r="L31" s="941"/>
      <c r="M31" s="904"/>
      <c r="N31" s="940"/>
      <c r="O31" s="942"/>
      <c r="P31" s="942"/>
      <c r="Q31" s="942"/>
      <c r="R31" s="2058"/>
      <c r="S31" s="2058"/>
    </row>
    <row r="32" spans="1:19" ht="15.75">
      <c r="A32" s="940"/>
      <c r="B32" s="940"/>
      <c r="C32" s="940"/>
      <c r="D32" s="940"/>
      <c r="E32" s="940"/>
      <c r="F32" s="941"/>
      <c r="G32" s="940"/>
      <c r="H32" s="940"/>
      <c r="I32" s="940"/>
      <c r="J32" s="940"/>
      <c r="K32" s="941"/>
      <c r="L32" s="941"/>
      <c r="M32" s="904"/>
      <c r="N32" s="940"/>
      <c r="O32" s="942"/>
      <c r="P32" s="942"/>
      <c r="Q32" s="942"/>
      <c r="R32" s="2058"/>
      <c r="S32" s="2058"/>
    </row>
    <row r="33" spans="1:19" ht="15.75">
      <c r="A33" s="940"/>
      <c r="B33" s="940"/>
      <c r="C33" s="940"/>
      <c r="D33" s="940"/>
      <c r="E33" s="940"/>
      <c r="F33" s="941"/>
      <c r="G33" s="940"/>
      <c r="H33" s="940"/>
      <c r="I33" s="940"/>
      <c r="J33" s="940"/>
      <c r="K33" s="941"/>
      <c r="L33" s="941"/>
      <c r="M33" s="904"/>
      <c r="N33" s="940"/>
      <c r="O33" s="942"/>
      <c r="P33" s="942"/>
      <c r="Q33" s="942"/>
      <c r="R33" s="2058"/>
      <c r="S33" s="2058"/>
    </row>
    <row r="34" spans="1:19" ht="15.75">
      <c r="A34" s="940"/>
      <c r="B34" s="940"/>
      <c r="C34" s="940"/>
      <c r="D34" s="940"/>
      <c r="E34" s="940"/>
      <c r="F34" s="941"/>
      <c r="G34" s="940"/>
      <c r="H34" s="940"/>
      <c r="I34" s="940"/>
      <c r="J34" s="940"/>
      <c r="K34" s="941"/>
      <c r="L34" s="941"/>
      <c r="M34" s="904"/>
      <c r="N34" s="940"/>
      <c r="O34" s="942"/>
      <c r="P34" s="942"/>
      <c r="Q34" s="942"/>
      <c r="R34" s="2058"/>
      <c r="S34" s="2058"/>
    </row>
    <row r="35" spans="1:19" ht="15.75">
      <c r="A35" s="940"/>
      <c r="B35" s="940"/>
      <c r="C35" s="940"/>
      <c r="D35" s="940"/>
      <c r="E35" s="940"/>
      <c r="F35" s="941"/>
      <c r="G35" s="940"/>
      <c r="H35" s="940"/>
      <c r="I35" s="940"/>
      <c r="J35" s="940"/>
      <c r="K35" s="941"/>
      <c r="L35" s="941"/>
      <c r="M35" s="904"/>
      <c r="N35" s="940"/>
      <c r="O35" s="942"/>
      <c r="P35" s="942"/>
      <c r="Q35" s="942"/>
      <c r="R35" s="2058"/>
      <c r="S35" s="2058"/>
    </row>
    <row r="36" spans="1:19" ht="15.75">
      <c r="A36" s="940"/>
      <c r="B36" s="940"/>
      <c r="C36" s="940"/>
      <c r="D36" s="940"/>
      <c r="E36" s="940"/>
      <c r="F36" s="941"/>
      <c r="G36" s="940"/>
      <c r="H36" s="940"/>
      <c r="I36" s="940"/>
      <c r="J36" s="940"/>
      <c r="K36" s="941"/>
      <c r="L36" s="941"/>
      <c r="M36" s="904"/>
      <c r="N36" s="940"/>
      <c r="O36" s="942"/>
      <c r="P36" s="942"/>
      <c r="Q36" s="942"/>
      <c r="R36" s="2058"/>
      <c r="S36" s="2058"/>
    </row>
    <row r="37" spans="1:19" ht="15.75">
      <c r="A37" s="940"/>
      <c r="B37" s="940"/>
      <c r="C37" s="940"/>
      <c r="D37" s="940"/>
      <c r="E37" s="940"/>
      <c r="F37" s="941"/>
      <c r="G37" s="940"/>
      <c r="H37" s="940"/>
      <c r="I37" s="940"/>
      <c r="J37" s="940"/>
      <c r="K37" s="941"/>
      <c r="L37" s="941"/>
      <c r="M37" s="904"/>
      <c r="N37" s="940"/>
      <c r="O37" s="942"/>
      <c r="P37" s="942"/>
      <c r="Q37" s="942"/>
      <c r="R37" s="2058"/>
      <c r="S37" s="2058"/>
    </row>
    <row r="38" spans="1:19" ht="15.75">
      <c r="A38" s="940"/>
      <c r="B38" s="940"/>
      <c r="C38" s="940"/>
      <c r="D38" s="940"/>
      <c r="E38" s="940"/>
      <c r="F38" s="941"/>
      <c r="G38" s="940"/>
      <c r="H38" s="940"/>
      <c r="I38" s="940"/>
      <c r="J38" s="940"/>
      <c r="K38" s="941"/>
      <c r="L38" s="941"/>
      <c r="M38" s="904"/>
      <c r="N38" s="940"/>
      <c r="O38" s="942"/>
      <c r="P38" s="942"/>
      <c r="Q38" s="942"/>
      <c r="R38" s="2058"/>
      <c r="S38" s="2058"/>
    </row>
    <row r="39" spans="1:19" ht="15.75">
      <c r="A39" s="940"/>
      <c r="B39" s="940"/>
      <c r="C39" s="940"/>
      <c r="D39" s="940"/>
      <c r="E39" s="940"/>
      <c r="F39" s="941"/>
      <c r="G39" s="940"/>
      <c r="H39" s="940"/>
      <c r="I39" s="940"/>
      <c r="J39" s="940"/>
      <c r="K39" s="941"/>
      <c r="L39" s="941"/>
      <c r="M39" s="904"/>
      <c r="N39" s="940"/>
      <c r="O39" s="942"/>
      <c r="P39" s="942"/>
      <c r="Q39" s="942"/>
      <c r="R39" s="2058"/>
      <c r="S39" s="2058"/>
    </row>
    <row r="40" spans="1:19" ht="15.75">
      <c r="A40" s="940"/>
      <c r="B40" s="940"/>
      <c r="C40" s="940"/>
      <c r="D40" s="940"/>
      <c r="E40" s="940"/>
      <c r="F40" s="941"/>
      <c r="G40" s="940"/>
      <c r="H40" s="940"/>
      <c r="I40" s="940"/>
      <c r="J40" s="940"/>
      <c r="K40" s="941"/>
      <c r="L40" s="941"/>
      <c r="M40" s="904"/>
      <c r="N40" s="940"/>
      <c r="O40" s="942"/>
      <c r="P40" s="942"/>
      <c r="Q40" s="942"/>
      <c r="R40" s="2058"/>
      <c r="S40" s="2058"/>
    </row>
    <row r="41" spans="1:19" ht="15.75">
      <c r="A41" s="940"/>
      <c r="B41" s="940"/>
      <c r="C41" s="940"/>
      <c r="D41" s="940"/>
      <c r="E41" s="940"/>
      <c r="F41" s="941"/>
      <c r="G41" s="940"/>
      <c r="H41" s="940"/>
      <c r="I41" s="940"/>
      <c r="J41" s="940"/>
      <c r="K41" s="941"/>
      <c r="L41" s="941"/>
      <c r="M41" s="904"/>
      <c r="N41" s="940"/>
      <c r="O41" s="942"/>
      <c r="P41" s="942"/>
      <c r="Q41" s="942"/>
      <c r="R41" s="2058"/>
      <c r="S41" s="2058"/>
    </row>
    <row r="42" spans="1:19" ht="15.75">
      <c r="A42" s="940"/>
      <c r="B42" s="940"/>
      <c r="C42" s="940"/>
      <c r="D42" s="940"/>
      <c r="E42" s="940"/>
      <c r="F42" s="941"/>
      <c r="G42" s="940"/>
      <c r="H42" s="940"/>
      <c r="I42" s="940"/>
      <c r="J42" s="940"/>
      <c r="K42" s="941"/>
      <c r="L42" s="941"/>
      <c r="M42" s="904"/>
      <c r="N42" s="940"/>
      <c r="O42" s="942"/>
      <c r="P42" s="942"/>
      <c r="Q42" s="942"/>
      <c r="R42" s="2058"/>
      <c r="S42" s="2058"/>
    </row>
    <row r="43" spans="1:19" ht="15.75">
      <c r="A43" s="940"/>
      <c r="B43" s="940"/>
      <c r="C43" s="940"/>
      <c r="D43" s="940"/>
      <c r="E43" s="940"/>
      <c r="F43" s="941"/>
      <c r="G43" s="940"/>
      <c r="H43" s="940"/>
      <c r="I43" s="940"/>
      <c r="J43" s="940"/>
      <c r="K43" s="941"/>
      <c r="L43" s="941"/>
      <c r="M43" s="904"/>
      <c r="N43" s="940"/>
      <c r="O43" s="942"/>
      <c r="P43" s="942"/>
      <c r="Q43" s="942"/>
      <c r="R43" s="2058"/>
      <c r="S43" s="2058"/>
    </row>
    <row r="44" spans="1:19" ht="15.75">
      <c r="A44" s="940"/>
      <c r="B44" s="940"/>
      <c r="C44" s="940"/>
      <c r="D44" s="940"/>
      <c r="E44" s="940"/>
      <c r="F44" s="941"/>
      <c r="G44" s="940"/>
      <c r="H44" s="940"/>
      <c r="I44" s="940"/>
      <c r="J44" s="940"/>
      <c r="K44" s="941"/>
      <c r="L44" s="941"/>
      <c r="M44" s="904"/>
      <c r="N44" s="940"/>
      <c r="O44" s="942"/>
      <c r="P44" s="942"/>
      <c r="Q44" s="942"/>
      <c r="R44" s="2058"/>
      <c r="S44" s="2058"/>
    </row>
    <row r="45" spans="1:19" ht="15.75">
      <c r="A45" s="940"/>
      <c r="B45" s="940"/>
      <c r="C45" s="940"/>
      <c r="D45" s="940"/>
      <c r="E45" s="940"/>
      <c r="F45" s="941"/>
      <c r="G45" s="940"/>
      <c r="H45" s="940"/>
      <c r="I45" s="940"/>
      <c r="J45" s="940"/>
      <c r="K45" s="941"/>
      <c r="L45" s="941"/>
      <c r="M45" s="904"/>
      <c r="N45" s="940"/>
      <c r="O45" s="942"/>
      <c r="P45" s="942"/>
      <c r="Q45" s="942"/>
      <c r="R45" s="2058"/>
      <c r="S45" s="2058"/>
    </row>
    <row r="46" spans="1:19" ht="15.75">
      <c r="A46" s="940"/>
      <c r="B46" s="940"/>
      <c r="C46" s="940"/>
      <c r="D46" s="940"/>
      <c r="E46" s="940"/>
      <c r="F46" s="941"/>
      <c r="G46" s="940"/>
      <c r="H46" s="940"/>
      <c r="I46" s="940"/>
      <c r="J46" s="940"/>
      <c r="K46" s="941"/>
      <c r="L46" s="941"/>
      <c r="M46" s="904"/>
      <c r="N46" s="940"/>
      <c r="O46" s="942"/>
      <c r="P46" s="942"/>
      <c r="Q46" s="942"/>
      <c r="R46" s="2058"/>
      <c r="S46" s="2058"/>
    </row>
    <row r="47" spans="1:19" ht="15.75">
      <c r="A47" s="940"/>
      <c r="B47" s="940"/>
      <c r="C47" s="940"/>
      <c r="D47" s="940"/>
      <c r="E47" s="940"/>
      <c r="F47" s="941"/>
      <c r="G47" s="940"/>
      <c r="H47" s="940"/>
      <c r="I47" s="940"/>
      <c r="J47" s="940"/>
      <c r="K47" s="941"/>
      <c r="L47" s="941"/>
      <c r="M47" s="904"/>
      <c r="N47" s="940"/>
      <c r="O47" s="942"/>
      <c r="P47" s="942"/>
      <c r="Q47" s="942"/>
      <c r="R47" s="2058"/>
      <c r="S47" s="2058"/>
    </row>
    <row r="48" spans="1:19" ht="15.75">
      <c r="A48" s="940"/>
      <c r="B48" s="940"/>
      <c r="C48" s="940"/>
      <c r="D48" s="940"/>
      <c r="E48" s="940"/>
      <c r="F48" s="941"/>
      <c r="G48" s="940"/>
      <c r="H48" s="940"/>
      <c r="I48" s="940"/>
      <c r="J48" s="940"/>
      <c r="K48" s="941"/>
      <c r="L48" s="941"/>
      <c r="M48" s="904"/>
      <c r="N48" s="940"/>
      <c r="O48" s="942"/>
      <c r="P48" s="942"/>
      <c r="Q48" s="942"/>
      <c r="R48" s="2058"/>
      <c r="S48" s="2058"/>
    </row>
  </sheetData>
  <mergeCells count="10">
    <mergeCell ref="A8:Q8"/>
    <mergeCell ref="A3:I5"/>
    <mergeCell ref="J3:M4"/>
    <mergeCell ref="N3:N5"/>
    <mergeCell ref="O3:O4"/>
    <mergeCell ref="O5:Q5"/>
    <mergeCell ref="A6:Q6"/>
    <mergeCell ref="A7:Q7"/>
    <mergeCell ref="P3:P4"/>
    <mergeCell ref="Q3:Q4"/>
  </mergeCells>
  <hyperlinks>
    <hyperlink ref="A1:I1" location="Главная!A1" display="Вернуться на главную страницу" xr:uid="{5D3D1039-7744-4EA4-92B3-2CABC7594024}"/>
    <hyperlink ref="A2" location="'Калькулятор теплоотдач ВКВ'!R1C1" display="Вернуться Калькулятор теплоотдач ВКВ" xr:uid="{CC78B56C-2EDD-40B2-A189-07BE2360D468}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FFFF"/>
  </sheetPr>
  <dimension ref="A1:T56"/>
  <sheetViews>
    <sheetView zoomScale="70" zoomScaleNormal="70" workbookViewId="0">
      <pane ySplit="6" topLeftCell="A7" activePane="bottomLeft" state="frozen"/>
      <selection pane="bottomLeft" activeCell="V69" sqref="V69"/>
    </sheetView>
  </sheetViews>
  <sheetFormatPr defaultRowHeight="15.75"/>
  <cols>
    <col min="1" max="1" width="10.85546875" style="7" customWidth="1"/>
    <col min="2" max="2" width="6" style="7" customWidth="1"/>
    <col min="3" max="3" width="3" style="7" customWidth="1"/>
    <col min="4" max="4" width="6" style="7" customWidth="1"/>
    <col min="5" max="5" width="3" style="7" customWidth="1"/>
    <col min="6" max="6" width="7.7109375" style="87" customWidth="1"/>
    <col min="7" max="7" width="3" style="7" customWidth="1"/>
    <col min="8" max="8" width="6" style="7" customWidth="1"/>
    <col min="9" max="9" width="8.140625" style="7" customWidth="1"/>
    <col min="10" max="10" width="11.28515625" style="7" customWidth="1"/>
    <col min="11" max="12" width="11.28515625" style="87" customWidth="1"/>
    <col min="13" max="13" width="15.5703125" style="9" customWidth="1"/>
    <col min="14" max="15" width="19.140625" style="7" customWidth="1"/>
    <col min="16" max="16" width="27.7109375" style="199" customWidth="1"/>
    <col min="17" max="17" width="26.28515625" style="108" customWidth="1"/>
    <col min="18" max="18" width="27.7109375" style="199" customWidth="1"/>
    <col min="20" max="20" width="31.28515625" customWidth="1"/>
  </cols>
  <sheetData>
    <row r="1" spans="1:20">
      <c r="A1" s="1097" t="s">
        <v>9</v>
      </c>
      <c r="B1" s="1097"/>
      <c r="C1" s="1097"/>
      <c r="D1" s="1097"/>
      <c r="E1" s="1097"/>
      <c r="F1" s="88"/>
      <c r="G1" s="1097"/>
      <c r="H1" s="1097"/>
      <c r="I1" s="1097"/>
      <c r="M1" s="141"/>
      <c r="P1" s="108"/>
      <c r="R1" s="108"/>
    </row>
    <row r="2" spans="1:20">
      <c r="A2" s="895" t="s">
        <v>345</v>
      </c>
      <c r="B2" s="1097"/>
      <c r="C2" s="1097"/>
      <c r="D2" s="1097"/>
      <c r="E2" s="1097"/>
      <c r="F2" s="88"/>
      <c r="G2" s="1097"/>
      <c r="H2" s="1097"/>
      <c r="I2" s="1097"/>
      <c r="M2" s="140"/>
      <c r="P2" s="107"/>
      <c r="Q2" s="107"/>
      <c r="R2" s="107"/>
    </row>
    <row r="3" spans="1:20" ht="16.5" thickBot="1">
      <c r="A3" s="16"/>
      <c r="B3" s="16"/>
      <c r="C3" s="16"/>
      <c r="D3" s="16"/>
      <c r="E3" s="16"/>
      <c r="F3" s="100"/>
      <c r="G3" s="16"/>
      <c r="H3" s="16"/>
      <c r="I3" s="1132"/>
      <c r="J3" s="16"/>
      <c r="K3" s="99"/>
      <c r="L3" s="99"/>
      <c r="M3" s="140"/>
      <c r="P3" s="106"/>
      <c r="Q3" s="107"/>
      <c r="R3" s="107"/>
    </row>
    <row r="4" spans="1:20" ht="57" customHeight="1">
      <c r="A4" s="3167" t="s">
        <v>8</v>
      </c>
      <c r="B4" s="3168"/>
      <c r="C4" s="3168"/>
      <c r="D4" s="3168"/>
      <c r="E4" s="3168"/>
      <c r="F4" s="3168"/>
      <c r="G4" s="3168"/>
      <c r="H4" s="3168"/>
      <c r="I4" s="3169"/>
      <c r="J4" s="3176" t="s">
        <v>78</v>
      </c>
      <c r="K4" s="3177"/>
      <c r="L4" s="3177"/>
      <c r="M4" s="3178"/>
      <c r="N4" s="3182" t="s">
        <v>77</v>
      </c>
      <c r="O4" s="3182" t="s">
        <v>425</v>
      </c>
      <c r="P4" s="3185" t="s">
        <v>145</v>
      </c>
      <c r="Q4" s="3185" t="s">
        <v>64</v>
      </c>
      <c r="R4" s="3162" t="s">
        <v>5752</v>
      </c>
    </row>
    <row r="5" spans="1:20" ht="57" customHeight="1" thickBot="1">
      <c r="A5" s="3170"/>
      <c r="B5" s="3171"/>
      <c r="C5" s="3171"/>
      <c r="D5" s="3171"/>
      <c r="E5" s="3171"/>
      <c r="F5" s="3171"/>
      <c r="G5" s="3171"/>
      <c r="H5" s="3171"/>
      <c r="I5" s="3172"/>
      <c r="J5" s="3179"/>
      <c r="K5" s="3180"/>
      <c r="L5" s="3180"/>
      <c r="M5" s="3181"/>
      <c r="N5" s="3183"/>
      <c r="O5" s="3183"/>
      <c r="P5" s="3186"/>
      <c r="Q5" s="3187"/>
      <c r="R5" s="3163"/>
    </row>
    <row r="6" spans="1:20" ht="63.75" thickBot="1">
      <c r="A6" s="3173"/>
      <c r="B6" s="3174"/>
      <c r="C6" s="3174"/>
      <c r="D6" s="3174"/>
      <c r="E6" s="3174"/>
      <c r="F6" s="3174"/>
      <c r="G6" s="3174"/>
      <c r="H6" s="3174"/>
      <c r="I6" s="3175"/>
      <c r="J6" s="1104" t="s">
        <v>0</v>
      </c>
      <c r="K6" s="1105" t="s">
        <v>1</v>
      </c>
      <c r="L6" s="1105" t="s">
        <v>2</v>
      </c>
      <c r="M6" s="1106" t="s">
        <v>75</v>
      </c>
      <c r="N6" s="3184"/>
      <c r="O6" s="3184"/>
      <c r="P6" s="3164" t="s">
        <v>141</v>
      </c>
      <c r="Q6" s="3165"/>
      <c r="R6" s="3166"/>
    </row>
    <row r="7" spans="1:20" s="65" customFormat="1" ht="19.5" customHeight="1" thickBot="1">
      <c r="A7" s="2986" t="s">
        <v>478</v>
      </c>
      <c r="B7" s="2987"/>
      <c r="C7" s="2987"/>
      <c r="D7" s="2987"/>
      <c r="E7" s="2987"/>
      <c r="F7" s="2987"/>
      <c r="G7" s="2987"/>
      <c r="H7" s="2987"/>
      <c r="I7" s="2987"/>
      <c r="J7" s="2987"/>
      <c r="K7" s="2987"/>
      <c r="L7" s="2987"/>
      <c r="M7" s="2987"/>
      <c r="N7" s="2987"/>
      <c r="O7" s="2987"/>
      <c r="P7" s="2987"/>
      <c r="Q7" s="2987"/>
      <c r="R7" s="2988"/>
    </row>
    <row r="8" spans="1:20" ht="19.5" thickBot="1">
      <c r="A8" s="2968" t="s">
        <v>43</v>
      </c>
      <c r="B8" s="2969"/>
      <c r="C8" s="2969"/>
      <c r="D8" s="2969"/>
      <c r="E8" s="2969"/>
      <c r="F8" s="2969"/>
      <c r="G8" s="2969"/>
      <c r="H8" s="2969"/>
      <c r="I8" s="2969"/>
      <c r="J8" s="2969"/>
      <c r="K8" s="2969"/>
      <c r="L8" s="2969"/>
      <c r="M8" s="2969"/>
      <c r="N8" s="2969"/>
      <c r="O8" s="2969"/>
      <c r="P8" s="2969"/>
      <c r="Q8" s="2969"/>
      <c r="R8" s="2970"/>
    </row>
    <row r="9" spans="1:20" ht="16.5" thickBot="1">
      <c r="A9" s="2974" t="s">
        <v>112</v>
      </c>
      <c r="B9" s="2975"/>
      <c r="C9" s="2975"/>
      <c r="D9" s="2975"/>
      <c r="E9" s="2975"/>
      <c r="F9" s="2975"/>
      <c r="G9" s="2975"/>
      <c r="H9" s="2975"/>
      <c r="I9" s="2975"/>
      <c r="J9" s="2975"/>
      <c r="K9" s="2975"/>
      <c r="L9" s="2975"/>
      <c r="M9" s="2975"/>
      <c r="N9" s="2975"/>
      <c r="O9" s="2975"/>
      <c r="P9" s="2975"/>
      <c r="Q9" s="2975"/>
      <c r="R9" s="2976"/>
      <c r="T9" s="65"/>
    </row>
    <row r="10" spans="1:20" ht="16.5" thickBot="1">
      <c r="A10" s="1107" t="s">
        <v>426</v>
      </c>
      <c r="B10" s="1108">
        <f t="shared" ref="B10:B56" si="0">J10</f>
        <v>90</v>
      </c>
      <c r="C10" s="1108" t="s">
        <v>3</v>
      </c>
      <c r="D10" s="1108">
        <f t="shared" ref="D10:D56" si="1">K10</f>
        <v>360</v>
      </c>
      <c r="E10" s="1108" t="s">
        <v>3</v>
      </c>
      <c r="F10" s="1109">
        <f t="shared" ref="F10:F56" si="2">L10</f>
        <v>700</v>
      </c>
      <c r="G10" s="1108" t="s">
        <v>3</v>
      </c>
      <c r="H10" s="1108">
        <v>2</v>
      </c>
      <c r="I10" s="1110" t="s">
        <v>529</v>
      </c>
      <c r="J10" s="286">
        <v>90</v>
      </c>
      <c r="K10" s="271">
        <v>360</v>
      </c>
      <c r="L10" s="271">
        <v>700</v>
      </c>
      <c r="M10" s="245">
        <v>8.4238715468274989</v>
      </c>
      <c r="N10" s="246">
        <v>1087.47912</v>
      </c>
      <c r="O10" s="246">
        <v>180</v>
      </c>
      <c r="P10" s="247">
        <v>40071.902168070708</v>
      </c>
      <c r="Q10" s="248">
        <v>11490.936859530682</v>
      </c>
      <c r="R10" s="247">
        <v>51562.839027601389</v>
      </c>
      <c r="T10" s="7" t="s">
        <v>7556</v>
      </c>
    </row>
    <row r="11" spans="1:20" ht="16.5" thickBot="1">
      <c r="A11" s="1107" t="s">
        <v>426</v>
      </c>
      <c r="B11" s="1111">
        <f t="shared" si="0"/>
        <v>90</v>
      </c>
      <c r="C11" s="1111" t="s">
        <v>3</v>
      </c>
      <c r="D11" s="1111">
        <f t="shared" si="1"/>
        <v>360</v>
      </c>
      <c r="E11" s="1111" t="s">
        <v>3</v>
      </c>
      <c r="F11" s="1109">
        <f t="shared" si="2"/>
        <v>750</v>
      </c>
      <c r="G11" s="1111" t="s">
        <v>3</v>
      </c>
      <c r="H11" s="1108">
        <v>2</v>
      </c>
      <c r="I11" s="1110" t="s">
        <v>529</v>
      </c>
      <c r="J11" s="103">
        <v>90</v>
      </c>
      <c r="K11" s="66">
        <v>360</v>
      </c>
      <c r="L11" s="66">
        <v>750</v>
      </c>
      <c r="M11" s="164">
        <v>8.8796049355949993</v>
      </c>
      <c r="N11" s="78">
        <v>1242.8332800000001</v>
      </c>
      <c r="O11" s="78">
        <v>180</v>
      </c>
      <c r="P11" s="113">
        <v>42079.863945136211</v>
      </c>
      <c r="Q11" s="110">
        <v>12094.357743768871</v>
      </c>
      <c r="R11" s="113">
        <v>54174.221688905083</v>
      </c>
      <c r="T11" s="7" t="s">
        <v>7557</v>
      </c>
    </row>
    <row r="12" spans="1:20" ht="16.5" thickBot="1">
      <c r="A12" s="1107" t="s">
        <v>426</v>
      </c>
      <c r="B12" s="1111">
        <f t="shared" si="0"/>
        <v>90</v>
      </c>
      <c r="C12" s="1111" t="s">
        <v>3</v>
      </c>
      <c r="D12" s="1111">
        <f t="shared" si="1"/>
        <v>360</v>
      </c>
      <c r="E12" s="1111" t="s">
        <v>3</v>
      </c>
      <c r="F12" s="1109">
        <f t="shared" si="2"/>
        <v>800</v>
      </c>
      <c r="G12" s="1111" t="s">
        <v>3</v>
      </c>
      <c r="H12" s="1108">
        <v>2</v>
      </c>
      <c r="I12" s="1110" t="s">
        <v>529</v>
      </c>
      <c r="J12" s="103">
        <v>90</v>
      </c>
      <c r="K12" s="66">
        <v>360</v>
      </c>
      <c r="L12" s="66">
        <v>800</v>
      </c>
      <c r="M12" s="164">
        <v>9.3353383243625014</v>
      </c>
      <c r="N12" s="78">
        <v>1398.1874399999999</v>
      </c>
      <c r="O12" s="78">
        <v>180</v>
      </c>
      <c r="P12" s="113">
        <v>44087.825976455104</v>
      </c>
      <c r="Q12" s="110">
        <v>12697.77862800706</v>
      </c>
      <c r="R12" s="113">
        <v>56785.604604462162</v>
      </c>
      <c r="T12" s="7" t="s">
        <v>7558</v>
      </c>
    </row>
    <row r="13" spans="1:20" ht="16.5" thickBot="1">
      <c r="A13" s="1107" t="s">
        <v>426</v>
      </c>
      <c r="B13" s="1111">
        <f t="shared" si="0"/>
        <v>90</v>
      </c>
      <c r="C13" s="1111" t="s">
        <v>3</v>
      </c>
      <c r="D13" s="1111">
        <f t="shared" si="1"/>
        <v>360</v>
      </c>
      <c r="E13" s="1111" t="s">
        <v>3</v>
      </c>
      <c r="F13" s="1109">
        <f t="shared" si="2"/>
        <v>850</v>
      </c>
      <c r="G13" s="1111" t="s">
        <v>3</v>
      </c>
      <c r="H13" s="1108">
        <v>2</v>
      </c>
      <c r="I13" s="1110" t="s">
        <v>529</v>
      </c>
      <c r="J13" s="103">
        <v>90</v>
      </c>
      <c r="K13" s="66">
        <v>360</v>
      </c>
      <c r="L13" s="66">
        <v>850</v>
      </c>
      <c r="M13" s="164">
        <v>9.8081117131299997</v>
      </c>
      <c r="N13" s="78">
        <v>1553.5416</v>
      </c>
      <c r="O13" s="78">
        <v>180</v>
      </c>
      <c r="P13" s="113">
        <v>46095.788007774005</v>
      </c>
      <c r="Q13" s="110">
        <v>13552.533650029018</v>
      </c>
      <c r="R13" s="113">
        <v>59648.321657803026</v>
      </c>
      <c r="T13" s="7" t="s">
        <v>7559</v>
      </c>
    </row>
    <row r="14" spans="1:20" ht="16.5" thickBot="1">
      <c r="A14" s="1107" t="s">
        <v>426</v>
      </c>
      <c r="B14" s="1111">
        <f t="shared" si="0"/>
        <v>90</v>
      </c>
      <c r="C14" s="1111" t="s">
        <v>3</v>
      </c>
      <c r="D14" s="1111">
        <f t="shared" si="1"/>
        <v>360</v>
      </c>
      <c r="E14" s="1111" t="s">
        <v>3</v>
      </c>
      <c r="F14" s="1109">
        <f t="shared" si="2"/>
        <v>900</v>
      </c>
      <c r="G14" s="1111" t="s">
        <v>3</v>
      </c>
      <c r="H14" s="1108">
        <v>2</v>
      </c>
      <c r="I14" s="1110" t="s">
        <v>529</v>
      </c>
      <c r="J14" s="103">
        <v>90</v>
      </c>
      <c r="K14" s="66">
        <v>360</v>
      </c>
      <c r="L14" s="66">
        <v>900</v>
      </c>
      <c r="M14" s="164">
        <v>10.3018451018975</v>
      </c>
      <c r="N14" s="78">
        <v>1708.8957599999999</v>
      </c>
      <c r="O14" s="78">
        <v>180</v>
      </c>
      <c r="P14" s="113">
        <v>48103.750039092905</v>
      </c>
      <c r="Q14" s="110">
        <v>14155.954534267206</v>
      </c>
      <c r="R14" s="113">
        <v>62259.704573360112</v>
      </c>
      <c r="T14" s="7" t="s">
        <v>7560</v>
      </c>
    </row>
    <row r="15" spans="1:20" ht="16.5" thickBot="1">
      <c r="A15" s="1107" t="s">
        <v>426</v>
      </c>
      <c r="B15" s="1111">
        <f t="shared" si="0"/>
        <v>90</v>
      </c>
      <c r="C15" s="1111" t="s">
        <v>3</v>
      </c>
      <c r="D15" s="1111">
        <f t="shared" si="1"/>
        <v>360</v>
      </c>
      <c r="E15" s="1111" t="s">
        <v>3</v>
      </c>
      <c r="F15" s="1109">
        <f t="shared" si="2"/>
        <v>950</v>
      </c>
      <c r="G15" s="1111" t="s">
        <v>3</v>
      </c>
      <c r="H15" s="1108">
        <v>2</v>
      </c>
      <c r="I15" s="1110" t="s">
        <v>529</v>
      </c>
      <c r="J15" s="103">
        <v>90</v>
      </c>
      <c r="K15" s="66">
        <v>360</v>
      </c>
      <c r="L15" s="66">
        <v>950</v>
      </c>
      <c r="M15" s="164">
        <v>10.843618490664999</v>
      </c>
      <c r="N15" s="78">
        <v>1864.24992</v>
      </c>
      <c r="O15" s="78">
        <v>180</v>
      </c>
      <c r="P15" s="113">
        <v>50111.711816158408</v>
      </c>
      <c r="Q15" s="110">
        <v>15010.709556289165</v>
      </c>
      <c r="R15" s="113">
        <v>65122.42137244757</v>
      </c>
      <c r="T15" s="7" t="s">
        <v>7561</v>
      </c>
    </row>
    <row r="16" spans="1:20" ht="16.5" thickBot="1">
      <c r="A16" s="1107" t="s">
        <v>426</v>
      </c>
      <c r="B16" s="1111">
        <f t="shared" si="0"/>
        <v>90</v>
      </c>
      <c r="C16" s="1111" t="s">
        <v>3</v>
      </c>
      <c r="D16" s="1111">
        <f t="shared" si="1"/>
        <v>360</v>
      </c>
      <c r="E16" s="1111" t="s">
        <v>3</v>
      </c>
      <c r="F16" s="1109">
        <f t="shared" si="2"/>
        <v>1000</v>
      </c>
      <c r="G16" s="1111" t="s">
        <v>3</v>
      </c>
      <c r="H16" s="1108">
        <v>2</v>
      </c>
      <c r="I16" s="1110" t="s">
        <v>529</v>
      </c>
      <c r="J16" s="103">
        <v>90</v>
      </c>
      <c r="K16" s="66">
        <v>360</v>
      </c>
      <c r="L16" s="66">
        <v>1000</v>
      </c>
      <c r="M16" s="164">
        <v>11.567351879432501</v>
      </c>
      <c r="N16" s="78">
        <v>2019.6040799999998</v>
      </c>
      <c r="O16" s="78">
        <v>280</v>
      </c>
      <c r="P16" s="113">
        <v>52480.965894850109</v>
      </c>
      <c r="Q16" s="110">
        <v>15614.130440527351</v>
      </c>
      <c r="R16" s="113">
        <v>68095.096335377457</v>
      </c>
      <c r="T16" s="7" t="s">
        <v>7562</v>
      </c>
    </row>
    <row r="17" spans="1:20" ht="16.5" thickBot="1">
      <c r="A17" s="1107" t="s">
        <v>426</v>
      </c>
      <c r="B17" s="1111">
        <f t="shared" si="0"/>
        <v>90</v>
      </c>
      <c r="C17" s="1111" t="s">
        <v>3</v>
      </c>
      <c r="D17" s="1111">
        <f t="shared" si="1"/>
        <v>360</v>
      </c>
      <c r="E17" s="1111" t="s">
        <v>3</v>
      </c>
      <c r="F17" s="1109">
        <f t="shared" si="2"/>
        <v>1050</v>
      </c>
      <c r="G17" s="1111" t="s">
        <v>3</v>
      </c>
      <c r="H17" s="1108">
        <v>2</v>
      </c>
      <c r="I17" s="1110" t="s">
        <v>529</v>
      </c>
      <c r="J17" s="103">
        <v>90</v>
      </c>
      <c r="K17" s="66">
        <v>360</v>
      </c>
      <c r="L17" s="66">
        <v>1050</v>
      </c>
      <c r="M17" s="164">
        <v>12.040125268199999</v>
      </c>
      <c r="N17" s="78">
        <v>2174.9582399999999</v>
      </c>
      <c r="O17" s="78">
        <v>280</v>
      </c>
      <c r="P17" s="113">
        <v>54778.660862618599</v>
      </c>
      <c r="Q17" s="110">
        <v>16468.885462549311</v>
      </c>
      <c r="R17" s="113">
        <v>71247.546325167903</v>
      </c>
      <c r="T17" s="7" t="s">
        <v>7563</v>
      </c>
    </row>
    <row r="18" spans="1:20" ht="16.5" thickBot="1">
      <c r="A18" s="1107" t="s">
        <v>426</v>
      </c>
      <c r="B18" s="1108">
        <f t="shared" si="0"/>
        <v>90</v>
      </c>
      <c r="C18" s="1108" t="s">
        <v>3</v>
      </c>
      <c r="D18" s="1108">
        <f t="shared" si="1"/>
        <v>360</v>
      </c>
      <c r="E18" s="1108" t="s">
        <v>3</v>
      </c>
      <c r="F18" s="1109">
        <f t="shared" si="2"/>
        <v>1100</v>
      </c>
      <c r="G18" s="1108" t="s">
        <v>3</v>
      </c>
      <c r="H18" s="1108">
        <v>2</v>
      </c>
      <c r="I18" s="1110" t="s">
        <v>529</v>
      </c>
      <c r="J18" s="103">
        <v>90</v>
      </c>
      <c r="K18" s="66">
        <v>360</v>
      </c>
      <c r="L18" s="66">
        <v>1100</v>
      </c>
      <c r="M18" s="164">
        <v>12.495858656967499</v>
      </c>
      <c r="N18" s="78">
        <v>2330.3123999999998</v>
      </c>
      <c r="O18" s="78">
        <v>280</v>
      </c>
      <c r="P18" s="113">
        <v>56786.622893937507</v>
      </c>
      <c r="Q18" s="110">
        <v>17072.3063467875</v>
      </c>
      <c r="R18" s="113">
        <v>73858.929240725003</v>
      </c>
      <c r="T18" s="7" t="s">
        <v>7564</v>
      </c>
    </row>
    <row r="19" spans="1:20" ht="16.5" thickBot="1">
      <c r="A19" s="1107" t="s">
        <v>426</v>
      </c>
      <c r="B19" s="1111">
        <f t="shared" si="0"/>
        <v>90</v>
      </c>
      <c r="C19" s="1111" t="s">
        <v>3</v>
      </c>
      <c r="D19" s="1111">
        <f t="shared" si="1"/>
        <v>360</v>
      </c>
      <c r="E19" s="1111" t="s">
        <v>3</v>
      </c>
      <c r="F19" s="1109">
        <f t="shared" si="2"/>
        <v>1150</v>
      </c>
      <c r="G19" s="1111" t="s">
        <v>3</v>
      </c>
      <c r="H19" s="1108">
        <v>2</v>
      </c>
      <c r="I19" s="1110" t="s">
        <v>529</v>
      </c>
      <c r="J19" s="103">
        <v>90</v>
      </c>
      <c r="K19" s="66">
        <v>360</v>
      </c>
      <c r="L19" s="66">
        <v>1150</v>
      </c>
      <c r="M19" s="164">
        <v>12.951592045735</v>
      </c>
      <c r="N19" s="78">
        <v>2485.6665600000001</v>
      </c>
      <c r="O19" s="78">
        <v>280</v>
      </c>
      <c r="P19" s="113">
        <v>57825.969222706612</v>
      </c>
      <c r="Q19" s="110">
        <v>17675.727231025689</v>
      </c>
      <c r="R19" s="113">
        <v>75501.696453732293</v>
      </c>
      <c r="T19" s="7" t="s">
        <v>7565</v>
      </c>
    </row>
    <row r="20" spans="1:20" ht="16.5" thickBot="1">
      <c r="A20" s="1107" t="s">
        <v>426</v>
      </c>
      <c r="B20" s="1111">
        <f t="shared" si="0"/>
        <v>90</v>
      </c>
      <c r="C20" s="1111" t="s">
        <v>3</v>
      </c>
      <c r="D20" s="1111">
        <f t="shared" si="1"/>
        <v>360</v>
      </c>
      <c r="E20" s="1111" t="s">
        <v>3</v>
      </c>
      <c r="F20" s="1109">
        <f t="shared" si="2"/>
        <v>1200</v>
      </c>
      <c r="G20" s="1111" t="s">
        <v>3</v>
      </c>
      <c r="H20" s="1108">
        <v>2</v>
      </c>
      <c r="I20" s="1110" t="s">
        <v>529</v>
      </c>
      <c r="J20" s="103">
        <v>90</v>
      </c>
      <c r="K20" s="66">
        <v>360</v>
      </c>
      <c r="L20" s="66">
        <v>1200</v>
      </c>
      <c r="M20" s="164">
        <v>13.639615434502497</v>
      </c>
      <c r="N20" s="78">
        <v>2641.0207199999995</v>
      </c>
      <c r="O20" s="78">
        <v>280</v>
      </c>
      <c r="P20" s="113">
        <v>58910.3759916708</v>
      </c>
      <c r="Q20" s="110">
        <v>18530.482406076411</v>
      </c>
      <c r="R20" s="113">
        <v>77440.858397747215</v>
      </c>
      <c r="T20" s="7" t="s">
        <v>7566</v>
      </c>
    </row>
    <row r="21" spans="1:20" ht="16.5" thickBot="1">
      <c r="A21" s="1107" t="s">
        <v>426</v>
      </c>
      <c r="B21" s="1111">
        <f t="shared" si="0"/>
        <v>90</v>
      </c>
      <c r="C21" s="1111" t="s">
        <v>3</v>
      </c>
      <c r="D21" s="1111">
        <f t="shared" si="1"/>
        <v>360</v>
      </c>
      <c r="E21" s="1111" t="s">
        <v>3</v>
      </c>
      <c r="F21" s="1109">
        <f t="shared" si="2"/>
        <v>1250</v>
      </c>
      <c r="G21" s="1111" t="s">
        <v>3</v>
      </c>
      <c r="H21" s="1108">
        <v>2</v>
      </c>
      <c r="I21" s="1110" t="s">
        <v>529</v>
      </c>
      <c r="J21" s="103">
        <v>90</v>
      </c>
      <c r="K21" s="66">
        <v>360</v>
      </c>
      <c r="L21" s="66">
        <v>1250</v>
      </c>
      <c r="M21" s="164">
        <v>14.095348823269999</v>
      </c>
      <c r="N21" s="78">
        <v>2796.3748799999998</v>
      </c>
      <c r="O21" s="78">
        <v>280</v>
      </c>
      <c r="P21" s="113">
        <v>59949.105501691505</v>
      </c>
      <c r="Q21" s="110">
        <v>19133.9032903146</v>
      </c>
      <c r="R21" s="113">
        <v>79083.008792006105</v>
      </c>
      <c r="T21" s="7" t="s">
        <v>7567</v>
      </c>
    </row>
    <row r="22" spans="1:20" ht="16.5" thickBot="1">
      <c r="A22" s="1107" t="s">
        <v>426</v>
      </c>
      <c r="B22" s="1111">
        <f t="shared" si="0"/>
        <v>90</v>
      </c>
      <c r="C22" s="1111" t="s">
        <v>3</v>
      </c>
      <c r="D22" s="1111">
        <f t="shared" si="1"/>
        <v>360</v>
      </c>
      <c r="E22" s="1111" t="s">
        <v>3</v>
      </c>
      <c r="F22" s="1109">
        <f t="shared" si="2"/>
        <v>1300</v>
      </c>
      <c r="G22" s="1111" t="s">
        <v>3</v>
      </c>
      <c r="H22" s="1108">
        <v>2</v>
      </c>
      <c r="I22" s="1110" t="s">
        <v>529</v>
      </c>
      <c r="J22" s="103">
        <v>90</v>
      </c>
      <c r="K22" s="66">
        <v>360</v>
      </c>
      <c r="L22" s="66">
        <v>1300</v>
      </c>
      <c r="M22" s="164">
        <v>14.630122212037501</v>
      </c>
      <c r="N22" s="78">
        <v>2951.7290399999997</v>
      </c>
      <c r="O22" s="78">
        <v>280</v>
      </c>
      <c r="P22" s="113">
        <v>64132.65628841531</v>
      </c>
      <c r="Q22" s="110">
        <v>19988.658312336556</v>
      </c>
      <c r="R22" s="113">
        <v>84121.314600751866</v>
      </c>
      <c r="T22" s="7" t="s">
        <v>7568</v>
      </c>
    </row>
    <row r="23" spans="1:20" ht="16.5" thickBot="1">
      <c r="A23" s="1107" t="s">
        <v>426</v>
      </c>
      <c r="B23" s="1111">
        <f t="shared" si="0"/>
        <v>90</v>
      </c>
      <c r="C23" s="1111" t="s">
        <v>3</v>
      </c>
      <c r="D23" s="1111">
        <f t="shared" si="1"/>
        <v>360</v>
      </c>
      <c r="E23" s="1111" t="s">
        <v>3</v>
      </c>
      <c r="F23" s="1109">
        <f t="shared" si="2"/>
        <v>1350</v>
      </c>
      <c r="G23" s="1111" t="s">
        <v>3</v>
      </c>
      <c r="H23" s="1108">
        <v>2</v>
      </c>
      <c r="I23" s="1110" t="s">
        <v>529</v>
      </c>
      <c r="J23" s="103">
        <v>90</v>
      </c>
      <c r="K23" s="66">
        <v>360</v>
      </c>
      <c r="L23" s="66">
        <v>1350</v>
      </c>
      <c r="M23" s="164">
        <v>15.085855600804999</v>
      </c>
      <c r="N23" s="78">
        <v>3107.0832</v>
      </c>
      <c r="O23" s="78">
        <v>280</v>
      </c>
      <c r="P23" s="113">
        <v>65491.584521413904</v>
      </c>
      <c r="Q23" s="110">
        <v>20592.079196574745</v>
      </c>
      <c r="R23" s="113">
        <v>86083.663717988646</v>
      </c>
      <c r="T23" s="7" t="s">
        <v>7569</v>
      </c>
    </row>
    <row r="24" spans="1:20" ht="16.5" thickBot="1">
      <c r="A24" s="1107" t="s">
        <v>426</v>
      </c>
      <c r="B24" s="1111">
        <f t="shared" si="0"/>
        <v>90</v>
      </c>
      <c r="C24" s="1111" t="s">
        <v>3</v>
      </c>
      <c r="D24" s="1111">
        <f t="shared" si="1"/>
        <v>360</v>
      </c>
      <c r="E24" s="1111" t="s">
        <v>3</v>
      </c>
      <c r="F24" s="1109">
        <f t="shared" si="2"/>
        <v>1400</v>
      </c>
      <c r="G24" s="1111" t="s">
        <v>3</v>
      </c>
      <c r="H24" s="1108">
        <v>2</v>
      </c>
      <c r="I24" s="1110" t="s">
        <v>529</v>
      </c>
      <c r="J24" s="103">
        <v>90</v>
      </c>
      <c r="K24" s="66">
        <v>360</v>
      </c>
      <c r="L24" s="66">
        <v>1400</v>
      </c>
      <c r="M24" s="164">
        <v>15.558628989572503</v>
      </c>
      <c r="N24" s="78">
        <v>3262.4373600000004</v>
      </c>
      <c r="O24" s="78">
        <v>280</v>
      </c>
      <c r="P24" s="113">
        <v>67269.863565675318</v>
      </c>
      <c r="Q24" s="110">
        <v>21446.834218596705</v>
      </c>
      <c r="R24" s="113">
        <v>88716.697784272023</v>
      </c>
      <c r="T24" s="7" t="s">
        <v>7570</v>
      </c>
    </row>
    <row r="25" spans="1:20" ht="16.5" thickBot="1">
      <c r="A25" s="1107" t="s">
        <v>426</v>
      </c>
      <c r="B25" s="1111">
        <f t="shared" si="0"/>
        <v>90</v>
      </c>
      <c r="C25" s="1111" t="s">
        <v>3</v>
      </c>
      <c r="D25" s="1111">
        <f t="shared" si="1"/>
        <v>360</v>
      </c>
      <c r="E25" s="1111" t="s">
        <v>3</v>
      </c>
      <c r="F25" s="1109">
        <f t="shared" si="2"/>
        <v>1450</v>
      </c>
      <c r="G25" s="1111" t="s">
        <v>3</v>
      </c>
      <c r="H25" s="1108">
        <v>2</v>
      </c>
      <c r="I25" s="1110" t="s">
        <v>529</v>
      </c>
      <c r="J25" s="103">
        <v>90</v>
      </c>
      <c r="K25" s="66">
        <v>360</v>
      </c>
      <c r="L25" s="66">
        <v>1450</v>
      </c>
      <c r="M25" s="164">
        <v>16.01436237834</v>
      </c>
      <c r="N25" s="78">
        <v>3417.7915199999998</v>
      </c>
      <c r="O25" s="78">
        <v>280</v>
      </c>
      <c r="P25" s="113">
        <v>68628.791925800615</v>
      </c>
      <c r="Q25" s="110">
        <v>22050.255102834893</v>
      </c>
      <c r="R25" s="113">
        <v>90679.047028635512</v>
      </c>
      <c r="T25" s="7" t="s">
        <v>7571</v>
      </c>
    </row>
    <row r="26" spans="1:20" ht="16.5" thickBot="1">
      <c r="A26" s="1107" t="s">
        <v>426</v>
      </c>
      <c r="B26" s="1111">
        <f t="shared" si="0"/>
        <v>90</v>
      </c>
      <c r="C26" s="1111" t="s">
        <v>3</v>
      </c>
      <c r="D26" s="1111">
        <f t="shared" si="1"/>
        <v>360</v>
      </c>
      <c r="E26" s="1111" t="s">
        <v>3</v>
      </c>
      <c r="F26" s="1109">
        <f t="shared" si="2"/>
        <v>1500</v>
      </c>
      <c r="G26" s="1111" t="s">
        <v>3</v>
      </c>
      <c r="H26" s="1108">
        <v>2</v>
      </c>
      <c r="I26" s="1110" t="s">
        <v>529</v>
      </c>
      <c r="J26" s="103">
        <v>90</v>
      </c>
      <c r="K26" s="66">
        <v>360</v>
      </c>
      <c r="L26" s="66">
        <v>1500</v>
      </c>
      <c r="M26" s="164">
        <v>17.919700659907498</v>
      </c>
      <c r="N26" s="78">
        <v>3573.1456799999996</v>
      </c>
      <c r="O26" s="78">
        <v>460</v>
      </c>
      <c r="P26" s="113">
        <v>71479.795685183111</v>
      </c>
      <c r="Q26" s="110">
        <v>22905.01012485685</v>
      </c>
      <c r="R26" s="113">
        <v>94384.805810039965</v>
      </c>
      <c r="T26" s="7" t="s">
        <v>7572</v>
      </c>
    </row>
    <row r="27" spans="1:20" ht="16.5" thickBot="1">
      <c r="A27" s="1107" t="s">
        <v>426</v>
      </c>
      <c r="B27" s="1111">
        <f t="shared" si="0"/>
        <v>90</v>
      </c>
      <c r="C27" s="1111" t="s">
        <v>3</v>
      </c>
      <c r="D27" s="1111">
        <f t="shared" si="1"/>
        <v>360</v>
      </c>
      <c r="E27" s="1111" t="s">
        <v>3</v>
      </c>
      <c r="F27" s="1109">
        <f t="shared" si="2"/>
        <v>1550</v>
      </c>
      <c r="G27" s="1111" t="s">
        <v>3</v>
      </c>
      <c r="H27" s="1108">
        <v>2</v>
      </c>
      <c r="I27" s="1110" t="s">
        <v>529</v>
      </c>
      <c r="J27" s="103">
        <v>90</v>
      </c>
      <c r="K27" s="66">
        <v>360</v>
      </c>
      <c r="L27" s="66">
        <v>1550</v>
      </c>
      <c r="M27" s="164">
        <v>18.444434048674999</v>
      </c>
      <c r="N27" s="78">
        <v>3728.4998399999999</v>
      </c>
      <c r="O27" s="78">
        <v>460</v>
      </c>
      <c r="P27" s="113">
        <v>72838.724172435104</v>
      </c>
      <c r="Q27" s="110">
        <v>23508.431009095038</v>
      </c>
      <c r="R27" s="113">
        <v>96347.155181530135</v>
      </c>
      <c r="T27" s="7" t="s">
        <v>7573</v>
      </c>
    </row>
    <row r="28" spans="1:20" ht="16.5" thickBot="1">
      <c r="A28" s="1107" t="s">
        <v>426</v>
      </c>
      <c r="B28" s="1108">
        <f t="shared" si="0"/>
        <v>90</v>
      </c>
      <c r="C28" s="1108" t="s">
        <v>3</v>
      </c>
      <c r="D28" s="1108">
        <f t="shared" si="1"/>
        <v>360</v>
      </c>
      <c r="E28" s="1108" t="s">
        <v>3</v>
      </c>
      <c r="F28" s="1109">
        <f t="shared" si="2"/>
        <v>1600</v>
      </c>
      <c r="G28" s="1108" t="s">
        <v>3</v>
      </c>
      <c r="H28" s="1108">
        <v>2</v>
      </c>
      <c r="I28" s="1110" t="s">
        <v>529</v>
      </c>
      <c r="J28" s="103">
        <v>90</v>
      </c>
      <c r="K28" s="66">
        <v>360</v>
      </c>
      <c r="L28" s="66">
        <v>1600</v>
      </c>
      <c r="M28" s="164">
        <v>18.900167437442501</v>
      </c>
      <c r="N28" s="78">
        <v>3883.8539999999994</v>
      </c>
      <c r="O28" s="78">
        <v>460</v>
      </c>
      <c r="P28" s="113">
        <v>76693.164273130911</v>
      </c>
      <c r="Q28" s="110">
        <v>24111.851893333227</v>
      </c>
      <c r="R28" s="113">
        <v>100805.01616646413</v>
      </c>
      <c r="T28" s="7" t="s">
        <v>7574</v>
      </c>
    </row>
    <row r="29" spans="1:20" ht="16.5" thickBot="1">
      <c r="A29" s="1107" t="s">
        <v>426</v>
      </c>
      <c r="B29" s="1111">
        <f t="shared" si="0"/>
        <v>90</v>
      </c>
      <c r="C29" s="1111" t="s">
        <v>3</v>
      </c>
      <c r="D29" s="1111">
        <f t="shared" si="1"/>
        <v>360</v>
      </c>
      <c r="E29" s="1111" t="s">
        <v>3</v>
      </c>
      <c r="F29" s="1109">
        <f t="shared" si="2"/>
        <v>1650</v>
      </c>
      <c r="G29" s="1111" t="s">
        <v>3</v>
      </c>
      <c r="H29" s="1108">
        <v>2</v>
      </c>
      <c r="I29" s="1110" t="s">
        <v>529</v>
      </c>
      <c r="J29" s="103">
        <v>90</v>
      </c>
      <c r="K29" s="66">
        <v>360</v>
      </c>
      <c r="L29" s="66">
        <v>1650</v>
      </c>
      <c r="M29" s="164">
        <v>19.410940826210002</v>
      </c>
      <c r="N29" s="78">
        <v>4039.2081599999997</v>
      </c>
      <c r="O29" s="78">
        <v>460</v>
      </c>
      <c r="P29" s="113">
        <v>80871.091101773403</v>
      </c>
      <c r="Q29" s="110">
        <v>24966.606915355183</v>
      </c>
      <c r="R29" s="113">
        <v>105837.69801712858</v>
      </c>
      <c r="T29" s="7" t="s">
        <v>7575</v>
      </c>
    </row>
    <row r="30" spans="1:20" ht="16.5" thickBot="1">
      <c r="A30" s="1107" t="s">
        <v>426</v>
      </c>
      <c r="B30" s="1111">
        <f t="shared" si="0"/>
        <v>90</v>
      </c>
      <c r="C30" s="1111" t="s">
        <v>3</v>
      </c>
      <c r="D30" s="1111">
        <f t="shared" si="1"/>
        <v>360</v>
      </c>
      <c r="E30" s="1111" t="s">
        <v>3</v>
      </c>
      <c r="F30" s="1109">
        <f t="shared" si="2"/>
        <v>1700</v>
      </c>
      <c r="G30" s="1111" t="s">
        <v>3</v>
      </c>
      <c r="H30" s="1108">
        <v>2</v>
      </c>
      <c r="I30" s="1110" t="s">
        <v>529</v>
      </c>
      <c r="J30" s="103">
        <v>90</v>
      </c>
      <c r="K30" s="66">
        <v>360</v>
      </c>
      <c r="L30" s="66">
        <v>1700</v>
      </c>
      <c r="M30" s="164">
        <v>19.8666742149775</v>
      </c>
      <c r="N30" s="78">
        <v>4194.56232</v>
      </c>
      <c r="O30" s="78">
        <v>460</v>
      </c>
      <c r="P30" s="113">
        <v>81966.948172606615</v>
      </c>
      <c r="Q30" s="110">
        <v>25570.027799593372</v>
      </c>
      <c r="R30" s="113">
        <v>107536.97597219999</v>
      </c>
      <c r="T30" s="7" t="s">
        <v>7576</v>
      </c>
    </row>
    <row r="31" spans="1:20" ht="16.5" thickBot="1">
      <c r="A31" s="1107" t="s">
        <v>426</v>
      </c>
      <c r="B31" s="1111">
        <f t="shared" si="0"/>
        <v>90</v>
      </c>
      <c r="C31" s="1111" t="s">
        <v>3</v>
      </c>
      <c r="D31" s="1111">
        <f t="shared" si="1"/>
        <v>360</v>
      </c>
      <c r="E31" s="1111" t="s">
        <v>3</v>
      </c>
      <c r="F31" s="1109">
        <f t="shared" si="2"/>
        <v>1750</v>
      </c>
      <c r="G31" s="1111" t="s">
        <v>3</v>
      </c>
      <c r="H31" s="1108">
        <v>2</v>
      </c>
      <c r="I31" s="1110" t="s">
        <v>529</v>
      </c>
      <c r="J31" s="103">
        <v>90</v>
      </c>
      <c r="K31" s="66">
        <v>360</v>
      </c>
      <c r="L31" s="66">
        <v>1750</v>
      </c>
      <c r="M31" s="164">
        <v>20.339447603745</v>
      </c>
      <c r="N31" s="78">
        <v>4349.9164799999999</v>
      </c>
      <c r="O31" s="78">
        <v>460</v>
      </c>
      <c r="P31" s="113">
        <v>82965.149055033806</v>
      </c>
      <c r="Q31" s="110">
        <v>26424.782821615332</v>
      </c>
      <c r="R31" s="113">
        <v>109389.93187664913</v>
      </c>
      <c r="T31" s="7" t="s">
        <v>7577</v>
      </c>
    </row>
    <row r="32" spans="1:20" ht="16.5" thickBot="1">
      <c r="A32" s="1107" t="s">
        <v>426</v>
      </c>
      <c r="B32" s="1111">
        <f t="shared" si="0"/>
        <v>90</v>
      </c>
      <c r="C32" s="1111" t="s">
        <v>3</v>
      </c>
      <c r="D32" s="1111">
        <f t="shared" si="1"/>
        <v>360</v>
      </c>
      <c r="E32" s="1111" t="s">
        <v>3</v>
      </c>
      <c r="F32" s="1109">
        <f t="shared" si="2"/>
        <v>1800</v>
      </c>
      <c r="G32" s="1111" t="s">
        <v>3</v>
      </c>
      <c r="H32" s="1108">
        <v>2</v>
      </c>
      <c r="I32" s="1110" t="s">
        <v>529</v>
      </c>
      <c r="J32" s="103">
        <v>90</v>
      </c>
      <c r="K32" s="66">
        <v>360</v>
      </c>
      <c r="L32" s="66">
        <v>1800</v>
      </c>
      <c r="M32" s="164">
        <v>20.864180992512498</v>
      </c>
      <c r="N32" s="78">
        <v>4505.2706399999997</v>
      </c>
      <c r="O32" s="78">
        <v>460</v>
      </c>
      <c r="P32" s="113">
        <v>84061.899318061201</v>
      </c>
      <c r="Q32" s="110">
        <v>27028.203705853517</v>
      </c>
      <c r="R32" s="113">
        <v>111090.10302391472</v>
      </c>
      <c r="T32" s="7" t="s">
        <v>7578</v>
      </c>
    </row>
    <row r="33" spans="1:20" ht="16.5" thickBot="1">
      <c r="A33" s="1107" t="s">
        <v>426</v>
      </c>
      <c r="B33" s="1111">
        <f t="shared" si="0"/>
        <v>90</v>
      </c>
      <c r="C33" s="1111" t="s">
        <v>3</v>
      </c>
      <c r="D33" s="1111">
        <f t="shared" si="1"/>
        <v>360</v>
      </c>
      <c r="E33" s="1111" t="s">
        <v>3</v>
      </c>
      <c r="F33" s="1109">
        <f t="shared" si="2"/>
        <v>1850</v>
      </c>
      <c r="G33" s="1111" t="s">
        <v>3</v>
      </c>
      <c r="H33" s="1108">
        <v>2</v>
      </c>
      <c r="I33" s="1110" t="s">
        <v>529</v>
      </c>
      <c r="J33" s="103">
        <v>90</v>
      </c>
      <c r="K33" s="66">
        <v>360</v>
      </c>
      <c r="L33" s="66">
        <v>1850</v>
      </c>
      <c r="M33" s="164">
        <v>21.398954381279999</v>
      </c>
      <c r="N33" s="78">
        <v>4660.6247999999996</v>
      </c>
      <c r="O33" s="78">
        <v>460</v>
      </c>
      <c r="P33" s="113">
        <v>85158.587797512417</v>
      </c>
      <c r="Q33" s="110">
        <v>27882.958880904247</v>
      </c>
      <c r="R33" s="113">
        <v>113041.54667841666</v>
      </c>
      <c r="T33" s="7" t="s">
        <v>7579</v>
      </c>
    </row>
    <row r="34" spans="1:20" ht="16.5" thickBot="1">
      <c r="A34" s="1107" t="s">
        <v>426</v>
      </c>
      <c r="B34" s="1111">
        <f t="shared" si="0"/>
        <v>90</v>
      </c>
      <c r="C34" s="1111" t="s">
        <v>3</v>
      </c>
      <c r="D34" s="1111">
        <f t="shared" si="1"/>
        <v>360</v>
      </c>
      <c r="E34" s="1111" t="s">
        <v>3</v>
      </c>
      <c r="F34" s="1109">
        <f t="shared" si="2"/>
        <v>1900</v>
      </c>
      <c r="G34" s="1111" t="s">
        <v>3</v>
      </c>
      <c r="H34" s="1108">
        <v>2</v>
      </c>
      <c r="I34" s="1110" t="s">
        <v>529</v>
      </c>
      <c r="J34" s="103">
        <v>90</v>
      </c>
      <c r="K34" s="66">
        <v>360</v>
      </c>
      <c r="L34" s="66">
        <v>1900</v>
      </c>
      <c r="M34" s="164">
        <v>21.854687770047502</v>
      </c>
      <c r="N34" s="78">
        <v>4815.9789600000004</v>
      </c>
      <c r="O34" s="78">
        <v>460</v>
      </c>
      <c r="P34" s="113">
        <v>86479.75787509061</v>
      </c>
      <c r="Q34" s="110">
        <v>28486.379765142432</v>
      </c>
      <c r="R34" s="113">
        <v>114966.13764023304</v>
      </c>
      <c r="T34" s="7" t="s">
        <v>7580</v>
      </c>
    </row>
    <row r="35" spans="1:20" ht="16.5" thickBot="1">
      <c r="A35" s="1107" t="s">
        <v>426</v>
      </c>
      <c r="B35" s="1111">
        <f t="shared" si="0"/>
        <v>90</v>
      </c>
      <c r="C35" s="1111" t="s">
        <v>3</v>
      </c>
      <c r="D35" s="1111">
        <f t="shared" si="1"/>
        <v>360</v>
      </c>
      <c r="E35" s="1111" t="s">
        <v>3</v>
      </c>
      <c r="F35" s="1109">
        <f t="shared" si="2"/>
        <v>1950</v>
      </c>
      <c r="G35" s="1111" t="s">
        <v>3</v>
      </c>
      <c r="H35" s="1108">
        <v>2</v>
      </c>
      <c r="I35" s="1110" t="s">
        <v>529</v>
      </c>
      <c r="J35" s="103">
        <v>90</v>
      </c>
      <c r="K35" s="66">
        <v>360</v>
      </c>
      <c r="L35" s="66">
        <v>1950</v>
      </c>
      <c r="M35" s="164">
        <v>22.463671158815004</v>
      </c>
      <c r="N35" s="78">
        <v>4971.3331200000002</v>
      </c>
      <c r="O35" s="78">
        <v>460</v>
      </c>
      <c r="P35" s="113">
        <v>88005.080084565299</v>
      </c>
      <c r="Q35" s="110">
        <v>29089.800649380621</v>
      </c>
      <c r="R35" s="113">
        <v>117094.88073394592</v>
      </c>
      <c r="T35" s="7" t="s">
        <v>7581</v>
      </c>
    </row>
    <row r="36" spans="1:20" ht="16.5" thickBot="1">
      <c r="A36" s="1107" t="s">
        <v>426</v>
      </c>
      <c r="B36" s="1111">
        <f t="shared" si="0"/>
        <v>90</v>
      </c>
      <c r="C36" s="1111" t="s">
        <v>3</v>
      </c>
      <c r="D36" s="1111">
        <f t="shared" si="1"/>
        <v>360</v>
      </c>
      <c r="E36" s="1111" t="s">
        <v>3</v>
      </c>
      <c r="F36" s="1109">
        <f t="shared" si="2"/>
        <v>2000</v>
      </c>
      <c r="G36" s="1111" t="s">
        <v>3</v>
      </c>
      <c r="H36" s="1108">
        <v>2</v>
      </c>
      <c r="I36" s="1110" t="s">
        <v>529</v>
      </c>
      <c r="J36" s="103">
        <v>90</v>
      </c>
      <c r="K36" s="66">
        <v>360</v>
      </c>
      <c r="L36" s="66">
        <v>2000</v>
      </c>
      <c r="M36" s="164">
        <v>23.0740069475825</v>
      </c>
      <c r="N36" s="78">
        <v>5126.6872799999992</v>
      </c>
      <c r="O36" s="78">
        <v>530</v>
      </c>
      <c r="P36" s="113">
        <v>90360.934119190119</v>
      </c>
      <c r="Q36" s="110">
        <v>29944.555671402581</v>
      </c>
      <c r="R36" s="113">
        <v>120305.48979059269</v>
      </c>
      <c r="T36" s="7" t="s">
        <v>7582</v>
      </c>
    </row>
    <row r="37" spans="1:20" ht="16.5" thickBot="1">
      <c r="A37" s="1107" t="s">
        <v>426</v>
      </c>
      <c r="B37" s="1111">
        <f t="shared" si="0"/>
        <v>90</v>
      </c>
      <c r="C37" s="1111" t="s">
        <v>3</v>
      </c>
      <c r="D37" s="1111">
        <f t="shared" si="1"/>
        <v>360</v>
      </c>
      <c r="E37" s="1111" t="s">
        <v>3</v>
      </c>
      <c r="F37" s="1109">
        <f t="shared" si="2"/>
        <v>2050</v>
      </c>
      <c r="G37" s="1111" t="s">
        <v>3</v>
      </c>
      <c r="H37" s="1108">
        <v>2</v>
      </c>
      <c r="I37" s="1110" t="s">
        <v>529</v>
      </c>
      <c r="J37" s="103">
        <v>90</v>
      </c>
      <c r="K37" s="66">
        <v>360</v>
      </c>
      <c r="L37" s="66">
        <v>2050</v>
      </c>
      <c r="M37" s="164">
        <v>23.529740336350002</v>
      </c>
      <c r="N37" s="78">
        <v>5282.0414399999991</v>
      </c>
      <c r="O37" s="78">
        <v>530</v>
      </c>
      <c r="P37" s="113">
        <v>94206.949279223511</v>
      </c>
      <c r="Q37" s="110">
        <v>30547.976555640766</v>
      </c>
      <c r="R37" s="113">
        <v>124754.92583486428</v>
      </c>
      <c r="T37" s="7" t="s">
        <v>7583</v>
      </c>
    </row>
    <row r="38" spans="1:20" ht="16.5" thickBot="1">
      <c r="A38" s="1107" t="s">
        <v>426</v>
      </c>
      <c r="B38" s="1108">
        <f t="shared" si="0"/>
        <v>90</v>
      </c>
      <c r="C38" s="1108" t="s">
        <v>3</v>
      </c>
      <c r="D38" s="1108">
        <f t="shared" si="1"/>
        <v>360</v>
      </c>
      <c r="E38" s="1108" t="s">
        <v>3</v>
      </c>
      <c r="F38" s="1109">
        <f t="shared" si="2"/>
        <v>2100</v>
      </c>
      <c r="G38" s="1108" t="s">
        <v>3</v>
      </c>
      <c r="H38" s="1108">
        <v>2</v>
      </c>
      <c r="I38" s="1110" t="s">
        <v>529</v>
      </c>
      <c r="J38" s="103">
        <v>90</v>
      </c>
      <c r="K38" s="66">
        <v>360</v>
      </c>
      <c r="L38" s="66">
        <v>2100</v>
      </c>
      <c r="M38" s="164">
        <v>24.002513725117502</v>
      </c>
      <c r="N38" s="78">
        <v>5437.3955999999998</v>
      </c>
      <c r="O38" s="78">
        <v>530</v>
      </c>
      <c r="P38" s="113">
        <v>95383.053553911304</v>
      </c>
      <c r="Q38" s="110">
        <v>31402.731577662726</v>
      </c>
      <c r="R38" s="113">
        <v>126785.78513157403</v>
      </c>
      <c r="T38" s="7" t="s">
        <v>7584</v>
      </c>
    </row>
    <row r="39" spans="1:20" ht="16.5" thickBot="1">
      <c r="A39" s="1107" t="s">
        <v>426</v>
      </c>
      <c r="B39" s="1111">
        <f t="shared" si="0"/>
        <v>90</v>
      </c>
      <c r="C39" s="1111" t="s">
        <v>3</v>
      </c>
      <c r="D39" s="1111">
        <f t="shared" si="1"/>
        <v>360</v>
      </c>
      <c r="E39" s="1111" t="s">
        <v>3</v>
      </c>
      <c r="F39" s="1109">
        <f t="shared" si="2"/>
        <v>2150</v>
      </c>
      <c r="G39" s="1111" t="s">
        <v>3</v>
      </c>
      <c r="H39" s="1108">
        <v>2</v>
      </c>
      <c r="I39" s="1110" t="s">
        <v>529</v>
      </c>
      <c r="J39" s="103">
        <v>90</v>
      </c>
      <c r="K39" s="66">
        <v>360</v>
      </c>
      <c r="L39" s="66">
        <v>2150</v>
      </c>
      <c r="M39" s="164">
        <v>24.582247113885003</v>
      </c>
      <c r="N39" s="78">
        <v>5592.7497599999997</v>
      </c>
      <c r="O39" s="78">
        <v>530</v>
      </c>
      <c r="P39" s="113">
        <v>96748.455586980723</v>
      </c>
      <c r="Q39" s="110">
        <v>32006.152461900914</v>
      </c>
      <c r="R39" s="113">
        <v>128754.60804888164</v>
      </c>
      <c r="T39" s="7" t="s">
        <v>7585</v>
      </c>
    </row>
    <row r="40" spans="1:20" ht="16.5" thickBot="1">
      <c r="A40" s="1107" t="s">
        <v>426</v>
      </c>
      <c r="B40" s="1111">
        <f t="shared" si="0"/>
        <v>90</v>
      </c>
      <c r="C40" s="1111" t="s">
        <v>3</v>
      </c>
      <c r="D40" s="1111">
        <f t="shared" si="1"/>
        <v>360</v>
      </c>
      <c r="E40" s="1111" t="s">
        <v>3</v>
      </c>
      <c r="F40" s="1109">
        <f t="shared" si="2"/>
        <v>2200</v>
      </c>
      <c r="G40" s="1111" t="s">
        <v>3</v>
      </c>
      <c r="H40" s="1108">
        <v>2</v>
      </c>
      <c r="I40" s="1110" t="s">
        <v>529</v>
      </c>
      <c r="J40" s="103">
        <v>90</v>
      </c>
      <c r="K40" s="66">
        <v>360</v>
      </c>
      <c r="L40" s="66">
        <v>2200</v>
      </c>
      <c r="M40" s="164">
        <v>25.0550205026525</v>
      </c>
      <c r="N40" s="78">
        <v>5748.1039199999996</v>
      </c>
      <c r="O40" s="78">
        <v>530</v>
      </c>
      <c r="P40" s="113">
        <v>98113.795963600613</v>
      </c>
      <c r="Q40" s="110">
        <v>32860.907483922878</v>
      </c>
      <c r="R40" s="113">
        <v>130974.7034475235</v>
      </c>
      <c r="T40" s="7" t="s">
        <v>7586</v>
      </c>
    </row>
    <row r="41" spans="1:20" ht="16.5" thickBot="1">
      <c r="A41" s="1107" t="s">
        <v>426</v>
      </c>
      <c r="B41" s="1111">
        <f t="shared" si="0"/>
        <v>90</v>
      </c>
      <c r="C41" s="1111" t="s">
        <v>3</v>
      </c>
      <c r="D41" s="1111">
        <f t="shared" si="1"/>
        <v>360</v>
      </c>
      <c r="E41" s="1111" t="s">
        <v>3</v>
      </c>
      <c r="F41" s="1109">
        <f t="shared" si="2"/>
        <v>2250</v>
      </c>
      <c r="G41" s="1111" t="s">
        <v>3</v>
      </c>
      <c r="H41" s="1108">
        <v>2</v>
      </c>
      <c r="I41" s="1110" t="s">
        <v>529</v>
      </c>
      <c r="J41" s="103">
        <v>90</v>
      </c>
      <c r="K41" s="66">
        <v>360</v>
      </c>
      <c r="L41" s="66">
        <v>2250</v>
      </c>
      <c r="M41" s="164">
        <v>25.510753891420002</v>
      </c>
      <c r="N41" s="78">
        <v>5903.4580799999994</v>
      </c>
      <c r="O41" s="78">
        <v>530</v>
      </c>
      <c r="P41" s="113">
        <v>99888.990532739917</v>
      </c>
      <c r="Q41" s="110">
        <v>33464.328368161063</v>
      </c>
      <c r="R41" s="113">
        <v>133353.31890090098</v>
      </c>
      <c r="T41" s="7" t="s">
        <v>7587</v>
      </c>
    </row>
    <row r="42" spans="1:20" ht="16.5" thickBot="1">
      <c r="A42" s="1107" t="s">
        <v>426</v>
      </c>
      <c r="B42" s="1111">
        <f t="shared" si="0"/>
        <v>90</v>
      </c>
      <c r="C42" s="1111" t="s">
        <v>3</v>
      </c>
      <c r="D42" s="1111">
        <f t="shared" si="1"/>
        <v>360</v>
      </c>
      <c r="E42" s="1111" t="s">
        <v>3</v>
      </c>
      <c r="F42" s="1109">
        <f t="shared" si="2"/>
        <v>2300</v>
      </c>
      <c r="G42" s="1111" t="s">
        <v>3</v>
      </c>
      <c r="H42" s="1108">
        <v>2</v>
      </c>
      <c r="I42" s="1110" t="s">
        <v>529</v>
      </c>
      <c r="J42" s="103">
        <v>90</v>
      </c>
      <c r="K42" s="66">
        <v>360</v>
      </c>
      <c r="L42" s="66">
        <v>2300</v>
      </c>
      <c r="M42" s="164">
        <v>25.966487280187501</v>
      </c>
      <c r="N42" s="78">
        <v>6058.8122400000002</v>
      </c>
      <c r="O42" s="78">
        <v>530</v>
      </c>
      <c r="P42" s="113">
        <v>100942.84036533191</v>
      </c>
      <c r="Q42" s="110">
        <v>34067.749252399248</v>
      </c>
      <c r="R42" s="113">
        <v>135010.58961773117</v>
      </c>
      <c r="T42" s="7" t="s">
        <v>7588</v>
      </c>
    </row>
    <row r="43" spans="1:20" ht="16.5" thickBot="1">
      <c r="A43" s="1107" t="s">
        <v>426</v>
      </c>
      <c r="B43" s="1111">
        <f t="shared" si="0"/>
        <v>90</v>
      </c>
      <c r="C43" s="1111" t="s">
        <v>3</v>
      </c>
      <c r="D43" s="1111">
        <f t="shared" si="1"/>
        <v>360</v>
      </c>
      <c r="E43" s="1111" t="s">
        <v>3</v>
      </c>
      <c r="F43" s="1109">
        <f t="shared" si="2"/>
        <v>2350</v>
      </c>
      <c r="G43" s="1111" t="s">
        <v>3</v>
      </c>
      <c r="H43" s="1108">
        <v>2</v>
      </c>
      <c r="I43" s="1110" t="s">
        <v>529</v>
      </c>
      <c r="J43" s="103">
        <v>90</v>
      </c>
      <c r="K43" s="66">
        <v>360</v>
      </c>
      <c r="L43" s="66">
        <v>2350</v>
      </c>
      <c r="M43" s="164">
        <v>26.439260668955001</v>
      </c>
      <c r="N43" s="78">
        <v>6214.1664000000001</v>
      </c>
      <c r="O43" s="78">
        <v>530</v>
      </c>
      <c r="P43" s="113">
        <v>101996.62854147442</v>
      </c>
      <c r="Q43" s="110">
        <v>34922.504274421211</v>
      </c>
      <c r="R43" s="113">
        <v>136919.13281589563</v>
      </c>
      <c r="T43" s="7" t="s">
        <v>7589</v>
      </c>
    </row>
    <row r="44" spans="1:20" ht="16.5" thickBot="1">
      <c r="A44" s="1107" t="s">
        <v>426</v>
      </c>
      <c r="B44" s="1111">
        <f t="shared" si="0"/>
        <v>90</v>
      </c>
      <c r="C44" s="1111" t="s">
        <v>3</v>
      </c>
      <c r="D44" s="1111">
        <f t="shared" si="1"/>
        <v>360</v>
      </c>
      <c r="E44" s="1111" t="s">
        <v>3</v>
      </c>
      <c r="F44" s="1109">
        <f t="shared" si="2"/>
        <v>2400</v>
      </c>
      <c r="G44" s="1111" t="s">
        <v>3</v>
      </c>
      <c r="H44" s="1108">
        <v>2</v>
      </c>
      <c r="I44" s="1110" t="s">
        <v>529</v>
      </c>
      <c r="J44" s="103">
        <v>90</v>
      </c>
      <c r="K44" s="66">
        <v>360</v>
      </c>
      <c r="L44" s="66">
        <v>2400</v>
      </c>
      <c r="M44" s="164">
        <v>26.894994057722499</v>
      </c>
      <c r="N44" s="78">
        <v>6369.520559999999</v>
      </c>
      <c r="O44" s="78">
        <v>530</v>
      </c>
      <c r="P44" s="113">
        <v>103050.3549340407</v>
      </c>
      <c r="Q44" s="110">
        <v>35525.925158659396</v>
      </c>
      <c r="R44" s="113">
        <v>138576.28009270009</v>
      </c>
      <c r="T44" s="7" t="s">
        <v>7590</v>
      </c>
    </row>
    <row r="45" spans="1:20" ht="16.5" thickBot="1">
      <c r="A45" s="1107" t="s">
        <v>426</v>
      </c>
      <c r="B45" s="1111">
        <f t="shared" si="0"/>
        <v>90</v>
      </c>
      <c r="C45" s="1111" t="s">
        <v>3</v>
      </c>
      <c r="D45" s="1111">
        <f t="shared" si="1"/>
        <v>360</v>
      </c>
      <c r="E45" s="1111" t="s">
        <v>3</v>
      </c>
      <c r="F45" s="1109">
        <f t="shared" si="2"/>
        <v>2450</v>
      </c>
      <c r="G45" s="1111" t="s">
        <v>3</v>
      </c>
      <c r="H45" s="1108">
        <v>2</v>
      </c>
      <c r="I45" s="1110" t="s">
        <v>529</v>
      </c>
      <c r="J45" s="103">
        <v>90</v>
      </c>
      <c r="K45" s="66">
        <v>360</v>
      </c>
      <c r="L45" s="66">
        <v>2450</v>
      </c>
      <c r="M45" s="164">
        <v>28.069332339289996</v>
      </c>
      <c r="N45" s="78">
        <v>6524.8747200000007</v>
      </c>
      <c r="O45" s="78">
        <v>530</v>
      </c>
      <c r="P45" s="113">
        <v>104782.07738397471</v>
      </c>
      <c r="Q45" s="110">
        <v>36380.680180681353</v>
      </c>
      <c r="R45" s="113">
        <v>141162.75756465606</v>
      </c>
      <c r="T45" s="7" t="s">
        <v>7591</v>
      </c>
    </row>
    <row r="46" spans="1:20" ht="16.5" thickBot="1">
      <c r="A46" s="1107" t="s">
        <v>426</v>
      </c>
      <c r="B46" s="1111">
        <f t="shared" si="0"/>
        <v>90</v>
      </c>
      <c r="C46" s="1111" t="s">
        <v>3</v>
      </c>
      <c r="D46" s="1111">
        <f t="shared" si="1"/>
        <v>360</v>
      </c>
      <c r="E46" s="1111" t="s">
        <v>3</v>
      </c>
      <c r="F46" s="1109">
        <f t="shared" si="2"/>
        <v>2500</v>
      </c>
      <c r="G46" s="1111" t="s">
        <v>3</v>
      </c>
      <c r="H46" s="1108">
        <v>2</v>
      </c>
      <c r="I46" s="1110" t="s">
        <v>529</v>
      </c>
      <c r="J46" s="103">
        <v>90</v>
      </c>
      <c r="K46" s="66">
        <v>360</v>
      </c>
      <c r="L46" s="66">
        <v>2500</v>
      </c>
      <c r="M46" s="164">
        <v>28.988065728057503</v>
      </c>
      <c r="N46" s="78">
        <v>6680.2288799999997</v>
      </c>
      <c r="O46" s="78">
        <v>800</v>
      </c>
      <c r="P46" s="113">
        <v>106659.4616067687</v>
      </c>
      <c r="Q46" s="110">
        <v>36984.101064919538</v>
      </c>
      <c r="R46" s="113">
        <v>143643.56267168824</v>
      </c>
      <c r="T46" s="7" t="s">
        <v>7592</v>
      </c>
    </row>
    <row r="47" spans="1:20" ht="16.5" thickBot="1">
      <c r="A47" s="1107" t="s">
        <v>426</v>
      </c>
      <c r="B47" s="1111">
        <f t="shared" si="0"/>
        <v>90</v>
      </c>
      <c r="C47" s="1111" t="s">
        <v>3</v>
      </c>
      <c r="D47" s="1111">
        <f t="shared" si="1"/>
        <v>360</v>
      </c>
      <c r="E47" s="1111" t="s">
        <v>3</v>
      </c>
      <c r="F47" s="1109">
        <f t="shared" si="2"/>
        <v>2550</v>
      </c>
      <c r="G47" s="1111" t="s">
        <v>3</v>
      </c>
      <c r="H47" s="1108">
        <v>2</v>
      </c>
      <c r="I47" s="1110" t="s">
        <v>529</v>
      </c>
      <c r="J47" s="103">
        <v>90</v>
      </c>
      <c r="K47" s="66">
        <v>360</v>
      </c>
      <c r="L47" s="66">
        <v>2550</v>
      </c>
      <c r="M47" s="164">
        <v>29.460839116825003</v>
      </c>
      <c r="N47" s="78">
        <v>6835.5830399999995</v>
      </c>
      <c r="O47" s="78">
        <v>800</v>
      </c>
      <c r="P47" s="113">
        <v>111937.50412356772</v>
      </c>
      <c r="Q47" s="110">
        <v>37838.856239970264</v>
      </c>
      <c r="R47" s="113">
        <v>149776.36036353797</v>
      </c>
      <c r="T47" s="7" t="s">
        <v>7593</v>
      </c>
    </row>
    <row r="48" spans="1:20" ht="16.5" thickBot="1">
      <c r="A48" s="1107" t="s">
        <v>426</v>
      </c>
      <c r="B48" s="1108">
        <f t="shared" si="0"/>
        <v>90</v>
      </c>
      <c r="C48" s="1108" t="s">
        <v>3</v>
      </c>
      <c r="D48" s="1108">
        <f t="shared" si="1"/>
        <v>360</v>
      </c>
      <c r="E48" s="1108" t="s">
        <v>3</v>
      </c>
      <c r="F48" s="1109">
        <f t="shared" si="2"/>
        <v>2600</v>
      </c>
      <c r="G48" s="1108" t="s">
        <v>3</v>
      </c>
      <c r="H48" s="1108">
        <v>2</v>
      </c>
      <c r="I48" s="1110" t="s">
        <v>529</v>
      </c>
      <c r="J48" s="103">
        <v>90</v>
      </c>
      <c r="K48" s="66">
        <v>360</v>
      </c>
      <c r="L48" s="66">
        <v>2600</v>
      </c>
      <c r="M48" s="164">
        <v>29.916572505592502</v>
      </c>
      <c r="N48" s="78">
        <v>6990.9371999999994</v>
      </c>
      <c r="O48" s="78">
        <v>800</v>
      </c>
      <c r="P48" s="113">
        <v>113337.99325296382</v>
      </c>
      <c r="Q48" s="110">
        <v>38442.277124208456</v>
      </c>
      <c r="R48" s="113">
        <v>151780.27037717227</v>
      </c>
      <c r="T48" s="7" t="s">
        <v>7594</v>
      </c>
    </row>
    <row r="49" spans="1:20" ht="16.5" thickBot="1">
      <c r="A49" s="1107" t="s">
        <v>426</v>
      </c>
      <c r="B49" s="1111">
        <f t="shared" si="0"/>
        <v>90</v>
      </c>
      <c r="C49" s="1111" t="s">
        <v>3</v>
      </c>
      <c r="D49" s="1111">
        <f t="shared" si="1"/>
        <v>360</v>
      </c>
      <c r="E49" s="1111" t="s">
        <v>3</v>
      </c>
      <c r="F49" s="1109">
        <f t="shared" si="2"/>
        <v>2650</v>
      </c>
      <c r="G49" s="1111" t="s">
        <v>3</v>
      </c>
      <c r="H49" s="1108">
        <v>2</v>
      </c>
      <c r="I49" s="1110" t="s">
        <v>529</v>
      </c>
      <c r="J49" s="103">
        <v>90</v>
      </c>
      <c r="K49" s="66">
        <v>360</v>
      </c>
      <c r="L49" s="66">
        <v>2650</v>
      </c>
      <c r="M49" s="164">
        <v>30.496345894360005</v>
      </c>
      <c r="N49" s="78">
        <v>7146.2913599999993</v>
      </c>
      <c r="O49" s="78">
        <v>800</v>
      </c>
      <c r="P49" s="113">
        <v>114186.27552498152</v>
      </c>
      <c r="Q49" s="110">
        <v>39297.032146230413</v>
      </c>
      <c r="R49" s="113">
        <v>153483.30767121195</v>
      </c>
      <c r="T49" s="7" t="s">
        <v>7595</v>
      </c>
    </row>
    <row r="50" spans="1:20" ht="16.5" thickBot="1">
      <c r="A50" s="1107" t="s">
        <v>426</v>
      </c>
      <c r="B50" s="1111">
        <f t="shared" si="0"/>
        <v>90</v>
      </c>
      <c r="C50" s="1111" t="s">
        <v>3</v>
      </c>
      <c r="D50" s="1111">
        <f t="shared" si="1"/>
        <v>360</v>
      </c>
      <c r="E50" s="1111" t="s">
        <v>3</v>
      </c>
      <c r="F50" s="1109">
        <f t="shared" si="2"/>
        <v>2700</v>
      </c>
      <c r="G50" s="1111" t="s">
        <v>3</v>
      </c>
      <c r="H50" s="1108">
        <v>2</v>
      </c>
      <c r="I50" s="1110" t="s">
        <v>529</v>
      </c>
      <c r="J50" s="103">
        <v>90</v>
      </c>
      <c r="K50" s="66">
        <v>360</v>
      </c>
      <c r="L50" s="66">
        <v>2700</v>
      </c>
      <c r="M50" s="164">
        <v>30.991329283127502</v>
      </c>
      <c r="N50" s="78">
        <v>7301.64552</v>
      </c>
      <c r="O50" s="78">
        <v>800</v>
      </c>
      <c r="P50" s="113">
        <v>115079.8652443724</v>
      </c>
      <c r="Q50" s="110">
        <v>39900.453030468605</v>
      </c>
      <c r="R50" s="113">
        <v>154980.318274841</v>
      </c>
      <c r="T50" s="7" t="s">
        <v>7596</v>
      </c>
    </row>
    <row r="51" spans="1:20" ht="16.5" thickBot="1">
      <c r="A51" s="1107" t="s">
        <v>426</v>
      </c>
      <c r="B51" s="1111">
        <f t="shared" si="0"/>
        <v>90</v>
      </c>
      <c r="C51" s="1111" t="s">
        <v>3</v>
      </c>
      <c r="D51" s="1111">
        <f t="shared" si="1"/>
        <v>360</v>
      </c>
      <c r="E51" s="1111" t="s">
        <v>3</v>
      </c>
      <c r="F51" s="1109">
        <f t="shared" si="2"/>
        <v>2750</v>
      </c>
      <c r="G51" s="1111" t="s">
        <v>3</v>
      </c>
      <c r="H51" s="1108">
        <v>2</v>
      </c>
      <c r="I51" s="1110" t="s">
        <v>529</v>
      </c>
      <c r="J51" s="103">
        <v>90</v>
      </c>
      <c r="K51" s="66">
        <v>360</v>
      </c>
      <c r="L51" s="66">
        <v>2750</v>
      </c>
      <c r="M51" s="164">
        <v>31.447062671895001</v>
      </c>
      <c r="N51" s="78">
        <v>7456.9996799999999</v>
      </c>
      <c r="O51" s="78">
        <v>800</v>
      </c>
      <c r="P51" s="113">
        <v>116032.86190630682</v>
      </c>
      <c r="Q51" s="110">
        <v>40503.87391470679</v>
      </c>
      <c r="R51" s="113">
        <v>156536.7358210136</v>
      </c>
      <c r="T51" s="7" t="s">
        <v>7597</v>
      </c>
    </row>
    <row r="52" spans="1:20" ht="16.5" thickBot="1">
      <c r="A52" s="1107" t="s">
        <v>426</v>
      </c>
      <c r="B52" s="1111">
        <f t="shared" si="0"/>
        <v>90</v>
      </c>
      <c r="C52" s="1111" t="s">
        <v>3</v>
      </c>
      <c r="D52" s="1111">
        <f t="shared" si="1"/>
        <v>360</v>
      </c>
      <c r="E52" s="1111" t="s">
        <v>3</v>
      </c>
      <c r="F52" s="1109">
        <f t="shared" si="2"/>
        <v>2800</v>
      </c>
      <c r="G52" s="1111" t="s">
        <v>3</v>
      </c>
      <c r="H52" s="1108">
        <v>2</v>
      </c>
      <c r="I52" s="1110" t="s">
        <v>529</v>
      </c>
      <c r="J52" s="103">
        <v>90</v>
      </c>
      <c r="K52" s="66">
        <v>360</v>
      </c>
      <c r="L52" s="66">
        <v>2800</v>
      </c>
      <c r="M52" s="164">
        <v>31.919836060662504</v>
      </c>
      <c r="N52" s="78">
        <v>7612.3538400000007</v>
      </c>
      <c r="O52" s="78">
        <v>800</v>
      </c>
      <c r="P52" s="113">
        <v>116879.56132378282</v>
      </c>
      <c r="Q52" s="110">
        <v>41358.628936728746</v>
      </c>
      <c r="R52" s="113">
        <v>158238.19026051156</v>
      </c>
      <c r="T52" s="7" t="s">
        <v>7598</v>
      </c>
    </row>
    <row r="53" spans="1:20" ht="16.5" thickBot="1">
      <c r="A53" s="1107" t="s">
        <v>426</v>
      </c>
      <c r="B53" s="1111">
        <f t="shared" si="0"/>
        <v>90</v>
      </c>
      <c r="C53" s="1111" t="s">
        <v>3</v>
      </c>
      <c r="D53" s="1111">
        <f t="shared" si="1"/>
        <v>360</v>
      </c>
      <c r="E53" s="1111" t="s">
        <v>3</v>
      </c>
      <c r="F53" s="1109">
        <f t="shared" si="2"/>
        <v>2850</v>
      </c>
      <c r="G53" s="1111" t="s">
        <v>3</v>
      </c>
      <c r="H53" s="1108">
        <v>2</v>
      </c>
      <c r="I53" s="1110" t="s">
        <v>529</v>
      </c>
      <c r="J53" s="103">
        <v>90</v>
      </c>
      <c r="K53" s="66">
        <v>360</v>
      </c>
      <c r="L53" s="66">
        <v>2850</v>
      </c>
      <c r="M53" s="164">
        <v>32.375569449430003</v>
      </c>
      <c r="N53" s="78">
        <v>7767.7079999999987</v>
      </c>
      <c r="O53" s="78">
        <v>800</v>
      </c>
      <c r="P53" s="113">
        <v>117726.19921193601</v>
      </c>
      <c r="Q53" s="110">
        <v>41962.049820966939</v>
      </c>
      <c r="R53" s="113">
        <v>159688.24903290294</v>
      </c>
      <c r="T53" s="7" t="s">
        <v>7599</v>
      </c>
    </row>
    <row r="54" spans="1:20" ht="16.5" thickBot="1">
      <c r="A54" s="1107" t="s">
        <v>426</v>
      </c>
      <c r="B54" s="1111">
        <f t="shared" si="0"/>
        <v>90</v>
      </c>
      <c r="C54" s="1111" t="s">
        <v>3</v>
      </c>
      <c r="D54" s="1111">
        <f t="shared" si="1"/>
        <v>360</v>
      </c>
      <c r="E54" s="1111" t="s">
        <v>3</v>
      </c>
      <c r="F54" s="1109">
        <f t="shared" si="2"/>
        <v>2900</v>
      </c>
      <c r="G54" s="1111" t="s">
        <v>3</v>
      </c>
      <c r="H54" s="1108">
        <v>2</v>
      </c>
      <c r="I54" s="1110" t="s">
        <v>529</v>
      </c>
      <c r="J54" s="103">
        <v>90</v>
      </c>
      <c r="K54" s="66">
        <v>360</v>
      </c>
      <c r="L54" s="66">
        <v>2900</v>
      </c>
      <c r="M54" s="164">
        <v>33.024342838197498</v>
      </c>
      <c r="N54" s="78">
        <v>7923.0621599999986</v>
      </c>
      <c r="O54" s="78">
        <v>800</v>
      </c>
      <c r="P54" s="113">
        <v>118572.77518938632</v>
      </c>
      <c r="Q54" s="110">
        <v>42816.804842988895</v>
      </c>
      <c r="R54" s="113">
        <v>161389.5800323752</v>
      </c>
      <c r="T54" s="7" t="s">
        <v>7600</v>
      </c>
    </row>
    <row r="55" spans="1:20" ht="16.5" thickBot="1">
      <c r="A55" s="1107" t="s">
        <v>426</v>
      </c>
      <c r="B55" s="1111">
        <f t="shared" si="0"/>
        <v>90</v>
      </c>
      <c r="C55" s="1111" t="s">
        <v>3</v>
      </c>
      <c r="D55" s="1111">
        <f t="shared" si="1"/>
        <v>360</v>
      </c>
      <c r="E55" s="1111" t="s">
        <v>3</v>
      </c>
      <c r="F55" s="1109">
        <f t="shared" si="2"/>
        <v>2950</v>
      </c>
      <c r="G55" s="1111" t="s">
        <v>3</v>
      </c>
      <c r="H55" s="1108">
        <v>2</v>
      </c>
      <c r="I55" s="1110" t="s">
        <v>529</v>
      </c>
      <c r="J55" s="103">
        <v>90</v>
      </c>
      <c r="K55" s="66">
        <v>360</v>
      </c>
      <c r="L55" s="66">
        <v>2950</v>
      </c>
      <c r="M55" s="164">
        <v>33.480076226965004</v>
      </c>
      <c r="N55" s="78">
        <v>8078.4163199999994</v>
      </c>
      <c r="O55" s="78">
        <v>800</v>
      </c>
      <c r="P55" s="113">
        <v>119419.28976464052</v>
      </c>
      <c r="Q55" s="110">
        <v>43420.22572722708</v>
      </c>
      <c r="R55" s="113">
        <v>162839.51549186761</v>
      </c>
      <c r="T55" s="7" t="s">
        <v>7601</v>
      </c>
    </row>
    <row r="56" spans="1:20" ht="16.5" thickBot="1">
      <c r="A56" s="1107" t="s">
        <v>426</v>
      </c>
      <c r="B56" s="1111">
        <f t="shared" si="0"/>
        <v>90</v>
      </c>
      <c r="C56" s="1111" t="s">
        <v>3</v>
      </c>
      <c r="D56" s="1111">
        <f t="shared" si="1"/>
        <v>360</v>
      </c>
      <c r="E56" s="1111" t="s">
        <v>3</v>
      </c>
      <c r="F56" s="1109">
        <f t="shared" si="2"/>
        <v>3000</v>
      </c>
      <c r="G56" s="1111" t="s">
        <v>3</v>
      </c>
      <c r="H56" s="1108">
        <v>2</v>
      </c>
      <c r="I56" s="1110" t="s">
        <v>529</v>
      </c>
      <c r="J56" s="125">
        <v>90</v>
      </c>
      <c r="K56" s="126">
        <v>360</v>
      </c>
      <c r="L56" s="126">
        <v>3000</v>
      </c>
      <c r="M56" s="171">
        <v>34.402849615732499</v>
      </c>
      <c r="N56" s="127">
        <v>8233.7704799999992</v>
      </c>
      <c r="O56" s="127">
        <v>1000</v>
      </c>
      <c r="P56" s="128">
        <v>123298.43668522791</v>
      </c>
      <c r="Q56" s="136">
        <v>44274.980749249036</v>
      </c>
      <c r="R56" s="128">
        <v>167573.41743447696</v>
      </c>
      <c r="T56" s="7" t="s">
        <v>7602</v>
      </c>
    </row>
  </sheetData>
  <mergeCells count="11">
    <mergeCell ref="R4:R5"/>
    <mergeCell ref="P6:R6"/>
    <mergeCell ref="A8:R8"/>
    <mergeCell ref="A9:R9"/>
    <mergeCell ref="A4:I6"/>
    <mergeCell ref="J4:M5"/>
    <mergeCell ref="N4:N6"/>
    <mergeCell ref="O4:O6"/>
    <mergeCell ref="P4:P5"/>
    <mergeCell ref="Q4:Q5"/>
    <mergeCell ref="A7:R7"/>
  </mergeCells>
  <hyperlinks>
    <hyperlink ref="A1:I1" location="Главная!A1" display="Вернуться на главную страницу" xr:uid="{00000000-0004-0000-2400-000000000000}"/>
    <hyperlink ref="A2" location="'Калькулятор теплоотдач ВКВ'!R1C1" display="Вернуться Калькулятор теплоотдач ВКВ" xr:uid="{00000000-0004-0000-2400-000001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AB396-B1D6-4CF3-A13B-7A3E1C17BEB3}">
  <sheetPr>
    <tabColor rgb="FFFF5050"/>
  </sheetPr>
  <dimension ref="A1:OE357"/>
  <sheetViews>
    <sheetView zoomScale="85" zoomScaleNormal="85" workbookViewId="0">
      <selection sqref="A1:I1"/>
    </sheetView>
  </sheetViews>
  <sheetFormatPr defaultRowHeight="15"/>
  <cols>
    <col min="1" max="1" width="9.140625" style="65"/>
    <col min="2" max="2" width="33.85546875" style="65" customWidth="1"/>
    <col min="3" max="3" width="34.85546875" style="65" customWidth="1"/>
    <col min="4" max="16384" width="9.140625" style="65"/>
  </cols>
  <sheetData>
    <row r="1" spans="1:16" s="1839" customFormat="1" ht="15.75">
      <c r="A1" s="2070" t="s">
        <v>9</v>
      </c>
      <c r="B1" s="2070"/>
      <c r="C1" s="2070"/>
      <c r="D1" s="2070"/>
      <c r="E1" s="2070"/>
      <c r="F1" s="2070"/>
      <c r="G1" s="2070"/>
      <c r="H1" s="2070"/>
      <c r="I1" s="2070"/>
    </row>
    <row r="2" spans="1:16" s="1839" customFormat="1"/>
    <row r="3" spans="1:16" s="1839" customFormat="1"/>
    <row r="4" spans="1:16" s="1839" customFormat="1"/>
    <row r="5" spans="1:16" s="1839" customFormat="1"/>
    <row r="6" spans="1:16" s="1839" customFormat="1"/>
    <row r="7" spans="1:16" s="1839" customFormat="1"/>
    <row r="8" spans="1:16" s="1839" customFormat="1"/>
    <row r="9" spans="1:16" s="1839" customFormat="1"/>
    <row r="10" spans="1:16" s="1839" customFormat="1" ht="16.5" customHeight="1"/>
    <row r="11" spans="1:16" s="1839" customFormat="1"/>
    <row r="12" spans="1:16" s="1882" customFormat="1" ht="15.75" thickBot="1"/>
    <row r="13" spans="1:16" s="1882" customFormat="1" ht="16.5" thickBot="1">
      <c r="B13" s="3192" t="s">
        <v>7631</v>
      </c>
      <c r="C13" s="3193"/>
      <c r="H13" s="3189" t="s">
        <v>7632</v>
      </c>
      <c r="I13" s="3190"/>
      <c r="J13" s="3190"/>
      <c r="K13" s="3190"/>
      <c r="L13" s="3190"/>
      <c r="M13" s="3190"/>
      <c r="N13" s="3190"/>
      <c r="O13" s="3190"/>
      <c r="P13" s="3191"/>
    </row>
    <row r="14" spans="1:16" s="1882" customFormat="1" ht="31.5" customHeight="1" thickBot="1">
      <c r="B14" s="1095" t="s">
        <v>363</v>
      </c>
      <c r="C14" s="1096">
        <v>0.5</v>
      </c>
    </row>
    <row r="15" spans="1:16" s="1882" customFormat="1" ht="17.25" customHeight="1" thickBot="1">
      <c r="B15" s="3192" t="s">
        <v>7630</v>
      </c>
      <c r="C15" s="3193"/>
    </row>
    <row r="16" spans="1:16" s="1882" customFormat="1" ht="31.5" customHeight="1" thickBot="1">
      <c r="B16" s="1095" t="s">
        <v>7635</v>
      </c>
      <c r="C16" s="1884">
        <v>25000</v>
      </c>
    </row>
    <row r="17" spans="2:3" s="1882" customFormat="1" ht="15" customHeight="1" thickBot="1"/>
    <row r="18" spans="2:3" s="1882" customFormat="1" ht="18" customHeight="1" thickBot="1">
      <c r="B18" s="3194" t="s">
        <v>7633</v>
      </c>
      <c r="C18" s="3195"/>
    </row>
    <row r="19" spans="2:3" s="1882" customFormat="1" ht="21" customHeight="1">
      <c r="B19" s="129" t="s">
        <v>66</v>
      </c>
      <c r="C19" s="130" t="s">
        <v>32</v>
      </c>
    </row>
    <row r="20" spans="2:3" s="1882" customFormat="1" ht="32.25" customHeight="1">
      <c r="B20" s="120" t="s">
        <v>7610</v>
      </c>
      <c r="C20" s="1885" t="s">
        <v>296</v>
      </c>
    </row>
    <row r="21" spans="2:3" s="1882" customFormat="1" ht="21" customHeight="1">
      <c r="B21" s="24" t="s">
        <v>7611</v>
      </c>
      <c r="C21" s="131">
        <v>20</v>
      </c>
    </row>
    <row r="22" spans="2:3" s="1882" customFormat="1" ht="26.25" customHeight="1" thickBot="1">
      <c r="B22" s="25" t="s">
        <v>7612</v>
      </c>
      <c r="C22" s="132">
        <v>30</v>
      </c>
    </row>
    <row r="23" spans="2:3" s="1882" customFormat="1"/>
    <row r="24" spans="2:3" s="1882" customFormat="1"/>
    <row r="25" spans="2:3" s="1882" customFormat="1"/>
    <row r="26" spans="2:3" s="1882" customFormat="1"/>
    <row r="27" spans="2:3" s="1882" customFormat="1"/>
    <row r="28" spans="2:3" s="1882" customFormat="1"/>
    <row r="29" spans="2:3" s="1882" customFormat="1"/>
    <row r="30" spans="2:3" s="1882" customFormat="1"/>
    <row r="31" spans="2:3" s="1882" customFormat="1" ht="17.25" customHeight="1"/>
    <row r="32" spans="2:3" s="1882" customFormat="1" ht="16.5" customHeight="1"/>
    <row r="33" spans="8:8" s="1898" customFormat="1" ht="19.5" customHeight="1"/>
    <row r="34" spans="8:8" s="1898" customFormat="1" ht="19.5" customHeight="1"/>
    <row r="35" spans="8:8" s="1898" customFormat="1" ht="14.25" customHeight="1">
      <c r="H35" s="1898" t="s">
        <v>122</v>
      </c>
    </row>
    <row r="36" spans="8:8" s="1898" customFormat="1" ht="14.25" customHeight="1">
      <c r="H36" s="1898" t="s">
        <v>5749</v>
      </c>
    </row>
    <row r="37" spans="8:8" s="1898" customFormat="1" ht="14.25" customHeight="1">
      <c r="H37" s="77" t="s">
        <v>5739</v>
      </c>
    </row>
    <row r="38" spans="8:8" s="1882" customFormat="1" ht="18" customHeight="1"/>
    <row r="39" spans="8:8" s="1882" customFormat="1" ht="21" customHeight="1"/>
    <row r="40" spans="8:8" s="1882" customFormat="1" ht="32.25" customHeight="1"/>
    <row r="41" spans="8:8" s="1882" customFormat="1" ht="21" customHeight="1"/>
    <row r="42" spans="8:8" s="1882" customFormat="1" ht="26.25" customHeight="1"/>
    <row r="43" spans="8:8" s="1882" customFormat="1"/>
    <row r="44" spans="8:8" s="1882" customFormat="1"/>
    <row r="45" spans="8:8" s="1882" customFormat="1"/>
    <row r="46" spans="8:8" s="1882" customFormat="1"/>
    <row r="47" spans="8:8" s="1882" customFormat="1"/>
    <row r="48" spans="8:8" s="1882" customFormat="1"/>
    <row r="49" s="1882" customFormat="1"/>
    <row r="50" s="1839" customFormat="1"/>
    <row r="51" s="1839" customFormat="1"/>
    <row r="52" s="1839" customFormat="1"/>
    <row r="53" s="1839" customFormat="1"/>
    <row r="54" s="1839" customFormat="1"/>
    <row r="55" s="1839" customFormat="1"/>
    <row r="56" s="1839" customFormat="1"/>
    <row r="57" s="1839" customFormat="1"/>
    <row r="58" s="1839" customFormat="1"/>
    <row r="59" s="1839" customFormat="1"/>
    <row r="60" s="1839" customFormat="1"/>
    <row r="61" s="1839" customFormat="1"/>
    <row r="62" s="1839" customFormat="1"/>
    <row r="63" s="1839" customFormat="1"/>
    <row r="64" s="1839" customFormat="1"/>
    <row r="65" s="1839" customFormat="1"/>
    <row r="66" s="1839" customFormat="1"/>
    <row r="67" s="1839" customFormat="1"/>
    <row r="68" s="1839" customFormat="1"/>
    <row r="69" s="1839" customFormat="1"/>
    <row r="70" s="1839" customFormat="1"/>
    <row r="71" s="1839" customFormat="1"/>
    <row r="72" s="1839" customFormat="1"/>
    <row r="73" s="1839" customFormat="1"/>
    <row r="74" s="1839" customFormat="1"/>
    <row r="75" s="1839" customFormat="1"/>
    <row r="76" s="1839" customFormat="1"/>
    <row r="77" s="1839" customFormat="1"/>
    <row r="78" s="1839" customFormat="1"/>
    <row r="79" s="1839" customFormat="1"/>
    <row r="80" s="1839" customFormat="1"/>
    <row r="81" s="1839" customFormat="1"/>
    <row r="82" s="1839" customFormat="1"/>
    <row r="83" s="1839" customFormat="1"/>
    <row r="84" s="1839" customFormat="1"/>
    <row r="85" s="1839" customFormat="1"/>
    <row r="86" s="1839" customFormat="1"/>
    <row r="87" s="1839" customFormat="1"/>
    <row r="88" s="1839" customFormat="1"/>
    <row r="89" s="1839" customFormat="1"/>
    <row r="90" s="1839" customFormat="1"/>
    <row r="91" s="1839" customFormat="1"/>
    <row r="92" s="1839" customFormat="1"/>
    <row r="93" s="1839" customFormat="1"/>
    <row r="94" s="1839" customFormat="1"/>
    <row r="95" s="1839" customFormat="1"/>
    <row r="96" s="1839" customFormat="1"/>
    <row r="97" s="1839" customFormat="1"/>
    <row r="98" s="1839" customFormat="1"/>
    <row r="99" s="1839" customFormat="1"/>
    <row r="100" s="1839" customFormat="1"/>
    <row r="101" s="1839" customFormat="1"/>
    <row r="102" s="1839" customFormat="1"/>
    <row r="103" s="1839" customFormat="1"/>
    <row r="104" s="1839" customFormat="1"/>
    <row r="105" s="1839" customFormat="1"/>
    <row r="106" s="1839" customFormat="1"/>
    <row r="107" s="1839" customFormat="1"/>
    <row r="108" s="1839" customFormat="1"/>
    <row r="109" s="1839" customFormat="1"/>
    <row r="110" s="1839" customFormat="1"/>
    <row r="111" s="1839" customFormat="1"/>
    <row r="112" s="1839" customFormat="1"/>
    <row r="113" s="1839" customFormat="1"/>
    <row r="114" s="1839" customFormat="1"/>
    <row r="115" s="1839" customFormat="1"/>
    <row r="116" s="1839" customFormat="1"/>
    <row r="117" s="1839" customFormat="1"/>
    <row r="118" s="1839" customFormat="1"/>
    <row r="119" s="1839" customFormat="1"/>
    <row r="120" s="1839" customFormat="1"/>
    <row r="121" s="1839" customFormat="1"/>
    <row r="122" s="1839" customFormat="1"/>
    <row r="123" s="1839" customFormat="1"/>
    <row r="124" s="1839" customFormat="1"/>
    <row r="125" s="1839" customFormat="1"/>
    <row r="126" s="1839" customFormat="1"/>
    <row r="127" s="1839" customFormat="1"/>
    <row r="128" s="1839" customFormat="1"/>
    <row r="129" s="1839" customFormat="1"/>
    <row r="130" s="1839" customFormat="1"/>
    <row r="131" s="1839" customFormat="1"/>
    <row r="132" s="1839" customFormat="1"/>
    <row r="133" s="1839" customFormat="1"/>
    <row r="134" s="1839" customFormat="1"/>
    <row r="135" s="1839" customFormat="1"/>
    <row r="136" s="1839" customFormat="1"/>
    <row r="137" s="1839" customFormat="1"/>
    <row r="138" s="1839" customFormat="1"/>
    <row r="139" s="1839" customFormat="1"/>
    <row r="140" s="1839" customFormat="1"/>
    <row r="141" s="1839" customFormat="1"/>
    <row r="142" s="1839" customFormat="1"/>
    <row r="143" s="1839" customFormat="1"/>
    <row r="144" s="1839" customFormat="1"/>
    <row r="145" spans="1:395" s="1839" customFormat="1"/>
    <row r="146" spans="1:395" s="1839" customFormat="1"/>
    <row r="147" spans="1:395">
      <c r="A147" s="1839"/>
      <c r="B147" s="1839"/>
      <c r="C147" s="1839"/>
      <c r="D147" s="1839"/>
      <c r="E147" s="1839"/>
      <c r="F147" s="1839"/>
      <c r="G147" s="1839"/>
      <c r="H147" s="1839"/>
      <c r="I147" s="1839"/>
      <c r="J147" s="1839"/>
      <c r="K147" s="1839"/>
      <c r="L147" s="1839"/>
      <c r="M147" s="1839"/>
      <c r="N147" s="1839"/>
      <c r="O147" s="1839"/>
      <c r="P147" s="1839"/>
      <c r="Q147" s="1839"/>
      <c r="R147" s="1839"/>
      <c r="S147" s="1839"/>
      <c r="T147" s="1839"/>
      <c r="U147" s="1839"/>
      <c r="V147" s="1839"/>
      <c r="W147" s="1839"/>
      <c r="X147" s="1839"/>
      <c r="Y147" s="1839"/>
      <c r="Z147" s="1839"/>
      <c r="AA147" s="1839"/>
      <c r="AB147" s="1839"/>
      <c r="AC147" s="1839"/>
      <c r="AD147" s="1839"/>
      <c r="AE147" s="1839"/>
      <c r="AF147" s="1839"/>
      <c r="AG147" s="1839"/>
      <c r="AH147" s="1839"/>
      <c r="AI147" s="1839"/>
      <c r="AJ147" s="1839"/>
      <c r="AK147" s="1839"/>
      <c r="AL147" s="1839"/>
      <c r="AM147" s="1839"/>
      <c r="AN147" s="1839"/>
      <c r="AO147" s="1839"/>
      <c r="AP147" s="1839"/>
      <c r="AQ147" s="1839"/>
      <c r="AR147" s="1839"/>
      <c r="AS147" s="1839"/>
      <c r="AT147" s="1839"/>
      <c r="AU147" s="1839"/>
      <c r="AV147" s="1839"/>
      <c r="AW147" s="1839"/>
      <c r="AX147" s="1839"/>
      <c r="AY147" s="1839"/>
      <c r="AZ147" s="1839"/>
      <c r="BA147" s="1839"/>
      <c r="BB147" s="1839"/>
      <c r="BC147" s="1839"/>
      <c r="BD147" s="1839"/>
      <c r="BE147" s="1839"/>
      <c r="BF147" s="1839"/>
      <c r="BG147" s="1839"/>
      <c r="BH147" s="1839"/>
      <c r="BI147" s="1839"/>
      <c r="BJ147" s="1839"/>
      <c r="BK147" s="1839"/>
      <c r="BL147" s="1839"/>
      <c r="BM147" s="1839"/>
      <c r="BN147" s="1839"/>
      <c r="BO147" s="1839"/>
      <c r="BP147" s="1839"/>
      <c r="BQ147" s="1839"/>
      <c r="BR147" s="1839"/>
      <c r="BS147" s="1839"/>
      <c r="BT147" s="1839"/>
      <c r="BU147" s="1839"/>
      <c r="BV147" s="1839"/>
      <c r="BW147" s="1839"/>
      <c r="BX147" s="1839"/>
      <c r="BY147" s="1839"/>
      <c r="BZ147" s="1839"/>
      <c r="CA147" s="1839"/>
      <c r="CB147" s="1839"/>
      <c r="CC147" s="1839"/>
      <c r="CD147" s="1839"/>
      <c r="CE147" s="1839"/>
      <c r="CF147" s="1839"/>
      <c r="CG147" s="1839"/>
      <c r="CH147" s="1839"/>
      <c r="CI147" s="1839"/>
      <c r="CJ147" s="1839"/>
      <c r="CK147" s="1839"/>
      <c r="CL147" s="1839"/>
      <c r="CM147" s="1839"/>
      <c r="CN147" s="1839"/>
      <c r="CO147" s="1839"/>
      <c r="CP147" s="1839"/>
      <c r="CQ147" s="1839"/>
      <c r="CR147" s="1839"/>
      <c r="CS147" s="1839"/>
      <c r="CT147" s="1839"/>
      <c r="CU147" s="1839"/>
      <c r="CV147" s="1839"/>
      <c r="CW147" s="1839"/>
      <c r="CX147" s="1839"/>
      <c r="CY147" s="1839"/>
      <c r="CZ147" s="1839"/>
      <c r="DA147" s="1839"/>
      <c r="DB147" s="1839"/>
      <c r="DC147" s="1839"/>
      <c r="DD147" s="1839"/>
      <c r="DE147" s="1839"/>
      <c r="DF147" s="1839"/>
      <c r="DG147" s="1839"/>
      <c r="DH147" s="1839"/>
      <c r="DI147" s="1839"/>
      <c r="DJ147" s="1839"/>
      <c r="DK147" s="1839"/>
      <c r="DL147" s="1839"/>
      <c r="DM147" s="1839"/>
      <c r="DN147" s="1839"/>
      <c r="DO147" s="1839"/>
      <c r="DP147" s="1839"/>
      <c r="DQ147" s="1839"/>
      <c r="DR147" s="1839"/>
      <c r="DS147" s="1839"/>
      <c r="DT147" s="1839"/>
      <c r="DU147" s="1839"/>
      <c r="DV147" s="1839"/>
      <c r="DW147" s="1839"/>
      <c r="DX147" s="1839"/>
      <c r="DY147" s="1839"/>
      <c r="DZ147" s="1839"/>
      <c r="EA147" s="1839"/>
      <c r="EB147" s="1839"/>
      <c r="EC147" s="1839"/>
      <c r="ED147" s="1839"/>
      <c r="EE147" s="1839"/>
      <c r="EF147" s="1839"/>
      <c r="EG147" s="1839"/>
      <c r="EH147" s="1839"/>
      <c r="EI147" s="1839"/>
      <c r="EJ147" s="1839"/>
      <c r="EK147" s="1839"/>
      <c r="EL147" s="1839"/>
      <c r="EM147" s="1839"/>
      <c r="EN147" s="1839"/>
      <c r="EO147" s="1839"/>
      <c r="EP147" s="1839"/>
      <c r="EQ147" s="1839"/>
      <c r="ER147" s="1839"/>
      <c r="ES147" s="1839"/>
      <c r="ET147" s="1839"/>
      <c r="EU147" s="1839"/>
      <c r="EV147" s="1839"/>
      <c r="EW147" s="1839"/>
      <c r="EX147" s="1839"/>
      <c r="EY147" s="1839"/>
      <c r="EZ147" s="1839"/>
      <c r="FA147" s="1839"/>
      <c r="FB147" s="1839"/>
      <c r="FC147" s="1839"/>
      <c r="FD147" s="1839"/>
      <c r="FE147" s="1839"/>
      <c r="FF147" s="1839"/>
      <c r="FG147" s="1839"/>
      <c r="FH147" s="1839"/>
      <c r="FI147" s="1839"/>
      <c r="FJ147" s="1839"/>
      <c r="FK147" s="1839"/>
      <c r="FL147" s="1839"/>
      <c r="FM147" s="1839"/>
      <c r="FN147" s="1839"/>
      <c r="FO147" s="1839"/>
      <c r="FP147" s="1839"/>
      <c r="FQ147" s="1839"/>
      <c r="FR147" s="1839"/>
      <c r="FS147" s="1839"/>
      <c r="FT147" s="1839"/>
      <c r="FU147" s="1839"/>
      <c r="FV147" s="1839"/>
      <c r="FW147" s="1839"/>
      <c r="FX147" s="1839"/>
      <c r="FY147" s="1839"/>
      <c r="FZ147" s="1839"/>
      <c r="GA147" s="1839"/>
      <c r="GB147" s="1839"/>
      <c r="GC147" s="1839"/>
      <c r="GD147" s="1839"/>
      <c r="GE147" s="1839"/>
      <c r="GF147" s="1839"/>
      <c r="GG147" s="1839"/>
      <c r="GH147" s="1839"/>
      <c r="GI147" s="1839"/>
      <c r="GJ147" s="1839"/>
      <c r="GK147" s="1839"/>
      <c r="GL147" s="1839"/>
      <c r="GM147" s="1839"/>
      <c r="GN147" s="1839"/>
      <c r="GO147" s="1839"/>
      <c r="GP147" s="1839"/>
      <c r="GQ147" s="1839"/>
      <c r="GR147" s="1839"/>
      <c r="GS147" s="1839"/>
      <c r="GT147" s="1839"/>
      <c r="GU147" s="1839"/>
      <c r="GV147" s="1839"/>
      <c r="GW147" s="1839"/>
      <c r="GX147" s="1839"/>
      <c r="GY147" s="1839"/>
      <c r="GZ147" s="1839"/>
      <c r="HA147" s="1839"/>
      <c r="HB147" s="1839"/>
      <c r="HC147" s="1839"/>
      <c r="HD147" s="1839"/>
      <c r="HE147" s="1839"/>
      <c r="HF147" s="1839"/>
      <c r="HG147" s="1839"/>
      <c r="HH147" s="1839"/>
      <c r="HI147" s="1839"/>
      <c r="HJ147" s="1839"/>
      <c r="HK147" s="1839"/>
      <c r="HL147" s="1839"/>
      <c r="HM147" s="1839"/>
      <c r="HN147" s="1839"/>
      <c r="HO147" s="1839"/>
      <c r="HP147" s="1839"/>
      <c r="HQ147" s="1839"/>
      <c r="HR147" s="1839"/>
      <c r="HS147" s="1839"/>
      <c r="HT147" s="1839"/>
      <c r="HU147" s="1839"/>
      <c r="HV147" s="1839"/>
      <c r="HW147" s="1839"/>
      <c r="HX147" s="1839"/>
      <c r="HY147" s="1839"/>
      <c r="HZ147" s="1839"/>
      <c r="IA147" s="1839"/>
      <c r="IB147" s="1839"/>
      <c r="IC147" s="1839"/>
      <c r="ID147" s="1839"/>
      <c r="IE147" s="1839"/>
      <c r="IF147" s="1839"/>
      <c r="IG147" s="1839"/>
      <c r="IH147" s="1839"/>
      <c r="II147" s="1839"/>
      <c r="IJ147" s="1839"/>
      <c r="IK147" s="1839"/>
      <c r="IL147" s="1839"/>
      <c r="IM147" s="1839"/>
      <c r="IN147" s="1839"/>
      <c r="IO147" s="1839"/>
      <c r="IP147" s="1839"/>
      <c r="IQ147" s="1839"/>
      <c r="IR147" s="1839"/>
      <c r="IS147" s="1839"/>
      <c r="IT147" s="1839"/>
      <c r="IU147" s="1839"/>
      <c r="IV147" s="1839"/>
      <c r="IW147" s="1839"/>
      <c r="IX147" s="1839"/>
      <c r="IY147" s="1839"/>
      <c r="IZ147" s="1839"/>
      <c r="JA147" s="1839"/>
      <c r="JB147" s="1839"/>
      <c r="JC147" s="1839"/>
      <c r="JD147" s="1839"/>
      <c r="JE147" s="1839"/>
      <c r="JF147" s="1839"/>
      <c r="JG147" s="1839"/>
      <c r="JH147" s="1839"/>
      <c r="JI147" s="1839"/>
      <c r="JJ147" s="1839"/>
      <c r="JK147" s="1839"/>
      <c r="JL147" s="1839"/>
      <c r="JM147" s="1839"/>
      <c r="JN147" s="1839"/>
      <c r="JO147" s="1839"/>
      <c r="JP147" s="1839"/>
      <c r="JQ147" s="1839"/>
      <c r="JR147" s="1839"/>
      <c r="JS147" s="1839"/>
      <c r="JT147" s="1839"/>
      <c r="JU147" s="1839"/>
      <c r="JV147" s="1839"/>
      <c r="JW147" s="1839"/>
      <c r="JX147" s="1839"/>
      <c r="JY147" s="1839"/>
      <c r="JZ147" s="1839"/>
      <c r="KA147" s="1839"/>
      <c r="KB147" s="1839"/>
      <c r="KC147" s="1839"/>
      <c r="KD147" s="1839"/>
      <c r="KE147" s="1839"/>
      <c r="KF147" s="1839"/>
      <c r="KG147" s="1839"/>
      <c r="KH147" s="1839"/>
      <c r="KI147" s="1839"/>
      <c r="KJ147" s="1839"/>
      <c r="KK147" s="1839"/>
      <c r="KL147" s="1839"/>
      <c r="KM147" s="1839"/>
      <c r="KN147" s="1839"/>
      <c r="KO147" s="1839"/>
      <c r="KP147" s="1839"/>
      <c r="KQ147" s="1839"/>
      <c r="KR147" s="1839"/>
      <c r="KS147" s="1839"/>
      <c r="KT147" s="1839"/>
      <c r="KU147" s="1839"/>
      <c r="KV147" s="1839"/>
      <c r="KW147" s="1839"/>
      <c r="KX147" s="1839"/>
      <c r="KY147" s="1839"/>
      <c r="KZ147" s="1839"/>
      <c r="LA147" s="1839"/>
      <c r="LB147" s="1839"/>
      <c r="LC147" s="1839"/>
      <c r="LD147" s="1839"/>
      <c r="LE147" s="1839"/>
      <c r="LF147" s="1839"/>
      <c r="LG147" s="1839"/>
      <c r="LH147" s="1839"/>
      <c r="LI147" s="1839"/>
      <c r="LJ147" s="1839"/>
      <c r="LK147" s="1839"/>
      <c r="LL147" s="1839"/>
      <c r="LM147" s="1839"/>
      <c r="LN147" s="1839"/>
      <c r="LO147" s="1839"/>
      <c r="LP147" s="1839"/>
      <c r="LQ147" s="1839"/>
      <c r="LR147" s="1839"/>
      <c r="LS147" s="1839"/>
      <c r="LT147" s="1839"/>
      <c r="LU147" s="1839"/>
      <c r="LV147" s="1839"/>
      <c r="LW147" s="1839"/>
      <c r="LX147" s="1839"/>
      <c r="LY147" s="1839"/>
      <c r="LZ147" s="1839"/>
      <c r="MA147" s="1839"/>
      <c r="MB147" s="1839"/>
      <c r="MC147" s="1839"/>
      <c r="MD147" s="1839"/>
      <c r="ME147" s="1839"/>
      <c r="MF147" s="1839"/>
      <c r="MG147" s="1839"/>
      <c r="MH147" s="1839"/>
      <c r="MI147" s="1839"/>
      <c r="MJ147" s="1839"/>
      <c r="MK147" s="1839"/>
      <c r="ML147" s="1839"/>
      <c r="MM147" s="1839"/>
      <c r="MN147" s="1839"/>
      <c r="MO147" s="1839"/>
      <c r="MP147" s="1839"/>
      <c r="MQ147" s="1839"/>
      <c r="MR147" s="1839"/>
      <c r="MS147" s="1839"/>
      <c r="MT147" s="1839"/>
      <c r="MU147" s="1839"/>
      <c r="MV147" s="1839"/>
      <c r="MW147" s="1839"/>
      <c r="MX147" s="1839"/>
      <c r="MY147" s="1839"/>
      <c r="MZ147" s="1839"/>
      <c r="NA147" s="1839"/>
      <c r="NB147" s="1839"/>
      <c r="NC147" s="1839"/>
      <c r="ND147" s="1839"/>
      <c r="NE147" s="1839"/>
      <c r="NF147" s="1839"/>
      <c r="NG147" s="1839"/>
      <c r="NH147" s="1839"/>
      <c r="NI147" s="1839"/>
      <c r="NJ147" s="1839"/>
      <c r="NK147" s="1839"/>
      <c r="NL147" s="1839"/>
      <c r="NM147" s="1839"/>
      <c r="NN147" s="1839"/>
      <c r="NO147" s="1839"/>
      <c r="NP147" s="1839"/>
      <c r="NQ147" s="1839"/>
      <c r="NR147" s="1839"/>
      <c r="NS147" s="1839"/>
      <c r="NT147" s="1839"/>
      <c r="NU147" s="1839"/>
      <c r="NV147" s="1839"/>
      <c r="NW147" s="1839"/>
      <c r="NX147" s="1839"/>
      <c r="NY147" s="1839"/>
      <c r="NZ147" s="1839"/>
      <c r="OA147" s="1839"/>
      <c r="OB147" s="1839"/>
      <c r="OC147" s="1839"/>
      <c r="OD147" s="1839"/>
      <c r="OE147" s="1839"/>
    </row>
    <row r="148" spans="1:395">
      <c r="A148" s="1839"/>
      <c r="B148" s="1839"/>
      <c r="C148" s="1839"/>
      <c r="D148" s="1839"/>
      <c r="E148" s="1839"/>
      <c r="F148" s="1839"/>
      <c r="G148" s="1839"/>
      <c r="H148" s="1839"/>
      <c r="I148" s="1839"/>
      <c r="J148" s="1839"/>
      <c r="K148" s="1839"/>
      <c r="L148" s="1839"/>
      <c r="M148" s="1839"/>
      <c r="N148" s="1839"/>
      <c r="O148" s="1839"/>
      <c r="P148" s="1839"/>
      <c r="Q148" s="1839"/>
      <c r="R148" s="1839"/>
      <c r="S148" s="1839"/>
      <c r="T148" s="1839"/>
      <c r="U148" s="1839"/>
      <c r="V148" s="1839"/>
      <c r="W148" s="1839"/>
      <c r="X148" s="1839"/>
      <c r="Y148" s="1839"/>
      <c r="Z148" s="1839"/>
      <c r="AA148" s="1839"/>
      <c r="AB148" s="1839"/>
      <c r="AC148" s="1839"/>
      <c r="AD148" s="1839"/>
      <c r="AE148" s="1839"/>
      <c r="AF148" s="1839"/>
      <c r="AG148" s="1839"/>
      <c r="AH148" s="1839"/>
      <c r="AI148" s="1839"/>
      <c r="AJ148" s="1839"/>
      <c r="AK148" s="1839"/>
      <c r="AL148" s="1839"/>
      <c r="AM148" s="1839"/>
      <c r="AN148" s="1839"/>
      <c r="AO148" s="1839"/>
      <c r="AP148" s="1839"/>
      <c r="AQ148" s="1839"/>
      <c r="AR148" s="1839"/>
      <c r="AS148" s="1839"/>
      <c r="AT148" s="1839"/>
      <c r="AU148" s="1839"/>
      <c r="AV148" s="1839"/>
      <c r="AW148" s="1839"/>
      <c r="AX148" s="1839"/>
      <c r="AY148" s="1839"/>
      <c r="AZ148" s="1839"/>
      <c r="BA148" s="1839"/>
      <c r="BB148" s="1839"/>
      <c r="BC148" s="1839"/>
      <c r="BD148" s="1839"/>
      <c r="BE148" s="1839"/>
      <c r="BF148" s="1839"/>
      <c r="BG148" s="1839"/>
      <c r="BH148" s="1839"/>
      <c r="BI148" s="1839"/>
      <c r="BJ148" s="1839"/>
      <c r="BK148" s="1839"/>
      <c r="BL148" s="1839"/>
      <c r="BM148" s="1839"/>
      <c r="BN148" s="1839"/>
      <c r="BO148" s="1839"/>
      <c r="BP148" s="1839"/>
      <c r="BQ148" s="1839"/>
      <c r="BR148" s="1839"/>
      <c r="BS148" s="1839"/>
      <c r="BT148" s="1839"/>
      <c r="BU148" s="1839"/>
      <c r="BV148" s="1839"/>
      <c r="BW148" s="1839"/>
      <c r="BX148" s="1839"/>
      <c r="BY148" s="1839"/>
      <c r="BZ148" s="1839"/>
      <c r="CA148" s="1839"/>
      <c r="CB148" s="1839"/>
      <c r="CC148" s="1839"/>
      <c r="CD148" s="1839"/>
      <c r="CE148" s="1839"/>
      <c r="CF148" s="1839"/>
      <c r="CG148" s="1839"/>
      <c r="CH148" s="1839"/>
      <c r="CI148" s="1839"/>
      <c r="CJ148" s="1839"/>
      <c r="CK148" s="1839"/>
      <c r="CL148" s="1839"/>
      <c r="CM148" s="1839"/>
      <c r="CN148" s="1839"/>
      <c r="CO148" s="1839"/>
      <c r="CP148" s="1839"/>
      <c r="CQ148" s="1839"/>
      <c r="CR148" s="1839"/>
      <c r="CS148" s="1839"/>
      <c r="CT148" s="1839"/>
      <c r="CU148" s="1839"/>
      <c r="CV148" s="1839"/>
      <c r="CW148" s="1839"/>
      <c r="CX148" s="1839"/>
      <c r="CY148" s="1839"/>
      <c r="CZ148" s="1839"/>
      <c r="DA148" s="1839"/>
      <c r="DB148" s="1839"/>
      <c r="DC148" s="1839"/>
      <c r="DD148" s="1839"/>
      <c r="DE148" s="1839"/>
      <c r="DF148" s="1839"/>
      <c r="DG148" s="1839"/>
      <c r="DH148" s="1839"/>
      <c r="DI148" s="1839"/>
      <c r="DJ148" s="1839"/>
      <c r="DK148" s="1839"/>
      <c r="DL148" s="1839"/>
      <c r="DM148" s="1839"/>
      <c r="DN148" s="1839"/>
      <c r="DO148" s="1839"/>
      <c r="DP148" s="1839"/>
      <c r="DQ148" s="1839"/>
      <c r="DR148" s="1839"/>
      <c r="DS148" s="1839"/>
      <c r="DT148" s="1839"/>
      <c r="DU148" s="1839"/>
      <c r="DV148" s="1839"/>
      <c r="DW148" s="1839"/>
      <c r="DX148" s="1839"/>
      <c r="DY148" s="1839"/>
      <c r="DZ148" s="1839"/>
      <c r="EA148" s="1839"/>
      <c r="EB148" s="1839"/>
      <c r="EC148" s="1839"/>
      <c r="ED148" s="1839"/>
      <c r="EE148" s="1839"/>
      <c r="EF148" s="1839"/>
      <c r="EG148" s="1839"/>
      <c r="EH148" s="1839"/>
      <c r="EI148" s="1839"/>
      <c r="EJ148" s="1839"/>
      <c r="EK148" s="1839"/>
      <c r="EL148" s="1839"/>
      <c r="EM148" s="1839"/>
      <c r="EN148" s="1839"/>
      <c r="EO148" s="1839"/>
      <c r="EP148" s="1839"/>
      <c r="EQ148" s="1839"/>
      <c r="ER148" s="1839"/>
      <c r="ES148" s="1839"/>
      <c r="ET148" s="1839"/>
      <c r="EU148" s="1839"/>
      <c r="EV148" s="1839"/>
      <c r="EW148" s="1839"/>
      <c r="EX148" s="1839"/>
      <c r="EY148" s="1839"/>
      <c r="EZ148" s="1839"/>
      <c r="FA148" s="1839"/>
      <c r="FB148" s="1839"/>
      <c r="FC148" s="1839"/>
      <c r="FD148" s="1839"/>
      <c r="FE148" s="1839"/>
      <c r="FF148" s="1839"/>
      <c r="FG148" s="1839"/>
      <c r="FH148" s="1839"/>
      <c r="FI148" s="1839"/>
      <c r="FJ148" s="1839"/>
      <c r="FK148" s="1839"/>
      <c r="FL148" s="1839"/>
      <c r="FM148" s="1839"/>
      <c r="FN148" s="1839"/>
      <c r="FO148" s="1839"/>
      <c r="FP148" s="1839"/>
      <c r="FQ148" s="1839"/>
      <c r="FR148" s="1839"/>
      <c r="FS148" s="1839"/>
      <c r="FT148" s="1839"/>
      <c r="FU148" s="1839"/>
      <c r="FV148" s="1839"/>
      <c r="FW148" s="1839"/>
      <c r="FX148" s="1839"/>
      <c r="FY148" s="1839"/>
      <c r="FZ148" s="1839"/>
      <c r="GA148" s="1839"/>
      <c r="GB148" s="1839"/>
      <c r="GC148" s="1839"/>
      <c r="GD148" s="1839"/>
      <c r="GE148" s="1839"/>
      <c r="GF148" s="1839"/>
      <c r="GG148" s="1839"/>
      <c r="GH148" s="1839"/>
      <c r="GI148" s="1839"/>
      <c r="GJ148" s="1839"/>
      <c r="GK148" s="1839"/>
      <c r="GL148" s="1839"/>
      <c r="GM148" s="1839"/>
      <c r="GN148" s="1839"/>
      <c r="GO148" s="1839"/>
      <c r="GP148" s="1839"/>
      <c r="GQ148" s="1839"/>
      <c r="GR148" s="1839"/>
      <c r="GS148" s="1839"/>
      <c r="GT148" s="1839"/>
      <c r="GU148" s="1839"/>
      <c r="GV148" s="1839"/>
      <c r="GW148" s="1839"/>
      <c r="GX148" s="1839"/>
      <c r="GY148" s="1839"/>
      <c r="GZ148" s="1839"/>
      <c r="HA148" s="1839"/>
      <c r="HB148" s="1839"/>
      <c r="HC148" s="1839"/>
      <c r="HD148" s="1839"/>
      <c r="HE148" s="1839"/>
      <c r="HF148" s="1839"/>
      <c r="HG148" s="1839"/>
      <c r="HH148" s="1839"/>
      <c r="HI148" s="1839"/>
      <c r="HJ148" s="1839"/>
      <c r="HK148" s="1839"/>
      <c r="HL148" s="1839"/>
      <c r="HM148" s="1839"/>
      <c r="HN148" s="1839"/>
      <c r="HO148" s="1839"/>
      <c r="HP148" s="1839"/>
      <c r="HQ148" s="1839"/>
      <c r="HR148" s="1839"/>
      <c r="HS148" s="1839"/>
      <c r="HT148" s="1839"/>
      <c r="HU148" s="1839"/>
      <c r="HV148" s="1839"/>
      <c r="HW148" s="1839"/>
      <c r="HX148" s="1839"/>
      <c r="HY148" s="1839"/>
      <c r="HZ148" s="1839"/>
      <c r="IA148" s="1839"/>
      <c r="IB148" s="1839"/>
      <c r="IC148" s="1839"/>
      <c r="ID148" s="1839"/>
      <c r="IE148" s="1839"/>
      <c r="IF148" s="1839"/>
      <c r="IG148" s="1839"/>
      <c r="IH148" s="1839"/>
      <c r="II148" s="1839"/>
      <c r="IJ148" s="1839"/>
      <c r="IK148" s="1839"/>
      <c r="IL148" s="1839"/>
      <c r="IM148" s="1839"/>
      <c r="IN148" s="1839"/>
      <c r="IO148" s="1839"/>
      <c r="IP148" s="1839"/>
      <c r="IQ148" s="1839"/>
      <c r="IR148" s="1839"/>
      <c r="IS148" s="1839"/>
      <c r="IT148" s="1839"/>
      <c r="IU148" s="1839"/>
      <c r="IV148" s="1839"/>
      <c r="IW148" s="1839"/>
      <c r="IX148" s="1839"/>
      <c r="IY148" s="1839"/>
      <c r="IZ148" s="1839"/>
      <c r="JA148" s="1839"/>
      <c r="JB148" s="1839"/>
      <c r="JC148" s="1839"/>
      <c r="JD148" s="1839"/>
      <c r="JE148" s="1839"/>
      <c r="JF148" s="1839"/>
      <c r="JG148" s="1839"/>
      <c r="JH148" s="1839"/>
      <c r="JI148" s="1839"/>
      <c r="JJ148" s="1839"/>
      <c r="JK148" s="1839"/>
      <c r="JL148" s="1839"/>
      <c r="JM148" s="1839"/>
      <c r="JN148" s="1839"/>
      <c r="JO148" s="1839"/>
      <c r="JP148" s="1839"/>
      <c r="JQ148" s="1839"/>
      <c r="JR148" s="1839"/>
      <c r="JS148" s="1839"/>
      <c r="JT148" s="1839"/>
      <c r="JU148" s="1839"/>
      <c r="JV148" s="1839"/>
      <c r="JW148" s="1839"/>
      <c r="JX148" s="1839"/>
      <c r="JY148" s="1839"/>
      <c r="JZ148" s="1839"/>
      <c r="KA148" s="1839"/>
      <c r="KB148" s="1839"/>
      <c r="KC148" s="1839"/>
      <c r="KD148" s="1839"/>
      <c r="KE148" s="1839"/>
      <c r="KF148" s="1839"/>
      <c r="KG148" s="1839"/>
      <c r="KH148" s="1839"/>
      <c r="KI148" s="1839"/>
      <c r="KJ148" s="1839"/>
      <c r="KK148" s="1839"/>
      <c r="KL148" s="1839"/>
      <c r="KM148" s="1839"/>
      <c r="KN148" s="1839"/>
      <c r="KO148" s="1839"/>
      <c r="KP148" s="1839"/>
      <c r="KQ148" s="1839"/>
      <c r="KR148" s="1839"/>
      <c r="KS148" s="1839"/>
      <c r="KT148" s="1839"/>
      <c r="KU148" s="1839"/>
      <c r="KV148" s="1839"/>
      <c r="KW148" s="1839"/>
      <c r="KX148" s="1839"/>
      <c r="KY148" s="1839"/>
      <c r="KZ148" s="1839"/>
      <c r="LA148" s="1839"/>
      <c r="LB148" s="1839"/>
      <c r="LC148" s="1839"/>
      <c r="LD148" s="1839"/>
      <c r="LE148" s="1839"/>
      <c r="LF148" s="1839"/>
      <c r="LG148" s="1839"/>
      <c r="LH148" s="1839"/>
      <c r="LI148" s="1839"/>
      <c r="LJ148" s="1839"/>
      <c r="LK148" s="1839"/>
      <c r="LL148" s="1839"/>
      <c r="LM148" s="1839"/>
      <c r="LN148" s="1839"/>
      <c r="LO148" s="1839"/>
      <c r="LP148" s="1839"/>
      <c r="LQ148" s="1839"/>
      <c r="LR148" s="1839"/>
      <c r="LS148" s="1839"/>
      <c r="LT148" s="1839"/>
      <c r="LU148" s="1839"/>
      <c r="LV148" s="1839"/>
      <c r="LW148" s="1839"/>
      <c r="LX148" s="1839"/>
      <c r="LY148" s="1839"/>
      <c r="LZ148" s="1839"/>
      <c r="MA148" s="1839"/>
      <c r="MB148" s="1839"/>
      <c r="MC148" s="1839"/>
      <c r="MD148" s="1839"/>
      <c r="ME148" s="1839"/>
      <c r="MF148" s="1839"/>
      <c r="MG148" s="1839"/>
      <c r="MH148" s="1839"/>
      <c r="MI148" s="1839"/>
      <c r="MJ148" s="1839"/>
      <c r="MK148" s="1839"/>
      <c r="ML148" s="1839"/>
      <c r="MM148" s="1839"/>
      <c r="MN148" s="1839"/>
      <c r="MO148" s="1839"/>
      <c r="MP148" s="1839"/>
      <c r="MQ148" s="1839"/>
      <c r="MR148" s="1839"/>
      <c r="MS148" s="1839"/>
      <c r="MT148" s="1839"/>
      <c r="MU148" s="1839"/>
      <c r="MV148" s="1839"/>
      <c r="MW148" s="1839"/>
      <c r="MX148" s="1839"/>
      <c r="MY148" s="1839"/>
      <c r="MZ148" s="1839"/>
      <c r="NA148" s="1839"/>
      <c r="NB148" s="1839"/>
      <c r="NC148" s="1839"/>
      <c r="ND148" s="1839"/>
      <c r="NE148" s="1839"/>
      <c r="NF148" s="1839"/>
      <c r="NG148" s="1839"/>
      <c r="NH148" s="1839"/>
      <c r="NI148" s="1839"/>
      <c r="NJ148" s="1839"/>
      <c r="NK148" s="1839"/>
      <c r="NL148" s="1839"/>
      <c r="NM148" s="1839"/>
      <c r="NN148" s="1839"/>
      <c r="NO148" s="1839"/>
      <c r="NP148" s="1839"/>
      <c r="NQ148" s="1839"/>
      <c r="NR148" s="1839"/>
      <c r="NS148" s="1839"/>
      <c r="NT148" s="1839"/>
      <c r="NU148" s="1839"/>
      <c r="NV148" s="1839"/>
      <c r="NW148" s="1839"/>
      <c r="NX148" s="1839"/>
      <c r="NY148" s="1839"/>
      <c r="NZ148" s="1839"/>
      <c r="OA148" s="1839"/>
      <c r="OB148" s="1839"/>
      <c r="OC148" s="1839"/>
      <c r="OD148" s="1839"/>
      <c r="OE148" s="1839"/>
    </row>
    <row r="149" spans="1:395">
      <c r="A149" s="1839"/>
      <c r="B149" s="1839"/>
      <c r="C149" s="1839"/>
      <c r="D149" s="1839"/>
      <c r="E149" s="1839"/>
      <c r="F149" s="1839"/>
      <c r="G149" s="1839"/>
      <c r="H149" s="1839"/>
      <c r="I149" s="1839"/>
      <c r="J149" s="1839"/>
      <c r="K149" s="1839"/>
      <c r="L149" s="1839"/>
      <c r="M149" s="1839"/>
      <c r="N149" s="1839"/>
      <c r="O149" s="1839"/>
      <c r="P149" s="1839"/>
      <c r="Q149" s="1839"/>
      <c r="R149" s="1839"/>
      <c r="S149" s="1839"/>
      <c r="T149" s="1839"/>
      <c r="U149" s="1839"/>
      <c r="V149" s="1839"/>
      <c r="W149" s="1839"/>
      <c r="X149" s="1839"/>
      <c r="Y149" s="1839"/>
      <c r="Z149" s="1839"/>
      <c r="AA149" s="1839"/>
      <c r="AB149" s="1839"/>
      <c r="AC149" s="1839"/>
      <c r="AD149" s="1839"/>
      <c r="AE149" s="1839"/>
      <c r="AF149" s="1839"/>
      <c r="AG149" s="1839"/>
      <c r="AH149" s="1839"/>
      <c r="AI149" s="1839"/>
      <c r="AJ149" s="1839"/>
      <c r="AK149" s="1839"/>
      <c r="AL149" s="1839"/>
      <c r="AM149" s="1839"/>
      <c r="AN149" s="1839"/>
      <c r="AO149" s="1839"/>
      <c r="AP149" s="1839"/>
      <c r="AQ149" s="1839"/>
      <c r="AR149" s="1839"/>
      <c r="AS149" s="1839"/>
      <c r="AT149" s="1839"/>
      <c r="AU149" s="1839"/>
      <c r="AV149" s="1839"/>
      <c r="AW149" s="1839"/>
      <c r="AX149" s="1839"/>
      <c r="AY149" s="1839"/>
      <c r="AZ149" s="1839"/>
      <c r="BA149" s="1839"/>
      <c r="BB149" s="1839"/>
      <c r="BC149" s="1839"/>
      <c r="BD149" s="1839"/>
      <c r="BE149" s="1839"/>
      <c r="BF149" s="1839"/>
      <c r="BG149" s="1839"/>
      <c r="BH149" s="1839"/>
      <c r="BI149" s="1839"/>
      <c r="BJ149" s="1839"/>
      <c r="BK149" s="1839"/>
      <c r="BL149" s="1839"/>
      <c r="BM149" s="1839"/>
      <c r="BN149" s="1839"/>
      <c r="BO149" s="1839"/>
      <c r="BP149" s="1839"/>
      <c r="BQ149" s="1839"/>
      <c r="BR149" s="1839"/>
      <c r="BS149" s="1839"/>
      <c r="BT149" s="1839"/>
      <c r="BU149" s="1839"/>
      <c r="BV149" s="1839"/>
      <c r="BW149" s="1839"/>
      <c r="BX149" s="1839"/>
      <c r="BY149" s="1839"/>
      <c r="BZ149" s="1839"/>
      <c r="CA149" s="1839"/>
      <c r="CB149" s="1839"/>
      <c r="CC149" s="1839"/>
      <c r="CD149" s="1839"/>
      <c r="CE149" s="1839"/>
      <c r="CF149" s="1839"/>
      <c r="CG149" s="1839"/>
      <c r="CH149" s="1839"/>
      <c r="CI149" s="1839"/>
      <c r="CJ149" s="1839"/>
      <c r="CK149" s="1839"/>
      <c r="CL149" s="1839"/>
      <c r="CM149" s="1839"/>
      <c r="CN149" s="1839"/>
      <c r="CO149" s="1839"/>
      <c r="CP149" s="1839"/>
      <c r="CQ149" s="1839"/>
      <c r="CR149" s="1839"/>
      <c r="CS149" s="1839"/>
      <c r="CT149" s="1839"/>
      <c r="CU149" s="1839"/>
      <c r="CV149" s="1839"/>
      <c r="CW149" s="1839"/>
      <c r="CX149" s="1839"/>
      <c r="CY149" s="1839"/>
      <c r="CZ149" s="1839"/>
      <c r="DA149" s="1839"/>
      <c r="DB149" s="1839"/>
      <c r="DC149" s="1839"/>
      <c r="DD149" s="1839"/>
      <c r="DE149" s="1839"/>
      <c r="DF149" s="1839"/>
      <c r="DG149" s="1839"/>
      <c r="DH149" s="1839"/>
      <c r="DI149" s="1839"/>
      <c r="DJ149" s="1839"/>
      <c r="DK149" s="1839"/>
      <c r="DL149" s="1839"/>
      <c r="DM149" s="1839"/>
      <c r="DN149" s="1839"/>
      <c r="DO149" s="1839"/>
      <c r="DP149" s="1839"/>
      <c r="DQ149" s="1839"/>
      <c r="DR149" s="1839"/>
      <c r="DS149" s="1839"/>
      <c r="DT149" s="1839"/>
      <c r="DU149" s="1839"/>
      <c r="DV149" s="1839"/>
      <c r="DW149" s="1839"/>
      <c r="DX149" s="1839"/>
      <c r="DY149" s="1839"/>
      <c r="DZ149" s="1839"/>
      <c r="EA149" s="1839"/>
      <c r="EB149" s="1839"/>
      <c r="EC149" s="1839"/>
      <c r="ED149" s="1839"/>
      <c r="EE149" s="1839"/>
      <c r="EF149" s="1839"/>
      <c r="EG149" s="1839"/>
      <c r="EH149" s="1839"/>
      <c r="EI149" s="1839"/>
      <c r="EJ149" s="1839"/>
      <c r="EK149" s="1839"/>
      <c r="EL149" s="1839"/>
      <c r="EM149" s="1839"/>
      <c r="EN149" s="1839"/>
      <c r="EO149" s="1839"/>
      <c r="EP149" s="1839"/>
      <c r="EQ149" s="1839"/>
      <c r="ER149" s="1839"/>
      <c r="ES149" s="1839"/>
      <c r="ET149" s="1839"/>
      <c r="EU149" s="1839"/>
      <c r="EV149" s="1839"/>
      <c r="EW149" s="1839"/>
      <c r="EX149" s="1839"/>
      <c r="EY149" s="1839"/>
      <c r="EZ149" s="1839"/>
      <c r="FA149" s="1839"/>
      <c r="FB149" s="1839"/>
      <c r="FC149" s="1839"/>
      <c r="FD149" s="1839"/>
      <c r="FE149" s="1839"/>
      <c r="FF149" s="1839"/>
      <c r="FG149" s="1839"/>
      <c r="FH149" s="1839"/>
      <c r="FI149" s="1839"/>
      <c r="FJ149" s="1839"/>
      <c r="FK149" s="1839"/>
      <c r="FL149" s="1839"/>
      <c r="FM149" s="1839"/>
      <c r="FN149" s="1839"/>
      <c r="FO149" s="1839"/>
      <c r="FP149" s="1839"/>
      <c r="FQ149" s="1839"/>
      <c r="FR149" s="1839"/>
      <c r="FS149" s="1839"/>
      <c r="FT149" s="1839"/>
      <c r="FU149" s="1839"/>
      <c r="FV149" s="1839"/>
      <c r="FW149" s="1839"/>
      <c r="FX149" s="1839"/>
      <c r="FY149" s="1839"/>
      <c r="FZ149" s="1839"/>
      <c r="GA149" s="1839"/>
      <c r="GB149" s="1839"/>
      <c r="GC149" s="1839"/>
      <c r="GD149" s="1839"/>
      <c r="GE149" s="1839"/>
      <c r="GF149" s="1839"/>
      <c r="GG149" s="1839"/>
      <c r="GH149" s="1839"/>
      <c r="GI149" s="1839"/>
      <c r="GJ149" s="1839"/>
      <c r="GK149" s="1839"/>
      <c r="GL149" s="1839"/>
      <c r="GM149" s="1839"/>
      <c r="GN149" s="1839"/>
      <c r="GO149" s="1839"/>
      <c r="GP149" s="1839"/>
      <c r="GQ149" s="1839"/>
      <c r="GR149" s="1839"/>
      <c r="GS149" s="1839"/>
      <c r="GT149" s="1839"/>
      <c r="GU149" s="1839"/>
      <c r="GV149" s="1839"/>
      <c r="GW149" s="1839"/>
      <c r="GX149" s="1839"/>
      <c r="GY149" s="1839"/>
      <c r="GZ149" s="1839"/>
      <c r="HA149" s="1839"/>
      <c r="HB149" s="1839"/>
      <c r="HC149" s="1839"/>
      <c r="HD149" s="1839"/>
      <c r="HE149" s="1839"/>
      <c r="HF149" s="1839"/>
      <c r="HG149" s="1839"/>
      <c r="HH149" s="1839"/>
      <c r="HI149" s="1839"/>
      <c r="HJ149" s="1839"/>
      <c r="HK149" s="1839"/>
      <c r="HL149" s="1839"/>
      <c r="HM149" s="1839"/>
      <c r="HN149" s="1839"/>
      <c r="HO149" s="1839"/>
      <c r="HP149" s="1839"/>
      <c r="HQ149" s="1839"/>
      <c r="HR149" s="1839"/>
      <c r="HS149" s="1839"/>
      <c r="HT149" s="1839"/>
      <c r="HU149" s="1839"/>
      <c r="HV149" s="1839"/>
      <c r="HW149" s="1839"/>
      <c r="HX149" s="1839"/>
      <c r="HY149" s="1839"/>
      <c r="HZ149" s="1839"/>
      <c r="IA149" s="1839"/>
      <c r="IB149" s="1839"/>
      <c r="IC149" s="1839"/>
      <c r="ID149" s="1839"/>
      <c r="IE149" s="1839"/>
      <c r="IF149" s="1839"/>
      <c r="IG149" s="1839"/>
      <c r="IH149" s="1839"/>
      <c r="II149" s="1839"/>
      <c r="IJ149" s="1839"/>
      <c r="IK149" s="1839"/>
      <c r="IL149" s="1839"/>
      <c r="IM149" s="1839"/>
      <c r="IN149" s="1839"/>
      <c r="IO149" s="1839"/>
      <c r="IP149" s="1839"/>
      <c r="IQ149" s="1839"/>
      <c r="IR149" s="1839"/>
      <c r="IS149" s="1839"/>
      <c r="IT149" s="1839"/>
      <c r="IU149" s="1839"/>
      <c r="IV149" s="1839"/>
      <c r="IW149" s="1839"/>
      <c r="IX149" s="1839"/>
      <c r="IY149" s="1839"/>
      <c r="IZ149" s="1839"/>
      <c r="JA149" s="1839"/>
      <c r="JB149" s="1839"/>
      <c r="JC149" s="1839"/>
      <c r="JD149" s="1839"/>
      <c r="JE149" s="1839"/>
      <c r="JF149" s="1839"/>
      <c r="JG149" s="1839"/>
      <c r="JH149" s="1839"/>
      <c r="JI149" s="1839"/>
      <c r="JJ149" s="1839"/>
      <c r="JK149" s="1839"/>
      <c r="JL149" s="1839"/>
      <c r="JM149" s="1839"/>
      <c r="JN149" s="1839"/>
      <c r="JO149" s="1839"/>
      <c r="JP149" s="1839"/>
      <c r="JQ149" s="1839"/>
      <c r="JR149" s="1839"/>
      <c r="JS149" s="1839"/>
      <c r="JT149" s="1839"/>
      <c r="JU149" s="1839"/>
      <c r="JV149" s="1839"/>
      <c r="JW149" s="1839"/>
      <c r="JX149" s="1839"/>
      <c r="JY149" s="1839"/>
      <c r="JZ149" s="1839"/>
      <c r="KA149" s="1839"/>
      <c r="KB149" s="1839"/>
      <c r="KC149" s="1839"/>
      <c r="KD149" s="1839"/>
      <c r="KE149" s="1839"/>
      <c r="KF149" s="1839"/>
      <c r="KG149" s="1839"/>
      <c r="KH149" s="1839"/>
      <c r="KI149" s="1839"/>
      <c r="KJ149" s="1839"/>
      <c r="KK149" s="1839"/>
      <c r="KL149" s="1839"/>
      <c r="KM149" s="1839"/>
      <c r="KN149" s="1839"/>
      <c r="KO149" s="1839"/>
      <c r="KP149" s="1839"/>
      <c r="KQ149" s="1839"/>
      <c r="KR149" s="1839"/>
      <c r="KS149" s="1839"/>
      <c r="KT149" s="1839"/>
      <c r="KU149" s="1839"/>
      <c r="KV149" s="1839"/>
      <c r="KW149" s="1839"/>
      <c r="KX149" s="1839"/>
      <c r="KY149" s="1839"/>
      <c r="KZ149" s="1839"/>
      <c r="LA149" s="1839"/>
      <c r="LB149" s="1839"/>
      <c r="LC149" s="1839"/>
      <c r="LD149" s="1839"/>
      <c r="LE149" s="1839"/>
      <c r="LF149" s="1839"/>
      <c r="LG149" s="1839"/>
      <c r="LH149" s="1839"/>
      <c r="LI149" s="1839"/>
      <c r="LJ149" s="1839"/>
      <c r="LK149" s="1839"/>
      <c r="LL149" s="1839"/>
      <c r="LM149" s="1839"/>
      <c r="LN149" s="1839"/>
      <c r="LO149" s="1839"/>
      <c r="LP149" s="1839"/>
      <c r="LQ149" s="1839"/>
      <c r="LR149" s="1839"/>
      <c r="LS149" s="1839"/>
      <c r="LT149" s="1839"/>
      <c r="LU149" s="1839"/>
      <c r="LV149" s="1839"/>
      <c r="LW149" s="1839"/>
      <c r="LX149" s="1839"/>
      <c r="LY149" s="1839"/>
      <c r="LZ149" s="1839"/>
      <c r="MA149" s="1839"/>
      <c r="MB149" s="1839"/>
      <c r="MC149" s="1839"/>
      <c r="MD149" s="1839"/>
      <c r="ME149" s="1839"/>
      <c r="MF149" s="1839"/>
      <c r="MG149" s="1839"/>
      <c r="MH149" s="1839"/>
      <c r="MI149" s="1839"/>
      <c r="MJ149" s="1839"/>
      <c r="MK149" s="1839"/>
      <c r="ML149" s="1839"/>
      <c r="MM149" s="1839"/>
      <c r="MN149" s="1839"/>
      <c r="MO149" s="1839"/>
      <c r="MP149" s="1839"/>
      <c r="MQ149" s="1839"/>
      <c r="MR149" s="1839"/>
      <c r="MS149" s="1839"/>
      <c r="MT149" s="1839"/>
      <c r="MU149" s="1839"/>
      <c r="MV149" s="1839"/>
      <c r="MW149" s="1839"/>
      <c r="MX149" s="1839"/>
      <c r="MY149" s="1839"/>
      <c r="MZ149" s="1839"/>
      <c r="NA149" s="1839"/>
      <c r="NB149" s="1839"/>
      <c r="NC149" s="1839"/>
      <c r="ND149" s="1839"/>
      <c r="NE149" s="1839"/>
      <c r="NF149" s="1839"/>
      <c r="NG149" s="1839"/>
      <c r="NH149" s="1839"/>
      <c r="NI149" s="1839"/>
      <c r="NJ149" s="1839"/>
      <c r="NK149" s="1839"/>
      <c r="NL149" s="1839"/>
      <c r="NM149" s="1839"/>
      <c r="NN149" s="1839"/>
      <c r="NO149" s="1839"/>
      <c r="NP149" s="1839"/>
      <c r="NQ149" s="1839"/>
      <c r="NR149" s="1839"/>
      <c r="NS149" s="1839"/>
      <c r="NT149" s="1839"/>
      <c r="NU149" s="1839"/>
      <c r="NV149" s="1839"/>
      <c r="NW149" s="1839"/>
      <c r="NX149" s="1839"/>
      <c r="NY149" s="1839"/>
      <c r="NZ149" s="1839"/>
      <c r="OA149" s="1839"/>
      <c r="OB149" s="1839"/>
      <c r="OC149" s="1839"/>
      <c r="OD149" s="1839"/>
      <c r="OE149" s="1839"/>
    </row>
    <row r="150" spans="1:395">
      <c r="A150" s="1839"/>
      <c r="B150" s="1839"/>
      <c r="C150" s="1839"/>
      <c r="D150" s="1839"/>
      <c r="E150" s="1839"/>
      <c r="F150" s="1839"/>
      <c r="G150" s="1839"/>
      <c r="H150" s="1839"/>
      <c r="I150" s="1839"/>
      <c r="J150" s="1839"/>
      <c r="K150" s="1839"/>
      <c r="L150" s="1839"/>
      <c r="M150" s="1839"/>
      <c r="N150" s="1839"/>
      <c r="O150" s="1839"/>
      <c r="P150" s="1839"/>
      <c r="Q150" s="1839"/>
      <c r="R150" s="1839"/>
      <c r="S150" s="1839"/>
      <c r="T150" s="1839"/>
      <c r="U150" s="1839"/>
      <c r="V150" s="1839"/>
      <c r="W150" s="1839"/>
      <c r="X150" s="1839"/>
      <c r="Y150" s="1839"/>
      <c r="Z150" s="1839"/>
      <c r="AA150" s="1839"/>
      <c r="AB150" s="1839"/>
      <c r="AC150" s="1839"/>
      <c r="AD150" s="1839"/>
      <c r="AE150" s="1839"/>
      <c r="AF150" s="1839"/>
      <c r="AG150" s="1839"/>
      <c r="AH150" s="1839"/>
      <c r="AI150" s="1839"/>
      <c r="AJ150" s="1839"/>
      <c r="AK150" s="1839"/>
      <c r="AL150" s="1839"/>
      <c r="AM150" s="1839"/>
      <c r="AN150" s="1839"/>
      <c r="AO150" s="1839"/>
      <c r="AP150" s="1839"/>
      <c r="AQ150" s="1839"/>
      <c r="AR150" s="1839"/>
      <c r="AS150" s="1839"/>
      <c r="AT150" s="1839"/>
      <c r="AU150" s="1839"/>
      <c r="AV150" s="1839"/>
      <c r="AW150" s="1839"/>
      <c r="AX150" s="1839"/>
      <c r="AY150" s="1839"/>
      <c r="AZ150" s="1839"/>
      <c r="BA150" s="1839"/>
      <c r="BB150" s="1839"/>
      <c r="BC150" s="1839"/>
      <c r="BD150" s="1839"/>
      <c r="BE150" s="1839"/>
      <c r="BF150" s="1839"/>
      <c r="BG150" s="1839"/>
      <c r="BH150" s="1839"/>
      <c r="BI150" s="1839"/>
      <c r="BJ150" s="1839"/>
      <c r="BK150" s="1839"/>
      <c r="BL150" s="1839"/>
      <c r="BM150" s="1839"/>
      <c r="BN150" s="1839"/>
      <c r="BO150" s="1839"/>
      <c r="BP150" s="1839"/>
      <c r="BQ150" s="1839"/>
      <c r="BR150" s="1839"/>
      <c r="BS150" s="1839"/>
      <c r="BT150" s="1839"/>
      <c r="BU150" s="1839"/>
      <c r="BV150" s="1839"/>
      <c r="BW150" s="1839"/>
      <c r="BX150" s="1839"/>
      <c r="BY150" s="1839"/>
      <c r="BZ150" s="1839"/>
      <c r="CA150" s="1839"/>
      <c r="CB150" s="1839"/>
      <c r="CC150" s="1839"/>
      <c r="CD150" s="1839"/>
      <c r="CE150" s="1839"/>
      <c r="CF150" s="1839"/>
      <c r="CG150" s="1839"/>
      <c r="CH150" s="1839"/>
      <c r="CI150" s="1839"/>
      <c r="CJ150" s="1839"/>
      <c r="CK150" s="1839"/>
      <c r="CL150" s="1839"/>
      <c r="CM150" s="1839"/>
      <c r="CN150" s="1839"/>
      <c r="CO150" s="1839"/>
      <c r="CP150" s="1839"/>
      <c r="CQ150" s="1839"/>
      <c r="CR150" s="1839"/>
      <c r="CS150" s="1839"/>
      <c r="CT150" s="1839"/>
      <c r="CU150" s="1839"/>
      <c r="CV150" s="1839"/>
      <c r="CW150" s="1839"/>
      <c r="CX150" s="1839"/>
      <c r="CY150" s="1839"/>
      <c r="CZ150" s="1839"/>
      <c r="DA150" s="1839"/>
      <c r="DB150" s="1839"/>
      <c r="DC150" s="1839"/>
      <c r="DD150" s="1839"/>
      <c r="DE150" s="1839"/>
      <c r="DF150" s="1839"/>
      <c r="DG150" s="1839"/>
      <c r="DH150" s="1839"/>
      <c r="DI150" s="1839"/>
      <c r="DJ150" s="1839"/>
      <c r="DK150" s="1839"/>
      <c r="DL150" s="1839"/>
      <c r="DM150" s="1839"/>
      <c r="DN150" s="1839"/>
      <c r="DO150" s="1839"/>
      <c r="DP150" s="1839"/>
      <c r="DQ150" s="1839"/>
      <c r="DR150" s="1839"/>
      <c r="DS150" s="1839"/>
      <c r="DT150" s="1839"/>
      <c r="DU150" s="1839"/>
      <c r="DV150" s="1839"/>
      <c r="DW150" s="1839"/>
      <c r="DX150" s="1839"/>
      <c r="DY150" s="1839"/>
      <c r="DZ150" s="1839"/>
      <c r="EA150" s="1839"/>
      <c r="EB150" s="1839"/>
      <c r="EC150" s="1839"/>
      <c r="ED150" s="1839"/>
      <c r="EE150" s="1839"/>
      <c r="EF150" s="1839"/>
      <c r="EG150" s="1839"/>
      <c r="EH150" s="1839"/>
      <c r="EI150" s="1839"/>
      <c r="EJ150" s="1839"/>
      <c r="EK150" s="1839"/>
      <c r="EL150" s="1839"/>
      <c r="EM150" s="1839"/>
      <c r="EN150" s="1839"/>
      <c r="EO150" s="1839"/>
      <c r="EP150" s="1839"/>
      <c r="EQ150" s="1839"/>
      <c r="ER150" s="1839"/>
      <c r="ES150" s="1839"/>
      <c r="ET150" s="1839"/>
      <c r="EU150" s="1839"/>
      <c r="EV150" s="1839"/>
      <c r="EW150" s="1839"/>
      <c r="EX150" s="1839"/>
      <c r="EY150" s="1839"/>
      <c r="EZ150" s="1839"/>
      <c r="FA150" s="1839"/>
      <c r="FB150" s="1839"/>
      <c r="FC150" s="1839"/>
      <c r="FD150" s="1839"/>
      <c r="FE150" s="1839"/>
      <c r="FF150" s="1839"/>
      <c r="FG150" s="1839"/>
      <c r="FH150" s="1839"/>
      <c r="FI150" s="1839"/>
      <c r="FJ150" s="1839"/>
      <c r="FK150" s="1839"/>
      <c r="FL150" s="1839"/>
      <c r="FM150" s="1839"/>
      <c r="FN150" s="1839"/>
      <c r="FO150" s="1839"/>
      <c r="FP150" s="1839"/>
      <c r="FQ150" s="1839"/>
      <c r="FR150" s="1839"/>
      <c r="FS150" s="1839"/>
      <c r="FT150" s="1839"/>
      <c r="FU150" s="1839"/>
      <c r="FV150" s="1839"/>
      <c r="FW150" s="1839"/>
      <c r="FX150" s="1839"/>
      <c r="FY150" s="1839"/>
      <c r="FZ150" s="1839"/>
      <c r="GA150" s="1839"/>
      <c r="GB150" s="1839"/>
      <c r="GC150" s="1839"/>
      <c r="GD150" s="1839"/>
      <c r="GE150" s="1839"/>
      <c r="GF150" s="1839"/>
      <c r="GG150" s="1839"/>
      <c r="GH150" s="1839"/>
      <c r="GI150" s="1839"/>
      <c r="GJ150" s="1839"/>
      <c r="GK150" s="1839"/>
      <c r="GL150" s="1839"/>
      <c r="GM150" s="1839"/>
      <c r="GN150" s="1839"/>
      <c r="GO150" s="1839"/>
      <c r="GP150" s="1839"/>
      <c r="GQ150" s="1839"/>
      <c r="GR150" s="1839"/>
      <c r="GS150" s="1839"/>
      <c r="GT150" s="1839"/>
      <c r="GU150" s="1839"/>
      <c r="GV150" s="1839"/>
      <c r="GW150" s="1839"/>
      <c r="GX150" s="1839"/>
      <c r="GY150" s="1839"/>
      <c r="GZ150" s="1839"/>
      <c r="HA150" s="1839"/>
      <c r="HB150" s="1839"/>
      <c r="HC150" s="1839"/>
      <c r="HD150" s="1839"/>
      <c r="HE150" s="1839"/>
      <c r="HF150" s="1839"/>
      <c r="HG150" s="1839"/>
      <c r="HH150" s="1839"/>
      <c r="HI150" s="1839"/>
      <c r="HJ150" s="1839"/>
      <c r="HK150" s="1839"/>
      <c r="HL150" s="1839"/>
      <c r="HM150" s="1839"/>
      <c r="HN150" s="1839"/>
      <c r="HO150" s="1839"/>
      <c r="HP150" s="1839"/>
      <c r="HQ150" s="1839"/>
      <c r="HR150" s="1839"/>
      <c r="HS150" s="1839"/>
      <c r="HT150" s="1839"/>
      <c r="HU150" s="1839"/>
      <c r="HV150" s="1839"/>
      <c r="HW150" s="1839"/>
      <c r="HX150" s="1839"/>
      <c r="HY150" s="1839"/>
      <c r="HZ150" s="1839"/>
      <c r="IA150" s="1839"/>
      <c r="IB150" s="1839"/>
      <c r="IC150" s="1839"/>
      <c r="ID150" s="1839"/>
      <c r="IE150" s="1839"/>
      <c r="IF150" s="1839"/>
      <c r="IG150" s="1839"/>
      <c r="IH150" s="1839"/>
      <c r="II150" s="1839"/>
      <c r="IJ150" s="1839"/>
      <c r="IK150" s="1839"/>
      <c r="IL150" s="1839"/>
      <c r="IM150" s="1839"/>
      <c r="IN150" s="1839"/>
      <c r="IO150" s="1839"/>
      <c r="IP150" s="1839"/>
      <c r="IQ150" s="1839"/>
      <c r="IR150" s="1839"/>
      <c r="IS150" s="1839"/>
      <c r="IT150" s="1839"/>
      <c r="IU150" s="1839"/>
      <c r="IV150" s="1839"/>
      <c r="IW150" s="1839"/>
      <c r="IX150" s="1839"/>
      <c r="IY150" s="1839"/>
      <c r="IZ150" s="1839"/>
      <c r="JA150" s="1839"/>
      <c r="JB150" s="1839"/>
      <c r="JC150" s="1839"/>
      <c r="JD150" s="1839"/>
      <c r="JE150" s="1839"/>
      <c r="JF150" s="1839"/>
      <c r="JG150" s="1839"/>
      <c r="JH150" s="1839"/>
      <c r="JI150" s="1839"/>
      <c r="JJ150" s="1839"/>
      <c r="JK150" s="1839"/>
      <c r="JL150" s="1839"/>
      <c r="JM150" s="1839"/>
      <c r="JN150" s="1839"/>
      <c r="JO150" s="1839"/>
      <c r="JP150" s="1839"/>
      <c r="JQ150" s="1839"/>
      <c r="JR150" s="1839"/>
      <c r="JS150" s="1839"/>
      <c r="JT150" s="1839"/>
      <c r="JU150" s="1839"/>
      <c r="JV150" s="1839"/>
      <c r="JW150" s="1839"/>
      <c r="JX150" s="1839"/>
      <c r="JY150" s="1839"/>
      <c r="JZ150" s="1839"/>
      <c r="KA150" s="1839"/>
      <c r="KB150" s="1839"/>
      <c r="KC150" s="1839"/>
      <c r="KD150" s="1839"/>
      <c r="KE150" s="1839"/>
      <c r="KF150" s="1839"/>
      <c r="KG150" s="1839"/>
      <c r="KH150" s="1839"/>
      <c r="KI150" s="1839"/>
      <c r="KJ150" s="1839"/>
      <c r="KK150" s="1839"/>
      <c r="KL150" s="1839"/>
      <c r="KM150" s="1839"/>
      <c r="KN150" s="1839"/>
      <c r="KO150" s="1839"/>
      <c r="KP150" s="1839"/>
      <c r="KQ150" s="1839"/>
      <c r="KR150" s="1839"/>
      <c r="KS150" s="1839"/>
      <c r="KT150" s="1839"/>
      <c r="KU150" s="1839"/>
      <c r="KV150" s="1839"/>
      <c r="KW150" s="1839"/>
      <c r="KX150" s="1839"/>
      <c r="KY150" s="1839"/>
      <c r="KZ150" s="1839"/>
      <c r="LA150" s="1839"/>
      <c r="LB150" s="1839"/>
      <c r="LC150" s="1839"/>
      <c r="LD150" s="1839"/>
      <c r="LE150" s="1839"/>
      <c r="LF150" s="1839"/>
      <c r="LG150" s="1839"/>
      <c r="LH150" s="1839"/>
      <c r="LI150" s="1839"/>
      <c r="LJ150" s="1839"/>
      <c r="LK150" s="1839"/>
      <c r="LL150" s="1839"/>
      <c r="LM150" s="1839"/>
      <c r="LN150" s="1839"/>
      <c r="LO150" s="1839"/>
      <c r="LP150" s="1839"/>
      <c r="LQ150" s="1839"/>
      <c r="LR150" s="1839"/>
      <c r="LS150" s="1839"/>
      <c r="LT150" s="1839"/>
      <c r="LU150" s="1839"/>
      <c r="LV150" s="1839"/>
      <c r="LW150" s="1839"/>
      <c r="LX150" s="1839"/>
      <c r="LY150" s="1839"/>
      <c r="LZ150" s="1839"/>
      <c r="MA150" s="1839"/>
      <c r="MB150" s="1839"/>
      <c r="MC150" s="1839"/>
      <c r="MD150" s="1839"/>
      <c r="ME150" s="1839"/>
      <c r="MF150" s="1839"/>
      <c r="MG150" s="1839"/>
      <c r="MH150" s="1839"/>
      <c r="MI150" s="1839"/>
      <c r="MJ150" s="1839"/>
      <c r="MK150" s="1839"/>
      <c r="ML150" s="1839"/>
      <c r="MM150" s="1839"/>
      <c r="MN150" s="1839"/>
      <c r="MO150" s="1839"/>
      <c r="MP150" s="1839"/>
      <c r="MQ150" s="1839"/>
      <c r="MR150" s="1839"/>
      <c r="MS150" s="1839"/>
      <c r="MT150" s="1839"/>
      <c r="MU150" s="1839"/>
      <c r="MV150" s="1839"/>
      <c r="MW150" s="1839"/>
      <c r="MX150" s="1839"/>
      <c r="MY150" s="1839"/>
      <c r="MZ150" s="1839"/>
      <c r="NA150" s="1839"/>
      <c r="NB150" s="1839"/>
      <c r="NC150" s="1839"/>
      <c r="ND150" s="1839"/>
      <c r="NE150" s="1839"/>
      <c r="NF150" s="1839"/>
      <c r="NG150" s="1839"/>
      <c r="NH150" s="1839"/>
      <c r="NI150" s="1839"/>
      <c r="NJ150" s="1839"/>
      <c r="NK150" s="1839"/>
      <c r="NL150" s="1839"/>
      <c r="NM150" s="1839"/>
      <c r="NN150" s="1839"/>
      <c r="NO150" s="1839"/>
      <c r="NP150" s="1839"/>
      <c r="NQ150" s="1839"/>
      <c r="NR150" s="1839"/>
      <c r="NS150" s="1839"/>
      <c r="NT150" s="1839"/>
      <c r="NU150" s="1839"/>
      <c r="NV150" s="1839"/>
      <c r="NW150" s="1839"/>
      <c r="NX150" s="1839"/>
      <c r="NY150" s="1839"/>
      <c r="NZ150" s="1839"/>
      <c r="OA150" s="1839"/>
      <c r="OB150" s="1839"/>
      <c r="OC150" s="1839"/>
      <c r="OD150" s="1839"/>
      <c r="OE150" s="1839"/>
    </row>
    <row r="151" spans="1:395">
      <c r="A151" s="1839"/>
      <c r="B151" s="1839"/>
      <c r="C151" s="1839"/>
      <c r="D151" s="1839"/>
      <c r="E151" s="1839"/>
      <c r="F151" s="1839"/>
      <c r="G151" s="1839"/>
      <c r="H151" s="1839"/>
      <c r="I151" s="1839"/>
      <c r="J151" s="1839"/>
      <c r="K151" s="1839"/>
      <c r="L151" s="1839"/>
      <c r="M151" s="1839"/>
      <c r="N151" s="1839"/>
      <c r="O151" s="1839"/>
      <c r="P151" s="1839"/>
      <c r="Q151" s="1839"/>
      <c r="R151" s="1839"/>
      <c r="S151" s="1839"/>
      <c r="T151" s="1839"/>
      <c r="U151" s="1839"/>
      <c r="V151" s="1839"/>
      <c r="W151" s="1839"/>
      <c r="X151" s="1839"/>
      <c r="Y151" s="1839"/>
      <c r="Z151" s="1839"/>
      <c r="AA151" s="1839"/>
      <c r="AB151" s="1839"/>
      <c r="AC151" s="1839"/>
      <c r="AD151" s="1839"/>
      <c r="AE151" s="1839"/>
      <c r="AF151" s="1839"/>
      <c r="AG151" s="1839"/>
      <c r="AH151" s="1839"/>
      <c r="AI151" s="1839"/>
      <c r="AJ151" s="1839"/>
      <c r="AK151" s="1839"/>
      <c r="AL151" s="1839"/>
      <c r="AM151" s="1839"/>
      <c r="AN151" s="1839"/>
      <c r="AO151" s="1839"/>
      <c r="AP151" s="1839"/>
      <c r="AQ151" s="1839"/>
      <c r="AR151" s="1839"/>
      <c r="AS151" s="1839"/>
      <c r="AT151" s="1839"/>
      <c r="AU151" s="1839"/>
      <c r="AV151" s="1839"/>
      <c r="AW151" s="1839"/>
      <c r="AX151" s="1839"/>
      <c r="AY151" s="1839"/>
      <c r="AZ151" s="1839"/>
      <c r="BA151" s="1839"/>
      <c r="BB151" s="1839"/>
      <c r="BC151" s="1839"/>
      <c r="BD151" s="1839"/>
      <c r="BE151" s="1839"/>
      <c r="BF151" s="1839"/>
      <c r="BG151" s="1839"/>
      <c r="BH151" s="1839"/>
      <c r="BI151" s="1839"/>
      <c r="BJ151" s="1839"/>
      <c r="BK151" s="1839"/>
      <c r="BL151" s="1839"/>
      <c r="BM151" s="1839"/>
      <c r="BN151" s="1839"/>
      <c r="BO151" s="1839"/>
      <c r="BP151" s="1839"/>
      <c r="BQ151" s="1839"/>
      <c r="BR151" s="1839"/>
      <c r="BS151" s="1839"/>
      <c r="BT151" s="1839"/>
      <c r="BU151" s="1839"/>
      <c r="BV151" s="1839"/>
      <c r="BW151" s="1839"/>
      <c r="BX151" s="1839"/>
      <c r="BY151" s="1839"/>
      <c r="BZ151" s="1839"/>
      <c r="CA151" s="1839"/>
      <c r="CB151" s="1839"/>
      <c r="CC151" s="1839"/>
      <c r="CD151" s="1839"/>
      <c r="CE151" s="1839"/>
      <c r="CF151" s="1839"/>
      <c r="CG151" s="1839"/>
      <c r="CH151" s="1839"/>
      <c r="CI151" s="1839"/>
      <c r="CJ151" s="1839"/>
      <c r="CK151" s="1839"/>
      <c r="CL151" s="1839"/>
      <c r="CM151" s="1839"/>
      <c r="CN151" s="1839"/>
      <c r="CO151" s="1839"/>
      <c r="CP151" s="1839"/>
      <c r="CQ151" s="1839"/>
      <c r="CR151" s="1839"/>
      <c r="CS151" s="1839"/>
      <c r="CT151" s="1839"/>
      <c r="CU151" s="1839"/>
      <c r="CV151" s="1839"/>
      <c r="CW151" s="1839"/>
      <c r="CX151" s="1839"/>
      <c r="CY151" s="1839"/>
      <c r="CZ151" s="1839"/>
      <c r="DA151" s="1839"/>
      <c r="DB151" s="1839"/>
      <c r="DC151" s="1839"/>
      <c r="DD151" s="1839"/>
      <c r="DE151" s="1839"/>
      <c r="DF151" s="1839"/>
      <c r="DG151" s="1839"/>
      <c r="DH151" s="1839"/>
      <c r="DI151" s="1839"/>
      <c r="DJ151" s="1839"/>
      <c r="DK151" s="1839"/>
      <c r="DL151" s="1839"/>
      <c r="DM151" s="1839"/>
      <c r="DN151" s="1839"/>
      <c r="DO151" s="1839"/>
      <c r="DP151" s="1839"/>
      <c r="DQ151" s="1839"/>
      <c r="DR151" s="1839"/>
      <c r="DS151" s="1839"/>
      <c r="DT151" s="1839"/>
      <c r="DU151" s="1839"/>
      <c r="DV151" s="1839"/>
      <c r="DW151" s="1839"/>
      <c r="DX151" s="1839"/>
      <c r="DY151" s="1839"/>
      <c r="DZ151" s="1839"/>
      <c r="EA151" s="1839"/>
      <c r="EB151" s="1839"/>
      <c r="EC151" s="1839"/>
      <c r="ED151" s="1839"/>
      <c r="EE151" s="1839"/>
      <c r="EF151" s="1839"/>
      <c r="EG151" s="1839"/>
      <c r="EH151" s="1839"/>
      <c r="EI151" s="1839"/>
      <c r="EJ151" s="1839"/>
      <c r="EK151" s="1839"/>
      <c r="EL151" s="1839"/>
      <c r="EM151" s="1839"/>
      <c r="EN151" s="1839"/>
      <c r="EO151" s="1839"/>
      <c r="EP151" s="1839"/>
      <c r="EQ151" s="1839"/>
      <c r="ER151" s="1839"/>
      <c r="ES151" s="1839"/>
      <c r="ET151" s="1839"/>
      <c r="EU151" s="1839"/>
      <c r="EV151" s="1839"/>
      <c r="EW151" s="1839"/>
      <c r="EX151" s="1839"/>
      <c r="EY151" s="1839"/>
      <c r="EZ151" s="1839"/>
      <c r="FA151" s="1839"/>
      <c r="FB151" s="1839"/>
      <c r="FC151" s="1839"/>
      <c r="FD151" s="1839"/>
      <c r="FE151" s="1839"/>
      <c r="FF151" s="1839"/>
      <c r="FG151" s="1839"/>
      <c r="FH151" s="1839"/>
      <c r="FI151" s="1839"/>
      <c r="FJ151" s="1839"/>
      <c r="FK151" s="1839"/>
      <c r="FL151" s="1839"/>
      <c r="FM151" s="1839"/>
      <c r="FN151" s="1839"/>
      <c r="FO151" s="1839"/>
      <c r="FP151" s="1839"/>
      <c r="FQ151" s="1839"/>
      <c r="FR151" s="1839"/>
      <c r="FS151" s="1839"/>
      <c r="FT151" s="1839"/>
      <c r="FU151" s="1839"/>
      <c r="FV151" s="1839"/>
      <c r="FW151" s="1839"/>
      <c r="FX151" s="1839"/>
      <c r="FY151" s="1839"/>
      <c r="FZ151" s="1839"/>
      <c r="GA151" s="1839"/>
      <c r="GB151" s="1839"/>
      <c r="GC151" s="1839"/>
      <c r="GD151" s="1839"/>
      <c r="GE151" s="1839"/>
      <c r="GF151" s="1839"/>
      <c r="GG151" s="1839"/>
      <c r="GH151" s="1839"/>
      <c r="GI151" s="1839"/>
      <c r="GJ151" s="1839"/>
      <c r="GK151" s="1839"/>
      <c r="GL151" s="1839"/>
      <c r="GM151" s="1839"/>
      <c r="GN151" s="1839"/>
      <c r="GO151" s="1839"/>
      <c r="GP151" s="1839"/>
      <c r="GQ151" s="1839"/>
      <c r="GR151" s="1839"/>
      <c r="GS151" s="1839"/>
      <c r="GT151" s="1839"/>
      <c r="GU151" s="1839"/>
      <c r="GV151" s="1839"/>
      <c r="GW151" s="1839"/>
      <c r="GX151" s="1839"/>
      <c r="GY151" s="1839"/>
      <c r="GZ151" s="1839"/>
      <c r="HA151" s="1839"/>
      <c r="HB151" s="1839"/>
      <c r="HC151" s="1839"/>
      <c r="HD151" s="1839"/>
      <c r="HE151" s="1839"/>
      <c r="HF151" s="1839"/>
      <c r="HG151" s="1839"/>
      <c r="HH151" s="1839"/>
      <c r="HI151" s="1839"/>
      <c r="HJ151" s="1839"/>
      <c r="HK151" s="1839"/>
      <c r="HL151" s="1839"/>
      <c r="HM151" s="1839"/>
      <c r="HN151" s="1839"/>
      <c r="HO151" s="1839"/>
      <c r="HP151" s="1839"/>
      <c r="HQ151" s="1839"/>
      <c r="HR151" s="1839"/>
      <c r="HS151" s="1839"/>
      <c r="HT151" s="1839"/>
      <c r="HU151" s="1839"/>
      <c r="HV151" s="1839"/>
      <c r="HW151" s="1839"/>
      <c r="HX151" s="1839"/>
      <c r="HY151" s="1839"/>
      <c r="HZ151" s="1839"/>
      <c r="IA151" s="1839"/>
      <c r="IB151" s="1839"/>
      <c r="IC151" s="1839"/>
      <c r="ID151" s="1839"/>
      <c r="IE151" s="1839"/>
      <c r="IF151" s="1839"/>
      <c r="IG151" s="1839"/>
      <c r="IH151" s="1839"/>
      <c r="II151" s="1839"/>
      <c r="IJ151" s="1839"/>
      <c r="IK151" s="1839"/>
      <c r="IL151" s="1839"/>
      <c r="IM151" s="1839"/>
      <c r="IN151" s="1839"/>
      <c r="IO151" s="1839"/>
      <c r="IP151" s="1839"/>
      <c r="IQ151" s="1839"/>
      <c r="IR151" s="1839"/>
      <c r="IS151" s="1839"/>
      <c r="IT151" s="1839"/>
      <c r="IU151" s="1839"/>
      <c r="IV151" s="1839"/>
      <c r="IW151" s="1839"/>
      <c r="IX151" s="1839"/>
      <c r="IY151" s="1839"/>
      <c r="IZ151" s="1839"/>
      <c r="JA151" s="1839"/>
      <c r="JB151" s="1839"/>
      <c r="JC151" s="1839"/>
      <c r="JD151" s="1839"/>
      <c r="JE151" s="1839"/>
      <c r="JF151" s="1839"/>
      <c r="JG151" s="1839"/>
      <c r="JH151" s="1839"/>
      <c r="JI151" s="1839"/>
      <c r="JJ151" s="1839"/>
      <c r="JK151" s="1839"/>
      <c r="JL151" s="1839"/>
      <c r="JM151" s="1839"/>
      <c r="JN151" s="1839"/>
      <c r="JO151" s="1839"/>
      <c r="JP151" s="1839"/>
      <c r="JQ151" s="1839"/>
      <c r="JR151" s="1839"/>
      <c r="JS151" s="1839"/>
      <c r="JT151" s="1839"/>
      <c r="JU151" s="1839"/>
      <c r="JV151" s="1839"/>
      <c r="JW151" s="1839"/>
      <c r="JX151" s="1839"/>
      <c r="JY151" s="1839"/>
      <c r="JZ151" s="1839"/>
      <c r="KA151" s="1839"/>
      <c r="KB151" s="1839"/>
      <c r="KC151" s="1839"/>
      <c r="KD151" s="1839"/>
      <c r="KE151" s="1839"/>
      <c r="KF151" s="1839"/>
      <c r="KG151" s="1839"/>
      <c r="KH151" s="1839"/>
      <c r="KI151" s="1839"/>
      <c r="KJ151" s="1839"/>
      <c r="KK151" s="1839"/>
      <c r="KL151" s="1839"/>
      <c r="KM151" s="1839"/>
      <c r="KN151" s="1839"/>
      <c r="KO151" s="1839"/>
      <c r="KP151" s="1839"/>
      <c r="KQ151" s="1839"/>
      <c r="KR151" s="1839"/>
      <c r="KS151" s="1839"/>
      <c r="KT151" s="1839"/>
      <c r="KU151" s="1839"/>
      <c r="KV151" s="1839"/>
      <c r="KW151" s="1839"/>
      <c r="KX151" s="1839"/>
      <c r="KY151" s="1839"/>
      <c r="KZ151" s="1839"/>
      <c r="LA151" s="1839"/>
      <c r="LB151" s="1839"/>
      <c r="LC151" s="1839"/>
      <c r="LD151" s="1839"/>
      <c r="LE151" s="1839"/>
      <c r="LF151" s="1839"/>
      <c r="LG151" s="1839"/>
      <c r="LH151" s="1839"/>
      <c r="LI151" s="1839"/>
      <c r="LJ151" s="1839"/>
      <c r="LK151" s="1839"/>
      <c r="LL151" s="1839"/>
      <c r="LM151" s="1839"/>
      <c r="LN151" s="1839"/>
      <c r="LO151" s="1839"/>
      <c r="LP151" s="1839"/>
      <c r="LQ151" s="1839"/>
      <c r="LR151" s="1839"/>
      <c r="LS151" s="1839"/>
      <c r="LT151" s="1839"/>
      <c r="LU151" s="1839"/>
      <c r="LV151" s="1839"/>
      <c r="LW151" s="1839"/>
      <c r="LX151" s="1839"/>
      <c r="LY151" s="1839"/>
      <c r="LZ151" s="1839"/>
      <c r="MA151" s="1839"/>
      <c r="MB151" s="1839"/>
      <c r="MC151" s="1839"/>
      <c r="MD151" s="1839"/>
      <c r="ME151" s="1839"/>
      <c r="MF151" s="1839"/>
      <c r="MG151" s="1839"/>
      <c r="MH151" s="1839"/>
      <c r="MI151" s="1839"/>
      <c r="MJ151" s="1839"/>
      <c r="MK151" s="1839"/>
      <c r="ML151" s="1839"/>
      <c r="MM151" s="1839"/>
      <c r="MN151" s="1839"/>
      <c r="MO151" s="1839"/>
      <c r="MP151" s="1839"/>
      <c r="MQ151" s="1839"/>
      <c r="MR151" s="1839"/>
      <c r="MS151" s="1839"/>
      <c r="MT151" s="1839"/>
      <c r="MU151" s="1839"/>
      <c r="MV151" s="1839"/>
      <c r="MW151" s="1839"/>
      <c r="MX151" s="1839"/>
      <c r="MY151" s="1839"/>
      <c r="MZ151" s="1839"/>
      <c r="NA151" s="1839"/>
      <c r="NB151" s="1839"/>
      <c r="NC151" s="1839"/>
      <c r="ND151" s="1839"/>
      <c r="NE151" s="1839"/>
      <c r="NF151" s="1839"/>
      <c r="NG151" s="1839"/>
      <c r="NH151" s="1839"/>
      <c r="NI151" s="1839"/>
      <c r="NJ151" s="1839"/>
      <c r="NK151" s="1839"/>
      <c r="NL151" s="1839"/>
      <c r="NM151" s="1839"/>
      <c r="NN151" s="1839"/>
      <c r="NO151" s="1839"/>
      <c r="NP151" s="1839"/>
      <c r="NQ151" s="1839"/>
      <c r="NR151" s="1839"/>
      <c r="NS151" s="1839"/>
      <c r="NT151" s="1839"/>
      <c r="NU151" s="1839"/>
      <c r="NV151" s="1839"/>
      <c r="NW151" s="1839"/>
      <c r="NX151" s="1839"/>
      <c r="NY151" s="1839"/>
      <c r="NZ151" s="1839"/>
      <c r="OA151" s="1839"/>
      <c r="OB151" s="1839"/>
      <c r="OC151" s="1839"/>
      <c r="OD151" s="1839"/>
      <c r="OE151" s="1839"/>
    </row>
    <row r="152" spans="1:395">
      <c r="A152" s="1839"/>
      <c r="B152" s="1839"/>
      <c r="C152" s="1839"/>
      <c r="D152" s="1839"/>
      <c r="E152" s="1839"/>
      <c r="F152" s="1839"/>
      <c r="G152" s="1839"/>
      <c r="H152" s="1839"/>
      <c r="I152" s="1839"/>
      <c r="J152" s="1839"/>
      <c r="K152" s="1839"/>
      <c r="L152" s="1839"/>
      <c r="M152" s="1839"/>
      <c r="N152" s="1839"/>
      <c r="O152" s="1839"/>
      <c r="P152" s="1839"/>
      <c r="Q152" s="1839"/>
      <c r="R152" s="1839"/>
      <c r="S152" s="1839"/>
      <c r="T152" s="1839"/>
      <c r="U152" s="1839"/>
      <c r="V152" s="1839"/>
      <c r="W152" s="1839"/>
      <c r="X152" s="1839"/>
      <c r="Y152" s="1839"/>
      <c r="Z152" s="1839"/>
      <c r="AA152" s="1839"/>
      <c r="AB152" s="1839"/>
      <c r="AC152" s="1839"/>
      <c r="AD152" s="1839"/>
      <c r="AE152" s="1839"/>
      <c r="AF152" s="1839"/>
      <c r="AG152" s="1839"/>
      <c r="AH152" s="1839"/>
      <c r="AI152" s="1839"/>
      <c r="AJ152" s="1839"/>
      <c r="AK152" s="1839"/>
      <c r="AL152" s="1839"/>
      <c r="AM152" s="1839"/>
      <c r="AN152" s="1839"/>
      <c r="AO152" s="1839"/>
      <c r="AP152" s="1839"/>
      <c r="AQ152" s="1839"/>
      <c r="AR152" s="1839"/>
      <c r="AS152" s="1839"/>
      <c r="AT152" s="1839"/>
      <c r="AU152" s="1839"/>
      <c r="AV152" s="1839"/>
      <c r="AW152" s="1839"/>
      <c r="AX152" s="1839"/>
      <c r="AY152" s="1839"/>
      <c r="AZ152" s="1839"/>
      <c r="BA152" s="1839"/>
      <c r="BB152" s="1839"/>
      <c r="BC152" s="1839"/>
      <c r="BD152" s="1839"/>
      <c r="BE152" s="1839"/>
      <c r="BF152" s="1839"/>
      <c r="BG152" s="1839"/>
      <c r="BH152" s="1839"/>
      <c r="BI152" s="1839"/>
      <c r="BJ152" s="1839"/>
      <c r="BK152" s="1839"/>
      <c r="BL152" s="1839"/>
      <c r="BM152" s="1839"/>
      <c r="BN152" s="1839"/>
      <c r="BO152" s="1839"/>
      <c r="BP152" s="1839"/>
      <c r="BQ152" s="1839"/>
      <c r="BR152" s="1839"/>
      <c r="BS152" s="1839"/>
      <c r="BT152" s="1839"/>
      <c r="BU152" s="1839"/>
      <c r="BV152" s="1839"/>
      <c r="BW152" s="1839"/>
      <c r="BX152" s="1839"/>
      <c r="BY152" s="1839"/>
      <c r="BZ152" s="1839"/>
      <c r="CA152" s="1839"/>
      <c r="CB152" s="1839"/>
      <c r="CC152" s="1839"/>
      <c r="CD152" s="1839"/>
      <c r="CE152" s="1839"/>
      <c r="CF152" s="1839"/>
      <c r="CG152" s="1839"/>
      <c r="CH152" s="1839"/>
      <c r="CI152" s="1839"/>
      <c r="CJ152" s="1839"/>
      <c r="CK152" s="1839"/>
      <c r="CL152" s="1839"/>
      <c r="CM152" s="1839"/>
      <c r="CN152" s="1839"/>
      <c r="CO152" s="1839"/>
      <c r="CP152" s="1839"/>
      <c r="CQ152" s="1839"/>
      <c r="CR152" s="1839"/>
      <c r="CS152" s="1839"/>
      <c r="CT152" s="1839"/>
      <c r="CU152" s="1839"/>
      <c r="CV152" s="1839"/>
      <c r="CW152" s="1839"/>
      <c r="CX152" s="1839"/>
      <c r="CY152" s="1839"/>
      <c r="CZ152" s="1839"/>
      <c r="DA152" s="1839"/>
      <c r="DB152" s="1839"/>
      <c r="DC152" s="1839"/>
      <c r="DD152" s="1839"/>
      <c r="DE152" s="1839"/>
      <c r="DF152" s="1839"/>
      <c r="DG152" s="1839"/>
      <c r="DH152" s="1839"/>
      <c r="DI152" s="1839"/>
      <c r="DJ152" s="1839"/>
      <c r="DK152" s="1839"/>
      <c r="DL152" s="1839"/>
      <c r="DM152" s="1839"/>
      <c r="DN152" s="1839"/>
      <c r="DO152" s="1839"/>
      <c r="DP152" s="1839"/>
      <c r="DQ152" s="1839"/>
      <c r="DR152" s="1839"/>
      <c r="DS152" s="1839"/>
      <c r="DT152" s="1839"/>
      <c r="DU152" s="1839"/>
      <c r="DV152" s="1839"/>
      <c r="DW152" s="1839"/>
      <c r="DX152" s="1839"/>
      <c r="DY152" s="1839"/>
      <c r="DZ152" s="1839"/>
      <c r="EA152" s="1839"/>
      <c r="EB152" s="1839"/>
      <c r="EC152" s="1839"/>
      <c r="ED152" s="1839"/>
      <c r="EE152" s="1839"/>
      <c r="EF152" s="1839"/>
      <c r="EG152" s="1839"/>
      <c r="EH152" s="1839"/>
      <c r="EI152" s="1839"/>
      <c r="EJ152" s="1839"/>
      <c r="EK152" s="1839"/>
      <c r="EL152" s="1839"/>
      <c r="EM152" s="1839"/>
      <c r="EN152" s="1839"/>
      <c r="EO152" s="1839"/>
      <c r="EP152" s="1839"/>
      <c r="EQ152" s="1839"/>
      <c r="ER152" s="1839"/>
      <c r="ES152" s="1839"/>
      <c r="ET152" s="1839"/>
      <c r="EU152" s="1839"/>
      <c r="EV152" s="1839"/>
      <c r="EW152" s="1839"/>
      <c r="EX152" s="1839"/>
      <c r="EY152" s="1839"/>
      <c r="EZ152" s="1839"/>
      <c r="FA152" s="1839"/>
      <c r="FB152" s="1839"/>
      <c r="FC152" s="1839"/>
      <c r="FD152" s="1839"/>
      <c r="FE152" s="1839"/>
      <c r="FF152" s="1839"/>
      <c r="FG152" s="1839"/>
      <c r="FH152" s="1839"/>
      <c r="FI152" s="1839"/>
      <c r="FJ152" s="1839"/>
      <c r="FK152" s="1839"/>
      <c r="FL152" s="1839"/>
      <c r="FM152" s="1839"/>
      <c r="FN152" s="1839"/>
      <c r="FO152" s="1839"/>
      <c r="FP152" s="1839"/>
      <c r="FQ152" s="1839"/>
      <c r="FR152" s="1839"/>
      <c r="FS152" s="1839"/>
      <c r="FT152" s="1839"/>
      <c r="FU152" s="1839"/>
      <c r="FV152" s="1839"/>
      <c r="FW152" s="1839"/>
      <c r="FX152" s="1839"/>
      <c r="FY152" s="1839"/>
      <c r="FZ152" s="1839"/>
      <c r="GA152" s="1839"/>
      <c r="GB152" s="1839"/>
      <c r="GC152" s="1839"/>
      <c r="GD152" s="1839"/>
      <c r="GE152" s="1839"/>
      <c r="GF152" s="1839"/>
      <c r="GG152" s="1839"/>
      <c r="GH152" s="1839"/>
      <c r="GI152" s="1839"/>
      <c r="GJ152" s="1839"/>
      <c r="GK152" s="1839"/>
      <c r="GL152" s="1839"/>
      <c r="GM152" s="1839"/>
      <c r="GN152" s="1839"/>
      <c r="GO152" s="1839"/>
      <c r="GP152" s="1839"/>
      <c r="GQ152" s="1839"/>
      <c r="GR152" s="1839"/>
      <c r="GS152" s="1839"/>
      <c r="GT152" s="1839"/>
      <c r="GU152" s="1839"/>
      <c r="GV152" s="1839"/>
      <c r="GW152" s="1839"/>
      <c r="GX152" s="1839"/>
      <c r="GY152" s="1839"/>
      <c r="GZ152" s="1839"/>
      <c r="HA152" s="1839"/>
      <c r="HB152" s="1839"/>
      <c r="HC152" s="1839"/>
      <c r="HD152" s="1839"/>
      <c r="HE152" s="1839"/>
      <c r="HF152" s="1839"/>
      <c r="HG152" s="1839"/>
      <c r="HH152" s="1839"/>
      <c r="HI152" s="1839"/>
      <c r="HJ152" s="1839"/>
      <c r="HK152" s="1839"/>
      <c r="HL152" s="1839"/>
      <c r="HM152" s="1839"/>
      <c r="HN152" s="1839"/>
      <c r="HO152" s="1839"/>
      <c r="HP152" s="1839"/>
      <c r="HQ152" s="1839"/>
      <c r="HR152" s="1839"/>
      <c r="HS152" s="1839"/>
      <c r="HT152" s="1839"/>
      <c r="HU152" s="1839"/>
      <c r="HV152" s="1839"/>
      <c r="HW152" s="1839"/>
      <c r="HX152" s="1839"/>
      <c r="HY152" s="1839"/>
      <c r="HZ152" s="1839"/>
      <c r="IA152" s="1839"/>
      <c r="IB152" s="1839"/>
      <c r="IC152" s="1839"/>
      <c r="ID152" s="1839"/>
      <c r="IE152" s="1839"/>
      <c r="IF152" s="1839"/>
      <c r="IG152" s="1839"/>
      <c r="IH152" s="1839"/>
      <c r="II152" s="1839"/>
      <c r="IJ152" s="1839"/>
      <c r="IK152" s="1839"/>
      <c r="IL152" s="1839"/>
      <c r="IM152" s="1839"/>
      <c r="IN152" s="1839"/>
      <c r="IO152" s="1839"/>
      <c r="IP152" s="1839"/>
      <c r="IQ152" s="1839"/>
      <c r="IR152" s="1839"/>
      <c r="IS152" s="1839"/>
      <c r="IT152" s="1839"/>
      <c r="IU152" s="1839"/>
      <c r="IV152" s="1839"/>
      <c r="IW152" s="1839"/>
      <c r="IX152" s="1839"/>
      <c r="IY152" s="1839"/>
      <c r="IZ152" s="1839"/>
      <c r="JA152" s="1839"/>
      <c r="JB152" s="1839"/>
      <c r="JC152" s="1839"/>
      <c r="JD152" s="1839"/>
      <c r="JE152" s="1839"/>
      <c r="JF152" s="1839"/>
      <c r="JG152" s="1839"/>
      <c r="JH152" s="1839"/>
      <c r="JI152" s="1839"/>
      <c r="JJ152" s="1839"/>
      <c r="JK152" s="1839"/>
      <c r="JL152" s="1839"/>
      <c r="JM152" s="1839"/>
      <c r="JN152" s="1839"/>
      <c r="JO152" s="1839"/>
      <c r="JP152" s="1839"/>
      <c r="JQ152" s="1839"/>
      <c r="JR152" s="1839"/>
      <c r="JS152" s="1839"/>
      <c r="JT152" s="1839"/>
      <c r="JU152" s="1839"/>
      <c r="JV152" s="1839"/>
      <c r="JW152" s="1839"/>
      <c r="JX152" s="1839"/>
      <c r="JY152" s="1839"/>
      <c r="JZ152" s="1839"/>
      <c r="KA152" s="1839"/>
      <c r="KB152" s="1839"/>
      <c r="KC152" s="1839"/>
      <c r="KD152" s="1839"/>
      <c r="KE152" s="1839"/>
      <c r="KF152" s="1839"/>
      <c r="KG152" s="1839"/>
      <c r="KH152" s="1839"/>
      <c r="KI152" s="1839"/>
      <c r="KJ152" s="1839"/>
      <c r="KK152" s="1839"/>
      <c r="KL152" s="1839"/>
      <c r="KM152" s="1839"/>
      <c r="KN152" s="1839"/>
      <c r="KO152" s="1839"/>
      <c r="KP152" s="1839"/>
      <c r="KQ152" s="1839"/>
      <c r="KR152" s="1839"/>
      <c r="KS152" s="1839"/>
      <c r="KT152" s="1839"/>
      <c r="KU152" s="1839"/>
      <c r="KV152" s="1839"/>
      <c r="KW152" s="1839"/>
      <c r="KX152" s="1839"/>
      <c r="KY152" s="1839"/>
      <c r="KZ152" s="1839"/>
      <c r="LA152" s="1839"/>
      <c r="LB152" s="1839"/>
      <c r="LC152" s="1839"/>
      <c r="LD152" s="1839"/>
      <c r="LE152" s="1839"/>
      <c r="LF152" s="1839"/>
      <c r="LG152" s="1839"/>
      <c r="LH152" s="1839"/>
      <c r="LI152" s="1839"/>
      <c r="LJ152" s="1839"/>
      <c r="LK152" s="1839"/>
      <c r="LL152" s="1839"/>
      <c r="LM152" s="1839"/>
      <c r="LN152" s="1839"/>
      <c r="LO152" s="1839"/>
      <c r="LP152" s="1839"/>
      <c r="LQ152" s="1839"/>
      <c r="LR152" s="1839"/>
      <c r="LS152" s="1839"/>
      <c r="LT152" s="1839"/>
      <c r="LU152" s="1839"/>
      <c r="LV152" s="1839"/>
      <c r="LW152" s="1839"/>
      <c r="LX152" s="1839"/>
      <c r="LY152" s="1839"/>
      <c r="LZ152" s="1839"/>
      <c r="MA152" s="1839"/>
      <c r="MB152" s="1839"/>
      <c r="MC152" s="1839"/>
      <c r="MD152" s="1839"/>
      <c r="ME152" s="1839"/>
      <c r="MF152" s="1839"/>
      <c r="MG152" s="1839"/>
      <c r="MH152" s="1839"/>
      <c r="MI152" s="1839"/>
      <c r="MJ152" s="1839"/>
      <c r="MK152" s="1839"/>
      <c r="ML152" s="1839"/>
      <c r="MM152" s="1839"/>
      <c r="MN152" s="1839"/>
      <c r="MO152" s="1839"/>
      <c r="MP152" s="1839"/>
      <c r="MQ152" s="1839"/>
      <c r="MR152" s="1839"/>
      <c r="MS152" s="1839"/>
      <c r="MT152" s="1839"/>
      <c r="MU152" s="1839"/>
      <c r="MV152" s="1839"/>
      <c r="MW152" s="1839"/>
      <c r="MX152" s="1839"/>
      <c r="MY152" s="1839"/>
      <c r="MZ152" s="1839"/>
      <c r="NA152" s="1839"/>
      <c r="NB152" s="1839"/>
      <c r="NC152" s="1839"/>
      <c r="ND152" s="1839"/>
      <c r="NE152" s="1839"/>
      <c r="NF152" s="1839"/>
      <c r="NG152" s="1839"/>
      <c r="NH152" s="1839"/>
      <c r="NI152" s="1839"/>
      <c r="NJ152" s="1839"/>
      <c r="NK152" s="1839"/>
      <c r="NL152" s="1839"/>
      <c r="NM152" s="1839"/>
      <c r="NN152" s="1839"/>
      <c r="NO152" s="1839"/>
      <c r="NP152" s="1839"/>
      <c r="NQ152" s="1839"/>
      <c r="NR152" s="1839"/>
      <c r="NS152" s="1839"/>
      <c r="NT152" s="1839"/>
      <c r="NU152" s="1839"/>
      <c r="NV152" s="1839"/>
      <c r="NW152" s="1839"/>
      <c r="NX152" s="1839"/>
      <c r="NY152" s="1839"/>
      <c r="NZ152" s="1839"/>
      <c r="OA152" s="1839"/>
      <c r="OB152" s="1839"/>
      <c r="OC152" s="1839"/>
      <c r="OD152" s="1839"/>
      <c r="OE152" s="1839"/>
    </row>
    <row r="153" spans="1:395">
      <c r="A153" s="1839"/>
      <c r="B153" s="1839"/>
      <c r="C153" s="1839"/>
      <c r="D153" s="1839"/>
      <c r="E153" s="1839"/>
      <c r="F153" s="1839"/>
      <c r="G153" s="1839"/>
      <c r="H153" s="1839"/>
      <c r="I153" s="1839"/>
      <c r="J153" s="1839"/>
      <c r="K153" s="1839"/>
      <c r="L153" s="1839"/>
      <c r="M153" s="1839"/>
      <c r="N153" s="1839"/>
      <c r="O153" s="1839"/>
      <c r="P153" s="1839"/>
      <c r="Q153" s="1839"/>
      <c r="R153" s="1839"/>
      <c r="S153" s="1839"/>
      <c r="T153" s="1839"/>
      <c r="U153" s="1839"/>
      <c r="V153" s="1839"/>
      <c r="W153" s="1839"/>
      <c r="X153" s="1839"/>
      <c r="Y153" s="1839"/>
      <c r="Z153" s="1839"/>
      <c r="AA153" s="1839"/>
      <c r="AB153" s="1839"/>
      <c r="AC153" s="1839"/>
      <c r="AD153" s="1839"/>
      <c r="AE153" s="1839"/>
      <c r="AF153" s="1839"/>
      <c r="AG153" s="1839"/>
      <c r="AH153" s="1839"/>
      <c r="AI153" s="1839"/>
      <c r="AJ153" s="1839"/>
      <c r="AK153" s="1839"/>
      <c r="AL153" s="1839"/>
      <c r="AM153" s="1839"/>
      <c r="AN153" s="1839"/>
      <c r="AO153" s="1839"/>
      <c r="AP153" s="1839"/>
      <c r="AQ153" s="1839"/>
      <c r="AR153" s="1839"/>
      <c r="AS153" s="1839"/>
      <c r="AT153" s="1839"/>
      <c r="AU153" s="1839"/>
      <c r="AV153" s="1839"/>
      <c r="AW153" s="1839"/>
      <c r="AX153" s="1839"/>
      <c r="AY153" s="1839"/>
      <c r="AZ153" s="1839"/>
      <c r="BA153" s="1839"/>
      <c r="BB153" s="1839"/>
      <c r="BC153" s="1839"/>
      <c r="BD153" s="1839"/>
      <c r="BE153" s="1839"/>
      <c r="BF153" s="1839"/>
      <c r="BG153" s="1839"/>
      <c r="BH153" s="1839"/>
      <c r="BI153" s="1839"/>
      <c r="BJ153" s="1839"/>
      <c r="BK153" s="1839"/>
      <c r="BL153" s="1839"/>
      <c r="BM153" s="1839"/>
      <c r="BN153" s="1839"/>
      <c r="BO153" s="1839"/>
      <c r="BP153" s="1839"/>
      <c r="BQ153" s="1839"/>
      <c r="BR153" s="1839"/>
      <c r="BS153" s="1839"/>
      <c r="BT153" s="1839"/>
      <c r="BU153" s="1839"/>
      <c r="BV153" s="1839"/>
      <c r="BW153" s="1839"/>
      <c r="BX153" s="1839"/>
      <c r="BY153" s="1839"/>
      <c r="BZ153" s="1839"/>
      <c r="CA153" s="1839"/>
      <c r="CB153" s="1839"/>
      <c r="CC153" s="1839"/>
      <c r="CD153" s="1839"/>
      <c r="CE153" s="1839"/>
      <c r="CF153" s="1839"/>
      <c r="CG153" s="1839"/>
      <c r="CH153" s="1839"/>
      <c r="CI153" s="1839"/>
      <c r="CJ153" s="1839"/>
      <c r="CK153" s="1839"/>
      <c r="CL153" s="1839"/>
      <c r="CM153" s="1839"/>
      <c r="CN153" s="1839"/>
      <c r="CO153" s="1839"/>
      <c r="CP153" s="1839"/>
      <c r="CQ153" s="1839"/>
      <c r="CR153" s="1839"/>
      <c r="CS153" s="1839"/>
      <c r="CT153" s="1839"/>
      <c r="CU153" s="1839"/>
      <c r="CV153" s="1839"/>
      <c r="CW153" s="1839"/>
      <c r="CX153" s="1839"/>
      <c r="CY153" s="1839"/>
      <c r="CZ153" s="1839"/>
      <c r="DA153" s="1839"/>
      <c r="DB153" s="1839"/>
      <c r="DC153" s="1839"/>
      <c r="DD153" s="1839"/>
      <c r="DE153" s="1839"/>
      <c r="DF153" s="1839"/>
      <c r="DG153" s="1839"/>
      <c r="DH153" s="1839"/>
      <c r="DI153" s="1839"/>
      <c r="DJ153" s="1839"/>
      <c r="DK153" s="1839"/>
      <c r="DL153" s="1839"/>
      <c r="DM153" s="1839"/>
      <c r="DN153" s="1839"/>
      <c r="DO153" s="1839"/>
      <c r="DP153" s="1839"/>
      <c r="DQ153" s="1839"/>
      <c r="DR153" s="1839"/>
      <c r="DS153" s="1839"/>
      <c r="DT153" s="1839"/>
      <c r="DU153" s="1839"/>
      <c r="DV153" s="1839"/>
      <c r="DW153" s="1839"/>
      <c r="DX153" s="1839"/>
      <c r="DY153" s="1839"/>
      <c r="DZ153" s="1839"/>
      <c r="EA153" s="1839"/>
      <c r="EB153" s="1839"/>
      <c r="EC153" s="1839"/>
      <c r="ED153" s="1839"/>
      <c r="EE153" s="1839"/>
      <c r="EF153" s="1839"/>
      <c r="EG153" s="1839"/>
      <c r="EH153" s="1839"/>
      <c r="EI153" s="1839"/>
      <c r="EJ153" s="1839"/>
      <c r="EK153" s="1839"/>
      <c r="EL153" s="1839"/>
      <c r="EM153" s="1839"/>
      <c r="EN153" s="1839"/>
      <c r="EO153" s="1839"/>
      <c r="EP153" s="1839"/>
      <c r="EQ153" s="1839"/>
      <c r="ER153" s="1839"/>
      <c r="ES153" s="1839"/>
      <c r="ET153" s="1839"/>
      <c r="EU153" s="1839"/>
      <c r="EV153" s="1839"/>
      <c r="EW153" s="1839"/>
      <c r="EX153" s="1839"/>
      <c r="EY153" s="1839"/>
      <c r="EZ153" s="1839"/>
      <c r="FA153" s="1839"/>
      <c r="FB153" s="1839"/>
      <c r="FC153" s="1839"/>
      <c r="FD153" s="1839"/>
      <c r="FE153" s="1839"/>
      <c r="FF153" s="1839"/>
      <c r="FG153" s="1839"/>
      <c r="FH153" s="1839"/>
      <c r="FI153" s="1839"/>
      <c r="FJ153" s="1839"/>
      <c r="FK153" s="1839"/>
      <c r="FL153" s="1839"/>
      <c r="FM153" s="1839"/>
      <c r="FN153" s="1839"/>
      <c r="FO153" s="1839"/>
      <c r="FP153" s="1839"/>
      <c r="FQ153" s="1839"/>
      <c r="FR153" s="1839"/>
      <c r="FS153" s="1839"/>
      <c r="FT153" s="1839"/>
      <c r="FU153" s="1839"/>
      <c r="FV153" s="1839"/>
      <c r="FW153" s="1839"/>
      <c r="FX153" s="1839"/>
      <c r="FY153" s="1839"/>
      <c r="FZ153" s="1839"/>
      <c r="GA153" s="1839"/>
      <c r="GB153" s="1839"/>
      <c r="GC153" s="1839"/>
      <c r="GD153" s="1839"/>
      <c r="GE153" s="1839"/>
      <c r="GF153" s="1839"/>
      <c r="GG153" s="1839"/>
      <c r="GH153" s="1839"/>
      <c r="GI153" s="1839"/>
      <c r="GJ153" s="1839"/>
      <c r="GK153" s="1839"/>
      <c r="GL153" s="1839"/>
      <c r="GM153" s="1839"/>
      <c r="GN153" s="1839"/>
      <c r="GO153" s="1839"/>
      <c r="GP153" s="1839"/>
      <c r="GQ153" s="1839"/>
      <c r="GR153" s="1839"/>
      <c r="GS153" s="1839"/>
      <c r="GT153" s="1839"/>
      <c r="GU153" s="1839"/>
      <c r="GV153" s="1839"/>
      <c r="GW153" s="1839"/>
      <c r="GX153" s="1839"/>
      <c r="GY153" s="1839"/>
      <c r="GZ153" s="1839"/>
      <c r="HA153" s="1839"/>
      <c r="HB153" s="1839"/>
      <c r="HC153" s="1839"/>
      <c r="HD153" s="1839"/>
      <c r="HE153" s="1839"/>
      <c r="HF153" s="1839"/>
      <c r="HG153" s="1839"/>
      <c r="HH153" s="1839"/>
      <c r="HI153" s="1839"/>
      <c r="HJ153" s="1839"/>
      <c r="HK153" s="1839"/>
      <c r="HL153" s="1839"/>
      <c r="HM153" s="1839"/>
      <c r="HN153" s="1839"/>
      <c r="HO153" s="1839"/>
      <c r="HP153" s="1839"/>
      <c r="HQ153" s="1839"/>
      <c r="HR153" s="1839"/>
      <c r="HS153" s="1839"/>
      <c r="HT153" s="1839"/>
      <c r="HU153" s="1839"/>
      <c r="HV153" s="1839"/>
      <c r="HW153" s="1839"/>
      <c r="HX153" s="1839"/>
      <c r="HY153" s="1839"/>
      <c r="HZ153" s="1839"/>
      <c r="IA153" s="1839"/>
      <c r="IB153" s="1839"/>
      <c r="IC153" s="1839"/>
      <c r="ID153" s="1839"/>
      <c r="IE153" s="1839"/>
      <c r="IF153" s="1839"/>
      <c r="IG153" s="1839"/>
      <c r="IH153" s="1839"/>
      <c r="II153" s="1839"/>
      <c r="IJ153" s="1839"/>
      <c r="IK153" s="1839"/>
      <c r="IL153" s="1839"/>
      <c r="IM153" s="1839"/>
      <c r="IN153" s="1839"/>
      <c r="IO153" s="1839"/>
      <c r="IP153" s="1839"/>
      <c r="IQ153" s="1839"/>
      <c r="IR153" s="1839"/>
      <c r="IS153" s="1839"/>
      <c r="IT153" s="1839"/>
      <c r="IU153" s="1839"/>
      <c r="IV153" s="1839"/>
      <c r="IW153" s="1839"/>
      <c r="IX153" s="1839"/>
      <c r="IY153" s="1839"/>
      <c r="IZ153" s="1839"/>
      <c r="JA153" s="1839"/>
      <c r="JB153" s="1839"/>
      <c r="JC153" s="1839"/>
      <c r="JD153" s="1839"/>
      <c r="JE153" s="1839"/>
      <c r="JF153" s="1839"/>
      <c r="JG153" s="1839"/>
      <c r="JH153" s="1839"/>
      <c r="JI153" s="1839"/>
      <c r="JJ153" s="1839"/>
      <c r="JK153" s="1839"/>
      <c r="JL153" s="1839"/>
      <c r="JM153" s="1839"/>
      <c r="JN153" s="1839"/>
      <c r="JO153" s="1839"/>
      <c r="JP153" s="1839"/>
      <c r="JQ153" s="1839"/>
      <c r="JR153" s="1839"/>
      <c r="JS153" s="1839"/>
      <c r="JT153" s="1839"/>
      <c r="JU153" s="1839"/>
      <c r="JV153" s="1839"/>
      <c r="JW153" s="1839"/>
      <c r="JX153" s="1839"/>
      <c r="JY153" s="1839"/>
      <c r="JZ153" s="1839"/>
      <c r="KA153" s="1839"/>
      <c r="KB153" s="1839"/>
      <c r="KC153" s="1839"/>
      <c r="KD153" s="1839"/>
      <c r="KE153" s="1839"/>
      <c r="KF153" s="1839"/>
      <c r="KG153" s="1839"/>
      <c r="KH153" s="1839"/>
      <c r="KI153" s="1839"/>
      <c r="KJ153" s="1839"/>
      <c r="KK153" s="1839"/>
      <c r="KL153" s="1839"/>
      <c r="KM153" s="1839"/>
      <c r="KN153" s="1839"/>
      <c r="KO153" s="1839"/>
      <c r="KP153" s="1839"/>
      <c r="KQ153" s="1839"/>
      <c r="KR153" s="1839"/>
      <c r="KS153" s="1839"/>
      <c r="KT153" s="1839"/>
      <c r="KU153" s="1839"/>
      <c r="KV153" s="1839"/>
      <c r="KW153" s="1839"/>
      <c r="KX153" s="1839"/>
      <c r="KY153" s="1839"/>
      <c r="KZ153" s="1839"/>
      <c r="LA153" s="1839"/>
      <c r="LB153" s="1839"/>
      <c r="LC153" s="1839"/>
      <c r="LD153" s="1839"/>
      <c r="LE153" s="1839"/>
      <c r="LF153" s="1839"/>
      <c r="LG153" s="1839"/>
      <c r="LH153" s="1839"/>
      <c r="LI153" s="1839"/>
      <c r="LJ153" s="1839"/>
      <c r="LK153" s="1839"/>
      <c r="LL153" s="1839"/>
      <c r="LM153" s="1839"/>
      <c r="LN153" s="1839"/>
      <c r="LO153" s="1839"/>
      <c r="LP153" s="1839"/>
      <c r="LQ153" s="1839"/>
      <c r="LR153" s="1839"/>
      <c r="LS153" s="1839"/>
      <c r="LT153" s="1839"/>
      <c r="LU153" s="1839"/>
      <c r="LV153" s="1839"/>
      <c r="LW153" s="1839"/>
      <c r="LX153" s="1839"/>
      <c r="LY153" s="1839"/>
      <c r="LZ153" s="1839"/>
      <c r="MA153" s="1839"/>
      <c r="MB153" s="1839"/>
      <c r="MC153" s="1839"/>
      <c r="MD153" s="1839"/>
      <c r="ME153" s="1839"/>
      <c r="MF153" s="1839"/>
      <c r="MG153" s="1839"/>
      <c r="MH153" s="1839"/>
      <c r="MI153" s="1839"/>
      <c r="MJ153" s="1839"/>
      <c r="MK153" s="1839"/>
      <c r="ML153" s="1839"/>
      <c r="MM153" s="1839"/>
      <c r="MN153" s="1839"/>
      <c r="MO153" s="1839"/>
      <c r="MP153" s="1839"/>
      <c r="MQ153" s="1839"/>
      <c r="MR153" s="1839"/>
      <c r="MS153" s="1839"/>
      <c r="MT153" s="1839"/>
      <c r="MU153" s="1839"/>
      <c r="MV153" s="1839"/>
      <c r="MW153" s="1839"/>
      <c r="MX153" s="1839"/>
      <c r="MY153" s="1839"/>
      <c r="MZ153" s="1839"/>
      <c r="NA153" s="1839"/>
      <c r="NB153" s="1839"/>
      <c r="NC153" s="1839"/>
      <c r="ND153" s="1839"/>
      <c r="NE153" s="1839"/>
      <c r="NF153" s="1839"/>
      <c r="NG153" s="1839"/>
      <c r="NH153" s="1839"/>
      <c r="NI153" s="1839"/>
      <c r="NJ153" s="1839"/>
      <c r="NK153" s="1839"/>
      <c r="NL153" s="1839"/>
      <c r="NM153" s="1839"/>
      <c r="NN153" s="1839"/>
      <c r="NO153" s="1839"/>
      <c r="NP153" s="1839"/>
      <c r="NQ153" s="1839"/>
      <c r="NR153" s="1839"/>
      <c r="NS153" s="1839"/>
      <c r="NT153" s="1839"/>
      <c r="NU153" s="1839"/>
      <c r="NV153" s="1839"/>
      <c r="NW153" s="1839"/>
      <c r="NX153" s="1839"/>
      <c r="NY153" s="1839"/>
      <c r="NZ153" s="1839"/>
      <c r="OA153" s="1839"/>
      <c r="OB153" s="1839"/>
      <c r="OC153" s="1839"/>
      <c r="OD153" s="1839"/>
      <c r="OE153" s="1839"/>
    </row>
    <row r="154" spans="1:395">
      <c r="A154" s="1839"/>
      <c r="B154" s="1839"/>
      <c r="C154" s="1839"/>
      <c r="D154" s="1839"/>
      <c r="E154" s="1839"/>
      <c r="F154" s="1839"/>
      <c r="G154" s="1839"/>
      <c r="H154" s="1839"/>
      <c r="I154" s="1839"/>
      <c r="J154" s="1839"/>
      <c r="K154" s="1839"/>
      <c r="L154" s="1839"/>
      <c r="M154" s="1839"/>
      <c r="N154" s="1839"/>
      <c r="O154" s="1839"/>
      <c r="P154" s="1839"/>
      <c r="Q154" s="1839"/>
      <c r="R154" s="1839"/>
      <c r="S154" s="1839"/>
      <c r="T154" s="1839"/>
      <c r="U154" s="1839"/>
      <c r="V154" s="1839"/>
      <c r="W154" s="1839"/>
      <c r="X154" s="1839"/>
      <c r="Y154" s="1839"/>
      <c r="Z154" s="1839"/>
      <c r="AA154" s="1839"/>
      <c r="AB154" s="1839"/>
      <c r="AC154" s="1839"/>
      <c r="AD154" s="1839"/>
      <c r="AE154" s="1839"/>
      <c r="AF154" s="1839"/>
      <c r="AG154" s="1839"/>
      <c r="AH154" s="1839"/>
      <c r="AI154" s="1839"/>
      <c r="AJ154" s="1839"/>
      <c r="AK154" s="1839"/>
      <c r="AL154" s="1839"/>
      <c r="AM154" s="1839"/>
      <c r="AN154" s="1839"/>
      <c r="AO154" s="1839"/>
      <c r="AP154" s="1839"/>
      <c r="AQ154" s="1839"/>
      <c r="AR154" s="1839"/>
      <c r="AS154" s="1839"/>
      <c r="AT154" s="1839"/>
      <c r="AU154" s="1839"/>
      <c r="AV154" s="1839"/>
      <c r="AW154" s="1839"/>
      <c r="AX154" s="1839"/>
      <c r="AY154" s="1839"/>
      <c r="AZ154" s="1839"/>
      <c r="BA154" s="1839"/>
      <c r="BB154" s="1839"/>
      <c r="BC154" s="1839"/>
      <c r="BD154" s="1839"/>
      <c r="BE154" s="1839"/>
      <c r="BF154" s="1839"/>
      <c r="BG154" s="1839"/>
      <c r="BH154" s="1839"/>
      <c r="BI154" s="1839"/>
      <c r="BJ154" s="1839"/>
      <c r="BK154" s="1839"/>
      <c r="BL154" s="1839"/>
      <c r="BM154" s="1839"/>
      <c r="BN154" s="1839"/>
      <c r="BO154" s="1839"/>
      <c r="BP154" s="1839"/>
      <c r="BQ154" s="1839"/>
      <c r="BR154" s="1839"/>
      <c r="BS154" s="1839"/>
      <c r="BT154" s="1839"/>
      <c r="BU154" s="1839"/>
      <c r="BV154" s="1839"/>
      <c r="BW154" s="1839"/>
      <c r="BX154" s="1839"/>
      <c r="BY154" s="1839"/>
      <c r="BZ154" s="1839"/>
      <c r="CA154" s="1839"/>
      <c r="CB154" s="1839"/>
      <c r="CC154" s="1839"/>
      <c r="CD154" s="1839"/>
      <c r="CE154" s="1839"/>
      <c r="CF154" s="1839"/>
      <c r="CG154" s="1839"/>
      <c r="CH154" s="1839"/>
      <c r="CI154" s="1839"/>
      <c r="CJ154" s="1839"/>
      <c r="CK154" s="1839"/>
      <c r="CL154" s="1839"/>
      <c r="CM154" s="1839"/>
      <c r="CN154" s="1839"/>
      <c r="CO154" s="1839"/>
      <c r="CP154" s="1839"/>
      <c r="CQ154" s="1839"/>
      <c r="CR154" s="1839"/>
      <c r="CS154" s="1839"/>
      <c r="CT154" s="1839"/>
      <c r="CU154" s="1839"/>
      <c r="CV154" s="1839"/>
      <c r="CW154" s="1839"/>
      <c r="CX154" s="1839"/>
      <c r="CY154" s="1839"/>
      <c r="CZ154" s="1839"/>
      <c r="DA154" s="1839"/>
      <c r="DB154" s="1839"/>
      <c r="DC154" s="1839"/>
      <c r="DD154" s="1839"/>
      <c r="DE154" s="1839"/>
      <c r="DF154" s="1839"/>
      <c r="DG154" s="1839"/>
      <c r="DH154" s="1839"/>
      <c r="DI154" s="1839"/>
      <c r="DJ154" s="1839"/>
      <c r="DK154" s="1839"/>
      <c r="DL154" s="1839"/>
      <c r="DM154" s="1839"/>
      <c r="DN154" s="1839"/>
      <c r="DO154" s="1839"/>
      <c r="DP154" s="1839"/>
      <c r="DQ154" s="1839"/>
      <c r="DR154" s="1839"/>
      <c r="DS154" s="1839"/>
      <c r="DT154" s="1839"/>
      <c r="DU154" s="1839"/>
      <c r="DV154" s="1839"/>
      <c r="DW154" s="1839"/>
      <c r="DX154" s="1839"/>
      <c r="DY154" s="1839"/>
      <c r="DZ154" s="1839"/>
      <c r="EA154" s="1839"/>
      <c r="EB154" s="1839"/>
      <c r="EC154" s="1839"/>
      <c r="ED154" s="1839"/>
      <c r="EE154" s="1839"/>
      <c r="EF154" s="1839"/>
      <c r="EG154" s="1839"/>
      <c r="EH154" s="1839"/>
      <c r="EI154" s="1839"/>
      <c r="EJ154" s="1839"/>
      <c r="EK154" s="1839"/>
      <c r="EL154" s="1839"/>
      <c r="EM154" s="1839"/>
      <c r="EN154" s="1839"/>
      <c r="EO154" s="1839"/>
      <c r="EP154" s="1839"/>
      <c r="EQ154" s="1839"/>
      <c r="ER154" s="1839"/>
      <c r="ES154" s="1839"/>
      <c r="ET154" s="1839"/>
      <c r="EU154" s="1839"/>
      <c r="EV154" s="1839"/>
      <c r="EW154" s="1839"/>
      <c r="EX154" s="1839"/>
      <c r="EY154" s="1839"/>
      <c r="EZ154" s="1839"/>
      <c r="FA154" s="1839"/>
      <c r="FB154" s="1839"/>
      <c r="FC154" s="1839"/>
      <c r="FD154" s="1839"/>
      <c r="FE154" s="1839"/>
      <c r="FF154" s="1839"/>
      <c r="FG154" s="1839"/>
      <c r="FH154" s="1839"/>
      <c r="FI154" s="1839"/>
      <c r="FJ154" s="1839"/>
      <c r="FK154" s="1839"/>
      <c r="FL154" s="1839"/>
      <c r="FM154" s="1839"/>
      <c r="FN154" s="1839"/>
      <c r="FO154" s="1839"/>
      <c r="FP154" s="1839"/>
      <c r="FQ154" s="1839"/>
      <c r="FR154" s="1839"/>
      <c r="FS154" s="1839"/>
      <c r="FT154" s="1839"/>
      <c r="FU154" s="1839"/>
      <c r="FV154" s="1839"/>
      <c r="FW154" s="1839"/>
      <c r="FX154" s="1839"/>
      <c r="FY154" s="1839"/>
      <c r="FZ154" s="1839"/>
      <c r="GA154" s="1839"/>
      <c r="GB154" s="1839"/>
      <c r="GC154" s="1839"/>
      <c r="GD154" s="1839"/>
      <c r="GE154" s="1839"/>
      <c r="GF154" s="1839"/>
      <c r="GG154" s="1839"/>
      <c r="GH154" s="1839"/>
      <c r="GI154" s="1839"/>
      <c r="GJ154" s="1839"/>
      <c r="GK154" s="1839"/>
      <c r="GL154" s="1839"/>
      <c r="GM154" s="1839"/>
      <c r="GN154" s="1839"/>
      <c r="GO154" s="1839"/>
      <c r="GP154" s="1839"/>
      <c r="GQ154" s="1839"/>
      <c r="GR154" s="1839"/>
      <c r="GS154" s="1839"/>
      <c r="GT154" s="1839"/>
      <c r="GU154" s="1839"/>
      <c r="GV154" s="1839"/>
      <c r="GW154" s="1839"/>
      <c r="GX154" s="1839"/>
      <c r="GY154" s="1839"/>
      <c r="GZ154" s="1839"/>
      <c r="HA154" s="1839"/>
      <c r="HB154" s="1839"/>
      <c r="HC154" s="1839"/>
      <c r="HD154" s="1839"/>
      <c r="HE154" s="1839"/>
      <c r="HF154" s="1839"/>
      <c r="HG154" s="1839"/>
      <c r="HH154" s="1839"/>
      <c r="HI154" s="1839"/>
      <c r="HJ154" s="1839"/>
      <c r="HK154" s="1839"/>
      <c r="HL154" s="1839"/>
      <c r="HM154" s="1839"/>
      <c r="HN154" s="1839"/>
      <c r="HO154" s="1839"/>
      <c r="HP154" s="1839"/>
      <c r="HQ154" s="1839"/>
      <c r="HR154" s="1839"/>
      <c r="HS154" s="1839"/>
      <c r="HT154" s="1839"/>
      <c r="HU154" s="1839"/>
      <c r="HV154" s="1839"/>
      <c r="HW154" s="1839"/>
      <c r="HX154" s="1839"/>
      <c r="HY154" s="1839"/>
      <c r="HZ154" s="1839"/>
      <c r="IA154" s="1839"/>
      <c r="IB154" s="1839"/>
      <c r="IC154" s="1839"/>
      <c r="ID154" s="1839"/>
      <c r="IE154" s="1839"/>
      <c r="IF154" s="1839"/>
      <c r="IG154" s="1839"/>
      <c r="IH154" s="1839"/>
      <c r="II154" s="1839"/>
      <c r="IJ154" s="1839"/>
      <c r="IK154" s="1839"/>
      <c r="IL154" s="1839"/>
      <c r="IM154" s="1839"/>
      <c r="IN154" s="1839"/>
      <c r="IO154" s="1839"/>
      <c r="IP154" s="1839"/>
      <c r="IQ154" s="1839"/>
      <c r="IR154" s="1839"/>
      <c r="IS154" s="1839"/>
      <c r="IT154" s="1839"/>
      <c r="IU154" s="1839"/>
      <c r="IV154" s="1839"/>
      <c r="IW154" s="1839"/>
      <c r="IX154" s="1839"/>
      <c r="IY154" s="1839"/>
      <c r="IZ154" s="1839"/>
      <c r="JA154" s="1839"/>
      <c r="JB154" s="1839"/>
      <c r="JC154" s="1839"/>
      <c r="JD154" s="1839"/>
      <c r="JE154" s="1839"/>
      <c r="JF154" s="1839"/>
      <c r="JG154" s="1839"/>
      <c r="JH154" s="1839"/>
      <c r="JI154" s="1839"/>
      <c r="JJ154" s="1839"/>
      <c r="JK154" s="1839"/>
      <c r="JL154" s="1839"/>
      <c r="JM154" s="1839"/>
      <c r="JN154" s="1839"/>
      <c r="JO154" s="1839"/>
      <c r="JP154" s="1839"/>
      <c r="JQ154" s="1839"/>
      <c r="JR154" s="1839"/>
      <c r="JS154" s="1839"/>
      <c r="JT154" s="1839"/>
      <c r="JU154" s="1839"/>
      <c r="JV154" s="1839"/>
      <c r="JW154" s="1839"/>
      <c r="JX154" s="1839"/>
      <c r="JY154" s="1839"/>
      <c r="JZ154" s="1839"/>
      <c r="KA154" s="1839"/>
      <c r="KB154" s="1839"/>
      <c r="KC154" s="1839"/>
      <c r="KD154" s="1839"/>
      <c r="KE154" s="1839"/>
      <c r="KF154" s="1839"/>
      <c r="KG154" s="1839"/>
      <c r="KH154" s="1839"/>
      <c r="KI154" s="1839"/>
      <c r="KJ154" s="1839"/>
      <c r="KK154" s="1839"/>
      <c r="KL154" s="1839"/>
      <c r="KM154" s="1839"/>
      <c r="KN154" s="1839"/>
      <c r="KO154" s="1839"/>
      <c r="KP154" s="1839"/>
      <c r="KQ154" s="1839"/>
      <c r="KR154" s="1839"/>
      <c r="KS154" s="1839"/>
      <c r="KT154" s="1839"/>
      <c r="KU154" s="1839"/>
      <c r="KV154" s="1839"/>
      <c r="KW154" s="1839"/>
      <c r="KX154" s="1839"/>
      <c r="KY154" s="1839"/>
      <c r="KZ154" s="1839"/>
      <c r="LA154" s="1839"/>
      <c r="LB154" s="1839"/>
      <c r="LC154" s="1839"/>
      <c r="LD154" s="1839"/>
      <c r="LE154" s="1839"/>
      <c r="LF154" s="1839"/>
      <c r="LG154" s="1839"/>
      <c r="LH154" s="1839"/>
      <c r="LI154" s="1839"/>
      <c r="LJ154" s="1839"/>
      <c r="LK154" s="1839"/>
      <c r="LL154" s="1839"/>
      <c r="LM154" s="1839"/>
      <c r="LN154" s="1839"/>
      <c r="LO154" s="1839"/>
      <c r="LP154" s="1839"/>
      <c r="LQ154" s="1839"/>
      <c r="LR154" s="1839"/>
      <c r="LS154" s="1839"/>
      <c r="LT154" s="1839"/>
      <c r="LU154" s="1839"/>
      <c r="LV154" s="1839"/>
      <c r="LW154" s="1839"/>
      <c r="LX154" s="1839"/>
      <c r="LY154" s="1839"/>
      <c r="LZ154" s="1839"/>
      <c r="MA154" s="1839"/>
      <c r="MB154" s="1839"/>
      <c r="MC154" s="1839"/>
      <c r="MD154" s="1839"/>
      <c r="ME154" s="1839"/>
      <c r="MF154" s="1839"/>
      <c r="MG154" s="1839"/>
      <c r="MH154" s="1839"/>
      <c r="MI154" s="1839"/>
      <c r="MJ154" s="1839"/>
      <c r="MK154" s="1839"/>
      <c r="ML154" s="1839"/>
      <c r="MM154" s="1839"/>
      <c r="MN154" s="1839"/>
      <c r="MO154" s="1839"/>
      <c r="MP154" s="1839"/>
      <c r="MQ154" s="1839"/>
      <c r="MR154" s="1839"/>
      <c r="MS154" s="1839"/>
      <c r="MT154" s="1839"/>
      <c r="MU154" s="1839"/>
      <c r="MV154" s="1839"/>
      <c r="MW154" s="1839"/>
      <c r="MX154" s="1839"/>
      <c r="MY154" s="1839"/>
      <c r="MZ154" s="1839"/>
      <c r="NA154" s="1839"/>
      <c r="NB154" s="1839"/>
      <c r="NC154" s="1839"/>
      <c r="ND154" s="1839"/>
      <c r="NE154" s="1839"/>
      <c r="NF154" s="1839"/>
      <c r="NG154" s="1839"/>
      <c r="NH154" s="1839"/>
      <c r="NI154" s="1839"/>
      <c r="NJ154" s="1839"/>
      <c r="NK154" s="1839"/>
      <c r="NL154" s="1839"/>
      <c r="NM154" s="1839"/>
      <c r="NN154" s="1839"/>
      <c r="NO154" s="1839"/>
      <c r="NP154" s="1839"/>
      <c r="NQ154" s="1839"/>
      <c r="NR154" s="1839"/>
      <c r="NS154" s="1839"/>
      <c r="NT154" s="1839"/>
      <c r="NU154" s="1839"/>
      <c r="NV154" s="1839"/>
      <c r="NW154" s="1839"/>
      <c r="NX154" s="1839"/>
      <c r="NY154" s="1839"/>
      <c r="NZ154" s="1839"/>
      <c r="OA154" s="1839"/>
      <c r="OB154" s="1839"/>
      <c r="OC154" s="1839"/>
      <c r="OD154" s="1839"/>
      <c r="OE154" s="1839"/>
    </row>
    <row r="155" spans="1:395">
      <c r="A155" s="1839"/>
      <c r="B155" s="1839"/>
      <c r="C155" s="1839"/>
      <c r="D155" s="1839"/>
      <c r="E155" s="1839"/>
      <c r="F155" s="1839"/>
      <c r="G155" s="1839"/>
      <c r="H155" s="1839"/>
      <c r="I155" s="1839"/>
      <c r="J155" s="1839"/>
      <c r="K155" s="1839"/>
      <c r="L155" s="1839"/>
      <c r="M155" s="1839"/>
      <c r="N155" s="1839"/>
      <c r="O155" s="1839"/>
      <c r="P155" s="1839"/>
      <c r="Q155" s="1839"/>
      <c r="R155" s="1839"/>
      <c r="S155" s="1839"/>
      <c r="T155" s="1839"/>
      <c r="U155" s="1839"/>
      <c r="V155" s="1839"/>
      <c r="W155" s="1839"/>
      <c r="X155" s="1839"/>
      <c r="Y155" s="1839"/>
      <c r="Z155" s="1839"/>
      <c r="AA155" s="1839"/>
      <c r="AB155" s="1839"/>
      <c r="AC155" s="1839"/>
      <c r="AD155" s="1839"/>
      <c r="AE155" s="1839"/>
      <c r="AF155" s="1839"/>
      <c r="AG155" s="1839"/>
      <c r="AH155" s="1839"/>
      <c r="AI155" s="1839"/>
      <c r="AJ155" s="1839"/>
      <c r="AK155" s="1839"/>
      <c r="AL155" s="1839"/>
      <c r="AM155" s="1839"/>
      <c r="AN155" s="1839"/>
      <c r="AO155" s="1839"/>
      <c r="AP155" s="1839"/>
      <c r="AQ155" s="1839"/>
      <c r="AR155" s="1839"/>
      <c r="AS155" s="1839"/>
      <c r="AT155" s="1839"/>
      <c r="AU155" s="1839"/>
      <c r="AV155" s="1839"/>
      <c r="AW155" s="1839"/>
      <c r="AX155" s="1839"/>
      <c r="AY155" s="1839"/>
      <c r="AZ155" s="1839"/>
      <c r="BA155" s="1839"/>
      <c r="BB155" s="1839"/>
      <c r="BC155" s="1839"/>
      <c r="BD155" s="1839"/>
      <c r="BE155" s="1839"/>
      <c r="BF155" s="1839"/>
      <c r="BG155" s="1839"/>
      <c r="BH155" s="1839"/>
      <c r="BI155" s="1839"/>
      <c r="BJ155" s="1839"/>
      <c r="BK155" s="1839"/>
      <c r="BL155" s="1839"/>
      <c r="BM155" s="1839"/>
      <c r="BN155" s="1839"/>
      <c r="BO155" s="1839"/>
      <c r="BP155" s="1839"/>
      <c r="BQ155" s="1839"/>
      <c r="BR155" s="1839"/>
      <c r="BS155" s="1839"/>
      <c r="BT155" s="1839"/>
      <c r="BU155" s="1839"/>
      <c r="BV155" s="1839"/>
      <c r="BW155" s="1839"/>
      <c r="BX155" s="1839"/>
      <c r="BY155" s="1839"/>
      <c r="BZ155" s="1839"/>
      <c r="CA155" s="1839"/>
      <c r="CB155" s="1839"/>
      <c r="CC155" s="1839"/>
      <c r="CD155" s="1839"/>
      <c r="CE155" s="1839"/>
      <c r="CF155" s="1839"/>
      <c r="CG155" s="1839"/>
      <c r="CH155" s="1839"/>
      <c r="CI155" s="1839"/>
      <c r="CJ155" s="1839"/>
      <c r="CK155" s="1839"/>
      <c r="CL155" s="1839"/>
      <c r="CM155" s="1839"/>
      <c r="CN155" s="1839"/>
      <c r="CO155" s="1839"/>
      <c r="CP155" s="1839"/>
      <c r="CQ155" s="1839"/>
      <c r="CR155" s="1839"/>
      <c r="CS155" s="1839"/>
      <c r="CT155" s="1839"/>
      <c r="CU155" s="1839"/>
      <c r="CV155" s="1839"/>
      <c r="CW155" s="1839"/>
      <c r="CX155" s="1839"/>
      <c r="CY155" s="1839"/>
      <c r="CZ155" s="1839"/>
      <c r="DA155" s="1839"/>
      <c r="DB155" s="1839"/>
      <c r="DC155" s="1839"/>
      <c r="DD155" s="1839"/>
      <c r="DE155" s="1839"/>
      <c r="DF155" s="1839"/>
      <c r="DG155" s="1839"/>
      <c r="DH155" s="1839"/>
      <c r="DI155" s="1839"/>
      <c r="DJ155" s="1839"/>
      <c r="DK155" s="1839"/>
      <c r="DL155" s="1839"/>
      <c r="DM155" s="1839"/>
      <c r="DN155" s="1839"/>
      <c r="DO155" s="1839"/>
      <c r="DP155" s="1839"/>
      <c r="DQ155" s="1839"/>
      <c r="DR155" s="1839"/>
      <c r="DS155" s="1839"/>
      <c r="DT155" s="1839"/>
      <c r="DU155" s="1839"/>
      <c r="DV155" s="1839"/>
      <c r="DW155" s="1839"/>
      <c r="DX155" s="1839"/>
      <c r="DY155" s="1839"/>
      <c r="DZ155" s="1839"/>
      <c r="EA155" s="1839"/>
      <c r="EB155" s="1839"/>
      <c r="EC155" s="1839"/>
      <c r="ED155" s="1839"/>
      <c r="EE155" s="1839"/>
      <c r="EF155" s="1839"/>
      <c r="EG155" s="1839"/>
      <c r="EH155" s="1839"/>
      <c r="EI155" s="1839"/>
      <c r="EJ155" s="1839"/>
      <c r="EK155" s="1839"/>
      <c r="EL155" s="1839"/>
      <c r="EM155" s="1839"/>
      <c r="EN155" s="1839"/>
      <c r="EO155" s="1839"/>
      <c r="EP155" s="1839"/>
      <c r="EQ155" s="1839"/>
      <c r="ER155" s="1839"/>
      <c r="ES155" s="1839"/>
      <c r="ET155" s="1839"/>
      <c r="EU155" s="1839"/>
      <c r="EV155" s="1839"/>
      <c r="EW155" s="1839"/>
      <c r="EX155" s="1839"/>
      <c r="EY155" s="1839"/>
      <c r="EZ155" s="1839"/>
      <c r="FA155" s="1839"/>
      <c r="FB155" s="1839"/>
      <c r="FC155" s="1839"/>
      <c r="FD155" s="1839"/>
      <c r="FE155" s="1839"/>
      <c r="FF155" s="1839"/>
      <c r="FG155" s="1839"/>
      <c r="FH155" s="1839"/>
      <c r="FI155" s="1839"/>
      <c r="FJ155" s="1839"/>
      <c r="FK155" s="1839"/>
      <c r="FL155" s="1839"/>
      <c r="FM155" s="1839"/>
      <c r="FN155" s="1839"/>
      <c r="FO155" s="1839"/>
      <c r="FP155" s="1839"/>
      <c r="FQ155" s="1839"/>
      <c r="FR155" s="1839"/>
      <c r="FS155" s="1839"/>
      <c r="FT155" s="1839"/>
      <c r="FU155" s="1839"/>
      <c r="FV155" s="1839"/>
      <c r="FW155" s="1839"/>
      <c r="FX155" s="1839"/>
      <c r="FY155" s="1839"/>
      <c r="FZ155" s="1839"/>
      <c r="GA155" s="1839"/>
      <c r="GB155" s="1839"/>
      <c r="GC155" s="1839"/>
      <c r="GD155" s="1839"/>
      <c r="GE155" s="1839"/>
      <c r="GF155" s="1839"/>
      <c r="GG155" s="1839"/>
      <c r="GH155" s="1839"/>
      <c r="GI155" s="1839"/>
      <c r="GJ155" s="1839"/>
      <c r="GK155" s="1839"/>
      <c r="GL155" s="1839"/>
      <c r="GM155" s="1839"/>
      <c r="GN155" s="1839"/>
      <c r="GO155" s="1839"/>
      <c r="GP155" s="1839"/>
      <c r="GQ155" s="1839"/>
      <c r="GR155" s="1839"/>
      <c r="GS155" s="1839"/>
      <c r="GT155" s="1839"/>
      <c r="GU155" s="1839"/>
      <c r="GV155" s="1839"/>
      <c r="GW155" s="1839"/>
      <c r="GX155" s="1839"/>
      <c r="GY155" s="1839"/>
      <c r="GZ155" s="1839"/>
      <c r="HA155" s="1839"/>
      <c r="HB155" s="1839"/>
      <c r="HC155" s="1839"/>
      <c r="HD155" s="1839"/>
      <c r="HE155" s="1839"/>
      <c r="HF155" s="1839"/>
      <c r="HG155" s="1839"/>
      <c r="HH155" s="1839"/>
      <c r="HI155" s="1839"/>
      <c r="HJ155" s="1839"/>
      <c r="HK155" s="1839"/>
      <c r="HL155" s="1839"/>
      <c r="HM155" s="1839"/>
      <c r="HN155" s="1839"/>
      <c r="HO155" s="1839"/>
      <c r="HP155" s="1839"/>
      <c r="HQ155" s="1839"/>
      <c r="HR155" s="1839"/>
      <c r="HS155" s="1839"/>
      <c r="HT155" s="1839"/>
      <c r="HU155" s="1839"/>
      <c r="HV155" s="1839"/>
      <c r="HW155" s="1839"/>
      <c r="HX155" s="1839"/>
      <c r="HY155" s="1839"/>
      <c r="HZ155" s="1839"/>
      <c r="IA155" s="1839"/>
      <c r="IB155" s="1839"/>
      <c r="IC155" s="1839"/>
      <c r="ID155" s="1839"/>
      <c r="IE155" s="1839"/>
      <c r="IF155" s="1839"/>
      <c r="IG155" s="1839"/>
      <c r="IH155" s="1839"/>
      <c r="II155" s="1839"/>
      <c r="IJ155" s="1839"/>
      <c r="IK155" s="1839"/>
      <c r="IL155" s="1839"/>
      <c r="IM155" s="1839"/>
      <c r="IN155" s="1839"/>
      <c r="IO155" s="1839"/>
      <c r="IP155" s="1839"/>
      <c r="IQ155" s="1839"/>
      <c r="IR155" s="1839"/>
      <c r="IS155" s="1839"/>
      <c r="IT155" s="1839"/>
      <c r="IU155" s="1839"/>
      <c r="IV155" s="1839"/>
      <c r="IW155" s="1839"/>
      <c r="IX155" s="1839"/>
      <c r="IY155" s="1839"/>
      <c r="IZ155" s="1839"/>
      <c r="JA155" s="1839"/>
      <c r="JB155" s="1839"/>
      <c r="JC155" s="1839"/>
      <c r="JD155" s="1839"/>
      <c r="JE155" s="1839"/>
      <c r="JF155" s="1839"/>
      <c r="JG155" s="1839"/>
      <c r="JH155" s="1839"/>
      <c r="JI155" s="1839"/>
      <c r="JJ155" s="1839"/>
      <c r="JK155" s="1839"/>
      <c r="JL155" s="1839"/>
      <c r="JM155" s="1839"/>
      <c r="JN155" s="1839"/>
      <c r="JO155" s="1839"/>
      <c r="JP155" s="1839"/>
      <c r="JQ155" s="1839"/>
      <c r="JR155" s="1839"/>
      <c r="JS155" s="1839"/>
      <c r="JT155" s="1839"/>
      <c r="JU155" s="1839"/>
      <c r="JV155" s="1839"/>
      <c r="JW155" s="1839"/>
      <c r="JX155" s="1839"/>
      <c r="JY155" s="1839"/>
      <c r="JZ155" s="1839"/>
      <c r="KA155" s="1839"/>
      <c r="KB155" s="1839"/>
      <c r="KC155" s="1839"/>
      <c r="KD155" s="1839"/>
      <c r="KE155" s="1839"/>
      <c r="KF155" s="1839"/>
      <c r="KG155" s="1839"/>
      <c r="KH155" s="1839"/>
      <c r="KI155" s="1839"/>
      <c r="KJ155" s="1839"/>
      <c r="KK155" s="1839"/>
      <c r="KL155" s="1839"/>
      <c r="KM155" s="1839"/>
      <c r="KN155" s="1839"/>
      <c r="KO155" s="1839"/>
      <c r="KP155" s="1839"/>
      <c r="KQ155" s="1839"/>
      <c r="KR155" s="1839"/>
      <c r="KS155" s="1839"/>
      <c r="KT155" s="1839"/>
      <c r="KU155" s="1839"/>
      <c r="KV155" s="1839"/>
      <c r="KW155" s="1839"/>
      <c r="KX155" s="1839"/>
      <c r="KY155" s="1839"/>
      <c r="KZ155" s="1839"/>
      <c r="LA155" s="1839"/>
      <c r="LB155" s="1839"/>
      <c r="LC155" s="1839"/>
      <c r="LD155" s="1839"/>
      <c r="LE155" s="1839"/>
      <c r="LF155" s="1839"/>
      <c r="LG155" s="1839"/>
      <c r="LH155" s="1839"/>
      <c r="LI155" s="1839"/>
      <c r="LJ155" s="1839"/>
      <c r="LK155" s="1839"/>
      <c r="LL155" s="1839"/>
      <c r="LM155" s="1839"/>
      <c r="LN155" s="1839"/>
      <c r="LO155" s="1839"/>
      <c r="LP155" s="1839"/>
      <c r="LQ155" s="1839"/>
      <c r="LR155" s="1839"/>
      <c r="LS155" s="1839"/>
      <c r="LT155" s="1839"/>
      <c r="LU155" s="1839"/>
      <c r="LV155" s="1839"/>
      <c r="LW155" s="1839"/>
      <c r="LX155" s="1839"/>
      <c r="LY155" s="1839"/>
      <c r="LZ155" s="1839"/>
      <c r="MA155" s="1839"/>
      <c r="MB155" s="1839"/>
      <c r="MC155" s="1839"/>
      <c r="MD155" s="1839"/>
      <c r="ME155" s="1839"/>
      <c r="MF155" s="1839"/>
      <c r="MG155" s="1839"/>
      <c r="MH155" s="1839"/>
      <c r="MI155" s="1839"/>
      <c r="MJ155" s="1839"/>
      <c r="MK155" s="1839"/>
      <c r="ML155" s="1839"/>
      <c r="MM155" s="1839"/>
      <c r="MN155" s="1839"/>
      <c r="MO155" s="1839"/>
      <c r="MP155" s="1839"/>
      <c r="MQ155" s="1839"/>
      <c r="MR155" s="1839"/>
      <c r="MS155" s="1839"/>
      <c r="MT155" s="1839"/>
      <c r="MU155" s="1839"/>
      <c r="MV155" s="1839"/>
      <c r="MW155" s="1839"/>
      <c r="MX155" s="1839"/>
      <c r="MY155" s="1839"/>
      <c r="MZ155" s="1839"/>
      <c r="NA155" s="1839"/>
      <c r="NB155" s="1839"/>
      <c r="NC155" s="1839"/>
      <c r="ND155" s="1839"/>
      <c r="NE155" s="1839"/>
      <c r="NF155" s="1839"/>
      <c r="NG155" s="1839"/>
      <c r="NH155" s="1839"/>
      <c r="NI155" s="1839"/>
      <c r="NJ155" s="1839"/>
      <c r="NK155" s="1839"/>
      <c r="NL155" s="1839"/>
      <c r="NM155" s="1839"/>
      <c r="NN155" s="1839"/>
      <c r="NO155" s="1839"/>
      <c r="NP155" s="1839"/>
      <c r="NQ155" s="1839"/>
      <c r="NR155" s="1839"/>
      <c r="NS155" s="1839"/>
      <c r="NT155" s="1839"/>
      <c r="NU155" s="1839"/>
      <c r="NV155" s="1839"/>
      <c r="NW155" s="1839"/>
      <c r="NX155" s="1839"/>
      <c r="NY155" s="1839"/>
      <c r="NZ155" s="1839"/>
      <c r="OA155" s="1839"/>
      <c r="OB155" s="1839"/>
      <c r="OC155" s="1839"/>
      <c r="OD155" s="1839"/>
      <c r="OE155" s="1839"/>
    </row>
    <row r="156" spans="1:395">
      <c r="A156" s="1839"/>
      <c r="B156" s="1839"/>
      <c r="C156" s="1839"/>
      <c r="D156" s="1839"/>
      <c r="E156" s="1839"/>
      <c r="F156" s="1839"/>
      <c r="G156" s="1839"/>
      <c r="H156" s="1839"/>
      <c r="I156" s="1839"/>
      <c r="J156" s="1839"/>
      <c r="K156" s="1839"/>
      <c r="L156" s="1839"/>
      <c r="M156" s="1839"/>
      <c r="N156" s="1839"/>
      <c r="O156" s="1839"/>
      <c r="P156" s="1839"/>
      <c r="Q156" s="1839"/>
      <c r="R156" s="1839"/>
      <c r="S156" s="1839"/>
      <c r="T156" s="1839"/>
      <c r="U156" s="1839"/>
      <c r="V156" s="1839"/>
      <c r="W156" s="1839"/>
      <c r="X156" s="1839"/>
      <c r="Y156" s="1839"/>
      <c r="Z156" s="1839"/>
      <c r="AA156" s="1839"/>
      <c r="AB156" s="1839"/>
      <c r="AC156" s="1839"/>
      <c r="AD156" s="1839"/>
      <c r="AE156" s="1839"/>
      <c r="AF156" s="1839"/>
      <c r="AG156" s="1839"/>
      <c r="AH156" s="1839"/>
      <c r="AI156" s="1839"/>
      <c r="AJ156" s="1839"/>
      <c r="AK156" s="1839"/>
      <c r="AL156" s="1839"/>
      <c r="AM156" s="1839"/>
      <c r="AN156" s="1839"/>
      <c r="AO156" s="1839"/>
      <c r="AP156" s="1839"/>
      <c r="AQ156" s="1839"/>
      <c r="AR156" s="1839"/>
      <c r="AS156" s="1839"/>
      <c r="AT156" s="1839"/>
      <c r="AU156" s="1839"/>
      <c r="AV156" s="1839"/>
      <c r="AW156" s="1839"/>
      <c r="AX156" s="1839"/>
      <c r="AY156" s="1839"/>
      <c r="AZ156" s="1839"/>
      <c r="BA156" s="1839"/>
      <c r="BB156" s="1839"/>
      <c r="BC156" s="1839"/>
      <c r="BD156" s="1839"/>
      <c r="BE156" s="1839"/>
      <c r="BF156" s="1839"/>
      <c r="BG156" s="1839"/>
      <c r="BH156" s="1839"/>
      <c r="BI156" s="1839"/>
      <c r="BJ156" s="1839"/>
      <c r="BK156" s="1839"/>
      <c r="BL156" s="1839"/>
      <c r="BM156" s="1839"/>
      <c r="BN156" s="1839"/>
      <c r="BO156" s="1839"/>
      <c r="BP156" s="1839"/>
      <c r="BQ156" s="1839"/>
      <c r="BR156" s="1839"/>
      <c r="BS156" s="1839"/>
      <c r="BT156" s="1839"/>
      <c r="BU156" s="1839"/>
      <c r="BV156" s="1839"/>
      <c r="BW156" s="1839"/>
      <c r="BX156" s="1839"/>
      <c r="BY156" s="1839"/>
      <c r="BZ156" s="1839"/>
      <c r="CA156" s="1839"/>
      <c r="CB156" s="1839"/>
      <c r="CC156" s="1839"/>
      <c r="CD156" s="1839"/>
      <c r="CE156" s="1839"/>
      <c r="CF156" s="1839"/>
      <c r="CG156" s="1839"/>
      <c r="CH156" s="1839"/>
      <c r="CI156" s="1839"/>
      <c r="CJ156" s="1839"/>
      <c r="CK156" s="1839"/>
      <c r="CL156" s="1839"/>
      <c r="CM156" s="1839"/>
      <c r="CN156" s="1839"/>
      <c r="CO156" s="1839"/>
      <c r="CP156" s="1839"/>
      <c r="CQ156" s="1839"/>
      <c r="CR156" s="1839"/>
      <c r="CS156" s="1839"/>
      <c r="CT156" s="1839"/>
      <c r="CU156" s="1839"/>
      <c r="CV156" s="1839"/>
      <c r="CW156" s="1839"/>
      <c r="CX156" s="1839"/>
      <c r="CY156" s="1839"/>
      <c r="CZ156" s="1839"/>
      <c r="DA156" s="1839"/>
      <c r="DB156" s="1839"/>
      <c r="DC156" s="1839"/>
      <c r="DD156" s="1839"/>
      <c r="DE156" s="1839"/>
      <c r="DF156" s="1839"/>
      <c r="DG156" s="1839"/>
      <c r="DH156" s="1839"/>
      <c r="DI156" s="1839"/>
      <c r="DJ156" s="1839"/>
      <c r="DK156" s="1839"/>
      <c r="DL156" s="1839"/>
      <c r="DM156" s="1839"/>
      <c r="DN156" s="1839"/>
      <c r="DO156" s="1839"/>
      <c r="DP156" s="1839"/>
      <c r="DQ156" s="1839"/>
      <c r="DR156" s="1839"/>
      <c r="DS156" s="1839"/>
      <c r="DT156" s="1839"/>
      <c r="DU156" s="1839"/>
      <c r="DV156" s="1839"/>
      <c r="DW156" s="1839"/>
      <c r="DX156" s="1839"/>
      <c r="DY156" s="1839"/>
      <c r="DZ156" s="1839"/>
      <c r="EA156" s="1839"/>
      <c r="EB156" s="1839"/>
      <c r="EC156" s="1839"/>
      <c r="ED156" s="1839"/>
      <c r="EE156" s="1839"/>
      <c r="EF156" s="1839"/>
      <c r="EG156" s="1839"/>
      <c r="EH156" s="1839"/>
      <c r="EI156" s="1839"/>
      <c r="EJ156" s="1839"/>
      <c r="EK156" s="1839"/>
      <c r="EL156" s="1839"/>
      <c r="EM156" s="1839"/>
      <c r="EN156" s="1839"/>
      <c r="EO156" s="1839"/>
      <c r="EP156" s="1839"/>
      <c r="EQ156" s="1839"/>
      <c r="ER156" s="1839"/>
      <c r="ES156" s="1839"/>
      <c r="ET156" s="1839"/>
      <c r="EU156" s="1839"/>
      <c r="EV156" s="1839"/>
      <c r="EW156" s="1839"/>
      <c r="EX156" s="1839"/>
      <c r="EY156" s="1839"/>
      <c r="EZ156" s="1839"/>
      <c r="FA156" s="1839"/>
      <c r="FB156" s="1839"/>
      <c r="FC156" s="1839"/>
      <c r="FD156" s="1839"/>
      <c r="FE156" s="1839"/>
      <c r="FF156" s="1839"/>
      <c r="FG156" s="1839"/>
      <c r="FH156" s="1839"/>
      <c r="FI156" s="1839"/>
      <c r="FJ156" s="1839"/>
      <c r="FK156" s="1839"/>
      <c r="FL156" s="1839"/>
      <c r="FM156" s="1839"/>
      <c r="FN156" s="1839"/>
      <c r="FO156" s="1839"/>
      <c r="FP156" s="1839"/>
      <c r="FQ156" s="1839"/>
      <c r="FR156" s="1839"/>
      <c r="FS156" s="1839"/>
      <c r="FT156" s="1839"/>
      <c r="FU156" s="1839"/>
      <c r="FV156" s="1839"/>
      <c r="FW156" s="1839"/>
      <c r="FX156" s="1839"/>
      <c r="FY156" s="1839"/>
      <c r="FZ156" s="1839"/>
      <c r="GA156" s="1839"/>
      <c r="GB156" s="1839"/>
      <c r="GC156" s="1839"/>
      <c r="GD156" s="1839"/>
      <c r="GE156" s="1839"/>
      <c r="GF156" s="1839"/>
      <c r="GG156" s="1839"/>
      <c r="GH156" s="1839"/>
      <c r="GI156" s="1839"/>
      <c r="GJ156" s="1839"/>
      <c r="GK156" s="1839"/>
      <c r="GL156" s="1839"/>
      <c r="GM156" s="1839"/>
      <c r="GN156" s="1839"/>
      <c r="GO156" s="1839"/>
      <c r="GP156" s="1839"/>
      <c r="GQ156" s="1839"/>
      <c r="GR156" s="1839"/>
      <c r="GS156" s="1839"/>
      <c r="GT156" s="1839"/>
      <c r="GU156" s="1839"/>
      <c r="GV156" s="1839"/>
      <c r="GW156" s="1839"/>
      <c r="GX156" s="1839"/>
      <c r="GY156" s="1839"/>
      <c r="GZ156" s="1839"/>
      <c r="HA156" s="1839"/>
      <c r="HB156" s="1839"/>
      <c r="HC156" s="1839"/>
      <c r="HD156" s="1839"/>
      <c r="HE156" s="1839"/>
      <c r="HF156" s="1839"/>
      <c r="HG156" s="1839"/>
      <c r="HH156" s="1839"/>
      <c r="HI156" s="1839"/>
      <c r="HJ156" s="1839"/>
      <c r="HK156" s="1839"/>
      <c r="HL156" s="1839"/>
      <c r="HM156" s="1839"/>
      <c r="HN156" s="1839"/>
      <c r="HO156" s="1839"/>
      <c r="HP156" s="1839"/>
      <c r="HQ156" s="1839"/>
      <c r="HR156" s="1839"/>
      <c r="HS156" s="1839"/>
      <c r="HT156" s="1839"/>
      <c r="HU156" s="1839"/>
      <c r="HV156" s="1839"/>
      <c r="HW156" s="1839"/>
      <c r="HX156" s="1839"/>
      <c r="HY156" s="1839"/>
      <c r="HZ156" s="1839"/>
      <c r="IA156" s="1839"/>
      <c r="IB156" s="1839"/>
      <c r="IC156" s="1839"/>
      <c r="ID156" s="1839"/>
      <c r="IE156" s="1839"/>
      <c r="IF156" s="1839"/>
      <c r="IG156" s="1839"/>
      <c r="IH156" s="1839"/>
      <c r="II156" s="1839"/>
      <c r="IJ156" s="1839"/>
      <c r="IK156" s="1839"/>
      <c r="IL156" s="1839"/>
      <c r="IM156" s="1839"/>
      <c r="IN156" s="1839"/>
      <c r="IO156" s="1839"/>
      <c r="IP156" s="1839"/>
      <c r="IQ156" s="1839"/>
      <c r="IR156" s="1839"/>
      <c r="IS156" s="1839"/>
      <c r="IT156" s="1839"/>
      <c r="IU156" s="1839"/>
      <c r="IV156" s="1839"/>
      <c r="IW156" s="1839"/>
      <c r="IX156" s="1839"/>
      <c r="IY156" s="1839"/>
      <c r="IZ156" s="1839"/>
      <c r="JA156" s="1839"/>
      <c r="JB156" s="1839"/>
      <c r="JC156" s="1839"/>
      <c r="JD156" s="1839"/>
      <c r="JE156" s="1839"/>
      <c r="JF156" s="1839"/>
      <c r="JG156" s="1839"/>
      <c r="JH156" s="1839"/>
      <c r="JI156" s="1839"/>
      <c r="JJ156" s="1839"/>
      <c r="JK156" s="1839"/>
      <c r="JL156" s="1839"/>
      <c r="JM156" s="1839"/>
      <c r="JN156" s="1839"/>
      <c r="JO156" s="1839"/>
      <c r="JP156" s="1839"/>
      <c r="JQ156" s="1839"/>
      <c r="JR156" s="1839"/>
      <c r="JS156" s="1839"/>
      <c r="JT156" s="1839"/>
      <c r="JU156" s="1839"/>
      <c r="JV156" s="1839"/>
      <c r="JW156" s="1839"/>
      <c r="JX156" s="1839"/>
      <c r="JY156" s="1839"/>
      <c r="JZ156" s="1839"/>
      <c r="KA156" s="1839"/>
      <c r="KB156" s="1839"/>
      <c r="KC156" s="1839"/>
      <c r="KD156" s="1839"/>
      <c r="KE156" s="1839"/>
      <c r="KF156" s="1839"/>
      <c r="KG156" s="1839"/>
      <c r="KH156" s="1839"/>
      <c r="KI156" s="1839"/>
      <c r="KJ156" s="1839"/>
      <c r="KK156" s="1839"/>
      <c r="KL156" s="1839"/>
      <c r="KM156" s="1839"/>
      <c r="KN156" s="1839"/>
      <c r="KO156" s="1839"/>
      <c r="KP156" s="1839"/>
      <c r="KQ156" s="1839"/>
      <c r="KR156" s="1839"/>
      <c r="KS156" s="1839"/>
      <c r="KT156" s="1839"/>
      <c r="KU156" s="1839"/>
      <c r="KV156" s="1839"/>
      <c r="KW156" s="1839"/>
      <c r="KX156" s="1839"/>
      <c r="KY156" s="1839"/>
      <c r="KZ156" s="1839"/>
      <c r="LA156" s="1839"/>
      <c r="LB156" s="1839"/>
      <c r="LC156" s="1839"/>
      <c r="LD156" s="1839"/>
      <c r="LE156" s="1839"/>
      <c r="LF156" s="1839"/>
      <c r="LG156" s="1839"/>
      <c r="LH156" s="1839"/>
      <c r="LI156" s="1839"/>
      <c r="LJ156" s="1839"/>
      <c r="LK156" s="1839"/>
      <c r="LL156" s="1839"/>
      <c r="LM156" s="1839"/>
      <c r="LN156" s="1839"/>
      <c r="LO156" s="1839"/>
      <c r="LP156" s="1839"/>
      <c r="LQ156" s="1839"/>
      <c r="LR156" s="1839"/>
      <c r="LS156" s="1839"/>
      <c r="LT156" s="1839"/>
      <c r="LU156" s="1839"/>
      <c r="LV156" s="1839"/>
      <c r="LW156" s="1839"/>
      <c r="LX156" s="1839"/>
      <c r="LY156" s="1839"/>
      <c r="LZ156" s="1839"/>
      <c r="MA156" s="1839"/>
      <c r="MB156" s="1839"/>
      <c r="MC156" s="1839"/>
      <c r="MD156" s="1839"/>
      <c r="ME156" s="1839"/>
      <c r="MF156" s="1839"/>
      <c r="MG156" s="1839"/>
      <c r="MH156" s="1839"/>
      <c r="MI156" s="1839"/>
      <c r="MJ156" s="1839"/>
      <c r="MK156" s="1839"/>
      <c r="ML156" s="1839"/>
      <c r="MM156" s="1839"/>
      <c r="MN156" s="1839"/>
      <c r="MO156" s="1839"/>
      <c r="MP156" s="1839"/>
      <c r="MQ156" s="1839"/>
      <c r="MR156" s="1839"/>
      <c r="MS156" s="1839"/>
      <c r="MT156" s="1839"/>
      <c r="MU156" s="1839"/>
      <c r="MV156" s="1839"/>
      <c r="MW156" s="1839"/>
      <c r="MX156" s="1839"/>
      <c r="MY156" s="1839"/>
      <c r="MZ156" s="1839"/>
      <c r="NA156" s="1839"/>
      <c r="NB156" s="1839"/>
      <c r="NC156" s="1839"/>
      <c r="ND156" s="1839"/>
      <c r="NE156" s="1839"/>
      <c r="NF156" s="1839"/>
      <c r="NG156" s="1839"/>
      <c r="NH156" s="1839"/>
      <c r="NI156" s="1839"/>
      <c r="NJ156" s="1839"/>
      <c r="NK156" s="1839"/>
      <c r="NL156" s="1839"/>
      <c r="NM156" s="1839"/>
      <c r="NN156" s="1839"/>
      <c r="NO156" s="1839"/>
      <c r="NP156" s="1839"/>
      <c r="NQ156" s="1839"/>
      <c r="NR156" s="1839"/>
      <c r="NS156" s="1839"/>
      <c r="NT156" s="1839"/>
      <c r="NU156" s="1839"/>
      <c r="NV156" s="1839"/>
      <c r="NW156" s="1839"/>
      <c r="NX156" s="1839"/>
      <c r="NY156" s="1839"/>
      <c r="NZ156" s="1839"/>
      <c r="OA156" s="1839"/>
      <c r="OB156" s="1839"/>
      <c r="OC156" s="1839"/>
      <c r="OD156" s="1839"/>
      <c r="OE156" s="1839"/>
    </row>
    <row r="157" spans="1:395">
      <c r="A157" s="1839"/>
      <c r="B157" s="1839"/>
      <c r="C157" s="1839"/>
      <c r="D157" s="1839"/>
      <c r="E157" s="1839"/>
      <c r="F157" s="1839"/>
      <c r="G157" s="1839"/>
      <c r="H157" s="1839"/>
      <c r="I157" s="1839"/>
      <c r="J157" s="1839"/>
      <c r="K157" s="1839"/>
      <c r="L157" s="1839"/>
      <c r="M157" s="1839"/>
      <c r="N157" s="1839"/>
      <c r="O157" s="1839"/>
      <c r="P157" s="1839"/>
      <c r="Q157" s="1839"/>
      <c r="R157" s="1839"/>
      <c r="S157" s="1839"/>
      <c r="T157" s="1839"/>
      <c r="U157" s="1839"/>
      <c r="V157" s="1839"/>
      <c r="W157" s="1839"/>
      <c r="X157" s="1839"/>
      <c r="Y157" s="1839"/>
      <c r="Z157" s="1839"/>
      <c r="AA157" s="1839"/>
      <c r="AB157" s="1839"/>
      <c r="AC157" s="1839"/>
      <c r="AD157" s="1839"/>
      <c r="AE157" s="1839"/>
      <c r="AF157" s="1839"/>
      <c r="AG157" s="1839"/>
      <c r="AH157" s="1839"/>
      <c r="AI157" s="1839"/>
      <c r="AJ157" s="1839"/>
      <c r="AK157" s="1839"/>
      <c r="AL157" s="1839"/>
      <c r="AM157" s="1839"/>
      <c r="AN157" s="1839"/>
      <c r="AO157" s="1839"/>
      <c r="AP157" s="1839"/>
      <c r="AQ157" s="1839"/>
      <c r="AR157" s="1839"/>
      <c r="AS157" s="1839"/>
      <c r="AT157" s="1839"/>
      <c r="AU157" s="1839"/>
      <c r="AV157" s="1839"/>
      <c r="AW157" s="1839"/>
      <c r="AX157" s="1839"/>
      <c r="AY157" s="1839"/>
      <c r="AZ157" s="1839"/>
      <c r="BA157" s="1839"/>
      <c r="BB157" s="1839"/>
      <c r="BC157" s="1839"/>
      <c r="BD157" s="1839"/>
      <c r="BE157" s="1839"/>
      <c r="BF157" s="1839"/>
      <c r="BG157" s="1839"/>
      <c r="BH157" s="1839"/>
      <c r="BI157" s="1839"/>
      <c r="BJ157" s="1839"/>
      <c r="BK157" s="1839"/>
      <c r="BL157" s="1839"/>
      <c r="BM157" s="1839"/>
      <c r="BN157" s="1839"/>
      <c r="BO157" s="1839"/>
      <c r="BP157" s="1839"/>
      <c r="BQ157" s="1839"/>
      <c r="BR157" s="1839"/>
      <c r="BS157" s="1839"/>
      <c r="BT157" s="1839"/>
      <c r="BU157" s="1839"/>
      <c r="BV157" s="1839"/>
      <c r="BW157" s="1839"/>
      <c r="BX157" s="1839"/>
      <c r="BY157" s="1839"/>
      <c r="BZ157" s="1839"/>
      <c r="CA157" s="1839"/>
      <c r="CB157" s="1839"/>
      <c r="CC157" s="1839"/>
      <c r="CD157" s="1839"/>
      <c r="CE157" s="1839"/>
      <c r="CF157" s="1839"/>
      <c r="CG157" s="1839"/>
      <c r="CH157" s="1839"/>
      <c r="CI157" s="1839"/>
      <c r="CJ157" s="1839"/>
      <c r="CK157" s="1839"/>
      <c r="CL157" s="1839"/>
      <c r="CM157" s="1839"/>
      <c r="CN157" s="1839"/>
      <c r="CO157" s="1839"/>
      <c r="CP157" s="1839"/>
      <c r="CQ157" s="1839"/>
      <c r="CR157" s="1839"/>
      <c r="CS157" s="1839"/>
      <c r="CT157" s="1839"/>
      <c r="CU157" s="1839"/>
      <c r="CV157" s="1839"/>
      <c r="CW157" s="1839"/>
      <c r="CX157" s="1839"/>
      <c r="CY157" s="1839"/>
      <c r="CZ157" s="1839"/>
      <c r="DA157" s="1839"/>
      <c r="DB157" s="1839"/>
      <c r="DC157" s="1839"/>
      <c r="DD157" s="1839"/>
      <c r="DE157" s="1839"/>
      <c r="DF157" s="1839"/>
      <c r="DG157" s="1839"/>
      <c r="DH157" s="1839"/>
      <c r="DI157" s="1839"/>
      <c r="DJ157" s="1839"/>
      <c r="DK157" s="1839"/>
      <c r="DL157" s="1839"/>
      <c r="DM157" s="1839"/>
      <c r="DN157" s="1839"/>
      <c r="DO157" s="1839"/>
      <c r="DP157" s="1839"/>
      <c r="DQ157" s="1839"/>
      <c r="DR157" s="1839"/>
      <c r="DS157" s="1839"/>
      <c r="DT157" s="1839"/>
      <c r="DU157" s="1839"/>
      <c r="DV157" s="1839"/>
      <c r="DW157" s="1839"/>
      <c r="DX157" s="1839"/>
      <c r="DY157" s="1839"/>
      <c r="DZ157" s="1839"/>
      <c r="EA157" s="1839"/>
      <c r="EB157" s="1839"/>
      <c r="EC157" s="1839"/>
      <c r="ED157" s="1839"/>
      <c r="EE157" s="1839"/>
      <c r="EF157" s="1839"/>
      <c r="EG157" s="1839"/>
      <c r="EH157" s="1839"/>
      <c r="EI157" s="1839"/>
      <c r="EJ157" s="1839"/>
      <c r="EK157" s="1839"/>
      <c r="EL157" s="1839"/>
      <c r="EM157" s="1839"/>
      <c r="EN157" s="1839"/>
      <c r="EO157" s="1839"/>
      <c r="EP157" s="1839"/>
      <c r="EQ157" s="1839"/>
      <c r="ER157" s="1839"/>
      <c r="ES157" s="1839"/>
      <c r="ET157" s="1839"/>
      <c r="EU157" s="1839"/>
      <c r="EV157" s="1839"/>
      <c r="EW157" s="1839"/>
      <c r="EX157" s="1839"/>
      <c r="EY157" s="1839"/>
      <c r="EZ157" s="1839"/>
      <c r="FA157" s="1839"/>
      <c r="FB157" s="1839"/>
      <c r="FC157" s="1839"/>
      <c r="FD157" s="1839"/>
      <c r="FE157" s="1839"/>
      <c r="FF157" s="1839"/>
      <c r="FG157" s="1839"/>
      <c r="FH157" s="1839"/>
      <c r="FI157" s="1839"/>
      <c r="FJ157" s="1839"/>
      <c r="FK157" s="1839"/>
      <c r="FL157" s="1839"/>
      <c r="FM157" s="1839"/>
      <c r="FN157" s="1839"/>
      <c r="FO157" s="1839"/>
      <c r="FP157" s="1839"/>
      <c r="FQ157" s="1839"/>
      <c r="FR157" s="1839"/>
      <c r="FS157" s="1839"/>
      <c r="FT157" s="1839"/>
      <c r="FU157" s="1839"/>
      <c r="FV157" s="1839"/>
      <c r="FW157" s="1839"/>
      <c r="FX157" s="1839"/>
      <c r="FY157" s="1839"/>
      <c r="FZ157" s="1839"/>
      <c r="GA157" s="1839"/>
      <c r="GB157" s="1839"/>
      <c r="GC157" s="1839"/>
      <c r="GD157" s="1839"/>
      <c r="GE157" s="1839"/>
      <c r="GF157" s="1839"/>
      <c r="GG157" s="1839"/>
      <c r="GH157" s="1839"/>
      <c r="GI157" s="1839"/>
      <c r="GJ157" s="1839"/>
      <c r="GK157" s="1839"/>
      <c r="GL157" s="1839"/>
      <c r="GM157" s="1839"/>
      <c r="GN157" s="1839"/>
      <c r="GO157" s="1839"/>
      <c r="GP157" s="1839"/>
      <c r="GQ157" s="1839"/>
      <c r="GR157" s="1839"/>
      <c r="GS157" s="1839"/>
      <c r="GT157" s="1839"/>
      <c r="GU157" s="1839"/>
      <c r="GV157" s="1839"/>
      <c r="GW157" s="1839"/>
      <c r="GX157" s="1839"/>
      <c r="GY157" s="1839"/>
      <c r="GZ157" s="1839"/>
      <c r="HA157" s="1839"/>
      <c r="HB157" s="1839"/>
      <c r="HC157" s="1839"/>
      <c r="HD157" s="1839"/>
      <c r="HE157" s="1839"/>
      <c r="HF157" s="1839"/>
      <c r="HG157" s="1839"/>
      <c r="HH157" s="1839"/>
      <c r="HI157" s="1839"/>
      <c r="HJ157" s="1839"/>
      <c r="HK157" s="1839"/>
      <c r="HL157" s="1839"/>
      <c r="HM157" s="1839"/>
      <c r="HN157" s="1839"/>
      <c r="HO157" s="1839"/>
      <c r="HP157" s="1839"/>
      <c r="HQ157" s="1839"/>
      <c r="HR157" s="1839"/>
      <c r="HS157" s="1839"/>
      <c r="HT157" s="1839"/>
      <c r="HU157" s="1839"/>
      <c r="HV157" s="1839"/>
      <c r="HW157" s="1839"/>
      <c r="HX157" s="1839"/>
      <c r="HY157" s="1839"/>
      <c r="HZ157" s="1839"/>
      <c r="IA157" s="1839"/>
      <c r="IB157" s="1839"/>
      <c r="IC157" s="1839"/>
      <c r="ID157" s="1839"/>
      <c r="IE157" s="1839"/>
      <c r="IF157" s="1839"/>
      <c r="IG157" s="1839"/>
      <c r="IH157" s="1839"/>
      <c r="II157" s="1839"/>
      <c r="IJ157" s="1839"/>
      <c r="IK157" s="1839"/>
      <c r="IL157" s="1839"/>
      <c r="IM157" s="1839"/>
      <c r="IN157" s="1839"/>
      <c r="IO157" s="1839"/>
      <c r="IP157" s="1839"/>
      <c r="IQ157" s="1839"/>
      <c r="IR157" s="1839"/>
      <c r="IS157" s="1839"/>
      <c r="IT157" s="1839"/>
      <c r="IU157" s="1839"/>
      <c r="IV157" s="1839"/>
      <c r="IW157" s="1839"/>
      <c r="IX157" s="1839"/>
      <c r="IY157" s="1839"/>
      <c r="IZ157" s="1839"/>
      <c r="JA157" s="1839"/>
      <c r="JB157" s="1839"/>
      <c r="JC157" s="1839"/>
      <c r="JD157" s="1839"/>
      <c r="JE157" s="1839"/>
      <c r="JF157" s="1839"/>
      <c r="JG157" s="1839"/>
      <c r="JH157" s="1839"/>
      <c r="JI157" s="1839"/>
      <c r="JJ157" s="1839"/>
      <c r="JK157" s="1839"/>
      <c r="JL157" s="1839"/>
      <c r="JM157" s="1839"/>
      <c r="JN157" s="1839"/>
      <c r="JO157" s="1839"/>
      <c r="JP157" s="1839"/>
      <c r="JQ157" s="1839"/>
      <c r="JR157" s="1839"/>
      <c r="JS157" s="1839"/>
      <c r="JT157" s="1839"/>
      <c r="JU157" s="1839"/>
      <c r="JV157" s="1839"/>
      <c r="JW157" s="1839"/>
      <c r="JX157" s="1839"/>
      <c r="JY157" s="1839"/>
      <c r="JZ157" s="1839"/>
      <c r="KA157" s="1839"/>
      <c r="KB157" s="1839"/>
      <c r="KC157" s="1839"/>
      <c r="KD157" s="1839"/>
      <c r="KE157" s="1839"/>
      <c r="KF157" s="1839"/>
      <c r="KG157" s="1839"/>
      <c r="KH157" s="1839"/>
      <c r="KI157" s="1839"/>
      <c r="KJ157" s="1839"/>
      <c r="KK157" s="1839"/>
      <c r="KL157" s="1839"/>
      <c r="KM157" s="1839"/>
      <c r="KN157" s="1839"/>
      <c r="KO157" s="1839"/>
      <c r="KP157" s="1839"/>
      <c r="KQ157" s="1839"/>
      <c r="KR157" s="1839"/>
      <c r="KS157" s="1839"/>
      <c r="KT157" s="1839"/>
      <c r="KU157" s="1839"/>
      <c r="KV157" s="1839"/>
      <c r="KW157" s="1839"/>
      <c r="KX157" s="1839"/>
      <c r="KY157" s="1839"/>
      <c r="KZ157" s="1839"/>
      <c r="LA157" s="1839"/>
      <c r="LB157" s="1839"/>
      <c r="LC157" s="1839"/>
      <c r="LD157" s="1839"/>
      <c r="LE157" s="1839"/>
      <c r="LF157" s="1839"/>
      <c r="LG157" s="1839"/>
      <c r="LH157" s="1839"/>
      <c r="LI157" s="1839"/>
      <c r="LJ157" s="1839"/>
      <c r="LK157" s="1839"/>
      <c r="LL157" s="1839"/>
      <c r="LM157" s="1839"/>
      <c r="LN157" s="1839"/>
      <c r="LO157" s="1839"/>
      <c r="LP157" s="1839"/>
      <c r="LQ157" s="1839"/>
      <c r="LR157" s="1839"/>
      <c r="LS157" s="1839"/>
      <c r="LT157" s="1839"/>
      <c r="LU157" s="1839"/>
      <c r="LV157" s="1839"/>
      <c r="LW157" s="1839"/>
      <c r="LX157" s="1839"/>
      <c r="LY157" s="1839"/>
      <c r="LZ157" s="1839"/>
      <c r="MA157" s="1839"/>
      <c r="MB157" s="1839"/>
      <c r="MC157" s="1839"/>
      <c r="MD157" s="1839"/>
      <c r="ME157" s="1839"/>
      <c r="MF157" s="1839"/>
      <c r="MG157" s="1839"/>
      <c r="MH157" s="1839"/>
      <c r="MI157" s="1839"/>
      <c r="MJ157" s="1839"/>
      <c r="MK157" s="1839"/>
      <c r="ML157" s="1839"/>
      <c r="MM157" s="1839"/>
      <c r="MN157" s="1839"/>
      <c r="MO157" s="1839"/>
      <c r="MP157" s="1839"/>
      <c r="MQ157" s="1839"/>
      <c r="MR157" s="1839"/>
      <c r="MS157" s="1839"/>
      <c r="MT157" s="1839"/>
      <c r="MU157" s="1839"/>
      <c r="MV157" s="1839"/>
      <c r="MW157" s="1839"/>
      <c r="MX157" s="1839"/>
      <c r="MY157" s="1839"/>
      <c r="MZ157" s="1839"/>
      <c r="NA157" s="1839"/>
      <c r="NB157" s="1839"/>
      <c r="NC157" s="1839"/>
      <c r="ND157" s="1839"/>
      <c r="NE157" s="1839"/>
      <c r="NF157" s="1839"/>
      <c r="NG157" s="1839"/>
      <c r="NH157" s="1839"/>
      <c r="NI157" s="1839"/>
      <c r="NJ157" s="1839"/>
      <c r="NK157" s="1839"/>
      <c r="NL157" s="1839"/>
      <c r="NM157" s="1839"/>
      <c r="NN157" s="1839"/>
      <c r="NO157" s="1839"/>
      <c r="NP157" s="1839"/>
      <c r="NQ157" s="1839"/>
      <c r="NR157" s="1839"/>
      <c r="NS157" s="1839"/>
      <c r="NT157" s="1839"/>
      <c r="NU157" s="1839"/>
      <c r="NV157" s="1839"/>
      <c r="NW157" s="1839"/>
      <c r="NX157" s="1839"/>
      <c r="NY157" s="1839"/>
      <c r="NZ157" s="1839"/>
      <c r="OA157" s="1839"/>
      <c r="OB157" s="1839"/>
      <c r="OC157" s="1839"/>
      <c r="OD157" s="1839"/>
      <c r="OE157" s="1839"/>
    </row>
    <row r="158" spans="1:395">
      <c r="A158" s="1839"/>
      <c r="B158" s="1839"/>
      <c r="C158" s="1839"/>
      <c r="D158" s="1839"/>
      <c r="E158" s="1839"/>
      <c r="F158" s="1839"/>
      <c r="G158" s="1839"/>
      <c r="H158" s="1839"/>
      <c r="I158" s="1839"/>
      <c r="J158" s="1839"/>
      <c r="K158" s="1839"/>
      <c r="L158" s="1839"/>
      <c r="M158" s="1839"/>
      <c r="N158" s="1839"/>
      <c r="O158" s="1839"/>
      <c r="P158" s="1839"/>
      <c r="Q158" s="1839"/>
      <c r="R158" s="1839"/>
      <c r="S158" s="1839"/>
      <c r="T158" s="1839"/>
      <c r="U158" s="1839"/>
      <c r="V158" s="1839"/>
      <c r="W158" s="1839"/>
      <c r="X158" s="1839"/>
      <c r="Y158" s="1839"/>
      <c r="Z158" s="1839"/>
      <c r="AA158" s="1839"/>
      <c r="AB158" s="1839"/>
      <c r="AC158" s="1839"/>
      <c r="AD158" s="1839"/>
      <c r="AE158" s="1839"/>
      <c r="AF158" s="1839"/>
      <c r="AG158" s="1839"/>
      <c r="AH158" s="1839"/>
      <c r="AI158" s="1839"/>
      <c r="AJ158" s="1839"/>
      <c r="AK158" s="1839"/>
      <c r="AL158" s="1839"/>
      <c r="AM158" s="1839"/>
      <c r="AN158" s="1839"/>
      <c r="AO158" s="1839"/>
      <c r="AP158" s="1839"/>
      <c r="AQ158" s="1839"/>
      <c r="AR158" s="1839"/>
      <c r="AS158" s="1839"/>
      <c r="AT158" s="1839"/>
      <c r="AU158" s="1839"/>
      <c r="AV158" s="1839"/>
      <c r="AW158" s="1839"/>
      <c r="AX158" s="1839"/>
      <c r="AY158" s="1839"/>
      <c r="AZ158" s="1839"/>
      <c r="BA158" s="1839"/>
      <c r="BB158" s="1839"/>
      <c r="BC158" s="1839"/>
      <c r="BD158" s="1839"/>
      <c r="BE158" s="1839"/>
      <c r="BF158" s="1839"/>
      <c r="BG158" s="1839"/>
      <c r="BH158" s="1839"/>
      <c r="BI158" s="1839"/>
      <c r="BJ158" s="1839"/>
      <c r="BK158" s="1839"/>
      <c r="BL158" s="1839"/>
      <c r="BM158" s="1839"/>
      <c r="BN158" s="1839"/>
      <c r="BO158" s="1839"/>
      <c r="BP158" s="1839"/>
      <c r="BQ158" s="1839"/>
      <c r="BR158" s="1839"/>
      <c r="BS158" s="1839"/>
      <c r="BT158" s="1839"/>
      <c r="BU158" s="1839"/>
      <c r="BV158" s="1839"/>
      <c r="BW158" s="1839"/>
      <c r="BX158" s="1839"/>
      <c r="BY158" s="1839"/>
      <c r="BZ158" s="1839"/>
      <c r="CA158" s="1839"/>
      <c r="CB158" s="1839"/>
      <c r="CC158" s="1839"/>
      <c r="CD158" s="1839"/>
      <c r="CE158" s="1839"/>
      <c r="CF158" s="1839"/>
      <c r="CG158" s="1839"/>
      <c r="CH158" s="1839"/>
      <c r="CI158" s="1839"/>
      <c r="CJ158" s="1839"/>
      <c r="CK158" s="1839"/>
      <c r="CL158" s="1839"/>
      <c r="CM158" s="1839"/>
      <c r="CN158" s="1839"/>
      <c r="CO158" s="1839"/>
      <c r="CP158" s="1839"/>
      <c r="CQ158" s="1839"/>
      <c r="CR158" s="1839"/>
      <c r="CS158" s="1839"/>
      <c r="CT158" s="1839"/>
      <c r="CU158" s="1839"/>
      <c r="CV158" s="1839"/>
      <c r="CW158" s="1839"/>
      <c r="CX158" s="1839"/>
      <c r="CY158" s="1839"/>
      <c r="CZ158" s="1839"/>
      <c r="DA158" s="1839"/>
      <c r="DB158" s="1839"/>
      <c r="DC158" s="1839"/>
      <c r="DD158" s="1839"/>
      <c r="DE158" s="1839"/>
      <c r="DF158" s="1839"/>
      <c r="DG158" s="1839"/>
      <c r="DH158" s="1839"/>
      <c r="DI158" s="1839"/>
      <c r="DJ158" s="1839"/>
      <c r="DK158" s="1839"/>
      <c r="DL158" s="1839"/>
      <c r="DM158" s="1839"/>
      <c r="DN158" s="1839"/>
      <c r="DO158" s="1839"/>
      <c r="DP158" s="1839"/>
      <c r="DQ158" s="1839"/>
      <c r="DR158" s="1839"/>
      <c r="DS158" s="1839"/>
      <c r="DT158" s="1839"/>
      <c r="DU158" s="1839"/>
      <c r="DV158" s="1839"/>
      <c r="DW158" s="1839"/>
      <c r="DX158" s="1839"/>
      <c r="DY158" s="1839"/>
      <c r="DZ158" s="1839"/>
      <c r="EA158" s="1839"/>
      <c r="EB158" s="1839"/>
      <c r="EC158" s="1839"/>
      <c r="ED158" s="1839"/>
      <c r="EE158" s="1839"/>
      <c r="EF158" s="1839"/>
      <c r="EG158" s="1839"/>
      <c r="EH158" s="1839"/>
      <c r="EI158" s="1839"/>
      <c r="EJ158" s="1839"/>
      <c r="EK158" s="1839"/>
      <c r="EL158" s="1839"/>
      <c r="EM158" s="1839"/>
      <c r="EN158" s="1839"/>
      <c r="EO158" s="1839"/>
      <c r="EP158" s="1839"/>
      <c r="EQ158" s="1839"/>
      <c r="ER158" s="1839"/>
      <c r="ES158" s="1839"/>
      <c r="ET158" s="1839"/>
      <c r="EU158" s="1839"/>
      <c r="EV158" s="1839"/>
      <c r="EW158" s="1839"/>
      <c r="EX158" s="1839"/>
      <c r="EY158" s="1839"/>
      <c r="EZ158" s="1839"/>
      <c r="FA158" s="1839"/>
      <c r="FB158" s="1839"/>
      <c r="FC158" s="1839"/>
      <c r="FD158" s="1839"/>
      <c r="FE158" s="1839"/>
      <c r="FF158" s="1839"/>
      <c r="FG158" s="1839"/>
      <c r="FH158" s="1839"/>
      <c r="FI158" s="1839"/>
      <c r="FJ158" s="1839"/>
      <c r="FK158" s="1839"/>
      <c r="FL158" s="1839"/>
      <c r="FM158" s="1839"/>
      <c r="FN158" s="1839"/>
      <c r="FO158" s="1839"/>
      <c r="FP158" s="1839"/>
      <c r="FQ158" s="1839"/>
      <c r="FR158" s="1839"/>
      <c r="FS158" s="1839"/>
      <c r="FT158" s="1839"/>
      <c r="FU158" s="1839"/>
      <c r="FV158" s="1839"/>
      <c r="FW158" s="1839"/>
      <c r="FX158" s="1839"/>
      <c r="FY158" s="1839"/>
      <c r="FZ158" s="1839"/>
      <c r="GA158" s="1839"/>
      <c r="GB158" s="1839"/>
      <c r="GC158" s="1839"/>
      <c r="GD158" s="1839"/>
      <c r="GE158" s="1839"/>
      <c r="GF158" s="1839"/>
      <c r="GG158" s="1839"/>
      <c r="GH158" s="1839"/>
      <c r="GI158" s="1839"/>
      <c r="GJ158" s="1839"/>
      <c r="GK158" s="1839"/>
      <c r="GL158" s="1839"/>
      <c r="GM158" s="1839"/>
      <c r="GN158" s="1839"/>
      <c r="GO158" s="1839"/>
      <c r="GP158" s="1839"/>
      <c r="GQ158" s="1839"/>
      <c r="GR158" s="1839"/>
      <c r="GS158" s="1839"/>
      <c r="GT158" s="1839"/>
      <c r="GU158" s="1839"/>
      <c r="GV158" s="1839"/>
      <c r="GW158" s="1839"/>
      <c r="GX158" s="1839"/>
      <c r="GY158" s="1839"/>
      <c r="GZ158" s="1839"/>
      <c r="HA158" s="1839"/>
      <c r="HB158" s="1839"/>
      <c r="HC158" s="1839"/>
      <c r="HD158" s="1839"/>
      <c r="HE158" s="1839"/>
      <c r="HF158" s="1839"/>
      <c r="HG158" s="1839"/>
      <c r="HH158" s="1839"/>
      <c r="HI158" s="1839"/>
      <c r="HJ158" s="1839"/>
      <c r="HK158" s="1839"/>
      <c r="HL158" s="1839"/>
      <c r="HM158" s="1839"/>
      <c r="HN158" s="1839"/>
      <c r="HO158" s="1839"/>
      <c r="HP158" s="1839"/>
      <c r="HQ158" s="1839"/>
      <c r="HR158" s="1839"/>
      <c r="HS158" s="1839"/>
      <c r="HT158" s="1839"/>
      <c r="HU158" s="1839"/>
      <c r="HV158" s="1839"/>
      <c r="HW158" s="1839"/>
      <c r="HX158" s="1839"/>
      <c r="HY158" s="1839"/>
      <c r="HZ158" s="1839"/>
      <c r="IA158" s="1839"/>
      <c r="IB158" s="1839"/>
      <c r="IC158" s="1839"/>
      <c r="ID158" s="1839"/>
      <c r="IE158" s="1839"/>
      <c r="IF158" s="1839"/>
      <c r="IG158" s="1839"/>
      <c r="IH158" s="1839"/>
      <c r="II158" s="1839"/>
      <c r="IJ158" s="1839"/>
      <c r="IK158" s="1839"/>
      <c r="IL158" s="1839"/>
      <c r="IM158" s="1839"/>
      <c r="IN158" s="1839"/>
      <c r="IO158" s="1839"/>
      <c r="IP158" s="1839"/>
      <c r="IQ158" s="1839"/>
      <c r="IR158" s="1839"/>
      <c r="IS158" s="1839"/>
      <c r="IT158" s="1839"/>
      <c r="IU158" s="1839"/>
      <c r="IV158" s="1839"/>
      <c r="IW158" s="1839"/>
      <c r="IX158" s="1839"/>
      <c r="IY158" s="1839"/>
      <c r="IZ158" s="1839"/>
      <c r="JA158" s="1839"/>
      <c r="JB158" s="1839"/>
      <c r="JC158" s="1839"/>
      <c r="JD158" s="1839"/>
      <c r="JE158" s="1839"/>
      <c r="JF158" s="1839"/>
      <c r="JG158" s="1839"/>
      <c r="JH158" s="1839"/>
      <c r="JI158" s="1839"/>
      <c r="JJ158" s="1839"/>
      <c r="JK158" s="1839"/>
      <c r="JL158" s="1839"/>
      <c r="JM158" s="1839"/>
      <c r="JN158" s="1839"/>
      <c r="JO158" s="1839"/>
      <c r="JP158" s="1839"/>
      <c r="JQ158" s="1839"/>
      <c r="JR158" s="1839"/>
      <c r="JS158" s="1839"/>
      <c r="JT158" s="1839"/>
      <c r="JU158" s="1839"/>
      <c r="JV158" s="1839"/>
      <c r="JW158" s="1839"/>
      <c r="JX158" s="1839"/>
      <c r="JY158" s="1839"/>
      <c r="JZ158" s="1839"/>
      <c r="KA158" s="1839"/>
      <c r="KB158" s="1839"/>
      <c r="KC158" s="1839"/>
      <c r="KD158" s="1839"/>
      <c r="KE158" s="1839"/>
      <c r="KF158" s="1839"/>
      <c r="KG158" s="1839"/>
      <c r="KH158" s="1839"/>
      <c r="KI158" s="1839"/>
      <c r="KJ158" s="1839"/>
      <c r="KK158" s="1839"/>
      <c r="KL158" s="1839"/>
      <c r="KM158" s="1839"/>
      <c r="KN158" s="1839"/>
      <c r="KO158" s="1839"/>
      <c r="KP158" s="1839"/>
      <c r="KQ158" s="1839"/>
      <c r="KR158" s="1839"/>
      <c r="KS158" s="1839"/>
      <c r="KT158" s="1839"/>
      <c r="KU158" s="1839"/>
      <c r="KV158" s="1839"/>
      <c r="KW158" s="1839"/>
      <c r="KX158" s="1839"/>
      <c r="KY158" s="1839"/>
      <c r="KZ158" s="1839"/>
      <c r="LA158" s="1839"/>
      <c r="LB158" s="1839"/>
      <c r="LC158" s="1839"/>
      <c r="LD158" s="1839"/>
      <c r="LE158" s="1839"/>
      <c r="LF158" s="1839"/>
      <c r="LG158" s="1839"/>
      <c r="LH158" s="1839"/>
      <c r="LI158" s="1839"/>
      <c r="LJ158" s="1839"/>
      <c r="LK158" s="1839"/>
      <c r="LL158" s="1839"/>
      <c r="LM158" s="1839"/>
      <c r="LN158" s="1839"/>
      <c r="LO158" s="1839"/>
      <c r="LP158" s="1839"/>
      <c r="LQ158" s="1839"/>
      <c r="LR158" s="1839"/>
      <c r="LS158" s="1839"/>
      <c r="LT158" s="1839"/>
      <c r="LU158" s="1839"/>
      <c r="LV158" s="1839"/>
      <c r="LW158" s="1839"/>
      <c r="LX158" s="1839"/>
      <c r="LY158" s="1839"/>
      <c r="LZ158" s="1839"/>
      <c r="MA158" s="1839"/>
      <c r="MB158" s="1839"/>
      <c r="MC158" s="1839"/>
      <c r="MD158" s="1839"/>
      <c r="ME158" s="1839"/>
      <c r="MF158" s="1839"/>
      <c r="MG158" s="1839"/>
      <c r="MH158" s="1839"/>
      <c r="MI158" s="1839"/>
      <c r="MJ158" s="1839"/>
      <c r="MK158" s="1839"/>
      <c r="ML158" s="1839"/>
      <c r="MM158" s="1839"/>
      <c r="MN158" s="1839"/>
      <c r="MO158" s="1839"/>
      <c r="MP158" s="1839"/>
      <c r="MQ158" s="1839"/>
      <c r="MR158" s="1839"/>
      <c r="MS158" s="1839"/>
      <c r="MT158" s="1839"/>
      <c r="MU158" s="1839"/>
      <c r="MV158" s="1839"/>
      <c r="MW158" s="1839"/>
      <c r="MX158" s="1839"/>
      <c r="MY158" s="1839"/>
      <c r="MZ158" s="1839"/>
      <c r="NA158" s="1839"/>
      <c r="NB158" s="1839"/>
      <c r="NC158" s="1839"/>
      <c r="ND158" s="1839"/>
      <c r="NE158" s="1839"/>
      <c r="NF158" s="1839"/>
      <c r="NG158" s="1839"/>
      <c r="NH158" s="1839"/>
      <c r="NI158" s="1839"/>
      <c r="NJ158" s="1839"/>
      <c r="NK158" s="1839"/>
      <c r="NL158" s="1839"/>
      <c r="NM158" s="1839"/>
      <c r="NN158" s="1839"/>
      <c r="NO158" s="1839"/>
      <c r="NP158" s="1839"/>
      <c r="NQ158" s="1839"/>
      <c r="NR158" s="1839"/>
      <c r="NS158" s="1839"/>
      <c r="NT158" s="1839"/>
      <c r="NU158" s="1839"/>
      <c r="NV158" s="1839"/>
      <c r="NW158" s="1839"/>
      <c r="NX158" s="1839"/>
      <c r="NY158" s="1839"/>
      <c r="NZ158" s="1839"/>
      <c r="OA158" s="1839"/>
      <c r="OB158" s="1839"/>
      <c r="OC158" s="1839"/>
      <c r="OD158" s="1839"/>
      <c r="OE158" s="1839"/>
    </row>
    <row r="159" spans="1:395">
      <c r="A159" s="1839"/>
      <c r="B159" s="1839"/>
      <c r="C159" s="1839"/>
      <c r="D159" s="1839"/>
      <c r="E159" s="1839"/>
      <c r="F159" s="1839"/>
      <c r="G159" s="1839"/>
      <c r="H159" s="1839"/>
      <c r="I159" s="1839"/>
      <c r="J159" s="1839"/>
      <c r="K159" s="1839"/>
      <c r="L159" s="1839"/>
      <c r="M159" s="1839"/>
      <c r="N159" s="1839"/>
      <c r="O159" s="1839"/>
      <c r="P159" s="1839"/>
      <c r="Q159" s="1839"/>
      <c r="R159" s="1839"/>
      <c r="S159" s="1839"/>
      <c r="T159" s="1839"/>
      <c r="U159" s="1839"/>
      <c r="V159" s="1839"/>
      <c r="W159" s="1839"/>
      <c r="X159" s="1839"/>
      <c r="Y159" s="1839"/>
      <c r="Z159" s="1839"/>
      <c r="AA159" s="1839"/>
      <c r="AB159" s="1839"/>
      <c r="AC159" s="1839"/>
      <c r="AD159" s="1839"/>
      <c r="AE159" s="1839"/>
      <c r="AF159" s="1839"/>
      <c r="AG159" s="1839"/>
      <c r="AH159" s="1839"/>
      <c r="AI159" s="1839"/>
      <c r="AJ159" s="1839"/>
      <c r="AK159" s="1839"/>
      <c r="AL159" s="1839"/>
      <c r="AM159" s="1839"/>
      <c r="AN159" s="1839"/>
      <c r="AO159" s="1839"/>
      <c r="AP159" s="1839"/>
      <c r="AQ159" s="1839"/>
      <c r="AR159" s="1839"/>
      <c r="AS159" s="1839"/>
      <c r="AT159" s="1839"/>
      <c r="AU159" s="1839"/>
      <c r="AV159" s="1839"/>
      <c r="AW159" s="1839"/>
      <c r="AX159" s="1839"/>
      <c r="AY159" s="1839"/>
      <c r="AZ159" s="1839"/>
      <c r="BA159" s="1839"/>
      <c r="BB159" s="1839"/>
      <c r="BC159" s="1839"/>
      <c r="BD159" s="1839"/>
      <c r="BE159" s="1839"/>
      <c r="BF159" s="1839"/>
      <c r="BG159" s="1839"/>
      <c r="BH159" s="1839"/>
      <c r="BI159" s="1839"/>
      <c r="BJ159" s="1839"/>
      <c r="BK159" s="1839"/>
      <c r="BL159" s="1839"/>
      <c r="BM159" s="1839"/>
      <c r="BN159" s="1839"/>
      <c r="BO159" s="1839"/>
      <c r="BP159" s="1839"/>
      <c r="BQ159" s="1839"/>
      <c r="BR159" s="1839"/>
      <c r="BS159" s="1839"/>
      <c r="BT159" s="1839"/>
      <c r="BU159" s="1839"/>
      <c r="BV159" s="1839"/>
      <c r="BW159" s="1839"/>
      <c r="BX159" s="1839"/>
      <c r="BY159" s="1839"/>
      <c r="BZ159" s="1839"/>
      <c r="CA159" s="1839"/>
      <c r="CB159" s="1839"/>
      <c r="CC159" s="1839"/>
      <c r="CD159" s="1839"/>
      <c r="CE159" s="1839"/>
      <c r="CF159" s="1839"/>
      <c r="CG159" s="1839"/>
      <c r="CH159" s="1839"/>
      <c r="CI159" s="1839"/>
      <c r="CJ159" s="1839"/>
      <c r="CK159" s="1839"/>
      <c r="CL159" s="1839"/>
      <c r="CM159" s="1839"/>
      <c r="CN159" s="1839"/>
      <c r="CO159" s="1839"/>
      <c r="CP159" s="1839"/>
      <c r="CQ159" s="1839"/>
      <c r="CR159" s="1839"/>
      <c r="CS159" s="1839"/>
      <c r="CT159" s="1839"/>
      <c r="CU159" s="1839"/>
      <c r="CV159" s="1839"/>
      <c r="CW159" s="1839"/>
      <c r="CX159" s="1839"/>
      <c r="CY159" s="1839"/>
      <c r="CZ159" s="1839"/>
      <c r="DA159" s="1839"/>
      <c r="DB159" s="1839"/>
      <c r="DC159" s="1839"/>
      <c r="DD159" s="1839"/>
      <c r="DE159" s="1839"/>
      <c r="DF159" s="1839"/>
      <c r="DG159" s="1839"/>
      <c r="DH159" s="1839"/>
      <c r="DI159" s="1839"/>
      <c r="DJ159" s="1839"/>
      <c r="DK159" s="1839"/>
      <c r="DL159" s="1839"/>
      <c r="DM159" s="1839"/>
      <c r="DN159" s="1839"/>
      <c r="DO159" s="1839"/>
      <c r="DP159" s="1839"/>
      <c r="DQ159" s="1839"/>
      <c r="DR159" s="1839"/>
      <c r="DS159" s="1839"/>
      <c r="DT159" s="1839"/>
      <c r="DU159" s="1839"/>
      <c r="DV159" s="1839"/>
      <c r="DW159" s="1839"/>
      <c r="DX159" s="1839"/>
      <c r="DY159" s="1839"/>
      <c r="DZ159" s="1839"/>
      <c r="EA159" s="1839"/>
      <c r="EB159" s="1839"/>
      <c r="EC159" s="1839"/>
      <c r="ED159" s="1839"/>
      <c r="EE159" s="1839"/>
      <c r="EF159" s="1839"/>
      <c r="EG159" s="1839"/>
      <c r="EH159" s="1839"/>
      <c r="EI159" s="1839"/>
      <c r="EJ159" s="1839"/>
      <c r="EK159" s="1839"/>
      <c r="EL159" s="1839"/>
      <c r="EM159" s="1839"/>
      <c r="EN159" s="1839"/>
      <c r="EO159" s="1839"/>
      <c r="EP159" s="1839"/>
      <c r="EQ159" s="1839"/>
      <c r="ER159" s="1839"/>
      <c r="ES159" s="1839"/>
      <c r="ET159" s="1839"/>
      <c r="EU159" s="1839"/>
      <c r="EV159" s="1839"/>
      <c r="EW159" s="1839"/>
      <c r="EX159" s="1839"/>
      <c r="EY159" s="1839"/>
      <c r="EZ159" s="1839"/>
      <c r="FA159" s="1839"/>
      <c r="FB159" s="1839"/>
      <c r="FC159" s="1839"/>
      <c r="FD159" s="1839"/>
      <c r="FE159" s="1839"/>
      <c r="FF159" s="1839"/>
      <c r="FG159" s="1839"/>
      <c r="FH159" s="1839"/>
      <c r="FI159" s="1839"/>
      <c r="FJ159" s="1839"/>
      <c r="FK159" s="1839"/>
      <c r="FL159" s="1839"/>
      <c r="FM159" s="1839"/>
      <c r="FN159" s="1839"/>
      <c r="FO159" s="1839"/>
      <c r="FP159" s="1839"/>
      <c r="FQ159" s="1839"/>
      <c r="FR159" s="1839"/>
      <c r="FS159" s="1839"/>
      <c r="FT159" s="1839"/>
      <c r="FU159" s="1839"/>
      <c r="FV159" s="1839"/>
      <c r="FW159" s="1839"/>
      <c r="FX159" s="1839"/>
      <c r="FY159" s="1839"/>
      <c r="FZ159" s="1839"/>
      <c r="GA159" s="1839"/>
      <c r="GB159" s="1839"/>
      <c r="GC159" s="1839"/>
      <c r="GD159" s="1839"/>
      <c r="GE159" s="1839"/>
      <c r="GF159" s="1839"/>
      <c r="GG159" s="1839"/>
      <c r="GH159" s="1839"/>
      <c r="GI159" s="1839"/>
      <c r="GJ159" s="1839"/>
      <c r="GK159" s="1839"/>
      <c r="GL159" s="1839"/>
      <c r="GM159" s="1839"/>
      <c r="GN159" s="1839"/>
      <c r="GO159" s="1839"/>
      <c r="GP159" s="1839"/>
      <c r="GQ159" s="1839"/>
      <c r="GR159" s="1839"/>
      <c r="GS159" s="1839"/>
      <c r="GT159" s="1839"/>
      <c r="GU159" s="1839"/>
      <c r="GV159" s="1839"/>
      <c r="GW159" s="1839"/>
      <c r="GX159" s="1839"/>
      <c r="GY159" s="1839"/>
      <c r="GZ159" s="1839"/>
      <c r="HA159" s="1839"/>
      <c r="HB159" s="1839"/>
      <c r="HC159" s="1839"/>
      <c r="HD159" s="1839"/>
      <c r="HE159" s="1839"/>
      <c r="HF159" s="1839"/>
      <c r="HG159" s="1839"/>
      <c r="HH159" s="1839"/>
      <c r="HI159" s="1839"/>
      <c r="HJ159" s="1839"/>
      <c r="HK159" s="1839"/>
      <c r="HL159" s="1839"/>
      <c r="HM159" s="1839"/>
      <c r="HN159" s="1839"/>
      <c r="HO159" s="1839"/>
      <c r="HP159" s="1839"/>
      <c r="HQ159" s="1839"/>
      <c r="HR159" s="1839"/>
      <c r="HS159" s="1839"/>
      <c r="HT159" s="1839"/>
      <c r="HU159" s="1839"/>
      <c r="HV159" s="1839"/>
      <c r="HW159" s="1839"/>
      <c r="HX159" s="1839"/>
      <c r="HY159" s="1839"/>
      <c r="HZ159" s="1839"/>
      <c r="IA159" s="1839"/>
      <c r="IB159" s="1839"/>
      <c r="IC159" s="1839"/>
      <c r="ID159" s="1839"/>
      <c r="IE159" s="1839"/>
      <c r="IF159" s="1839"/>
      <c r="IG159" s="1839"/>
      <c r="IH159" s="1839"/>
      <c r="II159" s="1839"/>
      <c r="IJ159" s="1839"/>
      <c r="IK159" s="1839"/>
      <c r="IL159" s="1839"/>
      <c r="IM159" s="1839"/>
      <c r="IN159" s="1839"/>
      <c r="IO159" s="1839"/>
      <c r="IP159" s="1839"/>
      <c r="IQ159" s="1839"/>
      <c r="IR159" s="1839"/>
      <c r="IS159" s="1839"/>
      <c r="IT159" s="1839"/>
      <c r="IU159" s="1839"/>
      <c r="IV159" s="1839"/>
      <c r="IW159" s="1839"/>
      <c r="IX159" s="1839"/>
      <c r="IY159" s="1839"/>
      <c r="IZ159" s="1839"/>
      <c r="JA159" s="1839"/>
      <c r="JB159" s="1839"/>
      <c r="JC159" s="1839"/>
      <c r="JD159" s="1839"/>
      <c r="JE159" s="1839"/>
      <c r="JF159" s="1839"/>
      <c r="JG159" s="1839"/>
      <c r="JH159" s="1839"/>
      <c r="JI159" s="1839"/>
      <c r="JJ159" s="1839"/>
      <c r="JK159" s="1839"/>
      <c r="JL159" s="1839"/>
      <c r="JM159" s="1839"/>
      <c r="JN159" s="1839"/>
      <c r="JO159" s="1839"/>
      <c r="JP159" s="1839"/>
      <c r="JQ159" s="1839"/>
      <c r="JR159" s="1839"/>
      <c r="JS159" s="1839"/>
      <c r="JT159" s="1839"/>
      <c r="JU159" s="1839"/>
      <c r="JV159" s="1839"/>
      <c r="JW159" s="1839"/>
      <c r="JX159" s="1839"/>
      <c r="JY159" s="1839"/>
      <c r="JZ159" s="1839"/>
      <c r="KA159" s="1839"/>
      <c r="KB159" s="1839"/>
      <c r="KC159" s="1839"/>
      <c r="KD159" s="1839"/>
      <c r="KE159" s="1839"/>
      <c r="KF159" s="1839"/>
      <c r="KG159" s="1839"/>
      <c r="KH159" s="1839"/>
      <c r="KI159" s="1839"/>
      <c r="KJ159" s="1839"/>
      <c r="KK159" s="1839"/>
      <c r="KL159" s="1839"/>
      <c r="KM159" s="1839"/>
      <c r="KN159" s="1839"/>
      <c r="KO159" s="1839"/>
      <c r="KP159" s="1839"/>
      <c r="KQ159" s="1839"/>
      <c r="KR159" s="1839"/>
      <c r="KS159" s="1839"/>
      <c r="KT159" s="1839"/>
      <c r="KU159" s="1839"/>
      <c r="KV159" s="1839"/>
      <c r="KW159" s="1839"/>
      <c r="KX159" s="1839"/>
      <c r="KY159" s="1839"/>
      <c r="KZ159" s="1839"/>
      <c r="LA159" s="1839"/>
      <c r="LB159" s="1839"/>
      <c r="LC159" s="1839"/>
      <c r="LD159" s="1839"/>
      <c r="LE159" s="1839"/>
      <c r="LF159" s="1839"/>
      <c r="LG159" s="1839"/>
      <c r="LH159" s="1839"/>
      <c r="LI159" s="1839"/>
      <c r="LJ159" s="1839"/>
      <c r="LK159" s="1839"/>
      <c r="LL159" s="1839"/>
      <c r="LM159" s="1839"/>
      <c r="LN159" s="1839"/>
      <c r="LO159" s="1839"/>
      <c r="LP159" s="1839"/>
      <c r="LQ159" s="1839"/>
      <c r="LR159" s="1839"/>
      <c r="LS159" s="1839"/>
      <c r="LT159" s="1839"/>
      <c r="LU159" s="1839"/>
      <c r="LV159" s="1839"/>
      <c r="LW159" s="1839"/>
      <c r="LX159" s="1839"/>
      <c r="LY159" s="1839"/>
      <c r="LZ159" s="1839"/>
      <c r="MA159" s="1839"/>
      <c r="MB159" s="1839"/>
      <c r="MC159" s="1839"/>
      <c r="MD159" s="1839"/>
      <c r="ME159" s="1839"/>
      <c r="MF159" s="1839"/>
      <c r="MG159" s="1839"/>
      <c r="MH159" s="1839"/>
      <c r="MI159" s="1839"/>
      <c r="MJ159" s="1839"/>
      <c r="MK159" s="1839"/>
      <c r="ML159" s="1839"/>
      <c r="MM159" s="1839"/>
      <c r="MN159" s="1839"/>
      <c r="MO159" s="1839"/>
      <c r="MP159" s="1839"/>
      <c r="MQ159" s="1839"/>
      <c r="MR159" s="1839"/>
      <c r="MS159" s="1839"/>
      <c r="MT159" s="1839"/>
      <c r="MU159" s="1839"/>
      <c r="MV159" s="1839"/>
      <c r="MW159" s="1839"/>
      <c r="MX159" s="1839"/>
      <c r="MY159" s="1839"/>
      <c r="MZ159" s="1839"/>
      <c r="NA159" s="1839"/>
      <c r="NB159" s="1839"/>
      <c r="NC159" s="1839"/>
      <c r="ND159" s="1839"/>
      <c r="NE159" s="1839"/>
      <c r="NF159" s="1839"/>
      <c r="NG159" s="1839"/>
      <c r="NH159" s="1839"/>
      <c r="NI159" s="1839"/>
      <c r="NJ159" s="1839"/>
      <c r="NK159" s="1839"/>
      <c r="NL159" s="1839"/>
      <c r="NM159" s="1839"/>
      <c r="NN159" s="1839"/>
      <c r="NO159" s="1839"/>
      <c r="NP159" s="1839"/>
      <c r="NQ159" s="1839"/>
      <c r="NR159" s="1839"/>
      <c r="NS159" s="1839"/>
      <c r="NT159" s="1839"/>
      <c r="NU159" s="1839"/>
      <c r="NV159" s="1839"/>
      <c r="NW159" s="1839"/>
      <c r="NX159" s="1839"/>
      <c r="NY159" s="1839"/>
      <c r="NZ159" s="1839"/>
      <c r="OA159" s="1839"/>
      <c r="OB159" s="1839"/>
      <c r="OC159" s="1839"/>
      <c r="OD159" s="1839"/>
      <c r="OE159" s="1839"/>
    </row>
    <row r="160" spans="1:395">
      <c r="A160" s="1839"/>
      <c r="B160" s="1839"/>
      <c r="C160" s="1839"/>
      <c r="D160" s="1839"/>
      <c r="E160" s="1839"/>
      <c r="F160" s="1839"/>
      <c r="G160" s="1839"/>
      <c r="H160" s="1839"/>
      <c r="I160" s="1839"/>
      <c r="J160" s="1839"/>
      <c r="K160" s="1839"/>
      <c r="L160" s="1839"/>
      <c r="M160" s="1839"/>
      <c r="N160" s="1839"/>
      <c r="O160" s="1839"/>
      <c r="P160" s="1839"/>
      <c r="Q160" s="1839"/>
      <c r="R160" s="1839"/>
      <c r="S160" s="1839"/>
      <c r="T160" s="1839"/>
      <c r="U160" s="1839"/>
      <c r="V160" s="1839"/>
      <c r="W160" s="1839"/>
      <c r="X160" s="1839"/>
      <c r="Y160" s="1839"/>
      <c r="Z160" s="1839"/>
      <c r="AA160" s="1839"/>
      <c r="AB160" s="1839"/>
      <c r="AC160" s="1839"/>
      <c r="AD160" s="1839"/>
      <c r="AE160" s="1839"/>
      <c r="AF160" s="1839"/>
      <c r="AG160" s="1839"/>
      <c r="AH160" s="1839"/>
      <c r="AI160" s="1839"/>
      <c r="AJ160" s="1839"/>
      <c r="AK160" s="1839"/>
      <c r="AL160" s="1839"/>
      <c r="AM160" s="1839"/>
      <c r="AN160" s="1839"/>
      <c r="AO160" s="1839"/>
      <c r="AP160" s="1839"/>
      <c r="AQ160" s="1839"/>
      <c r="AR160" s="1839"/>
      <c r="AS160" s="1839"/>
      <c r="AT160" s="1839"/>
      <c r="AU160" s="1839"/>
      <c r="AV160" s="1839"/>
      <c r="AW160" s="1839"/>
      <c r="AX160" s="1839"/>
      <c r="AY160" s="1839"/>
      <c r="AZ160" s="1839"/>
      <c r="BA160" s="1839"/>
      <c r="BB160" s="1839"/>
      <c r="BC160" s="1839"/>
      <c r="BD160" s="1839"/>
      <c r="BE160" s="1839"/>
      <c r="BF160" s="1839"/>
      <c r="BG160" s="1839"/>
      <c r="BH160" s="1839"/>
      <c r="BI160" s="1839"/>
      <c r="BJ160" s="1839"/>
      <c r="BK160" s="1839"/>
      <c r="BL160" s="1839"/>
      <c r="BM160" s="1839"/>
      <c r="BN160" s="1839"/>
      <c r="BO160" s="1839"/>
      <c r="BP160" s="1839"/>
      <c r="BQ160" s="1839"/>
      <c r="BR160" s="1839"/>
      <c r="BS160" s="1839"/>
      <c r="BT160" s="1839"/>
      <c r="BU160" s="1839"/>
      <c r="BV160" s="1839"/>
      <c r="BW160" s="1839"/>
      <c r="BX160" s="1839"/>
      <c r="BY160" s="1839"/>
      <c r="BZ160" s="1839"/>
      <c r="CA160" s="1839"/>
      <c r="CB160" s="1839"/>
      <c r="CC160" s="1839"/>
      <c r="CD160" s="1839"/>
      <c r="CE160" s="1839"/>
      <c r="CF160" s="1839"/>
      <c r="CG160" s="1839"/>
      <c r="CH160" s="1839"/>
      <c r="CI160" s="1839"/>
      <c r="CJ160" s="1839"/>
      <c r="CK160" s="1839"/>
      <c r="CL160" s="1839"/>
      <c r="CM160" s="1839"/>
      <c r="CN160" s="1839"/>
      <c r="CO160" s="1839"/>
      <c r="CP160" s="1839"/>
      <c r="CQ160" s="1839"/>
      <c r="CR160" s="1839"/>
      <c r="CS160" s="1839"/>
      <c r="CT160" s="1839"/>
      <c r="CU160" s="1839"/>
      <c r="CV160" s="1839"/>
      <c r="CW160" s="1839"/>
      <c r="CX160" s="1839"/>
      <c r="CY160" s="1839"/>
      <c r="CZ160" s="1839"/>
      <c r="DA160" s="1839"/>
      <c r="DB160" s="1839"/>
      <c r="DC160" s="1839"/>
      <c r="DD160" s="1839"/>
      <c r="DE160" s="1839"/>
      <c r="DF160" s="1839"/>
      <c r="DG160" s="1839"/>
      <c r="DH160" s="1839"/>
      <c r="DI160" s="1839"/>
      <c r="DJ160" s="1839"/>
      <c r="DK160" s="1839"/>
      <c r="DL160" s="1839"/>
      <c r="DM160" s="1839"/>
      <c r="DN160" s="1839"/>
      <c r="DO160" s="1839"/>
      <c r="DP160" s="1839"/>
      <c r="DQ160" s="1839"/>
      <c r="DR160" s="1839"/>
      <c r="DS160" s="1839"/>
      <c r="DT160" s="1839"/>
      <c r="DU160" s="1839"/>
      <c r="DV160" s="1839"/>
      <c r="DW160" s="1839"/>
      <c r="DX160" s="1839"/>
      <c r="DY160" s="1839"/>
      <c r="DZ160" s="1839"/>
      <c r="EA160" s="1839"/>
      <c r="EB160" s="1839"/>
      <c r="EC160" s="1839"/>
      <c r="ED160" s="1839"/>
      <c r="EE160" s="1839"/>
      <c r="EF160" s="1839"/>
      <c r="EG160" s="1839"/>
      <c r="EH160" s="1839"/>
      <c r="EI160" s="1839"/>
      <c r="EJ160" s="1839"/>
      <c r="EK160" s="1839"/>
      <c r="EL160" s="1839"/>
      <c r="EM160" s="1839"/>
      <c r="EN160" s="1839"/>
      <c r="EO160" s="1839"/>
      <c r="EP160" s="1839"/>
      <c r="EQ160" s="1839"/>
      <c r="ER160" s="1839"/>
      <c r="ES160" s="1839"/>
      <c r="ET160" s="1839"/>
      <c r="EU160" s="1839"/>
      <c r="EV160" s="1839"/>
      <c r="EW160" s="1839"/>
      <c r="EX160" s="1839"/>
      <c r="EY160" s="1839"/>
      <c r="EZ160" s="1839"/>
      <c r="FA160" s="1839"/>
      <c r="FB160" s="1839"/>
      <c r="FC160" s="1839"/>
      <c r="FD160" s="1839"/>
      <c r="FE160" s="1839"/>
      <c r="FF160" s="1839"/>
      <c r="FG160" s="1839"/>
      <c r="FH160" s="1839"/>
      <c r="FI160" s="1839"/>
      <c r="FJ160" s="1839"/>
      <c r="FK160" s="1839"/>
      <c r="FL160" s="1839"/>
      <c r="FM160" s="1839"/>
      <c r="FN160" s="1839"/>
      <c r="FO160" s="1839"/>
      <c r="FP160" s="1839"/>
      <c r="FQ160" s="1839"/>
      <c r="FR160" s="1839"/>
      <c r="FS160" s="1839"/>
      <c r="FT160" s="1839"/>
      <c r="FU160" s="1839"/>
      <c r="FV160" s="1839"/>
      <c r="FW160" s="1839"/>
      <c r="FX160" s="1839"/>
      <c r="FY160" s="1839"/>
      <c r="FZ160" s="1839"/>
      <c r="GA160" s="1839"/>
      <c r="GB160" s="1839"/>
      <c r="GC160" s="1839"/>
      <c r="GD160" s="1839"/>
      <c r="GE160" s="1839"/>
      <c r="GF160" s="1839"/>
      <c r="GG160" s="1839"/>
      <c r="GH160" s="1839"/>
      <c r="GI160" s="1839"/>
      <c r="GJ160" s="1839"/>
      <c r="GK160" s="1839"/>
      <c r="GL160" s="1839"/>
      <c r="GM160" s="1839"/>
      <c r="GN160" s="1839"/>
      <c r="GO160" s="1839"/>
      <c r="GP160" s="1839"/>
      <c r="GQ160" s="1839"/>
      <c r="GR160" s="1839"/>
      <c r="GS160" s="1839"/>
      <c r="GT160" s="1839"/>
      <c r="GU160" s="1839"/>
      <c r="GV160" s="1839"/>
      <c r="GW160" s="1839"/>
      <c r="GX160" s="1839"/>
      <c r="GY160" s="1839"/>
      <c r="GZ160" s="1839"/>
      <c r="HA160" s="1839"/>
      <c r="HB160" s="1839"/>
      <c r="HC160" s="1839"/>
      <c r="HD160" s="1839"/>
      <c r="HE160" s="1839"/>
      <c r="HF160" s="1839"/>
      <c r="HG160" s="1839"/>
      <c r="HH160" s="1839"/>
      <c r="HI160" s="1839"/>
      <c r="HJ160" s="1839"/>
      <c r="HK160" s="1839"/>
      <c r="HL160" s="1839"/>
      <c r="HM160" s="1839"/>
      <c r="HN160" s="1839"/>
      <c r="HO160" s="1839"/>
      <c r="HP160" s="1839"/>
      <c r="HQ160" s="1839"/>
      <c r="HR160" s="1839"/>
      <c r="HS160" s="1839"/>
      <c r="HT160" s="1839"/>
      <c r="HU160" s="1839"/>
      <c r="HV160" s="1839"/>
      <c r="HW160" s="1839"/>
      <c r="HX160" s="1839"/>
      <c r="HY160" s="1839"/>
      <c r="HZ160" s="1839"/>
      <c r="IA160" s="1839"/>
      <c r="IB160" s="1839"/>
      <c r="IC160" s="1839"/>
      <c r="ID160" s="1839"/>
      <c r="IE160" s="1839"/>
      <c r="IF160" s="1839"/>
      <c r="IG160" s="1839"/>
      <c r="IH160" s="1839"/>
      <c r="II160" s="1839"/>
      <c r="IJ160" s="1839"/>
      <c r="IK160" s="1839"/>
      <c r="IL160" s="1839"/>
      <c r="IM160" s="1839"/>
      <c r="IN160" s="1839"/>
      <c r="IO160" s="1839"/>
      <c r="IP160" s="1839"/>
      <c r="IQ160" s="1839"/>
      <c r="IR160" s="1839"/>
      <c r="IS160" s="1839"/>
      <c r="IT160" s="1839"/>
      <c r="IU160" s="1839"/>
      <c r="IV160" s="1839"/>
      <c r="IW160" s="1839"/>
      <c r="IX160" s="1839"/>
      <c r="IY160" s="1839"/>
      <c r="IZ160" s="1839"/>
      <c r="JA160" s="1839"/>
      <c r="JB160" s="1839"/>
      <c r="JC160" s="1839"/>
      <c r="JD160" s="1839"/>
      <c r="JE160" s="1839"/>
      <c r="JF160" s="1839"/>
      <c r="JG160" s="1839"/>
      <c r="JH160" s="1839"/>
      <c r="JI160" s="1839"/>
      <c r="JJ160" s="1839"/>
      <c r="JK160" s="1839"/>
      <c r="JL160" s="1839"/>
      <c r="JM160" s="1839"/>
      <c r="JN160" s="1839"/>
      <c r="JO160" s="1839"/>
      <c r="JP160" s="1839"/>
      <c r="JQ160" s="1839"/>
      <c r="JR160" s="1839"/>
      <c r="JS160" s="1839"/>
      <c r="JT160" s="1839"/>
      <c r="JU160" s="1839"/>
      <c r="JV160" s="1839"/>
      <c r="JW160" s="1839"/>
      <c r="JX160" s="1839"/>
      <c r="JY160" s="1839"/>
      <c r="JZ160" s="1839"/>
      <c r="KA160" s="1839"/>
      <c r="KB160" s="1839"/>
      <c r="KC160" s="1839"/>
      <c r="KD160" s="1839"/>
      <c r="KE160" s="1839"/>
      <c r="KF160" s="1839"/>
      <c r="KG160" s="1839"/>
      <c r="KH160" s="1839"/>
      <c r="KI160" s="1839"/>
      <c r="KJ160" s="1839"/>
      <c r="KK160" s="1839"/>
      <c r="KL160" s="1839"/>
      <c r="KM160" s="1839"/>
      <c r="KN160" s="1839"/>
      <c r="KO160" s="1839"/>
      <c r="KP160" s="1839"/>
      <c r="KQ160" s="1839"/>
      <c r="KR160" s="1839"/>
      <c r="KS160" s="1839"/>
      <c r="KT160" s="1839"/>
      <c r="KU160" s="1839"/>
      <c r="KV160" s="1839"/>
      <c r="KW160" s="1839"/>
      <c r="KX160" s="1839"/>
      <c r="KY160" s="1839"/>
      <c r="KZ160" s="1839"/>
      <c r="LA160" s="1839"/>
      <c r="LB160" s="1839"/>
      <c r="LC160" s="1839"/>
      <c r="LD160" s="1839"/>
      <c r="LE160" s="1839"/>
      <c r="LF160" s="1839"/>
      <c r="LG160" s="1839"/>
      <c r="LH160" s="1839"/>
      <c r="LI160" s="1839"/>
      <c r="LJ160" s="1839"/>
      <c r="LK160" s="1839"/>
      <c r="LL160" s="1839"/>
      <c r="LM160" s="1839"/>
      <c r="LN160" s="1839"/>
      <c r="LO160" s="1839"/>
      <c r="LP160" s="1839"/>
      <c r="LQ160" s="1839"/>
      <c r="LR160" s="1839"/>
      <c r="LS160" s="1839"/>
      <c r="LT160" s="1839"/>
      <c r="LU160" s="1839"/>
      <c r="LV160" s="1839"/>
      <c r="LW160" s="1839"/>
      <c r="LX160" s="1839"/>
      <c r="LY160" s="1839"/>
      <c r="LZ160" s="1839"/>
      <c r="MA160" s="1839"/>
      <c r="MB160" s="1839"/>
      <c r="MC160" s="1839"/>
      <c r="MD160" s="1839"/>
      <c r="ME160" s="1839"/>
      <c r="MF160" s="1839"/>
      <c r="MG160" s="1839"/>
      <c r="MH160" s="1839"/>
      <c r="MI160" s="1839"/>
      <c r="MJ160" s="1839"/>
      <c r="MK160" s="1839"/>
      <c r="ML160" s="1839"/>
      <c r="MM160" s="1839"/>
      <c r="MN160" s="1839"/>
      <c r="MO160" s="1839"/>
      <c r="MP160" s="1839"/>
      <c r="MQ160" s="1839"/>
      <c r="MR160" s="1839"/>
      <c r="MS160" s="1839"/>
      <c r="MT160" s="1839"/>
      <c r="MU160" s="1839"/>
      <c r="MV160" s="1839"/>
      <c r="MW160" s="1839"/>
      <c r="MX160" s="1839"/>
      <c r="MY160" s="1839"/>
      <c r="MZ160" s="1839"/>
      <c r="NA160" s="1839"/>
      <c r="NB160" s="1839"/>
      <c r="NC160" s="1839"/>
      <c r="ND160" s="1839"/>
      <c r="NE160" s="1839"/>
      <c r="NF160" s="1839"/>
      <c r="NG160" s="1839"/>
      <c r="NH160" s="1839"/>
      <c r="NI160" s="1839"/>
      <c r="NJ160" s="1839"/>
      <c r="NK160" s="1839"/>
      <c r="NL160" s="1839"/>
      <c r="NM160" s="1839"/>
      <c r="NN160" s="1839"/>
      <c r="NO160" s="1839"/>
      <c r="NP160" s="1839"/>
      <c r="NQ160" s="1839"/>
      <c r="NR160" s="1839"/>
      <c r="NS160" s="1839"/>
      <c r="NT160" s="1839"/>
      <c r="NU160" s="1839"/>
      <c r="NV160" s="1839"/>
      <c r="NW160" s="1839"/>
      <c r="NX160" s="1839"/>
      <c r="NY160" s="1839"/>
      <c r="NZ160" s="1839"/>
      <c r="OA160" s="1839"/>
      <c r="OB160" s="1839"/>
      <c r="OC160" s="1839"/>
      <c r="OD160" s="1839"/>
      <c r="OE160" s="1839"/>
    </row>
    <row r="161" spans="1:395">
      <c r="A161" s="1839"/>
      <c r="B161" s="1839"/>
      <c r="C161" s="1839"/>
      <c r="D161" s="1839"/>
      <c r="E161" s="1839"/>
      <c r="F161" s="1839"/>
      <c r="G161" s="1839"/>
      <c r="H161" s="1839"/>
      <c r="I161" s="1839"/>
      <c r="J161" s="1839"/>
      <c r="K161" s="1839"/>
      <c r="L161" s="1839"/>
      <c r="M161" s="1839"/>
      <c r="N161" s="1839"/>
      <c r="O161" s="1839"/>
      <c r="P161" s="1839"/>
      <c r="Q161" s="1839"/>
      <c r="R161" s="1839"/>
      <c r="S161" s="1839"/>
      <c r="T161" s="1839"/>
      <c r="U161" s="1839"/>
      <c r="V161" s="1839"/>
      <c r="W161" s="1839"/>
      <c r="X161" s="1839"/>
      <c r="Y161" s="1839"/>
      <c r="Z161" s="1839"/>
      <c r="AA161" s="1839"/>
      <c r="AB161" s="1839"/>
      <c r="AC161" s="1839"/>
      <c r="AD161" s="1839"/>
      <c r="AE161" s="1839"/>
      <c r="AF161" s="1839"/>
      <c r="AG161" s="1839"/>
      <c r="AH161" s="1839"/>
      <c r="AI161" s="1839"/>
      <c r="AJ161" s="1839"/>
      <c r="AK161" s="1839"/>
      <c r="AL161" s="1839"/>
      <c r="AM161" s="1839"/>
      <c r="AN161" s="1839"/>
      <c r="AO161" s="1839"/>
      <c r="AP161" s="1839"/>
      <c r="AQ161" s="1839"/>
      <c r="AR161" s="1839"/>
      <c r="AS161" s="1839"/>
      <c r="AT161" s="1839"/>
      <c r="AU161" s="1839"/>
      <c r="AV161" s="1839"/>
      <c r="AW161" s="1839"/>
      <c r="AX161" s="1839"/>
      <c r="AY161" s="1839"/>
      <c r="AZ161" s="1839"/>
      <c r="BA161" s="1839"/>
      <c r="BB161" s="1839"/>
      <c r="BC161" s="1839"/>
      <c r="BD161" s="1839"/>
      <c r="BE161" s="1839"/>
      <c r="BF161" s="1839"/>
      <c r="BG161" s="1839"/>
      <c r="BH161" s="1839"/>
      <c r="BI161" s="1839"/>
      <c r="BJ161" s="1839"/>
      <c r="BK161" s="1839"/>
      <c r="BL161" s="1839"/>
      <c r="BM161" s="1839"/>
      <c r="BN161" s="1839"/>
      <c r="BO161" s="1839"/>
      <c r="BP161" s="1839"/>
      <c r="BQ161" s="1839"/>
      <c r="BR161" s="1839"/>
      <c r="BS161" s="1839"/>
      <c r="BT161" s="1839"/>
      <c r="BU161" s="1839"/>
      <c r="BV161" s="1839"/>
      <c r="BW161" s="1839"/>
      <c r="BX161" s="1839"/>
      <c r="BY161" s="1839"/>
      <c r="BZ161" s="1839"/>
      <c r="CA161" s="1839"/>
      <c r="CB161" s="1839"/>
      <c r="CC161" s="1839"/>
      <c r="CD161" s="1839"/>
      <c r="CE161" s="1839"/>
      <c r="CF161" s="1839"/>
      <c r="CG161" s="1839"/>
      <c r="CH161" s="1839"/>
      <c r="CI161" s="1839"/>
      <c r="CJ161" s="1839"/>
      <c r="CK161" s="1839"/>
      <c r="CL161" s="1839"/>
      <c r="CM161" s="1839"/>
      <c r="CN161" s="1839"/>
      <c r="CO161" s="1839"/>
      <c r="CP161" s="1839"/>
      <c r="CQ161" s="1839"/>
      <c r="CR161" s="1839"/>
      <c r="CS161" s="1839"/>
      <c r="CT161" s="1839"/>
      <c r="CU161" s="1839"/>
      <c r="CV161" s="1839"/>
      <c r="CW161" s="1839"/>
      <c r="CX161" s="1839"/>
      <c r="CY161" s="1839"/>
      <c r="CZ161" s="1839"/>
      <c r="DA161" s="1839"/>
      <c r="DB161" s="1839"/>
      <c r="DC161" s="1839"/>
      <c r="DD161" s="1839"/>
      <c r="DE161" s="1839"/>
      <c r="DF161" s="1839"/>
      <c r="DG161" s="1839"/>
      <c r="DH161" s="1839"/>
      <c r="DI161" s="1839"/>
      <c r="DJ161" s="1839"/>
      <c r="DK161" s="1839"/>
      <c r="DL161" s="1839"/>
      <c r="DM161" s="1839"/>
      <c r="DN161" s="1839"/>
      <c r="DO161" s="1839"/>
      <c r="DP161" s="1839"/>
      <c r="DQ161" s="1839"/>
      <c r="DR161" s="1839"/>
      <c r="DS161" s="1839"/>
      <c r="DT161" s="1839"/>
      <c r="DU161" s="1839"/>
      <c r="DV161" s="1839"/>
      <c r="DW161" s="1839"/>
      <c r="DX161" s="1839"/>
      <c r="DY161" s="1839"/>
      <c r="DZ161" s="1839"/>
      <c r="EA161" s="1839"/>
      <c r="EB161" s="1839"/>
      <c r="EC161" s="1839"/>
      <c r="ED161" s="1839"/>
      <c r="EE161" s="1839"/>
      <c r="EF161" s="1839"/>
      <c r="EG161" s="1839"/>
      <c r="EH161" s="1839"/>
      <c r="EI161" s="1839"/>
      <c r="EJ161" s="1839"/>
      <c r="EK161" s="1839"/>
      <c r="EL161" s="1839"/>
      <c r="EM161" s="1839"/>
      <c r="EN161" s="1839"/>
      <c r="EO161" s="1839"/>
      <c r="EP161" s="1839"/>
      <c r="EQ161" s="1839"/>
      <c r="ER161" s="1839"/>
      <c r="ES161" s="1839"/>
      <c r="ET161" s="1839"/>
      <c r="EU161" s="1839"/>
      <c r="EV161" s="1839"/>
      <c r="EW161" s="1839"/>
      <c r="EX161" s="1839"/>
      <c r="EY161" s="1839"/>
      <c r="EZ161" s="1839"/>
      <c r="FA161" s="1839"/>
      <c r="FB161" s="1839"/>
      <c r="FC161" s="1839"/>
      <c r="FD161" s="1839"/>
      <c r="FE161" s="1839"/>
      <c r="FF161" s="1839"/>
      <c r="FG161" s="1839"/>
      <c r="FH161" s="1839"/>
      <c r="FI161" s="1839"/>
      <c r="FJ161" s="1839"/>
      <c r="FK161" s="1839"/>
      <c r="FL161" s="1839"/>
      <c r="FM161" s="1839"/>
      <c r="FN161" s="1839"/>
      <c r="FO161" s="1839"/>
      <c r="FP161" s="1839"/>
      <c r="FQ161" s="1839"/>
      <c r="FR161" s="1839"/>
      <c r="FS161" s="1839"/>
      <c r="FT161" s="1839"/>
      <c r="FU161" s="1839"/>
      <c r="FV161" s="1839"/>
      <c r="FW161" s="1839"/>
      <c r="FX161" s="1839"/>
      <c r="FY161" s="1839"/>
      <c r="FZ161" s="1839"/>
      <c r="GA161" s="1839"/>
      <c r="GB161" s="1839"/>
      <c r="GC161" s="1839"/>
      <c r="GD161" s="1839"/>
      <c r="GE161" s="1839"/>
      <c r="GF161" s="1839"/>
      <c r="GG161" s="1839"/>
      <c r="GH161" s="1839"/>
      <c r="GI161" s="1839"/>
      <c r="GJ161" s="1839"/>
      <c r="GK161" s="1839"/>
      <c r="GL161" s="1839"/>
      <c r="GM161" s="1839"/>
      <c r="GN161" s="1839"/>
      <c r="GO161" s="1839"/>
      <c r="GP161" s="1839"/>
      <c r="GQ161" s="1839"/>
      <c r="GR161" s="1839"/>
      <c r="GS161" s="1839"/>
      <c r="GT161" s="1839"/>
      <c r="GU161" s="1839"/>
      <c r="GV161" s="1839"/>
      <c r="GW161" s="1839"/>
      <c r="GX161" s="1839"/>
      <c r="GY161" s="1839"/>
      <c r="GZ161" s="1839"/>
      <c r="HA161" s="1839"/>
      <c r="HB161" s="1839"/>
      <c r="HC161" s="1839"/>
      <c r="HD161" s="1839"/>
      <c r="HE161" s="1839"/>
      <c r="HF161" s="1839"/>
      <c r="HG161" s="1839"/>
      <c r="HH161" s="1839"/>
      <c r="HI161" s="1839"/>
      <c r="HJ161" s="1839"/>
      <c r="HK161" s="1839"/>
      <c r="HL161" s="1839"/>
      <c r="HM161" s="1839"/>
      <c r="HN161" s="1839"/>
      <c r="HO161" s="1839"/>
      <c r="HP161" s="1839"/>
      <c r="HQ161" s="1839"/>
      <c r="HR161" s="1839"/>
      <c r="HS161" s="1839"/>
      <c r="HT161" s="1839"/>
      <c r="HU161" s="1839"/>
      <c r="HV161" s="1839"/>
      <c r="HW161" s="1839"/>
      <c r="HX161" s="1839"/>
      <c r="HY161" s="1839"/>
      <c r="HZ161" s="1839"/>
      <c r="IA161" s="1839"/>
      <c r="IB161" s="1839"/>
      <c r="IC161" s="1839"/>
      <c r="ID161" s="1839"/>
      <c r="IE161" s="1839"/>
      <c r="IF161" s="1839"/>
      <c r="IG161" s="1839"/>
      <c r="IH161" s="1839"/>
      <c r="II161" s="1839"/>
      <c r="IJ161" s="1839"/>
      <c r="IK161" s="1839"/>
      <c r="IL161" s="1839"/>
      <c r="IM161" s="1839"/>
      <c r="IN161" s="1839"/>
      <c r="IO161" s="1839"/>
      <c r="IP161" s="1839"/>
      <c r="IQ161" s="1839"/>
      <c r="IR161" s="1839"/>
      <c r="IS161" s="1839"/>
      <c r="IT161" s="1839"/>
      <c r="IU161" s="1839"/>
      <c r="IV161" s="1839"/>
      <c r="IW161" s="1839"/>
      <c r="IX161" s="1839"/>
      <c r="IY161" s="1839"/>
      <c r="IZ161" s="1839"/>
      <c r="JA161" s="1839"/>
      <c r="JB161" s="1839"/>
      <c r="JC161" s="1839"/>
      <c r="JD161" s="1839"/>
      <c r="JE161" s="1839"/>
      <c r="JF161" s="1839"/>
      <c r="JG161" s="1839"/>
      <c r="JH161" s="1839"/>
      <c r="JI161" s="1839"/>
      <c r="JJ161" s="1839"/>
      <c r="JK161" s="1839"/>
      <c r="JL161" s="1839"/>
      <c r="JM161" s="1839"/>
      <c r="JN161" s="1839"/>
      <c r="JO161" s="1839"/>
      <c r="JP161" s="1839"/>
      <c r="JQ161" s="1839"/>
      <c r="JR161" s="1839"/>
      <c r="JS161" s="1839"/>
      <c r="JT161" s="1839"/>
      <c r="JU161" s="1839"/>
      <c r="JV161" s="1839"/>
      <c r="JW161" s="1839"/>
      <c r="JX161" s="1839"/>
      <c r="JY161" s="1839"/>
      <c r="JZ161" s="1839"/>
      <c r="KA161" s="1839"/>
      <c r="KB161" s="1839"/>
      <c r="KC161" s="1839"/>
      <c r="KD161" s="1839"/>
      <c r="KE161" s="1839"/>
      <c r="KF161" s="1839"/>
      <c r="KG161" s="1839"/>
      <c r="KH161" s="1839"/>
      <c r="KI161" s="1839"/>
      <c r="KJ161" s="1839"/>
      <c r="KK161" s="1839"/>
      <c r="KL161" s="1839"/>
      <c r="KM161" s="1839"/>
      <c r="KN161" s="1839"/>
      <c r="KO161" s="1839"/>
      <c r="KP161" s="1839"/>
      <c r="KQ161" s="1839"/>
      <c r="KR161" s="1839"/>
      <c r="KS161" s="1839"/>
      <c r="KT161" s="1839"/>
      <c r="KU161" s="1839"/>
      <c r="KV161" s="1839"/>
      <c r="KW161" s="1839"/>
      <c r="KX161" s="1839"/>
      <c r="KY161" s="1839"/>
      <c r="KZ161" s="1839"/>
      <c r="LA161" s="1839"/>
      <c r="LB161" s="1839"/>
      <c r="LC161" s="1839"/>
      <c r="LD161" s="1839"/>
      <c r="LE161" s="1839"/>
      <c r="LF161" s="1839"/>
      <c r="LG161" s="1839"/>
      <c r="LH161" s="1839"/>
      <c r="LI161" s="1839"/>
      <c r="LJ161" s="1839"/>
      <c r="LK161" s="1839"/>
      <c r="LL161" s="1839"/>
      <c r="LM161" s="1839"/>
      <c r="LN161" s="1839"/>
      <c r="LO161" s="1839"/>
      <c r="LP161" s="1839"/>
      <c r="LQ161" s="1839"/>
      <c r="LR161" s="1839"/>
      <c r="LS161" s="1839"/>
      <c r="LT161" s="1839"/>
      <c r="LU161" s="1839"/>
      <c r="LV161" s="1839"/>
      <c r="LW161" s="1839"/>
      <c r="LX161" s="1839"/>
      <c r="LY161" s="1839"/>
      <c r="LZ161" s="1839"/>
      <c r="MA161" s="1839"/>
      <c r="MB161" s="1839"/>
      <c r="MC161" s="1839"/>
      <c r="MD161" s="1839"/>
      <c r="ME161" s="1839"/>
      <c r="MF161" s="1839"/>
      <c r="MG161" s="1839"/>
      <c r="MH161" s="1839"/>
      <c r="MI161" s="1839"/>
      <c r="MJ161" s="1839"/>
      <c r="MK161" s="1839"/>
      <c r="ML161" s="1839"/>
      <c r="MM161" s="1839"/>
      <c r="MN161" s="1839"/>
      <c r="MO161" s="1839"/>
      <c r="MP161" s="1839"/>
      <c r="MQ161" s="1839"/>
      <c r="MR161" s="1839"/>
      <c r="MS161" s="1839"/>
      <c r="MT161" s="1839"/>
      <c r="MU161" s="1839"/>
      <c r="MV161" s="1839"/>
      <c r="MW161" s="1839"/>
      <c r="MX161" s="1839"/>
      <c r="MY161" s="1839"/>
      <c r="MZ161" s="1839"/>
      <c r="NA161" s="1839"/>
      <c r="NB161" s="1839"/>
      <c r="NC161" s="1839"/>
      <c r="ND161" s="1839"/>
      <c r="NE161" s="1839"/>
      <c r="NF161" s="1839"/>
      <c r="NG161" s="1839"/>
      <c r="NH161" s="1839"/>
      <c r="NI161" s="1839"/>
      <c r="NJ161" s="1839"/>
      <c r="NK161" s="1839"/>
      <c r="NL161" s="1839"/>
      <c r="NM161" s="1839"/>
      <c r="NN161" s="1839"/>
      <c r="NO161" s="1839"/>
      <c r="NP161" s="1839"/>
      <c r="NQ161" s="1839"/>
      <c r="NR161" s="1839"/>
      <c r="NS161" s="1839"/>
      <c r="NT161" s="1839"/>
      <c r="NU161" s="1839"/>
      <c r="NV161" s="1839"/>
      <c r="NW161" s="1839"/>
      <c r="NX161" s="1839"/>
      <c r="NY161" s="1839"/>
      <c r="NZ161" s="1839"/>
      <c r="OA161" s="1839"/>
      <c r="OB161" s="1839"/>
      <c r="OC161" s="1839"/>
      <c r="OD161" s="1839"/>
      <c r="OE161" s="1839"/>
    </row>
    <row r="162" spans="1:395">
      <c r="A162" s="1839"/>
      <c r="B162" s="1839"/>
      <c r="C162" s="1839"/>
      <c r="D162" s="1839"/>
      <c r="E162" s="1839"/>
      <c r="F162" s="1839"/>
      <c r="G162" s="1839"/>
      <c r="H162" s="1839"/>
      <c r="I162" s="1839"/>
      <c r="J162" s="1839"/>
      <c r="K162" s="1839"/>
      <c r="L162" s="1839"/>
      <c r="M162" s="1839"/>
      <c r="N162" s="1839"/>
      <c r="O162" s="1839"/>
      <c r="P162" s="1839"/>
      <c r="Q162" s="1839"/>
      <c r="R162" s="1839"/>
      <c r="S162" s="1839"/>
      <c r="T162" s="1839"/>
      <c r="U162" s="1839"/>
      <c r="V162" s="1839"/>
      <c r="W162" s="1839"/>
      <c r="X162" s="1839"/>
      <c r="Y162" s="1839"/>
      <c r="Z162" s="1839"/>
      <c r="AA162" s="1839"/>
      <c r="AB162" s="1839"/>
      <c r="AC162" s="1839"/>
      <c r="AD162" s="1839"/>
      <c r="AE162" s="1839"/>
      <c r="AF162" s="1839"/>
      <c r="AG162" s="1839"/>
      <c r="AH162" s="1839"/>
      <c r="AI162" s="1839"/>
      <c r="AJ162" s="1839"/>
      <c r="AK162" s="1839"/>
      <c r="AL162" s="1839"/>
      <c r="AM162" s="1839"/>
      <c r="AN162" s="1839"/>
      <c r="AO162" s="1839"/>
      <c r="AP162" s="1839"/>
      <c r="AQ162" s="1839"/>
      <c r="AR162" s="1839"/>
      <c r="AS162" s="1839"/>
      <c r="AT162" s="1839"/>
      <c r="AU162" s="1839"/>
      <c r="AV162" s="1839"/>
      <c r="AW162" s="1839"/>
      <c r="AX162" s="1839"/>
      <c r="AY162" s="1839"/>
      <c r="AZ162" s="1839"/>
      <c r="BA162" s="1839"/>
      <c r="BB162" s="1839"/>
      <c r="BC162" s="1839"/>
      <c r="BD162" s="1839"/>
      <c r="BE162" s="1839"/>
      <c r="BF162" s="1839"/>
      <c r="BG162" s="1839"/>
      <c r="BH162" s="1839"/>
      <c r="BI162" s="1839"/>
      <c r="BJ162" s="1839"/>
      <c r="BK162" s="1839"/>
      <c r="BL162" s="1839"/>
      <c r="BM162" s="1839"/>
      <c r="BN162" s="1839"/>
      <c r="BO162" s="1839"/>
      <c r="BP162" s="1839"/>
      <c r="BQ162" s="1839"/>
      <c r="BR162" s="1839"/>
      <c r="BS162" s="1839"/>
      <c r="BT162" s="1839"/>
      <c r="BU162" s="1839"/>
      <c r="BV162" s="1839"/>
      <c r="BW162" s="1839"/>
      <c r="BX162" s="1839"/>
      <c r="BY162" s="1839"/>
      <c r="BZ162" s="1839"/>
      <c r="CA162" s="1839"/>
      <c r="CB162" s="1839"/>
      <c r="CC162" s="1839"/>
      <c r="CD162" s="1839"/>
      <c r="CE162" s="1839"/>
      <c r="CF162" s="1839"/>
      <c r="CG162" s="1839"/>
      <c r="CH162" s="1839"/>
      <c r="CI162" s="1839"/>
      <c r="CJ162" s="1839"/>
      <c r="CK162" s="1839"/>
      <c r="CL162" s="1839"/>
      <c r="CM162" s="1839"/>
      <c r="CN162" s="1839"/>
      <c r="CO162" s="1839"/>
      <c r="CP162" s="1839"/>
      <c r="CQ162" s="1839"/>
      <c r="CR162" s="1839"/>
      <c r="CS162" s="1839"/>
      <c r="CT162" s="1839"/>
      <c r="CU162" s="1839"/>
      <c r="CV162" s="1839"/>
      <c r="CW162" s="1839"/>
      <c r="CX162" s="1839"/>
      <c r="CY162" s="1839"/>
      <c r="CZ162" s="1839"/>
      <c r="DA162" s="1839"/>
      <c r="DB162" s="1839"/>
      <c r="DC162" s="1839"/>
      <c r="DD162" s="1839"/>
      <c r="DE162" s="1839"/>
      <c r="DF162" s="1839"/>
      <c r="DG162" s="1839"/>
      <c r="DH162" s="1839"/>
      <c r="DI162" s="1839"/>
      <c r="DJ162" s="1839"/>
      <c r="DK162" s="1839"/>
      <c r="DL162" s="1839"/>
      <c r="DM162" s="1839"/>
      <c r="DN162" s="1839"/>
      <c r="DO162" s="1839"/>
      <c r="DP162" s="1839"/>
      <c r="DQ162" s="1839"/>
      <c r="DR162" s="1839"/>
      <c r="DS162" s="1839"/>
      <c r="DT162" s="1839"/>
      <c r="DU162" s="1839"/>
      <c r="DV162" s="1839"/>
      <c r="DW162" s="1839"/>
      <c r="DX162" s="1839"/>
      <c r="DY162" s="1839"/>
      <c r="DZ162" s="1839"/>
      <c r="EA162" s="1839"/>
      <c r="EB162" s="1839"/>
      <c r="EC162" s="1839"/>
      <c r="ED162" s="1839"/>
      <c r="EE162" s="1839"/>
      <c r="EF162" s="1839"/>
      <c r="EG162" s="1839"/>
      <c r="EH162" s="1839"/>
      <c r="EI162" s="1839"/>
      <c r="EJ162" s="1839"/>
      <c r="EK162" s="1839"/>
      <c r="EL162" s="1839"/>
      <c r="EM162" s="1839"/>
      <c r="EN162" s="1839"/>
      <c r="EO162" s="1839"/>
      <c r="EP162" s="1839"/>
      <c r="EQ162" s="1839"/>
      <c r="ER162" s="1839"/>
      <c r="ES162" s="1839"/>
      <c r="ET162" s="1839"/>
      <c r="EU162" s="1839"/>
      <c r="EV162" s="1839"/>
      <c r="EW162" s="1839"/>
      <c r="EX162" s="1839"/>
      <c r="EY162" s="1839"/>
      <c r="EZ162" s="1839"/>
      <c r="FA162" s="1839"/>
      <c r="FB162" s="1839"/>
      <c r="FC162" s="1839"/>
      <c r="FD162" s="1839"/>
      <c r="FE162" s="1839"/>
      <c r="FF162" s="1839"/>
      <c r="FG162" s="1839"/>
      <c r="FH162" s="1839"/>
      <c r="FI162" s="1839"/>
      <c r="FJ162" s="1839"/>
      <c r="FK162" s="1839"/>
      <c r="FL162" s="1839"/>
      <c r="FM162" s="1839"/>
      <c r="FN162" s="1839"/>
      <c r="FO162" s="1839"/>
      <c r="FP162" s="1839"/>
      <c r="FQ162" s="1839"/>
      <c r="FR162" s="1839"/>
      <c r="FS162" s="1839"/>
      <c r="FT162" s="1839"/>
      <c r="FU162" s="1839"/>
      <c r="FV162" s="1839"/>
      <c r="FW162" s="1839"/>
      <c r="FX162" s="1839"/>
      <c r="FY162" s="1839"/>
      <c r="FZ162" s="1839"/>
      <c r="GA162" s="1839"/>
      <c r="GB162" s="1839"/>
      <c r="GC162" s="1839"/>
      <c r="GD162" s="1839"/>
      <c r="GE162" s="1839"/>
      <c r="GF162" s="1839"/>
      <c r="GG162" s="1839"/>
      <c r="GH162" s="1839"/>
      <c r="GI162" s="1839"/>
      <c r="GJ162" s="1839"/>
      <c r="GK162" s="1839"/>
      <c r="GL162" s="1839"/>
      <c r="GM162" s="1839"/>
      <c r="GN162" s="1839"/>
      <c r="GO162" s="1839"/>
      <c r="GP162" s="1839"/>
      <c r="GQ162" s="1839"/>
      <c r="GR162" s="1839"/>
      <c r="GS162" s="1839"/>
      <c r="GT162" s="1839"/>
      <c r="GU162" s="1839"/>
      <c r="GV162" s="1839"/>
      <c r="GW162" s="1839"/>
      <c r="GX162" s="1839"/>
      <c r="GY162" s="1839"/>
      <c r="GZ162" s="1839"/>
      <c r="HA162" s="1839"/>
      <c r="HB162" s="1839"/>
      <c r="HC162" s="1839"/>
      <c r="HD162" s="1839"/>
      <c r="HE162" s="1839"/>
      <c r="HF162" s="1839"/>
      <c r="HG162" s="1839"/>
      <c r="HH162" s="1839"/>
      <c r="HI162" s="1839"/>
      <c r="HJ162" s="1839"/>
      <c r="HK162" s="1839"/>
      <c r="HL162" s="1839"/>
      <c r="HM162" s="1839"/>
      <c r="HN162" s="1839"/>
      <c r="HO162" s="1839"/>
      <c r="HP162" s="1839"/>
      <c r="HQ162" s="1839"/>
      <c r="HR162" s="1839"/>
      <c r="HS162" s="1839"/>
      <c r="HT162" s="1839"/>
      <c r="HU162" s="1839"/>
      <c r="HV162" s="1839"/>
      <c r="HW162" s="1839"/>
      <c r="HX162" s="1839"/>
      <c r="HY162" s="1839"/>
      <c r="HZ162" s="1839"/>
      <c r="IA162" s="1839"/>
      <c r="IB162" s="1839"/>
      <c r="IC162" s="1839"/>
      <c r="ID162" s="1839"/>
      <c r="IE162" s="1839"/>
      <c r="IF162" s="1839"/>
      <c r="IG162" s="1839"/>
      <c r="IH162" s="1839"/>
      <c r="II162" s="1839"/>
      <c r="IJ162" s="1839"/>
      <c r="IK162" s="1839"/>
      <c r="IL162" s="1839"/>
      <c r="IM162" s="1839"/>
      <c r="IN162" s="1839"/>
      <c r="IO162" s="1839"/>
      <c r="IP162" s="1839"/>
      <c r="IQ162" s="1839"/>
      <c r="IR162" s="1839"/>
      <c r="IS162" s="1839"/>
      <c r="IT162" s="1839"/>
      <c r="IU162" s="1839"/>
      <c r="IV162" s="1839"/>
      <c r="IW162" s="1839"/>
      <c r="IX162" s="1839"/>
      <c r="IY162" s="1839"/>
      <c r="IZ162" s="1839"/>
      <c r="JA162" s="1839"/>
      <c r="JB162" s="1839"/>
      <c r="JC162" s="1839"/>
      <c r="JD162" s="1839"/>
      <c r="JE162" s="1839"/>
      <c r="JF162" s="1839"/>
      <c r="JG162" s="1839"/>
      <c r="JH162" s="1839"/>
      <c r="JI162" s="1839"/>
      <c r="JJ162" s="1839"/>
      <c r="JK162" s="1839"/>
      <c r="JL162" s="1839"/>
      <c r="JM162" s="1839"/>
      <c r="JN162" s="1839"/>
      <c r="JO162" s="1839"/>
      <c r="JP162" s="1839"/>
      <c r="JQ162" s="1839"/>
      <c r="JR162" s="1839"/>
      <c r="JS162" s="1839"/>
      <c r="JT162" s="1839"/>
      <c r="JU162" s="1839"/>
      <c r="JV162" s="1839"/>
      <c r="JW162" s="1839"/>
      <c r="JX162" s="1839"/>
      <c r="JY162" s="1839"/>
      <c r="JZ162" s="1839"/>
      <c r="KA162" s="1839"/>
      <c r="KB162" s="1839"/>
      <c r="KC162" s="1839"/>
      <c r="KD162" s="1839"/>
      <c r="KE162" s="1839"/>
      <c r="KF162" s="1839"/>
      <c r="KG162" s="1839"/>
      <c r="KH162" s="1839"/>
      <c r="KI162" s="1839"/>
      <c r="KJ162" s="1839"/>
      <c r="KK162" s="1839"/>
      <c r="KL162" s="1839"/>
      <c r="KM162" s="1839"/>
      <c r="KN162" s="1839"/>
      <c r="KO162" s="1839"/>
      <c r="KP162" s="1839"/>
      <c r="KQ162" s="1839"/>
      <c r="KR162" s="1839"/>
      <c r="KS162" s="1839"/>
      <c r="KT162" s="1839"/>
      <c r="KU162" s="1839"/>
      <c r="KV162" s="1839"/>
      <c r="KW162" s="1839"/>
      <c r="KX162" s="1839"/>
      <c r="KY162" s="1839"/>
      <c r="KZ162" s="1839"/>
      <c r="LA162" s="1839"/>
      <c r="LB162" s="1839"/>
      <c r="LC162" s="1839"/>
      <c r="LD162" s="1839"/>
      <c r="LE162" s="1839"/>
      <c r="LF162" s="1839"/>
      <c r="LG162" s="1839"/>
      <c r="LH162" s="1839"/>
      <c r="LI162" s="1839"/>
      <c r="LJ162" s="1839"/>
      <c r="LK162" s="1839"/>
      <c r="LL162" s="1839"/>
      <c r="LM162" s="1839"/>
      <c r="LN162" s="1839"/>
      <c r="LO162" s="1839"/>
      <c r="LP162" s="1839"/>
      <c r="LQ162" s="1839"/>
      <c r="LR162" s="1839"/>
      <c r="LS162" s="1839"/>
      <c r="LT162" s="1839"/>
      <c r="LU162" s="1839"/>
      <c r="LV162" s="1839"/>
      <c r="LW162" s="1839"/>
      <c r="LX162" s="1839"/>
      <c r="LY162" s="1839"/>
      <c r="LZ162" s="1839"/>
      <c r="MA162" s="1839"/>
      <c r="MB162" s="1839"/>
      <c r="MC162" s="1839"/>
      <c r="MD162" s="1839"/>
      <c r="ME162" s="1839"/>
      <c r="MF162" s="1839"/>
      <c r="MG162" s="1839"/>
      <c r="MH162" s="1839"/>
      <c r="MI162" s="1839"/>
      <c r="MJ162" s="1839"/>
      <c r="MK162" s="1839"/>
      <c r="ML162" s="1839"/>
      <c r="MM162" s="1839"/>
      <c r="MN162" s="1839"/>
      <c r="MO162" s="1839"/>
      <c r="MP162" s="1839"/>
      <c r="MQ162" s="1839"/>
      <c r="MR162" s="1839"/>
      <c r="MS162" s="1839"/>
      <c r="MT162" s="1839"/>
      <c r="MU162" s="1839"/>
      <c r="MV162" s="1839"/>
      <c r="MW162" s="1839"/>
      <c r="MX162" s="1839"/>
      <c r="MY162" s="1839"/>
      <c r="MZ162" s="1839"/>
      <c r="NA162" s="1839"/>
      <c r="NB162" s="1839"/>
      <c r="NC162" s="1839"/>
      <c r="ND162" s="1839"/>
      <c r="NE162" s="1839"/>
      <c r="NF162" s="1839"/>
      <c r="NG162" s="1839"/>
      <c r="NH162" s="1839"/>
      <c r="NI162" s="1839"/>
      <c r="NJ162" s="1839"/>
      <c r="NK162" s="1839"/>
      <c r="NL162" s="1839"/>
      <c r="NM162" s="1839"/>
      <c r="NN162" s="1839"/>
      <c r="NO162" s="1839"/>
      <c r="NP162" s="1839"/>
      <c r="NQ162" s="1839"/>
      <c r="NR162" s="1839"/>
      <c r="NS162" s="1839"/>
      <c r="NT162" s="1839"/>
      <c r="NU162" s="1839"/>
      <c r="NV162" s="1839"/>
      <c r="NW162" s="1839"/>
      <c r="NX162" s="1839"/>
      <c r="NY162" s="1839"/>
      <c r="NZ162" s="1839"/>
      <c r="OA162" s="1839"/>
      <c r="OB162" s="1839"/>
      <c r="OC162" s="1839"/>
      <c r="OD162" s="1839"/>
      <c r="OE162" s="1839"/>
    </row>
    <row r="163" spans="1:395" s="1839" customFormat="1"/>
    <row r="164" spans="1:395" s="1839" customFormat="1"/>
    <row r="165" spans="1:395" s="1839" customFormat="1"/>
    <row r="166" spans="1:395" s="1839" customFormat="1"/>
    <row r="167" spans="1:395" s="1839" customFormat="1"/>
    <row r="168" spans="1:395" s="1839" customFormat="1"/>
    <row r="169" spans="1:395" s="1839" customFormat="1"/>
    <row r="170" spans="1:395" s="1839" customFormat="1"/>
    <row r="171" spans="1:395" s="1839" customFormat="1"/>
    <row r="172" spans="1:395" s="1839" customFormat="1"/>
    <row r="173" spans="1:395" s="1839" customFormat="1"/>
    <row r="174" spans="1:395" s="1839" customFormat="1"/>
    <row r="175" spans="1:395" s="1839" customFormat="1"/>
    <row r="176" spans="1:395" s="1839" customFormat="1"/>
    <row r="177" s="1839" customFormat="1"/>
    <row r="178" s="1839" customFormat="1"/>
    <row r="179" s="1839" customFormat="1"/>
    <row r="180" s="1839" customFormat="1"/>
    <row r="181" s="1839" customFormat="1"/>
    <row r="182" s="1839" customFormat="1"/>
    <row r="183" s="1839" customFormat="1"/>
    <row r="184" s="1839" customFormat="1"/>
    <row r="185" s="1839" customFormat="1"/>
    <row r="186" s="1839" customFormat="1"/>
    <row r="187" s="1839" customFormat="1"/>
    <row r="188" s="1839" customFormat="1"/>
    <row r="189" s="1839" customFormat="1"/>
    <row r="190" s="1839" customFormat="1"/>
    <row r="191" s="1839" customFormat="1"/>
    <row r="192" s="1839" customFormat="1"/>
    <row r="193" spans="1:59" s="1881" customFormat="1"/>
    <row r="194" spans="1:59">
      <c r="A194" s="72"/>
      <c r="B194" s="1881"/>
      <c r="C194" s="1881"/>
      <c r="D194" s="1881"/>
      <c r="E194" s="1881"/>
      <c r="F194" s="1881"/>
      <c r="G194" s="1881"/>
      <c r="H194" s="1881"/>
      <c r="I194" s="1881"/>
      <c r="J194" s="1881"/>
      <c r="K194" s="1881"/>
      <c r="L194" s="1881"/>
      <c r="M194" s="1881"/>
      <c r="N194" s="1881"/>
      <c r="O194" s="1881"/>
      <c r="P194" s="1881"/>
      <c r="Q194" s="1881"/>
      <c r="R194" s="1881"/>
      <c r="S194" s="1881"/>
      <c r="T194" s="1881"/>
      <c r="U194" s="1881"/>
      <c r="V194" s="1881"/>
      <c r="W194" s="1881"/>
      <c r="X194" s="1881"/>
      <c r="Y194" s="1881"/>
      <c r="Z194" s="1881"/>
      <c r="AA194" s="1881"/>
      <c r="AB194" s="1881"/>
      <c r="AC194" s="1881"/>
      <c r="AD194" s="1881"/>
      <c r="AE194" s="1881"/>
      <c r="AF194" s="1881"/>
      <c r="AG194" s="1881"/>
      <c r="AH194" s="1881"/>
      <c r="AI194" s="1881"/>
      <c r="AJ194" s="1881"/>
      <c r="AK194" s="1881"/>
      <c r="AL194" s="1881"/>
      <c r="AM194" s="1881"/>
      <c r="AN194" s="1881"/>
      <c r="AO194" s="1881"/>
      <c r="AP194" s="1881"/>
      <c r="AQ194" s="1881"/>
      <c r="AR194" s="1881"/>
      <c r="AS194" s="1881"/>
      <c r="AT194" s="1881"/>
      <c r="AU194" s="1881"/>
      <c r="AV194" s="1881"/>
      <c r="AW194" s="1881"/>
      <c r="AX194" s="1881"/>
      <c r="AY194" s="1881"/>
      <c r="AZ194" s="1881"/>
      <c r="BA194" s="1881"/>
      <c r="BB194" s="1881"/>
      <c r="BC194" s="1881"/>
      <c r="BD194" s="1881"/>
      <c r="BE194" s="1881"/>
      <c r="BF194" s="1881"/>
      <c r="BG194" s="1881"/>
    </row>
    <row r="195" spans="1:59">
      <c r="A195" s="1881"/>
      <c r="B195" s="1881"/>
      <c r="C195" s="1881"/>
      <c r="D195" s="1881"/>
      <c r="E195" s="1881"/>
      <c r="F195" s="1881"/>
      <c r="G195" s="1881"/>
      <c r="H195" s="1881"/>
      <c r="I195" s="1881"/>
      <c r="J195" s="1881"/>
      <c r="K195" s="1881"/>
      <c r="L195" s="1881"/>
      <c r="M195" s="1881"/>
      <c r="N195" s="1881"/>
      <c r="O195" s="1881"/>
      <c r="P195" s="1881"/>
      <c r="Q195" s="1881"/>
      <c r="R195" s="1881"/>
      <c r="S195" s="1881"/>
      <c r="T195" s="1881"/>
      <c r="U195" s="1881"/>
      <c r="V195" s="1881"/>
      <c r="W195" s="1881"/>
      <c r="X195" s="1881"/>
      <c r="Y195" s="1881"/>
      <c r="Z195" s="1881"/>
      <c r="AA195" s="1881"/>
      <c r="AB195" s="1881"/>
      <c r="AC195" s="1881"/>
      <c r="AD195" s="1881"/>
      <c r="AE195" s="1881"/>
      <c r="AF195" s="1881"/>
      <c r="AG195" s="1881"/>
      <c r="AH195" s="1881"/>
      <c r="AI195" s="1881"/>
      <c r="AJ195" s="1881"/>
      <c r="AK195" s="1881"/>
      <c r="AL195" s="1881"/>
      <c r="AM195" s="1881"/>
      <c r="AN195" s="1881"/>
      <c r="AO195" s="1881"/>
      <c r="AP195" s="1881"/>
      <c r="AQ195" s="1881"/>
      <c r="AR195" s="1881"/>
      <c r="AS195" s="1881"/>
      <c r="AT195" s="1881"/>
      <c r="AU195" s="1881"/>
      <c r="AV195" s="1881"/>
      <c r="AW195" s="1881"/>
      <c r="AX195" s="1881"/>
      <c r="AY195" s="1881"/>
      <c r="AZ195" s="1881"/>
      <c r="BA195" s="1881"/>
      <c r="BB195" s="1881"/>
      <c r="BC195" s="1881"/>
      <c r="BD195" s="1881"/>
      <c r="BE195" s="1881"/>
      <c r="BF195" s="1881"/>
      <c r="BG195" s="1881"/>
    </row>
    <row r="196" spans="1:59">
      <c r="A196" s="1881"/>
      <c r="B196" s="1881"/>
      <c r="C196" s="1881"/>
      <c r="D196" s="1881"/>
      <c r="E196" s="1881"/>
      <c r="F196" s="1881"/>
      <c r="G196" s="1881"/>
      <c r="H196" s="1881"/>
      <c r="I196" s="1881"/>
      <c r="J196" s="1881"/>
      <c r="K196" s="1881"/>
      <c r="L196" s="1881"/>
      <c r="M196" s="1881"/>
      <c r="N196" s="1881"/>
      <c r="O196" s="1881"/>
      <c r="P196" s="1881"/>
      <c r="Q196" s="1881"/>
      <c r="R196" s="1881"/>
      <c r="S196" s="1881"/>
      <c r="T196" s="1881"/>
      <c r="U196" s="1881"/>
      <c r="V196" s="1881"/>
      <c r="W196" s="1881"/>
      <c r="X196" s="1881"/>
      <c r="Y196" s="1881"/>
      <c r="Z196" s="1881"/>
      <c r="AA196" s="1881"/>
      <c r="AB196" s="1881"/>
      <c r="AC196" s="1881"/>
      <c r="AD196" s="1881"/>
      <c r="AE196" s="1881"/>
      <c r="AF196" s="1881"/>
      <c r="AG196" s="1881"/>
      <c r="AH196" s="1881"/>
      <c r="AI196" s="1881"/>
      <c r="AJ196" s="1881"/>
      <c r="AK196" s="1881"/>
      <c r="AL196" s="1881"/>
      <c r="AM196" s="1881"/>
      <c r="AN196" s="1881"/>
      <c r="AO196" s="1881"/>
      <c r="AP196" s="1881"/>
      <c r="AQ196" s="1881"/>
      <c r="AR196" s="1881"/>
      <c r="AS196" s="1881"/>
      <c r="AT196" s="1881"/>
      <c r="AU196" s="1881"/>
      <c r="AV196" s="1881"/>
      <c r="AW196" s="1881"/>
      <c r="AX196" s="1881"/>
      <c r="AY196" s="1881"/>
      <c r="AZ196" s="1881"/>
      <c r="BA196" s="1881"/>
      <c r="BB196" s="1881"/>
      <c r="BC196" s="1881"/>
      <c r="BD196" s="1881"/>
      <c r="BE196" s="1881"/>
      <c r="BF196" s="1881"/>
      <c r="BG196" s="1881"/>
    </row>
    <row r="197" spans="1:59">
      <c r="A197" s="1881"/>
      <c r="B197" s="1881"/>
      <c r="C197" s="1881"/>
      <c r="D197" s="1881"/>
      <c r="E197" s="1881"/>
      <c r="F197" s="1881"/>
      <c r="G197" s="1881"/>
      <c r="H197" s="1881"/>
      <c r="I197" s="1881"/>
      <c r="J197" s="1881"/>
      <c r="K197" s="1881"/>
      <c r="L197" s="1881"/>
      <c r="M197" s="1881"/>
      <c r="N197" s="1881"/>
      <c r="O197" s="1881"/>
      <c r="P197" s="1881"/>
      <c r="Q197" s="1881"/>
      <c r="R197" s="1881"/>
      <c r="S197" s="1881"/>
      <c r="T197" s="1881"/>
      <c r="U197" s="1881"/>
      <c r="V197" s="1881"/>
      <c r="W197" s="1881"/>
      <c r="X197" s="1881"/>
      <c r="Y197" s="1881"/>
      <c r="Z197" s="1881"/>
      <c r="AA197" s="1881"/>
      <c r="AB197" s="1881"/>
      <c r="AC197" s="1881"/>
      <c r="AD197" s="1881"/>
      <c r="AE197" s="1881"/>
      <c r="AF197" s="1881"/>
      <c r="AG197" s="1881"/>
      <c r="AH197" s="1881"/>
      <c r="AI197" s="1881"/>
      <c r="AJ197" s="1881"/>
      <c r="AK197" s="1881"/>
      <c r="AL197" s="1881"/>
      <c r="AM197" s="1881"/>
      <c r="AN197" s="1881"/>
      <c r="AO197" s="1881"/>
      <c r="AP197" s="1881"/>
      <c r="AQ197" s="1881"/>
      <c r="AR197" s="1881"/>
      <c r="AS197" s="1881"/>
      <c r="AT197" s="1881"/>
      <c r="AU197" s="1881"/>
      <c r="AV197" s="1881"/>
      <c r="AW197" s="1881"/>
      <c r="AX197" s="1881"/>
      <c r="AY197" s="1881"/>
      <c r="AZ197" s="1881"/>
      <c r="BA197" s="1881"/>
      <c r="BB197" s="1881"/>
      <c r="BC197" s="1881"/>
      <c r="BD197" s="1881"/>
      <c r="BE197" s="1881"/>
      <c r="BF197" s="1881"/>
      <c r="BG197" s="1881"/>
    </row>
    <row r="198" spans="1:59">
      <c r="A198" s="1881"/>
      <c r="B198" s="1881"/>
      <c r="C198" s="1881"/>
      <c r="D198" s="1881"/>
      <c r="E198" s="1881"/>
      <c r="F198" s="1881"/>
      <c r="G198" s="1881"/>
      <c r="H198" s="1881"/>
      <c r="I198" s="1881"/>
      <c r="J198" s="1881"/>
      <c r="K198" s="1881"/>
      <c r="L198" s="1881"/>
      <c r="M198" s="1881"/>
      <c r="N198" s="1881"/>
      <c r="O198" s="1881"/>
      <c r="P198" s="1881"/>
      <c r="Q198" s="1881"/>
      <c r="R198" s="1881"/>
      <c r="S198" s="1881"/>
      <c r="T198" s="1881"/>
      <c r="U198" s="1881"/>
      <c r="V198" s="1881"/>
      <c r="W198" s="1881"/>
      <c r="X198" s="1881"/>
      <c r="Y198" s="1881"/>
      <c r="Z198" s="1881"/>
      <c r="AA198" s="1881"/>
      <c r="AB198" s="1881"/>
      <c r="AC198" s="1881"/>
      <c r="AD198" s="1881"/>
      <c r="AE198" s="1881"/>
      <c r="AF198" s="1881"/>
      <c r="AG198" s="1881"/>
      <c r="AH198" s="1881"/>
      <c r="AI198" s="1881"/>
      <c r="AJ198" s="1881"/>
      <c r="AK198" s="1881"/>
      <c r="AL198" s="1881"/>
      <c r="AM198" s="1881"/>
      <c r="AN198" s="1881"/>
      <c r="AO198" s="1881"/>
      <c r="AP198" s="1881"/>
      <c r="AQ198" s="1881"/>
      <c r="AR198" s="1881"/>
      <c r="AS198" s="1881"/>
      <c r="AT198" s="1881"/>
      <c r="AU198" s="1881"/>
      <c r="AV198" s="1881"/>
      <c r="AW198" s="1881"/>
      <c r="AX198" s="1881"/>
      <c r="AY198" s="1881"/>
      <c r="AZ198" s="1881"/>
      <c r="BA198" s="1881"/>
      <c r="BB198" s="1881"/>
      <c r="BC198" s="1881"/>
      <c r="BD198" s="1881"/>
      <c r="BE198" s="1881"/>
      <c r="BF198" s="1881"/>
      <c r="BG198" s="1881"/>
    </row>
    <row r="199" spans="1:59">
      <c r="A199" s="1881"/>
      <c r="B199" s="1881"/>
      <c r="C199" s="1881"/>
      <c r="D199" s="1881"/>
      <c r="E199" s="1881"/>
      <c r="F199" s="1881"/>
      <c r="G199" s="1881"/>
      <c r="H199" s="1881"/>
      <c r="I199" s="1881"/>
      <c r="J199" s="1881"/>
      <c r="K199" s="1881"/>
      <c r="L199" s="1881"/>
      <c r="M199" s="1881"/>
      <c r="N199" s="1881"/>
      <c r="O199" s="1881"/>
      <c r="P199" s="1881"/>
      <c r="Q199" s="1881"/>
      <c r="R199" s="1881"/>
      <c r="S199" s="1881"/>
      <c r="T199" s="1881"/>
      <c r="U199" s="1881"/>
      <c r="V199" s="1881"/>
      <c r="W199" s="1881"/>
      <c r="X199" s="1881"/>
      <c r="Y199" s="1881"/>
      <c r="Z199" s="1881"/>
      <c r="AA199" s="1881"/>
      <c r="AB199" s="1881"/>
      <c r="AC199" s="1881"/>
      <c r="AD199" s="1881"/>
      <c r="AE199" s="1881"/>
      <c r="AF199" s="1881"/>
      <c r="AG199" s="1881"/>
      <c r="AH199" s="1881"/>
      <c r="AI199" s="1881"/>
      <c r="AJ199" s="1881"/>
      <c r="AK199" s="1881"/>
      <c r="AL199" s="1881"/>
      <c r="AM199" s="1881"/>
      <c r="AN199" s="1881"/>
      <c r="AO199" s="1881"/>
      <c r="AP199" s="1881"/>
      <c r="AQ199" s="1881"/>
      <c r="AR199" s="1881"/>
      <c r="AS199" s="1881"/>
      <c r="AT199" s="1881"/>
      <c r="AU199" s="1881"/>
      <c r="AV199" s="1881"/>
      <c r="AW199" s="1881"/>
      <c r="AX199" s="1881"/>
      <c r="AY199" s="1881"/>
      <c r="AZ199" s="1881"/>
      <c r="BA199" s="1881"/>
      <c r="BB199" s="1881"/>
      <c r="BC199" s="1881"/>
      <c r="BD199" s="1881"/>
      <c r="BE199" s="1881"/>
      <c r="BF199" s="1881"/>
      <c r="BG199" s="1881"/>
    </row>
    <row r="200" spans="1:59">
      <c r="A200" s="1881"/>
      <c r="B200" s="1881"/>
      <c r="C200" s="1881"/>
      <c r="D200" s="1881"/>
      <c r="E200" s="1881"/>
      <c r="F200" s="1881"/>
      <c r="G200" s="1881"/>
      <c r="H200" s="1881"/>
      <c r="I200" s="1881"/>
      <c r="J200" s="1881"/>
      <c r="K200" s="1881"/>
      <c r="L200" s="1881"/>
      <c r="M200" s="1881"/>
      <c r="N200" s="1881"/>
      <c r="O200" s="1881"/>
      <c r="P200" s="1881"/>
      <c r="Q200" s="1881"/>
      <c r="R200" s="1881"/>
      <c r="S200" s="1881"/>
      <c r="T200" s="1881"/>
      <c r="U200" s="1881"/>
      <c r="V200" s="1881"/>
      <c r="W200" s="1881"/>
      <c r="X200" s="1881"/>
      <c r="Y200" s="1881"/>
      <c r="Z200" s="1881"/>
      <c r="AA200" s="1881"/>
      <c r="AB200" s="1881"/>
      <c r="AC200" s="1881"/>
      <c r="AD200" s="1881"/>
      <c r="AE200" s="1881"/>
      <c r="AF200" s="1881"/>
      <c r="AG200" s="1881"/>
      <c r="AH200" s="1881"/>
      <c r="AI200" s="1881"/>
      <c r="AJ200" s="1881"/>
      <c r="AK200" s="1881"/>
      <c r="AL200" s="1881"/>
      <c r="AM200" s="1881"/>
      <c r="AN200" s="1881"/>
      <c r="AO200" s="1881"/>
      <c r="AP200" s="1881"/>
      <c r="AQ200" s="1881"/>
      <c r="AR200" s="1881"/>
      <c r="AS200" s="1881"/>
      <c r="AT200" s="1881"/>
      <c r="AU200" s="1881"/>
      <c r="AV200" s="1881"/>
      <c r="AW200" s="1881"/>
      <c r="AX200" s="1881"/>
      <c r="AY200" s="1881"/>
      <c r="AZ200" s="1881"/>
      <c r="BA200" s="1881"/>
      <c r="BB200" s="1881"/>
      <c r="BC200" s="1881"/>
      <c r="BD200" s="1881"/>
      <c r="BE200" s="1881"/>
      <c r="BF200" s="1881"/>
      <c r="BG200" s="1881"/>
    </row>
    <row r="201" spans="1:59">
      <c r="A201" s="1881"/>
      <c r="B201" s="1881"/>
      <c r="C201" s="1881"/>
      <c r="D201" s="1881"/>
      <c r="E201" s="1881"/>
      <c r="F201" s="1881"/>
      <c r="G201" s="1881"/>
      <c r="H201" s="1881"/>
      <c r="I201" s="1881"/>
      <c r="J201" s="1881"/>
      <c r="K201" s="1881"/>
      <c r="L201" s="1881"/>
      <c r="M201" s="1881"/>
      <c r="N201" s="1881"/>
      <c r="O201" s="1881"/>
      <c r="P201" s="1881"/>
      <c r="Q201" s="1881"/>
      <c r="R201" s="1881"/>
      <c r="S201" s="1881"/>
      <c r="T201" s="1881"/>
      <c r="U201" s="1881"/>
      <c r="V201" s="1881"/>
      <c r="W201" s="1881"/>
      <c r="X201" s="1881"/>
      <c r="Y201" s="1881"/>
      <c r="Z201" s="1881"/>
      <c r="AA201" s="1881"/>
      <c r="AB201" s="1881"/>
      <c r="AC201" s="1881"/>
      <c r="AD201" s="1881"/>
      <c r="AE201" s="1881"/>
      <c r="AF201" s="1881"/>
      <c r="AG201" s="1881"/>
      <c r="AH201" s="1881"/>
      <c r="AI201" s="1881"/>
      <c r="AJ201" s="1881"/>
      <c r="AK201" s="1881"/>
      <c r="AL201" s="1881"/>
      <c r="AM201" s="1881"/>
      <c r="AN201" s="1881"/>
      <c r="AO201" s="1881"/>
      <c r="AP201" s="1881"/>
      <c r="AQ201" s="1881"/>
      <c r="AR201" s="1881"/>
      <c r="AS201" s="1881"/>
      <c r="AT201" s="1881"/>
      <c r="AU201" s="1881"/>
      <c r="AV201" s="1881"/>
      <c r="AW201" s="1881"/>
      <c r="AX201" s="1881"/>
      <c r="AY201" s="1881"/>
      <c r="AZ201" s="1881"/>
      <c r="BA201" s="1881"/>
      <c r="BB201" s="1881"/>
      <c r="BC201" s="1881"/>
      <c r="BD201" s="1881"/>
      <c r="BE201" s="1881"/>
      <c r="BF201" s="1881"/>
      <c r="BG201" s="1881"/>
    </row>
    <row r="202" spans="1:59">
      <c r="A202" s="1881"/>
      <c r="B202" s="1881"/>
      <c r="C202" s="1881"/>
      <c r="D202" s="1881"/>
      <c r="E202" s="1881"/>
      <c r="F202" s="1881"/>
      <c r="G202" s="1881"/>
      <c r="H202" s="1881"/>
      <c r="I202" s="1881"/>
      <c r="J202" s="1881"/>
      <c r="K202" s="1881"/>
      <c r="L202" s="1881"/>
      <c r="M202" s="1881"/>
      <c r="N202" s="1881"/>
      <c r="O202" s="1881"/>
      <c r="P202" s="1881"/>
      <c r="Q202" s="1881"/>
      <c r="R202" s="1881"/>
      <c r="S202" s="1881"/>
      <c r="T202" s="1881"/>
      <c r="U202" s="1881"/>
      <c r="V202" s="1881"/>
      <c r="W202" s="1881"/>
      <c r="X202" s="1881"/>
      <c r="Y202" s="1881"/>
      <c r="Z202" s="1881"/>
      <c r="AA202" s="1881"/>
      <c r="AB202" s="1881"/>
      <c r="AC202" s="1881"/>
      <c r="AD202" s="1881"/>
      <c r="AE202" s="1881"/>
      <c r="AF202" s="1881"/>
      <c r="AG202" s="1881"/>
      <c r="AH202" s="1881"/>
      <c r="AI202" s="1881"/>
      <c r="AJ202" s="1881"/>
      <c r="AK202" s="1881"/>
      <c r="AL202" s="1881"/>
      <c r="AM202" s="1881"/>
      <c r="AN202" s="1881"/>
      <c r="AO202" s="1881"/>
      <c r="AP202" s="1881"/>
      <c r="AQ202" s="1881"/>
      <c r="AR202" s="1881"/>
      <c r="AS202" s="1881"/>
      <c r="AT202" s="1881"/>
      <c r="AU202" s="1881"/>
      <c r="AV202" s="1881"/>
      <c r="AW202" s="1881"/>
      <c r="AX202" s="1881"/>
      <c r="AY202" s="1881"/>
      <c r="AZ202" s="1881"/>
      <c r="BA202" s="1881"/>
      <c r="BB202" s="1881"/>
      <c r="BC202" s="1881"/>
      <c r="BD202" s="1881"/>
      <c r="BE202" s="1881"/>
      <c r="BF202" s="1881"/>
      <c r="BG202" s="1881"/>
    </row>
    <row r="203" spans="1:59">
      <c r="A203" s="1881"/>
      <c r="B203" s="1881"/>
      <c r="C203" s="1881"/>
      <c r="D203" s="1881"/>
      <c r="E203" s="1881"/>
      <c r="F203" s="1881"/>
      <c r="G203" s="1881"/>
      <c r="H203" s="1881"/>
      <c r="I203" s="1881"/>
      <c r="J203" s="1881"/>
      <c r="K203" s="1881"/>
      <c r="L203" s="1881"/>
      <c r="M203" s="1881"/>
      <c r="N203" s="1881"/>
      <c r="O203" s="1881"/>
      <c r="P203" s="1881"/>
      <c r="Q203" s="1881"/>
      <c r="R203" s="1881"/>
      <c r="S203" s="1881"/>
      <c r="T203" s="1881"/>
      <c r="U203" s="1881"/>
      <c r="V203" s="1881"/>
      <c r="W203" s="1881"/>
      <c r="X203" s="1881"/>
      <c r="Y203" s="1881"/>
      <c r="Z203" s="1881"/>
      <c r="AA203" s="1881"/>
      <c r="AB203" s="1881"/>
      <c r="AC203" s="1881"/>
      <c r="AD203" s="1881"/>
      <c r="AE203" s="1881"/>
      <c r="AF203" s="1881"/>
      <c r="AG203" s="1881"/>
      <c r="AH203" s="1881"/>
      <c r="AI203" s="1881"/>
      <c r="AJ203" s="1881"/>
      <c r="AK203" s="1881"/>
      <c r="AL203" s="1881"/>
      <c r="AM203" s="1881"/>
      <c r="AN203" s="1881"/>
      <c r="AO203" s="1881"/>
      <c r="AP203" s="1881"/>
      <c r="AQ203" s="1881"/>
      <c r="AR203" s="1881"/>
      <c r="AS203" s="1881"/>
      <c r="AT203" s="1881"/>
      <c r="AU203" s="1881"/>
      <c r="AV203" s="1881"/>
      <c r="AW203" s="1881"/>
      <c r="AX203" s="1881"/>
      <c r="AY203" s="1881"/>
      <c r="AZ203" s="1881"/>
      <c r="BA203" s="1881"/>
      <c r="BB203" s="1881"/>
      <c r="BC203" s="1881"/>
      <c r="BD203" s="1881"/>
      <c r="BE203" s="1881"/>
      <c r="BF203" s="1881"/>
      <c r="BG203" s="1881"/>
    </row>
    <row r="204" spans="1:59">
      <c r="A204" s="1881"/>
      <c r="B204" s="1881"/>
      <c r="C204" s="1881"/>
      <c r="D204" s="1881"/>
      <c r="E204" s="1881"/>
      <c r="F204" s="1881"/>
      <c r="G204" s="1881"/>
      <c r="H204" s="1881"/>
      <c r="I204" s="1881"/>
      <c r="J204" s="1881"/>
      <c r="K204" s="1881"/>
      <c r="L204" s="1881"/>
      <c r="M204" s="1881"/>
      <c r="N204" s="1881"/>
      <c r="O204" s="1881"/>
      <c r="P204" s="1881"/>
      <c r="Q204" s="1881"/>
      <c r="R204" s="1881"/>
      <c r="S204" s="1881"/>
      <c r="T204" s="1881"/>
      <c r="U204" s="1881"/>
      <c r="V204" s="1881"/>
      <c r="W204" s="1881"/>
      <c r="X204" s="1881"/>
      <c r="Y204" s="1881"/>
      <c r="Z204" s="1881"/>
      <c r="AA204" s="1881"/>
      <c r="AB204" s="1881"/>
      <c r="AC204" s="1881"/>
      <c r="AD204" s="1881"/>
      <c r="AE204" s="1881"/>
      <c r="AF204" s="1881"/>
      <c r="AG204" s="1881"/>
      <c r="AH204" s="1881"/>
      <c r="AI204" s="1881"/>
      <c r="AJ204" s="1881"/>
      <c r="AK204" s="1881"/>
      <c r="AL204" s="1881"/>
      <c r="AM204" s="1881"/>
      <c r="AN204" s="1881"/>
      <c r="AO204" s="1881"/>
      <c r="AP204" s="1881"/>
      <c r="AQ204" s="1881"/>
      <c r="AR204" s="1881"/>
      <c r="AS204" s="1881"/>
      <c r="AT204" s="1881"/>
      <c r="AU204" s="1881"/>
      <c r="AV204" s="1881"/>
      <c r="AW204" s="1881"/>
      <c r="AX204" s="1881"/>
      <c r="AY204" s="1881"/>
      <c r="AZ204" s="1881"/>
      <c r="BA204" s="1881"/>
      <c r="BB204" s="1881"/>
      <c r="BC204" s="1881"/>
      <c r="BD204" s="1881"/>
      <c r="BE204" s="1881"/>
      <c r="BF204" s="1881"/>
      <c r="BG204" s="1881"/>
    </row>
    <row r="205" spans="1:59">
      <c r="A205" s="1881"/>
      <c r="B205" s="1881"/>
      <c r="C205" s="1881"/>
      <c r="D205" s="1881"/>
      <c r="E205" s="1881"/>
      <c r="F205" s="1881"/>
      <c r="G205" s="1881"/>
      <c r="H205" s="1881"/>
      <c r="I205" s="1881"/>
      <c r="J205" s="1881"/>
      <c r="K205" s="1881"/>
      <c r="L205" s="1881"/>
      <c r="M205" s="1881"/>
      <c r="N205" s="1881"/>
      <c r="O205" s="1881"/>
      <c r="P205" s="1881"/>
      <c r="Q205" s="1881"/>
      <c r="R205" s="1881"/>
      <c r="S205" s="1881"/>
      <c r="T205" s="1881"/>
      <c r="U205" s="1881"/>
      <c r="V205" s="1881"/>
      <c r="W205" s="1881"/>
      <c r="X205" s="1881"/>
      <c r="Y205" s="1881"/>
      <c r="Z205" s="1881"/>
      <c r="AA205" s="1881"/>
      <c r="AB205" s="1881"/>
      <c r="AC205" s="1881"/>
      <c r="AD205" s="1881"/>
      <c r="AE205" s="1881"/>
      <c r="AF205" s="1881"/>
      <c r="AG205" s="1881"/>
      <c r="AH205" s="1881"/>
      <c r="AI205" s="1881"/>
      <c r="AJ205" s="1881"/>
      <c r="AK205" s="1881"/>
      <c r="AL205" s="1881"/>
      <c r="AM205" s="1881"/>
      <c r="AN205" s="1881"/>
      <c r="AO205" s="1881"/>
      <c r="AP205" s="1881"/>
      <c r="AQ205" s="1881"/>
      <c r="AR205" s="1881"/>
      <c r="AS205" s="1881"/>
      <c r="AT205" s="1881"/>
      <c r="AU205" s="1881"/>
      <c r="AV205" s="1881"/>
      <c r="AW205" s="1881"/>
      <c r="AX205" s="1881"/>
      <c r="AY205" s="1881"/>
      <c r="AZ205" s="1881"/>
      <c r="BA205" s="1881"/>
      <c r="BB205" s="1881"/>
      <c r="BC205" s="1881"/>
      <c r="BD205" s="1881"/>
      <c r="BE205" s="1881"/>
      <c r="BF205" s="1881"/>
      <c r="BG205" s="1881"/>
    </row>
    <row r="206" spans="1:59">
      <c r="A206" s="1881"/>
      <c r="B206" s="1881"/>
      <c r="C206" s="1881"/>
      <c r="D206" s="1881"/>
      <c r="E206" s="1881"/>
      <c r="F206" s="1881"/>
      <c r="G206" s="1881"/>
      <c r="H206" s="1881"/>
      <c r="I206" s="1881"/>
      <c r="J206" s="1881"/>
      <c r="K206" s="1881"/>
      <c r="L206" s="1881"/>
      <c r="M206" s="1881"/>
      <c r="N206" s="1881"/>
      <c r="O206" s="1881"/>
      <c r="P206" s="1881"/>
      <c r="Q206" s="1881"/>
      <c r="R206" s="1881"/>
      <c r="S206" s="1881"/>
      <c r="T206" s="1881"/>
      <c r="U206" s="1881"/>
      <c r="V206" s="1881"/>
      <c r="W206" s="1881"/>
      <c r="X206" s="1881"/>
      <c r="Y206" s="1881"/>
      <c r="Z206" s="1881"/>
      <c r="AA206" s="1881"/>
      <c r="AB206" s="1881"/>
      <c r="AC206" s="1881"/>
      <c r="AD206" s="1881"/>
      <c r="AE206" s="1881"/>
      <c r="AF206" s="1881"/>
      <c r="AG206" s="1881"/>
      <c r="AH206" s="1881"/>
      <c r="AI206" s="1881"/>
      <c r="AJ206" s="1881"/>
      <c r="AK206" s="1881"/>
      <c r="AL206" s="1881"/>
      <c r="AM206" s="1881"/>
      <c r="AN206" s="1881"/>
      <c r="AO206" s="1881"/>
      <c r="AP206" s="1881"/>
      <c r="AQ206" s="1881"/>
      <c r="AR206" s="1881"/>
      <c r="AS206" s="1881"/>
      <c r="AT206" s="1881"/>
      <c r="AU206" s="1881"/>
      <c r="AV206" s="1881"/>
      <c r="AW206" s="1881"/>
      <c r="AX206" s="1881"/>
      <c r="AY206" s="1881"/>
      <c r="AZ206" s="1881"/>
      <c r="BA206" s="1881"/>
      <c r="BB206" s="1881"/>
      <c r="BC206" s="1881"/>
      <c r="BD206" s="1881"/>
      <c r="BE206" s="1881"/>
      <c r="BF206" s="1881"/>
      <c r="BG206" s="1881"/>
    </row>
    <row r="207" spans="1:59">
      <c r="A207" s="1881"/>
      <c r="B207" s="1881"/>
      <c r="C207" s="1881"/>
      <c r="D207" s="1881"/>
      <c r="E207" s="1881"/>
      <c r="F207" s="1881"/>
      <c r="G207" s="1881"/>
      <c r="H207" s="1881"/>
      <c r="I207" s="1881"/>
      <c r="J207" s="1881"/>
      <c r="K207" s="1881"/>
      <c r="L207" s="1881"/>
      <c r="M207" s="1881"/>
      <c r="N207" s="1881"/>
      <c r="O207" s="1881"/>
      <c r="P207" s="1881"/>
      <c r="Q207" s="1881"/>
      <c r="R207" s="1881"/>
      <c r="S207" s="1881"/>
      <c r="T207" s="1881"/>
      <c r="U207" s="1881"/>
      <c r="V207" s="1881"/>
      <c r="W207" s="1881"/>
      <c r="X207" s="1881"/>
      <c r="Y207" s="1881"/>
      <c r="Z207" s="1881"/>
      <c r="AA207" s="1881"/>
      <c r="AB207" s="1881"/>
      <c r="AC207" s="1881"/>
      <c r="AD207" s="1881"/>
      <c r="AE207" s="1881"/>
      <c r="AF207" s="1881"/>
      <c r="AG207" s="1881"/>
      <c r="AH207" s="1881"/>
      <c r="AI207" s="1881"/>
      <c r="AJ207" s="1881"/>
      <c r="AK207" s="1881"/>
      <c r="AL207" s="1881"/>
      <c r="AM207" s="1881"/>
      <c r="AN207" s="1881"/>
      <c r="AO207" s="1881"/>
      <c r="AP207" s="1881"/>
      <c r="AQ207" s="1881"/>
      <c r="AR207" s="1881"/>
      <c r="AS207" s="1881"/>
      <c r="AT207" s="1881"/>
      <c r="AU207" s="1881"/>
      <c r="AV207" s="1881"/>
      <c r="AW207" s="1881"/>
      <c r="AX207" s="1881"/>
      <c r="AY207" s="1881"/>
      <c r="AZ207" s="1881"/>
      <c r="BA207" s="1881"/>
      <c r="BB207" s="1881"/>
      <c r="BC207" s="1881"/>
      <c r="BD207" s="1881"/>
      <c r="BE207" s="1881"/>
      <c r="BF207" s="1881"/>
      <c r="BG207" s="1881"/>
    </row>
    <row r="208" spans="1:59">
      <c r="A208" s="1881"/>
      <c r="B208" s="1881"/>
      <c r="C208" s="1881"/>
      <c r="D208" s="1881"/>
      <c r="E208" s="1881"/>
      <c r="F208" s="1881"/>
      <c r="G208" s="1881"/>
      <c r="H208" s="1881"/>
      <c r="I208" s="1881"/>
      <c r="J208" s="1881"/>
      <c r="K208" s="1881"/>
      <c r="L208" s="1881"/>
      <c r="M208" s="1881"/>
      <c r="N208" s="1881"/>
      <c r="O208" s="1881"/>
      <c r="P208" s="1881"/>
      <c r="Q208" s="1881"/>
      <c r="R208" s="1881"/>
      <c r="S208" s="1881"/>
      <c r="T208" s="1881"/>
      <c r="U208" s="1881"/>
      <c r="V208" s="1881"/>
      <c r="W208" s="1881"/>
      <c r="X208" s="1881"/>
      <c r="Y208" s="1881"/>
      <c r="Z208" s="1881"/>
      <c r="AA208" s="1881"/>
      <c r="AB208" s="1881"/>
      <c r="AC208" s="1881"/>
      <c r="AD208" s="1881"/>
      <c r="AE208" s="1881"/>
      <c r="AF208" s="1881"/>
      <c r="AG208" s="1881"/>
      <c r="AH208" s="1881"/>
      <c r="AI208" s="1881"/>
      <c r="AJ208" s="1881"/>
      <c r="AK208" s="1881"/>
      <c r="AL208" s="1881"/>
      <c r="AM208" s="1881"/>
      <c r="AN208" s="1881"/>
      <c r="AO208" s="1881"/>
      <c r="AP208" s="1881"/>
      <c r="AQ208" s="1881"/>
      <c r="AR208" s="1881"/>
      <c r="AS208" s="1881"/>
      <c r="AT208" s="1881"/>
      <c r="AU208" s="1881"/>
      <c r="AV208" s="1881"/>
      <c r="AW208" s="1881"/>
      <c r="AX208" s="1881"/>
      <c r="AY208" s="1881"/>
      <c r="AZ208" s="1881"/>
      <c r="BA208" s="1881"/>
      <c r="BB208" s="1881"/>
      <c r="BC208" s="1881"/>
      <c r="BD208" s="1881"/>
      <c r="BE208" s="1881"/>
      <c r="BF208" s="1881"/>
      <c r="BG208" s="1881"/>
    </row>
    <row r="209" spans="1:59">
      <c r="A209" s="3188"/>
      <c r="B209" s="3188"/>
      <c r="C209" s="3188"/>
      <c r="D209" s="3188"/>
      <c r="E209" s="3188"/>
      <c r="F209" s="3188"/>
      <c r="G209" s="3188"/>
      <c r="H209" s="3188"/>
      <c r="I209" s="1881"/>
      <c r="J209" s="1881"/>
      <c r="K209" s="1881"/>
      <c r="L209" s="1881"/>
      <c r="M209" s="1881"/>
      <c r="N209" s="1881"/>
      <c r="O209" s="1881"/>
      <c r="P209" s="1881"/>
      <c r="Q209" s="1881"/>
      <c r="R209" s="1881"/>
      <c r="S209" s="1881"/>
      <c r="T209" s="1881"/>
      <c r="U209" s="1881"/>
      <c r="V209" s="1881"/>
      <c r="W209" s="1881"/>
      <c r="X209" s="1881"/>
      <c r="Y209" s="1881"/>
      <c r="Z209" s="1881"/>
      <c r="AA209" s="1881"/>
      <c r="AB209" s="1881"/>
      <c r="AC209" s="1881"/>
      <c r="AD209" s="1881"/>
      <c r="AE209" s="1881"/>
      <c r="AF209" s="1881"/>
      <c r="AG209" s="1881"/>
      <c r="AH209" s="1881"/>
      <c r="AI209" s="1881"/>
      <c r="AJ209" s="1881"/>
      <c r="AK209" s="1881"/>
      <c r="AL209" s="1881"/>
      <c r="AM209" s="1881"/>
      <c r="AN209" s="1881"/>
      <c r="AO209" s="1881"/>
      <c r="AP209" s="1881"/>
      <c r="AQ209" s="1881"/>
      <c r="AR209" s="1881"/>
      <c r="AS209" s="1881"/>
      <c r="AT209" s="1881"/>
      <c r="AU209" s="1881"/>
      <c r="AV209" s="1881"/>
      <c r="AW209" s="1881"/>
      <c r="AX209" s="1881"/>
      <c r="AY209" s="1881"/>
      <c r="AZ209" s="1881"/>
      <c r="BA209" s="1881"/>
      <c r="BB209" s="1881"/>
      <c r="BC209" s="1881"/>
      <c r="BD209" s="1881"/>
      <c r="BE209" s="1881"/>
      <c r="BF209" s="1881"/>
      <c r="BG209" s="1881"/>
    </row>
    <row r="210" spans="1:59">
      <c r="A210" s="1882"/>
      <c r="B210" s="1882"/>
      <c r="C210" s="1882"/>
      <c r="D210" s="1882"/>
      <c r="E210" s="1882"/>
      <c r="F210" s="1882"/>
      <c r="G210" s="1882"/>
      <c r="H210" s="1882"/>
      <c r="I210" s="1882"/>
      <c r="J210" s="1882"/>
      <c r="K210" s="1882"/>
      <c r="L210" s="1882"/>
      <c r="M210" s="1882"/>
      <c r="N210" s="1882"/>
      <c r="O210" s="1882"/>
      <c r="P210" s="1882"/>
      <c r="Q210" s="1882"/>
      <c r="R210" s="1882"/>
      <c r="S210" s="1882"/>
      <c r="T210" s="1882"/>
      <c r="U210" s="1882"/>
      <c r="V210" s="1882"/>
      <c r="W210" s="1882"/>
      <c r="X210" s="1882"/>
      <c r="Y210" s="1882"/>
      <c r="Z210" s="1882"/>
      <c r="AA210" s="1882"/>
      <c r="AB210" s="1882"/>
      <c r="AC210" s="1882"/>
      <c r="AD210" s="1882"/>
      <c r="AE210" s="1882"/>
      <c r="AF210" s="1882"/>
      <c r="AG210" s="1882"/>
      <c r="AH210" s="1882"/>
      <c r="AI210" s="1882"/>
      <c r="AJ210" s="1882"/>
      <c r="AK210" s="1882"/>
      <c r="AL210" s="1882"/>
      <c r="AM210" s="1882"/>
      <c r="AN210" s="1882"/>
      <c r="AO210" s="1882"/>
      <c r="AP210" s="1882"/>
      <c r="AQ210" s="1882"/>
      <c r="AR210" s="1882"/>
      <c r="AS210" s="1882"/>
      <c r="AT210" s="1882"/>
      <c r="AU210" s="1882"/>
      <c r="AV210" s="1882"/>
      <c r="AW210" s="1882"/>
      <c r="AX210" s="1882"/>
      <c r="AY210" s="1882"/>
      <c r="AZ210" s="1882"/>
      <c r="BA210" s="1882"/>
      <c r="BB210" s="1882"/>
      <c r="BC210" s="1882"/>
      <c r="BD210" s="1882"/>
      <c r="BE210" s="1882"/>
      <c r="BF210" s="1882"/>
      <c r="BG210" s="1882"/>
    </row>
    <row r="211" spans="1:59">
      <c r="A211" s="1882"/>
      <c r="B211" s="1882"/>
      <c r="C211" s="1882"/>
      <c r="D211" s="1882"/>
      <c r="E211" s="1882"/>
      <c r="F211" s="1882"/>
      <c r="G211" s="1882"/>
      <c r="H211" s="1882"/>
      <c r="I211" s="1882"/>
      <c r="J211" s="1882"/>
      <c r="K211" s="1882"/>
      <c r="L211" s="1882"/>
      <c r="M211" s="1882"/>
      <c r="N211" s="1882"/>
      <c r="O211" s="1882"/>
      <c r="P211" s="1882"/>
      <c r="Q211" s="1882"/>
      <c r="R211" s="1882"/>
      <c r="S211" s="1882"/>
      <c r="T211" s="1882"/>
      <c r="U211" s="1882"/>
      <c r="V211" s="1882"/>
      <c r="W211" s="1882"/>
      <c r="X211" s="1882"/>
      <c r="Y211" s="1882"/>
      <c r="Z211" s="1882"/>
      <c r="AA211" s="1882"/>
      <c r="AB211" s="1882"/>
      <c r="AC211" s="1882"/>
      <c r="AD211" s="1882"/>
      <c r="AE211" s="1882"/>
      <c r="AF211" s="1882"/>
      <c r="AG211" s="1882"/>
      <c r="AH211" s="1882"/>
      <c r="AI211" s="1882"/>
      <c r="AJ211" s="1882"/>
      <c r="AK211" s="1882"/>
      <c r="AL211" s="1882"/>
      <c r="AM211" s="1882"/>
      <c r="AN211" s="1882"/>
      <c r="AO211" s="1882"/>
      <c r="AP211" s="1882"/>
      <c r="AQ211" s="1882"/>
      <c r="AR211" s="1882"/>
      <c r="AS211" s="1882"/>
      <c r="AT211" s="1882"/>
      <c r="AU211" s="1882"/>
      <c r="AV211" s="1882"/>
      <c r="AW211" s="1882"/>
      <c r="AX211" s="1882"/>
      <c r="AY211" s="1882"/>
      <c r="AZ211" s="1882"/>
      <c r="BA211" s="1882"/>
      <c r="BB211" s="1882"/>
      <c r="BC211" s="1882"/>
      <c r="BD211" s="1882"/>
      <c r="BE211" s="1882"/>
      <c r="BF211" s="1882"/>
      <c r="BG211" s="1882"/>
    </row>
    <row r="212" spans="1:59">
      <c r="A212" s="1882"/>
      <c r="B212" s="1882"/>
      <c r="C212" s="1882"/>
      <c r="D212" s="1882"/>
      <c r="E212" s="1882"/>
      <c r="F212" s="1882"/>
      <c r="G212" s="1882"/>
      <c r="H212" s="1882"/>
      <c r="I212" s="1882"/>
      <c r="J212" s="1882"/>
      <c r="K212" s="1882"/>
      <c r="L212" s="1882"/>
      <c r="M212" s="1882"/>
      <c r="N212" s="1882"/>
      <c r="O212" s="1882"/>
      <c r="P212" s="1882"/>
      <c r="Q212" s="1882"/>
      <c r="R212" s="1882"/>
      <c r="S212" s="1882"/>
      <c r="T212" s="1882"/>
      <c r="U212" s="1882"/>
      <c r="V212" s="1882"/>
      <c r="W212" s="1882"/>
      <c r="X212" s="1882"/>
      <c r="Y212" s="1882"/>
      <c r="Z212" s="1882"/>
      <c r="AA212" s="1882"/>
      <c r="AB212" s="1882"/>
      <c r="AC212" s="1882"/>
      <c r="AD212" s="1882"/>
      <c r="AE212" s="1882"/>
      <c r="AF212" s="1882"/>
      <c r="AG212" s="1882"/>
      <c r="AH212" s="1882"/>
      <c r="AI212" s="1882"/>
      <c r="AJ212" s="1882"/>
      <c r="AK212" s="1882"/>
      <c r="AL212" s="1882"/>
      <c r="AM212" s="1882"/>
      <c r="AN212" s="1882"/>
      <c r="AO212" s="1882"/>
      <c r="AP212" s="1882"/>
      <c r="AQ212" s="1882"/>
      <c r="AR212" s="1882"/>
      <c r="AS212" s="1882"/>
      <c r="AT212" s="1882"/>
      <c r="AU212" s="1882"/>
      <c r="AV212" s="1882"/>
      <c r="AW212" s="1882"/>
      <c r="AX212" s="1882"/>
      <c r="AY212" s="1882"/>
      <c r="AZ212" s="1882"/>
      <c r="BA212" s="1882"/>
      <c r="BB212" s="1882"/>
      <c r="BC212" s="1882"/>
      <c r="BD212" s="1882"/>
      <c r="BE212" s="1882"/>
      <c r="BF212" s="1882"/>
      <c r="BG212" s="1882"/>
    </row>
    <row r="213" spans="1:59">
      <c r="A213" s="1882"/>
      <c r="B213" s="1882"/>
      <c r="C213" s="1882"/>
      <c r="D213" s="1882"/>
      <c r="E213" s="1882"/>
      <c r="F213" s="1882"/>
      <c r="G213" s="1882"/>
      <c r="H213" s="1882" t="s">
        <v>357</v>
      </c>
      <c r="I213" s="1882"/>
      <c r="J213" s="1882"/>
      <c r="K213" s="1882"/>
      <c r="L213" s="1882"/>
      <c r="M213" s="1882"/>
      <c r="N213" s="1882"/>
      <c r="O213" s="1882"/>
      <c r="P213" s="1882"/>
      <c r="Q213" s="1882"/>
      <c r="R213" s="1882"/>
      <c r="S213" s="1882"/>
      <c r="T213" s="1882"/>
      <c r="U213" s="1882"/>
      <c r="V213" s="1882"/>
      <c r="W213" s="1882"/>
      <c r="X213" s="1882"/>
      <c r="Y213" s="1882"/>
      <c r="Z213" s="1882"/>
      <c r="AA213" s="1882"/>
      <c r="AB213" s="1882"/>
      <c r="AC213" s="1882"/>
      <c r="AD213" s="1882"/>
      <c r="AE213" s="1882"/>
      <c r="AF213" s="1882"/>
      <c r="AG213" s="1882"/>
      <c r="AH213" s="1882"/>
      <c r="AI213" s="1882"/>
      <c r="AJ213" s="1882"/>
      <c r="AK213" s="1882"/>
      <c r="AL213" s="1882"/>
      <c r="AM213" s="1882"/>
      <c r="AN213" s="1882"/>
      <c r="AO213" s="1882"/>
      <c r="AP213" s="1882"/>
      <c r="AQ213" s="1882"/>
      <c r="AR213" s="1882"/>
      <c r="AS213" s="1882"/>
      <c r="AT213" s="1882"/>
      <c r="AU213" s="1882"/>
      <c r="AV213" s="1882"/>
      <c r="AW213" s="1882"/>
      <c r="AX213" s="1882"/>
      <c r="AY213" s="1882"/>
      <c r="AZ213" s="1882"/>
      <c r="BA213" s="1882"/>
      <c r="BB213" s="1882"/>
      <c r="BC213" s="1882"/>
      <c r="BD213" s="1882"/>
      <c r="BE213" s="1882"/>
      <c r="BF213" s="1882"/>
      <c r="BG213" s="1882"/>
    </row>
    <row r="214" spans="1:59">
      <c r="A214" s="1882"/>
      <c r="B214" s="1882"/>
      <c r="C214" s="1882"/>
      <c r="D214" s="1882"/>
      <c r="E214" s="1882"/>
      <c r="F214" s="1882"/>
      <c r="G214" s="1882"/>
      <c r="H214" s="1882"/>
      <c r="I214" s="1882"/>
      <c r="J214" s="1882"/>
      <c r="K214" s="1882"/>
      <c r="L214" s="1882"/>
      <c r="M214" s="1882"/>
      <c r="N214" s="1882"/>
      <c r="O214" s="1882"/>
      <c r="P214" s="1882"/>
      <c r="Q214" s="1882"/>
      <c r="R214" s="1882"/>
      <c r="S214" s="1882"/>
      <c r="T214" s="1882"/>
      <c r="U214" s="1882"/>
      <c r="V214" s="1882"/>
      <c r="W214" s="1882"/>
      <c r="X214" s="1882"/>
      <c r="Y214" s="1882"/>
      <c r="Z214" s="1882"/>
      <c r="AA214" s="1882"/>
      <c r="AB214" s="1882"/>
      <c r="AC214" s="1882"/>
      <c r="AD214" s="1882"/>
      <c r="AE214" s="1882"/>
      <c r="AF214" s="1882"/>
      <c r="AG214" s="1882"/>
      <c r="AH214" s="1882"/>
      <c r="AI214" s="1882"/>
      <c r="AJ214" s="1882"/>
      <c r="AK214" s="1882"/>
      <c r="AL214" s="1882"/>
      <c r="AM214" s="1882"/>
      <c r="AN214" s="1882"/>
      <c r="AO214" s="1882"/>
      <c r="AP214" s="1882"/>
      <c r="AQ214" s="1882"/>
      <c r="AR214" s="1882"/>
      <c r="AS214" s="1882"/>
      <c r="AT214" s="1882"/>
      <c r="AU214" s="1882"/>
      <c r="AV214" s="1882"/>
      <c r="AW214" s="1882"/>
      <c r="AX214" s="1882"/>
      <c r="AY214" s="1882"/>
      <c r="AZ214" s="1882"/>
      <c r="BA214" s="1882"/>
      <c r="BB214" s="1882"/>
      <c r="BC214" s="1882"/>
      <c r="BD214" s="1882"/>
      <c r="BE214" s="1882"/>
      <c r="BF214" s="1882"/>
      <c r="BG214" s="1882"/>
    </row>
    <row r="215" spans="1:59">
      <c r="A215" s="1882"/>
      <c r="B215" s="1882"/>
      <c r="C215" s="1882"/>
      <c r="D215" s="1882"/>
      <c r="E215" s="1882"/>
      <c r="F215" s="1882"/>
      <c r="G215" s="1882"/>
      <c r="H215" s="1882"/>
      <c r="I215" s="1882"/>
      <c r="J215" s="1882"/>
      <c r="K215" s="1882"/>
      <c r="L215" s="1882"/>
      <c r="M215" s="1882"/>
      <c r="N215" s="1882"/>
      <c r="O215" s="1882"/>
      <c r="P215" s="1882"/>
      <c r="Q215" s="1882"/>
      <c r="R215" s="1882"/>
      <c r="S215" s="1882"/>
      <c r="T215" s="1882"/>
      <c r="U215" s="1882"/>
      <c r="V215" s="1882"/>
      <c r="W215" s="1882"/>
      <c r="X215" s="1882"/>
      <c r="Y215" s="1882"/>
      <c r="Z215" s="1882"/>
      <c r="AA215" s="1882"/>
      <c r="AB215" s="1882"/>
      <c r="AC215" s="1882"/>
      <c r="AD215" s="1882"/>
      <c r="AE215" s="1882"/>
      <c r="AF215" s="1882"/>
      <c r="AG215" s="1882"/>
      <c r="AH215" s="1882"/>
      <c r="AI215" s="1882"/>
      <c r="AJ215" s="1882"/>
      <c r="AK215" s="1882"/>
      <c r="AL215" s="1882"/>
      <c r="AM215" s="1882"/>
      <c r="AN215" s="1882"/>
      <c r="AO215" s="1882"/>
      <c r="AP215" s="1882"/>
      <c r="AQ215" s="1882"/>
      <c r="AR215" s="1882"/>
      <c r="AS215" s="1882"/>
      <c r="AT215" s="1882"/>
      <c r="AU215" s="1882"/>
      <c r="AV215" s="1882"/>
      <c r="AW215" s="1882"/>
      <c r="AX215" s="1882"/>
      <c r="AY215" s="1882"/>
      <c r="AZ215" s="1882"/>
      <c r="BA215" s="1882"/>
      <c r="BB215" s="1882"/>
      <c r="BC215" s="1882"/>
      <c r="BD215" s="1882"/>
      <c r="BE215" s="1882"/>
      <c r="BF215" s="1882"/>
      <c r="BG215" s="1882"/>
    </row>
    <row r="216" spans="1:59">
      <c r="A216" s="1882"/>
      <c r="B216" s="1882"/>
      <c r="C216" s="1882"/>
      <c r="D216" s="1882"/>
      <c r="E216" s="1882"/>
      <c r="F216" s="1882"/>
      <c r="G216" s="1882"/>
      <c r="H216" s="1882"/>
      <c r="I216" s="1882"/>
      <c r="J216" s="1882"/>
      <c r="K216" s="1882"/>
      <c r="L216" s="1882"/>
      <c r="M216" s="1882"/>
      <c r="N216" s="1882"/>
      <c r="O216" s="1882"/>
      <c r="P216" s="1882"/>
      <c r="Q216" s="1882"/>
      <c r="R216" s="1882"/>
      <c r="S216" s="1882"/>
      <c r="T216" s="1882"/>
      <c r="U216" s="1882"/>
      <c r="V216" s="1882"/>
      <c r="W216" s="1882"/>
      <c r="X216" s="1882"/>
      <c r="Y216" s="1882"/>
      <c r="Z216" s="1882"/>
      <c r="AA216" s="1882"/>
      <c r="AB216" s="1882"/>
      <c r="AC216" s="1882"/>
      <c r="AD216" s="1882"/>
      <c r="AE216" s="1882"/>
      <c r="AF216" s="1882"/>
      <c r="AG216" s="1882"/>
      <c r="AH216" s="1882"/>
      <c r="AI216" s="1882"/>
      <c r="AJ216" s="1882"/>
      <c r="AK216" s="1882"/>
      <c r="AL216" s="1882"/>
      <c r="AM216" s="1882"/>
      <c r="AN216" s="1882"/>
      <c r="AO216" s="1882"/>
      <c r="AP216" s="1882"/>
      <c r="AQ216" s="1882"/>
      <c r="AR216" s="1882"/>
      <c r="AS216" s="1882"/>
      <c r="AT216" s="1882"/>
      <c r="AU216" s="1882"/>
      <c r="AV216" s="1882"/>
      <c r="AW216" s="1882"/>
      <c r="AX216" s="1882"/>
      <c r="AY216" s="1882"/>
      <c r="AZ216" s="1882"/>
      <c r="BA216" s="1882"/>
      <c r="BB216" s="1882"/>
      <c r="BC216" s="1882"/>
      <c r="BD216" s="1882"/>
      <c r="BE216" s="1882"/>
      <c r="BF216" s="1882"/>
      <c r="BG216" s="1882"/>
    </row>
    <row r="217" spans="1:59">
      <c r="A217" s="1882"/>
      <c r="B217" s="1882"/>
      <c r="C217" s="1882"/>
      <c r="D217" s="1882"/>
      <c r="E217" s="1882"/>
      <c r="F217" s="1882"/>
      <c r="G217" s="1882"/>
      <c r="H217" s="1882"/>
      <c r="I217" s="1882"/>
      <c r="J217" s="1882"/>
      <c r="K217" s="1882"/>
      <c r="L217" s="1882"/>
      <c r="M217" s="1882"/>
      <c r="N217" s="1882"/>
      <c r="O217" s="1882"/>
      <c r="P217" s="1882"/>
      <c r="Q217" s="1882"/>
      <c r="R217" s="1882"/>
      <c r="S217" s="1882"/>
      <c r="T217" s="1882"/>
      <c r="U217" s="1882"/>
      <c r="V217" s="1882"/>
      <c r="W217" s="1882"/>
      <c r="X217" s="1882"/>
      <c r="Y217" s="1882"/>
      <c r="Z217" s="1882"/>
      <c r="AA217" s="1882"/>
      <c r="AB217" s="1882"/>
      <c r="AC217" s="1882"/>
      <c r="AD217" s="1882"/>
      <c r="AE217" s="1882"/>
      <c r="AF217" s="1882"/>
      <c r="AG217" s="1882"/>
      <c r="AH217" s="1882"/>
      <c r="AI217" s="1882"/>
      <c r="AJ217" s="1882"/>
      <c r="AK217" s="1882"/>
      <c r="AL217" s="1882"/>
      <c r="AM217" s="1882"/>
      <c r="AN217" s="1882"/>
      <c r="AO217" s="1882"/>
      <c r="AP217" s="1882"/>
      <c r="AQ217" s="1882"/>
      <c r="AR217" s="1882"/>
      <c r="AS217" s="1882"/>
      <c r="AT217" s="1882"/>
      <c r="AU217" s="1882"/>
      <c r="AV217" s="1882"/>
      <c r="AW217" s="1882"/>
      <c r="AX217" s="1882"/>
      <c r="AY217" s="1882"/>
      <c r="AZ217" s="1882"/>
      <c r="BA217" s="1882"/>
      <c r="BB217" s="1882"/>
      <c r="BC217" s="1882"/>
      <c r="BD217" s="1882"/>
      <c r="BE217" s="1882"/>
      <c r="BF217" s="1882"/>
      <c r="BG217" s="1882"/>
    </row>
    <row r="218" spans="1:59">
      <c r="A218" s="1882"/>
      <c r="B218" s="1882"/>
      <c r="C218" s="1882"/>
      <c r="D218" s="1882"/>
      <c r="E218" s="1882"/>
      <c r="F218" s="1882"/>
      <c r="G218" s="1882"/>
      <c r="H218" s="1882"/>
      <c r="I218" s="1882"/>
      <c r="J218" s="1882"/>
      <c r="K218" s="1882"/>
      <c r="L218" s="1882"/>
      <c r="M218" s="1882"/>
      <c r="N218" s="1882"/>
      <c r="O218" s="1882"/>
      <c r="P218" s="1882"/>
      <c r="Q218" s="1882"/>
      <c r="R218" s="1882"/>
      <c r="S218" s="1882"/>
      <c r="T218" s="1882"/>
      <c r="U218" s="1882"/>
      <c r="V218" s="1882"/>
      <c r="W218" s="1882"/>
      <c r="X218" s="1882"/>
      <c r="Y218" s="1882"/>
      <c r="Z218" s="1882"/>
      <c r="AA218" s="1882"/>
      <c r="AB218" s="1882"/>
      <c r="AC218" s="1882"/>
      <c r="AD218" s="1882"/>
      <c r="AE218" s="1882"/>
      <c r="AF218" s="1882"/>
      <c r="AG218" s="1882"/>
      <c r="AH218" s="1882"/>
      <c r="AI218" s="1882"/>
      <c r="AJ218" s="1882"/>
      <c r="AK218" s="1882"/>
      <c r="AL218" s="1882"/>
      <c r="AM218" s="1882"/>
      <c r="AN218" s="1882"/>
      <c r="AO218" s="1882"/>
      <c r="AP218" s="1882"/>
      <c r="AQ218" s="1882"/>
      <c r="AR218" s="1882"/>
      <c r="AS218" s="1882"/>
      <c r="AT218" s="1882"/>
      <c r="AU218" s="1882"/>
      <c r="AV218" s="1882"/>
      <c r="AW218" s="1882"/>
      <c r="AX218" s="1882"/>
      <c r="AY218" s="1882"/>
      <c r="AZ218" s="1882"/>
      <c r="BA218" s="1882"/>
      <c r="BB218" s="1882"/>
      <c r="BC218" s="1882"/>
      <c r="BD218" s="1882"/>
      <c r="BE218" s="1882"/>
      <c r="BF218" s="1882"/>
      <c r="BG218" s="1882"/>
    </row>
    <row r="219" spans="1:59">
      <c r="A219" s="1882"/>
      <c r="B219" s="1882"/>
      <c r="C219" s="1882"/>
      <c r="D219" s="1882"/>
      <c r="E219" s="1882"/>
      <c r="F219" s="1882"/>
      <c r="G219" s="1882"/>
      <c r="H219" s="1882"/>
      <c r="I219" s="1882"/>
      <c r="J219" s="1882"/>
      <c r="K219" s="1882"/>
      <c r="L219" s="1882"/>
      <c r="M219" s="1882"/>
      <c r="N219" s="1882"/>
      <c r="O219" s="1882"/>
      <c r="P219" s="1882"/>
      <c r="Q219" s="1882"/>
      <c r="R219" s="1882"/>
      <c r="S219" s="1882"/>
      <c r="T219" s="1882"/>
      <c r="U219" s="1882"/>
      <c r="V219" s="1882"/>
      <c r="W219" s="1882"/>
      <c r="X219" s="1882"/>
      <c r="Y219" s="1882"/>
      <c r="Z219" s="1882"/>
      <c r="AA219" s="1882"/>
      <c r="AB219" s="1882"/>
      <c r="AC219" s="1882"/>
      <c r="AD219" s="1882"/>
      <c r="AE219" s="1882"/>
      <c r="AF219" s="1882"/>
      <c r="AG219" s="1882"/>
      <c r="AH219" s="1882"/>
      <c r="AI219" s="1882"/>
      <c r="AJ219" s="1882"/>
      <c r="AK219" s="1882"/>
      <c r="AL219" s="1882"/>
      <c r="AM219" s="1882"/>
      <c r="AN219" s="1882"/>
      <c r="AO219" s="1882"/>
      <c r="AP219" s="1882"/>
      <c r="AQ219" s="1882"/>
      <c r="AR219" s="1882"/>
      <c r="AS219" s="1882"/>
      <c r="AT219" s="1882"/>
      <c r="AU219" s="1882"/>
      <c r="AV219" s="1882"/>
      <c r="AW219" s="1882"/>
      <c r="AX219" s="1882"/>
      <c r="AY219" s="1882"/>
      <c r="AZ219" s="1882"/>
      <c r="BA219" s="1882"/>
      <c r="BB219" s="1882"/>
      <c r="BC219" s="1882"/>
      <c r="BD219" s="1882"/>
      <c r="BE219" s="1882"/>
      <c r="BF219" s="1882"/>
      <c r="BG219" s="1882"/>
    </row>
    <row r="220" spans="1:59">
      <c r="A220" s="1882"/>
      <c r="B220" s="1882"/>
      <c r="C220" s="1882"/>
      <c r="D220" s="1882"/>
      <c r="E220" s="1882"/>
      <c r="F220" s="1882"/>
      <c r="G220" s="1882"/>
      <c r="H220" s="1882"/>
      <c r="I220" s="1882"/>
      <c r="J220" s="1882"/>
      <c r="K220" s="1882"/>
      <c r="L220" s="1882"/>
      <c r="M220" s="1882"/>
      <c r="N220" s="1882"/>
      <c r="O220" s="1882"/>
      <c r="P220" s="1882"/>
      <c r="Q220" s="1882"/>
      <c r="R220" s="1882"/>
      <c r="S220" s="1882"/>
      <c r="T220" s="1882"/>
      <c r="U220" s="1882"/>
      <c r="V220" s="1882"/>
      <c r="W220" s="1882"/>
      <c r="X220" s="1882"/>
      <c r="Y220" s="1882"/>
      <c r="Z220" s="1882"/>
      <c r="AA220" s="1882"/>
      <c r="AB220" s="1882"/>
      <c r="AC220" s="1882"/>
      <c r="AD220" s="1882"/>
      <c r="AE220" s="1882"/>
      <c r="AF220" s="1882"/>
      <c r="AG220" s="1882"/>
      <c r="AH220" s="1882"/>
      <c r="AI220" s="1882"/>
      <c r="AJ220" s="1882"/>
      <c r="AK220" s="1882"/>
      <c r="AL220" s="1882"/>
      <c r="AM220" s="1882"/>
      <c r="AN220" s="1882"/>
      <c r="AO220" s="1882"/>
      <c r="AP220" s="1882"/>
      <c r="AQ220" s="1882"/>
      <c r="AR220" s="1882"/>
      <c r="AS220" s="1882"/>
      <c r="AT220" s="1882"/>
      <c r="AU220" s="1882"/>
      <c r="AV220" s="1882"/>
      <c r="AW220" s="1882"/>
      <c r="AX220" s="1882"/>
      <c r="AY220" s="1882"/>
      <c r="AZ220" s="1882"/>
      <c r="BA220" s="1882"/>
      <c r="BB220" s="1882"/>
      <c r="BC220" s="1882"/>
      <c r="BD220" s="1882"/>
      <c r="BE220" s="1882"/>
      <c r="BF220" s="1882"/>
      <c r="BG220" s="1882"/>
    </row>
    <row r="221" spans="1:59">
      <c r="A221" s="1882"/>
      <c r="B221" s="1882"/>
      <c r="C221" s="1882"/>
      <c r="D221" s="1882"/>
      <c r="E221" s="1882"/>
      <c r="F221" s="1882"/>
      <c r="G221" s="1882"/>
      <c r="H221" s="1882"/>
      <c r="I221" s="1882"/>
      <c r="J221" s="1882"/>
      <c r="K221" s="1882"/>
      <c r="L221" s="1882"/>
      <c r="M221" s="1882"/>
      <c r="N221" s="1882"/>
      <c r="O221" s="1882"/>
      <c r="P221" s="1882"/>
      <c r="Q221" s="1882"/>
      <c r="R221" s="1882"/>
      <c r="S221" s="1882"/>
      <c r="T221" s="1882"/>
      <c r="U221" s="1882"/>
      <c r="V221" s="1882"/>
      <c r="W221" s="1882"/>
      <c r="X221" s="1882"/>
      <c r="Y221" s="1882"/>
      <c r="Z221" s="1882"/>
      <c r="AA221" s="1882"/>
      <c r="AB221" s="1882"/>
      <c r="AC221" s="1882"/>
      <c r="AD221" s="1882"/>
      <c r="AE221" s="1882"/>
      <c r="AF221" s="1882"/>
      <c r="AG221" s="1882"/>
      <c r="AH221" s="1882"/>
      <c r="AI221" s="1882"/>
      <c r="AJ221" s="1882"/>
      <c r="AK221" s="1882"/>
      <c r="AL221" s="1882"/>
      <c r="AM221" s="1882"/>
      <c r="AN221" s="1882"/>
      <c r="AO221" s="1882"/>
      <c r="AP221" s="1882"/>
      <c r="AQ221" s="1882"/>
      <c r="AR221" s="1882"/>
      <c r="AS221" s="1882"/>
      <c r="AT221" s="1882"/>
      <c r="AU221" s="1882"/>
      <c r="AV221" s="1882"/>
      <c r="AW221" s="1882"/>
      <c r="AX221" s="1882"/>
      <c r="AY221" s="1882"/>
      <c r="AZ221" s="1882"/>
      <c r="BA221" s="1882"/>
      <c r="BB221" s="1882"/>
      <c r="BC221" s="1882"/>
      <c r="BD221" s="1882"/>
      <c r="BE221" s="1882"/>
      <c r="BF221" s="1882"/>
      <c r="BG221" s="1882"/>
    </row>
    <row r="222" spans="1:59">
      <c r="A222" s="1882"/>
      <c r="B222" s="1882"/>
      <c r="C222" s="1882"/>
      <c r="D222" s="1882"/>
      <c r="E222" s="1882"/>
      <c r="F222" s="1882"/>
      <c r="G222" s="1882"/>
      <c r="H222" s="1882"/>
      <c r="I222" s="1882"/>
      <c r="J222" s="1882"/>
      <c r="K222" s="1882"/>
      <c r="L222" s="1882"/>
      <c r="M222" s="1882"/>
      <c r="N222" s="1882"/>
      <c r="O222" s="1882"/>
      <c r="P222" s="1882"/>
      <c r="Q222" s="1882"/>
      <c r="R222" s="1882"/>
      <c r="S222" s="1882"/>
      <c r="T222" s="1882"/>
      <c r="U222" s="1882"/>
      <c r="V222" s="1882"/>
      <c r="W222" s="1882"/>
      <c r="X222" s="1882"/>
      <c r="Y222" s="1882"/>
      <c r="Z222" s="1882"/>
      <c r="AA222" s="1882"/>
      <c r="AB222" s="1882"/>
      <c r="AC222" s="1882"/>
      <c r="AD222" s="1882"/>
      <c r="AE222" s="1882"/>
      <c r="AF222" s="1882"/>
      <c r="AG222" s="1882"/>
      <c r="AH222" s="1882"/>
      <c r="AI222" s="1882"/>
      <c r="AJ222" s="1882"/>
      <c r="AK222" s="1882"/>
      <c r="AL222" s="1882"/>
      <c r="AM222" s="1882"/>
      <c r="AN222" s="1882"/>
      <c r="AO222" s="1882"/>
      <c r="AP222" s="1882"/>
      <c r="AQ222" s="1882"/>
      <c r="AR222" s="1882"/>
      <c r="AS222" s="1882"/>
      <c r="AT222" s="1882"/>
      <c r="AU222" s="1882"/>
      <c r="AV222" s="1882"/>
      <c r="AW222" s="1882"/>
      <c r="AX222" s="1882"/>
      <c r="AY222" s="1882"/>
      <c r="AZ222" s="1882"/>
      <c r="BA222" s="1882"/>
      <c r="BB222" s="1882"/>
      <c r="BC222" s="1882"/>
      <c r="BD222" s="1882"/>
      <c r="BE222" s="1882"/>
      <c r="BF222" s="1882"/>
      <c r="BG222" s="1882"/>
    </row>
    <row r="223" spans="1:59">
      <c r="A223" s="1882"/>
      <c r="B223" s="1882"/>
      <c r="C223" s="1882"/>
      <c r="D223" s="1882"/>
      <c r="E223" s="1882"/>
      <c r="F223" s="1882"/>
      <c r="G223" s="1882"/>
      <c r="H223" s="1882"/>
      <c r="I223" s="1882"/>
      <c r="J223" s="1882"/>
      <c r="K223" s="1882"/>
      <c r="L223" s="1882"/>
      <c r="M223" s="1882"/>
      <c r="N223" s="1882"/>
      <c r="O223" s="1882"/>
      <c r="P223" s="1882"/>
      <c r="Q223" s="1882"/>
      <c r="R223" s="1882"/>
      <c r="S223" s="1882"/>
      <c r="T223" s="1882"/>
      <c r="U223" s="1882"/>
      <c r="V223" s="1882"/>
      <c r="W223" s="1882"/>
      <c r="X223" s="1882"/>
      <c r="Y223" s="1882"/>
      <c r="Z223" s="1882"/>
      <c r="AA223" s="1882"/>
      <c r="AB223" s="1882"/>
      <c r="AC223" s="1882"/>
      <c r="AD223" s="1882"/>
      <c r="AE223" s="1882"/>
      <c r="AF223" s="1882"/>
      <c r="AG223" s="1882"/>
      <c r="AH223" s="1882"/>
      <c r="AI223" s="1882"/>
      <c r="AJ223" s="1882"/>
      <c r="AK223" s="1882"/>
      <c r="AL223" s="1882"/>
      <c r="AM223" s="1882"/>
      <c r="AN223" s="1882"/>
      <c r="AO223" s="1882"/>
      <c r="AP223" s="1882"/>
      <c r="AQ223" s="1882"/>
      <c r="AR223" s="1882"/>
      <c r="AS223" s="1882"/>
      <c r="AT223" s="1882"/>
      <c r="AU223" s="1882"/>
      <c r="AV223" s="1882"/>
      <c r="AW223" s="1882"/>
      <c r="AX223" s="1882"/>
      <c r="AY223" s="1882"/>
      <c r="AZ223" s="1882"/>
      <c r="BA223" s="1882"/>
      <c r="BB223" s="1882"/>
      <c r="BC223" s="1882"/>
      <c r="BD223" s="1882"/>
      <c r="BE223" s="1882"/>
      <c r="BF223" s="1882"/>
      <c r="BG223" s="1882"/>
    </row>
    <row r="224" spans="1:59">
      <c r="A224" s="1882"/>
      <c r="B224" s="1882"/>
      <c r="C224" s="1882"/>
      <c r="D224" s="1882"/>
      <c r="E224" s="1882"/>
      <c r="F224" s="1882"/>
      <c r="G224" s="1882"/>
      <c r="H224" s="1882"/>
      <c r="I224" s="1882"/>
      <c r="J224" s="1882"/>
      <c r="K224" s="1882"/>
      <c r="L224" s="1882"/>
      <c r="M224" s="1882"/>
      <c r="N224" s="1882"/>
      <c r="O224" s="1882"/>
      <c r="P224" s="1882"/>
      <c r="Q224" s="1882"/>
      <c r="R224" s="1882"/>
      <c r="S224" s="1882"/>
      <c r="T224" s="1882"/>
      <c r="U224" s="1882"/>
      <c r="V224" s="1882"/>
      <c r="W224" s="1882"/>
      <c r="X224" s="1882"/>
      <c r="Y224" s="1882"/>
      <c r="Z224" s="1882"/>
      <c r="AA224" s="1882"/>
      <c r="AB224" s="1882"/>
      <c r="AC224" s="1882"/>
      <c r="AD224" s="1882"/>
      <c r="AE224" s="1882"/>
      <c r="AF224" s="1882"/>
      <c r="AG224" s="1882"/>
      <c r="AH224" s="1882"/>
      <c r="AI224" s="1882"/>
      <c r="AJ224" s="1882"/>
      <c r="AK224" s="1882"/>
      <c r="AL224" s="1882"/>
      <c r="AM224" s="1882"/>
      <c r="AN224" s="1882"/>
      <c r="AO224" s="1882"/>
      <c r="AP224" s="1882"/>
      <c r="AQ224" s="1882"/>
      <c r="AR224" s="1882"/>
      <c r="AS224" s="1882"/>
      <c r="AT224" s="1882"/>
      <c r="AU224" s="1882"/>
      <c r="AV224" s="1882"/>
      <c r="AW224" s="1882"/>
      <c r="AX224" s="1882"/>
      <c r="AY224" s="1882"/>
      <c r="AZ224" s="1882"/>
      <c r="BA224" s="1882"/>
      <c r="BB224" s="1882"/>
      <c r="BC224" s="1882"/>
      <c r="BD224" s="1882"/>
      <c r="BE224" s="1882"/>
      <c r="BF224" s="1882"/>
      <c r="BG224" s="1882"/>
    </row>
    <row r="225" spans="1:59">
      <c r="A225" s="3188" t="s">
        <v>7634</v>
      </c>
      <c r="B225" s="3188"/>
      <c r="C225" s="3188"/>
      <c r="D225" s="3188"/>
      <c r="E225" s="3188"/>
      <c r="F225" s="3188"/>
      <c r="G225" s="3188"/>
      <c r="H225" s="3188"/>
      <c r="I225" s="1900"/>
      <c r="J225" s="1900"/>
      <c r="K225" s="1900"/>
      <c r="L225" s="1900"/>
      <c r="M225" s="1900"/>
      <c r="N225" s="1900"/>
      <c r="O225" s="1900"/>
      <c r="P225" s="1900"/>
      <c r="Q225" s="1900"/>
      <c r="R225" s="1900"/>
      <c r="S225" s="1900"/>
      <c r="T225" s="1900"/>
      <c r="U225" s="1900"/>
      <c r="V225" s="1900"/>
      <c r="W225" s="1900"/>
      <c r="X225" s="1900"/>
      <c r="Y225" s="1900"/>
      <c r="Z225" s="1900"/>
      <c r="AA225" s="1900"/>
      <c r="AB225" s="1900"/>
      <c r="AC225" s="1900"/>
      <c r="AD225" s="1900"/>
      <c r="AE225" s="1900"/>
      <c r="AF225" s="1900"/>
      <c r="AG225" s="1900"/>
      <c r="AH225" s="1900"/>
      <c r="AI225" s="1900"/>
      <c r="AJ225" s="1900"/>
      <c r="AK225" s="1900"/>
      <c r="AL225" s="1900"/>
      <c r="AM225" s="1900"/>
      <c r="AN225" s="1900"/>
      <c r="AO225" s="1900"/>
      <c r="AP225" s="1900"/>
      <c r="AQ225" s="1900"/>
      <c r="AR225" s="1900"/>
      <c r="AS225" s="1900"/>
      <c r="AT225" s="1900"/>
      <c r="AU225" s="1900"/>
      <c r="AV225" s="1900"/>
      <c r="AW225" s="1900"/>
      <c r="AX225" s="1900"/>
      <c r="AY225" s="1900"/>
      <c r="AZ225" s="1900"/>
      <c r="BA225" s="1900"/>
      <c r="BB225" s="1900"/>
      <c r="BC225" s="1900"/>
      <c r="BD225" s="1900"/>
      <c r="BE225" s="1900"/>
      <c r="BF225" s="1900"/>
      <c r="BG225" s="1900"/>
    </row>
    <row r="226" spans="1:59">
      <c r="A226" s="1881"/>
      <c r="B226" s="1881"/>
      <c r="C226" s="1881"/>
      <c r="D226" s="1881"/>
      <c r="E226" s="1881"/>
      <c r="F226" s="1881"/>
      <c r="G226" s="1881"/>
      <c r="H226" s="1881"/>
      <c r="I226" s="1881"/>
      <c r="J226" s="1881"/>
      <c r="K226" s="1881"/>
      <c r="L226" s="1881"/>
      <c r="M226" s="1881"/>
      <c r="N226" s="1881"/>
      <c r="O226" s="1881"/>
      <c r="P226" s="1881"/>
      <c r="Q226" s="1881"/>
      <c r="R226" s="1881"/>
      <c r="S226" s="1881"/>
      <c r="T226" s="1881"/>
      <c r="U226" s="1881"/>
      <c r="V226" s="1881"/>
      <c r="W226" s="1881"/>
      <c r="X226" s="1881"/>
      <c r="Y226" s="1881"/>
      <c r="Z226" s="1881"/>
      <c r="AA226" s="1881"/>
      <c r="AB226" s="1881"/>
      <c r="AC226" s="1881"/>
      <c r="AD226" s="1881"/>
      <c r="AE226" s="1881"/>
      <c r="AF226" s="1881"/>
      <c r="AG226" s="1881"/>
      <c r="AH226" s="1881"/>
      <c r="AI226" s="1881"/>
      <c r="AJ226" s="1881"/>
      <c r="AK226" s="1881"/>
      <c r="AL226" s="1881"/>
      <c r="AM226" s="1881"/>
      <c r="AN226" s="1881"/>
      <c r="AO226" s="1881"/>
      <c r="AP226" s="1881"/>
      <c r="AQ226" s="1881"/>
      <c r="AR226" s="1881"/>
      <c r="AS226" s="1881"/>
      <c r="AT226" s="1881"/>
      <c r="AU226" s="1881"/>
      <c r="AV226" s="1881"/>
      <c r="AW226" s="1881"/>
      <c r="AX226" s="1881"/>
      <c r="AY226" s="1881"/>
      <c r="AZ226" s="1881"/>
      <c r="BA226" s="1881"/>
      <c r="BB226" s="1881"/>
      <c r="BC226" s="1881"/>
      <c r="BD226" s="1881"/>
      <c r="BE226" s="1881"/>
      <c r="BF226" s="1881"/>
      <c r="BG226" s="1881"/>
    </row>
    <row r="227" spans="1:59">
      <c r="A227" s="1881"/>
      <c r="B227" s="1881"/>
      <c r="C227" s="1881"/>
      <c r="D227" s="1881"/>
      <c r="E227" s="1881"/>
      <c r="F227" s="1881"/>
      <c r="G227" s="1881"/>
      <c r="H227" s="1881"/>
      <c r="I227" s="1881"/>
      <c r="J227" s="1881"/>
      <c r="K227" s="1881"/>
      <c r="L227" s="1881"/>
      <c r="M227" s="1881"/>
      <c r="N227" s="1881"/>
      <c r="O227" s="1881"/>
      <c r="P227" s="1881"/>
      <c r="Q227" s="1881"/>
      <c r="R227" s="1881"/>
      <c r="S227" s="1881"/>
      <c r="T227" s="1881"/>
      <c r="U227" s="1881"/>
      <c r="V227" s="1881"/>
      <c r="W227" s="1881"/>
      <c r="X227" s="1881"/>
      <c r="Y227" s="1881"/>
      <c r="Z227" s="1881"/>
      <c r="AA227" s="1881"/>
      <c r="AB227" s="1881"/>
      <c r="AC227" s="1881"/>
      <c r="AD227" s="1881"/>
      <c r="AE227" s="1881"/>
      <c r="AF227" s="1881"/>
      <c r="AG227" s="1881"/>
      <c r="AH227" s="1881"/>
      <c r="AI227" s="1881"/>
      <c r="AJ227" s="1881"/>
      <c r="AK227" s="1881"/>
      <c r="AL227" s="1881"/>
      <c r="AM227" s="1881"/>
      <c r="AN227" s="1881"/>
      <c r="AO227" s="1881"/>
      <c r="AP227" s="1881"/>
      <c r="AQ227" s="1881"/>
      <c r="AR227" s="1881"/>
      <c r="AS227" s="1881"/>
      <c r="AT227" s="1881"/>
      <c r="AU227" s="1881"/>
      <c r="AV227" s="1881"/>
      <c r="AW227" s="1881"/>
      <c r="AX227" s="1881"/>
      <c r="AY227" s="1881"/>
      <c r="AZ227" s="1881"/>
      <c r="BA227" s="1881"/>
      <c r="BB227" s="1881"/>
      <c r="BC227" s="1881"/>
      <c r="BD227" s="1881"/>
      <c r="BE227" s="1881"/>
      <c r="BF227" s="1881"/>
      <c r="BG227" s="1881"/>
    </row>
    <row r="228" spans="1:59">
      <c r="A228" s="1881"/>
      <c r="B228" s="1881"/>
      <c r="C228" s="1881"/>
      <c r="D228" s="1881"/>
      <c r="E228" s="1881"/>
      <c r="F228" s="1881"/>
      <c r="G228" s="1881"/>
      <c r="H228" s="1881"/>
      <c r="I228" s="1881"/>
      <c r="J228" s="1881"/>
      <c r="K228" s="1881"/>
      <c r="L228" s="1881"/>
      <c r="M228" s="1881"/>
      <c r="N228" s="1881"/>
      <c r="O228" s="1881"/>
      <c r="P228" s="1881"/>
      <c r="Q228" s="1881"/>
      <c r="R228" s="1881"/>
      <c r="S228" s="1881"/>
      <c r="T228" s="1881"/>
      <c r="U228" s="1881"/>
      <c r="V228" s="1881"/>
      <c r="W228" s="1881"/>
      <c r="X228" s="1881"/>
      <c r="Y228" s="1881"/>
      <c r="Z228" s="1881"/>
      <c r="AA228" s="1881"/>
      <c r="AB228" s="1881"/>
      <c r="AC228" s="1881"/>
      <c r="AD228" s="1881"/>
      <c r="AE228" s="1881"/>
      <c r="AF228" s="1881"/>
      <c r="AG228" s="1881"/>
      <c r="AH228" s="1881"/>
      <c r="AI228" s="1881"/>
      <c r="AJ228" s="1881"/>
      <c r="AK228" s="1881"/>
      <c r="AL228" s="1881"/>
      <c r="AM228" s="1881"/>
      <c r="AN228" s="1881"/>
      <c r="AO228" s="1881"/>
      <c r="AP228" s="1881"/>
      <c r="AQ228" s="1881"/>
      <c r="AR228" s="1881"/>
      <c r="AS228" s="1881"/>
      <c r="AT228" s="1881"/>
      <c r="AU228" s="1881"/>
      <c r="AV228" s="1881"/>
      <c r="AW228" s="1881"/>
      <c r="AX228" s="1881"/>
      <c r="AY228" s="1881"/>
      <c r="AZ228" s="1881"/>
      <c r="BA228" s="1881"/>
      <c r="BB228" s="1881"/>
      <c r="BC228" s="1881"/>
      <c r="BD228" s="1881"/>
      <c r="BE228" s="1881"/>
      <c r="BF228" s="1881"/>
      <c r="BG228" s="1881"/>
    </row>
    <row r="229" spans="1:59">
      <c r="A229" s="1881"/>
      <c r="B229" s="1881"/>
      <c r="C229" s="1881"/>
      <c r="D229" s="1881"/>
      <c r="E229" s="1881"/>
      <c r="F229" s="1881"/>
      <c r="G229" s="1881"/>
      <c r="H229" s="1881"/>
      <c r="I229" s="1881"/>
      <c r="J229" s="1881"/>
      <c r="K229" s="1881"/>
      <c r="L229" s="1881"/>
      <c r="M229" s="1881"/>
      <c r="N229" s="1881"/>
      <c r="O229" s="1881"/>
      <c r="P229" s="1881"/>
      <c r="Q229" s="1881"/>
      <c r="R229" s="1881"/>
      <c r="S229" s="1881"/>
      <c r="T229" s="1881"/>
      <c r="U229" s="1881"/>
      <c r="V229" s="1881"/>
      <c r="W229" s="1881"/>
      <c r="X229" s="1881"/>
      <c r="Y229" s="1881"/>
      <c r="Z229" s="1881"/>
      <c r="AA229" s="1881"/>
      <c r="AB229" s="1881"/>
      <c r="AC229" s="1881"/>
      <c r="AD229" s="1881"/>
      <c r="AE229" s="1881"/>
      <c r="AF229" s="1881"/>
      <c r="AG229" s="1881"/>
      <c r="AH229" s="1881"/>
      <c r="AI229" s="1881"/>
      <c r="AJ229" s="1881"/>
      <c r="AK229" s="1881"/>
      <c r="AL229" s="1881"/>
      <c r="AM229" s="1881"/>
      <c r="AN229" s="1881"/>
      <c r="AO229" s="1881"/>
      <c r="AP229" s="1881"/>
      <c r="AQ229" s="1881"/>
      <c r="AR229" s="1881"/>
      <c r="AS229" s="1881"/>
      <c r="AT229" s="1881"/>
      <c r="AU229" s="1881"/>
      <c r="AV229" s="1881"/>
      <c r="AW229" s="1881"/>
      <c r="AX229" s="1881"/>
      <c r="AY229" s="1881"/>
      <c r="AZ229" s="1881"/>
      <c r="BA229" s="1881"/>
      <c r="BB229" s="1881"/>
      <c r="BC229" s="1881"/>
      <c r="BD229" s="1881"/>
      <c r="BE229" s="1881"/>
      <c r="BF229" s="1881"/>
      <c r="BG229" s="1881"/>
    </row>
    <row r="230" spans="1:59">
      <c r="A230" s="1881"/>
      <c r="B230" s="1881"/>
      <c r="C230" s="1881"/>
      <c r="D230" s="1881"/>
      <c r="E230" s="1881"/>
      <c r="F230" s="1881"/>
      <c r="G230" s="1881"/>
      <c r="H230" s="1881"/>
      <c r="I230" s="1881"/>
      <c r="J230" s="1881"/>
      <c r="K230" s="1881"/>
      <c r="L230" s="1881"/>
      <c r="M230" s="1881"/>
      <c r="N230" s="1881"/>
      <c r="O230" s="1881"/>
      <c r="P230" s="1881"/>
      <c r="Q230" s="1881"/>
      <c r="R230" s="1881"/>
      <c r="S230" s="1881"/>
      <c r="T230" s="1881"/>
      <c r="U230" s="1881"/>
      <c r="V230" s="1881"/>
      <c r="W230" s="1881"/>
      <c r="X230" s="1881"/>
      <c r="Y230" s="1881"/>
      <c r="Z230" s="1881"/>
      <c r="AA230" s="1881"/>
      <c r="AB230" s="1881"/>
      <c r="AC230" s="1881"/>
      <c r="AD230" s="1881"/>
      <c r="AE230" s="1881"/>
      <c r="AF230" s="1881"/>
      <c r="AG230" s="1881"/>
      <c r="AH230" s="1881"/>
      <c r="AI230" s="1881"/>
      <c r="AJ230" s="1881"/>
      <c r="AK230" s="1881"/>
      <c r="AL230" s="1881"/>
      <c r="AM230" s="1881"/>
      <c r="AN230" s="1881"/>
      <c r="AO230" s="1881"/>
      <c r="AP230" s="1881"/>
      <c r="AQ230" s="1881"/>
      <c r="AR230" s="1881"/>
      <c r="AS230" s="1881"/>
      <c r="AT230" s="1881"/>
      <c r="AU230" s="1881"/>
      <c r="AV230" s="1881"/>
      <c r="AW230" s="1881"/>
      <c r="AX230" s="1881"/>
      <c r="AY230" s="1881"/>
      <c r="AZ230" s="1881"/>
      <c r="BA230" s="1881"/>
      <c r="BB230" s="1881"/>
      <c r="BC230" s="1881"/>
      <c r="BD230" s="1881"/>
      <c r="BE230" s="1881"/>
      <c r="BF230" s="1881"/>
      <c r="BG230" s="1881"/>
    </row>
    <row r="231" spans="1:59">
      <c r="A231" s="1881"/>
      <c r="B231" s="1881"/>
      <c r="C231" s="1881"/>
      <c r="D231" s="1881"/>
      <c r="E231" s="1881"/>
      <c r="F231" s="1881"/>
      <c r="G231" s="1881"/>
      <c r="H231" s="1881"/>
      <c r="I231" s="1881"/>
      <c r="J231" s="1881"/>
      <c r="K231" s="1881"/>
      <c r="L231" s="1881"/>
      <c r="M231" s="1881"/>
      <c r="N231" s="1881"/>
      <c r="O231" s="1881"/>
      <c r="P231" s="1881"/>
      <c r="Q231" s="1881"/>
      <c r="R231" s="1881"/>
      <c r="S231" s="1881"/>
      <c r="T231" s="1881"/>
      <c r="U231" s="1881"/>
      <c r="V231" s="1881"/>
      <c r="W231" s="1881"/>
      <c r="X231" s="1881"/>
      <c r="Y231" s="1881"/>
      <c r="Z231" s="1881"/>
      <c r="AA231" s="1881"/>
      <c r="AB231" s="1881"/>
      <c r="AC231" s="1881"/>
      <c r="AD231" s="1881"/>
      <c r="AE231" s="1881"/>
      <c r="AF231" s="1881"/>
      <c r="AG231" s="1881"/>
      <c r="AH231" s="1881"/>
      <c r="AI231" s="1881"/>
      <c r="AJ231" s="1881"/>
      <c r="AK231" s="1881"/>
      <c r="AL231" s="1881"/>
      <c r="AM231" s="1881"/>
      <c r="AN231" s="1881"/>
      <c r="AO231" s="1881"/>
      <c r="AP231" s="1881"/>
      <c r="AQ231" s="1881"/>
      <c r="AR231" s="1881"/>
      <c r="AS231" s="1881"/>
      <c r="AT231" s="1881"/>
      <c r="AU231" s="1881"/>
      <c r="AV231" s="1881"/>
      <c r="AW231" s="1881"/>
      <c r="AX231" s="1881"/>
      <c r="AY231" s="1881"/>
      <c r="AZ231" s="1881"/>
      <c r="BA231" s="1881"/>
      <c r="BB231" s="1881"/>
      <c r="BC231" s="1881"/>
      <c r="BD231" s="1881"/>
      <c r="BE231" s="1881"/>
      <c r="BF231" s="1881"/>
      <c r="BG231" s="1881"/>
    </row>
    <row r="232" spans="1:59">
      <c r="A232" s="1881"/>
      <c r="B232" s="1881"/>
      <c r="C232" s="1881"/>
      <c r="D232" s="1881"/>
      <c r="E232" s="1881"/>
      <c r="F232" s="1881"/>
      <c r="G232" s="1881"/>
      <c r="H232" s="1881"/>
      <c r="I232" s="1881"/>
      <c r="J232" s="1881"/>
      <c r="K232" s="1881"/>
      <c r="L232" s="1881"/>
      <c r="M232" s="1881"/>
      <c r="N232" s="1881"/>
      <c r="O232" s="1881"/>
      <c r="P232" s="1881"/>
      <c r="Q232" s="1881"/>
      <c r="R232" s="1881"/>
      <c r="S232" s="1881"/>
      <c r="T232" s="1881"/>
      <c r="U232" s="1881"/>
      <c r="V232" s="1881"/>
      <c r="W232" s="1881"/>
      <c r="X232" s="1881"/>
      <c r="Y232" s="1881"/>
      <c r="Z232" s="1881"/>
      <c r="AA232" s="1881"/>
      <c r="AB232" s="1881"/>
      <c r="AC232" s="1881"/>
      <c r="AD232" s="1881"/>
      <c r="AE232" s="1881"/>
      <c r="AF232" s="1881"/>
      <c r="AG232" s="1881"/>
      <c r="AH232" s="1881"/>
      <c r="AI232" s="1881"/>
      <c r="AJ232" s="1881"/>
      <c r="AK232" s="1881"/>
      <c r="AL232" s="1881"/>
      <c r="AM232" s="1881"/>
      <c r="AN232" s="1881"/>
      <c r="AO232" s="1881"/>
      <c r="AP232" s="1881"/>
      <c r="AQ232" s="1881"/>
      <c r="AR232" s="1881"/>
      <c r="AS232" s="1881"/>
      <c r="AT232" s="1881"/>
      <c r="AU232" s="1881"/>
      <c r="AV232" s="1881"/>
      <c r="AW232" s="1881"/>
      <c r="AX232" s="1881"/>
      <c r="AY232" s="1881"/>
      <c r="AZ232" s="1881"/>
      <c r="BA232" s="1881"/>
      <c r="BB232" s="1881"/>
      <c r="BC232" s="1881"/>
      <c r="BD232" s="1881"/>
      <c r="BE232" s="1881"/>
      <c r="BF232" s="1881"/>
      <c r="BG232" s="1881"/>
    </row>
    <row r="233" spans="1:59">
      <c r="A233" s="1881"/>
      <c r="B233" s="1881"/>
      <c r="C233" s="1881"/>
      <c r="D233" s="1881"/>
      <c r="E233" s="1881"/>
      <c r="F233" s="1881"/>
      <c r="G233" s="1881"/>
      <c r="H233" s="1881"/>
      <c r="I233" s="1881"/>
      <c r="J233" s="1881"/>
      <c r="K233" s="1881"/>
      <c r="L233" s="1881"/>
      <c r="M233" s="1881"/>
      <c r="N233" s="1881"/>
      <c r="O233" s="1881"/>
      <c r="P233" s="1881"/>
      <c r="Q233" s="1881"/>
      <c r="R233" s="1881"/>
      <c r="S233" s="1881"/>
      <c r="T233" s="1881"/>
      <c r="U233" s="1881"/>
      <c r="V233" s="1881"/>
      <c r="W233" s="1881"/>
      <c r="X233" s="1881"/>
      <c r="Y233" s="1881"/>
      <c r="Z233" s="1881"/>
      <c r="AA233" s="1881"/>
      <c r="AB233" s="1881"/>
      <c r="AC233" s="1881"/>
      <c r="AD233" s="1881"/>
      <c r="AE233" s="1881"/>
      <c r="AF233" s="1881"/>
      <c r="AG233" s="1881"/>
      <c r="AH233" s="1881"/>
      <c r="AI233" s="1881"/>
      <c r="AJ233" s="1881"/>
      <c r="AK233" s="1881"/>
      <c r="AL233" s="1881"/>
      <c r="AM233" s="1881"/>
      <c r="AN233" s="1881"/>
      <c r="AO233" s="1881"/>
      <c r="AP233" s="1881"/>
      <c r="AQ233" s="1881"/>
      <c r="AR233" s="1881"/>
      <c r="AS233" s="1881"/>
      <c r="AT233" s="1881"/>
      <c r="AU233" s="1881"/>
      <c r="AV233" s="1881"/>
      <c r="AW233" s="1881"/>
      <c r="AX233" s="1881"/>
      <c r="AY233" s="1881"/>
      <c r="AZ233" s="1881"/>
      <c r="BA233" s="1881"/>
      <c r="BB233" s="1881"/>
      <c r="BC233" s="1881"/>
      <c r="BD233" s="1881"/>
      <c r="BE233" s="1881"/>
      <c r="BF233" s="1881"/>
      <c r="BG233" s="1881"/>
    </row>
    <row r="234" spans="1:59">
      <c r="A234" s="1881"/>
      <c r="B234" s="1881"/>
      <c r="C234" s="1881"/>
      <c r="D234" s="1881"/>
      <c r="E234" s="1881"/>
      <c r="F234" s="1881"/>
      <c r="G234" s="1881"/>
      <c r="H234" s="1881"/>
      <c r="I234" s="1881"/>
      <c r="J234" s="1881"/>
      <c r="K234" s="1881"/>
      <c r="L234" s="1881"/>
      <c r="M234" s="1881"/>
      <c r="N234" s="1881"/>
      <c r="O234" s="1881"/>
      <c r="P234" s="1881"/>
      <c r="Q234" s="1881"/>
      <c r="R234" s="1881"/>
      <c r="S234" s="1881"/>
      <c r="T234" s="1881"/>
      <c r="U234" s="1881"/>
      <c r="V234" s="1881"/>
      <c r="W234" s="1881"/>
      <c r="X234" s="1881"/>
      <c r="Y234" s="1881"/>
      <c r="Z234" s="1881"/>
      <c r="AA234" s="1881"/>
      <c r="AB234" s="1881"/>
      <c r="AC234" s="1881"/>
      <c r="AD234" s="1881"/>
      <c r="AE234" s="1881"/>
      <c r="AF234" s="1881"/>
      <c r="AG234" s="1881"/>
      <c r="AH234" s="1881"/>
      <c r="AI234" s="1881"/>
      <c r="AJ234" s="1881"/>
      <c r="AK234" s="1881"/>
      <c r="AL234" s="1881"/>
      <c r="AM234" s="1881"/>
      <c r="AN234" s="1881"/>
      <c r="AO234" s="1881"/>
      <c r="AP234" s="1881"/>
      <c r="AQ234" s="1881"/>
      <c r="AR234" s="1881"/>
      <c r="AS234" s="1881"/>
      <c r="AT234" s="1881"/>
      <c r="AU234" s="1881"/>
      <c r="AV234" s="1881"/>
      <c r="AW234" s="1881"/>
      <c r="AX234" s="1881"/>
      <c r="AY234" s="1881"/>
      <c r="AZ234" s="1881"/>
      <c r="BA234" s="1881"/>
      <c r="BB234" s="1881"/>
      <c r="BC234" s="1881"/>
      <c r="BD234" s="1881"/>
      <c r="BE234" s="1881"/>
      <c r="BF234" s="1881"/>
      <c r="BG234" s="1881"/>
    </row>
    <row r="235" spans="1:59">
      <c r="A235" s="1881"/>
      <c r="B235" s="1881"/>
      <c r="C235" s="1881"/>
      <c r="D235" s="1881"/>
      <c r="E235" s="1881"/>
      <c r="F235" s="1881"/>
      <c r="G235" s="1881"/>
      <c r="H235" s="1881"/>
      <c r="I235" s="1881"/>
      <c r="J235" s="1881"/>
      <c r="K235" s="1881"/>
      <c r="L235" s="1881"/>
      <c r="M235" s="1881"/>
      <c r="N235" s="1881"/>
      <c r="O235" s="1881"/>
      <c r="P235" s="1881"/>
      <c r="Q235" s="1881"/>
      <c r="R235" s="1881"/>
      <c r="S235" s="1881"/>
      <c r="T235" s="1881"/>
      <c r="U235" s="1881"/>
      <c r="V235" s="1881"/>
      <c r="W235" s="1881"/>
      <c r="X235" s="1881"/>
      <c r="Y235" s="1881"/>
      <c r="Z235" s="1881"/>
      <c r="AA235" s="1881"/>
      <c r="AB235" s="1881"/>
      <c r="AC235" s="1881"/>
      <c r="AD235" s="1881"/>
      <c r="AE235" s="1881"/>
      <c r="AF235" s="1881"/>
      <c r="AG235" s="1881"/>
      <c r="AH235" s="1881"/>
      <c r="AI235" s="1881"/>
      <c r="AJ235" s="1881"/>
      <c r="AK235" s="1881"/>
      <c r="AL235" s="1881"/>
      <c r="AM235" s="1881"/>
      <c r="AN235" s="1881"/>
      <c r="AO235" s="1881"/>
      <c r="AP235" s="1881"/>
      <c r="AQ235" s="1881"/>
      <c r="AR235" s="1881"/>
      <c r="AS235" s="1881"/>
      <c r="AT235" s="1881"/>
      <c r="AU235" s="1881"/>
      <c r="AV235" s="1881"/>
      <c r="AW235" s="1881"/>
      <c r="AX235" s="1881"/>
      <c r="AY235" s="1881"/>
      <c r="AZ235" s="1881"/>
      <c r="BA235" s="1881"/>
      <c r="BB235" s="1881"/>
      <c r="BC235" s="1881"/>
      <c r="BD235" s="1881"/>
      <c r="BE235" s="1881"/>
      <c r="BF235" s="1881"/>
      <c r="BG235" s="1881"/>
    </row>
    <row r="236" spans="1:59">
      <c r="A236" s="1881"/>
      <c r="B236" s="1881"/>
      <c r="C236" s="1881"/>
      <c r="D236" s="1881"/>
      <c r="E236" s="1881"/>
      <c r="F236" s="1881"/>
      <c r="G236" s="1881"/>
      <c r="H236" s="1881"/>
      <c r="I236" s="1881"/>
      <c r="J236" s="1881"/>
      <c r="K236" s="1881"/>
      <c r="L236" s="1881"/>
      <c r="M236" s="1881"/>
      <c r="N236" s="1881"/>
      <c r="O236" s="1881"/>
      <c r="P236" s="1881"/>
      <c r="Q236" s="1881"/>
      <c r="R236" s="1881"/>
      <c r="S236" s="1881"/>
      <c r="T236" s="1881"/>
      <c r="U236" s="1881"/>
      <c r="V236" s="1881"/>
      <c r="W236" s="1881"/>
      <c r="X236" s="1881"/>
      <c r="Y236" s="1881"/>
      <c r="Z236" s="1881"/>
      <c r="AA236" s="1881"/>
      <c r="AB236" s="1881"/>
      <c r="AC236" s="1881"/>
      <c r="AD236" s="1881"/>
      <c r="AE236" s="1881"/>
      <c r="AF236" s="1881"/>
      <c r="AG236" s="1881"/>
      <c r="AH236" s="1881"/>
      <c r="AI236" s="1881"/>
      <c r="AJ236" s="1881"/>
      <c r="AK236" s="1881"/>
      <c r="AL236" s="1881"/>
      <c r="AM236" s="1881"/>
      <c r="AN236" s="1881"/>
      <c r="AO236" s="1881"/>
      <c r="AP236" s="1881"/>
      <c r="AQ236" s="1881"/>
      <c r="AR236" s="1881"/>
      <c r="AS236" s="1881"/>
      <c r="AT236" s="1881"/>
      <c r="AU236" s="1881"/>
      <c r="AV236" s="1881"/>
      <c r="AW236" s="1881"/>
      <c r="AX236" s="1881"/>
      <c r="AY236" s="1881"/>
      <c r="AZ236" s="1881"/>
      <c r="BA236" s="1881"/>
      <c r="BB236" s="1881"/>
      <c r="BC236" s="1881"/>
      <c r="BD236" s="1881"/>
      <c r="BE236" s="1881"/>
      <c r="BF236" s="1881"/>
      <c r="BG236" s="1881"/>
    </row>
    <row r="237" spans="1:59">
      <c r="A237" s="1881"/>
      <c r="B237" s="1881"/>
      <c r="C237" s="1881"/>
      <c r="D237" s="1881"/>
      <c r="E237" s="1881"/>
      <c r="F237" s="1881"/>
      <c r="G237" s="1881"/>
      <c r="H237" s="1881"/>
      <c r="I237" s="1881"/>
      <c r="J237" s="1881"/>
      <c r="K237" s="1881"/>
      <c r="L237" s="1881"/>
      <c r="M237" s="1881"/>
      <c r="N237" s="1881"/>
      <c r="O237" s="1881"/>
      <c r="P237" s="1881"/>
      <c r="Q237" s="1881"/>
      <c r="R237" s="1881"/>
      <c r="S237" s="1881"/>
      <c r="T237" s="1881"/>
      <c r="U237" s="1881"/>
      <c r="V237" s="1881"/>
      <c r="W237" s="1881"/>
      <c r="X237" s="1881"/>
      <c r="Y237" s="1881"/>
      <c r="Z237" s="1881"/>
      <c r="AA237" s="1881"/>
      <c r="AB237" s="1881"/>
      <c r="AC237" s="1881"/>
      <c r="AD237" s="1881"/>
      <c r="AE237" s="1881"/>
      <c r="AF237" s="1881"/>
      <c r="AG237" s="1881"/>
      <c r="AH237" s="1881"/>
      <c r="AI237" s="1881"/>
      <c r="AJ237" s="1881"/>
      <c r="AK237" s="1881"/>
      <c r="AL237" s="1881"/>
      <c r="AM237" s="1881"/>
      <c r="AN237" s="1881"/>
      <c r="AO237" s="1881"/>
      <c r="AP237" s="1881"/>
      <c r="AQ237" s="1881"/>
      <c r="AR237" s="1881"/>
      <c r="AS237" s="1881"/>
      <c r="AT237" s="1881"/>
      <c r="AU237" s="1881"/>
      <c r="AV237" s="1881"/>
      <c r="AW237" s="1881"/>
      <c r="AX237" s="1881"/>
      <c r="AY237" s="1881"/>
      <c r="AZ237" s="1881"/>
      <c r="BA237" s="1881"/>
      <c r="BB237" s="1881"/>
      <c r="BC237" s="1881"/>
      <c r="BD237" s="1881"/>
      <c r="BE237" s="1881"/>
      <c r="BF237" s="1881"/>
      <c r="BG237" s="1881"/>
    </row>
    <row r="238" spans="1:59">
      <c r="A238" s="1881"/>
      <c r="B238" s="1881"/>
      <c r="C238" s="1881"/>
      <c r="D238" s="1881"/>
      <c r="E238" s="1881"/>
      <c r="F238" s="1881"/>
      <c r="G238" s="1881"/>
      <c r="H238" s="1881"/>
      <c r="I238" s="1881"/>
      <c r="J238" s="1881"/>
      <c r="K238" s="1881"/>
      <c r="L238" s="1881"/>
      <c r="M238" s="1881"/>
      <c r="N238" s="1881"/>
      <c r="O238" s="1881"/>
      <c r="P238" s="1881"/>
      <c r="Q238" s="1881"/>
      <c r="R238" s="1881"/>
      <c r="S238" s="1881"/>
      <c r="T238" s="1881"/>
      <c r="U238" s="1881"/>
      <c r="V238" s="1881"/>
      <c r="W238" s="1881"/>
      <c r="X238" s="1881"/>
      <c r="Y238" s="1881"/>
      <c r="Z238" s="1881"/>
      <c r="AA238" s="1881"/>
      <c r="AB238" s="1881"/>
      <c r="AC238" s="1881"/>
      <c r="AD238" s="1881"/>
      <c r="AE238" s="1881"/>
      <c r="AF238" s="1881"/>
      <c r="AG238" s="1881"/>
      <c r="AH238" s="1881"/>
      <c r="AI238" s="1881"/>
      <c r="AJ238" s="1881"/>
      <c r="AK238" s="1881"/>
      <c r="AL238" s="1881"/>
      <c r="AM238" s="1881"/>
      <c r="AN238" s="1881"/>
      <c r="AO238" s="1881"/>
      <c r="AP238" s="1881"/>
      <c r="AQ238" s="1881"/>
      <c r="AR238" s="1881"/>
      <c r="AS238" s="1881"/>
      <c r="AT238" s="1881"/>
      <c r="AU238" s="1881"/>
      <c r="AV238" s="1881"/>
      <c r="AW238" s="1881"/>
      <c r="AX238" s="1881"/>
      <c r="AY238" s="1881"/>
      <c r="AZ238" s="1881"/>
      <c r="BA238" s="1881"/>
      <c r="BB238" s="1881"/>
      <c r="BC238" s="1881"/>
      <c r="BD238" s="1881"/>
      <c r="BE238" s="1881"/>
      <c r="BF238" s="1881"/>
      <c r="BG238" s="1881"/>
    </row>
    <row r="239" spans="1:59">
      <c r="A239" s="1881"/>
      <c r="B239" s="1881"/>
      <c r="C239" s="1881"/>
      <c r="D239" s="1881"/>
      <c r="E239" s="1881"/>
      <c r="F239" s="1881"/>
      <c r="G239" s="1881"/>
      <c r="H239" s="1881"/>
      <c r="I239" s="1881"/>
      <c r="J239" s="1881"/>
      <c r="K239" s="1881"/>
      <c r="L239" s="1881"/>
      <c r="M239" s="1881"/>
      <c r="N239" s="1881"/>
      <c r="O239" s="1881"/>
      <c r="P239" s="1881"/>
      <c r="Q239" s="1881"/>
      <c r="R239" s="1881"/>
      <c r="S239" s="1881"/>
      <c r="T239" s="1881"/>
      <c r="U239" s="1881"/>
      <c r="V239" s="1881"/>
      <c r="W239" s="1881"/>
      <c r="X239" s="1881"/>
      <c r="Y239" s="1881"/>
      <c r="Z239" s="1881"/>
      <c r="AA239" s="1881"/>
      <c r="AB239" s="1881"/>
      <c r="AC239" s="1881"/>
      <c r="AD239" s="1881"/>
      <c r="AE239" s="1881"/>
      <c r="AF239" s="1881"/>
      <c r="AG239" s="1881"/>
      <c r="AH239" s="1881"/>
      <c r="AI239" s="1881"/>
      <c r="AJ239" s="1881"/>
      <c r="AK239" s="1881"/>
      <c r="AL239" s="1881"/>
      <c r="AM239" s="1881"/>
      <c r="AN239" s="1881"/>
      <c r="AO239" s="1881"/>
      <c r="AP239" s="1881"/>
      <c r="AQ239" s="1881"/>
      <c r="AR239" s="1881"/>
      <c r="AS239" s="1881"/>
      <c r="AT239" s="1881"/>
      <c r="AU239" s="1881"/>
      <c r="AV239" s="1881"/>
      <c r="AW239" s="1881"/>
      <c r="AX239" s="1881"/>
      <c r="AY239" s="1881"/>
      <c r="AZ239" s="1881"/>
      <c r="BA239" s="1881"/>
      <c r="BB239" s="1881"/>
      <c r="BC239" s="1881"/>
      <c r="BD239" s="1881"/>
      <c r="BE239" s="1881"/>
      <c r="BF239" s="1881"/>
      <c r="BG239" s="1881"/>
    </row>
    <row r="240" spans="1:59">
      <c r="A240" s="1881"/>
      <c r="B240" s="1881"/>
      <c r="C240" s="1881"/>
      <c r="D240" s="1881"/>
      <c r="E240" s="1881"/>
      <c r="F240" s="1881"/>
      <c r="G240" s="1881"/>
      <c r="H240" s="1881"/>
      <c r="I240" s="1881"/>
      <c r="J240" s="1881"/>
      <c r="K240" s="1881"/>
      <c r="L240" s="1881"/>
      <c r="M240" s="1881"/>
      <c r="N240" s="1881"/>
      <c r="O240" s="1881"/>
      <c r="P240" s="1881"/>
      <c r="Q240" s="1881"/>
      <c r="R240" s="1881"/>
      <c r="S240" s="1881"/>
      <c r="T240" s="1881"/>
      <c r="U240" s="1881"/>
      <c r="V240" s="1881"/>
      <c r="W240" s="1881"/>
      <c r="X240" s="1881"/>
      <c r="Y240" s="1881"/>
      <c r="Z240" s="1881"/>
      <c r="AA240" s="1881"/>
      <c r="AB240" s="1881"/>
      <c r="AC240" s="1881"/>
      <c r="AD240" s="1881"/>
      <c r="AE240" s="1881"/>
      <c r="AF240" s="1881"/>
      <c r="AG240" s="1881"/>
      <c r="AH240" s="1881"/>
      <c r="AI240" s="1881"/>
      <c r="AJ240" s="1881"/>
      <c r="AK240" s="1881"/>
      <c r="AL240" s="1881"/>
      <c r="AM240" s="1881"/>
      <c r="AN240" s="1881"/>
      <c r="AO240" s="1881"/>
      <c r="AP240" s="1881"/>
      <c r="AQ240" s="1881"/>
      <c r="AR240" s="1881"/>
      <c r="AS240" s="1881"/>
      <c r="AT240" s="1881"/>
      <c r="AU240" s="1881"/>
      <c r="AV240" s="1881"/>
      <c r="AW240" s="1881"/>
      <c r="AX240" s="1881"/>
      <c r="AY240" s="1881"/>
      <c r="AZ240" s="1881"/>
      <c r="BA240" s="1881"/>
      <c r="BB240" s="1881"/>
      <c r="BC240" s="1881"/>
      <c r="BD240" s="1881"/>
      <c r="BE240" s="1881"/>
      <c r="BF240" s="1881"/>
      <c r="BG240" s="1881"/>
    </row>
    <row r="241" spans="1:59">
      <c r="A241" s="1881"/>
      <c r="B241" s="1881"/>
      <c r="C241" s="1881"/>
      <c r="D241" s="1881"/>
      <c r="E241" s="1881"/>
      <c r="F241" s="1881"/>
      <c r="G241" s="1881"/>
      <c r="H241" s="1881"/>
      <c r="I241" s="1881"/>
      <c r="J241" s="1881"/>
      <c r="K241" s="1881"/>
      <c r="L241" s="1881"/>
      <c r="M241" s="1881"/>
      <c r="N241" s="1881"/>
      <c r="O241" s="1881"/>
      <c r="P241" s="1881"/>
      <c r="Q241" s="1881"/>
      <c r="R241" s="1881"/>
      <c r="S241" s="1881"/>
      <c r="T241" s="1881"/>
      <c r="U241" s="1881"/>
      <c r="V241" s="1881"/>
      <c r="W241" s="1881"/>
      <c r="X241" s="1881"/>
      <c r="Y241" s="1881"/>
      <c r="Z241" s="1881"/>
      <c r="AA241" s="1881"/>
      <c r="AB241" s="1881"/>
      <c r="AC241" s="1881"/>
      <c r="AD241" s="1881"/>
      <c r="AE241" s="1881"/>
      <c r="AF241" s="1881"/>
      <c r="AG241" s="1881"/>
      <c r="AH241" s="1881"/>
      <c r="AI241" s="1881"/>
      <c r="AJ241" s="1881"/>
      <c r="AK241" s="1881"/>
      <c r="AL241" s="1881"/>
      <c r="AM241" s="1881"/>
      <c r="AN241" s="1881"/>
      <c r="AO241" s="1881"/>
      <c r="AP241" s="1881"/>
      <c r="AQ241" s="1881"/>
      <c r="AR241" s="1881"/>
      <c r="AS241" s="1881"/>
      <c r="AT241" s="1881"/>
      <c r="AU241" s="1881"/>
      <c r="AV241" s="1881"/>
      <c r="AW241" s="1881"/>
      <c r="AX241" s="1881"/>
      <c r="AY241" s="1881"/>
      <c r="AZ241" s="1881"/>
      <c r="BA241" s="1881"/>
      <c r="BB241" s="1881"/>
      <c r="BC241" s="1881"/>
      <c r="BD241" s="1881"/>
      <c r="BE241" s="1881"/>
      <c r="BF241" s="1881"/>
      <c r="BG241" s="1881"/>
    </row>
    <row r="242" spans="1:59">
      <c r="A242" s="1881"/>
      <c r="B242" s="1881"/>
      <c r="C242" s="1881"/>
      <c r="D242" s="1881"/>
      <c r="E242" s="1881"/>
      <c r="F242" s="1881"/>
      <c r="G242" s="1881"/>
      <c r="H242" s="1881"/>
      <c r="I242" s="1881"/>
      <c r="J242" s="1881"/>
      <c r="K242" s="1881"/>
      <c r="L242" s="1881"/>
      <c r="M242" s="1881"/>
      <c r="N242" s="1881"/>
      <c r="O242" s="1881"/>
      <c r="P242" s="1881"/>
      <c r="Q242" s="1881"/>
      <c r="R242" s="1881"/>
      <c r="S242" s="1881"/>
      <c r="T242" s="1881"/>
      <c r="U242" s="1881"/>
      <c r="V242" s="1881"/>
      <c r="W242" s="1881"/>
      <c r="X242" s="1881"/>
      <c r="Y242" s="1881"/>
      <c r="Z242" s="1881"/>
      <c r="AA242" s="1881"/>
      <c r="AB242" s="1881"/>
      <c r="AC242" s="1881"/>
      <c r="AD242" s="1881"/>
      <c r="AE242" s="1881"/>
      <c r="AF242" s="1881"/>
      <c r="AG242" s="1881"/>
      <c r="AH242" s="1881"/>
      <c r="AI242" s="1881"/>
      <c r="AJ242" s="1881"/>
      <c r="AK242" s="1881"/>
      <c r="AL242" s="1881"/>
      <c r="AM242" s="1881"/>
      <c r="AN242" s="1881"/>
      <c r="AO242" s="1881"/>
      <c r="AP242" s="1881"/>
      <c r="AQ242" s="1881"/>
      <c r="AR242" s="1881"/>
      <c r="AS242" s="1881"/>
      <c r="AT242" s="1881"/>
      <c r="AU242" s="1881"/>
      <c r="AV242" s="1881"/>
      <c r="AW242" s="1881"/>
      <c r="AX242" s="1881"/>
      <c r="AY242" s="1881"/>
      <c r="AZ242" s="1881"/>
      <c r="BA242" s="1881"/>
      <c r="BB242" s="1881"/>
      <c r="BC242" s="1881"/>
      <c r="BD242" s="1881"/>
      <c r="BE242" s="1881"/>
      <c r="BF242" s="1881"/>
      <c r="BG242" s="1881"/>
    </row>
    <row r="243" spans="1:59">
      <c r="A243" s="1881"/>
      <c r="B243" s="1881"/>
      <c r="C243" s="1881"/>
      <c r="D243" s="1881"/>
      <c r="E243" s="1881"/>
      <c r="F243" s="1881"/>
      <c r="G243" s="1881"/>
      <c r="H243" s="1881"/>
      <c r="I243" s="1881"/>
      <c r="J243" s="1881"/>
      <c r="K243" s="1881"/>
      <c r="L243" s="1881"/>
      <c r="M243" s="1881"/>
      <c r="N243" s="1881"/>
      <c r="O243" s="1881"/>
      <c r="P243" s="1881"/>
      <c r="Q243" s="1881"/>
      <c r="R243" s="1881"/>
      <c r="S243" s="1881"/>
      <c r="T243" s="1881"/>
      <c r="U243" s="1881"/>
      <c r="V243" s="1881"/>
      <c r="W243" s="1881"/>
      <c r="X243" s="1881"/>
      <c r="Y243" s="1881"/>
      <c r="Z243" s="1881"/>
      <c r="AA243" s="1881"/>
      <c r="AB243" s="1881"/>
      <c r="AC243" s="1881"/>
      <c r="AD243" s="1881"/>
      <c r="AE243" s="1881"/>
      <c r="AF243" s="1881"/>
      <c r="AG243" s="1881"/>
      <c r="AH243" s="1881"/>
      <c r="AI243" s="1881"/>
      <c r="AJ243" s="1881"/>
      <c r="AK243" s="1881"/>
      <c r="AL243" s="1881"/>
      <c r="AM243" s="1881"/>
      <c r="AN243" s="1881"/>
      <c r="AO243" s="1881"/>
      <c r="AP243" s="1881"/>
      <c r="AQ243" s="1881"/>
      <c r="AR243" s="1881"/>
      <c r="AS243" s="1881"/>
      <c r="AT243" s="1881"/>
      <c r="AU243" s="1881"/>
      <c r="AV243" s="1881"/>
      <c r="AW243" s="1881"/>
      <c r="AX243" s="1881"/>
      <c r="AY243" s="1881"/>
      <c r="AZ243" s="1881"/>
      <c r="BA243" s="1881"/>
      <c r="BB243" s="1881"/>
      <c r="BC243" s="1881"/>
      <c r="BD243" s="1881"/>
      <c r="BE243" s="1881"/>
      <c r="BF243" s="1881"/>
      <c r="BG243" s="1881"/>
    </row>
    <row r="244" spans="1:59">
      <c r="A244" s="1881"/>
      <c r="B244" s="1881"/>
      <c r="C244" s="1881"/>
      <c r="D244" s="1881"/>
      <c r="E244" s="1881"/>
      <c r="F244" s="1881"/>
      <c r="G244" s="1881"/>
      <c r="H244" s="1881"/>
      <c r="I244" s="1881"/>
      <c r="J244" s="1881"/>
      <c r="K244" s="1881"/>
      <c r="L244" s="1881"/>
      <c r="M244" s="1881"/>
      <c r="N244" s="1881"/>
      <c r="O244" s="1881"/>
      <c r="P244" s="1881"/>
      <c r="Q244" s="1881"/>
      <c r="R244" s="1881"/>
      <c r="S244" s="1881"/>
      <c r="T244" s="1881"/>
      <c r="U244" s="1881"/>
      <c r="V244" s="1881"/>
      <c r="W244" s="1881"/>
      <c r="X244" s="1881"/>
      <c r="Y244" s="1881"/>
      <c r="Z244" s="1881"/>
      <c r="AA244" s="1881"/>
      <c r="AB244" s="1881"/>
      <c r="AC244" s="1881"/>
      <c r="AD244" s="1881"/>
      <c r="AE244" s="1881"/>
      <c r="AF244" s="1881"/>
      <c r="AG244" s="1881"/>
      <c r="AH244" s="1881"/>
      <c r="AI244" s="1881"/>
      <c r="AJ244" s="1881"/>
      <c r="AK244" s="1881"/>
      <c r="AL244" s="1881"/>
      <c r="AM244" s="1881"/>
      <c r="AN244" s="1881"/>
      <c r="AO244" s="1881"/>
      <c r="AP244" s="1881"/>
      <c r="AQ244" s="1881"/>
      <c r="AR244" s="1881"/>
      <c r="AS244" s="1881"/>
      <c r="AT244" s="1881"/>
      <c r="AU244" s="1881"/>
      <c r="AV244" s="1881"/>
      <c r="AW244" s="1881"/>
      <c r="AX244" s="1881"/>
      <c r="AY244" s="1881"/>
      <c r="AZ244" s="1881"/>
      <c r="BA244" s="1881"/>
      <c r="BB244" s="1881"/>
      <c r="BC244" s="1881"/>
      <c r="BD244" s="1881"/>
      <c r="BE244" s="1881"/>
      <c r="BF244" s="1881"/>
      <c r="BG244" s="1881"/>
    </row>
    <row r="245" spans="1:59">
      <c r="A245" s="1881"/>
      <c r="B245" s="1881"/>
      <c r="C245" s="1881"/>
      <c r="D245" s="1881"/>
      <c r="E245" s="1881"/>
      <c r="F245" s="1881"/>
      <c r="G245" s="1881"/>
      <c r="H245" s="1881"/>
      <c r="I245" s="1881"/>
      <c r="J245" s="1881"/>
      <c r="K245" s="1881"/>
      <c r="L245" s="1881"/>
      <c r="M245" s="1881"/>
      <c r="N245" s="1881"/>
      <c r="O245" s="1881"/>
      <c r="P245" s="1881"/>
      <c r="Q245" s="1881"/>
      <c r="R245" s="1881"/>
      <c r="S245" s="1881"/>
      <c r="T245" s="1881"/>
      <c r="U245" s="1881"/>
      <c r="V245" s="1881"/>
      <c r="W245" s="1881"/>
      <c r="X245" s="1881"/>
      <c r="Y245" s="1881"/>
      <c r="Z245" s="1881"/>
      <c r="AA245" s="1881"/>
      <c r="AB245" s="1881"/>
      <c r="AC245" s="1881"/>
      <c r="AD245" s="1881"/>
      <c r="AE245" s="1881"/>
      <c r="AF245" s="1881"/>
      <c r="AG245" s="1881"/>
      <c r="AH245" s="1881"/>
      <c r="AI245" s="1881"/>
      <c r="AJ245" s="1881"/>
      <c r="AK245" s="1881"/>
      <c r="AL245" s="1881"/>
      <c r="AM245" s="1881"/>
      <c r="AN245" s="1881"/>
      <c r="AO245" s="1881"/>
      <c r="AP245" s="1881"/>
      <c r="AQ245" s="1881"/>
      <c r="AR245" s="1881"/>
      <c r="AS245" s="1881"/>
      <c r="AT245" s="1881"/>
      <c r="AU245" s="1881"/>
      <c r="AV245" s="1881"/>
      <c r="AW245" s="1881"/>
      <c r="AX245" s="1881"/>
      <c r="AY245" s="1881"/>
      <c r="AZ245" s="1881"/>
      <c r="BA245" s="1881"/>
      <c r="BB245" s="1881"/>
      <c r="BC245" s="1881"/>
      <c r="BD245" s="1881"/>
      <c r="BE245" s="1881"/>
      <c r="BF245" s="1881"/>
      <c r="BG245" s="1881"/>
    </row>
    <row r="246" spans="1:59">
      <c r="A246" s="1881"/>
      <c r="B246" s="1881"/>
      <c r="C246" s="1881"/>
      <c r="D246" s="1881"/>
      <c r="E246" s="1881"/>
      <c r="F246" s="1881"/>
      <c r="G246" s="1881"/>
      <c r="H246" s="1881"/>
      <c r="I246" s="1881"/>
      <c r="J246" s="1881"/>
      <c r="K246" s="1881"/>
      <c r="L246" s="1881"/>
      <c r="M246" s="1881"/>
      <c r="N246" s="1881"/>
      <c r="O246" s="1881"/>
      <c r="P246" s="1881"/>
      <c r="Q246" s="1881"/>
      <c r="R246" s="1881"/>
      <c r="S246" s="1881"/>
      <c r="T246" s="1881"/>
      <c r="U246" s="1881"/>
      <c r="V246" s="1881"/>
      <c r="W246" s="1881"/>
      <c r="X246" s="1881"/>
      <c r="Y246" s="1881"/>
      <c r="Z246" s="1881"/>
      <c r="AA246" s="1881"/>
      <c r="AB246" s="1881"/>
      <c r="AC246" s="1881"/>
      <c r="AD246" s="1881"/>
      <c r="AE246" s="1881"/>
      <c r="AF246" s="1881"/>
      <c r="AG246" s="1881"/>
      <c r="AH246" s="1881"/>
      <c r="AI246" s="1881"/>
      <c r="AJ246" s="1881"/>
      <c r="AK246" s="1881"/>
      <c r="AL246" s="1881"/>
      <c r="AM246" s="1881"/>
      <c r="AN246" s="1881"/>
      <c r="AO246" s="1881"/>
      <c r="AP246" s="1881"/>
      <c r="AQ246" s="1881"/>
      <c r="AR246" s="1881"/>
      <c r="AS246" s="1881"/>
      <c r="AT246" s="1881"/>
      <c r="AU246" s="1881"/>
      <c r="AV246" s="1881"/>
      <c r="AW246" s="1881"/>
      <c r="AX246" s="1881"/>
      <c r="AY246" s="1881"/>
      <c r="AZ246" s="1881"/>
      <c r="BA246" s="1881"/>
      <c r="BB246" s="1881"/>
      <c r="BC246" s="1881"/>
      <c r="BD246" s="1881"/>
      <c r="BE246" s="1881"/>
      <c r="BF246" s="1881"/>
      <c r="BG246" s="1881"/>
    </row>
    <row r="247" spans="1:59">
      <c r="A247" s="1881"/>
      <c r="B247" s="1881"/>
      <c r="C247" s="1881"/>
      <c r="D247" s="1881"/>
      <c r="E247" s="1881"/>
      <c r="F247" s="1881"/>
      <c r="G247" s="1881"/>
      <c r="H247" s="1881"/>
      <c r="I247" s="1881"/>
      <c r="J247" s="1881"/>
      <c r="K247" s="1881"/>
      <c r="L247" s="1881"/>
      <c r="M247" s="1881"/>
      <c r="N247" s="1881"/>
      <c r="O247" s="1881"/>
      <c r="P247" s="1881"/>
      <c r="Q247" s="1881"/>
      <c r="R247" s="1881"/>
      <c r="S247" s="1881"/>
      <c r="T247" s="1881"/>
      <c r="U247" s="1881"/>
      <c r="V247" s="1881"/>
      <c r="W247" s="1881"/>
      <c r="X247" s="1881"/>
      <c r="Y247" s="1881"/>
      <c r="Z247" s="1881"/>
      <c r="AA247" s="1881"/>
      <c r="AB247" s="1881"/>
      <c r="AC247" s="1881"/>
      <c r="AD247" s="1881"/>
      <c r="AE247" s="1881"/>
      <c r="AF247" s="1881"/>
      <c r="AG247" s="1881"/>
      <c r="AH247" s="1881"/>
      <c r="AI247" s="1881"/>
      <c r="AJ247" s="1881"/>
      <c r="AK247" s="1881"/>
      <c r="AL247" s="1881"/>
      <c r="AM247" s="1881"/>
      <c r="AN247" s="1881"/>
      <c r="AO247" s="1881"/>
      <c r="AP247" s="1881"/>
      <c r="AQ247" s="1881"/>
      <c r="AR247" s="1881"/>
      <c r="AS247" s="1881"/>
      <c r="AT247" s="1881"/>
      <c r="AU247" s="1881"/>
      <c r="AV247" s="1881"/>
      <c r="AW247" s="1881"/>
      <c r="AX247" s="1881"/>
      <c r="AY247" s="1881"/>
      <c r="AZ247" s="1881"/>
      <c r="BA247" s="1881"/>
      <c r="BB247" s="1881"/>
      <c r="BC247" s="1881"/>
      <c r="BD247" s="1881"/>
      <c r="BE247" s="1881"/>
      <c r="BF247" s="1881"/>
      <c r="BG247" s="1881"/>
    </row>
    <row r="248" spans="1:59">
      <c r="A248" s="1881"/>
      <c r="B248" s="1881"/>
      <c r="C248" s="1881"/>
      <c r="D248" s="1881"/>
      <c r="E248" s="1881"/>
      <c r="F248" s="1881"/>
      <c r="G248" s="1881"/>
      <c r="H248" s="1881"/>
      <c r="I248" s="1881"/>
      <c r="J248" s="1881"/>
      <c r="K248" s="1881"/>
      <c r="L248" s="1881"/>
      <c r="M248" s="1881"/>
      <c r="N248" s="1881"/>
      <c r="O248" s="1881"/>
      <c r="P248" s="1881"/>
      <c r="Q248" s="1881"/>
      <c r="R248" s="1881"/>
      <c r="S248" s="1881"/>
      <c r="T248" s="1881"/>
      <c r="U248" s="1881"/>
      <c r="V248" s="1881"/>
      <c r="W248" s="1881"/>
      <c r="X248" s="1881"/>
      <c r="Y248" s="1881"/>
      <c r="Z248" s="1881"/>
      <c r="AA248" s="1881"/>
      <c r="AB248" s="1881"/>
      <c r="AC248" s="1881"/>
      <c r="AD248" s="1881"/>
      <c r="AE248" s="1881"/>
      <c r="AF248" s="1881"/>
      <c r="AG248" s="1881"/>
      <c r="AH248" s="1881"/>
      <c r="AI248" s="1881"/>
      <c r="AJ248" s="1881"/>
      <c r="AK248" s="1881"/>
      <c r="AL248" s="1881"/>
      <c r="AM248" s="1881"/>
      <c r="AN248" s="1881"/>
      <c r="AO248" s="1881"/>
      <c r="AP248" s="1881"/>
      <c r="AQ248" s="1881"/>
      <c r="AR248" s="1881"/>
      <c r="AS248" s="1881"/>
      <c r="AT248" s="1881"/>
      <c r="AU248" s="1881"/>
      <c r="AV248" s="1881"/>
      <c r="AW248" s="1881"/>
      <c r="AX248" s="1881"/>
      <c r="AY248" s="1881"/>
      <c r="AZ248" s="1881"/>
      <c r="BA248" s="1881"/>
      <c r="BB248" s="1881"/>
      <c r="BC248" s="1881"/>
      <c r="BD248" s="1881"/>
      <c r="BE248" s="1881"/>
      <c r="BF248" s="1881"/>
      <c r="BG248" s="1881"/>
    </row>
    <row r="249" spans="1:59">
      <c r="A249" s="1881"/>
      <c r="B249" s="1881"/>
      <c r="C249" s="1881"/>
      <c r="D249" s="1881"/>
      <c r="E249" s="1881"/>
      <c r="F249" s="1881"/>
      <c r="G249" s="1881"/>
      <c r="H249" s="1881"/>
      <c r="I249" s="1881"/>
      <c r="J249" s="1881"/>
      <c r="K249" s="1881"/>
      <c r="L249" s="1881"/>
      <c r="M249" s="1881"/>
      <c r="N249" s="1881"/>
      <c r="O249" s="1881"/>
      <c r="P249" s="1881"/>
      <c r="Q249" s="1881"/>
      <c r="R249" s="1881"/>
      <c r="S249" s="1881"/>
      <c r="T249" s="1881"/>
      <c r="U249" s="1881"/>
      <c r="V249" s="1881"/>
      <c r="W249" s="1881"/>
      <c r="X249" s="1881"/>
      <c r="Y249" s="1881"/>
      <c r="Z249" s="1881"/>
      <c r="AA249" s="1881"/>
      <c r="AB249" s="1881"/>
      <c r="AC249" s="1881"/>
      <c r="AD249" s="1881"/>
      <c r="AE249" s="1881"/>
      <c r="AF249" s="1881"/>
      <c r="AG249" s="1881"/>
      <c r="AH249" s="1881"/>
      <c r="AI249" s="1881"/>
      <c r="AJ249" s="1881"/>
      <c r="AK249" s="1881"/>
      <c r="AL249" s="1881"/>
      <c r="AM249" s="1881"/>
      <c r="AN249" s="1881"/>
      <c r="AO249" s="1881"/>
      <c r="AP249" s="1881"/>
      <c r="AQ249" s="1881"/>
      <c r="AR249" s="1881"/>
      <c r="AS249" s="1881"/>
      <c r="AT249" s="1881"/>
      <c r="AU249" s="1881"/>
      <c r="AV249" s="1881"/>
      <c r="AW249" s="1881"/>
      <c r="AX249" s="1881"/>
      <c r="AY249" s="1881"/>
      <c r="AZ249" s="1881"/>
      <c r="BA249" s="1881"/>
      <c r="BB249" s="1881"/>
      <c r="BC249" s="1881"/>
      <c r="BD249" s="1881"/>
      <c r="BE249" s="1881"/>
      <c r="BF249" s="1881"/>
      <c r="BG249" s="1881"/>
    </row>
    <row r="250" spans="1:59">
      <c r="A250" s="1881"/>
      <c r="B250" s="1881"/>
      <c r="C250" s="1881"/>
      <c r="D250" s="1881"/>
      <c r="E250" s="1881"/>
      <c r="F250" s="1881"/>
      <c r="G250" s="1881"/>
      <c r="H250" s="1881"/>
      <c r="I250" s="1881"/>
      <c r="J250" s="1881"/>
      <c r="K250" s="1881"/>
      <c r="L250" s="1881"/>
      <c r="M250" s="1881"/>
      <c r="N250" s="1881"/>
      <c r="O250" s="1881"/>
      <c r="P250" s="1881"/>
      <c r="Q250" s="1881"/>
      <c r="R250" s="1881"/>
      <c r="S250" s="1881"/>
      <c r="T250" s="1881"/>
      <c r="U250" s="1881"/>
      <c r="V250" s="1881"/>
      <c r="W250" s="1881"/>
      <c r="X250" s="1881"/>
      <c r="Y250" s="1881"/>
      <c r="Z250" s="1881"/>
      <c r="AA250" s="1881"/>
      <c r="AB250" s="1881"/>
      <c r="AC250" s="1881"/>
      <c r="AD250" s="1881"/>
      <c r="AE250" s="1881"/>
      <c r="AF250" s="1881"/>
      <c r="AG250" s="1881"/>
      <c r="AH250" s="1881"/>
      <c r="AI250" s="1881"/>
      <c r="AJ250" s="1881"/>
      <c r="AK250" s="1881"/>
      <c r="AL250" s="1881"/>
      <c r="AM250" s="1881"/>
      <c r="AN250" s="1881"/>
      <c r="AO250" s="1881"/>
      <c r="AP250" s="1881"/>
      <c r="AQ250" s="1881"/>
      <c r="AR250" s="1881"/>
      <c r="AS250" s="1881"/>
      <c r="AT250" s="1881"/>
      <c r="AU250" s="1881"/>
      <c r="AV250" s="1881"/>
      <c r="AW250" s="1881"/>
      <c r="AX250" s="1881"/>
      <c r="AY250" s="1881"/>
      <c r="AZ250" s="1881"/>
      <c r="BA250" s="1881"/>
      <c r="BB250" s="1881"/>
      <c r="BC250" s="1881"/>
      <c r="BD250" s="1881"/>
      <c r="BE250" s="1881"/>
      <c r="BF250" s="1881"/>
      <c r="BG250" s="1881"/>
    </row>
    <row r="251" spans="1:59">
      <c r="A251" s="1881"/>
      <c r="B251" s="1881"/>
      <c r="C251" s="1881"/>
      <c r="D251" s="1881"/>
      <c r="E251" s="1881"/>
      <c r="F251" s="1881"/>
      <c r="G251" s="1881"/>
      <c r="H251" s="1881"/>
      <c r="I251" s="1881"/>
      <c r="J251" s="1881"/>
      <c r="K251" s="1881"/>
      <c r="L251" s="1881"/>
      <c r="M251" s="1881"/>
      <c r="N251" s="1881"/>
      <c r="O251" s="1881"/>
      <c r="P251" s="1881"/>
      <c r="Q251" s="1881"/>
      <c r="R251" s="1881"/>
      <c r="S251" s="1881"/>
      <c r="T251" s="1881"/>
      <c r="U251" s="1881"/>
      <c r="V251" s="1881"/>
      <c r="W251" s="1881"/>
      <c r="X251" s="1881"/>
      <c r="Y251" s="1881"/>
      <c r="Z251" s="1881"/>
      <c r="AA251" s="1881"/>
      <c r="AB251" s="1881"/>
      <c r="AC251" s="1881"/>
      <c r="AD251" s="1881"/>
      <c r="AE251" s="1881"/>
      <c r="AF251" s="1881"/>
      <c r="AG251" s="1881"/>
      <c r="AH251" s="1881"/>
      <c r="AI251" s="1881"/>
      <c r="AJ251" s="1881"/>
      <c r="AK251" s="1881"/>
      <c r="AL251" s="1881"/>
      <c r="AM251" s="1881"/>
      <c r="AN251" s="1881"/>
      <c r="AO251" s="1881"/>
      <c r="AP251" s="1881"/>
      <c r="AQ251" s="1881"/>
      <c r="AR251" s="1881"/>
      <c r="AS251" s="1881"/>
      <c r="AT251" s="1881"/>
      <c r="AU251" s="1881"/>
      <c r="AV251" s="1881"/>
      <c r="AW251" s="1881"/>
      <c r="AX251" s="1881"/>
      <c r="AY251" s="1881"/>
      <c r="AZ251" s="1881"/>
      <c r="BA251" s="1881"/>
      <c r="BB251" s="1881"/>
      <c r="BC251" s="1881"/>
      <c r="BD251" s="1881"/>
      <c r="BE251" s="1881"/>
      <c r="BF251" s="1881"/>
      <c r="BG251" s="1881"/>
    </row>
    <row r="252" spans="1:59">
      <c r="A252" s="1881"/>
      <c r="B252" s="1881"/>
      <c r="C252" s="1881"/>
      <c r="D252" s="1881"/>
      <c r="E252" s="1881"/>
      <c r="F252" s="1881"/>
      <c r="G252" s="1881"/>
      <c r="H252" s="1881"/>
      <c r="I252" s="1881"/>
      <c r="J252" s="1881"/>
      <c r="K252" s="1881"/>
      <c r="L252" s="1881"/>
      <c r="M252" s="1881"/>
      <c r="N252" s="1881"/>
      <c r="O252" s="1881"/>
      <c r="P252" s="1881"/>
      <c r="Q252" s="1881"/>
      <c r="R252" s="1881"/>
      <c r="S252" s="1881"/>
      <c r="T252" s="1881"/>
      <c r="U252" s="1881"/>
      <c r="V252" s="1881"/>
      <c r="W252" s="1881"/>
      <c r="X252" s="1881"/>
      <c r="Y252" s="1881"/>
      <c r="Z252" s="1881"/>
      <c r="AA252" s="1881"/>
      <c r="AB252" s="1881"/>
      <c r="AC252" s="1881"/>
      <c r="AD252" s="1881"/>
      <c r="AE252" s="1881"/>
      <c r="AF252" s="1881"/>
      <c r="AG252" s="1881"/>
      <c r="AH252" s="1881"/>
      <c r="AI252" s="1881"/>
      <c r="AJ252" s="1881"/>
      <c r="AK252" s="1881"/>
      <c r="AL252" s="1881"/>
      <c r="AM252" s="1881"/>
      <c r="AN252" s="1881"/>
      <c r="AO252" s="1881"/>
      <c r="AP252" s="1881"/>
      <c r="AQ252" s="1881"/>
      <c r="AR252" s="1881"/>
      <c r="AS252" s="1881"/>
      <c r="AT252" s="1881"/>
      <c r="AU252" s="1881"/>
      <c r="AV252" s="1881"/>
      <c r="AW252" s="1881"/>
      <c r="AX252" s="1881"/>
      <c r="AY252" s="1881"/>
      <c r="AZ252" s="1881"/>
      <c r="BA252" s="1881"/>
      <c r="BB252" s="1881"/>
      <c r="BC252" s="1881"/>
      <c r="BD252" s="1881"/>
      <c r="BE252" s="1881"/>
      <c r="BF252" s="1881"/>
      <c r="BG252" s="1881"/>
    </row>
    <row r="253" spans="1:59">
      <c r="A253" s="1881"/>
      <c r="B253" s="1881"/>
      <c r="C253" s="1881"/>
      <c r="D253" s="1881"/>
      <c r="E253" s="1881"/>
      <c r="F253" s="1881"/>
      <c r="G253" s="1881"/>
      <c r="H253" s="1881"/>
      <c r="I253" s="1881"/>
      <c r="J253" s="1881"/>
      <c r="K253" s="1881"/>
      <c r="L253" s="1881"/>
      <c r="M253" s="1881"/>
      <c r="N253" s="1881"/>
      <c r="O253" s="1881"/>
      <c r="P253" s="1881"/>
      <c r="Q253" s="1881"/>
      <c r="R253" s="1881"/>
      <c r="S253" s="1881"/>
      <c r="T253" s="1881"/>
      <c r="U253" s="1881"/>
      <c r="V253" s="1881"/>
      <c r="W253" s="1881"/>
      <c r="X253" s="1881"/>
      <c r="Y253" s="1881"/>
      <c r="Z253" s="1881"/>
      <c r="AA253" s="1881"/>
      <c r="AB253" s="1881"/>
      <c r="AC253" s="1881"/>
      <c r="AD253" s="1881"/>
      <c r="AE253" s="1881"/>
      <c r="AF253" s="1881"/>
      <c r="AG253" s="1881"/>
      <c r="AH253" s="1881"/>
      <c r="AI253" s="1881"/>
      <c r="AJ253" s="1881"/>
      <c r="AK253" s="1881"/>
      <c r="AL253" s="1881"/>
      <c r="AM253" s="1881"/>
      <c r="AN253" s="1881"/>
      <c r="AO253" s="1881"/>
      <c r="AP253" s="1881"/>
      <c r="AQ253" s="1881"/>
      <c r="AR253" s="1881"/>
      <c r="AS253" s="1881"/>
      <c r="AT253" s="1881"/>
      <c r="AU253" s="1881"/>
      <c r="AV253" s="1881"/>
      <c r="AW253" s="1881"/>
      <c r="AX253" s="1881"/>
      <c r="AY253" s="1881"/>
      <c r="AZ253" s="1881"/>
      <c r="BA253" s="1881"/>
      <c r="BB253" s="1881"/>
      <c r="BC253" s="1881"/>
      <c r="BD253" s="1881"/>
      <c r="BE253" s="1881"/>
      <c r="BF253" s="1881"/>
      <c r="BG253" s="1881"/>
    </row>
    <row r="254" spans="1:59">
      <c r="A254" s="1881"/>
      <c r="B254" s="1881"/>
      <c r="C254" s="1881"/>
      <c r="D254" s="1881"/>
      <c r="E254" s="1881"/>
      <c r="F254" s="1881"/>
      <c r="G254" s="1881"/>
      <c r="H254" s="1881"/>
      <c r="I254" s="1881"/>
      <c r="J254" s="1881"/>
      <c r="K254" s="1881"/>
      <c r="L254" s="1881"/>
      <c r="M254" s="1881"/>
      <c r="N254" s="1881"/>
      <c r="O254" s="1881"/>
      <c r="P254" s="1881"/>
      <c r="Q254" s="1881"/>
      <c r="R254" s="1881"/>
      <c r="S254" s="1881"/>
      <c r="T254" s="1881"/>
      <c r="U254" s="1881"/>
      <c r="V254" s="1881"/>
      <c r="W254" s="1881"/>
      <c r="X254" s="1881"/>
      <c r="Y254" s="1881"/>
      <c r="Z254" s="1881"/>
      <c r="AA254" s="1881"/>
      <c r="AB254" s="1881"/>
      <c r="AC254" s="1881"/>
      <c r="AD254" s="1881"/>
      <c r="AE254" s="1881"/>
      <c r="AF254" s="1881"/>
      <c r="AG254" s="1881"/>
      <c r="AH254" s="1881"/>
      <c r="AI254" s="1881"/>
      <c r="AJ254" s="1881"/>
      <c r="AK254" s="1881"/>
      <c r="AL254" s="1881"/>
      <c r="AM254" s="1881"/>
      <c r="AN254" s="1881"/>
      <c r="AO254" s="1881"/>
      <c r="AP254" s="1881"/>
      <c r="AQ254" s="1881"/>
      <c r="AR254" s="1881"/>
      <c r="AS254" s="1881"/>
      <c r="AT254" s="1881"/>
      <c r="AU254" s="1881"/>
      <c r="AV254" s="1881"/>
      <c r="AW254" s="1881"/>
      <c r="AX254" s="1881"/>
      <c r="AY254" s="1881"/>
      <c r="AZ254" s="1881"/>
      <c r="BA254" s="1881"/>
      <c r="BB254" s="1881"/>
      <c r="BC254" s="1881"/>
      <c r="BD254" s="1881"/>
      <c r="BE254" s="1881"/>
      <c r="BF254" s="1881"/>
      <c r="BG254" s="1881"/>
    </row>
    <row r="255" spans="1:59">
      <c r="A255" s="1881"/>
      <c r="B255" s="1881"/>
      <c r="C255" s="1881"/>
      <c r="D255" s="1881"/>
      <c r="E255" s="1881"/>
      <c r="F255" s="1881"/>
      <c r="G255" s="1881"/>
      <c r="H255" s="1881"/>
      <c r="I255" s="1881"/>
      <c r="J255" s="1881"/>
      <c r="K255" s="1881"/>
      <c r="L255" s="1881"/>
      <c r="M255" s="1881"/>
      <c r="N255" s="1881"/>
      <c r="O255" s="1881"/>
      <c r="P255" s="1881"/>
      <c r="Q255" s="1881"/>
      <c r="R255" s="1881"/>
      <c r="S255" s="1881"/>
      <c r="T255" s="1881"/>
      <c r="U255" s="1881"/>
      <c r="V255" s="1881"/>
      <c r="W255" s="1881"/>
      <c r="X255" s="1881"/>
      <c r="Y255" s="1881"/>
      <c r="Z255" s="1881"/>
      <c r="AA255" s="1881"/>
      <c r="AB255" s="1881"/>
      <c r="AC255" s="1881"/>
      <c r="AD255" s="1881"/>
      <c r="AE255" s="1881"/>
      <c r="AF255" s="1881"/>
      <c r="AG255" s="1881"/>
      <c r="AH255" s="1881"/>
      <c r="AI255" s="1881"/>
      <c r="AJ255" s="1881"/>
      <c r="AK255" s="1881"/>
      <c r="AL255" s="1881"/>
      <c r="AM255" s="1881"/>
      <c r="AN255" s="1881"/>
      <c r="AO255" s="1881"/>
      <c r="AP255" s="1881"/>
      <c r="AQ255" s="1881"/>
      <c r="AR255" s="1881"/>
      <c r="AS255" s="1881"/>
      <c r="AT255" s="1881"/>
      <c r="AU255" s="1881"/>
      <c r="AV255" s="1881"/>
      <c r="AW255" s="1881"/>
      <c r="AX255" s="1881"/>
      <c r="AY255" s="1881"/>
      <c r="AZ255" s="1881"/>
      <c r="BA255" s="1881"/>
      <c r="BB255" s="1881"/>
      <c r="BC255" s="1881"/>
      <c r="BD255" s="1881"/>
      <c r="BE255" s="1881"/>
      <c r="BF255" s="1881"/>
      <c r="BG255" s="1881"/>
    </row>
    <row r="256" spans="1:59">
      <c r="A256" s="1881"/>
      <c r="B256" s="1881"/>
      <c r="C256" s="1881"/>
      <c r="D256" s="1881"/>
      <c r="E256" s="1881"/>
      <c r="F256" s="1881"/>
      <c r="G256" s="1881"/>
      <c r="H256" s="1881"/>
      <c r="I256" s="1881"/>
      <c r="J256" s="1881"/>
      <c r="K256" s="1881"/>
      <c r="L256" s="1881"/>
      <c r="M256" s="1881"/>
      <c r="N256" s="1881"/>
      <c r="O256" s="1881"/>
      <c r="P256" s="1881"/>
      <c r="Q256" s="1881"/>
      <c r="R256" s="1881"/>
      <c r="S256" s="1881"/>
      <c r="T256" s="1881"/>
      <c r="U256" s="1881"/>
      <c r="V256" s="1881"/>
      <c r="W256" s="1881"/>
      <c r="X256" s="1881"/>
      <c r="Y256" s="1881"/>
      <c r="Z256" s="1881"/>
      <c r="AA256" s="1881"/>
      <c r="AB256" s="1881"/>
      <c r="AC256" s="1881"/>
      <c r="AD256" s="1881"/>
      <c r="AE256" s="1881"/>
      <c r="AF256" s="1881"/>
      <c r="AG256" s="1881"/>
      <c r="AH256" s="1881"/>
      <c r="AI256" s="1881"/>
      <c r="AJ256" s="1881"/>
      <c r="AK256" s="1881"/>
      <c r="AL256" s="1881"/>
      <c r="AM256" s="1881"/>
      <c r="AN256" s="1881"/>
      <c r="AO256" s="1881"/>
      <c r="AP256" s="1881"/>
      <c r="AQ256" s="1881"/>
      <c r="AR256" s="1881"/>
      <c r="AS256" s="1881"/>
      <c r="AT256" s="1881"/>
      <c r="AU256" s="1881"/>
      <c r="AV256" s="1881"/>
      <c r="AW256" s="1881"/>
      <c r="AX256" s="1881"/>
      <c r="AY256" s="1881"/>
      <c r="AZ256" s="1881"/>
      <c r="BA256" s="1881"/>
      <c r="BB256" s="1881"/>
      <c r="BC256" s="1881"/>
      <c r="BD256" s="1881"/>
      <c r="BE256" s="1881"/>
      <c r="BF256" s="1881"/>
      <c r="BG256" s="1881"/>
    </row>
    <row r="257" spans="1:59">
      <c r="A257" s="1881"/>
      <c r="B257" s="1881"/>
      <c r="C257" s="1881"/>
      <c r="D257" s="1881"/>
      <c r="E257" s="1881"/>
      <c r="F257" s="1881"/>
      <c r="G257" s="1881"/>
      <c r="H257" s="1881"/>
      <c r="I257" s="1881"/>
      <c r="J257" s="1881"/>
      <c r="K257" s="1881"/>
      <c r="L257" s="1881"/>
      <c r="M257" s="1881"/>
      <c r="N257" s="1881"/>
      <c r="O257" s="1881"/>
      <c r="P257" s="1881"/>
      <c r="Q257" s="1881"/>
      <c r="R257" s="1881"/>
      <c r="S257" s="1881"/>
      <c r="T257" s="1881"/>
      <c r="U257" s="1881"/>
      <c r="V257" s="1881"/>
      <c r="W257" s="1881"/>
      <c r="X257" s="1881"/>
      <c r="Y257" s="1881"/>
      <c r="Z257" s="1881"/>
      <c r="AA257" s="1881"/>
      <c r="AB257" s="1881"/>
      <c r="AC257" s="1881"/>
      <c r="AD257" s="1881"/>
      <c r="AE257" s="1881"/>
      <c r="AF257" s="1881"/>
      <c r="AG257" s="1881"/>
      <c r="AH257" s="1881"/>
      <c r="AI257" s="1881"/>
      <c r="AJ257" s="1881"/>
      <c r="AK257" s="1881"/>
      <c r="AL257" s="1881"/>
      <c r="AM257" s="1881"/>
      <c r="AN257" s="1881"/>
      <c r="AO257" s="1881"/>
      <c r="AP257" s="1881"/>
      <c r="AQ257" s="1881"/>
      <c r="AR257" s="1881"/>
      <c r="AS257" s="1881"/>
      <c r="AT257" s="1881"/>
      <c r="AU257" s="1881"/>
      <c r="AV257" s="1881"/>
      <c r="AW257" s="1881"/>
      <c r="AX257" s="1881"/>
      <c r="AY257" s="1881"/>
      <c r="AZ257" s="1881"/>
      <c r="BA257" s="1881"/>
      <c r="BB257" s="1881"/>
      <c r="BC257" s="1881"/>
      <c r="BD257" s="1881"/>
      <c r="BE257" s="1881"/>
      <c r="BF257" s="1881"/>
      <c r="BG257" s="1881"/>
    </row>
    <row r="258" spans="1:59">
      <c r="A258" s="1881"/>
      <c r="B258" s="1881"/>
      <c r="C258" s="1881"/>
      <c r="D258" s="1881"/>
      <c r="E258" s="1881"/>
      <c r="F258" s="1881"/>
      <c r="G258" s="1881"/>
      <c r="H258" s="1881"/>
      <c r="I258" s="1881"/>
      <c r="J258" s="1881"/>
      <c r="K258" s="1881"/>
      <c r="L258" s="1881"/>
      <c r="M258" s="1881"/>
      <c r="N258" s="1881"/>
      <c r="O258" s="1881"/>
      <c r="P258" s="1881"/>
      <c r="Q258" s="1881"/>
      <c r="R258" s="1881"/>
      <c r="S258" s="1881"/>
      <c r="T258" s="1881"/>
      <c r="U258" s="1881"/>
      <c r="V258" s="1881"/>
      <c r="W258" s="1881"/>
      <c r="X258" s="1881"/>
      <c r="Y258" s="1881"/>
      <c r="Z258" s="1881"/>
      <c r="AA258" s="1881"/>
      <c r="AB258" s="1881"/>
      <c r="AC258" s="1881"/>
      <c r="AD258" s="1881"/>
      <c r="AE258" s="1881"/>
      <c r="AF258" s="1881"/>
      <c r="AG258" s="1881"/>
      <c r="AH258" s="1881"/>
      <c r="AI258" s="1881"/>
      <c r="AJ258" s="1881"/>
      <c r="AK258" s="1881"/>
      <c r="AL258" s="1881"/>
      <c r="AM258" s="1881"/>
      <c r="AN258" s="1881"/>
      <c r="AO258" s="1881"/>
      <c r="AP258" s="1881"/>
      <c r="AQ258" s="1881"/>
      <c r="AR258" s="1881"/>
      <c r="AS258" s="1881"/>
      <c r="AT258" s="1881"/>
      <c r="AU258" s="1881"/>
      <c r="AV258" s="1881"/>
      <c r="AW258" s="1881"/>
      <c r="AX258" s="1881"/>
      <c r="AY258" s="1881"/>
      <c r="AZ258" s="1881"/>
      <c r="BA258" s="1881"/>
      <c r="BB258" s="1881"/>
      <c r="BC258" s="1881"/>
      <c r="BD258" s="1881"/>
      <c r="BE258" s="1881"/>
      <c r="BF258" s="1881"/>
      <c r="BG258" s="1881"/>
    </row>
    <row r="259" spans="1:59">
      <c r="A259" s="1881"/>
      <c r="B259" s="1881"/>
      <c r="C259" s="1881"/>
      <c r="D259" s="1881"/>
      <c r="E259" s="1881"/>
      <c r="F259" s="1881"/>
      <c r="G259" s="1881"/>
      <c r="H259" s="1881"/>
      <c r="I259" s="1881"/>
      <c r="J259" s="1881"/>
      <c r="K259" s="1881"/>
      <c r="L259" s="1881"/>
      <c r="M259" s="1881"/>
      <c r="N259" s="1881"/>
      <c r="O259" s="1881"/>
      <c r="P259" s="1881"/>
      <c r="Q259" s="1881"/>
      <c r="R259" s="1881"/>
      <c r="S259" s="1881"/>
      <c r="T259" s="1881"/>
      <c r="U259" s="1881"/>
      <c r="V259" s="1881"/>
      <c r="W259" s="1881"/>
      <c r="X259" s="1881"/>
      <c r="Y259" s="1881"/>
      <c r="Z259" s="1881"/>
      <c r="AA259" s="1881"/>
      <c r="AB259" s="1881"/>
      <c r="AC259" s="1881"/>
      <c r="AD259" s="1881"/>
      <c r="AE259" s="1881"/>
      <c r="AF259" s="1881"/>
      <c r="AG259" s="1881"/>
      <c r="AH259" s="1881"/>
      <c r="AI259" s="1881"/>
      <c r="AJ259" s="1881"/>
      <c r="AK259" s="1881"/>
      <c r="AL259" s="1881"/>
      <c r="AM259" s="1881"/>
      <c r="AN259" s="1881"/>
      <c r="AO259" s="1881"/>
      <c r="AP259" s="1881"/>
      <c r="AQ259" s="1881"/>
      <c r="AR259" s="1881"/>
      <c r="AS259" s="1881"/>
      <c r="AT259" s="1881"/>
      <c r="AU259" s="1881"/>
      <c r="AV259" s="1881"/>
      <c r="AW259" s="1881"/>
      <c r="AX259" s="1881"/>
      <c r="AY259" s="1881"/>
      <c r="AZ259" s="1881"/>
      <c r="BA259" s="1881"/>
      <c r="BB259" s="1881"/>
      <c r="BC259" s="1881"/>
      <c r="BD259" s="1881"/>
      <c r="BE259" s="1881"/>
      <c r="BF259" s="1881"/>
      <c r="BG259" s="1881"/>
    </row>
    <row r="260" spans="1:59">
      <c r="A260" s="1881"/>
      <c r="B260" s="1881"/>
      <c r="C260" s="1881"/>
      <c r="D260" s="1881"/>
      <c r="E260" s="1881"/>
      <c r="F260" s="1881"/>
      <c r="G260" s="1881"/>
      <c r="H260" s="1881"/>
      <c r="I260" s="1881"/>
      <c r="J260" s="1881"/>
      <c r="K260" s="1881"/>
      <c r="L260" s="1881"/>
      <c r="M260" s="1881"/>
      <c r="N260" s="1881"/>
      <c r="O260" s="1881"/>
      <c r="P260" s="1881"/>
      <c r="Q260" s="1881"/>
      <c r="R260" s="1881"/>
      <c r="S260" s="1881"/>
      <c r="T260" s="1881"/>
      <c r="U260" s="1881"/>
      <c r="V260" s="1881"/>
      <c r="W260" s="1881"/>
      <c r="X260" s="1881"/>
      <c r="Y260" s="1881"/>
      <c r="Z260" s="1881"/>
      <c r="AA260" s="1881"/>
      <c r="AB260" s="1881"/>
      <c r="AC260" s="1881"/>
      <c r="AD260" s="1881"/>
      <c r="AE260" s="1881"/>
      <c r="AF260" s="1881"/>
      <c r="AG260" s="1881"/>
      <c r="AH260" s="1881"/>
      <c r="AI260" s="1881"/>
      <c r="AJ260" s="1881"/>
      <c r="AK260" s="1881"/>
      <c r="AL260" s="1881"/>
      <c r="AM260" s="1881"/>
      <c r="AN260" s="1881"/>
      <c r="AO260" s="1881"/>
      <c r="AP260" s="1881"/>
      <c r="AQ260" s="1881"/>
      <c r="AR260" s="1881"/>
      <c r="AS260" s="1881"/>
      <c r="AT260" s="1881"/>
      <c r="AU260" s="1881"/>
      <c r="AV260" s="1881"/>
      <c r="AW260" s="1881"/>
      <c r="AX260" s="1881"/>
      <c r="AY260" s="1881"/>
      <c r="AZ260" s="1881"/>
      <c r="BA260" s="1881"/>
      <c r="BB260" s="1881"/>
      <c r="BC260" s="1881"/>
      <c r="BD260" s="1881"/>
      <c r="BE260" s="1881"/>
      <c r="BF260" s="1881"/>
      <c r="BG260" s="1881"/>
    </row>
    <row r="261" spans="1:59">
      <c r="A261" s="1881"/>
      <c r="B261" s="1881"/>
      <c r="C261" s="1881"/>
      <c r="D261" s="1881"/>
      <c r="E261" s="1881"/>
      <c r="F261" s="1881"/>
      <c r="G261" s="1881"/>
      <c r="H261" s="1881"/>
      <c r="I261" s="1881"/>
      <c r="J261" s="1881"/>
      <c r="K261" s="1881"/>
      <c r="L261" s="1881"/>
      <c r="M261" s="1881"/>
      <c r="N261" s="1881"/>
      <c r="O261" s="1881"/>
      <c r="P261" s="1881"/>
      <c r="Q261" s="1881"/>
      <c r="R261" s="1881"/>
      <c r="S261" s="1881"/>
      <c r="T261" s="1881"/>
      <c r="U261" s="1881"/>
      <c r="V261" s="1881"/>
      <c r="W261" s="1881"/>
      <c r="X261" s="1881"/>
      <c r="Y261" s="1881"/>
      <c r="Z261" s="1881"/>
      <c r="AA261" s="1881"/>
      <c r="AB261" s="1881"/>
      <c r="AC261" s="1881"/>
      <c r="AD261" s="1881"/>
      <c r="AE261" s="1881"/>
      <c r="AF261" s="1881"/>
      <c r="AG261" s="1881"/>
      <c r="AH261" s="1881"/>
      <c r="AI261" s="1881"/>
      <c r="AJ261" s="1881"/>
      <c r="AK261" s="1881"/>
      <c r="AL261" s="1881"/>
      <c r="AM261" s="1881"/>
      <c r="AN261" s="1881"/>
      <c r="AO261" s="1881"/>
      <c r="AP261" s="1881"/>
      <c r="AQ261" s="1881"/>
      <c r="AR261" s="1881"/>
      <c r="AS261" s="1881"/>
      <c r="AT261" s="1881"/>
      <c r="AU261" s="1881"/>
      <c r="AV261" s="1881"/>
      <c r="AW261" s="1881"/>
      <c r="AX261" s="1881"/>
      <c r="AY261" s="1881"/>
      <c r="AZ261" s="1881"/>
      <c r="BA261" s="1881"/>
      <c r="BB261" s="1881"/>
      <c r="BC261" s="1881"/>
      <c r="BD261" s="1881"/>
      <c r="BE261" s="1881"/>
      <c r="BF261" s="1881"/>
      <c r="BG261" s="1881"/>
    </row>
    <row r="262" spans="1:59">
      <c r="A262" s="1881"/>
      <c r="B262" s="1881"/>
      <c r="C262" s="1881"/>
      <c r="D262" s="1881"/>
      <c r="E262" s="1881"/>
      <c r="F262" s="1881"/>
      <c r="G262" s="1881"/>
      <c r="H262" s="1881"/>
      <c r="I262" s="1881"/>
      <c r="J262" s="1881"/>
      <c r="K262" s="1881"/>
      <c r="L262" s="1881"/>
      <c r="M262" s="1881"/>
      <c r="N262" s="1881"/>
      <c r="O262" s="1881"/>
      <c r="P262" s="1881"/>
      <c r="Q262" s="1881"/>
      <c r="R262" s="1881"/>
      <c r="S262" s="1881"/>
      <c r="T262" s="1881"/>
      <c r="U262" s="1881"/>
      <c r="V262" s="1881"/>
      <c r="W262" s="1881"/>
      <c r="X262" s="1881"/>
      <c r="Y262" s="1881"/>
      <c r="Z262" s="1881"/>
      <c r="AA262" s="1881"/>
      <c r="AB262" s="1881"/>
      <c r="AC262" s="1881"/>
      <c r="AD262" s="1881"/>
      <c r="AE262" s="1881"/>
      <c r="AF262" s="1881"/>
      <c r="AG262" s="1881"/>
      <c r="AH262" s="1881"/>
      <c r="AI262" s="1881"/>
      <c r="AJ262" s="1881"/>
      <c r="AK262" s="1881"/>
      <c r="AL262" s="1881"/>
      <c r="AM262" s="1881"/>
      <c r="AN262" s="1881"/>
      <c r="AO262" s="1881"/>
      <c r="AP262" s="1881"/>
      <c r="AQ262" s="1881"/>
      <c r="AR262" s="1881"/>
      <c r="AS262" s="1881"/>
      <c r="AT262" s="1881"/>
      <c r="AU262" s="1881"/>
      <c r="AV262" s="1881"/>
      <c r="AW262" s="1881"/>
      <c r="AX262" s="1881"/>
      <c r="AY262" s="1881"/>
      <c r="AZ262" s="1881"/>
      <c r="BA262" s="1881"/>
      <c r="BB262" s="1881"/>
      <c r="BC262" s="1881"/>
      <c r="BD262" s="1881"/>
      <c r="BE262" s="1881"/>
      <c r="BF262" s="1881"/>
      <c r="BG262" s="1881"/>
    </row>
    <row r="263" spans="1:59">
      <c r="A263" s="1881"/>
      <c r="B263" s="1881"/>
      <c r="C263" s="1881"/>
      <c r="D263" s="1881"/>
      <c r="E263" s="1881"/>
      <c r="F263" s="1881"/>
      <c r="G263" s="1881"/>
      <c r="H263" s="1881"/>
      <c r="I263" s="1881"/>
      <c r="J263" s="1881"/>
      <c r="K263" s="1881"/>
      <c r="L263" s="1881"/>
      <c r="M263" s="1881"/>
      <c r="N263" s="1881"/>
      <c r="O263" s="1881"/>
      <c r="P263" s="1881"/>
      <c r="Q263" s="1881"/>
      <c r="R263" s="1881"/>
      <c r="S263" s="1881"/>
      <c r="T263" s="1881"/>
      <c r="U263" s="1881"/>
      <c r="V263" s="1881"/>
      <c r="W263" s="1881"/>
      <c r="X263" s="1881"/>
      <c r="Y263" s="1881"/>
      <c r="Z263" s="1881"/>
      <c r="AA263" s="1881"/>
      <c r="AB263" s="1881"/>
      <c r="AC263" s="1881"/>
      <c r="AD263" s="1881"/>
      <c r="AE263" s="1881"/>
      <c r="AF263" s="1881"/>
      <c r="AG263" s="1881"/>
      <c r="AH263" s="1881"/>
      <c r="AI263" s="1881"/>
      <c r="AJ263" s="1881"/>
      <c r="AK263" s="1881"/>
      <c r="AL263" s="1881"/>
      <c r="AM263" s="1881"/>
      <c r="AN263" s="1881"/>
      <c r="AO263" s="1881"/>
      <c r="AP263" s="1881"/>
      <c r="AQ263" s="1881"/>
      <c r="AR263" s="1881"/>
      <c r="AS263" s="1881"/>
      <c r="AT263" s="1881"/>
      <c r="AU263" s="1881"/>
      <c r="AV263" s="1881"/>
      <c r="AW263" s="1881"/>
      <c r="AX263" s="1881"/>
      <c r="AY263" s="1881"/>
      <c r="AZ263" s="1881"/>
      <c r="BA263" s="1881"/>
      <c r="BB263" s="1881"/>
      <c r="BC263" s="1881"/>
      <c r="BD263" s="1881"/>
      <c r="BE263" s="1881"/>
      <c r="BF263" s="1881"/>
      <c r="BG263" s="1881"/>
    </row>
    <row r="264" spans="1:59">
      <c r="A264" s="1881"/>
      <c r="B264" s="1881"/>
      <c r="C264" s="1881"/>
      <c r="D264" s="1881"/>
      <c r="E264" s="1881"/>
      <c r="F264" s="1881"/>
      <c r="G264" s="1881"/>
      <c r="H264" s="1881"/>
      <c r="I264" s="1881"/>
      <c r="J264" s="1881"/>
      <c r="K264" s="1881"/>
      <c r="L264" s="1881"/>
      <c r="M264" s="1881"/>
      <c r="N264" s="1881"/>
      <c r="O264" s="1881"/>
      <c r="P264" s="1881"/>
      <c r="Q264" s="1881"/>
      <c r="R264" s="1881"/>
      <c r="S264" s="1881"/>
      <c r="T264" s="1881"/>
      <c r="U264" s="1881"/>
      <c r="V264" s="1881"/>
      <c r="W264" s="1881"/>
      <c r="X264" s="1881"/>
      <c r="Y264" s="1881"/>
      <c r="Z264" s="1881"/>
      <c r="AA264" s="1881"/>
      <c r="AB264" s="1881"/>
      <c r="AC264" s="1881"/>
      <c r="AD264" s="1881"/>
      <c r="AE264" s="1881"/>
      <c r="AF264" s="1881"/>
      <c r="AG264" s="1881"/>
      <c r="AH264" s="1881"/>
      <c r="AI264" s="1881"/>
      <c r="AJ264" s="1881"/>
      <c r="AK264" s="1881"/>
      <c r="AL264" s="1881"/>
      <c r="AM264" s="1881"/>
      <c r="AN264" s="1881"/>
      <c r="AO264" s="1881"/>
      <c r="AP264" s="1881"/>
      <c r="AQ264" s="1881"/>
      <c r="AR264" s="1881"/>
      <c r="AS264" s="1881"/>
      <c r="AT264" s="1881"/>
      <c r="AU264" s="1881"/>
      <c r="AV264" s="1881"/>
      <c r="AW264" s="1881"/>
      <c r="AX264" s="1881"/>
      <c r="AY264" s="1881"/>
      <c r="AZ264" s="1881"/>
      <c r="BA264" s="1881"/>
      <c r="BB264" s="1881"/>
      <c r="BC264" s="1881"/>
      <c r="BD264" s="1881"/>
      <c r="BE264" s="1881"/>
      <c r="BF264" s="1881"/>
      <c r="BG264" s="1881"/>
    </row>
    <row r="265" spans="1:59">
      <c r="A265" s="1881"/>
      <c r="B265" s="1881"/>
      <c r="C265" s="1881"/>
      <c r="D265" s="1881"/>
      <c r="E265" s="1881"/>
      <c r="F265" s="1881"/>
      <c r="G265" s="1881"/>
      <c r="H265" s="1881"/>
      <c r="I265" s="1881"/>
      <c r="J265" s="1881"/>
      <c r="K265" s="1881"/>
      <c r="L265" s="1881"/>
      <c r="M265" s="1881"/>
      <c r="N265" s="1881"/>
      <c r="O265" s="1881"/>
      <c r="P265" s="1881"/>
      <c r="Q265" s="1881"/>
      <c r="R265" s="1881"/>
      <c r="S265" s="1881"/>
      <c r="T265" s="1881"/>
      <c r="U265" s="1881"/>
      <c r="V265" s="1881"/>
      <c r="W265" s="1881"/>
      <c r="X265" s="1881"/>
      <c r="Y265" s="1881"/>
      <c r="Z265" s="1881"/>
      <c r="AA265" s="1881"/>
      <c r="AB265" s="1881"/>
      <c r="AC265" s="1881"/>
      <c r="AD265" s="1881"/>
      <c r="AE265" s="1881"/>
      <c r="AF265" s="1881"/>
      <c r="AG265" s="1881"/>
      <c r="AH265" s="1881"/>
      <c r="AI265" s="1881"/>
      <c r="AJ265" s="1881"/>
      <c r="AK265" s="1881"/>
      <c r="AL265" s="1881"/>
      <c r="AM265" s="1881"/>
      <c r="AN265" s="1881"/>
      <c r="AO265" s="1881"/>
      <c r="AP265" s="1881"/>
      <c r="AQ265" s="1881"/>
      <c r="AR265" s="1881"/>
      <c r="AS265" s="1881"/>
      <c r="AT265" s="1881"/>
      <c r="AU265" s="1881"/>
      <c r="AV265" s="1881"/>
      <c r="AW265" s="1881"/>
      <c r="AX265" s="1881"/>
      <c r="AY265" s="1881"/>
      <c r="AZ265" s="1881"/>
      <c r="BA265" s="1881"/>
      <c r="BB265" s="1881"/>
      <c r="BC265" s="1881"/>
      <c r="BD265" s="1881"/>
      <c r="BE265" s="1881"/>
      <c r="BF265" s="1881"/>
      <c r="BG265" s="1881"/>
    </row>
    <row r="266" spans="1:59">
      <c r="A266" s="1881"/>
      <c r="B266" s="1881"/>
      <c r="C266" s="1881"/>
      <c r="D266" s="1881"/>
      <c r="E266" s="1881"/>
      <c r="F266" s="1881"/>
      <c r="G266" s="1881"/>
      <c r="H266" s="1881"/>
      <c r="I266" s="1881"/>
      <c r="J266" s="1881"/>
      <c r="K266" s="1881"/>
      <c r="L266" s="1881"/>
      <c r="M266" s="1881"/>
      <c r="N266" s="1881"/>
      <c r="O266" s="1881"/>
      <c r="P266" s="1881"/>
      <c r="Q266" s="1881"/>
      <c r="R266" s="1881"/>
      <c r="S266" s="1881"/>
      <c r="T266" s="1881"/>
      <c r="U266" s="1881"/>
      <c r="V266" s="1881"/>
      <c r="W266" s="1881"/>
      <c r="X266" s="1881"/>
      <c r="Y266" s="1881"/>
      <c r="Z266" s="1881"/>
      <c r="AA266" s="1881"/>
      <c r="AB266" s="1881"/>
      <c r="AC266" s="1881"/>
      <c r="AD266" s="1881"/>
      <c r="AE266" s="1881"/>
      <c r="AF266" s="1881"/>
      <c r="AG266" s="1881"/>
      <c r="AH266" s="1881"/>
      <c r="AI266" s="1881"/>
      <c r="AJ266" s="1881"/>
      <c r="AK266" s="1881"/>
      <c r="AL266" s="1881"/>
      <c r="AM266" s="1881"/>
      <c r="AN266" s="1881"/>
      <c r="AO266" s="1881"/>
      <c r="AP266" s="1881"/>
      <c r="AQ266" s="1881"/>
      <c r="AR266" s="1881"/>
      <c r="AS266" s="1881"/>
      <c r="AT266" s="1881"/>
      <c r="AU266" s="1881"/>
      <c r="AV266" s="1881"/>
      <c r="AW266" s="1881"/>
      <c r="AX266" s="1881"/>
      <c r="AY266" s="1881"/>
      <c r="AZ266" s="1881"/>
      <c r="BA266" s="1881"/>
      <c r="BB266" s="1881"/>
      <c r="BC266" s="1881"/>
      <c r="BD266" s="1881"/>
      <c r="BE266" s="1881"/>
      <c r="BF266" s="1881"/>
      <c r="BG266" s="1881"/>
    </row>
    <row r="267" spans="1:59">
      <c r="A267" s="1881"/>
      <c r="B267" s="1881"/>
      <c r="C267" s="1881"/>
      <c r="D267" s="1881"/>
      <c r="E267" s="1881"/>
      <c r="F267" s="1881"/>
      <c r="G267" s="1881"/>
      <c r="H267" s="1881"/>
      <c r="I267" s="1881"/>
      <c r="J267" s="1881"/>
      <c r="K267" s="1881"/>
      <c r="L267" s="1881"/>
      <c r="M267" s="1881"/>
      <c r="N267" s="1881"/>
      <c r="O267" s="1881"/>
      <c r="P267" s="1881"/>
      <c r="Q267" s="1881"/>
      <c r="R267" s="1881"/>
      <c r="S267" s="1881"/>
      <c r="T267" s="1881"/>
      <c r="U267" s="1881"/>
      <c r="V267" s="1881"/>
      <c r="W267" s="1881"/>
      <c r="X267" s="1881"/>
      <c r="Y267" s="1881"/>
      <c r="Z267" s="1881"/>
      <c r="AA267" s="1881"/>
      <c r="AB267" s="1881"/>
      <c r="AC267" s="1881"/>
      <c r="AD267" s="1881"/>
      <c r="AE267" s="1881"/>
      <c r="AF267" s="1881"/>
      <c r="AG267" s="1881"/>
      <c r="AH267" s="1881"/>
      <c r="AI267" s="1881"/>
      <c r="AJ267" s="1881"/>
      <c r="AK267" s="1881"/>
      <c r="AL267" s="1881"/>
      <c r="AM267" s="1881"/>
      <c r="AN267" s="1881"/>
      <c r="AO267" s="1881"/>
      <c r="AP267" s="1881"/>
      <c r="AQ267" s="1881"/>
      <c r="AR267" s="1881"/>
      <c r="AS267" s="1881"/>
      <c r="AT267" s="1881"/>
      <c r="AU267" s="1881"/>
      <c r="AV267" s="1881"/>
      <c r="AW267" s="1881"/>
      <c r="AX267" s="1881"/>
      <c r="AY267" s="1881"/>
      <c r="AZ267" s="1881"/>
      <c r="BA267" s="1881"/>
      <c r="BB267" s="1881"/>
      <c r="BC267" s="1881"/>
      <c r="BD267" s="1881"/>
      <c r="BE267" s="1881"/>
      <c r="BF267" s="1881"/>
      <c r="BG267" s="1881"/>
    </row>
    <row r="268" spans="1:59">
      <c r="A268" s="1881"/>
      <c r="B268" s="1881"/>
      <c r="C268" s="1881"/>
      <c r="D268" s="1881"/>
      <c r="E268" s="1881"/>
      <c r="F268" s="1881"/>
      <c r="G268" s="1881"/>
      <c r="H268" s="1881"/>
      <c r="I268" s="1881"/>
      <c r="J268" s="1881"/>
      <c r="K268" s="1881"/>
      <c r="L268" s="1881"/>
      <c r="M268" s="1881"/>
      <c r="N268" s="1881"/>
      <c r="O268" s="1881"/>
      <c r="P268" s="1881"/>
      <c r="Q268" s="1881"/>
      <c r="R268" s="1881"/>
      <c r="S268" s="1881"/>
      <c r="T268" s="1881"/>
      <c r="U268" s="1881"/>
      <c r="V268" s="1881"/>
      <c r="W268" s="1881"/>
      <c r="X268" s="1881"/>
      <c r="Y268" s="1881"/>
      <c r="Z268" s="1881"/>
      <c r="AA268" s="1881"/>
      <c r="AB268" s="1881"/>
      <c r="AC268" s="1881"/>
      <c r="AD268" s="1881"/>
      <c r="AE268" s="1881"/>
      <c r="AF268" s="1881"/>
      <c r="AG268" s="1881"/>
      <c r="AH268" s="1881"/>
      <c r="AI268" s="1881"/>
      <c r="AJ268" s="1881"/>
      <c r="AK268" s="1881"/>
      <c r="AL268" s="1881"/>
      <c r="AM268" s="1881"/>
      <c r="AN268" s="1881"/>
      <c r="AO268" s="1881"/>
      <c r="AP268" s="1881"/>
      <c r="AQ268" s="1881"/>
      <c r="AR268" s="1881"/>
      <c r="AS268" s="1881"/>
      <c r="AT268" s="1881"/>
      <c r="AU268" s="1881"/>
      <c r="AV268" s="1881"/>
      <c r="AW268" s="1881"/>
      <c r="AX268" s="1881"/>
      <c r="AY268" s="1881"/>
      <c r="AZ268" s="1881"/>
      <c r="BA268" s="1881"/>
      <c r="BB268" s="1881"/>
      <c r="BC268" s="1881"/>
      <c r="BD268" s="1881"/>
      <c r="BE268" s="1881"/>
      <c r="BF268" s="1881"/>
      <c r="BG268" s="1881"/>
    </row>
    <row r="269" spans="1:59">
      <c r="A269" s="1881"/>
      <c r="B269" s="1881"/>
      <c r="C269" s="1881"/>
      <c r="D269" s="1881"/>
      <c r="E269" s="1881"/>
      <c r="F269" s="1881"/>
      <c r="G269" s="1881"/>
      <c r="H269" s="1881"/>
      <c r="I269" s="1881"/>
      <c r="J269" s="1881"/>
      <c r="K269" s="1881"/>
      <c r="L269" s="1881"/>
      <c r="M269" s="1881"/>
      <c r="N269" s="1881"/>
      <c r="O269" s="1881"/>
      <c r="P269" s="1881"/>
      <c r="Q269" s="1881"/>
      <c r="R269" s="1881"/>
      <c r="S269" s="1881"/>
      <c r="T269" s="1881"/>
      <c r="U269" s="1881"/>
      <c r="V269" s="1881"/>
      <c r="W269" s="1881"/>
      <c r="X269" s="1881"/>
      <c r="Y269" s="1881"/>
      <c r="Z269" s="1881"/>
      <c r="AA269" s="1881"/>
      <c r="AB269" s="1881"/>
      <c r="AC269" s="1881"/>
      <c r="AD269" s="1881"/>
      <c r="AE269" s="1881"/>
      <c r="AF269" s="1881"/>
      <c r="AG269" s="1881"/>
      <c r="AH269" s="1881"/>
      <c r="AI269" s="1881"/>
      <c r="AJ269" s="1881"/>
      <c r="AK269" s="1881"/>
      <c r="AL269" s="1881"/>
      <c r="AM269" s="1881"/>
      <c r="AN269" s="1881"/>
      <c r="AO269" s="1881"/>
      <c r="AP269" s="1881"/>
      <c r="AQ269" s="1881"/>
      <c r="AR269" s="1881"/>
      <c r="AS269" s="1881"/>
      <c r="AT269" s="1881"/>
      <c r="AU269" s="1881"/>
      <c r="AV269" s="1881"/>
      <c r="AW269" s="1881"/>
      <c r="AX269" s="1881"/>
      <c r="AY269" s="1881"/>
      <c r="AZ269" s="1881"/>
      <c r="BA269" s="1881"/>
      <c r="BB269" s="1881"/>
      <c r="BC269" s="1881"/>
      <c r="BD269" s="1881"/>
      <c r="BE269" s="1881"/>
      <c r="BF269" s="1881"/>
      <c r="BG269" s="1881"/>
    </row>
    <row r="270" spans="1:59">
      <c r="A270" s="1881"/>
      <c r="B270" s="1881"/>
      <c r="C270" s="1881"/>
      <c r="D270" s="1881"/>
      <c r="E270" s="1881"/>
      <c r="F270" s="1881"/>
      <c r="G270" s="1881"/>
      <c r="H270" s="1881"/>
      <c r="I270" s="1881"/>
      <c r="J270" s="1881"/>
      <c r="K270" s="1881"/>
      <c r="L270" s="1881"/>
      <c r="M270" s="1881"/>
      <c r="N270" s="1881"/>
      <c r="O270" s="1881"/>
      <c r="P270" s="1881"/>
      <c r="Q270" s="1881"/>
      <c r="R270" s="1881"/>
      <c r="S270" s="1881"/>
      <c r="T270" s="1881"/>
      <c r="U270" s="1881"/>
      <c r="V270" s="1881"/>
      <c r="W270" s="1881"/>
      <c r="X270" s="1881"/>
      <c r="Y270" s="1881"/>
      <c r="Z270" s="1881"/>
      <c r="AA270" s="1881"/>
      <c r="AB270" s="1881"/>
      <c r="AC270" s="1881"/>
      <c r="AD270" s="1881"/>
      <c r="AE270" s="1881"/>
      <c r="AF270" s="1881"/>
      <c r="AG270" s="1881"/>
      <c r="AH270" s="1881"/>
      <c r="AI270" s="1881"/>
      <c r="AJ270" s="1881"/>
      <c r="AK270" s="1881"/>
      <c r="AL270" s="1881"/>
      <c r="AM270" s="1881"/>
      <c r="AN270" s="1881"/>
      <c r="AO270" s="1881"/>
      <c r="AP270" s="1881"/>
      <c r="AQ270" s="1881"/>
      <c r="AR270" s="1881"/>
      <c r="AS270" s="1881"/>
      <c r="AT270" s="1881"/>
      <c r="AU270" s="1881"/>
      <c r="AV270" s="1881"/>
      <c r="AW270" s="1881"/>
      <c r="AX270" s="1881"/>
      <c r="AY270" s="1881"/>
      <c r="AZ270" s="1881"/>
      <c r="BA270" s="1881"/>
      <c r="BB270" s="1881"/>
      <c r="BC270" s="1881"/>
      <c r="BD270" s="1881"/>
      <c r="BE270" s="1881"/>
      <c r="BF270" s="1881"/>
      <c r="BG270" s="1881"/>
    </row>
    <row r="271" spans="1:59">
      <c r="A271" s="1881"/>
      <c r="B271" s="1881"/>
      <c r="C271" s="1881"/>
      <c r="D271" s="1881"/>
      <c r="E271" s="1881"/>
      <c r="F271" s="1881"/>
      <c r="G271" s="1881"/>
      <c r="H271" s="1881"/>
      <c r="I271" s="1881"/>
      <c r="J271" s="1881"/>
      <c r="K271" s="1881"/>
      <c r="L271" s="1881"/>
      <c r="M271" s="1881"/>
      <c r="N271" s="1881"/>
      <c r="O271" s="1881"/>
      <c r="P271" s="1881"/>
      <c r="Q271" s="1881"/>
      <c r="R271" s="1881"/>
      <c r="S271" s="1881"/>
      <c r="T271" s="1881"/>
      <c r="U271" s="1881"/>
      <c r="V271" s="1881"/>
      <c r="W271" s="1881"/>
      <c r="X271" s="1881"/>
      <c r="Y271" s="1881"/>
      <c r="Z271" s="1881"/>
      <c r="AA271" s="1881"/>
      <c r="AB271" s="1881"/>
      <c r="AC271" s="1881"/>
      <c r="AD271" s="1881"/>
      <c r="AE271" s="1881"/>
      <c r="AF271" s="1881"/>
      <c r="AG271" s="1881"/>
      <c r="AH271" s="1881"/>
      <c r="AI271" s="1881"/>
      <c r="AJ271" s="1881"/>
      <c r="AK271" s="1881"/>
      <c r="AL271" s="1881"/>
      <c r="AM271" s="1881"/>
      <c r="AN271" s="1881"/>
      <c r="AO271" s="1881"/>
      <c r="AP271" s="1881"/>
      <c r="AQ271" s="1881"/>
      <c r="AR271" s="1881"/>
      <c r="AS271" s="1881"/>
      <c r="AT271" s="1881"/>
      <c r="AU271" s="1881"/>
      <c r="AV271" s="1881"/>
      <c r="AW271" s="1881"/>
      <c r="AX271" s="1881"/>
      <c r="AY271" s="1881"/>
      <c r="AZ271" s="1881"/>
      <c r="BA271" s="1881"/>
      <c r="BB271" s="1881"/>
      <c r="BC271" s="1881"/>
      <c r="BD271" s="1881"/>
      <c r="BE271" s="1881"/>
      <c r="BF271" s="1881"/>
      <c r="BG271" s="1881"/>
    </row>
    <row r="272" spans="1:59">
      <c r="A272" s="1881"/>
      <c r="B272" s="1881"/>
      <c r="C272" s="1881"/>
      <c r="D272" s="1881"/>
      <c r="E272" s="1881"/>
      <c r="F272" s="1881"/>
      <c r="G272" s="1881"/>
      <c r="H272" s="1881"/>
      <c r="I272" s="1881"/>
      <c r="J272" s="1881"/>
      <c r="K272" s="1881"/>
      <c r="L272" s="1881"/>
      <c r="M272" s="1881"/>
      <c r="N272" s="1881"/>
      <c r="O272" s="1881"/>
      <c r="P272" s="1881"/>
      <c r="Q272" s="1881"/>
      <c r="R272" s="1881"/>
      <c r="S272" s="1881"/>
      <c r="T272" s="1881"/>
      <c r="U272" s="1881"/>
      <c r="V272" s="1881"/>
      <c r="W272" s="1881"/>
      <c r="X272" s="1881"/>
      <c r="Y272" s="1881"/>
      <c r="Z272" s="1881"/>
      <c r="AA272" s="1881"/>
      <c r="AB272" s="1881"/>
      <c r="AC272" s="1881"/>
      <c r="AD272" s="1881"/>
      <c r="AE272" s="1881"/>
      <c r="AF272" s="1881"/>
      <c r="AG272" s="1881"/>
      <c r="AH272" s="1881"/>
      <c r="AI272" s="1881"/>
      <c r="AJ272" s="1881"/>
      <c r="AK272" s="1881"/>
      <c r="AL272" s="1881"/>
      <c r="AM272" s="1881"/>
      <c r="AN272" s="1881"/>
      <c r="AO272" s="1881"/>
      <c r="AP272" s="1881"/>
      <c r="AQ272" s="1881"/>
      <c r="AR272" s="1881"/>
      <c r="AS272" s="1881"/>
      <c r="AT272" s="1881"/>
      <c r="AU272" s="1881"/>
      <c r="AV272" s="1881"/>
      <c r="AW272" s="1881"/>
      <c r="AX272" s="1881"/>
      <c r="AY272" s="1881"/>
      <c r="AZ272" s="1881"/>
      <c r="BA272" s="1881"/>
      <c r="BB272" s="1881"/>
      <c r="BC272" s="1881"/>
      <c r="BD272" s="1881"/>
      <c r="BE272" s="1881"/>
      <c r="BF272" s="1881"/>
      <c r="BG272" s="1881"/>
    </row>
    <row r="273" spans="1:59">
      <c r="A273" s="1881"/>
      <c r="B273" s="1881"/>
      <c r="C273" s="1881"/>
      <c r="D273" s="1881"/>
      <c r="E273" s="1881"/>
      <c r="F273" s="1881"/>
      <c r="G273" s="1881"/>
      <c r="H273" s="1881"/>
      <c r="I273" s="1881"/>
      <c r="J273" s="1881"/>
      <c r="K273" s="1881"/>
      <c r="L273" s="1881"/>
      <c r="M273" s="1881"/>
      <c r="N273" s="1881"/>
      <c r="O273" s="1881"/>
      <c r="P273" s="1881"/>
      <c r="Q273" s="1881"/>
      <c r="R273" s="1881"/>
      <c r="S273" s="1881"/>
      <c r="T273" s="1881"/>
      <c r="U273" s="1881"/>
      <c r="V273" s="1881"/>
      <c r="W273" s="1881"/>
      <c r="X273" s="1881"/>
      <c r="Y273" s="1881"/>
      <c r="Z273" s="1881"/>
      <c r="AA273" s="1881"/>
      <c r="AB273" s="1881"/>
      <c r="AC273" s="1881"/>
      <c r="AD273" s="1881"/>
      <c r="AE273" s="1881"/>
      <c r="AF273" s="1881"/>
      <c r="AG273" s="1881"/>
      <c r="AH273" s="1881"/>
      <c r="AI273" s="1881"/>
      <c r="AJ273" s="1881"/>
      <c r="AK273" s="1881"/>
      <c r="AL273" s="1881"/>
      <c r="AM273" s="1881"/>
      <c r="AN273" s="1881"/>
      <c r="AO273" s="1881"/>
      <c r="AP273" s="1881"/>
      <c r="AQ273" s="1881"/>
      <c r="AR273" s="1881"/>
      <c r="AS273" s="1881"/>
      <c r="AT273" s="1881"/>
      <c r="AU273" s="1881"/>
      <c r="AV273" s="1881"/>
      <c r="AW273" s="1881"/>
      <c r="AX273" s="1881"/>
      <c r="AY273" s="1881"/>
      <c r="AZ273" s="1881"/>
      <c r="BA273" s="1881"/>
      <c r="BB273" s="1881"/>
      <c r="BC273" s="1881"/>
      <c r="BD273" s="1881"/>
      <c r="BE273" s="1881"/>
      <c r="BF273" s="1881"/>
      <c r="BG273" s="1881"/>
    </row>
    <row r="274" spans="1:59">
      <c r="A274" s="1881"/>
      <c r="B274" s="1881"/>
      <c r="C274" s="1881"/>
      <c r="D274" s="1881"/>
      <c r="E274" s="1881"/>
      <c r="F274" s="1881"/>
      <c r="G274" s="1881"/>
      <c r="H274" s="1881"/>
      <c r="I274" s="1881"/>
      <c r="J274" s="1881"/>
      <c r="K274" s="1881"/>
      <c r="L274" s="1881"/>
      <c r="M274" s="1881"/>
      <c r="N274" s="1881"/>
      <c r="O274" s="1881"/>
      <c r="P274" s="1881"/>
      <c r="Q274" s="1881"/>
      <c r="R274" s="1881"/>
      <c r="S274" s="1881"/>
      <c r="T274" s="1881"/>
      <c r="U274" s="1881"/>
      <c r="V274" s="1881"/>
      <c r="W274" s="1881"/>
      <c r="X274" s="1881"/>
      <c r="Y274" s="1881"/>
      <c r="Z274" s="1881"/>
      <c r="AA274" s="1881"/>
      <c r="AB274" s="1881"/>
      <c r="AC274" s="1881"/>
      <c r="AD274" s="1881"/>
      <c r="AE274" s="1881"/>
      <c r="AF274" s="1881"/>
      <c r="AG274" s="1881"/>
      <c r="AH274" s="1881"/>
      <c r="AI274" s="1881"/>
      <c r="AJ274" s="1881"/>
      <c r="AK274" s="1881"/>
      <c r="AL274" s="1881"/>
      <c r="AM274" s="1881"/>
      <c r="AN274" s="1881"/>
      <c r="AO274" s="1881"/>
      <c r="AP274" s="1881"/>
      <c r="AQ274" s="1881"/>
      <c r="AR274" s="1881"/>
      <c r="AS274" s="1881"/>
      <c r="AT274" s="1881"/>
      <c r="AU274" s="1881"/>
      <c r="AV274" s="1881"/>
      <c r="AW274" s="1881"/>
      <c r="AX274" s="1881"/>
      <c r="AY274" s="1881"/>
      <c r="AZ274" s="1881"/>
      <c r="BA274" s="1881"/>
      <c r="BB274" s="1881"/>
      <c r="BC274" s="1881"/>
      <c r="BD274" s="1881"/>
      <c r="BE274" s="1881"/>
      <c r="BF274" s="1881"/>
      <c r="BG274" s="1881"/>
    </row>
    <row r="275" spans="1:59">
      <c r="A275" s="1881"/>
      <c r="B275" s="1881"/>
      <c r="C275" s="1881"/>
      <c r="D275" s="1881"/>
      <c r="E275" s="1881"/>
      <c r="F275" s="1881"/>
      <c r="G275" s="1881"/>
      <c r="H275" s="1881"/>
      <c r="I275" s="1881"/>
      <c r="J275" s="1881"/>
      <c r="K275" s="1881"/>
      <c r="L275" s="1881"/>
      <c r="M275" s="1881"/>
      <c r="N275" s="1881"/>
      <c r="O275" s="1881"/>
      <c r="P275" s="1881"/>
      <c r="Q275" s="1881"/>
      <c r="R275" s="1881"/>
      <c r="S275" s="1881"/>
      <c r="T275" s="1881"/>
      <c r="U275" s="1881"/>
      <c r="V275" s="1881"/>
      <c r="W275" s="1881"/>
      <c r="X275" s="1881"/>
      <c r="Y275" s="1881"/>
      <c r="Z275" s="1881"/>
      <c r="AA275" s="1881"/>
      <c r="AB275" s="1881"/>
      <c r="AC275" s="1881"/>
      <c r="AD275" s="1881"/>
      <c r="AE275" s="1881"/>
      <c r="AF275" s="1881"/>
      <c r="AG275" s="1881"/>
      <c r="AH275" s="1881"/>
      <c r="AI275" s="1881"/>
      <c r="AJ275" s="1881"/>
      <c r="AK275" s="1881"/>
      <c r="AL275" s="1881"/>
      <c r="AM275" s="1881"/>
      <c r="AN275" s="1881"/>
      <c r="AO275" s="1881"/>
      <c r="AP275" s="1881"/>
      <c r="AQ275" s="1881"/>
      <c r="AR275" s="1881"/>
      <c r="AS275" s="1881"/>
      <c r="AT275" s="1881"/>
      <c r="AU275" s="1881"/>
      <c r="AV275" s="1881"/>
      <c r="AW275" s="1881"/>
      <c r="AX275" s="1881"/>
      <c r="AY275" s="1881"/>
      <c r="AZ275" s="1881"/>
      <c r="BA275" s="1881"/>
      <c r="BB275" s="1881"/>
      <c r="BC275" s="1881"/>
      <c r="BD275" s="1881"/>
      <c r="BE275" s="1881"/>
      <c r="BF275" s="1881"/>
      <c r="BG275" s="1881"/>
    </row>
    <row r="276" spans="1:59">
      <c r="A276" s="1881"/>
      <c r="B276" s="1881"/>
      <c r="C276" s="1881"/>
      <c r="D276" s="1881"/>
      <c r="E276" s="1881"/>
      <c r="F276" s="1881"/>
      <c r="G276" s="1881"/>
      <c r="H276" s="1881"/>
      <c r="I276" s="1881"/>
      <c r="J276" s="1881"/>
      <c r="K276" s="1881"/>
      <c r="L276" s="1881"/>
      <c r="M276" s="1881"/>
      <c r="N276" s="1881"/>
      <c r="O276" s="1881"/>
      <c r="P276" s="1881"/>
      <c r="Q276" s="1881"/>
      <c r="R276" s="1881"/>
      <c r="S276" s="1881"/>
      <c r="T276" s="1881"/>
      <c r="U276" s="1881"/>
      <c r="V276" s="1881"/>
      <c r="W276" s="1881"/>
      <c r="X276" s="1881"/>
      <c r="Y276" s="1881"/>
      <c r="Z276" s="1881"/>
      <c r="AA276" s="1881"/>
      <c r="AB276" s="1881"/>
      <c r="AC276" s="1881"/>
      <c r="AD276" s="1881"/>
      <c r="AE276" s="1881"/>
      <c r="AF276" s="1881"/>
      <c r="AG276" s="1881"/>
      <c r="AH276" s="1881"/>
      <c r="AI276" s="1881"/>
      <c r="AJ276" s="1881"/>
      <c r="AK276" s="1881"/>
      <c r="AL276" s="1881"/>
      <c r="AM276" s="1881"/>
      <c r="AN276" s="1881"/>
      <c r="AO276" s="1881"/>
      <c r="AP276" s="1881"/>
      <c r="AQ276" s="1881"/>
      <c r="AR276" s="1881"/>
      <c r="AS276" s="1881"/>
      <c r="AT276" s="1881"/>
      <c r="AU276" s="1881"/>
      <c r="AV276" s="1881"/>
      <c r="AW276" s="1881"/>
      <c r="AX276" s="1881"/>
      <c r="AY276" s="1881"/>
      <c r="AZ276" s="1881"/>
      <c r="BA276" s="1881"/>
      <c r="BB276" s="1881"/>
      <c r="BC276" s="1881"/>
      <c r="BD276" s="1881"/>
      <c r="BE276" s="1881"/>
      <c r="BF276" s="1881"/>
      <c r="BG276" s="1881"/>
    </row>
    <row r="277" spans="1:59">
      <c r="A277" s="1881"/>
      <c r="B277" s="1881"/>
      <c r="C277" s="1881"/>
      <c r="D277" s="1881"/>
      <c r="E277" s="1881"/>
      <c r="F277" s="1881"/>
      <c r="G277" s="1881"/>
      <c r="H277" s="1881"/>
      <c r="I277" s="1881"/>
      <c r="J277" s="1881"/>
      <c r="K277" s="1881"/>
      <c r="L277" s="1881"/>
      <c r="M277" s="1881"/>
      <c r="N277" s="1881"/>
      <c r="O277" s="1881"/>
      <c r="P277" s="1881"/>
      <c r="Q277" s="1881"/>
      <c r="R277" s="1881"/>
      <c r="S277" s="1881"/>
      <c r="T277" s="1881"/>
      <c r="U277" s="1881"/>
      <c r="V277" s="1881"/>
      <c r="W277" s="1881"/>
      <c r="X277" s="1881"/>
      <c r="Y277" s="1881"/>
      <c r="Z277" s="1881"/>
      <c r="AA277" s="1881"/>
      <c r="AB277" s="1881"/>
      <c r="AC277" s="1881"/>
      <c r="AD277" s="1881"/>
      <c r="AE277" s="1881"/>
      <c r="AF277" s="1881"/>
      <c r="AG277" s="1881"/>
      <c r="AH277" s="1881"/>
      <c r="AI277" s="1881"/>
      <c r="AJ277" s="1881"/>
      <c r="AK277" s="1881"/>
      <c r="AL277" s="1881"/>
      <c r="AM277" s="1881"/>
      <c r="AN277" s="1881"/>
      <c r="AO277" s="1881"/>
      <c r="AP277" s="1881"/>
      <c r="AQ277" s="1881"/>
      <c r="AR277" s="1881"/>
      <c r="AS277" s="1881"/>
      <c r="AT277" s="1881"/>
      <c r="AU277" s="1881"/>
      <c r="AV277" s="1881"/>
      <c r="AW277" s="1881"/>
      <c r="AX277" s="1881"/>
      <c r="AY277" s="1881"/>
      <c r="AZ277" s="1881"/>
      <c r="BA277" s="1881"/>
      <c r="BB277" s="1881"/>
      <c r="BC277" s="1881"/>
      <c r="BD277" s="1881"/>
      <c r="BE277" s="1881"/>
      <c r="BF277" s="1881"/>
      <c r="BG277" s="1881"/>
    </row>
    <row r="278" spans="1:59">
      <c r="A278" s="1881"/>
      <c r="B278" s="1881"/>
      <c r="C278" s="1881"/>
      <c r="D278" s="1881"/>
      <c r="E278" s="1881"/>
      <c r="F278" s="1881"/>
      <c r="G278" s="1881"/>
      <c r="H278" s="1881"/>
      <c r="I278" s="1881"/>
      <c r="J278" s="1881"/>
      <c r="K278" s="1881"/>
      <c r="L278" s="1881"/>
      <c r="M278" s="1881"/>
      <c r="N278" s="1881"/>
      <c r="O278" s="1881"/>
      <c r="P278" s="1881"/>
      <c r="Q278" s="1881"/>
      <c r="R278" s="1881"/>
      <c r="S278" s="1881"/>
      <c r="T278" s="1881"/>
      <c r="U278" s="1881"/>
      <c r="V278" s="1881"/>
      <c r="W278" s="1881"/>
      <c r="X278" s="1881"/>
      <c r="Y278" s="1881"/>
      <c r="Z278" s="1881"/>
      <c r="AA278" s="1881"/>
      <c r="AB278" s="1881"/>
      <c r="AC278" s="1881"/>
      <c r="AD278" s="1881"/>
      <c r="AE278" s="1881"/>
      <c r="AF278" s="1881"/>
      <c r="AG278" s="1881"/>
      <c r="AH278" s="1881"/>
      <c r="AI278" s="1881"/>
      <c r="AJ278" s="1881"/>
      <c r="AK278" s="1881"/>
      <c r="AL278" s="1881"/>
      <c r="AM278" s="1881"/>
      <c r="AN278" s="1881"/>
      <c r="AO278" s="1881"/>
      <c r="AP278" s="1881"/>
      <c r="AQ278" s="1881"/>
      <c r="AR278" s="1881"/>
      <c r="AS278" s="1881"/>
      <c r="AT278" s="1881"/>
      <c r="AU278" s="1881"/>
      <c r="AV278" s="1881"/>
      <c r="AW278" s="1881"/>
      <c r="AX278" s="1881"/>
      <c r="AY278" s="1881"/>
      <c r="AZ278" s="1881"/>
      <c r="BA278" s="1881"/>
      <c r="BB278" s="1881"/>
      <c r="BC278" s="1881"/>
      <c r="BD278" s="1881"/>
      <c r="BE278" s="1881"/>
      <c r="BF278" s="1881"/>
      <c r="BG278" s="1881"/>
    </row>
    <row r="279" spans="1:59">
      <c r="A279" s="1881"/>
      <c r="B279" s="1881"/>
      <c r="C279" s="1881"/>
      <c r="D279" s="1881"/>
      <c r="E279" s="1881"/>
      <c r="F279" s="1881"/>
      <c r="G279" s="1881"/>
      <c r="H279" s="1881"/>
      <c r="I279" s="1881"/>
      <c r="J279" s="1881"/>
      <c r="K279" s="1881"/>
      <c r="L279" s="1881"/>
      <c r="M279" s="1881"/>
      <c r="N279" s="1881"/>
      <c r="O279" s="1881"/>
      <c r="P279" s="1881"/>
      <c r="Q279" s="1881"/>
      <c r="R279" s="1881"/>
      <c r="S279" s="1881"/>
      <c r="T279" s="1881"/>
      <c r="U279" s="1881"/>
      <c r="V279" s="1881"/>
      <c r="W279" s="1881"/>
      <c r="X279" s="1881"/>
      <c r="Y279" s="1881"/>
      <c r="Z279" s="1881"/>
      <c r="AA279" s="1881"/>
      <c r="AB279" s="1881"/>
      <c r="AC279" s="1881"/>
      <c r="AD279" s="1881"/>
      <c r="AE279" s="1881"/>
      <c r="AF279" s="1881"/>
      <c r="AG279" s="1881"/>
      <c r="AH279" s="1881"/>
      <c r="AI279" s="1881"/>
      <c r="AJ279" s="1881"/>
      <c r="AK279" s="1881"/>
      <c r="AL279" s="1881"/>
      <c r="AM279" s="1881"/>
      <c r="AN279" s="1881"/>
      <c r="AO279" s="1881"/>
      <c r="AP279" s="1881"/>
      <c r="AQ279" s="1881"/>
      <c r="AR279" s="1881"/>
      <c r="AS279" s="1881"/>
      <c r="AT279" s="1881"/>
      <c r="AU279" s="1881"/>
      <c r="AV279" s="1881"/>
      <c r="AW279" s="1881"/>
      <c r="AX279" s="1881"/>
      <c r="AY279" s="1881"/>
      <c r="AZ279" s="1881"/>
      <c r="BA279" s="1881"/>
      <c r="BB279" s="1881"/>
      <c r="BC279" s="1881"/>
      <c r="BD279" s="1881"/>
      <c r="BE279" s="1881"/>
      <c r="BF279" s="1881"/>
      <c r="BG279" s="1881"/>
    </row>
    <row r="280" spans="1:59">
      <c r="A280" s="1881"/>
      <c r="B280" s="1881"/>
      <c r="C280" s="1881"/>
      <c r="D280" s="1881"/>
      <c r="E280" s="1881"/>
      <c r="F280" s="1881"/>
      <c r="G280" s="1881"/>
      <c r="H280" s="1881"/>
      <c r="I280" s="1881"/>
      <c r="J280" s="1881"/>
      <c r="K280" s="1881"/>
      <c r="L280" s="1881"/>
      <c r="M280" s="1881"/>
      <c r="N280" s="1881"/>
      <c r="O280" s="1881"/>
      <c r="P280" s="1881"/>
      <c r="Q280" s="1881"/>
      <c r="R280" s="1881"/>
      <c r="S280" s="1881"/>
      <c r="T280" s="1881"/>
      <c r="U280" s="1881"/>
      <c r="V280" s="1881"/>
      <c r="W280" s="1881"/>
      <c r="X280" s="1881"/>
      <c r="Y280" s="1881"/>
      <c r="Z280" s="1881"/>
      <c r="AA280" s="1881"/>
      <c r="AB280" s="1881"/>
      <c r="AC280" s="1881"/>
      <c r="AD280" s="1881"/>
      <c r="AE280" s="1881"/>
      <c r="AF280" s="1881"/>
      <c r="AG280" s="1881"/>
      <c r="AH280" s="1881"/>
      <c r="AI280" s="1881"/>
      <c r="AJ280" s="1881"/>
      <c r="AK280" s="1881"/>
      <c r="AL280" s="1881"/>
      <c r="AM280" s="1881"/>
      <c r="AN280" s="1881"/>
      <c r="AO280" s="1881"/>
      <c r="AP280" s="1881"/>
      <c r="AQ280" s="1881"/>
      <c r="AR280" s="1881"/>
      <c r="AS280" s="1881"/>
      <c r="AT280" s="1881"/>
      <c r="AU280" s="1881"/>
      <c r="AV280" s="1881"/>
      <c r="AW280" s="1881"/>
      <c r="AX280" s="1881"/>
      <c r="AY280" s="1881"/>
      <c r="AZ280" s="1881"/>
      <c r="BA280" s="1881"/>
      <c r="BB280" s="1881"/>
      <c r="BC280" s="1881"/>
      <c r="BD280" s="1881"/>
      <c r="BE280" s="1881"/>
      <c r="BF280" s="1881"/>
      <c r="BG280" s="1881"/>
    </row>
    <row r="281" spans="1:59">
      <c r="A281" s="1881"/>
      <c r="B281" s="1881"/>
      <c r="C281" s="1881"/>
      <c r="D281" s="1881"/>
      <c r="E281" s="1881"/>
      <c r="F281" s="1881"/>
      <c r="G281" s="1881"/>
      <c r="H281" s="1881"/>
      <c r="I281" s="1881"/>
      <c r="J281" s="1881"/>
      <c r="K281" s="1881"/>
      <c r="L281" s="1881"/>
      <c r="M281" s="1881"/>
      <c r="N281" s="1881"/>
      <c r="O281" s="1881"/>
      <c r="P281" s="1881"/>
      <c r="Q281" s="1881"/>
      <c r="R281" s="1881"/>
      <c r="S281" s="1881"/>
      <c r="T281" s="1881"/>
      <c r="U281" s="1881"/>
      <c r="V281" s="1881"/>
      <c r="W281" s="1881"/>
      <c r="X281" s="1881"/>
      <c r="Y281" s="1881"/>
      <c r="Z281" s="1881"/>
      <c r="AA281" s="1881"/>
      <c r="AB281" s="1881"/>
      <c r="AC281" s="1881"/>
      <c r="AD281" s="1881"/>
      <c r="AE281" s="1881"/>
      <c r="AF281" s="1881"/>
      <c r="AG281" s="1881"/>
      <c r="AH281" s="1881"/>
      <c r="AI281" s="1881"/>
      <c r="AJ281" s="1881"/>
      <c r="AK281" s="1881"/>
      <c r="AL281" s="1881"/>
      <c r="AM281" s="1881"/>
      <c r="AN281" s="1881"/>
      <c r="AO281" s="1881"/>
      <c r="AP281" s="1881"/>
      <c r="AQ281" s="1881"/>
      <c r="AR281" s="1881"/>
      <c r="AS281" s="1881"/>
      <c r="AT281" s="1881"/>
      <c r="AU281" s="1881"/>
      <c r="AV281" s="1881"/>
      <c r="AW281" s="1881"/>
      <c r="AX281" s="1881"/>
      <c r="AY281" s="1881"/>
      <c r="AZ281" s="1881"/>
      <c r="BA281" s="1881"/>
      <c r="BB281" s="1881"/>
      <c r="BC281" s="1881"/>
      <c r="BD281" s="1881"/>
      <c r="BE281" s="1881"/>
      <c r="BF281" s="1881"/>
      <c r="BG281" s="1881"/>
    </row>
    <row r="282" spans="1:59">
      <c r="A282" s="1881"/>
      <c r="B282" s="1881"/>
      <c r="C282" s="1881"/>
      <c r="D282" s="1881"/>
      <c r="E282" s="1881"/>
      <c r="F282" s="1881"/>
      <c r="G282" s="1881"/>
      <c r="H282" s="1881"/>
      <c r="I282" s="1881"/>
      <c r="J282" s="1881"/>
      <c r="K282" s="1881"/>
      <c r="L282" s="1881"/>
      <c r="M282" s="1881"/>
      <c r="N282" s="1881"/>
      <c r="O282" s="1881"/>
      <c r="P282" s="1881"/>
      <c r="Q282" s="1881"/>
      <c r="R282" s="1881"/>
      <c r="S282" s="1881"/>
      <c r="T282" s="1881"/>
      <c r="U282" s="1881"/>
      <c r="V282" s="1881"/>
      <c r="W282" s="1881"/>
      <c r="X282" s="1881"/>
      <c r="Y282" s="1881"/>
      <c r="Z282" s="1881"/>
      <c r="AA282" s="1881"/>
      <c r="AB282" s="1881"/>
      <c r="AC282" s="1881"/>
      <c r="AD282" s="1881"/>
      <c r="AE282" s="1881"/>
      <c r="AF282" s="1881"/>
      <c r="AG282" s="1881"/>
      <c r="AH282" s="1881"/>
      <c r="AI282" s="1881"/>
      <c r="AJ282" s="1881"/>
      <c r="AK282" s="1881"/>
      <c r="AL282" s="1881"/>
      <c r="AM282" s="1881"/>
      <c r="AN282" s="1881"/>
      <c r="AO282" s="1881"/>
      <c r="AP282" s="1881"/>
      <c r="AQ282" s="1881"/>
      <c r="AR282" s="1881"/>
      <c r="AS282" s="1881"/>
      <c r="AT282" s="1881"/>
      <c r="AU282" s="1881"/>
      <c r="AV282" s="1881"/>
      <c r="AW282" s="1881"/>
      <c r="AX282" s="1881"/>
      <c r="AY282" s="1881"/>
      <c r="AZ282" s="1881"/>
      <c r="BA282" s="1881"/>
      <c r="BB282" s="1881"/>
      <c r="BC282" s="1881"/>
      <c r="BD282" s="1881"/>
      <c r="BE282" s="1881"/>
      <c r="BF282" s="1881"/>
      <c r="BG282" s="1881"/>
    </row>
    <row r="283" spans="1:59">
      <c r="A283" s="1881"/>
      <c r="B283" s="1881"/>
      <c r="C283" s="1881"/>
      <c r="D283" s="1881"/>
      <c r="E283" s="1881"/>
      <c r="F283" s="1881"/>
      <c r="G283" s="1881"/>
      <c r="H283" s="1881"/>
      <c r="I283" s="1881"/>
      <c r="J283" s="1881"/>
      <c r="K283" s="1881"/>
      <c r="L283" s="1881"/>
      <c r="M283" s="1881"/>
      <c r="N283" s="1881"/>
      <c r="O283" s="1881"/>
      <c r="P283" s="1881"/>
      <c r="Q283" s="1881"/>
      <c r="R283" s="1881"/>
      <c r="S283" s="1881"/>
      <c r="T283" s="1881"/>
      <c r="U283" s="1881"/>
      <c r="V283" s="1881"/>
      <c r="W283" s="1881"/>
      <c r="X283" s="1881"/>
      <c r="Y283" s="1881"/>
      <c r="Z283" s="1881"/>
      <c r="AA283" s="1881"/>
      <c r="AB283" s="1881"/>
      <c r="AC283" s="1881"/>
      <c r="AD283" s="1881"/>
      <c r="AE283" s="1881"/>
      <c r="AF283" s="1881"/>
      <c r="AG283" s="1881"/>
      <c r="AH283" s="1881"/>
      <c r="AI283" s="1881"/>
      <c r="AJ283" s="1881"/>
      <c r="AK283" s="1881"/>
      <c r="AL283" s="1881"/>
      <c r="AM283" s="1881"/>
      <c r="AN283" s="1881"/>
      <c r="AO283" s="1881"/>
      <c r="AP283" s="1881"/>
      <c r="AQ283" s="1881"/>
      <c r="AR283" s="1881"/>
      <c r="AS283" s="1881"/>
      <c r="AT283" s="1881"/>
      <c r="AU283" s="1881"/>
      <c r="AV283" s="1881"/>
      <c r="AW283" s="1881"/>
      <c r="AX283" s="1881"/>
      <c r="AY283" s="1881"/>
      <c r="AZ283" s="1881"/>
      <c r="BA283" s="1881"/>
      <c r="BB283" s="1881"/>
      <c r="BC283" s="1881"/>
      <c r="BD283" s="1881"/>
      <c r="BE283" s="1881"/>
      <c r="BF283" s="1881"/>
      <c r="BG283" s="1881"/>
    </row>
    <row r="284" spans="1:59">
      <c r="A284" s="1881"/>
      <c r="B284" s="1881"/>
      <c r="C284" s="1881"/>
      <c r="D284" s="1881"/>
      <c r="E284" s="1881"/>
      <c r="F284" s="1881"/>
      <c r="G284" s="1881"/>
      <c r="H284" s="1881"/>
      <c r="I284" s="1881"/>
      <c r="J284" s="1881"/>
      <c r="K284" s="1881"/>
      <c r="L284" s="1881"/>
      <c r="M284" s="1881"/>
      <c r="N284" s="1881"/>
      <c r="O284" s="1881"/>
      <c r="P284" s="1881"/>
      <c r="Q284" s="1881"/>
      <c r="R284" s="1881"/>
      <c r="S284" s="1881"/>
      <c r="T284" s="1881"/>
      <c r="U284" s="1881"/>
      <c r="V284" s="1881"/>
      <c r="W284" s="1881"/>
      <c r="X284" s="1881"/>
      <c r="Y284" s="1881"/>
      <c r="Z284" s="1881"/>
      <c r="AA284" s="1881"/>
      <c r="AB284" s="1881"/>
      <c r="AC284" s="1881"/>
      <c r="AD284" s="1881"/>
      <c r="AE284" s="1881"/>
      <c r="AF284" s="1881"/>
      <c r="AG284" s="1881"/>
      <c r="AH284" s="1881"/>
      <c r="AI284" s="1881"/>
      <c r="AJ284" s="1881"/>
      <c r="AK284" s="1881"/>
      <c r="AL284" s="1881"/>
      <c r="AM284" s="1881"/>
      <c r="AN284" s="1881"/>
      <c r="AO284" s="1881"/>
      <c r="AP284" s="1881"/>
      <c r="AQ284" s="1881"/>
      <c r="AR284" s="1881"/>
      <c r="AS284" s="1881"/>
      <c r="AT284" s="1881"/>
      <c r="AU284" s="1881"/>
      <c r="AV284" s="1881"/>
      <c r="AW284" s="1881"/>
      <c r="AX284" s="1881"/>
      <c r="AY284" s="1881"/>
      <c r="AZ284" s="1881"/>
      <c r="BA284" s="1881"/>
      <c r="BB284" s="1881"/>
      <c r="BC284" s="1881"/>
      <c r="BD284" s="1881"/>
      <c r="BE284" s="1881"/>
      <c r="BF284" s="1881"/>
      <c r="BG284" s="1881"/>
    </row>
    <row r="285" spans="1:59">
      <c r="A285" s="1881"/>
      <c r="B285" s="1881"/>
      <c r="C285" s="1881"/>
      <c r="D285" s="1881"/>
      <c r="E285" s="1881"/>
      <c r="F285" s="1881"/>
      <c r="G285" s="1881"/>
      <c r="H285" s="1881"/>
      <c r="I285" s="1881"/>
      <c r="J285" s="1881"/>
      <c r="K285" s="1881"/>
      <c r="L285" s="1881"/>
      <c r="M285" s="1881"/>
      <c r="N285" s="1881"/>
      <c r="O285" s="1881"/>
      <c r="P285" s="1881"/>
      <c r="Q285" s="1881"/>
      <c r="R285" s="1881"/>
      <c r="S285" s="1881"/>
      <c r="T285" s="1881"/>
      <c r="U285" s="1881"/>
      <c r="V285" s="1881"/>
      <c r="W285" s="1881"/>
      <c r="X285" s="1881"/>
      <c r="Y285" s="1881"/>
      <c r="Z285" s="1881"/>
      <c r="AA285" s="1881"/>
      <c r="AB285" s="1881"/>
      <c r="AC285" s="1881"/>
      <c r="AD285" s="1881"/>
      <c r="AE285" s="1881"/>
      <c r="AF285" s="1881"/>
      <c r="AG285" s="1881"/>
      <c r="AH285" s="1881"/>
      <c r="AI285" s="1881"/>
      <c r="AJ285" s="1881"/>
      <c r="AK285" s="1881"/>
      <c r="AL285" s="1881"/>
      <c r="AM285" s="1881"/>
      <c r="AN285" s="1881"/>
      <c r="AO285" s="1881"/>
      <c r="AP285" s="1881"/>
      <c r="AQ285" s="1881"/>
      <c r="AR285" s="1881"/>
      <c r="AS285" s="1881"/>
      <c r="AT285" s="1881"/>
      <c r="AU285" s="1881"/>
      <c r="AV285" s="1881"/>
      <c r="AW285" s="1881"/>
      <c r="AX285" s="1881"/>
      <c r="AY285" s="1881"/>
      <c r="AZ285" s="1881"/>
      <c r="BA285" s="1881"/>
      <c r="BB285" s="1881"/>
      <c r="BC285" s="1881"/>
      <c r="BD285" s="1881"/>
      <c r="BE285" s="1881"/>
      <c r="BF285" s="1881"/>
      <c r="BG285" s="1881"/>
    </row>
    <row r="286" spans="1:59">
      <c r="A286" s="1881"/>
      <c r="B286" s="1881"/>
      <c r="C286" s="1881"/>
      <c r="D286" s="1881"/>
      <c r="E286" s="1881"/>
      <c r="F286" s="1881"/>
      <c r="G286" s="1881"/>
      <c r="H286" s="1881"/>
      <c r="I286" s="1881"/>
      <c r="J286" s="1881"/>
      <c r="K286" s="1881"/>
      <c r="L286" s="1881"/>
      <c r="M286" s="1881"/>
      <c r="N286" s="1881"/>
      <c r="O286" s="1881"/>
      <c r="P286" s="1881"/>
      <c r="Q286" s="1881"/>
      <c r="R286" s="1881"/>
      <c r="S286" s="1881"/>
      <c r="T286" s="1881"/>
      <c r="U286" s="1881"/>
      <c r="V286" s="1881"/>
      <c r="W286" s="1881"/>
      <c r="X286" s="1881"/>
      <c r="Y286" s="1881"/>
      <c r="Z286" s="1881"/>
      <c r="AA286" s="1881"/>
      <c r="AB286" s="1881"/>
      <c r="AC286" s="1881"/>
      <c r="AD286" s="1881"/>
      <c r="AE286" s="1881"/>
      <c r="AF286" s="1881"/>
      <c r="AG286" s="1881"/>
      <c r="AH286" s="1881"/>
      <c r="AI286" s="1881"/>
      <c r="AJ286" s="1881"/>
      <c r="AK286" s="1881"/>
      <c r="AL286" s="1881"/>
      <c r="AM286" s="1881"/>
      <c r="AN286" s="1881"/>
      <c r="AO286" s="1881"/>
      <c r="AP286" s="1881"/>
      <c r="AQ286" s="1881"/>
      <c r="AR286" s="1881"/>
      <c r="AS286" s="1881"/>
      <c r="AT286" s="1881"/>
      <c r="AU286" s="1881"/>
      <c r="AV286" s="1881"/>
      <c r="AW286" s="1881"/>
      <c r="AX286" s="1881"/>
      <c r="AY286" s="1881"/>
      <c r="AZ286" s="1881"/>
      <c r="BA286" s="1881"/>
      <c r="BB286" s="1881"/>
      <c r="BC286" s="1881"/>
      <c r="BD286" s="1881"/>
      <c r="BE286" s="1881"/>
      <c r="BF286" s="1881"/>
      <c r="BG286" s="1881"/>
    </row>
    <row r="287" spans="1:59">
      <c r="A287" s="1881"/>
      <c r="B287" s="1881"/>
      <c r="C287" s="1881"/>
      <c r="D287" s="1881"/>
      <c r="E287" s="1881"/>
      <c r="F287" s="1881"/>
      <c r="G287" s="1881"/>
      <c r="H287" s="1881"/>
      <c r="I287" s="1881"/>
      <c r="J287" s="1881"/>
      <c r="K287" s="1881"/>
      <c r="L287" s="1881"/>
      <c r="M287" s="1881"/>
      <c r="N287" s="1881"/>
      <c r="O287" s="1881"/>
      <c r="P287" s="1881"/>
      <c r="Q287" s="1881"/>
      <c r="R287" s="1881"/>
      <c r="S287" s="1881"/>
      <c r="T287" s="1881"/>
      <c r="U287" s="1881"/>
      <c r="V287" s="1881"/>
      <c r="W287" s="1881"/>
      <c r="X287" s="1881"/>
      <c r="Y287" s="1881"/>
      <c r="Z287" s="1881"/>
      <c r="AA287" s="1881"/>
      <c r="AB287" s="1881"/>
      <c r="AC287" s="1881"/>
      <c r="AD287" s="1881"/>
      <c r="AE287" s="1881"/>
      <c r="AF287" s="1881"/>
      <c r="AG287" s="1881"/>
      <c r="AH287" s="1881"/>
      <c r="AI287" s="1881"/>
      <c r="AJ287" s="1881"/>
      <c r="AK287" s="1881"/>
      <c r="AL287" s="1881"/>
      <c r="AM287" s="1881"/>
      <c r="AN287" s="1881"/>
      <c r="AO287" s="1881"/>
      <c r="AP287" s="1881"/>
      <c r="AQ287" s="1881"/>
      <c r="AR287" s="1881"/>
      <c r="AS287" s="1881"/>
      <c r="AT287" s="1881"/>
      <c r="AU287" s="1881"/>
      <c r="AV287" s="1881"/>
      <c r="AW287" s="1881"/>
      <c r="AX287" s="1881"/>
      <c r="AY287" s="1881"/>
      <c r="AZ287" s="1881"/>
      <c r="BA287" s="1881"/>
      <c r="BB287" s="1881"/>
      <c r="BC287" s="1881"/>
      <c r="BD287" s="1881"/>
      <c r="BE287" s="1881"/>
      <c r="BF287" s="1881"/>
      <c r="BG287" s="1881"/>
    </row>
    <row r="288" spans="1:59">
      <c r="A288" s="1881"/>
      <c r="B288" s="1881"/>
      <c r="C288" s="1881"/>
      <c r="D288" s="1881"/>
      <c r="E288" s="1881"/>
      <c r="F288" s="1881"/>
      <c r="G288" s="1881"/>
      <c r="H288" s="1881"/>
      <c r="I288" s="1881"/>
      <c r="J288" s="1881"/>
      <c r="K288" s="1881"/>
      <c r="L288" s="1881"/>
      <c r="M288" s="1881"/>
      <c r="N288" s="1881"/>
      <c r="O288" s="1881"/>
      <c r="P288" s="1881"/>
      <c r="Q288" s="1881"/>
      <c r="R288" s="1881"/>
      <c r="S288" s="1881"/>
      <c r="T288" s="1881"/>
      <c r="U288" s="1881"/>
      <c r="V288" s="1881"/>
      <c r="W288" s="1881"/>
      <c r="X288" s="1881"/>
      <c r="Y288" s="1881"/>
      <c r="Z288" s="1881"/>
      <c r="AA288" s="1881"/>
      <c r="AB288" s="1881"/>
      <c r="AC288" s="1881"/>
      <c r="AD288" s="1881"/>
      <c r="AE288" s="1881"/>
      <c r="AF288" s="1881"/>
      <c r="AG288" s="1881"/>
      <c r="AH288" s="1881"/>
      <c r="AI288" s="1881"/>
      <c r="AJ288" s="1881"/>
      <c r="AK288" s="1881"/>
      <c r="AL288" s="1881"/>
      <c r="AM288" s="1881"/>
      <c r="AN288" s="1881"/>
      <c r="AO288" s="1881"/>
      <c r="AP288" s="1881"/>
      <c r="AQ288" s="1881"/>
      <c r="AR288" s="1881"/>
      <c r="AS288" s="1881"/>
      <c r="AT288" s="1881"/>
      <c r="AU288" s="1881"/>
      <c r="AV288" s="1881"/>
      <c r="AW288" s="1881"/>
      <c r="AX288" s="1881"/>
      <c r="AY288" s="1881"/>
      <c r="AZ288" s="1881"/>
      <c r="BA288" s="1881"/>
      <c r="BB288" s="1881"/>
      <c r="BC288" s="1881"/>
      <c r="BD288" s="1881"/>
      <c r="BE288" s="1881"/>
      <c r="BF288" s="1881"/>
      <c r="BG288" s="1881"/>
    </row>
    <row r="289" spans="1:59">
      <c r="A289" s="1881"/>
      <c r="B289" s="1881"/>
      <c r="C289" s="1881"/>
      <c r="D289" s="1881"/>
      <c r="E289" s="1881"/>
      <c r="F289" s="1881"/>
      <c r="G289" s="1881"/>
      <c r="H289" s="1881"/>
      <c r="I289" s="1881"/>
      <c r="J289" s="1881"/>
      <c r="K289" s="1881"/>
      <c r="L289" s="1881"/>
      <c r="M289" s="1881"/>
      <c r="N289" s="1881"/>
      <c r="O289" s="1881"/>
      <c r="P289" s="1881"/>
      <c r="Q289" s="1881"/>
      <c r="R289" s="1881"/>
      <c r="S289" s="1881"/>
      <c r="T289" s="1881"/>
      <c r="U289" s="1881"/>
      <c r="V289" s="1881"/>
      <c r="W289" s="1881"/>
      <c r="X289" s="1881"/>
      <c r="Y289" s="1881"/>
      <c r="Z289" s="1881"/>
      <c r="AA289" s="1881"/>
      <c r="AB289" s="1881"/>
      <c r="AC289" s="1881"/>
      <c r="AD289" s="1881"/>
      <c r="AE289" s="1881"/>
      <c r="AF289" s="1881"/>
      <c r="AG289" s="1881"/>
      <c r="AH289" s="1881"/>
      <c r="AI289" s="1881"/>
      <c r="AJ289" s="1881"/>
      <c r="AK289" s="1881"/>
      <c r="AL289" s="1881"/>
      <c r="AM289" s="1881"/>
      <c r="AN289" s="1881"/>
      <c r="AO289" s="1881"/>
      <c r="AP289" s="1881"/>
      <c r="AQ289" s="1881"/>
      <c r="AR289" s="1881"/>
      <c r="AS289" s="1881"/>
      <c r="AT289" s="1881"/>
      <c r="AU289" s="1881"/>
      <c r="AV289" s="1881"/>
      <c r="AW289" s="1881"/>
      <c r="AX289" s="1881"/>
      <c r="AY289" s="1881"/>
      <c r="AZ289" s="1881"/>
      <c r="BA289" s="1881"/>
      <c r="BB289" s="1881"/>
      <c r="BC289" s="1881"/>
      <c r="BD289" s="1881"/>
      <c r="BE289" s="1881"/>
      <c r="BF289" s="1881"/>
      <c r="BG289" s="1881"/>
    </row>
    <row r="290" spans="1:59">
      <c r="A290" s="1881"/>
      <c r="B290" s="1881"/>
      <c r="C290" s="1881"/>
      <c r="D290" s="1881"/>
      <c r="E290" s="1881"/>
      <c r="F290" s="1881"/>
      <c r="G290" s="1881"/>
      <c r="H290" s="1881"/>
      <c r="I290" s="1881"/>
      <c r="J290" s="1881"/>
      <c r="K290" s="1881"/>
      <c r="L290" s="1881"/>
      <c r="M290" s="1881"/>
      <c r="N290" s="1881"/>
      <c r="O290" s="1881"/>
      <c r="P290" s="1881"/>
      <c r="Q290" s="1881"/>
      <c r="R290" s="1881"/>
      <c r="S290" s="1881"/>
      <c r="T290" s="1881"/>
      <c r="U290" s="1881"/>
      <c r="V290" s="1881"/>
      <c r="W290" s="1881"/>
      <c r="X290" s="1881"/>
      <c r="Y290" s="1881"/>
      <c r="Z290" s="1881"/>
      <c r="AA290" s="1881"/>
      <c r="AB290" s="1881"/>
      <c r="AC290" s="1881"/>
      <c r="AD290" s="1881"/>
      <c r="AE290" s="1881"/>
      <c r="AF290" s="1881"/>
      <c r="AG290" s="1881"/>
      <c r="AH290" s="1881"/>
      <c r="AI290" s="1881"/>
      <c r="AJ290" s="1881"/>
      <c r="AK290" s="1881"/>
      <c r="AL290" s="1881"/>
      <c r="AM290" s="1881"/>
      <c r="AN290" s="1881"/>
      <c r="AO290" s="1881"/>
      <c r="AP290" s="1881"/>
      <c r="AQ290" s="1881"/>
      <c r="AR290" s="1881"/>
      <c r="AS290" s="1881"/>
      <c r="AT290" s="1881"/>
      <c r="AU290" s="1881"/>
      <c r="AV290" s="1881"/>
      <c r="AW290" s="1881"/>
      <c r="AX290" s="1881"/>
      <c r="AY290" s="1881"/>
      <c r="AZ290" s="1881"/>
      <c r="BA290" s="1881"/>
      <c r="BB290" s="1881"/>
      <c r="BC290" s="1881"/>
      <c r="BD290" s="1881"/>
      <c r="BE290" s="1881"/>
      <c r="BF290" s="1881"/>
      <c r="BG290" s="1881"/>
    </row>
    <row r="291" spans="1:59">
      <c r="A291" s="1881"/>
      <c r="B291" s="1881"/>
      <c r="C291" s="1881"/>
      <c r="D291" s="1881"/>
      <c r="E291" s="1881"/>
      <c r="F291" s="1881"/>
      <c r="G291" s="1881"/>
      <c r="H291" s="1881"/>
      <c r="I291" s="1881"/>
      <c r="J291" s="1881"/>
      <c r="K291" s="1881"/>
      <c r="L291" s="1881"/>
      <c r="M291" s="1881"/>
      <c r="N291" s="1881"/>
      <c r="O291" s="1881"/>
      <c r="P291" s="1881"/>
      <c r="Q291" s="1881"/>
      <c r="R291" s="1881"/>
      <c r="S291" s="1881"/>
      <c r="T291" s="1881"/>
      <c r="U291" s="1881"/>
      <c r="V291" s="1881"/>
      <c r="W291" s="1881"/>
      <c r="X291" s="1881"/>
      <c r="Y291" s="1881"/>
      <c r="Z291" s="1881"/>
      <c r="AA291" s="1881"/>
      <c r="AB291" s="1881"/>
      <c r="AC291" s="1881"/>
      <c r="AD291" s="1881"/>
      <c r="AE291" s="1881"/>
      <c r="AF291" s="1881"/>
      <c r="AG291" s="1881"/>
      <c r="AH291" s="1881"/>
      <c r="AI291" s="1881"/>
      <c r="AJ291" s="1881"/>
      <c r="AK291" s="1881"/>
      <c r="AL291" s="1881"/>
      <c r="AM291" s="1881"/>
      <c r="AN291" s="1881"/>
      <c r="AO291" s="1881"/>
      <c r="AP291" s="1881"/>
      <c r="AQ291" s="1881"/>
      <c r="AR291" s="1881"/>
      <c r="AS291" s="1881"/>
      <c r="AT291" s="1881"/>
      <c r="AU291" s="1881"/>
      <c r="AV291" s="1881"/>
      <c r="AW291" s="1881"/>
      <c r="AX291" s="1881"/>
      <c r="AY291" s="1881"/>
      <c r="AZ291" s="1881"/>
      <c r="BA291" s="1881"/>
      <c r="BB291" s="1881"/>
      <c r="BC291" s="1881"/>
      <c r="BD291" s="1881"/>
      <c r="BE291" s="1881"/>
      <c r="BF291" s="1881"/>
      <c r="BG291" s="1881"/>
    </row>
    <row r="292" spans="1:59">
      <c r="A292" s="1881"/>
      <c r="B292" s="1881"/>
      <c r="C292" s="1881"/>
      <c r="D292" s="1881"/>
      <c r="E292" s="1881"/>
      <c r="F292" s="1881"/>
      <c r="G292" s="1881"/>
      <c r="H292" s="1881"/>
      <c r="I292" s="1881"/>
      <c r="J292" s="1881"/>
      <c r="K292" s="1881"/>
      <c r="L292" s="1881"/>
      <c r="M292" s="1881"/>
      <c r="N292" s="1881"/>
      <c r="O292" s="1881"/>
      <c r="P292" s="1881"/>
      <c r="Q292" s="1881"/>
      <c r="R292" s="1881"/>
      <c r="S292" s="1881"/>
      <c r="T292" s="1881"/>
      <c r="U292" s="1881"/>
      <c r="V292" s="1881"/>
      <c r="W292" s="1881"/>
      <c r="X292" s="1881"/>
      <c r="Y292" s="1881"/>
      <c r="Z292" s="1881"/>
      <c r="AA292" s="1881"/>
      <c r="AB292" s="1881"/>
      <c r="AC292" s="1881"/>
      <c r="AD292" s="1881"/>
      <c r="AE292" s="1881"/>
      <c r="AF292" s="1881"/>
      <c r="AG292" s="1881"/>
      <c r="AH292" s="1881"/>
      <c r="AI292" s="1881"/>
      <c r="AJ292" s="1881"/>
      <c r="AK292" s="1881"/>
      <c r="AL292" s="1881"/>
      <c r="AM292" s="1881"/>
      <c r="AN292" s="1881"/>
      <c r="AO292" s="1881"/>
      <c r="AP292" s="1881"/>
      <c r="AQ292" s="1881"/>
      <c r="AR292" s="1881"/>
      <c r="AS292" s="1881"/>
      <c r="AT292" s="1881"/>
      <c r="AU292" s="1881"/>
      <c r="AV292" s="1881"/>
      <c r="AW292" s="1881"/>
      <c r="AX292" s="1881"/>
      <c r="AY292" s="1881"/>
      <c r="AZ292" s="1881"/>
      <c r="BA292" s="1881"/>
      <c r="BB292" s="1881"/>
      <c r="BC292" s="1881"/>
      <c r="BD292" s="1881"/>
      <c r="BE292" s="1881"/>
      <c r="BF292" s="1881"/>
      <c r="BG292" s="1881"/>
    </row>
    <row r="293" spans="1:59">
      <c r="A293" s="1881"/>
      <c r="B293" s="1881"/>
      <c r="C293" s="1881"/>
      <c r="D293" s="1881"/>
      <c r="E293" s="1881"/>
      <c r="F293" s="1881"/>
      <c r="G293" s="1881"/>
      <c r="H293" s="1881"/>
      <c r="I293" s="1881"/>
      <c r="J293" s="1881"/>
      <c r="K293" s="1881"/>
      <c r="L293" s="1881"/>
      <c r="M293" s="1881"/>
      <c r="N293" s="1881"/>
      <c r="O293" s="1881"/>
      <c r="P293" s="1881"/>
      <c r="Q293" s="1881"/>
      <c r="R293" s="1881"/>
      <c r="S293" s="1881"/>
      <c r="T293" s="1881"/>
      <c r="U293" s="1881"/>
      <c r="V293" s="1881"/>
      <c r="W293" s="1881"/>
      <c r="X293" s="1881"/>
      <c r="Y293" s="1881"/>
      <c r="Z293" s="1881"/>
      <c r="AA293" s="1881"/>
      <c r="AB293" s="1881"/>
      <c r="AC293" s="1881"/>
      <c r="AD293" s="1881"/>
      <c r="AE293" s="1881"/>
      <c r="AF293" s="1881"/>
      <c r="AG293" s="1881"/>
      <c r="AH293" s="1881"/>
      <c r="AI293" s="1881"/>
      <c r="AJ293" s="1881"/>
      <c r="AK293" s="1881"/>
      <c r="AL293" s="1881"/>
      <c r="AM293" s="1881"/>
      <c r="AN293" s="1881"/>
      <c r="AO293" s="1881"/>
      <c r="AP293" s="1881"/>
      <c r="AQ293" s="1881"/>
      <c r="AR293" s="1881"/>
      <c r="AS293" s="1881"/>
      <c r="AT293" s="1881"/>
      <c r="AU293" s="1881"/>
      <c r="AV293" s="1881"/>
      <c r="AW293" s="1881"/>
      <c r="AX293" s="1881"/>
      <c r="AY293" s="1881"/>
      <c r="AZ293" s="1881"/>
      <c r="BA293" s="1881"/>
      <c r="BB293" s="1881"/>
      <c r="BC293" s="1881"/>
      <c r="BD293" s="1881"/>
      <c r="BE293" s="1881"/>
      <c r="BF293" s="1881"/>
      <c r="BG293" s="1881"/>
    </row>
    <row r="294" spans="1:59">
      <c r="A294" s="1881"/>
      <c r="B294" s="1881"/>
      <c r="C294" s="1881"/>
      <c r="D294" s="1881"/>
      <c r="E294" s="1881"/>
      <c r="F294" s="1881"/>
      <c r="G294" s="1881"/>
      <c r="H294" s="1881"/>
      <c r="I294" s="1881"/>
      <c r="J294" s="1881"/>
      <c r="K294" s="1881"/>
      <c r="L294" s="1881"/>
      <c r="M294" s="1881"/>
      <c r="N294" s="1881"/>
      <c r="O294" s="1881"/>
      <c r="P294" s="1881"/>
      <c r="Q294" s="1881"/>
      <c r="R294" s="1881"/>
      <c r="S294" s="1881"/>
      <c r="T294" s="1881"/>
      <c r="U294" s="1881"/>
      <c r="V294" s="1881"/>
      <c r="W294" s="1881"/>
      <c r="X294" s="1881"/>
      <c r="Y294" s="1881"/>
      <c r="Z294" s="1881"/>
      <c r="AA294" s="1881"/>
      <c r="AB294" s="1881"/>
      <c r="AC294" s="1881"/>
      <c r="AD294" s="1881"/>
      <c r="AE294" s="1881"/>
      <c r="AF294" s="1881"/>
      <c r="AG294" s="1881"/>
      <c r="AH294" s="1881"/>
      <c r="AI294" s="1881"/>
      <c r="AJ294" s="1881"/>
      <c r="AK294" s="1881"/>
      <c r="AL294" s="1881"/>
      <c r="AM294" s="1881"/>
      <c r="AN294" s="1881"/>
      <c r="AO294" s="1881"/>
      <c r="AP294" s="1881"/>
      <c r="AQ294" s="1881"/>
      <c r="AR294" s="1881"/>
      <c r="AS294" s="1881"/>
      <c r="AT294" s="1881"/>
      <c r="AU294" s="1881"/>
      <c r="AV294" s="1881"/>
      <c r="AW294" s="1881"/>
      <c r="AX294" s="1881"/>
      <c r="AY294" s="1881"/>
      <c r="AZ294" s="1881"/>
      <c r="BA294" s="1881"/>
      <c r="BB294" s="1881"/>
      <c r="BC294" s="1881"/>
      <c r="BD294" s="1881"/>
      <c r="BE294" s="1881"/>
      <c r="BF294" s="1881"/>
      <c r="BG294" s="1881"/>
    </row>
    <row r="295" spans="1:59">
      <c r="A295" s="1881"/>
      <c r="B295" s="1881"/>
      <c r="C295" s="1881"/>
      <c r="D295" s="1881"/>
      <c r="E295" s="1881"/>
      <c r="F295" s="1881"/>
      <c r="G295" s="1881"/>
      <c r="H295" s="1881"/>
      <c r="I295" s="1881"/>
      <c r="J295" s="1881"/>
      <c r="K295" s="1881"/>
      <c r="L295" s="1881"/>
      <c r="M295" s="1881"/>
      <c r="N295" s="1881"/>
      <c r="O295" s="1881"/>
      <c r="P295" s="1881"/>
      <c r="Q295" s="1881"/>
      <c r="R295" s="1881"/>
      <c r="S295" s="1881"/>
      <c r="T295" s="1881"/>
      <c r="U295" s="1881"/>
      <c r="V295" s="1881"/>
      <c r="W295" s="1881"/>
      <c r="X295" s="1881"/>
      <c r="Y295" s="1881"/>
      <c r="Z295" s="1881"/>
      <c r="AA295" s="1881"/>
      <c r="AB295" s="1881"/>
      <c r="AC295" s="1881"/>
      <c r="AD295" s="1881"/>
      <c r="AE295" s="1881"/>
      <c r="AF295" s="1881"/>
      <c r="AG295" s="1881"/>
      <c r="AH295" s="1881"/>
      <c r="AI295" s="1881"/>
      <c r="AJ295" s="1881"/>
      <c r="AK295" s="1881"/>
      <c r="AL295" s="1881"/>
      <c r="AM295" s="1881"/>
      <c r="AN295" s="1881"/>
      <c r="AO295" s="1881"/>
      <c r="AP295" s="1881"/>
      <c r="AQ295" s="1881"/>
      <c r="AR295" s="1881"/>
      <c r="AS295" s="1881"/>
      <c r="AT295" s="1881"/>
      <c r="AU295" s="1881"/>
      <c r="AV295" s="1881"/>
      <c r="AW295" s="1881"/>
      <c r="AX295" s="1881"/>
      <c r="AY295" s="1881"/>
      <c r="AZ295" s="1881"/>
      <c r="BA295" s="1881"/>
      <c r="BB295" s="1881"/>
      <c r="BC295" s="1881"/>
      <c r="BD295" s="1881"/>
      <c r="BE295" s="1881"/>
      <c r="BF295" s="1881"/>
      <c r="BG295" s="1881"/>
    </row>
    <row r="296" spans="1:59">
      <c r="A296" s="1881"/>
      <c r="B296" s="1881"/>
      <c r="C296" s="1881"/>
      <c r="D296" s="1881"/>
      <c r="E296" s="1881"/>
      <c r="F296" s="1881"/>
      <c r="G296" s="1881"/>
      <c r="H296" s="1881"/>
      <c r="I296" s="1881"/>
      <c r="J296" s="1881"/>
      <c r="K296" s="1881"/>
      <c r="L296" s="1881"/>
      <c r="M296" s="1881"/>
      <c r="N296" s="1881"/>
      <c r="O296" s="1881"/>
      <c r="P296" s="1881"/>
      <c r="Q296" s="1881"/>
      <c r="R296" s="1881"/>
      <c r="S296" s="1881"/>
      <c r="T296" s="1881"/>
      <c r="U296" s="1881"/>
      <c r="V296" s="1881"/>
      <c r="W296" s="1881"/>
      <c r="X296" s="1881"/>
      <c r="Y296" s="1881"/>
      <c r="Z296" s="1881"/>
      <c r="AA296" s="1881"/>
      <c r="AB296" s="1881"/>
      <c r="AC296" s="1881"/>
      <c r="AD296" s="1881"/>
      <c r="AE296" s="1881"/>
      <c r="AF296" s="1881"/>
      <c r="AG296" s="1881"/>
      <c r="AH296" s="1881"/>
      <c r="AI296" s="1881"/>
      <c r="AJ296" s="1881"/>
      <c r="AK296" s="1881"/>
      <c r="AL296" s="1881"/>
      <c r="AM296" s="1881"/>
      <c r="AN296" s="1881"/>
      <c r="AO296" s="1881"/>
      <c r="AP296" s="1881"/>
      <c r="AQ296" s="1881"/>
      <c r="AR296" s="1881"/>
      <c r="AS296" s="1881"/>
      <c r="AT296" s="1881"/>
      <c r="AU296" s="1881"/>
      <c r="AV296" s="1881"/>
      <c r="AW296" s="1881"/>
      <c r="AX296" s="1881"/>
      <c r="AY296" s="1881"/>
      <c r="AZ296" s="1881"/>
      <c r="BA296" s="1881"/>
      <c r="BB296" s="1881"/>
      <c r="BC296" s="1881"/>
      <c r="BD296" s="1881"/>
      <c r="BE296" s="1881"/>
      <c r="BF296" s="1881"/>
      <c r="BG296" s="1881"/>
    </row>
    <row r="297" spans="1:59">
      <c r="A297" s="1881"/>
      <c r="B297" s="1881"/>
      <c r="C297" s="1881"/>
      <c r="D297" s="1881"/>
      <c r="E297" s="1881"/>
      <c r="F297" s="1881"/>
      <c r="G297" s="1881"/>
      <c r="H297" s="1881"/>
      <c r="I297" s="1881"/>
      <c r="J297" s="1881"/>
      <c r="K297" s="1881"/>
      <c r="L297" s="1881"/>
      <c r="M297" s="1881"/>
      <c r="N297" s="1881"/>
      <c r="O297" s="1881"/>
      <c r="P297" s="1881"/>
      <c r="Q297" s="1881"/>
      <c r="R297" s="1881"/>
      <c r="S297" s="1881"/>
      <c r="T297" s="1881"/>
      <c r="U297" s="1881"/>
      <c r="V297" s="1881"/>
      <c r="W297" s="1881"/>
      <c r="X297" s="1881"/>
      <c r="Y297" s="1881"/>
      <c r="Z297" s="1881"/>
      <c r="AA297" s="1881"/>
      <c r="AB297" s="1881"/>
      <c r="AC297" s="1881"/>
      <c r="AD297" s="1881"/>
      <c r="AE297" s="1881"/>
      <c r="AF297" s="1881"/>
      <c r="AG297" s="1881"/>
      <c r="AH297" s="1881"/>
      <c r="AI297" s="1881"/>
      <c r="AJ297" s="1881"/>
      <c r="AK297" s="1881"/>
      <c r="AL297" s="1881"/>
      <c r="AM297" s="1881"/>
      <c r="AN297" s="1881"/>
      <c r="AO297" s="1881"/>
      <c r="AP297" s="1881"/>
      <c r="AQ297" s="1881"/>
      <c r="AR297" s="1881"/>
      <c r="AS297" s="1881"/>
      <c r="AT297" s="1881"/>
      <c r="AU297" s="1881"/>
      <c r="AV297" s="1881"/>
      <c r="AW297" s="1881"/>
      <c r="AX297" s="1881"/>
      <c r="AY297" s="1881"/>
      <c r="AZ297" s="1881"/>
      <c r="BA297" s="1881"/>
      <c r="BB297" s="1881"/>
      <c r="BC297" s="1881"/>
      <c r="BD297" s="1881"/>
      <c r="BE297" s="1881"/>
      <c r="BF297" s="1881"/>
      <c r="BG297" s="1881"/>
    </row>
    <row r="298" spans="1:59">
      <c r="A298" s="1881"/>
      <c r="B298" s="1881"/>
      <c r="C298" s="1881"/>
      <c r="D298" s="1881"/>
      <c r="E298" s="1881"/>
      <c r="F298" s="1881"/>
      <c r="G298" s="1881"/>
      <c r="H298" s="1881"/>
      <c r="I298" s="1881"/>
      <c r="J298" s="1881"/>
      <c r="K298" s="1881"/>
      <c r="L298" s="1881"/>
      <c r="M298" s="1881"/>
      <c r="N298" s="1881"/>
      <c r="O298" s="1881"/>
      <c r="P298" s="1881"/>
      <c r="Q298" s="1881"/>
      <c r="R298" s="1881"/>
      <c r="S298" s="1881"/>
      <c r="T298" s="1881"/>
      <c r="U298" s="1881"/>
      <c r="V298" s="1881"/>
      <c r="W298" s="1881"/>
      <c r="X298" s="1881"/>
      <c r="Y298" s="1881"/>
      <c r="Z298" s="1881"/>
      <c r="AA298" s="1881"/>
      <c r="AB298" s="1881"/>
      <c r="AC298" s="1881"/>
      <c r="AD298" s="1881"/>
      <c r="AE298" s="1881"/>
      <c r="AF298" s="1881"/>
      <c r="AG298" s="1881"/>
      <c r="AH298" s="1881"/>
      <c r="AI298" s="1881"/>
      <c r="AJ298" s="1881"/>
      <c r="AK298" s="1881"/>
      <c r="AL298" s="1881"/>
      <c r="AM298" s="1881"/>
      <c r="AN298" s="1881"/>
      <c r="AO298" s="1881"/>
      <c r="AP298" s="1881"/>
      <c r="AQ298" s="1881"/>
      <c r="AR298" s="1881"/>
      <c r="AS298" s="1881"/>
      <c r="AT298" s="1881"/>
      <c r="AU298" s="1881"/>
      <c r="AV298" s="1881"/>
      <c r="AW298" s="1881"/>
      <c r="AX298" s="1881"/>
      <c r="AY298" s="1881"/>
      <c r="AZ298" s="1881"/>
      <c r="BA298" s="1881"/>
      <c r="BB298" s="1881"/>
      <c r="BC298" s="1881"/>
      <c r="BD298" s="1881"/>
      <c r="BE298" s="1881"/>
      <c r="BF298" s="1881"/>
      <c r="BG298" s="1881"/>
    </row>
    <row r="299" spans="1:59">
      <c r="A299" s="1881"/>
      <c r="B299" s="1881"/>
      <c r="C299" s="1881"/>
      <c r="D299" s="1881"/>
      <c r="E299" s="1881"/>
      <c r="F299" s="1881"/>
      <c r="G299" s="1881"/>
      <c r="H299" s="1881"/>
      <c r="I299" s="1881"/>
      <c r="J299" s="1881"/>
      <c r="K299" s="1881"/>
      <c r="L299" s="1881"/>
      <c r="M299" s="1881"/>
      <c r="N299" s="1881"/>
      <c r="O299" s="1881"/>
      <c r="P299" s="1881"/>
      <c r="Q299" s="1881"/>
      <c r="R299" s="1881"/>
      <c r="S299" s="1881"/>
      <c r="T299" s="1881"/>
      <c r="U299" s="1881"/>
      <c r="V299" s="1881"/>
      <c r="W299" s="1881"/>
      <c r="X299" s="1881"/>
      <c r="Y299" s="1881"/>
      <c r="Z299" s="1881"/>
      <c r="AA299" s="1881"/>
      <c r="AB299" s="1881"/>
      <c r="AC299" s="1881"/>
      <c r="AD299" s="1881"/>
      <c r="AE299" s="1881"/>
      <c r="AF299" s="1881"/>
      <c r="AG299" s="1881"/>
      <c r="AH299" s="1881"/>
      <c r="AI299" s="1881"/>
      <c r="AJ299" s="1881"/>
      <c r="AK299" s="1881"/>
      <c r="AL299" s="1881"/>
      <c r="AM299" s="1881"/>
      <c r="AN299" s="1881"/>
      <c r="AO299" s="1881"/>
      <c r="AP299" s="1881"/>
      <c r="AQ299" s="1881"/>
      <c r="AR299" s="1881"/>
      <c r="AS299" s="1881"/>
      <c r="AT299" s="1881"/>
      <c r="AU299" s="1881"/>
      <c r="AV299" s="1881"/>
      <c r="AW299" s="1881"/>
      <c r="AX299" s="1881"/>
      <c r="AY299" s="1881"/>
      <c r="AZ299" s="1881"/>
      <c r="BA299" s="1881"/>
      <c r="BB299" s="1881"/>
      <c r="BC299" s="1881"/>
      <c r="BD299" s="1881"/>
      <c r="BE299" s="1881"/>
      <c r="BF299" s="1881"/>
      <c r="BG299" s="1881"/>
    </row>
    <row r="300" spans="1:59">
      <c r="A300" s="1881"/>
      <c r="B300" s="1881"/>
      <c r="C300" s="1881"/>
      <c r="D300" s="1881"/>
      <c r="E300" s="1881"/>
      <c r="F300" s="1881"/>
      <c r="G300" s="1881"/>
      <c r="H300" s="1881"/>
      <c r="I300" s="1881"/>
      <c r="J300" s="1881"/>
      <c r="K300" s="1881"/>
      <c r="L300" s="1881"/>
      <c r="M300" s="1881"/>
      <c r="N300" s="1881"/>
      <c r="O300" s="1881"/>
      <c r="P300" s="1881"/>
      <c r="Q300" s="1881"/>
      <c r="R300" s="1881"/>
      <c r="S300" s="1881"/>
      <c r="T300" s="1881"/>
      <c r="U300" s="1881"/>
      <c r="V300" s="1881"/>
      <c r="W300" s="1881"/>
      <c r="X300" s="1881"/>
      <c r="Y300" s="1881"/>
      <c r="Z300" s="1881"/>
      <c r="AA300" s="1881"/>
      <c r="AB300" s="1881"/>
      <c r="AC300" s="1881"/>
      <c r="AD300" s="1881"/>
      <c r="AE300" s="1881"/>
      <c r="AF300" s="1881"/>
      <c r="AG300" s="1881"/>
      <c r="AH300" s="1881"/>
      <c r="AI300" s="1881"/>
      <c r="AJ300" s="1881"/>
      <c r="AK300" s="1881"/>
      <c r="AL300" s="1881"/>
      <c r="AM300" s="1881"/>
      <c r="AN300" s="1881"/>
      <c r="AO300" s="1881"/>
      <c r="AP300" s="1881"/>
      <c r="AQ300" s="1881"/>
      <c r="AR300" s="1881"/>
      <c r="AS300" s="1881"/>
      <c r="AT300" s="1881"/>
      <c r="AU300" s="1881"/>
      <c r="AV300" s="1881"/>
      <c r="AW300" s="1881"/>
      <c r="AX300" s="1881"/>
      <c r="AY300" s="1881"/>
      <c r="AZ300" s="1881"/>
      <c r="BA300" s="1881"/>
      <c r="BB300" s="1881"/>
      <c r="BC300" s="1881"/>
      <c r="BD300" s="1881"/>
      <c r="BE300" s="1881"/>
      <c r="BF300" s="1881"/>
      <c r="BG300" s="1881"/>
    </row>
    <row r="301" spans="1:59">
      <c r="A301" s="1881"/>
      <c r="B301" s="1881"/>
      <c r="C301" s="1881"/>
      <c r="D301" s="1881"/>
      <c r="E301" s="1881"/>
      <c r="F301" s="1881"/>
      <c r="G301" s="1881"/>
      <c r="H301" s="1881"/>
      <c r="I301" s="1881"/>
      <c r="J301" s="1881"/>
      <c r="K301" s="1881"/>
      <c r="L301" s="1881"/>
      <c r="M301" s="1881"/>
      <c r="N301" s="1881"/>
      <c r="O301" s="1881"/>
      <c r="P301" s="1881"/>
      <c r="Q301" s="1881"/>
      <c r="R301" s="1881"/>
      <c r="S301" s="1881"/>
      <c r="T301" s="1881"/>
      <c r="U301" s="1881"/>
      <c r="V301" s="1881"/>
      <c r="W301" s="1881"/>
      <c r="X301" s="1881"/>
      <c r="Y301" s="1881"/>
      <c r="Z301" s="1881"/>
      <c r="AA301" s="1881"/>
      <c r="AB301" s="1881"/>
      <c r="AC301" s="1881"/>
      <c r="AD301" s="1881"/>
      <c r="AE301" s="1881"/>
      <c r="AF301" s="1881"/>
      <c r="AG301" s="1881"/>
      <c r="AH301" s="1881"/>
      <c r="AI301" s="1881"/>
      <c r="AJ301" s="1881"/>
      <c r="AK301" s="1881"/>
      <c r="AL301" s="1881"/>
      <c r="AM301" s="1881"/>
      <c r="AN301" s="1881"/>
      <c r="AO301" s="1881"/>
      <c r="AP301" s="1881"/>
      <c r="AQ301" s="1881"/>
      <c r="AR301" s="1881"/>
      <c r="AS301" s="1881"/>
      <c r="AT301" s="1881"/>
      <c r="AU301" s="1881"/>
      <c r="AV301" s="1881"/>
      <c r="AW301" s="1881"/>
      <c r="AX301" s="1881"/>
      <c r="AY301" s="1881"/>
      <c r="AZ301" s="1881"/>
      <c r="BA301" s="1881"/>
      <c r="BB301" s="1881"/>
      <c r="BC301" s="1881"/>
      <c r="BD301" s="1881"/>
      <c r="BE301" s="1881"/>
      <c r="BF301" s="1881"/>
      <c r="BG301" s="1881"/>
    </row>
    <row r="302" spans="1:59">
      <c r="A302" s="1881"/>
      <c r="B302" s="1881"/>
      <c r="C302" s="1881"/>
      <c r="D302" s="1881"/>
      <c r="E302" s="1881"/>
      <c r="F302" s="1881"/>
      <c r="G302" s="1881"/>
      <c r="H302" s="1881"/>
      <c r="I302" s="1881"/>
      <c r="J302" s="1881"/>
      <c r="K302" s="1881"/>
      <c r="L302" s="1881"/>
      <c r="M302" s="1881"/>
      <c r="N302" s="1881"/>
      <c r="O302" s="1881"/>
      <c r="P302" s="1881"/>
      <c r="Q302" s="1881"/>
      <c r="R302" s="1881"/>
      <c r="S302" s="1881"/>
      <c r="T302" s="1881"/>
      <c r="U302" s="1881"/>
      <c r="V302" s="1881"/>
      <c r="W302" s="1881"/>
      <c r="X302" s="1881"/>
      <c r="Y302" s="1881"/>
      <c r="Z302" s="1881"/>
      <c r="AA302" s="1881"/>
      <c r="AB302" s="1881"/>
      <c r="AC302" s="1881"/>
      <c r="AD302" s="1881"/>
      <c r="AE302" s="1881"/>
      <c r="AF302" s="1881"/>
      <c r="AG302" s="1881"/>
      <c r="AH302" s="1881"/>
      <c r="AI302" s="1881"/>
      <c r="AJ302" s="1881"/>
      <c r="AK302" s="1881"/>
      <c r="AL302" s="1881"/>
      <c r="AM302" s="1881"/>
      <c r="AN302" s="1881"/>
      <c r="AO302" s="1881"/>
      <c r="AP302" s="1881"/>
      <c r="AQ302" s="1881"/>
      <c r="AR302" s="1881"/>
      <c r="AS302" s="1881"/>
      <c r="AT302" s="1881"/>
      <c r="AU302" s="1881"/>
      <c r="AV302" s="1881"/>
      <c r="AW302" s="1881"/>
      <c r="AX302" s="1881"/>
      <c r="AY302" s="1881"/>
      <c r="AZ302" s="1881"/>
      <c r="BA302" s="1881"/>
      <c r="BB302" s="1881"/>
      <c r="BC302" s="1881"/>
      <c r="BD302" s="1881"/>
      <c r="BE302" s="1881"/>
      <c r="BF302" s="1881"/>
      <c r="BG302" s="1881"/>
    </row>
    <row r="303" spans="1:59">
      <c r="A303" s="1881"/>
      <c r="B303" s="1881"/>
      <c r="C303" s="1881"/>
      <c r="D303" s="1881"/>
      <c r="E303" s="1881"/>
      <c r="F303" s="1881"/>
      <c r="G303" s="1881"/>
      <c r="H303" s="1881"/>
      <c r="I303" s="1881"/>
      <c r="J303" s="1881"/>
      <c r="K303" s="1881"/>
      <c r="L303" s="1881"/>
      <c r="M303" s="1881"/>
      <c r="N303" s="1881"/>
      <c r="O303" s="1881"/>
      <c r="P303" s="1881"/>
      <c r="Q303" s="1881"/>
      <c r="R303" s="1881"/>
      <c r="S303" s="1881"/>
      <c r="T303" s="1881"/>
      <c r="U303" s="1881"/>
      <c r="V303" s="1881"/>
      <c r="W303" s="1881"/>
      <c r="X303" s="1881"/>
      <c r="Y303" s="1881"/>
      <c r="Z303" s="1881"/>
      <c r="AA303" s="1881"/>
      <c r="AB303" s="1881"/>
      <c r="AC303" s="1881"/>
      <c r="AD303" s="1881"/>
      <c r="AE303" s="1881"/>
      <c r="AF303" s="1881"/>
      <c r="AG303" s="1881"/>
      <c r="AH303" s="1881"/>
      <c r="AI303" s="1881"/>
      <c r="AJ303" s="1881"/>
      <c r="AK303" s="1881"/>
      <c r="AL303" s="1881"/>
      <c r="AM303" s="1881"/>
      <c r="AN303" s="1881"/>
      <c r="AO303" s="1881"/>
      <c r="AP303" s="1881"/>
      <c r="AQ303" s="1881"/>
      <c r="AR303" s="1881"/>
      <c r="AS303" s="1881"/>
      <c r="AT303" s="1881"/>
      <c r="AU303" s="1881"/>
      <c r="AV303" s="1881"/>
      <c r="AW303" s="1881"/>
      <c r="AX303" s="1881"/>
      <c r="AY303" s="1881"/>
      <c r="AZ303" s="1881"/>
      <c r="BA303" s="1881"/>
      <c r="BB303" s="1881"/>
      <c r="BC303" s="1881"/>
      <c r="BD303" s="1881"/>
      <c r="BE303" s="1881"/>
      <c r="BF303" s="1881"/>
      <c r="BG303" s="1881"/>
    </row>
    <row r="304" spans="1:59">
      <c r="A304" s="1881"/>
      <c r="B304" s="1881"/>
      <c r="C304" s="1881"/>
      <c r="D304" s="1881"/>
      <c r="E304" s="1881"/>
      <c r="F304" s="1881"/>
      <c r="G304" s="1881"/>
      <c r="H304" s="1881"/>
      <c r="I304" s="1881"/>
      <c r="J304" s="1881"/>
      <c r="K304" s="1881"/>
      <c r="L304" s="1881"/>
      <c r="M304" s="1881"/>
      <c r="N304" s="1881"/>
      <c r="O304" s="1881"/>
      <c r="P304" s="1881"/>
      <c r="Q304" s="1881"/>
      <c r="R304" s="1881"/>
      <c r="S304" s="1881"/>
      <c r="T304" s="1881"/>
      <c r="U304" s="1881"/>
      <c r="V304" s="1881"/>
      <c r="W304" s="1881"/>
      <c r="X304" s="1881"/>
      <c r="Y304" s="1881"/>
      <c r="Z304" s="1881"/>
      <c r="AA304" s="1881"/>
      <c r="AB304" s="1881"/>
      <c r="AC304" s="1881"/>
      <c r="AD304" s="1881"/>
      <c r="AE304" s="1881"/>
      <c r="AF304" s="1881"/>
      <c r="AG304" s="1881"/>
      <c r="AH304" s="1881"/>
      <c r="AI304" s="1881"/>
      <c r="AJ304" s="1881"/>
      <c r="AK304" s="1881"/>
      <c r="AL304" s="1881"/>
      <c r="AM304" s="1881"/>
      <c r="AN304" s="1881"/>
      <c r="AO304" s="1881"/>
      <c r="AP304" s="1881"/>
      <c r="AQ304" s="1881"/>
      <c r="AR304" s="1881"/>
      <c r="AS304" s="1881"/>
      <c r="AT304" s="1881"/>
      <c r="AU304" s="1881"/>
      <c r="AV304" s="1881"/>
      <c r="AW304" s="1881"/>
      <c r="AX304" s="1881"/>
      <c r="AY304" s="1881"/>
      <c r="AZ304" s="1881"/>
      <c r="BA304" s="1881"/>
      <c r="BB304" s="1881"/>
      <c r="BC304" s="1881"/>
      <c r="BD304" s="1881"/>
      <c r="BE304" s="1881"/>
      <c r="BF304" s="1881"/>
      <c r="BG304" s="1881"/>
    </row>
    <row r="305" spans="1:59">
      <c r="A305" s="1881"/>
      <c r="B305" s="1881"/>
      <c r="C305" s="1881"/>
      <c r="D305" s="1881"/>
      <c r="E305" s="1881"/>
      <c r="F305" s="1881"/>
      <c r="G305" s="1881"/>
      <c r="H305" s="1881"/>
      <c r="I305" s="1881"/>
      <c r="J305" s="1881"/>
      <c r="K305" s="1881"/>
      <c r="L305" s="1881"/>
      <c r="M305" s="1881"/>
      <c r="N305" s="1881"/>
      <c r="O305" s="1881"/>
      <c r="P305" s="1881"/>
      <c r="Q305" s="1881"/>
      <c r="R305" s="1881"/>
      <c r="S305" s="1881"/>
      <c r="T305" s="1881"/>
      <c r="U305" s="1881"/>
      <c r="V305" s="1881"/>
      <c r="W305" s="1881"/>
      <c r="X305" s="1881"/>
      <c r="Y305" s="1881"/>
      <c r="Z305" s="1881"/>
      <c r="AA305" s="1881"/>
      <c r="AB305" s="1881"/>
      <c r="AC305" s="1881"/>
      <c r="AD305" s="1881"/>
      <c r="AE305" s="1881"/>
      <c r="AF305" s="1881"/>
      <c r="AG305" s="1881"/>
      <c r="AH305" s="1881"/>
      <c r="AI305" s="1881"/>
      <c r="AJ305" s="1881"/>
      <c r="AK305" s="1881"/>
      <c r="AL305" s="1881"/>
      <c r="AM305" s="1881"/>
      <c r="AN305" s="1881"/>
      <c r="AO305" s="1881"/>
      <c r="AP305" s="1881"/>
      <c r="AQ305" s="1881"/>
      <c r="AR305" s="1881"/>
      <c r="AS305" s="1881"/>
      <c r="AT305" s="1881"/>
      <c r="AU305" s="1881"/>
      <c r="AV305" s="1881"/>
      <c r="AW305" s="1881"/>
      <c r="AX305" s="1881"/>
      <c r="AY305" s="1881"/>
      <c r="AZ305" s="1881"/>
      <c r="BA305" s="1881"/>
      <c r="BB305" s="1881"/>
      <c r="BC305" s="1881"/>
      <c r="BD305" s="1881"/>
      <c r="BE305" s="1881"/>
      <c r="BF305" s="1881"/>
      <c r="BG305" s="1881"/>
    </row>
    <row r="306" spans="1:59">
      <c r="A306" s="1881"/>
      <c r="B306" s="1881"/>
      <c r="C306" s="1881"/>
      <c r="D306" s="1881"/>
      <c r="E306" s="1881"/>
      <c r="F306" s="1881"/>
      <c r="G306" s="1881"/>
      <c r="H306" s="1881"/>
      <c r="I306" s="1881"/>
      <c r="J306" s="1881"/>
      <c r="K306" s="1881"/>
      <c r="L306" s="1881"/>
      <c r="M306" s="1881"/>
      <c r="N306" s="1881"/>
      <c r="O306" s="1881"/>
      <c r="P306" s="1881"/>
      <c r="Q306" s="1881"/>
      <c r="R306" s="1881"/>
      <c r="S306" s="1881"/>
      <c r="T306" s="1881"/>
      <c r="U306" s="1881"/>
      <c r="V306" s="1881"/>
      <c r="W306" s="1881"/>
      <c r="X306" s="1881"/>
      <c r="Y306" s="1881"/>
      <c r="Z306" s="1881"/>
      <c r="AA306" s="1881"/>
      <c r="AB306" s="1881"/>
      <c r="AC306" s="1881"/>
      <c r="AD306" s="1881"/>
      <c r="AE306" s="1881"/>
      <c r="AF306" s="1881"/>
      <c r="AG306" s="1881"/>
      <c r="AH306" s="1881"/>
      <c r="AI306" s="1881"/>
      <c r="AJ306" s="1881"/>
      <c r="AK306" s="1881"/>
      <c r="AL306" s="1881"/>
      <c r="AM306" s="1881"/>
      <c r="AN306" s="1881"/>
      <c r="AO306" s="1881"/>
      <c r="AP306" s="1881"/>
      <c r="AQ306" s="1881"/>
      <c r="AR306" s="1881"/>
      <c r="AS306" s="1881"/>
      <c r="AT306" s="1881"/>
      <c r="AU306" s="1881"/>
      <c r="AV306" s="1881"/>
      <c r="AW306" s="1881"/>
      <c r="AX306" s="1881"/>
      <c r="AY306" s="1881"/>
      <c r="AZ306" s="1881"/>
      <c r="BA306" s="1881"/>
      <c r="BB306" s="1881"/>
      <c r="BC306" s="1881"/>
      <c r="BD306" s="1881"/>
      <c r="BE306" s="1881"/>
      <c r="BF306" s="1881"/>
      <c r="BG306" s="1881"/>
    </row>
    <row r="307" spans="1:59">
      <c r="A307" s="1881"/>
      <c r="B307" s="1881"/>
      <c r="C307" s="1881"/>
      <c r="D307" s="1881"/>
      <c r="E307" s="1881"/>
      <c r="F307" s="1881"/>
      <c r="G307" s="1881"/>
      <c r="H307" s="1881"/>
      <c r="I307" s="1881"/>
      <c r="J307" s="1881"/>
      <c r="K307" s="1881"/>
      <c r="L307" s="1881"/>
      <c r="M307" s="1881"/>
      <c r="N307" s="1881"/>
      <c r="O307" s="1881"/>
      <c r="P307" s="1881"/>
      <c r="Q307" s="1881"/>
      <c r="R307" s="1881"/>
      <c r="S307" s="1881"/>
      <c r="T307" s="1881"/>
      <c r="U307" s="1881"/>
      <c r="V307" s="1881"/>
      <c r="W307" s="1881"/>
      <c r="X307" s="1881"/>
      <c r="Y307" s="1881"/>
      <c r="Z307" s="1881"/>
      <c r="AA307" s="1881"/>
      <c r="AB307" s="1881"/>
      <c r="AC307" s="1881"/>
      <c r="AD307" s="1881"/>
      <c r="AE307" s="1881"/>
      <c r="AF307" s="1881"/>
      <c r="AG307" s="1881"/>
      <c r="AH307" s="1881"/>
      <c r="AI307" s="1881"/>
      <c r="AJ307" s="1881"/>
      <c r="AK307" s="1881"/>
      <c r="AL307" s="1881"/>
      <c r="AM307" s="1881"/>
      <c r="AN307" s="1881"/>
      <c r="AO307" s="1881"/>
      <c r="AP307" s="1881"/>
      <c r="AQ307" s="1881"/>
      <c r="AR307" s="1881"/>
      <c r="AS307" s="1881"/>
      <c r="AT307" s="1881"/>
      <c r="AU307" s="1881"/>
      <c r="AV307" s="1881"/>
      <c r="AW307" s="1881"/>
      <c r="AX307" s="1881"/>
      <c r="AY307" s="1881"/>
      <c r="AZ307" s="1881"/>
      <c r="BA307" s="1881"/>
      <c r="BB307" s="1881"/>
      <c r="BC307" s="1881"/>
      <c r="BD307" s="1881"/>
      <c r="BE307" s="1881"/>
      <c r="BF307" s="1881"/>
      <c r="BG307" s="1881"/>
    </row>
    <row r="308" spans="1:59">
      <c r="A308" s="1881"/>
      <c r="B308" s="1881"/>
      <c r="C308" s="1881"/>
      <c r="D308" s="1881"/>
      <c r="E308" s="1881"/>
      <c r="F308" s="1881"/>
      <c r="G308" s="1881"/>
      <c r="H308" s="1881"/>
      <c r="I308" s="1881"/>
      <c r="J308" s="1881"/>
      <c r="K308" s="1881"/>
      <c r="L308" s="1881"/>
      <c r="M308" s="1881"/>
      <c r="N308" s="1881"/>
      <c r="O308" s="1881"/>
      <c r="P308" s="1881"/>
      <c r="Q308" s="1881"/>
      <c r="R308" s="1881"/>
      <c r="S308" s="1881"/>
      <c r="T308" s="1881"/>
      <c r="U308" s="1881"/>
      <c r="V308" s="1881"/>
      <c r="W308" s="1881"/>
      <c r="X308" s="1881"/>
      <c r="Y308" s="1881"/>
      <c r="Z308" s="1881"/>
      <c r="AA308" s="1881"/>
      <c r="AB308" s="1881"/>
      <c r="AC308" s="1881"/>
      <c r="AD308" s="1881"/>
      <c r="AE308" s="1881"/>
      <c r="AF308" s="1881"/>
      <c r="AG308" s="1881"/>
      <c r="AH308" s="1881"/>
      <c r="AI308" s="1881"/>
      <c r="AJ308" s="1881"/>
      <c r="AK308" s="1881"/>
      <c r="AL308" s="1881"/>
      <c r="AM308" s="1881"/>
      <c r="AN308" s="1881"/>
      <c r="AO308" s="1881"/>
      <c r="AP308" s="1881"/>
      <c r="AQ308" s="1881"/>
      <c r="AR308" s="1881"/>
      <c r="AS308" s="1881"/>
      <c r="AT308" s="1881"/>
      <c r="AU308" s="1881"/>
      <c r="AV308" s="1881"/>
      <c r="AW308" s="1881"/>
      <c r="AX308" s="1881"/>
      <c r="AY308" s="1881"/>
      <c r="AZ308" s="1881"/>
      <c r="BA308" s="1881"/>
      <c r="BB308" s="1881"/>
      <c r="BC308" s="1881"/>
      <c r="BD308" s="1881"/>
      <c r="BE308" s="1881"/>
      <c r="BF308" s="1881"/>
      <c r="BG308" s="1881"/>
    </row>
    <row r="309" spans="1:59">
      <c r="A309" s="1881"/>
      <c r="B309" s="1881"/>
      <c r="C309" s="1881"/>
      <c r="D309" s="1881"/>
      <c r="E309" s="1881"/>
      <c r="F309" s="1881"/>
      <c r="G309" s="1881"/>
      <c r="H309" s="1881"/>
      <c r="I309" s="1881"/>
      <c r="J309" s="1881"/>
      <c r="K309" s="1881"/>
      <c r="L309" s="1881"/>
      <c r="M309" s="1881"/>
      <c r="N309" s="1881"/>
      <c r="O309" s="1881"/>
      <c r="P309" s="1881"/>
      <c r="Q309" s="1881"/>
      <c r="R309" s="1881"/>
      <c r="S309" s="1881"/>
      <c r="T309" s="1881"/>
      <c r="U309" s="1881"/>
      <c r="V309" s="1881"/>
      <c r="W309" s="1881"/>
      <c r="X309" s="1881"/>
      <c r="Y309" s="1881"/>
      <c r="Z309" s="1881"/>
      <c r="AA309" s="1881"/>
      <c r="AB309" s="1881"/>
      <c r="AC309" s="1881"/>
      <c r="AD309" s="1881"/>
      <c r="AE309" s="1881"/>
      <c r="AF309" s="1881"/>
      <c r="AG309" s="1881"/>
      <c r="AH309" s="1881"/>
      <c r="AI309" s="1881"/>
      <c r="AJ309" s="1881"/>
      <c r="AK309" s="1881"/>
      <c r="AL309" s="1881"/>
      <c r="AM309" s="1881"/>
      <c r="AN309" s="1881"/>
      <c r="AO309" s="1881"/>
      <c r="AP309" s="1881"/>
      <c r="AQ309" s="1881"/>
      <c r="AR309" s="1881"/>
      <c r="AS309" s="1881"/>
      <c r="AT309" s="1881"/>
      <c r="AU309" s="1881"/>
      <c r="AV309" s="1881"/>
      <c r="AW309" s="1881"/>
      <c r="AX309" s="1881"/>
      <c r="AY309" s="1881"/>
      <c r="AZ309" s="1881"/>
      <c r="BA309" s="1881"/>
      <c r="BB309" s="1881"/>
      <c r="BC309" s="1881"/>
      <c r="BD309" s="1881"/>
      <c r="BE309" s="1881"/>
      <c r="BF309" s="1881"/>
      <c r="BG309" s="1881"/>
    </row>
    <row r="310" spans="1:59">
      <c r="A310" s="1881"/>
      <c r="B310" s="1881"/>
      <c r="C310" s="1881"/>
      <c r="D310" s="1881"/>
      <c r="E310" s="1881"/>
      <c r="F310" s="1881"/>
      <c r="G310" s="1881"/>
      <c r="H310" s="1881"/>
      <c r="I310" s="1881"/>
      <c r="J310" s="1881"/>
      <c r="K310" s="1881"/>
      <c r="L310" s="1881"/>
      <c r="M310" s="1881"/>
      <c r="N310" s="1881"/>
      <c r="O310" s="1881"/>
      <c r="P310" s="1881"/>
      <c r="Q310" s="1881"/>
      <c r="R310" s="1881"/>
      <c r="S310" s="1881"/>
      <c r="T310" s="1881"/>
      <c r="U310" s="1881"/>
      <c r="V310" s="1881"/>
      <c r="W310" s="1881"/>
      <c r="X310" s="1881"/>
      <c r="Y310" s="1881"/>
      <c r="Z310" s="1881"/>
      <c r="AA310" s="1881"/>
      <c r="AB310" s="1881"/>
      <c r="AC310" s="1881"/>
      <c r="AD310" s="1881"/>
      <c r="AE310" s="1881"/>
      <c r="AF310" s="1881"/>
      <c r="AG310" s="1881"/>
      <c r="AH310" s="1881"/>
      <c r="AI310" s="1881"/>
      <c r="AJ310" s="1881"/>
      <c r="AK310" s="1881"/>
      <c r="AL310" s="1881"/>
      <c r="AM310" s="1881"/>
      <c r="AN310" s="1881"/>
      <c r="AO310" s="1881"/>
      <c r="AP310" s="1881"/>
      <c r="AQ310" s="1881"/>
      <c r="AR310" s="1881"/>
      <c r="AS310" s="1881"/>
      <c r="AT310" s="1881"/>
      <c r="AU310" s="1881"/>
      <c r="AV310" s="1881"/>
      <c r="AW310" s="1881"/>
      <c r="AX310" s="1881"/>
      <c r="AY310" s="1881"/>
      <c r="AZ310" s="1881"/>
      <c r="BA310" s="1881"/>
      <c r="BB310" s="1881"/>
      <c r="BC310" s="1881"/>
      <c r="BD310" s="1881"/>
      <c r="BE310" s="1881"/>
      <c r="BF310" s="1881"/>
      <c r="BG310" s="1881"/>
    </row>
    <row r="311" spans="1:59">
      <c r="A311" s="1881"/>
      <c r="B311" s="1881"/>
      <c r="C311" s="1881"/>
      <c r="D311" s="1881"/>
      <c r="E311" s="1881"/>
      <c r="F311" s="1881"/>
      <c r="G311" s="1881"/>
      <c r="H311" s="1881"/>
      <c r="I311" s="1881"/>
      <c r="J311" s="1881"/>
      <c r="K311" s="1881"/>
      <c r="L311" s="1881"/>
      <c r="M311" s="1881"/>
      <c r="N311" s="1881"/>
      <c r="O311" s="1881"/>
      <c r="P311" s="1881"/>
      <c r="Q311" s="1881"/>
      <c r="R311" s="1881"/>
      <c r="S311" s="1881"/>
      <c r="T311" s="1881"/>
      <c r="U311" s="1881"/>
      <c r="V311" s="1881"/>
      <c r="W311" s="1881"/>
      <c r="X311" s="1881"/>
      <c r="Y311" s="1881"/>
      <c r="Z311" s="1881"/>
      <c r="AA311" s="1881"/>
      <c r="AB311" s="1881"/>
      <c r="AC311" s="1881"/>
      <c r="AD311" s="1881"/>
      <c r="AE311" s="1881"/>
      <c r="AF311" s="1881"/>
      <c r="AG311" s="1881"/>
      <c r="AH311" s="1881"/>
      <c r="AI311" s="1881"/>
      <c r="AJ311" s="1881"/>
      <c r="AK311" s="1881"/>
      <c r="AL311" s="1881"/>
      <c r="AM311" s="1881"/>
      <c r="AN311" s="1881"/>
      <c r="AO311" s="1881"/>
      <c r="AP311" s="1881"/>
      <c r="AQ311" s="1881"/>
      <c r="AR311" s="1881"/>
      <c r="AS311" s="1881"/>
      <c r="AT311" s="1881"/>
      <c r="AU311" s="1881"/>
      <c r="AV311" s="1881"/>
      <c r="AW311" s="1881"/>
      <c r="AX311" s="1881"/>
      <c r="AY311" s="1881"/>
      <c r="AZ311" s="1881"/>
      <c r="BA311" s="1881"/>
      <c r="BB311" s="1881"/>
      <c r="BC311" s="1881"/>
      <c r="BD311" s="1881"/>
      <c r="BE311" s="1881"/>
      <c r="BF311" s="1881"/>
      <c r="BG311" s="1881"/>
    </row>
    <row r="312" spans="1:59">
      <c r="A312" s="1881"/>
      <c r="B312" s="1881"/>
      <c r="C312" s="1881"/>
      <c r="D312" s="1881"/>
      <c r="E312" s="1881"/>
      <c r="F312" s="1881"/>
      <c r="G312" s="1881"/>
      <c r="H312" s="1881"/>
      <c r="I312" s="1881"/>
      <c r="J312" s="1881"/>
      <c r="K312" s="1881"/>
      <c r="L312" s="1881"/>
      <c r="M312" s="1881"/>
      <c r="N312" s="1881"/>
      <c r="O312" s="1881"/>
      <c r="P312" s="1881"/>
      <c r="Q312" s="1881"/>
      <c r="R312" s="1881"/>
      <c r="S312" s="1881"/>
      <c r="T312" s="1881"/>
      <c r="U312" s="1881"/>
      <c r="V312" s="1881"/>
      <c r="W312" s="1881"/>
      <c r="X312" s="1881"/>
      <c r="Y312" s="1881"/>
      <c r="Z312" s="1881"/>
      <c r="AA312" s="1881"/>
      <c r="AB312" s="1881"/>
      <c r="AC312" s="1881"/>
      <c r="AD312" s="1881"/>
      <c r="AE312" s="1881"/>
      <c r="AF312" s="1881"/>
      <c r="AG312" s="1881"/>
      <c r="AH312" s="1881"/>
      <c r="AI312" s="1881"/>
      <c r="AJ312" s="1881"/>
      <c r="AK312" s="1881"/>
      <c r="AL312" s="1881"/>
      <c r="AM312" s="1881"/>
      <c r="AN312" s="1881"/>
      <c r="AO312" s="1881"/>
      <c r="AP312" s="1881"/>
      <c r="AQ312" s="1881"/>
      <c r="AR312" s="1881"/>
      <c r="AS312" s="1881"/>
      <c r="AT312" s="1881"/>
      <c r="AU312" s="1881"/>
      <c r="AV312" s="1881"/>
      <c r="AW312" s="1881"/>
      <c r="AX312" s="1881"/>
      <c r="AY312" s="1881"/>
      <c r="AZ312" s="1881"/>
      <c r="BA312" s="1881"/>
      <c r="BB312" s="1881"/>
      <c r="BC312" s="1881"/>
      <c r="BD312" s="1881"/>
      <c r="BE312" s="1881"/>
      <c r="BF312" s="1881"/>
      <c r="BG312" s="1881"/>
    </row>
    <row r="313" spans="1:59">
      <c r="A313" s="1881"/>
      <c r="B313" s="1881"/>
      <c r="C313" s="1881"/>
      <c r="D313" s="1881"/>
      <c r="E313" s="1881"/>
      <c r="F313" s="1881"/>
      <c r="G313" s="1881"/>
      <c r="H313" s="1881"/>
      <c r="I313" s="1881"/>
      <c r="J313" s="1881"/>
      <c r="K313" s="1881"/>
      <c r="L313" s="1881"/>
      <c r="M313" s="1881"/>
      <c r="N313" s="1881"/>
      <c r="O313" s="1881"/>
      <c r="P313" s="1881"/>
      <c r="Q313" s="1881"/>
      <c r="R313" s="1881"/>
      <c r="S313" s="1881"/>
      <c r="T313" s="1881"/>
      <c r="U313" s="1881"/>
      <c r="V313" s="1881"/>
      <c r="W313" s="1881"/>
      <c r="X313" s="1881"/>
      <c r="Y313" s="1881"/>
      <c r="Z313" s="1881"/>
      <c r="AA313" s="1881"/>
      <c r="AB313" s="1881"/>
      <c r="AC313" s="1881"/>
      <c r="AD313" s="1881"/>
      <c r="AE313" s="1881"/>
      <c r="AF313" s="1881"/>
      <c r="AG313" s="1881"/>
      <c r="AH313" s="1881"/>
      <c r="AI313" s="1881"/>
      <c r="AJ313" s="1881"/>
      <c r="AK313" s="1881"/>
      <c r="AL313" s="1881"/>
      <c r="AM313" s="1881"/>
      <c r="AN313" s="1881"/>
      <c r="AO313" s="1881"/>
      <c r="AP313" s="1881"/>
      <c r="AQ313" s="1881"/>
      <c r="AR313" s="1881"/>
      <c r="AS313" s="1881"/>
      <c r="AT313" s="1881"/>
      <c r="AU313" s="1881"/>
      <c r="AV313" s="1881"/>
      <c r="AW313" s="1881"/>
      <c r="AX313" s="1881"/>
      <c r="AY313" s="1881"/>
      <c r="AZ313" s="1881"/>
      <c r="BA313" s="1881"/>
      <c r="BB313" s="1881"/>
      <c r="BC313" s="1881"/>
      <c r="BD313" s="1881"/>
      <c r="BE313" s="1881"/>
      <c r="BF313" s="1881"/>
      <c r="BG313" s="1881"/>
    </row>
    <row r="314" spans="1:59">
      <c r="A314" s="1881"/>
      <c r="B314" s="1881"/>
      <c r="C314" s="1881"/>
      <c r="D314" s="1881"/>
      <c r="E314" s="1881"/>
      <c r="F314" s="1881"/>
      <c r="G314" s="1881"/>
      <c r="H314" s="1881"/>
      <c r="I314" s="1881"/>
      <c r="J314" s="1881"/>
      <c r="K314" s="1881"/>
      <c r="L314" s="1881"/>
      <c r="M314" s="1881"/>
      <c r="N314" s="1881"/>
      <c r="O314" s="1881"/>
      <c r="P314" s="1881"/>
      <c r="Q314" s="1881"/>
      <c r="R314" s="1881"/>
      <c r="S314" s="1881"/>
      <c r="T314" s="1881"/>
      <c r="U314" s="1881"/>
      <c r="V314" s="1881"/>
      <c r="W314" s="1881"/>
      <c r="X314" s="1881"/>
      <c r="Y314" s="1881"/>
      <c r="Z314" s="1881"/>
      <c r="AA314" s="1881"/>
      <c r="AB314" s="1881"/>
      <c r="AC314" s="1881"/>
      <c r="AD314" s="1881"/>
      <c r="AE314" s="1881"/>
      <c r="AF314" s="1881"/>
      <c r="AG314" s="1881"/>
      <c r="AH314" s="1881"/>
      <c r="AI314" s="1881"/>
      <c r="AJ314" s="1881"/>
      <c r="AK314" s="1881"/>
      <c r="AL314" s="1881"/>
      <c r="AM314" s="1881"/>
      <c r="AN314" s="1881"/>
      <c r="AO314" s="1881"/>
      <c r="AP314" s="1881"/>
      <c r="AQ314" s="1881"/>
      <c r="AR314" s="1881"/>
      <c r="AS314" s="1881"/>
      <c r="AT314" s="1881"/>
      <c r="AU314" s="1881"/>
      <c r="AV314" s="1881"/>
      <c r="AW314" s="1881"/>
      <c r="AX314" s="1881"/>
      <c r="AY314" s="1881"/>
      <c r="AZ314" s="1881"/>
      <c r="BA314" s="1881"/>
      <c r="BB314" s="1881"/>
      <c r="BC314" s="1881"/>
      <c r="BD314" s="1881"/>
      <c r="BE314" s="1881"/>
      <c r="BF314" s="1881"/>
      <c r="BG314" s="1881"/>
    </row>
    <row r="315" spans="1:59">
      <c r="A315" s="1881"/>
      <c r="B315" s="1881"/>
      <c r="C315" s="1881"/>
      <c r="D315" s="1881"/>
      <c r="E315" s="1881"/>
      <c r="F315" s="1881"/>
      <c r="G315" s="1881"/>
      <c r="H315" s="1881"/>
      <c r="I315" s="1881"/>
      <c r="J315" s="1881"/>
      <c r="K315" s="1881"/>
      <c r="L315" s="1881"/>
      <c r="M315" s="1881"/>
      <c r="N315" s="1881"/>
      <c r="O315" s="1881"/>
      <c r="P315" s="1881"/>
      <c r="Q315" s="1881"/>
      <c r="R315" s="1881"/>
      <c r="S315" s="1881"/>
      <c r="T315" s="1881"/>
      <c r="U315" s="1881"/>
      <c r="V315" s="1881"/>
      <c r="W315" s="1881"/>
      <c r="X315" s="1881"/>
      <c r="Y315" s="1881"/>
      <c r="Z315" s="1881"/>
      <c r="AA315" s="1881"/>
      <c r="AB315" s="1881"/>
      <c r="AC315" s="1881"/>
      <c r="AD315" s="1881"/>
      <c r="AE315" s="1881"/>
      <c r="AF315" s="1881"/>
      <c r="AG315" s="1881"/>
      <c r="AH315" s="1881"/>
      <c r="AI315" s="1881"/>
      <c r="AJ315" s="1881"/>
      <c r="AK315" s="1881"/>
      <c r="AL315" s="1881"/>
      <c r="AM315" s="1881"/>
      <c r="AN315" s="1881"/>
      <c r="AO315" s="1881"/>
      <c r="AP315" s="1881"/>
      <c r="AQ315" s="1881"/>
      <c r="AR315" s="1881"/>
      <c r="AS315" s="1881"/>
      <c r="AT315" s="1881"/>
      <c r="AU315" s="1881"/>
      <c r="AV315" s="1881"/>
      <c r="AW315" s="1881"/>
      <c r="AX315" s="1881"/>
      <c r="AY315" s="1881"/>
      <c r="AZ315" s="1881"/>
      <c r="BA315" s="1881"/>
      <c r="BB315" s="1881"/>
      <c r="BC315" s="1881"/>
      <c r="BD315" s="1881"/>
      <c r="BE315" s="1881"/>
      <c r="BF315" s="1881"/>
      <c r="BG315" s="1881"/>
    </row>
    <row r="316" spans="1:59">
      <c r="A316" s="1881"/>
      <c r="B316" s="1881"/>
      <c r="C316" s="1881"/>
      <c r="D316" s="1881"/>
      <c r="E316" s="1881"/>
      <c r="F316" s="1881"/>
      <c r="G316" s="1881"/>
      <c r="H316" s="1881"/>
      <c r="I316" s="1881"/>
      <c r="J316" s="1881"/>
      <c r="K316" s="1881"/>
      <c r="L316" s="1881"/>
      <c r="M316" s="1881"/>
      <c r="N316" s="1881"/>
      <c r="O316" s="1881"/>
      <c r="P316" s="1881"/>
      <c r="Q316" s="1881"/>
      <c r="R316" s="1881"/>
      <c r="S316" s="1881"/>
      <c r="T316" s="1881"/>
      <c r="U316" s="1881"/>
      <c r="V316" s="1881"/>
      <c r="W316" s="1881"/>
      <c r="X316" s="1881"/>
      <c r="Y316" s="1881"/>
      <c r="Z316" s="1881"/>
      <c r="AA316" s="1881"/>
      <c r="AB316" s="1881"/>
      <c r="AC316" s="1881"/>
      <c r="AD316" s="1881"/>
      <c r="AE316" s="1881"/>
      <c r="AF316" s="1881"/>
      <c r="AG316" s="1881"/>
      <c r="AH316" s="1881"/>
      <c r="AI316" s="1881"/>
      <c r="AJ316" s="1881"/>
      <c r="AK316" s="1881"/>
      <c r="AL316" s="1881"/>
      <c r="AM316" s="1881"/>
      <c r="AN316" s="1881"/>
      <c r="AO316" s="1881"/>
      <c r="AP316" s="1881"/>
      <c r="AQ316" s="1881"/>
      <c r="AR316" s="1881"/>
      <c r="AS316" s="1881"/>
      <c r="AT316" s="1881"/>
      <c r="AU316" s="1881"/>
      <c r="AV316" s="1881"/>
      <c r="AW316" s="1881"/>
      <c r="AX316" s="1881"/>
      <c r="AY316" s="1881"/>
      <c r="AZ316" s="1881"/>
      <c r="BA316" s="1881"/>
      <c r="BB316" s="1881"/>
      <c r="BC316" s="1881"/>
      <c r="BD316" s="1881"/>
      <c r="BE316" s="1881"/>
      <c r="BF316" s="1881"/>
      <c r="BG316" s="1881"/>
    </row>
    <row r="317" spans="1:59">
      <c r="A317" s="1881"/>
      <c r="B317" s="1881"/>
      <c r="C317" s="1881"/>
      <c r="D317" s="1881"/>
      <c r="E317" s="1881"/>
      <c r="F317" s="1881"/>
      <c r="G317" s="1881"/>
      <c r="H317" s="1881"/>
      <c r="I317" s="1881"/>
      <c r="J317" s="1881"/>
      <c r="K317" s="1881"/>
      <c r="L317" s="1881"/>
      <c r="M317" s="1881"/>
      <c r="N317" s="1881"/>
      <c r="O317" s="1881"/>
      <c r="P317" s="1881"/>
      <c r="Q317" s="1881"/>
      <c r="R317" s="1881"/>
      <c r="S317" s="1881"/>
      <c r="T317" s="1881"/>
      <c r="U317" s="1881"/>
      <c r="V317" s="1881"/>
      <c r="W317" s="1881"/>
      <c r="X317" s="1881"/>
      <c r="Y317" s="1881"/>
      <c r="Z317" s="1881"/>
      <c r="AA317" s="1881"/>
      <c r="AB317" s="1881"/>
      <c r="AC317" s="1881"/>
      <c r="AD317" s="1881"/>
      <c r="AE317" s="1881"/>
      <c r="AF317" s="1881"/>
      <c r="AG317" s="1881"/>
      <c r="AH317" s="1881"/>
      <c r="AI317" s="1881"/>
      <c r="AJ317" s="1881"/>
      <c r="AK317" s="1881"/>
      <c r="AL317" s="1881"/>
      <c r="AM317" s="1881"/>
      <c r="AN317" s="1881"/>
      <c r="AO317" s="1881"/>
      <c r="AP317" s="1881"/>
      <c r="AQ317" s="1881"/>
      <c r="AR317" s="1881"/>
      <c r="AS317" s="1881"/>
      <c r="AT317" s="1881"/>
      <c r="AU317" s="1881"/>
      <c r="AV317" s="1881"/>
      <c r="AW317" s="1881"/>
      <c r="AX317" s="1881"/>
      <c r="AY317" s="1881"/>
      <c r="AZ317" s="1881"/>
      <c r="BA317" s="1881"/>
      <c r="BB317" s="1881"/>
      <c r="BC317" s="1881"/>
      <c r="BD317" s="1881"/>
      <c r="BE317" s="1881"/>
      <c r="BF317" s="1881"/>
      <c r="BG317" s="1881"/>
    </row>
    <row r="318" spans="1:59">
      <c r="A318" s="1881"/>
      <c r="B318" s="1881"/>
      <c r="C318" s="1881"/>
      <c r="D318" s="1881"/>
      <c r="E318" s="1881"/>
      <c r="F318" s="1881"/>
      <c r="G318" s="1881"/>
      <c r="H318" s="1881"/>
      <c r="I318" s="1881"/>
      <c r="J318" s="1881"/>
      <c r="K318" s="1881"/>
      <c r="L318" s="1881"/>
      <c r="M318" s="1881"/>
      <c r="N318" s="1881"/>
      <c r="O318" s="1881"/>
      <c r="P318" s="1881"/>
      <c r="Q318" s="1881"/>
      <c r="R318" s="1881"/>
      <c r="S318" s="1881"/>
      <c r="T318" s="1881"/>
      <c r="U318" s="1881"/>
      <c r="V318" s="1881"/>
      <c r="W318" s="1881"/>
      <c r="X318" s="1881"/>
      <c r="Y318" s="1881"/>
      <c r="Z318" s="1881"/>
      <c r="AA318" s="1881"/>
      <c r="AB318" s="1881"/>
      <c r="AC318" s="1881"/>
      <c r="AD318" s="1881"/>
      <c r="AE318" s="1881"/>
      <c r="AF318" s="1881"/>
      <c r="AG318" s="1881"/>
      <c r="AH318" s="1881"/>
      <c r="AI318" s="1881"/>
      <c r="AJ318" s="1881"/>
      <c r="AK318" s="1881"/>
      <c r="AL318" s="1881"/>
      <c r="AM318" s="1881"/>
      <c r="AN318" s="1881"/>
      <c r="AO318" s="1881"/>
      <c r="AP318" s="1881"/>
      <c r="AQ318" s="1881"/>
      <c r="AR318" s="1881"/>
      <c r="AS318" s="1881"/>
      <c r="AT318" s="1881"/>
      <c r="AU318" s="1881"/>
      <c r="AV318" s="1881"/>
      <c r="AW318" s="1881"/>
      <c r="AX318" s="1881"/>
      <c r="AY318" s="1881"/>
      <c r="AZ318" s="1881"/>
      <c r="BA318" s="1881"/>
      <c r="BB318" s="1881"/>
      <c r="BC318" s="1881"/>
      <c r="BD318" s="1881"/>
      <c r="BE318" s="1881"/>
      <c r="BF318" s="1881"/>
      <c r="BG318" s="1881"/>
    </row>
    <row r="319" spans="1:59">
      <c r="A319" s="1881"/>
      <c r="B319" s="1881"/>
      <c r="C319" s="1881"/>
      <c r="D319" s="1881"/>
      <c r="E319" s="1881"/>
      <c r="F319" s="1881"/>
      <c r="G319" s="1881"/>
      <c r="H319" s="1881"/>
      <c r="I319" s="1881"/>
      <c r="J319" s="1881"/>
      <c r="K319" s="1881"/>
      <c r="L319" s="1881"/>
      <c r="M319" s="1881"/>
      <c r="N319" s="1881"/>
      <c r="O319" s="1881"/>
      <c r="P319" s="1881"/>
      <c r="Q319" s="1881"/>
      <c r="R319" s="1881"/>
      <c r="S319" s="1881"/>
      <c r="T319" s="1881"/>
      <c r="U319" s="1881"/>
      <c r="V319" s="1881"/>
      <c r="W319" s="1881"/>
      <c r="X319" s="1881"/>
      <c r="Y319" s="1881"/>
      <c r="Z319" s="1881"/>
      <c r="AA319" s="1881"/>
      <c r="AB319" s="1881"/>
      <c r="AC319" s="1881"/>
      <c r="AD319" s="1881"/>
      <c r="AE319" s="1881"/>
      <c r="AF319" s="1881"/>
      <c r="AG319" s="1881"/>
      <c r="AH319" s="1881"/>
      <c r="AI319" s="1881"/>
      <c r="AJ319" s="1881"/>
      <c r="AK319" s="1881"/>
      <c r="AL319" s="1881"/>
      <c r="AM319" s="1881"/>
      <c r="AN319" s="1881"/>
      <c r="AO319" s="1881"/>
      <c r="AP319" s="1881"/>
      <c r="AQ319" s="1881"/>
      <c r="AR319" s="1881"/>
      <c r="AS319" s="1881"/>
      <c r="AT319" s="1881"/>
      <c r="AU319" s="1881"/>
      <c r="AV319" s="1881"/>
      <c r="AW319" s="1881"/>
      <c r="AX319" s="1881"/>
      <c r="AY319" s="1881"/>
      <c r="AZ319" s="1881"/>
      <c r="BA319" s="1881"/>
      <c r="BB319" s="1881"/>
      <c r="BC319" s="1881"/>
      <c r="BD319" s="1881"/>
      <c r="BE319" s="1881"/>
      <c r="BF319" s="1881"/>
      <c r="BG319" s="1881"/>
    </row>
    <row r="320" spans="1:59">
      <c r="A320" s="1881"/>
      <c r="B320" s="1881"/>
      <c r="C320" s="1881"/>
      <c r="D320" s="1881"/>
      <c r="E320" s="1881"/>
      <c r="F320" s="1881"/>
      <c r="G320" s="1881"/>
      <c r="H320" s="1881"/>
      <c r="I320" s="1881"/>
      <c r="J320" s="1881"/>
      <c r="K320" s="1881"/>
      <c r="L320" s="1881"/>
      <c r="M320" s="1881"/>
      <c r="N320" s="1881"/>
      <c r="O320" s="1881"/>
      <c r="P320" s="1881"/>
      <c r="Q320" s="1881"/>
      <c r="R320" s="1881"/>
      <c r="S320" s="1881"/>
      <c r="T320" s="1881"/>
      <c r="U320" s="1881"/>
      <c r="V320" s="1881"/>
      <c r="W320" s="1881"/>
      <c r="X320" s="1881"/>
      <c r="Y320" s="1881"/>
      <c r="Z320" s="1881"/>
      <c r="AA320" s="1881"/>
      <c r="AB320" s="1881"/>
      <c r="AC320" s="1881"/>
      <c r="AD320" s="1881"/>
      <c r="AE320" s="1881"/>
      <c r="AF320" s="1881"/>
      <c r="AG320" s="1881"/>
      <c r="AH320" s="1881"/>
      <c r="AI320" s="1881"/>
      <c r="AJ320" s="1881"/>
      <c r="AK320" s="1881"/>
      <c r="AL320" s="1881"/>
      <c r="AM320" s="1881"/>
      <c r="AN320" s="1881"/>
      <c r="AO320" s="1881"/>
      <c r="AP320" s="1881"/>
      <c r="AQ320" s="1881"/>
      <c r="AR320" s="1881"/>
      <c r="AS320" s="1881"/>
      <c r="AT320" s="1881"/>
      <c r="AU320" s="1881"/>
      <c r="AV320" s="1881"/>
      <c r="AW320" s="1881"/>
      <c r="AX320" s="1881"/>
      <c r="AY320" s="1881"/>
      <c r="AZ320" s="1881"/>
      <c r="BA320" s="1881"/>
      <c r="BB320" s="1881"/>
      <c r="BC320" s="1881"/>
      <c r="BD320" s="1881"/>
      <c r="BE320" s="1881"/>
      <c r="BF320" s="1881"/>
      <c r="BG320" s="1881"/>
    </row>
    <row r="321" spans="1:59">
      <c r="A321" s="1881"/>
      <c r="B321" s="1881"/>
      <c r="C321" s="1881"/>
      <c r="D321" s="1881"/>
      <c r="E321" s="1881"/>
      <c r="F321" s="1881"/>
      <c r="G321" s="1881"/>
      <c r="H321" s="1881"/>
      <c r="I321" s="1881"/>
      <c r="J321" s="1881"/>
      <c r="K321" s="1881"/>
      <c r="L321" s="1881"/>
      <c r="M321" s="1881"/>
      <c r="N321" s="1881"/>
      <c r="O321" s="1881"/>
      <c r="P321" s="1881"/>
      <c r="Q321" s="1881"/>
      <c r="R321" s="1881"/>
      <c r="S321" s="1881"/>
      <c r="T321" s="1881"/>
      <c r="U321" s="1881"/>
      <c r="V321" s="1881"/>
      <c r="W321" s="1881"/>
      <c r="X321" s="1881"/>
      <c r="Y321" s="1881"/>
      <c r="Z321" s="1881"/>
      <c r="AA321" s="1881"/>
      <c r="AB321" s="1881"/>
      <c r="AC321" s="1881"/>
      <c r="AD321" s="1881"/>
      <c r="AE321" s="1881"/>
      <c r="AF321" s="1881"/>
      <c r="AG321" s="1881"/>
      <c r="AH321" s="1881"/>
      <c r="AI321" s="1881"/>
      <c r="AJ321" s="1881"/>
      <c r="AK321" s="1881"/>
      <c r="AL321" s="1881"/>
      <c r="AM321" s="1881"/>
      <c r="AN321" s="1881"/>
      <c r="AO321" s="1881"/>
      <c r="AP321" s="1881"/>
      <c r="AQ321" s="1881"/>
      <c r="AR321" s="1881"/>
      <c r="AS321" s="1881"/>
      <c r="AT321" s="1881"/>
      <c r="AU321" s="1881"/>
      <c r="AV321" s="1881"/>
      <c r="AW321" s="1881"/>
      <c r="AX321" s="1881"/>
      <c r="AY321" s="1881"/>
      <c r="AZ321" s="1881"/>
      <c r="BA321" s="1881"/>
      <c r="BB321" s="1881"/>
      <c r="BC321" s="1881"/>
      <c r="BD321" s="1881"/>
      <c r="BE321" s="1881"/>
      <c r="BF321" s="1881"/>
      <c r="BG321" s="1881"/>
    </row>
    <row r="322" spans="1:59">
      <c r="A322" s="1881"/>
      <c r="B322" s="1881"/>
      <c r="C322" s="1881"/>
      <c r="D322" s="1881"/>
      <c r="E322" s="1881"/>
      <c r="F322" s="1881"/>
      <c r="G322" s="1881"/>
      <c r="H322" s="1881"/>
      <c r="I322" s="1881"/>
      <c r="J322" s="1881"/>
      <c r="K322" s="1881"/>
      <c r="L322" s="1881"/>
      <c r="M322" s="1881"/>
      <c r="N322" s="1881"/>
      <c r="O322" s="1881"/>
      <c r="P322" s="1881"/>
      <c r="Q322" s="1881"/>
      <c r="R322" s="1881"/>
      <c r="S322" s="1881"/>
      <c r="T322" s="1881"/>
      <c r="U322" s="1881"/>
      <c r="V322" s="1881"/>
      <c r="W322" s="1881"/>
      <c r="X322" s="1881"/>
      <c r="Y322" s="1881"/>
      <c r="Z322" s="1881"/>
      <c r="AA322" s="1881"/>
      <c r="AB322" s="1881"/>
      <c r="AC322" s="1881"/>
      <c r="AD322" s="1881"/>
      <c r="AE322" s="1881"/>
      <c r="AF322" s="1881"/>
      <c r="AG322" s="1881"/>
      <c r="AH322" s="1881"/>
      <c r="AI322" s="1881"/>
      <c r="AJ322" s="1881"/>
      <c r="AK322" s="1881"/>
      <c r="AL322" s="1881"/>
      <c r="AM322" s="1881"/>
      <c r="AN322" s="1881"/>
      <c r="AO322" s="1881"/>
      <c r="AP322" s="1881"/>
      <c r="AQ322" s="1881"/>
      <c r="AR322" s="1881"/>
      <c r="AS322" s="1881"/>
      <c r="AT322" s="1881"/>
      <c r="AU322" s="1881"/>
      <c r="AV322" s="1881"/>
      <c r="AW322" s="1881"/>
      <c r="AX322" s="1881"/>
      <c r="AY322" s="1881"/>
      <c r="AZ322" s="1881"/>
      <c r="BA322" s="1881"/>
      <c r="BB322" s="1881"/>
      <c r="BC322" s="1881"/>
      <c r="BD322" s="1881"/>
      <c r="BE322" s="1881"/>
      <c r="BF322" s="1881"/>
      <c r="BG322" s="1881"/>
    </row>
    <row r="323" spans="1:59">
      <c r="A323" s="1881"/>
      <c r="B323" s="1881"/>
      <c r="C323" s="1881"/>
      <c r="D323" s="1881"/>
      <c r="E323" s="1881"/>
      <c r="F323" s="1881"/>
      <c r="G323" s="1881"/>
      <c r="H323" s="1881"/>
      <c r="I323" s="1881"/>
      <c r="J323" s="1881"/>
      <c r="K323" s="1881"/>
      <c r="L323" s="1881"/>
      <c r="M323" s="1881"/>
      <c r="N323" s="1881"/>
      <c r="O323" s="1881"/>
      <c r="P323" s="1881"/>
      <c r="Q323" s="1881"/>
      <c r="R323" s="1881"/>
      <c r="S323" s="1881"/>
      <c r="T323" s="1881"/>
      <c r="U323" s="1881"/>
      <c r="V323" s="1881"/>
      <c r="W323" s="1881"/>
      <c r="X323" s="1881"/>
      <c r="Y323" s="1881"/>
      <c r="Z323" s="1881"/>
      <c r="AA323" s="1881"/>
      <c r="AB323" s="1881"/>
      <c r="AC323" s="1881"/>
      <c r="AD323" s="1881"/>
      <c r="AE323" s="1881"/>
      <c r="AF323" s="1881"/>
      <c r="AG323" s="1881"/>
      <c r="AH323" s="1881"/>
      <c r="AI323" s="1881"/>
      <c r="AJ323" s="1881"/>
      <c r="AK323" s="1881"/>
      <c r="AL323" s="1881"/>
      <c r="AM323" s="1881"/>
      <c r="AN323" s="1881"/>
      <c r="AO323" s="1881"/>
      <c r="AP323" s="1881"/>
      <c r="AQ323" s="1881"/>
      <c r="AR323" s="1881"/>
      <c r="AS323" s="1881"/>
      <c r="AT323" s="1881"/>
      <c r="AU323" s="1881"/>
      <c r="AV323" s="1881"/>
      <c r="AW323" s="1881"/>
      <c r="AX323" s="1881"/>
      <c r="AY323" s="1881"/>
      <c r="AZ323" s="1881"/>
      <c r="BA323" s="1881"/>
      <c r="BB323" s="1881"/>
      <c r="BC323" s="1881"/>
      <c r="BD323" s="1881"/>
      <c r="BE323" s="1881"/>
      <c r="BF323" s="1881"/>
      <c r="BG323" s="1881"/>
    </row>
    <row r="324" spans="1:59">
      <c r="A324" s="1881"/>
      <c r="B324" s="1881"/>
      <c r="C324" s="1881"/>
      <c r="D324" s="1881"/>
      <c r="E324" s="1881"/>
      <c r="F324" s="1881"/>
      <c r="G324" s="1881"/>
      <c r="H324" s="1881"/>
      <c r="I324" s="1881"/>
      <c r="J324" s="1881"/>
      <c r="K324" s="1881"/>
      <c r="L324" s="1881"/>
      <c r="M324" s="1881"/>
      <c r="N324" s="1881"/>
      <c r="O324" s="1881"/>
      <c r="P324" s="1881"/>
      <c r="Q324" s="1881"/>
      <c r="R324" s="1881"/>
      <c r="S324" s="1881"/>
      <c r="T324" s="1881"/>
      <c r="U324" s="1881"/>
      <c r="V324" s="1881"/>
      <c r="W324" s="1881"/>
      <c r="X324" s="1881"/>
      <c r="Y324" s="1881"/>
      <c r="Z324" s="1881"/>
      <c r="AA324" s="1881"/>
      <c r="AB324" s="1881"/>
      <c r="AC324" s="1881"/>
      <c r="AD324" s="1881"/>
      <c r="AE324" s="1881"/>
      <c r="AF324" s="1881"/>
      <c r="AG324" s="1881"/>
      <c r="AH324" s="1881"/>
      <c r="AI324" s="1881"/>
      <c r="AJ324" s="1881"/>
      <c r="AK324" s="1881"/>
      <c r="AL324" s="1881"/>
      <c r="AM324" s="1881"/>
      <c r="AN324" s="1881"/>
      <c r="AO324" s="1881"/>
      <c r="AP324" s="1881"/>
      <c r="AQ324" s="1881"/>
      <c r="AR324" s="1881"/>
      <c r="AS324" s="1881"/>
      <c r="AT324" s="1881"/>
      <c r="AU324" s="1881"/>
      <c r="AV324" s="1881"/>
      <c r="AW324" s="1881"/>
      <c r="AX324" s="1881"/>
      <c r="AY324" s="1881"/>
      <c r="AZ324" s="1881"/>
      <c r="BA324" s="1881"/>
      <c r="BB324" s="1881"/>
      <c r="BC324" s="1881"/>
      <c r="BD324" s="1881"/>
      <c r="BE324" s="1881"/>
      <c r="BF324" s="1881"/>
      <c r="BG324" s="1881"/>
    </row>
    <row r="325" spans="1:59">
      <c r="A325" s="1881"/>
      <c r="B325" s="1881"/>
      <c r="C325" s="1881"/>
      <c r="D325" s="1881"/>
      <c r="E325" s="1881"/>
      <c r="F325" s="1881"/>
      <c r="G325" s="1881"/>
      <c r="H325" s="1881"/>
      <c r="I325" s="1881"/>
      <c r="J325" s="1881"/>
      <c r="K325" s="1881"/>
      <c r="L325" s="1881"/>
      <c r="M325" s="1881"/>
      <c r="N325" s="1881"/>
      <c r="O325" s="1881"/>
      <c r="P325" s="1881"/>
      <c r="Q325" s="1881"/>
      <c r="R325" s="1881"/>
      <c r="S325" s="1881"/>
      <c r="T325" s="1881"/>
      <c r="U325" s="1881"/>
      <c r="V325" s="1881"/>
      <c r="W325" s="1881"/>
      <c r="X325" s="1881"/>
      <c r="Y325" s="1881"/>
      <c r="Z325" s="1881"/>
      <c r="AA325" s="1881"/>
      <c r="AB325" s="1881"/>
      <c r="AC325" s="1881"/>
      <c r="AD325" s="1881"/>
      <c r="AE325" s="1881"/>
      <c r="AF325" s="1881"/>
      <c r="AG325" s="1881"/>
      <c r="AH325" s="1881"/>
      <c r="AI325" s="1881"/>
      <c r="AJ325" s="1881"/>
      <c r="AK325" s="1881"/>
      <c r="AL325" s="1881"/>
      <c r="AM325" s="1881"/>
      <c r="AN325" s="1881"/>
      <c r="AO325" s="1881"/>
      <c r="AP325" s="1881"/>
      <c r="AQ325" s="1881"/>
      <c r="AR325" s="1881"/>
      <c r="AS325" s="1881"/>
      <c r="AT325" s="1881"/>
      <c r="AU325" s="1881"/>
      <c r="AV325" s="1881"/>
      <c r="AW325" s="1881"/>
      <c r="AX325" s="1881"/>
      <c r="AY325" s="1881"/>
      <c r="AZ325" s="1881"/>
      <c r="BA325" s="1881"/>
      <c r="BB325" s="1881"/>
      <c r="BC325" s="1881"/>
      <c r="BD325" s="1881"/>
      <c r="BE325" s="1881"/>
      <c r="BF325" s="1881"/>
      <c r="BG325" s="1881"/>
    </row>
    <row r="326" spans="1:59">
      <c r="A326" s="1881"/>
      <c r="B326" s="1881"/>
      <c r="C326" s="1881"/>
      <c r="D326" s="1881"/>
      <c r="E326" s="1881"/>
      <c r="F326" s="1881"/>
      <c r="G326" s="1881"/>
      <c r="H326" s="1881"/>
      <c r="I326" s="1881"/>
      <c r="J326" s="1881"/>
      <c r="K326" s="1881"/>
      <c r="L326" s="1881"/>
      <c r="M326" s="1881"/>
      <c r="N326" s="1881"/>
      <c r="O326" s="1881"/>
      <c r="P326" s="1881"/>
      <c r="Q326" s="1881"/>
      <c r="R326" s="1881"/>
      <c r="S326" s="1881"/>
      <c r="T326" s="1881"/>
      <c r="U326" s="1881"/>
      <c r="V326" s="1881"/>
      <c r="W326" s="1881"/>
      <c r="X326" s="1881"/>
      <c r="Y326" s="1881"/>
      <c r="Z326" s="1881"/>
      <c r="AA326" s="1881"/>
      <c r="AB326" s="1881"/>
      <c r="AC326" s="1881"/>
      <c r="AD326" s="1881"/>
      <c r="AE326" s="1881"/>
      <c r="AF326" s="1881"/>
      <c r="AG326" s="1881"/>
      <c r="AH326" s="1881"/>
      <c r="AI326" s="1881"/>
      <c r="AJ326" s="1881"/>
      <c r="AK326" s="1881"/>
      <c r="AL326" s="1881"/>
      <c r="AM326" s="1881"/>
      <c r="AN326" s="1881"/>
      <c r="AO326" s="1881"/>
      <c r="AP326" s="1881"/>
      <c r="AQ326" s="1881"/>
      <c r="AR326" s="1881"/>
      <c r="AS326" s="1881"/>
      <c r="AT326" s="1881"/>
      <c r="AU326" s="1881"/>
      <c r="AV326" s="1881"/>
      <c r="AW326" s="1881"/>
      <c r="AX326" s="1881"/>
      <c r="AY326" s="1881"/>
      <c r="AZ326" s="1881"/>
      <c r="BA326" s="1881"/>
      <c r="BB326" s="1881"/>
      <c r="BC326" s="1881"/>
      <c r="BD326" s="1881"/>
      <c r="BE326" s="1881"/>
      <c r="BF326" s="1881"/>
      <c r="BG326" s="1881"/>
    </row>
    <row r="327" spans="1:59">
      <c r="A327" s="1881"/>
      <c r="B327" s="1881"/>
      <c r="C327" s="1881"/>
      <c r="D327" s="1881"/>
      <c r="E327" s="1881"/>
      <c r="F327" s="1881"/>
      <c r="G327" s="1881"/>
      <c r="H327" s="1881"/>
      <c r="I327" s="1881"/>
      <c r="J327" s="1881"/>
      <c r="K327" s="1881"/>
      <c r="L327" s="1881"/>
      <c r="M327" s="1881"/>
      <c r="N327" s="1881"/>
      <c r="O327" s="1881"/>
      <c r="P327" s="1881"/>
      <c r="Q327" s="1881"/>
      <c r="R327" s="1881"/>
      <c r="S327" s="1881"/>
      <c r="T327" s="1881"/>
      <c r="U327" s="1881"/>
      <c r="V327" s="1881"/>
      <c r="W327" s="1881"/>
      <c r="X327" s="1881"/>
      <c r="Y327" s="1881"/>
      <c r="Z327" s="1881"/>
      <c r="AA327" s="1881"/>
      <c r="AB327" s="1881"/>
      <c r="AC327" s="1881"/>
      <c r="AD327" s="1881"/>
      <c r="AE327" s="1881"/>
      <c r="AF327" s="1881"/>
      <c r="AG327" s="1881"/>
      <c r="AH327" s="1881"/>
      <c r="AI327" s="1881"/>
      <c r="AJ327" s="1881"/>
      <c r="AK327" s="1881"/>
      <c r="AL327" s="1881"/>
      <c r="AM327" s="1881"/>
      <c r="AN327" s="1881"/>
      <c r="AO327" s="1881"/>
      <c r="AP327" s="1881"/>
      <c r="AQ327" s="1881"/>
      <c r="AR327" s="1881"/>
      <c r="AS327" s="1881"/>
      <c r="AT327" s="1881"/>
      <c r="AU327" s="1881"/>
      <c r="AV327" s="1881"/>
      <c r="AW327" s="1881"/>
      <c r="AX327" s="1881"/>
      <c r="AY327" s="1881"/>
      <c r="AZ327" s="1881"/>
      <c r="BA327" s="1881"/>
      <c r="BB327" s="1881"/>
      <c r="BC327" s="1881"/>
      <c r="BD327" s="1881"/>
      <c r="BE327" s="1881"/>
      <c r="BF327" s="1881"/>
      <c r="BG327" s="1881"/>
    </row>
    <row r="328" spans="1:59">
      <c r="A328" s="1881"/>
      <c r="B328" s="1881"/>
      <c r="C328" s="1881"/>
      <c r="D328" s="1881"/>
      <c r="E328" s="1881"/>
      <c r="F328" s="1881"/>
      <c r="G328" s="1881"/>
      <c r="H328" s="1881"/>
      <c r="I328" s="1881"/>
      <c r="J328" s="1881"/>
      <c r="K328" s="1881"/>
      <c r="L328" s="1881"/>
      <c r="M328" s="1881"/>
      <c r="N328" s="1881"/>
      <c r="O328" s="1881"/>
      <c r="P328" s="1881"/>
      <c r="Q328" s="1881"/>
      <c r="R328" s="1881"/>
      <c r="S328" s="1881"/>
      <c r="T328" s="1881"/>
      <c r="U328" s="1881"/>
      <c r="V328" s="1881"/>
      <c r="W328" s="1881"/>
      <c r="X328" s="1881"/>
      <c r="Y328" s="1881"/>
      <c r="Z328" s="1881"/>
      <c r="AA328" s="1881"/>
      <c r="AB328" s="1881"/>
      <c r="AC328" s="1881"/>
      <c r="AD328" s="1881"/>
      <c r="AE328" s="1881"/>
      <c r="AF328" s="1881"/>
      <c r="AG328" s="1881"/>
      <c r="AH328" s="1881"/>
      <c r="AI328" s="1881"/>
      <c r="AJ328" s="1881"/>
      <c r="AK328" s="1881"/>
      <c r="AL328" s="1881"/>
      <c r="AM328" s="1881"/>
      <c r="AN328" s="1881"/>
      <c r="AO328" s="1881"/>
      <c r="AP328" s="1881"/>
      <c r="AQ328" s="1881"/>
      <c r="AR328" s="1881"/>
      <c r="AS328" s="1881"/>
      <c r="AT328" s="1881"/>
      <c r="AU328" s="1881"/>
      <c r="AV328" s="1881"/>
      <c r="AW328" s="1881"/>
      <c r="AX328" s="1881"/>
      <c r="AY328" s="1881"/>
      <c r="AZ328" s="1881"/>
      <c r="BA328" s="1881"/>
      <c r="BB328" s="1881"/>
      <c r="BC328" s="1881"/>
      <c r="BD328" s="1881"/>
      <c r="BE328" s="1881"/>
      <c r="BF328" s="1881"/>
      <c r="BG328" s="1881"/>
    </row>
    <row r="329" spans="1:59">
      <c r="A329" s="1881"/>
      <c r="B329" s="1881"/>
      <c r="C329" s="1881"/>
      <c r="D329" s="1881"/>
      <c r="E329" s="1881"/>
      <c r="F329" s="1881"/>
      <c r="G329" s="1881"/>
      <c r="H329" s="1881"/>
      <c r="I329" s="1881"/>
      <c r="J329" s="1881"/>
      <c r="K329" s="1881"/>
      <c r="L329" s="1881"/>
      <c r="M329" s="1881"/>
      <c r="N329" s="1881"/>
      <c r="O329" s="1881"/>
      <c r="P329" s="1881"/>
      <c r="Q329" s="1881"/>
      <c r="R329" s="1881"/>
      <c r="S329" s="1881"/>
      <c r="T329" s="1881"/>
      <c r="U329" s="1881"/>
      <c r="V329" s="1881"/>
      <c r="W329" s="1881"/>
      <c r="X329" s="1881"/>
      <c r="Y329" s="1881"/>
      <c r="Z329" s="1881"/>
      <c r="AA329" s="1881"/>
      <c r="AB329" s="1881"/>
      <c r="AC329" s="1881"/>
      <c r="AD329" s="1881"/>
      <c r="AE329" s="1881"/>
      <c r="AF329" s="1881"/>
      <c r="AG329" s="1881"/>
      <c r="AH329" s="1881"/>
      <c r="AI329" s="1881"/>
      <c r="AJ329" s="1881"/>
      <c r="AK329" s="1881"/>
      <c r="AL329" s="1881"/>
      <c r="AM329" s="1881"/>
      <c r="AN329" s="1881"/>
      <c r="AO329" s="1881"/>
      <c r="AP329" s="1881"/>
      <c r="AQ329" s="1881"/>
      <c r="AR329" s="1881"/>
      <c r="AS329" s="1881"/>
      <c r="AT329" s="1881"/>
      <c r="AU329" s="1881"/>
      <c r="AV329" s="1881"/>
      <c r="AW329" s="1881"/>
      <c r="AX329" s="1881"/>
      <c r="AY329" s="1881"/>
      <c r="AZ329" s="1881"/>
      <c r="BA329" s="1881"/>
      <c r="BB329" s="1881"/>
      <c r="BC329" s="1881"/>
      <c r="BD329" s="1881"/>
      <c r="BE329" s="1881"/>
      <c r="BF329" s="1881"/>
      <c r="BG329" s="1881"/>
    </row>
    <row r="330" spans="1:59">
      <c r="A330" s="1881"/>
      <c r="B330" s="1881"/>
      <c r="C330" s="1881"/>
      <c r="D330" s="1881"/>
      <c r="E330" s="1881"/>
      <c r="F330" s="1881"/>
      <c r="G330" s="1881"/>
      <c r="H330" s="1881"/>
      <c r="I330" s="1881"/>
      <c r="J330" s="1881"/>
      <c r="K330" s="1881"/>
      <c r="L330" s="1881"/>
      <c r="M330" s="1881"/>
      <c r="N330" s="1881"/>
      <c r="O330" s="1881"/>
      <c r="P330" s="1881"/>
      <c r="Q330" s="1881"/>
      <c r="R330" s="1881"/>
      <c r="S330" s="1881"/>
      <c r="T330" s="1881"/>
      <c r="U330" s="1881"/>
      <c r="V330" s="1881"/>
      <c r="W330" s="1881"/>
      <c r="X330" s="1881"/>
      <c r="Y330" s="1881"/>
      <c r="Z330" s="1881"/>
      <c r="AA330" s="1881"/>
      <c r="AB330" s="1881"/>
      <c r="AC330" s="1881"/>
      <c r="AD330" s="1881"/>
      <c r="AE330" s="1881"/>
      <c r="AF330" s="1881"/>
      <c r="AG330" s="1881"/>
      <c r="AH330" s="1881"/>
      <c r="AI330" s="1881"/>
      <c r="AJ330" s="1881"/>
      <c r="AK330" s="1881"/>
      <c r="AL330" s="1881"/>
      <c r="AM330" s="1881"/>
      <c r="AN330" s="1881"/>
      <c r="AO330" s="1881"/>
      <c r="AP330" s="1881"/>
      <c r="AQ330" s="1881"/>
      <c r="AR330" s="1881"/>
      <c r="AS330" s="1881"/>
      <c r="AT330" s="1881"/>
      <c r="AU330" s="1881"/>
      <c r="AV330" s="1881"/>
      <c r="AW330" s="1881"/>
      <c r="AX330" s="1881"/>
      <c r="AY330" s="1881"/>
      <c r="AZ330" s="1881"/>
      <c r="BA330" s="1881"/>
      <c r="BB330" s="1881"/>
      <c r="BC330" s="1881"/>
      <c r="BD330" s="1881"/>
      <c r="BE330" s="1881"/>
      <c r="BF330" s="1881"/>
      <c r="BG330" s="1881"/>
    </row>
    <row r="331" spans="1:59">
      <c r="A331" s="1881"/>
      <c r="B331" s="1881"/>
      <c r="C331" s="1881"/>
      <c r="D331" s="1881"/>
      <c r="E331" s="1881"/>
      <c r="F331" s="1881"/>
      <c r="G331" s="1881"/>
      <c r="H331" s="1881"/>
      <c r="I331" s="1881"/>
      <c r="J331" s="1881"/>
      <c r="K331" s="1881"/>
      <c r="L331" s="1881"/>
      <c r="M331" s="1881"/>
      <c r="N331" s="1881"/>
      <c r="O331" s="1881"/>
      <c r="P331" s="1881"/>
      <c r="Q331" s="1881"/>
      <c r="R331" s="1881"/>
      <c r="S331" s="1881"/>
      <c r="T331" s="1881"/>
      <c r="U331" s="1881"/>
      <c r="V331" s="1881"/>
      <c r="W331" s="1881"/>
      <c r="X331" s="1881"/>
      <c r="Y331" s="1881"/>
      <c r="Z331" s="1881"/>
      <c r="AA331" s="1881"/>
      <c r="AB331" s="1881"/>
      <c r="AC331" s="1881"/>
      <c r="AD331" s="1881"/>
      <c r="AE331" s="1881"/>
      <c r="AF331" s="1881"/>
      <c r="AG331" s="1881"/>
      <c r="AH331" s="1881"/>
      <c r="AI331" s="1881"/>
      <c r="AJ331" s="1881"/>
      <c r="AK331" s="1881"/>
      <c r="AL331" s="1881"/>
      <c r="AM331" s="1881"/>
      <c r="AN331" s="1881"/>
      <c r="AO331" s="1881"/>
      <c r="AP331" s="1881"/>
      <c r="AQ331" s="1881"/>
      <c r="AR331" s="1881"/>
      <c r="AS331" s="1881"/>
      <c r="AT331" s="1881"/>
      <c r="AU331" s="1881"/>
      <c r="AV331" s="1881"/>
      <c r="AW331" s="1881"/>
      <c r="AX331" s="1881"/>
      <c r="AY331" s="1881"/>
      <c r="AZ331" s="1881"/>
      <c r="BA331" s="1881"/>
      <c r="BB331" s="1881"/>
      <c r="BC331" s="1881"/>
      <c r="BD331" s="1881"/>
      <c r="BE331" s="1881"/>
      <c r="BF331" s="1881"/>
      <c r="BG331" s="1881"/>
    </row>
    <row r="332" spans="1:59">
      <c r="A332" s="1881"/>
      <c r="B332" s="1881"/>
      <c r="C332" s="1881"/>
      <c r="D332" s="1881"/>
      <c r="E332" s="1881"/>
      <c r="F332" s="1881"/>
      <c r="G332" s="1881"/>
      <c r="H332" s="1881"/>
      <c r="I332" s="1881"/>
      <c r="J332" s="1881"/>
      <c r="K332" s="1881"/>
      <c r="L332" s="1881"/>
      <c r="M332" s="1881"/>
      <c r="N332" s="1881"/>
      <c r="O332" s="1881"/>
      <c r="P332" s="1881"/>
      <c r="Q332" s="1881"/>
      <c r="R332" s="1881"/>
      <c r="S332" s="1881"/>
      <c r="T332" s="1881"/>
      <c r="U332" s="1881"/>
      <c r="V332" s="1881"/>
      <c r="W332" s="1881"/>
      <c r="X332" s="1881"/>
      <c r="Y332" s="1881"/>
      <c r="Z332" s="1881"/>
      <c r="AA332" s="1881"/>
      <c r="AB332" s="1881"/>
      <c r="AC332" s="1881"/>
      <c r="AD332" s="1881"/>
      <c r="AE332" s="1881"/>
      <c r="AF332" s="1881"/>
      <c r="AG332" s="1881"/>
      <c r="AH332" s="1881"/>
      <c r="AI332" s="1881"/>
      <c r="AJ332" s="1881"/>
      <c r="AK332" s="1881"/>
      <c r="AL332" s="1881"/>
      <c r="AM332" s="1881"/>
      <c r="AN332" s="1881"/>
      <c r="AO332" s="1881"/>
      <c r="AP332" s="1881"/>
      <c r="AQ332" s="1881"/>
      <c r="AR332" s="1881"/>
      <c r="AS332" s="1881"/>
      <c r="AT332" s="1881"/>
      <c r="AU332" s="1881"/>
      <c r="AV332" s="1881"/>
      <c r="AW332" s="1881"/>
      <c r="AX332" s="1881"/>
      <c r="AY332" s="1881"/>
      <c r="AZ332" s="1881"/>
      <c r="BA332" s="1881"/>
      <c r="BB332" s="1881"/>
      <c r="BC332" s="1881"/>
      <c r="BD332" s="1881"/>
      <c r="BE332" s="1881"/>
      <c r="BF332" s="1881"/>
      <c r="BG332" s="1881"/>
    </row>
    <row r="333" spans="1:59">
      <c r="A333" s="1881"/>
      <c r="B333" s="1881"/>
      <c r="C333" s="1881"/>
      <c r="D333" s="1881"/>
      <c r="E333" s="1881"/>
      <c r="F333" s="1881"/>
      <c r="G333" s="1881"/>
      <c r="H333" s="1881"/>
      <c r="I333" s="1881"/>
      <c r="J333" s="1881"/>
      <c r="K333" s="1881"/>
      <c r="L333" s="1881"/>
      <c r="M333" s="1881"/>
      <c r="N333" s="1881"/>
      <c r="O333" s="1881"/>
      <c r="P333" s="1881"/>
      <c r="Q333" s="1881"/>
      <c r="R333" s="1881"/>
      <c r="S333" s="1881"/>
      <c r="T333" s="1881"/>
      <c r="U333" s="1881"/>
      <c r="V333" s="1881"/>
      <c r="W333" s="1881"/>
      <c r="X333" s="1881"/>
      <c r="Y333" s="1881"/>
      <c r="Z333" s="1881"/>
      <c r="AA333" s="1881"/>
      <c r="AB333" s="1881"/>
      <c r="AC333" s="1881"/>
      <c r="AD333" s="1881"/>
      <c r="AE333" s="1881"/>
      <c r="AF333" s="1881"/>
      <c r="AG333" s="1881"/>
      <c r="AH333" s="1881"/>
      <c r="AI333" s="1881"/>
      <c r="AJ333" s="1881"/>
      <c r="AK333" s="1881"/>
      <c r="AL333" s="1881"/>
      <c r="AM333" s="1881"/>
      <c r="AN333" s="1881"/>
      <c r="AO333" s="1881"/>
      <c r="AP333" s="1881"/>
      <c r="AQ333" s="1881"/>
      <c r="AR333" s="1881"/>
      <c r="AS333" s="1881"/>
      <c r="AT333" s="1881"/>
      <c r="AU333" s="1881"/>
      <c r="AV333" s="1881"/>
      <c r="AW333" s="1881"/>
      <c r="AX333" s="1881"/>
      <c r="AY333" s="1881"/>
      <c r="AZ333" s="1881"/>
      <c r="BA333" s="1881"/>
      <c r="BB333" s="1881"/>
      <c r="BC333" s="1881"/>
      <c r="BD333" s="1881"/>
      <c r="BE333" s="1881"/>
      <c r="BF333" s="1881"/>
      <c r="BG333" s="1881"/>
    </row>
    <row r="334" spans="1:59">
      <c r="A334" s="1881"/>
      <c r="B334" s="1881"/>
      <c r="C334" s="1881"/>
      <c r="D334" s="1881"/>
      <c r="E334" s="1881"/>
      <c r="F334" s="1881"/>
      <c r="G334" s="1881"/>
      <c r="H334" s="1881"/>
      <c r="I334" s="1881"/>
      <c r="J334" s="1881"/>
      <c r="K334" s="1881"/>
      <c r="L334" s="1881"/>
      <c r="M334" s="1881"/>
      <c r="N334" s="1881"/>
      <c r="O334" s="1881"/>
      <c r="P334" s="1881"/>
      <c r="Q334" s="1881"/>
      <c r="R334" s="1881"/>
      <c r="S334" s="1881"/>
      <c r="T334" s="1881"/>
      <c r="U334" s="1881"/>
      <c r="V334" s="1881"/>
      <c r="W334" s="1881"/>
      <c r="X334" s="1881"/>
      <c r="Y334" s="1881"/>
      <c r="Z334" s="1881"/>
      <c r="AA334" s="1881"/>
      <c r="AB334" s="1881"/>
      <c r="AC334" s="1881"/>
      <c r="AD334" s="1881"/>
      <c r="AE334" s="1881"/>
      <c r="AF334" s="1881"/>
      <c r="AG334" s="1881"/>
      <c r="AH334" s="1881"/>
      <c r="AI334" s="1881"/>
      <c r="AJ334" s="1881"/>
      <c r="AK334" s="1881"/>
      <c r="AL334" s="1881"/>
      <c r="AM334" s="1881"/>
      <c r="AN334" s="1881"/>
      <c r="AO334" s="1881"/>
      <c r="AP334" s="1881"/>
      <c r="AQ334" s="1881"/>
      <c r="AR334" s="1881"/>
      <c r="AS334" s="1881"/>
      <c r="AT334" s="1881"/>
      <c r="AU334" s="1881"/>
      <c r="AV334" s="1881"/>
      <c r="AW334" s="1881"/>
      <c r="AX334" s="1881"/>
      <c r="AY334" s="1881"/>
      <c r="AZ334" s="1881"/>
      <c r="BA334" s="1881"/>
      <c r="BB334" s="1881"/>
      <c r="BC334" s="1881"/>
      <c r="BD334" s="1881"/>
      <c r="BE334" s="1881"/>
      <c r="BF334" s="1881"/>
      <c r="BG334" s="1881"/>
    </row>
    <row r="335" spans="1:59">
      <c r="A335" s="1881"/>
      <c r="B335" s="1881"/>
      <c r="C335" s="1881"/>
      <c r="D335" s="1881"/>
      <c r="E335" s="1881"/>
      <c r="F335" s="1881"/>
      <c r="G335" s="1881"/>
      <c r="H335" s="1881"/>
      <c r="I335" s="1881"/>
      <c r="J335" s="1881"/>
      <c r="K335" s="1881"/>
      <c r="L335" s="1881"/>
      <c r="M335" s="1881"/>
      <c r="N335" s="1881"/>
      <c r="O335" s="1881"/>
      <c r="P335" s="1881"/>
      <c r="Q335" s="1881"/>
      <c r="R335" s="1881"/>
      <c r="S335" s="1881"/>
      <c r="T335" s="1881"/>
      <c r="U335" s="1881"/>
      <c r="V335" s="1881"/>
      <c r="W335" s="1881"/>
      <c r="X335" s="1881"/>
      <c r="Y335" s="1881"/>
      <c r="Z335" s="1881"/>
      <c r="AA335" s="1881"/>
      <c r="AB335" s="1881"/>
      <c r="AC335" s="1881"/>
      <c r="AD335" s="1881"/>
      <c r="AE335" s="1881"/>
      <c r="AF335" s="1881"/>
      <c r="AG335" s="1881"/>
      <c r="AH335" s="1881"/>
      <c r="AI335" s="1881"/>
      <c r="AJ335" s="1881"/>
      <c r="AK335" s="1881"/>
      <c r="AL335" s="1881"/>
      <c r="AM335" s="1881"/>
      <c r="AN335" s="1881"/>
      <c r="AO335" s="1881"/>
      <c r="AP335" s="1881"/>
      <c r="AQ335" s="1881"/>
      <c r="AR335" s="1881"/>
      <c r="AS335" s="1881"/>
      <c r="AT335" s="1881"/>
      <c r="AU335" s="1881"/>
      <c r="AV335" s="1881"/>
      <c r="AW335" s="1881"/>
      <c r="AX335" s="1881"/>
      <c r="AY335" s="1881"/>
      <c r="AZ335" s="1881"/>
      <c r="BA335" s="1881"/>
      <c r="BB335" s="1881"/>
      <c r="BC335" s="1881"/>
      <c r="BD335" s="1881"/>
      <c r="BE335" s="1881"/>
      <c r="BF335" s="1881"/>
      <c r="BG335" s="1881"/>
    </row>
    <row r="336" spans="1:59">
      <c r="A336" s="1881"/>
      <c r="B336" s="1881"/>
      <c r="C336" s="1881"/>
      <c r="D336" s="1881"/>
      <c r="E336" s="1881"/>
      <c r="F336" s="1881"/>
      <c r="G336" s="1881"/>
      <c r="H336" s="1881"/>
      <c r="I336" s="1881"/>
      <c r="J336" s="1881"/>
      <c r="K336" s="1881"/>
      <c r="L336" s="1881"/>
      <c r="M336" s="1881"/>
      <c r="N336" s="1881"/>
      <c r="O336" s="1881"/>
      <c r="P336" s="1881"/>
      <c r="Q336" s="1881"/>
      <c r="R336" s="1881"/>
      <c r="S336" s="1881"/>
      <c r="T336" s="1881"/>
      <c r="U336" s="1881"/>
      <c r="V336" s="1881"/>
      <c r="W336" s="1881"/>
      <c r="X336" s="1881"/>
      <c r="Y336" s="1881"/>
      <c r="Z336" s="1881"/>
      <c r="AA336" s="1881"/>
      <c r="AB336" s="1881"/>
      <c r="AC336" s="1881"/>
      <c r="AD336" s="1881"/>
      <c r="AE336" s="1881"/>
      <c r="AF336" s="1881"/>
      <c r="AG336" s="1881"/>
      <c r="AH336" s="1881"/>
      <c r="AI336" s="1881"/>
      <c r="AJ336" s="1881"/>
      <c r="AK336" s="1881"/>
      <c r="AL336" s="1881"/>
      <c r="AM336" s="1881"/>
      <c r="AN336" s="1881"/>
      <c r="AO336" s="1881"/>
      <c r="AP336" s="1881"/>
      <c r="AQ336" s="1881"/>
      <c r="AR336" s="1881"/>
      <c r="AS336" s="1881"/>
      <c r="AT336" s="1881"/>
      <c r="AU336" s="1881"/>
      <c r="AV336" s="1881"/>
      <c r="AW336" s="1881"/>
      <c r="AX336" s="1881"/>
      <c r="AY336" s="1881"/>
      <c r="AZ336" s="1881"/>
      <c r="BA336" s="1881"/>
      <c r="BB336" s="1881"/>
      <c r="BC336" s="1881"/>
      <c r="BD336" s="1881"/>
      <c r="BE336" s="1881"/>
      <c r="BF336" s="1881"/>
      <c r="BG336" s="1881"/>
    </row>
    <row r="337" spans="1:59">
      <c r="A337" s="1881"/>
      <c r="B337" s="1881"/>
      <c r="C337" s="1881"/>
      <c r="D337" s="1881"/>
      <c r="E337" s="1881"/>
      <c r="F337" s="1881"/>
      <c r="G337" s="1881"/>
      <c r="H337" s="1881"/>
      <c r="I337" s="1881"/>
      <c r="J337" s="1881"/>
      <c r="K337" s="1881"/>
      <c r="L337" s="1881"/>
      <c r="M337" s="1881"/>
      <c r="N337" s="1881"/>
      <c r="O337" s="1881"/>
      <c r="P337" s="1881"/>
      <c r="Q337" s="1881"/>
      <c r="R337" s="1881"/>
      <c r="S337" s="1881"/>
      <c r="T337" s="1881"/>
      <c r="U337" s="1881"/>
      <c r="V337" s="1881"/>
      <c r="W337" s="1881"/>
      <c r="X337" s="1881"/>
      <c r="Y337" s="1881"/>
      <c r="Z337" s="1881"/>
      <c r="AA337" s="1881"/>
      <c r="AB337" s="1881"/>
      <c r="AC337" s="1881"/>
      <c r="AD337" s="1881"/>
      <c r="AE337" s="1881"/>
      <c r="AF337" s="1881"/>
      <c r="AG337" s="1881"/>
      <c r="AH337" s="1881"/>
      <c r="AI337" s="1881"/>
      <c r="AJ337" s="1881"/>
      <c r="AK337" s="1881"/>
      <c r="AL337" s="1881"/>
      <c r="AM337" s="1881"/>
      <c r="AN337" s="1881"/>
      <c r="AO337" s="1881"/>
      <c r="AP337" s="1881"/>
      <c r="AQ337" s="1881"/>
      <c r="AR337" s="1881"/>
      <c r="AS337" s="1881"/>
      <c r="AT337" s="1881"/>
      <c r="AU337" s="1881"/>
      <c r="AV337" s="1881"/>
      <c r="AW337" s="1881"/>
      <c r="AX337" s="1881"/>
      <c r="AY337" s="1881"/>
      <c r="AZ337" s="1881"/>
      <c r="BA337" s="1881"/>
      <c r="BB337" s="1881"/>
      <c r="BC337" s="1881"/>
      <c r="BD337" s="1881"/>
      <c r="BE337" s="1881"/>
      <c r="BF337" s="1881"/>
      <c r="BG337" s="1881"/>
    </row>
    <row r="338" spans="1:59">
      <c r="A338" s="1881"/>
      <c r="B338" s="1881"/>
      <c r="C338" s="1881"/>
      <c r="D338" s="1881"/>
      <c r="E338" s="1881"/>
      <c r="F338" s="1881"/>
      <c r="G338" s="1881"/>
      <c r="H338" s="1881"/>
      <c r="I338" s="1881"/>
      <c r="J338" s="1881"/>
      <c r="K338" s="1881"/>
      <c r="L338" s="1881"/>
      <c r="M338" s="1881"/>
      <c r="N338" s="1881"/>
      <c r="O338" s="1881"/>
      <c r="P338" s="1881"/>
      <c r="Q338" s="1881"/>
      <c r="R338" s="1881"/>
      <c r="S338" s="1881"/>
      <c r="T338" s="1881"/>
      <c r="U338" s="1881"/>
      <c r="V338" s="1881"/>
      <c r="W338" s="1881"/>
      <c r="X338" s="1881"/>
      <c r="Y338" s="1881"/>
      <c r="Z338" s="1881"/>
      <c r="AA338" s="1881"/>
      <c r="AB338" s="1881"/>
      <c r="AC338" s="1881"/>
      <c r="AD338" s="1881"/>
      <c r="AE338" s="1881"/>
      <c r="AF338" s="1881"/>
      <c r="AG338" s="1881"/>
      <c r="AH338" s="1881"/>
      <c r="AI338" s="1881"/>
      <c r="AJ338" s="1881"/>
      <c r="AK338" s="1881"/>
      <c r="AL338" s="1881"/>
      <c r="AM338" s="1881"/>
      <c r="AN338" s="1881"/>
      <c r="AO338" s="1881"/>
      <c r="AP338" s="1881"/>
      <c r="AQ338" s="1881"/>
      <c r="AR338" s="1881"/>
      <c r="AS338" s="1881"/>
      <c r="AT338" s="1881"/>
      <c r="AU338" s="1881"/>
      <c r="AV338" s="1881"/>
      <c r="AW338" s="1881"/>
      <c r="AX338" s="1881"/>
      <c r="AY338" s="1881"/>
      <c r="AZ338" s="1881"/>
      <c r="BA338" s="1881"/>
      <c r="BB338" s="1881"/>
      <c r="BC338" s="1881"/>
      <c r="BD338" s="1881"/>
      <c r="BE338" s="1881"/>
      <c r="BF338" s="1881"/>
      <c r="BG338" s="1881"/>
    </row>
    <row r="339" spans="1:59">
      <c r="A339" s="1881"/>
      <c r="B339" s="1881"/>
      <c r="C339" s="1881"/>
      <c r="D339" s="1881"/>
      <c r="E339" s="1881"/>
      <c r="F339" s="1881"/>
      <c r="G339" s="1881"/>
      <c r="H339" s="1881"/>
      <c r="I339" s="1881"/>
      <c r="J339" s="1881"/>
      <c r="K339" s="1881"/>
      <c r="L339" s="1881"/>
      <c r="M339" s="1881"/>
      <c r="N339" s="1881"/>
      <c r="O339" s="1881"/>
      <c r="P339" s="1881"/>
      <c r="Q339" s="1881"/>
      <c r="R339" s="1881"/>
      <c r="S339" s="1881"/>
      <c r="T339" s="1881"/>
      <c r="U339" s="1881"/>
      <c r="V339" s="1881"/>
      <c r="W339" s="1881"/>
      <c r="X339" s="1881"/>
      <c r="Y339" s="1881"/>
      <c r="Z339" s="1881"/>
      <c r="AA339" s="1881"/>
      <c r="AB339" s="1881"/>
      <c r="AC339" s="1881"/>
      <c r="AD339" s="1881"/>
      <c r="AE339" s="1881"/>
      <c r="AF339" s="1881"/>
      <c r="AG339" s="1881"/>
      <c r="AH339" s="1881"/>
      <c r="AI339" s="1881"/>
      <c r="AJ339" s="1881"/>
      <c r="AK339" s="1881"/>
      <c r="AL339" s="1881"/>
      <c r="AM339" s="1881"/>
      <c r="AN339" s="1881"/>
      <c r="AO339" s="1881"/>
      <c r="AP339" s="1881"/>
      <c r="AQ339" s="1881"/>
      <c r="AR339" s="1881"/>
      <c r="AS339" s="1881"/>
      <c r="AT339" s="1881"/>
      <c r="AU339" s="1881"/>
      <c r="AV339" s="1881"/>
      <c r="AW339" s="1881"/>
      <c r="AX339" s="1881"/>
      <c r="AY339" s="1881"/>
      <c r="AZ339" s="1881"/>
      <c r="BA339" s="1881"/>
      <c r="BB339" s="1881"/>
      <c r="BC339" s="1881"/>
      <c r="BD339" s="1881"/>
      <c r="BE339" s="1881"/>
      <c r="BF339" s="1881"/>
      <c r="BG339" s="1881"/>
    </row>
    <row r="340" spans="1:59">
      <c r="A340" s="1881"/>
      <c r="B340" s="1881"/>
      <c r="C340" s="1881"/>
      <c r="D340" s="1881"/>
      <c r="E340" s="1881"/>
      <c r="F340" s="1881"/>
      <c r="G340" s="1881"/>
      <c r="H340" s="1881"/>
      <c r="I340" s="1881"/>
      <c r="J340" s="1881"/>
      <c r="K340" s="1881"/>
      <c r="L340" s="1881"/>
      <c r="M340" s="1881"/>
      <c r="N340" s="1881"/>
      <c r="O340" s="1881"/>
      <c r="P340" s="1881"/>
      <c r="Q340" s="1881"/>
      <c r="R340" s="1881"/>
      <c r="S340" s="1881"/>
      <c r="T340" s="1881"/>
      <c r="U340" s="1881"/>
      <c r="V340" s="1881"/>
      <c r="W340" s="1881"/>
      <c r="X340" s="1881"/>
      <c r="Y340" s="1881"/>
      <c r="Z340" s="1881"/>
      <c r="AA340" s="1881"/>
      <c r="AB340" s="1881"/>
      <c r="AC340" s="1881"/>
      <c r="AD340" s="1881"/>
      <c r="AE340" s="1881"/>
      <c r="AF340" s="1881"/>
      <c r="AG340" s="1881"/>
      <c r="AH340" s="1881"/>
      <c r="AI340" s="1881"/>
      <c r="AJ340" s="1881"/>
      <c r="AK340" s="1881"/>
      <c r="AL340" s="1881"/>
      <c r="AM340" s="1881"/>
      <c r="AN340" s="1881"/>
      <c r="AO340" s="1881"/>
      <c r="AP340" s="1881"/>
      <c r="AQ340" s="1881"/>
      <c r="AR340" s="1881"/>
      <c r="AS340" s="1881"/>
      <c r="AT340" s="1881"/>
      <c r="AU340" s="1881"/>
      <c r="AV340" s="1881"/>
      <c r="AW340" s="1881"/>
      <c r="AX340" s="1881"/>
      <c r="AY340" s="1881"/>
      <c r="AZ340" s="1881"/>
      <c r="BA340" s="1881"/>
      <c r="BB340" s="1881"/>
      <c r="BC340" s="1881"/>
      <c r="BD340" s="1881"/>
      <c r="BE340" s="1881"/>
      <c r="BF340" s="1881"/>
      <c r="BG340" s="1881"/>
    </row>
    <row r="341" spans="1:59">
      <c r="A341" s="1881"/>
      <c r="B341" s="1881"/>
      <c r="C341" s="1881"/>
      <c r="D341" s="1881"/>
      <c r="E341" s="1881"/>
      <c r="F341" s="1881"/>
      <c r="G341" s="1881"/>
      <c r="H341" s="1881"/>
      <c r="I341" s="1881"/>
      <c r="J341" s="1881"/>
      <c r="K341" s="1881"/>
      <c r="L341" s="1881"/>
      <c r="M341" s="1881"/>
      <c r="N341" s="1881"/>
      <c r="O341" s="1881"/>
      <c r="P341" s="1881"/>
      <c r="Q341" s="1881"/>
      <c r="R341" s="1881"/>
      <c r="S341" s="1881"/>
      <c r="T341" s="1881"/>
      <c r="U341" s="1881"/>
      <c r="V341" s="1881"/>
      <c r="W341" s="1881"/>
      <c r="X341" s="1881"/>
      <c r="Y341" s="1881"/>
      <c r="Z341" s="1881"/>
      <c r="AA341" s="1881"/>
      <c r="AB341" s="1881"/>
      <c r="AC341" s="1881"/>
      <c r="AD341" s="1881"/>
      <c r="AE341" s="1881"/>
      <c r="AF341" s="1881"/>
      <c r="AG341" s="1881"/>
      <c r="AH341" s="1881"/>
      <c r="AI341" s="1881"/>
      <c r="AJ341" s="1881"/>
      <c r="AK341" s="1881"/>
      <c r="AL341" s="1881"/>
      <c r="AM341" s="1881"/>
      <c r="AN341" s="1881"/>
      <c r="AO341" s="1881"/>
      <c r="AP341" s="1881"/>
      <c r="AQ341" s="1881"/>
      <c r="AR341" s="1881"/>
      <c r="AS341" s="1881"/>
      <c r="AT341" s="1881"/>
      <c r="AU341" s="1881"/>
      <c r="AV341" s="1881"/>
      <c r="AW341" s="1881"/>
      <c r="AX341" s="1881"/>
      <c r="AY341" s="1881"/>
      <c r="AZ341" s="1881"/>
      <c r="BA341" s="1881"/>
      <c r="BB341" s="1881"/>
      <c r="BC341" s="1881"/>
      <c r="BD341" s="1881"/>
      <c r="BE341" s="1881"/>
      <c r="BF341" s="1881"/>
      <c r="BG341" s="1881"/>
    </row>
    <row r="342" spans="1:59">
      <c r="A342" s="1881"/>
      <c r="B342" s="1881"/>
      <c r="C342" s="1881"/>
      <c r="D342" s="1881"/>
      <c r="E342" s="1881"/>
      <c r="F342" s="1881"/>
      <c r="G342" s="1881"/>
      <c r="H342" s="1881"/>
      <c r="I342" s="1881"/>
      <c r="J342" s="1881"/>
      <c r="K342" s="1881"/>
      <c r="L342" s="1881"/>
      <c r="M342" s="1881"/>
      <c r="N342" s="1881"/>
      <c r="O342" s="1881"/>
      <c r="P342" s="1881"/>
      <c r="Q342" s="1881"/>
      <c r="R342" s="1881"/>
      <c r="S342" s="1881"/>
      <c r="T342" s="1881"/>
      <c r="U342" s="1881"/>
      <c r="V342" s="1881"/>
      <c r="W342" s="1881"/>
      <c r="X342" s="1881"/>
      <c r="Y342" s="1881"/>
      <c r="Z342" s="1881"/>
      <c r="AA342" s="1881"/>
      <c r="AB342" s="1881"/>
      <c r="AC342" s="1881"/>
      <c r="AD342" s="1881"/>
      <c r="AE342" s="1881"/>
      <c r="AF342" s="1881"/>
      <c r="AG342" s="1881"/>
      <c r="AH342" s="1881"/>
      <c r="AI342" s="1881"/>
      <c r="AJ342" s="1881"/>
      <c r="AK342" s="1881"/>
      <c r="AL342" s="1881"/>
      <c r="AM342" s="1881"/>
      <c r="AN342" s="1881"/>
      <c r="AO342" s="1881"/>
      <c r="AP342" s="1881"/>
      <c r="AQ342" s="1881"/>
      <c r="AR342" s="1881"/>
      <c r="AS342" s="1881"/>
      <c r="AT342" s="1881"/>
      <c r="AU342" s="1881"/>
      <c r="AV342" s="1881"/>
      <c r="AW342" s="1881"/>
      <c r="AX342" s="1881"/>
      <c r="AY342" s="1881"/>
      <c r="AZ342" s="1881"/>
      <c r="BA342" s="1881"/>
      <c r="BB342" s="1881"/>
      <c r="BC342" s="1881"/>
      <c r="BD342" s="1881"/>
      <c r="BE342" s="1881"/>
      <c r="BF342" s="1881"/>
      <c r="BG342" s="1881"/>
    </row>
    <row r="343" spans="1:59">
      <c r="A343" s="1881"/>
      <c r="B343" s="1881"/>
      <c r="C343" s="1881"/>
      <c r="D343" s="1881"/>
      <c r="E343" s="1881"/>
      <c r="F343" s="1881"/>
      <c r="G343" s="1881"/>
      <c r="H343" s="1881"/>
      <c r="I343" s="1881"/>
      <c r="J343" s="1881"/>
      <c r="K343" s="1881"/>
      <c r="L343" s="1881"/>
      <c r="M343" s="1881"/>
      <c r="N343" s="1881"/>
      <c r="O343" s="1881"/>
      <c r="P343" s="1881"/>
      <c r="Q343" s="1881"/>
      <c r="R343" s="1881"/>
      <c r="S343" s="1881"/>
      <c r="T343" s="1881"/>
      <c r="U343" s="1881"/>
      <c r="V343" s="1881"/>
      <c r="W343" s="1881"/>
      <c r="X343" s="1881"/>
      <c r="Y343" s="1881"/>
      <c r="Z343" s="1881"/>
      <c r="AA343" s="1881"/>
      <c r="AB343" s="1881"/>
      <c r="AC343" s="1881"/>
      <c r="AD343" s="1881"/>
      <c r="AE343" s="1881"/>
      <c r="AF343" s="1881"/>
      <c r="AG343" s="1881"/>
      <c r="AH343" s="1881"/>
      <c r="AI343" s="1881"/>
      <c r="AJ343" s="1881"/>
      <c r="AK343" s="1881"/>
      <c r="AL343" s="1881"/>
      <c r="AM343" s="1881"/>
      <c r="AN343" s="1881"/>
      <c r="AO343" s="1881"/>
      <c r="AP343" s="1881"/>
      <c r="AQ343" s="1881"/>
      <c r="AR343" s="1881"/>
      <c r="AS343" s="1881"/>
      <c r="AT343" s="1881"/>
      <c r="AU343" s="1881"/>
      <c r="AV343" s="1881"/>
      <c r="AW343" s="1881"/>
      <c r="AX343" s="1881"/>
      <c r="AY343" s="1881"/>
      <c r="AZ343" s="1881"/>
      <c r="BA343" s="1881"/>
      <c r="BB343" s="1881"/>
      <c r="BC343" s="1881"/>
      <c r="BD343" s="1881"/>
      <c r="BE343" s="1881"/>
      <c r="BF343" s="1881"/>
      <c r="BG343" s="1881"/>
    </row>
    <row r="344" spans="1:59">
      <c r="A344" s="1881"/>
      <c r="B344" s="1881"/>
      <c r="C344" s="1881"/>
      <c r="D344" s="1881"/>
      <c r="E344" s="1881"/>
      <c r="F344" s="1881"/>
      <c r="G344" s="1881"/>
      <c r="H344" s="1881"/>
      <c r="I344" s="1881"/>
      <c r="J344" s="1881"/>
      <c r="K344" s="1881"/>
      <c r="L344" s="1881"/>
      <c r="M344" s="1881"/>
      <c r="N344" s="1881"/>
      <c r="O344" s="1881"/>
      <c r="P344" s="1881"/>
      <c r="Q344" s="1881"/>
      <c r="R344" s="1881"/>
      <c r="S344" s="1881"/>
      <c r="T344" s="1881"/>
      <c r="U344" s="1881"/>
      <c r="V344" s="1881"/>
      <c r="W344" s="1881"/>
      <c r="X344" s="1881"/>
      <c r="Y344" s="1881"/>
      <c r="Z344" s="1881"/>
      <c r="AA344" s="1881"/>
      <c r="AB344" s="1881"/>
      <c r="AC344" s="1881"/>
      <c r="AD344" s="1881"/>
      <c r="AE344" s="1881"/>
      <c r="AF344" s="1881"/>
      <c r="AG344" s="1881"/>
      <c r="AH344" s="1881"/>
      <c r="AI344" s="1881"/>
      <c r="AJ344" s="1881"/>
      <c r="AK344" s="1881"/>
      <c r="AL344" s="1881"/>
      <c r="AM344" s="1881"/>
      <c r="AN344" s="1881"/>
      <c r="AO344" s="1881"/>
      <c r="AP344" s="1881"/>
      <c r="AQ344" s="1881"/>
      <c r="AR344" s="1881"/>
      <c r="AS344" s="1881"/>
      <c r="AT344" s="1881"/>
      <c r="AU344" s="1881"/>
      <c r="AV344" s="1881"/>
      <c r="AW344" s="1881"/>
      <c r="AX344" s="1881"/>
      <c r="AY344" s="1881"/>
      <c r="AZ344" s="1881"/>
      <c r="BA344" s="1881"/>
      <c r="BB344" s="1881"/>
      <c r="BC344" s="1881"/>
      <c r="BD344" s="1881"/>
      <c r="BE344" s="1881"/>
      <c r="BF344" s="1881"/>
      <c r="BG344" s="1881"/>
    </row>
    <row r="345" spans="1:59">
      <c r="A345" s="1881"/>
      <c r="B345" s="1881"/>
      <c r="C345" s="1881"/>
      <c r="D345" s="1881"/>
      <c r="E345" s="1881"/>
      <c r="F345" s="1881"/>
      <c r="G345" s="1881"/>
      <c r="H345" s="1881"/>
      <c r="I345" s="1881"/>
      <c r="J345" s="1881"/>
      <c r="K345" s="1881"/>
      <c r="L345" s="1881"/>
      <c r="M345" s="1881"/>
      <c r="N345" s="1881"/>
      <c r="O345" s="1881"/>
      <c r="P345" s="1881"/>
      <c r="Q345" s="1881"/>
      <c r="R345" s="1881"/>
      <c r="S345" s="1881"/>
      <c r="T345" s="1881"/>
      <c r="U345" s="1881"/>
      <c r="V345" s="1881"/>
      <c r="W345" s="1881"/>
      <c r="X345" s="1881"/>
      <c r="Y345" s="1881"/>
      <c r="Z345" s="1881"/>
      <c r="AA345" s="1881"/>
      <c r="AB345" s="1881"/>
      <c r="AC345" s="1881"/>
      <c r="AD345" s="1881"/>
      <c r="AE345" s="1881"/>
      <c r="AF345" s="1881"/>
      <c r="AG345" s="1881"/>
      <c r="AH345" s="1881"/>
      <c r="AI345" s="1881"/>
      <c r="AJ345" s="1881"/>
      <c r="AK345" s="1881"/>
      <c r="AL345" s="1881"/>
      <c r="AM345" s="1881"/>
      <c r="AN345" s="1881"/>
      <c r="AO345" s="1881"/>
      <c r="AP345" s="1881"/>
      <c r="AQ345" s="1881"/>
      <c r="AR345" s="1881"/>
      <c r="AS345" s="1881"/>
      <c r="AT345" s="1881"/>
      <c r="AU345" s="1881"/>
      <c r="AV345" s="1881"/>
      <c r="AW345" s="1881"/>
      <c r="AX345" s="1881"/>
      <c r="AY345" s="1881"/>
      <c r="AZ345" s="1881"/>
      <c r="BA345" s="1881"/>
      <c r="BB345" s="1881"/>
      <c r="BC345" s="1881"/>
      <c r="BD345" s="1881"/>
      <c r="BE345" s="1881"/>
      <c r="BF345" s="1881"/>
      <c r="BG345" s="1881"/>
    </row>
    <row r="346" spans="1:59">
      <c r="A346" s="1881"/>
      <c r="B346" s="1881"/>
      <c r="C346" s="1881"/>
      <c r="D346" s="1881"/>
      <c r="E346" s="1881"/>
      <c r="F346" s="1881"/>
      <c r="G346" s="1881"/>
      <c r="H346" s="1881"/>
      <c r="I346" s="1881"/>
      <c r="J346" s="1881"/>
      <c r="K346" s="1881"/>
      <c r="L346" s="1881"/>
      <c r="M346" s="1881"/>
      <c r="N346" s="1881"/>
      <c r="O346" s="1881"/>
      <c r="P346" s="1881"/>
      <c r="Q346" s="1881"/>
      <c r="R346" s="1881"/>
      <c r="S346" s="1881"/>
      <c r="T346" s="1881"/>
      <c r="U346" s="1881"/>
      <c r="V346" s="1881"/>
      <c r="W346" s="1881"/>
      <c r="X346" s="1881"/>
      <c r="Y346" s="1881"/>
      <c r="Z346" s="1881"/>
      <c r="AA346" s="1881"/>
      <c r="AB346" s="1881"/>
      <c r="AC346" s="1881"/>
      <c r="AD346" s="1881"/>
      <c r="AE346" s="1881"/>
      <c r="AF346" s="1881"/>
      <c r="AG346" s="1881"/>
      <c r="AH346" s="1881"/>
      <c r="AI346" s="1881"/>
      <c r="AJ346" s="1881"/>
      <c r="AK346" s="1881"/>
      <c r="AL346" s="1881"/>
      <c r="AM346" s="1881"/>
      <c r="AN346" s="1881"/>
      <c r="AO346" s="1881"/>
      <c r="AP346" s="1881"/>
      <c r="AQ346" s="1881"/>
      <c r="AR346" s="1881"/>
      <c r="AS346" s="1881"/>
      <c r="AT346" s="1881"/>
      <c r="AU346" s="1881"/>
      <c r="AV346" s="1881"/>
      <c r="AW346" s="1881"/>
      <c r="AX346" s="1881"/>
      <c r="AY346" s="1881"/>
      <c r="AZ346" s="1881"/>
      <c r="BA346" s="1881"/>
      <c r="BB346" s="1881"/>
      <c r="BC346" s="1881"/>
      <c r="BD346" s="1881"/>
      <c r="BE346" s="1881"/>
      <c r="BF346" s="1881"/>
      <c r="BG346" s="1881"/>
    </row>
    <row r="347" spans="1:59">
      <c r="A347" s="1881"/>
      <c r="B347" s="1881"/>
      <c r="C347" s="1881"/>
      <c r="D347" s="1881"/>
      <c r="E347" s="1881"/>
      <c r="F347" s="1881"/>
      <c r="G347" s="1881"/>
      <c r="H347" s="1881"/>
      <c r="I347" s="1881"/>
      <c r="J347" s="1881"/>
      <c r="K347" s="1881"/>
      <c r="L347" s="1881"/>
      <c r="M347" s="1881"/>
      <c r="N347" s="1881"/>
      <c r="O347" s="1881"/>
      <c r="P347" s="1881"/>
      <c r="Q347" s="1881"/>
      <c r="R347" s="1881"/>
      <c r="S347" s="1881"/>
      <c r="T347" s="1881"/>
      <c r="U347" s="1881"/>
      <c r="V347" s="1881"/>
      <c r="W347" s="1881"/>
      <c r="X347" s="1881"/>
      <c r="Y347" s="1881"/>
      <c r="Z347" s="1881"/>
      <c r="AA347" s="1881"/>
      <c r="AB347" s="1881"/>
      <c r="AC347" s="1881"/>
      <c r="AD347" s="1881"/>
      <c r="AE347" s="1881"/>
      <c r="AF347" s="1881"/>
      <c r="AG347" s="1881"/>
      <c r="AH347" s="1881"/>
      <c r="AI347" s="1881"/>
      <c r="AJ347" s="1881"/>
      <c r="AK347" s="1881"/>
      <c r="AL347" s="1881"/>
      <c r="AM347" s="1881"/>
      <c r="AN347" s="1881"/>
      <c r="AO347" s="1881"/>
      <c r="AP347" s="1881"/>
      <c r="AQ347" s="1881"/>
      <c r="AR347" s="1881"/>
      <c r="AS347" s="1881"/>
      <c r="AT347" s="1881"/>
      <c r="AU347" s="1881"/>
      <c r="AV347" s="1881"/>
      <c r="AW347" s="1881"/>
      <c r="AX347" s="1881"/>
      <c r="AY347" s="1881"/>
      <c r="AZ347" s="1881"/>
      <c r="BA347" s="1881"/>
      <c r="BB347" s="1881"/>
      <c r="BC347" s="1881"/>
      <c r="BD347" s="1881"/>
      <c r="BE347" s="1881"/>
      <c r="BF347" s="1881"/>
      <c r="BG347" s="1881"/>
    </row>
    <row r="348" spans="1:59">
      <c r="A348" s="1881"/>
      <c r="B348" s="1881"/>
      <c r="C348" s="1881"/>
      <c r="D348" s="1881"/>
      <c r="E348" s="1881"/>
      <c r="F348" s="1881"/>
      <c r="G348" s="1881"/>
      <c r="H348" s="1881"/>
      <c r="I348" s="1881"/>
      <c r="J348" s="1881"/>
      <c r="K348" s="1881"/>
      <c r="L348" s="1881"/>
      <c r="M348" s="1881"/>
      <c r="N348" s="1881"/>
      <c r="O348" s="1881"/>
      <c r="P348" s="1881"/>
      <c r="Q348" s="1881"/>
      <c r="R348" s="1881"/>
      <c r="S348" s="1881"/>
      <c r="T348" s="1881"/>
      <c r="U348" s="1881"/>
      <c r="V348" s="1881"/>
      <c r="W348" s="1881"/>
      <c r="X348" s="1881"/>
      <c r="Y348" s="1881"/>
      <c r="Z348" s="1881"/>
      <c r="AA348" s="1881"/>
      <c r="AB348" s="1881"/>
      <c r="AC348" s="1881"/>
      <c r="AD348" s="1881"/>
      <c r="AE348" s="1881"/>
      <c r="AF348" s="1881"/>
      <c r="AG348" s="1881"/>
      <c r="AH348" s="1881"/>
      <c r="AI348" s="1881"/>
      <c r="AJ348" s="1881"/>
      <c r="AK348" s="1881"/>
      <c r="AL348" s="1881"/>
      <c r="AM348" s="1881"/>
      <c r="AN348" s="1881"/>
      <c r="AO348" s="1881"/>
      <c r="AP348" s="1881"/>
      <c r="AQ348" s="1881"/>
      <c r="AR348" s="1881"/>
      <c r="AS348" s="1881"/>
      <c r="AT348" s="1881"/>
      <c r="AU348" s="1881"/>
      <c r="AV348" s="1881"/>
      <c r="AW348" s="1881"/>
      <c r="AX348" s="1881"/>
      <c r="AY348" s="1881"/>
      <c r="AZ348" s="1881"/>
      <c r="BA348" s="1881"/>
      <c r="BB348" s="1881"/>
      <c r="BC348" s="1881"/>
      <c r="BD348" s="1881"/>
      <c r="BE348" s="1881"/>
      <c r="BF348" s="1881"/>
      <c r="BG348" s="1881"/>
    </row>
    <row r="349" spans="1:59">
      <c r="A349" s="1881"/>
      <c r="B349" s="1881"/>
      <c r="C349" s="1881"/>
      <c r="D349" s="1881"/>
      <c r="E349" s="1881"/>
      <c r="F349" s="1881"/>
      <c r="G349" s="1881"/>
      <c r="H349" s="1881"/>
      <c r="I349" s="1881"/>
      <c r="J349" s="1881"/>
      <c r="K349" s="1881"/>
      <c r="L349" s="1881"/>
      <c r="M349" s="1881"/>
      <c r="N349" s="1881"/>
      <c r="O349" s="1881"/>
      <c r="P349" s="1881"/>
      <c r="Q349" s="1881"/>
      <c r="R349" s="1881"/>
      <c r="S349" s="1881"/>
      <c r="T349" s="1881"/>
      <c r="U349" s="1881"/>
      <c r="V349" s="1881"/>
      <c r="W349" s="1881"/>
      <c r="X349" s="1881"/>
      <c r="Y349" s="1881"/>
      <c r="Z349" s="1881"/>
      <c r="AA349" s="1881"/>
      <c r="AB349" s="1881"/>
      <c r="AC349" s="1881"/>
      <c r="AD349" s="1881"/>
      <c r="AE349" s="1881"/>
      <c r="AF349" s="1881"/>
      <c r="AG349" s="1881"/>
      <c r="AH349" s="1881"/>
      <c r="AI349" s="1881"/>
      <c r="AJ349" s="1881"/>
      <c r="AK349" s="1881"/>
      <c r="AL349" s="1881"/>
      <c r="AM349" s="1881"/>
      <c r="AN349" s="1881"/>
      <c r="AO349" s="1881"/>
      <c r="AP349" s="1881"/>
      <c r="AQ349" s="1881"/>
      <c r="AR349" s="1881"/>
      <c r="AS349" s="1881"/>
      <c r="AT349" s="1881"/>
      <c r="AU349" s="1881"/>
      <c r="AV349" s="1881"/>
      <c r="AW349" s="1881"/>
      <c r="AX349" s="1881"/>
      <c r="AY349" s="1881"/>
      <c r="AZ349" s="1881"/>
      <c r="BA349" s="1881"/>
      <c r="BB349" s="1881"/>
      <c r="BC349" s="1881"/>
      <c r="BD349" s="1881"/>
      <c r="BE349" s="1881"/>
      <c r="BF349" s="1881"/>
      <c r="BG349" s="1881"/>
    </row>
    <row r="350" spans="1:59">
      <c r="A350" s="1881"/>
      <c r="B350" s="1881"/>
      <c r="C350" s="1881"/>
      <c r="D350" s="1881"/>
      <c r="E350" s="1881"/>
      <c r="F350" s="1881"/>
      <c r="G350" s="1881"/>
      <c r="H350" s="1881"/>
      <c r="I350" s="1881"/>
      <c r="J350" s="1881"/>
      <c r="K350" s="1881"/>
      <c r="L350" s="1881"/>
      <c r="M350" s="1881"/>
      <c r="N350" s="1881"/>
      <c r="O350" s="1881"/>
      <c r="P350" s="1881"/>
      <c r="Q350" s="1881"/>
      <c r="R350" s="1881"/>
      <c r="S350" s="1881"/>
      <c r="T350" s="1881"/>
      <c r="U350" s="1881"/>
      <c r="V350" s="1881"/>
      <c r="W350" s="1881"/>
      <c r="X350" s="1881"/>
      <c r="Y350" s="1881"/>
      <c r="Z350" s="1881"/>
      <c r="AA350" s="1881"/>
      <c r="AB350" s="1881"/>
      <c r="AC350" s="1881"/>
      <c r="AD350" s="1881"/>
      <c r="AE350" s="1881"/>
      <c r="AF350" s="1881"/>
      <c r="AG350" s="1881"/>
      <c r="AH350" s="1881"/>
      <c r="AI350" s="1881"/>
      <c r="AJ350" s="1881"/>
      <c r="AK350" s="1881"/>
      <c r="AL350" s="1881"/>
      <c r="AM350" s="1881"/>
      <c r="AN350" s="1881"/>
      <c r="AO350" s="1881"/>
      <c r="AP350" s="1881"/>
      <c r="AQ350" s="1881"/>
      <c r="AR350" s="1881"/>
      <c r="AS350" s="1881"/>
      <c r="AT350" s="1881"/>
      <c r="AU350" s="1881"/>
      <c r="AV350" s="1881"/>
      <c r="AW350" s="1881"/>
      <c r="AX350" s="1881"/>
      <c r="AY350" s="1881"/>
      <c r="AZ350" s="1881"/>
      <c r="BA350" s="1881"/>
      <c r="BB350" s="1881"/>
      <c r="BC350" s="1881"/>
      <c r="BD350" s="1881"/>
      <c r="BE350" s="1881"/>
      <c r="BF350" s="1881"/>
      <c r="BG350" s="1881"/>
    </row>
    <row r="351" spans="1:59">
      <c r="A351" s="1881"/>
      <c r="B351" s="1881"/>
      <c r="C351" s="1881"/>
      <c r="D351" s="1881"/>
      <c r="E351" s="1881"/>
      <c r="F351" s="1881"/>
      <c r="G351" s="1881"/>
      <c r="H351" s="1881"/>
      <c r="I351" s="1881"/>
      <c r="J351" s="1881"/>
      <c r="K351" s="1881"/>
      <c r="L351" s="1881"/>
      <c r="M351" s="1881"/>
      <c r="N351" s="1881"/>
      <c r="O351" s="1881"/>
      <c r="P351" s="1881"/>
      <c r="Q351" s="1881"/>
      <c r="R351" s="1881"/>
      <c r="S351" s="1881"/>
      <c r="T351" s="1881"/>
      <c r="U351" s="1881"/>
      <c r="V351" s="1881"/>
      <c r="W351" s="1881"/>
      <c r="X351" s="1881"/>
      <c r="Y351" s="1881"/>
      <c r="Z351" s="1881"/>
      <c r="AA351" s="1881"/>
      <c r="AB351" s="1881"/>
      <c r="AC351" s="1881"/>
      <c r="AD351" s="1881"/>
      <c r="AE351" s="1881"/>
      <c r="AF351" s="1881"/>
      <c r="AG351" s="1881"/>
      <c r="AH351" s="1881"/>
      <c r="AI351" s="1881"/>
      <c r="AJ351" s="1881"/>
      <c r="AK351" s="1881"/>
      <c r="AL351" s="1881"/>
      <c r="AM351" s="1881"/>
      <c r="AN351" s="1881"/>
      <c r="AO351" s="1881"/>
      <c r="AP351" s="1881"/>
      <c r="AQ351" s="1881"/>
      <c r="AR351" s="1881"/>
      <c r="AS351" s="1881"/>
      <c r="AT351" s="1881"/>
      <c r="AU351" s="1881"/>
      <c r="AV351" s="1881"/>
      <c r="AW351" s="1881"/>
      <c r="AX351" s="1881"/>
      <c r="AY351" s="1881"/>
      <c r="AZ351" s="1881"/>
      <c r="BA351" s="1881"/>
      <c r="BB351" s="1881"/>
      <c r="BC351" s="1881"/>
      <c r="BD351" s="1881"/>
      <c r="BE351" s="1881"/>
      <c r="BF351" s="1881"/>
      <c r="BG351" s="1881"/>
    </row>
    <row r="352" spans="1:59">
      <c r="A352" s="1881"/>
      <c r="B352" s="1881"/>
      <c r="C352" s="1881"/>
      <c r="D352" s="1881"/>
      <c r="E352" s="1881"/>
      <c r="F352" s="1881"/>
      <c r="G352" s="1881"/>
      <c r="H352" s="1881"/>
      <c r="I352" s="1881"/>
      <c r="J352" s="1881"/>
      <c r="K352" s="1881"/>
      <c r="L352" s="1881"/>
      <c r="M352" s="1881"/>
      <c r="N352" s="1881"/>
      <c r="O352" s="1881"/>
      <c r="P352" s="1881"/>
      <c r="Q352" s="1881"/>
      <c r="R352" s="1881"/>
      <c r="S352" s="1881"/>
      <c r="T352" s="1881"/>
      <c r="U352" s="1881"/>
      <c r="V352" s="1881"/>
      <c r="W352" s="1881"/>
      <c r="X352" s="1881"/>
      <c r="Y352" s="1881"/>
      <c r="Z352" s="1881"/>
      <c r="AA352" s="1881"/>
      <c r="AB352" s="1881"/>
      <c r="AC352" s="1881"/>
      <c r="AD352" s="1881"/>
      <c r="AE352" s="1881"/>
      <c r="AF352" s="1881"/>
      <c r="AG352" s="1881"/>
      <c r="AH352" s="1881"/>
      <c r="AI352" s="1881"/>
      <c r="AJ352" s="1881"/>
      <c r="AK352" s="1881"/>
      <c r="AL352" s="1881"/>
      <c r="AM352" s="1881"/>
      <c r="AN352" s="1881"/>
      <c r="AO352" s="1881"/>
      <c r="AP352" s="1881"/>
      <c r="AQ352" s="1881"/>
      <c r="AR352" s="1881"/>
      <c r="AS352" s="1881"/>
      <c r="AT352" s="1881"/>
      <c r="AU352" s="1881"/>
      <c r="AV352" s="1881"/>
      <c r="AW352" s="1881"/>
      <c r="AX352" s="1881"/>
      <c r="AY352" s="1881"/>
      <c r="AZ352" s="1881"/>
      <c r="BA352" s="1881"/>
      <c r="BB352" s="1881"/>
      <c r="BC352" s="1881"/>
      <c r="BD352" s="1881"/>
      <c r="BE352" s="1881"/>
      <c r="BF352" s="1881"/>
      <c r="BG352" s="1881"/>
    </row>
    <row r="353" spans="1:59">
      <c r="A353" s="1881"/>
      <c r="B353" s="1881"/>
      <c r="C353" s="1881"/>
      <c r="D353" s="1881"/>
      <c r="E353" s="1881"/>
      <c r="F353" s="1881"/>
      <c r="G353" s="1881"/>
      <c r="H353" s="1881"/>
      <c r="I353" s="1881"/>
      <c r="J353" s="1881"/>
      <c r="K353" s="1881"/>
      <c r="L353" s="1881"/>
      <c r="M353" s="1881"/>
      <c r="N353" s="1881"/>
      <c r="O353" s="1881"/>
      <c r="P353" s="1881"/>
      <c r="Q353" s="1881"/>
      <c r="R353" s="1881"/>
      <c r="S353" s="1881"/>
      <c r="T353" s="1881"/>
      <c r="U353" s="1881"/>
      <c r="V353" s="1881"/>
      <c r="W353" s="1881"/>
      <c r="X353" s="1881"/>
      <c r="Y353" s="1881"/>
      <c r="Z353" s="1881"/>
      <c r="AA353" s="1881"/>
      <c r="AB353" s="1881"/>
      <c r="AC353" s="1881"/>
      <c r="AD353" s="1881"/>
      <c r="AE353" s="1881"/>
      <c r="AF353" s="1881"/>
      <c r="AG353" s="1881"/>
      <c r="AH353" s="1881"/>
      <c r="AI353" s="1881"/>
      <c r="AJ353" s="1881"/>
      <c r="AK353" s="1881"/>
      <c r="AL353" s="1881"/>
      <c r="AM353" s="1881"/>
      <c r="AN353" s="1881"/>
      <c r="AO353" s="1881"/>
      <c r="AP353" s="1881"/>
      <c r="AQ353" s="1881"/>
      <c r="AR353" s="1881"/>
      <c r="AS353" s="1881"/>
      <c r="AT353" s="1881"/>
      <c r="AU353" s="1881"/>
      <c r="AV353" s="1881"/>
      <c r="AW353" s="1881"/>
      <c r="AX353" s="1881"/>
      <c r="AY353" s="1881"/>
      <c r="AZ353" s="1881"/>
      <c r="BA353" s="1881"/>
      <c r="BB353" s="1881"/>
      <c r="BC353" s="1881"/>
      <c r="BD353" s="1881"/>
      <c r="BE353" s="1881"/>
      <c r="BF353" s="1881"/>
      <c r="BG353" s="1881"/>
    </row>
    <row r="354" spans="1:59">
      <c r="A354" s="1881"/>
      <c r="B354" s="1881"/>
      <c r="C354" s="1881"/>
      <c r="D354" s="1881"/>
      <c r="E354" s="1881"/>
      <c r="F354" s="1881"/>
      <c r="G354" s="1881"/>
      <c r="H354" s="1881"/>
      <c r="I354" s="1881"/>
      <c r="J354" s="1881"/>
      <c r="K354" s="1881"/>
      <c r="L354" s="1881"/>
      <c r="M354" s="1881"/>
      <c r="N354" s="1881"/>
      <c r="O354" s="1881"/>
      <c r="P354" s="1881"/>
      <c r="Q354" s="1881"/>
      <c r="R354" s="1881"/>
      <c r="S354" s="1881"/>
      <c r="T354" s="1881"/>
      <c r="U354" s="1881"/>
      <c r="V354" s="1881"/>
      <c r="W354" s="1881"/>
      <c r="X354" s="1881"/>
      <c r="Y354" s="1881"/>
      <c r="Z354" s="1881"/>
      <c r="AA354" s="1881"/>
      <c r="AB354" s="1881"/>
      <c r="AC354" s="1881"/>
      <c r="AD354" s="1881"/>
      <c r="AE354" s="1881"/>
      <c r="AF354" s="1881"/>
      <c r="AG354" s="1881"/>
      <c r="AH354" s="1881"/>
      <c r="AI354" s="1881"/>
      <c r="AJ354" s="1881"/>
      <c r="AK354" s="1881"/>
      <c r="AL354" s="1881"/>
      <c r="AM354" s="1881"/>
      <c r="AN354" s="1881"/>
      <c r="AO354" s="1881"/>
      <c r="AP354" s="1881"/>
      <c r="AQ354" s="1881"/>
      <c r="AR354" s="1881"/>
      <c r="AS354" s="1881"/>
      <c r="AT354" s="1881"/>
      <c r="AU354" s="1881"/>
      <c r="AV354" s="1881"/>
      <c r="AW354" s="1881"/>
      <c r="AX354" s="1881"/>
      <c r="AY354" s="1881"/>
      <c r="AZ354" s="1881"/>
      <c r="BA354" s="1881"/>
      <c r="BB354" s="1881"/>
      <c r="BC354" s="1881"/>
      <c r="BD354" s="1881"/>
      <c r="BE354" s="1881"/>
      <c r="BF354" s="1881"/>
      <c r="BG354" s="1881"/>
    </row>
    <row r="355" spans="1:59">
      <c r="A355" s="1881"/>
      <c r="B355" s="1881"/>
      <c r="C355" s="1881"/>
      <c r="D355" s="1881"/>
      <c r="E355" s="1881"/>
      <c r="F355" s="1881"/>
      <c r="G355" s="1881"/>
      <c r="H355" s="1881"/>
      <c r="I355" s="1881"/>
      <c r="J355" s="1881"/>
      <c r="K355" s="1881"/>
      <c r="L355" s="1881"/>
      <c r="M355" s="1881"/>
      <c r="N355" s="1881"/>
      <c r="O355" s="1881"/>
      <c r="P355" s="1881"/>
      <c r="Q355" s="1881"/>
      <c r="R355" s="1881"/>
      <c r="S355" s="1881"/>
      <c r="T355" s="1881"/>
      <c r="U355" s="1881"/>
      <c r="V355" s="1881"/>
      <c r="W355" s="1881"/>
      <c r="X355" s="1881"/>
      <c r="Y355" s="1881"/>
      <c r="Z355" s="1881"/>
      <c r="AA355" s="1881"/>
      <c r="AB355" s="1881"/>
      <c r="AC355" s="1881"/>
      <c r="AD355" s="1881"/>
      <c r="AE355" s="1881"/>
      <c r="AF355" s="1881"/>
      <c r="AG355" s="1881"/>
      <c r="AH355" s="1881"/>
      <c r="AI355" s="1881"/>
      <c r="AJ355" s="1881"/>
      <c r="AK355" s="1881"/>
      <c r="AL355" s="1881"/>
      <c r="AM355" s="1881"/>
      <c r="AN355" s="1881"/>
      <c r="AO355" s="1881"/>
      <c r="AP355" s="1881"/>
      <c r="AQ355" s="1881"/>
      <c r="AR355" s="1881"/>
      <c r="AS355" s="1881"/>
      <c r="AT355" s="1881"/>
      <c r="AU355" s="1881"/>
      <c r="AV355" s="1881"/>
      <c r="AW355" s="1881"/>
      <c r="AX355" s="1881"/>
      <c r="AY355" s="1881"/>
      <c r="AZ355" s="1881"/>
      <c r="BA355" s="1881"/>
      <c r="BB355" s="1881"/>
      <c r="BC355" s="1881"/>
      <c r="BD355" s="1881"/>
      <c r="BE355" s="1881"/>
      <c r="BF355" s="1881"/>
      <c r="BG355" s="1881"/>
    </row>
    <row r="356" spans="1:59">
      <c r="A356" s="1881"/>
      <c r="B356" s="1881"/>
      <c r="C356" s="1881"/>
      <c r="D356" s="1881"/>
      <c r="E356" s="1881"/>
      <c r="F356" s="1881"/>
      <c r="G356" s="1881"/>
      <c r="H356" s="1881"/>
      <c r="I356" s="1881"/>
      <c r="J356" s="1881"/>
      <c r="K356" s="1881"/>
      <c r="L356" s="1881"/>
      <c r="M356" s="1881"/>
      <c r="N356" s="1881"/>
      <c r="O356" s="1881"/>
      <c r="P356" s="1881"/>
      <c r="Q356" s="1881"/>
      <c r="R356" s="1881"/>
      <c r="S356" s="1881"/>
      <c r="T356" s="1881"/>
      <c r="U356" s="1881"/>
      <c r="V356" s="1881"/>
      <c r="W356" s="1881"/>
      <c r="X356" s="1881"/>
      <c r="Y356" s="1881"/>
      <c r="Z356" s="1881"/>
      <c r="AA356" s="1881"/>
      <c r="AB356" s="1881"/>
      <c r="AC356" s="1881"/>
      <c r="AD356" s="1881"/>
      <c r="AE356" s="1881"/>
      <c r="AF356" s="1881"/>
      <c r="AG356" s="1881"/>
      <c r="AH356" s="1881"/>
      <c r="AI356" s="1881"/>
      <c r="AJ356" s="1881"/>
      <c r="AK356" s="1881"/>
      <c r="AL356" s="1881"/>
      <c r="AM356" s="1881"/>
      <c r="AN356" s="1881"/>
      <c r="AO356" s="1881"/>
      <c r="AP356" s="1881"/>
      <c r="AQ356" s="1881"/>
      <c r="AR356" s="1881"/>
      <c r="AS356" s="1881"/>
      <c r="AT356" s="1881"/>
      <c r="AU356" s="1881"/>
      <c r="AV356" s="1881"/>
      <c r="AW356" s="1881"/>
      <c r="AX356" s="1881"/>
      <c r="AY356" s="1881"/>
      <c r="AZ356" s="1881"/>
      <c r="BA356" s="1881"/>
      <c r="BB356" s="1881"/>
      <c r="BC356" s="1881"/>
      <c r="BD356" s="1881"/>
      <c r="BE356" s="1881"/>
      <c r="BF356" s="1881"/>
      <c r="BG356" s="1881"/>
    </row>
    <row r="357" spans="1:59">
      <c r="A357" s="1881"/>
      <c r="B357" s="1881"/>
      <c r="C357" s="1881"/>
      <c r="D357" s="1881"/>
      <c r="E357" s="1881"/>
      <c r="F357" s="1881"/>
      <c r="G357" s="1881"/>
      <c r="H357" s="1881"/>
      <c r="I357" s="1881"/>
      <c r="J357" s="1881"/>
      <c r="K357" s="1881"/>
      <c r="L357" s="1881"/>
      <c r="M357" s="1881"/>
      <c r="N357" s="1881"/>
      <c r="O357" s="1881"/>
      <c r="P357" s="1881"/>
      <c r="Q357" s="1881"/>
      <c r="R357" s="1881"/>
      <c r="S357" s="1881"/>
      <c r="T357" s="1881"/>
      <c r="U357" s="1881"/>
      <c r="V357" s="1881"/>
      <c r="W357" s="1881"/>
      <c r="X357" s="1881"/>
      <c r="Y357" s="1881"/>
      <c r="Z357" s="1881"/>
      <c r="AA357" s="1881"/>
      <c r="AB357" s="1881"/>
      <c r="AC357" s="1881"/>
      <c r="AD357" s="1881"/>
      <c r="AE357" s="1881"/>
      <c r="AF357" s="1881"/>
      <c r="AG357" s="1881"/>
      <c r="AH357" s="1881"/>
      <c r="AI357" s="1881"/>
      <c r="AJ357" s="1881"/>
      <c r="AK357" s="1881"/>
      <c r="AL357" s="1881"/>
      <c r="AM357" s="1881"/>
      <c r="AN357" s="1881"/>
      <c r="AO357" s="1881"/>
      <c r="AP357" s="1881"/>
      <c r="AQ357" s="1881"/>
      <c r="AR357" s="1881"/>
      <c r="AS357" s="1881"/>
      <c r="AT357" s="1881"/>
      <c r="AU357" s="1881"/>
      <c r="AV357" s="1881"/>
      <c r="AW357" s="1881"/>
      <c r="AX357" s="1881"/>
      <c r="AY357" s="1881"/>
      <c r="AZ357" s="1881"/>
      <c r="BA357" s="1881"/>
      <c r="BB357" s="1881"/>
      <c r="BC357" s="1881"/>
      <c r="BD357" s="1881"/>
      <c r="BE357" s="1881"/>
      <c r="BF357" s="1881"/>
      <c r="BG357" s="1881"/>
    </row>
  </sheetData>
  <mergeCells count="7">
    <mergeCell ref="A225:H225"/>
    <mergeCell ref="A209:H209"/>
    <mergeCell ref="A1:I1"/>
    <mergeCell ref="H13:P13"/>
    <mergeCell ref="B15:C15"/>
    <mergeCell ref="B18:C18"/>
    <mergeCell ref="B13:C13"/>
  </mergeCells>
  <hyperlinks>
    <hyperlink ref="A1:I1" location="Главная!A1" display="Вернуться на главную страницу" xr:uid="{1AD8AFE7-E081-4E4E-B6E8-A86EBD11E3CC}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Лист53">
    <tabColor rgb="FFFFFF00"/>
  </sheetPr>
  <dimension ref="A1:P61"/>
  <sheetViews>
    <sheetView zoomScale="70" zoomScaleNormal="70" workbookViewId="0">
      <pane ySplit="6" topLeftCell="A7" activePane="bottomLeft" state="frozen"/>
      <selection pane="bottomLeft" activeCell="M31" sqref="M31"/>
    </sheetView>
  </sheetViews>
  <sheetFormatPr defaultRowHeight="15"/>
  <cols>
    <col min="1" max="1" width="35.85546875" customWidth="1"/>
    <col min="2" max="8" width="26.85546875" customWidth="1"/>
  </cols>
  <sheetData>
    <row r="1" spans="1:16" ht="15.75">
      <c r="A1" s="88" t="s">
        <v>9</v>
      </c>
      <c r="B1" s="88"/>
      <c r="C1" s="8"/>
      <c r="D1" s="8"/>
    </row>
    <row r="2" spans="1:16" ht="16.5" thickBot="1">
      <c r="A2" s="89"/>
      <c r="B2" s="89"/>
      <c r="C2" s="8"/>
      <c r="D2" s="8"/>
      <c r="E2" s="65"/>
      <c r="F2" s="65"/>
      <c r="G2" s="65"/>
      <c r="H2" s="65"/>
    </row>
    <row r="3" spans="1:16" s="65" customFormat="1" ht="25.5" customHeight="1" thickBot="1">
      <c r="A3" s="3205" t="s">
        <v>79</v>
      </c>
      <c r="B3" s="3206"/>
      <c r="C3" s="3206"/>
      <c r="D3" s="3206"/>
      <c r="E3" s="3206"/>
      <c r="F3" s="3206"/>
      <c r="G3" s="3206"/>
      <c r="H3" s="3207"/>
    </row>
    <row r="4" spans="1:16" ht="35.25" customHeight="1" thickBot="1">
      <c r="A4" s="3196" t="s">
        <v>79</v>
      </c>
      <c r="B4" s="3199" t="s">
        <v>2</v>
      </c>
      <c r="C4" s="3196" t="s">
        <v>1</v>
      </c>
      <c r="D4" s="3196"/>
      <c r="E4" s="3196"/>
      <c r="F4" s="3196"/>
      <c r="G4" s="3196"/>
      <c r="H4" s="3196"/>
    </row>
    <row r="5" spans="1:16" ht="92.25" customHeight="1" thickBot="1">
      <c r="A5" s="3197"/>
      <c r="B5" s="3200"/>
      <c r="C5" s="169">
        <v>160</v>
      </c>
      <c r="D5" s="169">
        <v>200</v>
      </c>
      <c r="E5" s="169">
        <v>260</v>
      </c>
      <c r="F5" s="169">
        <v>300</v>
      </c>
      <c r="G5" s="169">
        <v>360</v>
      </c>
      <c r="H5" s="169">
        <v>400</v>
      </c>
    </row>
    <row r="6" spans="1:16" s="65" customFormat="1" ht="24" customHeight="1" thickBot="1">
      <c r="A6" s="3198"/>
      <c r="B6" s="3201"/>
      <c r="C6" s="3202" t="s">
        <v>141</v>
      </c>
      <c r="D6" s="3203"/>
      <c r="E6" s="3203"/>
      <c r="F6" s="3203"/>
      <c r="G6" s="3203"/>
      <c r="H6" s="3204"/>
    </row>
    <row r="7" spans="1:16" ht="15.75">
      <c r="A7" s="165" t="s">
        <v>559</v>
      </c>
      <c r="B7" s="166">
        <v>600</v>
      </c>
      <c r="C7" s="170">
        <v>993.1644217529074</v>
      </c>
      <c r="D7" s="170">
        <v>1154.9139855598032</v>
      </c>
      <c r="E7" s="170">
        <v>1401.6742397051801</v>
      </c>
      <c r="F7" s="170">
        <v>1563.4238035120759</v>
      </c>
      <c r="G7" s="170">
        <v>1810.1840576574525</v>
      </c>
      <c r="H7" s="170">
        <v>1971.9336214643483</v>
      </c>
      <c r="I7" s="116"/>
      <c r="J7" s="116"/>
      <c r="K7" s="116"/>
      <c r="L7" s="116"/>
      <c r="M7" s="116"/>
      <c r="N7" s="116"/>
      <c r="O7" s="116"/>
      <c r="P7" s="116"/>
    </row>
    <row r="8" spans="1:16" ht="15.75">
      <c r="A8" s="165" t="s">
        <v>559</v>
      </c>
      <c r="B8" s="104">
        <v>650</v>
      </c>
      <c r="C8" s="161">
        <v>1057.5415632859738</v>
      </c>
      <c r="D8" s="161">
        <v>1232.007287769512</v>
      </c>
      <c r="E8" s="161">
        <v>1497.8417829298533</v>
      </c>
      <c r="F8" s="161">
        <v>1672.3075074133915</v>
      </c>
      <c r="G8" s="161">
        <v>1938.1420025737325</v>
      </c>
      <c r="H8" s="161">
        <v>2112.6077270572709</v>
      </c>
    </row>
    <row r="9" spans="1:16" ht="15.75">
      <c r="A9" s="165" t="s">
        <v>559</v>
      </c>
      <c r="B9" s="104">
        <v>700</v>
      </c>
      <c r="C9" s="161">
        <v>1121.9187048190397</v>
      </c>
      <c r="D9" s="161">
        <v>1309.100589979221</v>
      </c>
      <c r="E9" s="161">
        <v>1594.009326154526</v>
      </c>
      <c r="F9" s="161">
        <v>1781.1912113147073</v>
      </c>
      <c r="G9" s="161">
        <v>2066.0999474900123</v>
      </c>
      <c r="H9" s="161">
        <v>2253.2818326501938</v>
      </c>
    </row>
    <row r="10" spans="1:16" ht="15.75">
      <c r="A10" s="165" t="s">
        <v>559</v>
      </c>
      <c r="B10" s="104">
        <v>750</v>
      </c>
      <c r="C10" s="161">
        <v>1186.2958463521059</v>
      </c>
      <c r="D10" s="161">
        <v>1386.1938921889298</v>
      </c>
      <c r="E10" s="161">
        <v>1690.1768693791989</v>
      </c>
      <c r="F10" s="161">
        <v>1890.0749152160229</v>
      </c>
      <c r="G10" s="161">
        <v>2194.057892406292</v>
      </c>
      <c r="H10" s="161">
        <v>2393.9559382431162</v>
      </c>
    </row>
    <row r="11" spans="1:16" ht="15.75">
      <c r="A11" s="165" t="s">
        <v>559</v>
      </c>
      <c r="B11" s="104">
        <v>800</v>
      </c>
      <c r="C11" s="161">
        <v>1250.672987885172</v>
      </c>
      <c r="D11" s="161">
        <v>1463.2871943986388</v>
      </c>
      <c r="E11" s="161">
        <v>1786.3444126038719</v>
      </c>
      <c r="F11" s="161">
        <v>1998.9586191173387</v>
      </c>
      <c r="G11" s="161">
        <v>2322.0158373225722</v>
      </c>
      <c r="H11" s="161">
        <v>2534.6300438360386</v>
      </c>
    </row>
    <row r="12" spans="1:16" ht="15.75">
      <c r="A12" s="165" t="s">
        <v>559</v>
      </c>
      <c r="B12" s="104">
        <v>850</v>
      </c>
      <c r="C12" s="161">
        <v>1315.0501294182382</v>
      </c>
      <c r="D12" s="161">
        <v>1540.3804966083476</v>
      </c>
      <c r="E12" s="161">
        <v>1882.5119558285448</v>
      </c>
      <c r="F12" s="161">
        <v>2107.842323018654</v>
      </c>
      <c r="G12" s="161">
        <v>2449.9737822388515</v>
      </c>
      <c r="H12" s="161">
        <v>2675.3041494289614</v>
      </c>
    </row>
    <row r="13" spans="1:16" ht="15.75">
      <c r="A13" s="165" t="s">
        <v>559</v>
      </c>
      <c r="B13" s="104">
        <v>900</v>
      </c>
      <c r="C13" s="161">
        <v>1379.4272709513043</v>
      </c>
      <c r="D13" s="161">
        <v>1617.4737988180566</v>
      </c>
      <c r="E13" s="161">
        <v>1978.679499053218</v>
      </c>
      <c r="F13" s="161">
        <v>2216.7260269199701</v>
      </c>
      <c r="G13" s="161">
        <v>2577.9317271551317</v>
      </c>
      <c r="H13" s="161">
        <v>2815.9782550218838</v>
      </c>
    </row>
    <row r="14" spans="1:16" ht="15.75">
      <c r="A14" s="165" t="s">
        <v>559</v>
      </c>
      <c r="B14" s="104">
        <v>950</v>
      </c>
      <c r="C14" s="161">
        <v>1443.8044124843705</v>
      </c>
      <c r="D14" s="161">
        <v>1694.5671010277651</v>
      </c>
      <c r="E14" s="161">
        <v>2074.847042277891</v>
      </c>
      <c r="F14" s="161">
        <v>2325.6097308212857</v>
      </c>
      <c r="G14" s="161">
        <v>2705.8896720714115</v>
      </c>
      <c r="H14" s="161">
        <v>2956.6523606148062</v>
      </c>
    </row>
    <row r="15" spans="1:16" ht="15.75">
      <c r="A15" s="165" t="s">
        <v>559</v>
      </c>
      <c r="B15" s="104">
        <v>1000</v>
      </c>
      <c r="C15" s="161">
        <v>1508.1815540174364</v>
      </c>
      <c r="D15" s="161">
        <v>1771.6604032374742</v>
      </c>
      <c r="E15" s="161">
        <v>2171.0145855025639</v>
      </c>
      <c r="F15" s="161">
        <v>2434.4934347226017</v>
      </c>
      <c r="G15" s="161">
        <v>2833.8476169876913</v>
      </c>
      <c r="H15" s="161">
        <v>3097.326466207729</v>
      </c>
    </row>
    <row r="16" spans="1:16" ht="15.75">
      <c r="A16" s="165" t="s">
        <v>559</v>
      </c>
      <c r="B16" s="104">
        <v>1050</v>
      </c>
      <c r="C16" s="161">
        <v>1572.5586955505025</v>
      </c>
      <c r="D16" s="161">
        <v>1848.7537054471832</v>
      </c>
      <c r="E16" s="161">
        <v>2267.1821287272369</v>
      </c>
      <c r="F16" s="161">
        <v>2543.3771386239173</v>
      </c>
      <c r="G16" s="161">
        <v>2961.805561903971</v>
      </c>
      <c r="H16" s="161">
        <v>3238.0005718006519</v>
      </c>
    </row>
    <row r="17" spans="1:8" ht="15.75">
      <c r="A17" s="165" t="s">
        <v>559</v>
      </c>
      <c r="B17" s="104">
        <v>1100</v>
      </c>
      <c r="C17" s="161">
        <v>1636.9358370835687</v>
      </c>
      <c r="D17" s="161">
        <v>1925.8470076568917</v>
      </c>
      <c r="E17" s="161">
        <v>2363.3496719519098</v>
      </c>
      <c r="F17" s="161">
        <v>2652.2608425252329</v>
      </c>
      <c r="G17" s="161">
        <v>3089.7635068202508</v>
      </c>
      <c r="H17" s="161">
        <v>3378.6746773935743</v>
      </c>
    </row>
    <row r="18" spans="1:8" ht="15.75">
      <c r="A18" s="165" t="s">
        <v>559</v>
      </c>
      <c r="B18" s="104">
        <v>1150</v>
      </c>
      <c r="C18" s="161">
        <v>1701.3129786166351</v>
      </c>
      <c r="D18" s="161">
        <v>2002.9403098666007</v>
      </c>
      <c r="E18" s="161">
        <v>2459.5172151765828</v>
      </c>
      <c r="F18" s="161">
        <v>2761.1445464265485</v>
      </c>
      <c r="G18" s="161">
        <v>3217.7214517365305</v>
      </c>
      <c r="H18" s="161">
        <v>3519.3487829864966</v>
      </c>
    </row>
    <row r="19" spans="1:8" ht="15.75">
      <c r="A19" s="165" t="s">
        <v>559</v>
      </c>
      <c r="B19" s="104">
        <v>1200</v>
      </c>
      <c r="C19" s="161">
        <v>1765.690120149701</v>
      </c>
      <c r="D19" s="161">
        <v>2080.0336120763095</v>
      </c>
      <c r="E19" s="161">
        <v>2555.6847584012557</v>
      </c>
      <c r="F19" s="161">
        <v>2870.0282503278645</v>
      </c>
      <c r="G19" s="161">
        <v>3345.6793966528107</v>
      </c>
      <c r="H19" s="161">
        <v>3660.022888579419</v>
      </c>
    </row>
    <row r="20" spans="1:8" ht="15.75">
      <c r="A20" s="165" t="s">
        <v>559</v>
      </c>
      <c r="B20" s="104">
        <v>1250</v>
      </c>
      <c r="C20" s="161">
        <v>1830.0672616827671</v>
      </c>
      <c r="D20" s="161">
        <v>2157.1269142860183</v>
      </c>
      <c r="E20" s="161">
        <v>2651.8523016259287</v>
      </c>
      <c r="F20" s="161">
        <v>2978.9119542291801</v>
      </c>
      <c r="G20" s="161">
        <v>3473.6373415690905</v>
      </c>
      <c r="H20" s="161">
        <v>3800.6969941723414</v>
      </c>
    </row>
    <row r="21" spans="1:8" ht="15.75">
      <c r="A21" s="165" t="s">
        <v>559</v>
      </c>
      <c r="B21" s="104">
        <v>1300</v>
      </c>
      <c r="C21" s="161">
        <v>1894.4444032158333</v>
      </c>
      <c r="D21" s="161">
        <v>2234.2202164957271</v>
      </c>
      <c r="E21" s="161">
        <v>2748.0198448506017</v>
      </c>
      <c r="F21" s="161">
        <v>3087.7956581304957</v>
      </c>
      <c r="G21" s="161">
        <v>3601.5952864853698</v>
      </c>
      <c r="H21" s="161">
        <v>3941.3710997652643</v>
      </c>
    </row>
    <row r="22" spans="1:8" ht="15.75">
      <c r="A22" s="165" t="s">
        <v>559</v>
      </c>
      <c r="B22" s="104">
        <v>1350</v>
      </c>
      <c r="C22" s="161">
        <v>1958.8215447488994</v>
      </c>
      <c r="D22" s="161">
        <v>2311.3135187054363</v>
      </c>
      <c r="E22" s="161">
        <v>2844.1873880752746</v>
      </c>
      <c r="F22" s="161">
        <v>3196.6793620318117</v>
      </c>
      <c r="G22" s="161">
        <v>3729.5532314016505</v>
      </c>
      <c r="H22" s="161">
        <v>4082.0452053581871</v>
      </c>
    </row>
    <row r="23" spans="1:8" ht="15.75">
      <c r="A23" s="165" t="s">
        <v>559</v>
      </c>
      <c r="B23" s="104">
        <v>1400</v>
      </c>
      <c r="C23" s="161">
        <v>2023.1986862819654</v>
      </c>
      <c r="D23" s="161">
        <v>2388.4068209151451</v>
      </c>
      <c r="E23" s="161">
        <v>2940.3549312999476</v>
      </c>
      <c r="F23" s="161">
        <v>3305.5630659331273</v>
      </c>
      <c r="G23" s="161">
        <v>3857.5111763179298</v>
      </c>
      <c r="H23" s="161">
        <v>4222.7193109511099</v>
      </c>
    </row>
    <row r="24" spans="1:8" ht="15.75">
      <c r="A24" s="165" t="s">
        <v>559</v>
      </c>
      <c r="B24" s="104">
        <v>1450</v>
      </c>
      <c r="C24" s="161">
        <v>2087.5758278150315</v>
      </c>
      <c r="D24" s="161">
        <v>2465.5001231248539</v>
      </c>
      <c r="E24" s="161">
        <v>3036.522474524621</v>
      </c>
      <c r="F24" s="161">
        <v>3414.4467698344429</v>
      </c>
      <c r="G24" s="161">
        <v>3985.46912123421</v>
      </c>
      <c r="H24" s="161">
        <v>4363.3934165440323</v>
      </c>
    </row>
    <row r="25" spans="1:8" ht="15.75">
      <c r="A25" s="165" t="s">
        <v>559</v>
      </c>
      <c r="B25" s="104">
        <v>1500</v>
      </c>
      <c r="C25" s="161">
        <v>2151.9529693480977</v>
      </c>
      <c r="D25" s="161">
        <v>2542.5934253345627</v>
      </c>
      <c r="E25" s="161">
        <v>3132.6900177492939</v>
      </c>
      <c r="F25" s="161">
        <v>3523.3304737357585</v>
      </c>
      <c r="G25" s="161">
        <v>4113.4270661504897</v>
      </c>
      <c r="H25" s="161">
        <v>4504.0675221369547</v>
      </c>
    </row>
    <row r="26" spans="1:8" ht="15.75">
      <c r="A26" s="165" t="s">
        <v>559</v>
      </c>
      <c r="B26" s="104">
        <v>1550</v>
      </c>
      <c r="C26" s="161">
        <v>2216.3301108811638</v>
      </c>
      <c r="D26" s="161">
        <v>2619.6867275442714</v>
      </c>
      <c r="E26" s="161">
        <v>3228.8575609739669</v>
      </c>
      <c r="F26" s="161">
        <v>3632.2141776370745</v>
      </c>
      <c r="G26" s="161">
        <v>4241.385011066769</v>
      </c>
      <c r="H26" s="161">
        <v>4644.7416277298771</v>
      </c>
    </row>
    <row r="27" spans="1:8" ht="15.75">
      <c r="A27" s="165" t="s">
        <v>559</v>
      </c>
      <c r="B27" s="104">
        <v>1600</v>
      </c>
      <c r="C27" s="161">
        <v>2280.70725241423</v>
      </c>
      <c r="D27" s="161">
        <v>2696.7800297539807</v>
      </c>
      <c r="E27" s="161">
        <v>3325.0251041986394</v>
      </c>
      <c r="F27" s="161">
        <v>3741.0978815383901</v>
      </c>
      <c r="G27" s="161">
        <v>4369.3429559830493</v>
      </c>
      <c r="H27" s="161">
        <v>4785.4157333227995</v>
      </c>
    </row>
    <row r="28" spans="1:8" ht="15.75">
      <c r="A28" s="165" t="s">
        <v>559</v>
      </c>
      <c r="B28" s="104">
        <v>1650</v>
      </c>
      <c r="C28" s="161">
        <v>2345.0843939472961</v>
      </c>
      <c r="D28" s="161">
        <v>2773.8733319636895</v>
      </c>
      <c r="E28" s="161">
        <v>3421.1926474233128</v>
      </c>
      <c r="F28" s="161">
        <v>3849.9815854397057</v>
      </c>
      <c r="G28" s="161">
        <v>4497.3009008993286</v>
      </c>
      <c r="H28" s="161">
        <v>4926.0898389157228</v>
      </c>
    </row>
    <row r="29" spans="1:8" ht="15.75">
      <c r="A29" s="165" t="s">
        <v>559</v>
      </c>
      <c r="B29" s="104">
        <v>1700</v>
      </c>
      <c r="C29" s="161">
        <v>2409.4615354803623</v>
      </c>
      <c r="D29" s="161">
        <v>2850.9666341733982</v>
      </c>
      <c r="E29" s="161">
        <v>3517.3601906479853</v>
      </c>
      <c r="F29" s="161">
        <v>3958.8652893410213</v>
      </c>
      <c r="G29" s="161">
        <v>4625.2588458156088</v>
      </c>
      <c r="H29" s="161">
        <v>5066.7639445086452</v>
      </c>
    </row>
    <row r="30" spans="1:8" ht="15.75">
      <c r="A30" s="165" t="s">
        <v>559</v>
      </c>
      <c r="B30" s="104">
        <v>1750</v>
      </c>
      <c r="C30" s="161">
        <v>2473.8386770134284</v>
      </c>
      <c r="D30" s="161">
        <v>2928.059936383107</v>
      </c>
      <c r="E30" s="161">
        <v>3613.5277338726587</v>
      </c>
      <c r="F30" s="161">
        <v>4067.7489932423373</v>
      </c>
      <c r="G30" s="161">
        <v>4753.216790731889</v>
      </c>
      <c r="H30" s="161">
        <v>5207.4380501015676</v>
      </c>
    </row>
    <row r="31" spans="1:8" ht="15.75">
      <c r="A31" s="165" t="s">
        <v>559</v>
      </c>
      <c r="B31" s="104">
        <v>1800</v>
      </c>
      <c r="C31" s="161">
        <v>2538.2158185464946</v>
      </c>
      <c r="D31" s="161">
        <v>3005.1532385928163</v>
      </c>
      <c r="E31" s="161">
        <v>3709.6952770973312</v>
      </c>
      <c r="F31" s="161">
        <v>4176.6326971436529</v>
      </c>
      <c r="G31" s="161">
        <v>4881.1747356481683</v>
      </c>
      <c r="H31" s="161">
        <v>5348.11215569449</v>
      </c>
    </row>
    <row r="32" spans="1:8" ht="15.75">
      <c r="A32" s="165" t="s">
        <v>559</v>
      </c>
      <c r="B32" s="104">
        <v>1850</v>
      </c>
      <c r="C32" s="161">
        <v>2602.5929600795603</v>
      </c>
      <c r="D32" s="161">
        <v>3082.2465408025246</v>
      </c>
      <c r="E32" s="161">
        <v>3805.8628203220046</v>
      </c>
      <c r="F32" s="161">
        <v>4285.5164010449689</v>
      </c>
      <c r="G32" s="161">
        <v>5009.1326805644485</v>
      </c>
      <c r="H32" s="161">
        <v>5488.7862612874123</v>
      </c>
    </row>
    <row r="33" spans="1:8" ht="15.75">
      <c r="A33" s="165" t="s">
        <v>559</v>
      </c>
      <c r="B33" s="104">
        <v>1900</v>
      </c>
      <c r="C33" s="161">
        <v>2666.9701016126264</v>
      </c>
      <c r="D33" s="161">
        <v>3159.3398430122334</v>
      </c>
      <c r="E33" s="161">
        <v>3902.0303635466771</v>
      </c>
      <c r="F33" s="161">
        <v>4394.400104946284</v>
      </c>
      <c r="G33" s="161">
        <v>5137.0906254807278</v>
      </c>
      <c r="H33" s="161">
        <v>5629.4603668803347</v>
      </c>
    </row>
    <row r="34" spans="1:8" ht="15.75">
      <c r="A34" s="165" t="s">
        <v>559</v>
      </c>
      <c r="B34" s="104">
        <v>1950</v>
      </c>
      <c r="C34" s="161">
        <v>2731.347243145693</v>
      </c>
      <c r="D34" s="161">
        <v>3236.4331452219426</v>
      </c>
      <c r="E34" s="161">
        <v>3998.1979067713505</v>
      </c>
      <c r="F34" s="161">
        <v>4503.2838088476001</v>
      </c>
      <c r="G34" s="161">
        <v>5265.048570397008</v>
      </c>
      <c r="H34" s="161">
        <v>5770.134472473258</v>
      </c>
    </row>
    <row r="35" spans="1:8" ht="15.75">
      <c r="A35" s="165" t="s">
        <v>559</v>
      </c>
      <c r="B35" s="104">
        <v>2000</v>
      </c>
      <c r="C35" s="161">
        <v>2795.7243846787592</v>
      </c>
      <c r="D35" s="161">
        <v>3313.5264474316514</v>
      </c>
      <c r="E35" s="161">
        <v>4094.3654499960235</v>
      </c>
      <c r="F35" s="161">
        <v>4612.1675127489161</v>
      </c>
      <c r="G35" s="161">
        <v>5393.0065153132882</v>
      </c>
      <c r="H35" s="161">
        <v>5910.8085780661804</v>
      </c>
    </row>
    <row r="36" spans="1:8" ht="15.75">
      <c r="A36" s="165" t="s">
        <v>559</v>
      </c>
      <c r="B36" s="104">
        <v>2050</v>
      </c>
      <c r="C36" s="161">
        <v>2860.1015262118253</v>
      </c>
      <c r="D36" s="161">
        <v>3390.6197496413597</v>
      </c>
      <c r="E36" s="161">
        <v>4190.5329932206969</v>
      </c>
      <c r="F36" s="161">
        <v>4721.0512166502313</v>
      </c>
      <c r="G36" s="161">
        <v>5520.9644602295675</v>
      </c>
      <c r="H36" s="161">
        <v>6051.4826836591028</v>
      </c>
    </row>
    <row r="37" spans="1:8" ht="15.75">
      <c r="A37" s="165" t="s">
        <v>559</v>
      </c>
      <c r="B37" s="104">
        <v>2100</v>
      </c>
      <c r="C37" s="161">
        <v>2924.478667744891</v>
      </c>
      <c r="D37" s="161">
        <v>3467.7130518510694</v>
      </c>
      <c r="E37" s="161">
        <v>4286.7005364453689</v>
      </c>
      <c r="F37" s="161">
        <v>4829.9349205515473</v>
      </c>
      <c r="G37" s="161">
        <v>5648.9224051458477</v>
      </c>
      <c r="H37" s="161">
        <v>6192.1567892520252</v>
      </c>
    </row>
    <row r="38" spans="1:8" ht="15.75">
      <c r="A38" s="165" t="s">
        <v>559</v>
      </c>
      <c r="B38" s="104">
        <v>2150</v>
      </c>
      <c r="C38" s="161">
        <v>2988.8558092779572</v>
      </c>
      <c r="D38" s="161">
        <v>3544.8063540607777</v>
      </c>
      <c r="E38" s="161">
        <v>4382.8680796700428</v>
      </c>
      <c r="F38" s="161">
        <v>4938.8186244528633</v>
      </c>
      <c r="G38" s="161">
        <v>5776.880350062127</v>
      </c>
      <c r="H38" s="161">
        <v>6332.8308948449476</v>
      </c>
    </row>
    <row r="39" spans="1:8" ht="15.75">
      <c r="A39" s="165" t="s">
        <v>559</v>
      </c>
      <c r="B39" s="104">
        <v>2200</v>
      </c>
      <c r="C39" s="161">
        <v>3053.2329508110233</v>
      </c>
      <c r="D39" s="161">
        <v>3621.8996562704865</v>
      </c>
      <c r="E39" s="161">
        <v>4479.0356228947148</v>
      </c>
      <c r="F39" s="161">
        <v>5047.7023283541785</v>
      </c>
      <c r="G39" s="161">
        <v>5904.8382949784072</v>
      </c>
      <c r="H39" s="161">
        <v>6473.5050004378709</v>
      </c>
    </row>
    <row r="40" spans="1:8" ht="15.75">
      <c r="A40" s="165" t="s">
        <v>559</v>
      </c>
      <c r="B40" s="104">
        <v>2250</v>
      </c>
      <c r="C40" s="161">
        <v>3117.6100923440895</v>
      </c>
      <c r="D40" s="161">
        <v>3698.9929584801957</v>
      </c>
      <c r="E40" s="161">
        <v>4575.2031661193887</v>
      </c>
      <c r="F40" s="161">
        <v>5156.5860322554945</v>
      </c>
      <c r="G40" s="161">
        <v>6032.7962398946866</v>
      </c>
      <c r="H40" s="161">
        <v>6614.1791060307924</v>
      </c>
    </row>
    <row r="41" spans="1:8" ht="15.75">
      <c r="A41" s="165" t="s">
        <v>559</v>
      </c>
      <c r="B41" s="104">
        <v>2300</v>
      </c>
      <c r="C41" s="161">
        <v>3181.9872338771561</v>
      </c>
      <c r="D41" s="161">
        <v>3776.0862606899045</v>
      </c>
      <c r="E41" s="161">
        <v>4671.3707093440617</v>
      </c>
      <c r="F41" s="161">
        <v>5265.4697361568105</v>
      </c>
      <c r="G41" s="161">
        <v>6160.7541848109677</v>
      </c>
      <c r="H41" s="161">
        <v>6754.8532116237157</v>
      </c>
    </row>
    <row r="42" spans="1:8" ht="15.75">
      <c r="A42" s="165" t="s">
        <v>559</v>
      </c>
      <c r="B42" s="104">
        <v>2350</v>
      </c>
      <c r="C42" s="161">
        <v>3246.3643754102218</v>
      </c>
      <c r="D42" s="161">
        <v>3853.1795628996133</v>
      </c>
      <c r="E42" s="161">
        <v>4767.5382525687346</v>
      </c>
      <c r="F42" s="161">
        <v>5374.3534400581257</v>
      </c>
      <c r="G42" s="161">
        <v>6288.712129727247</v>
      </c>
      <c r="H42" s="161">
        <v>6895.5273172166389</v>
      </c>
    </row>
    <row r="43" spans="1:8" ht="15.75">
      <c r="A43" s="165" t="s">
        <v>559</v>
      </c>
      <c r="B43" s="104">
        <v>2400</v>
      </c>
      <c r="C43" s="161">
        <v>3310.7415169432879</v>
      </c>
      <c r="D43" s="161">
        <v>3930.2728651093225</v>
      </c>
      <c r="E43" s="161">
        <v>4863.7057957934076</v>
      </c>
      <c r="F43" s="161">
        <v>5483.2371439594417</v>
      </c>
      <c r="G43" s="161">
        <v>6416.6700746435263</v>
      </c>
      <c r="H43" s="161">
        <v>7036.2014228095604</v>
      </c>
    </row>
    <row r="44" spans="1:8" ht="15.75">
      <c r="A44" s="165" t="s">
        <v>559</v>
      </c>
      <c r="B44" s="104">
        <v>2450</v>
      </c>
      <c r="C44" s="161">
        <v>3375.1186584763536</v>
      </c>
      <c r="D44" s="161">
        <v>4007.3661673190309</v>
      </c>
      <c r="E44" s="161">
        <v>4959.8733390180805</v>
      </c>
      <c r="F44" s="161">
        <v>5592.1208478607568</v>
      </c>
      <c r="G44" s="161">
        <v>6544.6280195598056</v>
      </c>
      <c r="H44" s="161">
        <v>7176.8755284024837</v>
      </c>
    </row>
    <row r="45" spans="1:8" ht="15.75">
      <c r="A45" s="165" t="s">
        <v>559</v>
      </c>
      <c r="B45" s="104">
        <v>2500</v>
      </c>
      <c r="C45" s="161">
        <v>3439.4958000094202</v>
      </c>
      <c r="D45" s="161">
        <v>4084.4594695287396</v>
      </c>
      <c r="E45" s="161">
        <v>5056.0408822427535</v>
      </c>
      <c r="F45" s="161">
        <v>5701.0045517620738</v>
      </c>
      <c r="G45" s="161">
        <v>6672.5859644760867</v>
      </c>
      <c r="H45" s="161">
        <v>7317.5496339954052</v>
      </c>
    </row>
    <row r="46" spans="1:8" ht="15.75">
      <c r="A46" s="165" t="s">
        <v>559</v>
      </c>
      <c r="B46" s="104">
        <v>2550</v>
      </c>
      <c r="C46" s="161">
        <v>3503.8729415424864</v>
      </c>
      <c r="D46" s="161">
        <v>4161.5527717384493</v>
      </c>
      <c r="E46" s="161">
        <v>5152.2084254674264</v>
      </c>
      <c r="F46" s="161">
        <v>5809.8882556633889</v>
      </c>
      <c r="G46" s="161">
        <v>6800.543909392366</v>
      </c>
      <c r="H46" s="161">
        <v>7458.2237395883285</v>
      </c>
    </row>
    <row r="47" spans="1:8" ht="15.75">
      <c r="A47" s="165" t="s">
        <v>559</v>
      </c>
      <c r="B47" s="104">
        <v>2600</v>
      </c>
      <c r="C47" s="161">
        <v>3568.2500830755525</v>
      </c>
      <c r="D47" s="161">
        <v>4238.6460739481581</v>
      </c>
      <c r="E47" s="161">
        <v>5248.3759686920994</v>
      </c>
      <c r="F47" s="161">
        <v>5918.771959564704</v>
      </c>
      <c r="G47" s="161">
        <v>6928.5018543086462</v>
      </c>
      <c r="H47" s="161">
        <v>7598.8978451812509</v>
      </c>
    </row>
    <row r="48" spans="1:8" ht="15.75">
      <c r="A48" s="165" t="s">
        <v>559</v>
      </c>
      <c r="B48" s="104">
        <v>2650</v>
      </c>
      <c r="C48" s="161">
        <v>3632.6272246086187</v>
      </c>
      <c r="D48" s="161">
        <v>4315.739376157866</v>
      </c>
      <c r="E48" s="161">
        <v>5344.5435119167723</v>
      </c>
      <c r="F48" s="161">
        <v>6027.6556634660201</v>
      </c>
      <c r="G48" s="161">
        <v>7056.4597992249255</v>
      </c>
      <c r="H48" s="161">
        <v>7739.5719507741733</v>
      </c>
    </row>
    <row r="49" spans="1:8" ht="15.75">
      <c r="A49" s="165" t="s">
        <v>559</v>
      </c>
      <c r="B49" s="104">
        <v>2700</v>
      </c>
      <c r="C49" s="161">
        <v>3697.0043661416844</v>
      </c>
      <c r="D49" s="161">
        <v>4392.8326783675757</v>
      </c>
      <c r="E49" s="161">
        <v>5440.7110551414453</v>
      </c>
      <c r="F49" s="161">
        <v>6136.5393673673361</v>
      </c>
      <c r="G49" s="161">
        <v>7184.4177441412048</v>
      </c>
      <c r="H49" s="161">
        <v>7880.2460563670966</v>
      </c>
    </row>
    <row r="50" spans="1:8" ht="15.75">
      <c r="A50" s="165" t="s">
        <v>559</v>
      </c>
      <c r="B50" s="104">
        <v>2750</v>
      </c>
      <c r="C50" s="161">
        <v>3761.381507674751</v>
      </c>
      <c r="D50" s="161">
        <v>4469.9259805772845</v>
      </c>
      <c r="E50" s="161">
        <v>5536.8785983661173</v>
      </c>
      <c r="F50" s="161">
        <v>6245.4230712686522</v>
      </c>
      <c r="G50" s="161">
        <v>7312.3756890574859</v>
      </c>
      <c r="H50" s="161">
        <v>8020.920161960019</v>
      </c>
    </row>
    <row r="51" spans="1:8" ht="15.75">
      <c r="A51" s="165" t="s">
        <v>559</v>
      </c>
      <c r="B51" s="104">
        <v>2800</v>
      </c>
      <c r="C51" s="161">
        <v>3825.7586492078167</v>
      </c>
      <c r="D51" s="161">
        <v>4547.0192827869932</v>
      </c>
      <c r="E51" s="161">
        <v>5633.0461415907912</v>
      </c>
      <c r="F51" s="161">
        <v>6354.3067751699682</v>
      </c>
      <c r="G51" s="161">
        <v>7440.3336339737652</v>
      </c>
      <c r="H51" s="161">
        <v>8161.5942675529413</v>
      </c>
    </row>
    <row r="52" spans="1:8" ht="15.75">
      <c r="A52" s="165" t="s">
        <v>559</v>
      </c>
      <c r="B52" s="104">
        <v>2850</v>
      </c>
      <c r="C52" s="161">
        <v>3890.1357907408833</v>
      </c>
      <c r="D52" s="161">
        <v>4624.112584996702</v>
      </c>
      <c r="E52" s="161">
        <v>5729.2136848154641</v>
      </c>
      <c r="F52" s="161">
        <v>6463.1904790712833</v>
      </c>
      <c r="G52" s="161">
        <v>7568.2915788900455</v>
      </c>
      <c r="H52" s="161">
        <v>8302.2683731458637</v>
      </c>
    </row>
    <row r="53" spans="1:8" ht="15.75">
      <c r="A53" s="165" t="s">
        <v>559</v>
      </c>
      <c r="B53" s="104">
        <v>2900</v>
      </c>
      <c r="C53" s="161">
        <v>3954.512932273949</v>
      </c>
      <c r="D53" s="161">
        <v>4701.2058872064108</v>
      </c>
      <c r="E53" s="161">
        <v>5825.3812280401371</v>
      </c>
      <c r="F53" s="161">
        <v>6572.0741829725994</v>
      </c>
      <c r="G53" s="161">
        <v>7696.2495238063248</v>
      </c>
      <c r="H53" s="161">
        <v>8442.942478738787</v>
      </c>
    </row>
    <row r="54" spans="1:8" ht="15.75">
      <c r="A54" s="165" t="s">
        <v>559</v>
      </c>
      <c r="B54" s="104">
        <v>2950</v>
      </c>
      <c r="C54" s="161">
        <v>4018.8900738070151</v>
      </c>
      <c r="D54" s="161">
        <v>4778.2991894161196</v>
      </c>
      <c r="E54" s="161">
        <v>5921.5487712648101</v>
      </c>
      <c r="F54" s="161">
        <v>6680.9578868739145</v>
      </c>
      <c r="G54" s="161">
        <v>7824.2074687226041</v>
      </c>
      <c r="H54" s="161">
        <v>8583.6165843317103</v>
      </c>
    </row>
    <row r="55" spans="1:8" ht="16.5" thickBot="1">
      <c r="A55" s="165" t="s">
        <v>559</v>
      </c>
      <c r="B55" s="134">
        <v>3000</v>
      </c>
      <c r="C55" s="162">
        <v>4083.2672153400817</v>
      </c>
      <c r="D55" s="162">
        <v>4855.3924916258284</v>
      </c>
      <c r="E55" s="162">
        <v>6017.716314489483</v>
      </c>
      <c r="F55" s="162">
        <v>6789.8415907752305</v>
      </c>
      <c r="G55" s="162">
        <v>7952.1654136388852</v>
      </c>
      <c r="H55" s="162">
        <v>8724.2906899246318</v>
      </c>
    </row>
    <row r="56" spans="1:8" ht="15.75" thickBot="1"/>
    <row r="57" spans="1:8" ht="27" thickBot="1">
      <c r="A57" s="3208" t="s">
        <v>560</v>
      </c>
      <c r="B57" s="3209"/>
      <c r="C57" s="3209"/>
      <c r="D57" s="3209"/>
      <c r="E57" s="3209"/>
      <c r="F57" s="3209"/>
      <c r="G57" s="3209"/>
      <c r="H57" s="3210"/>
    </row>
    <row r="58" spans="1:8" ht="16.5" thickBot="1">
      <c r="A58" s="3211" t="s">
        <v>560</v>
      </c>
      <c r="B58" s="3214" t="s">
        <v>2</v>
      </c>
      <c r="C58" s="3211" t="s">
        <v>1</v>
      </c>
      <c r="D58" s="3211"/>
      <c r="E58" s="3211"/>
      <c r="F58" s="3211"/>
      <c r="G58" s="3211"/>
      <c r="H58" s="3211"/>
    </row>
    <row r="59" spans="1:8" ht="16.5" thickBot="1">
      <c r="A59" s="3212"/>
      <c r="B59" s="3215"/>
      <c r="C59" s="1180">
        <v>160</v>
      </c>
      <c r="D59" s="1180">
        <v>200</v>
      </c>
      <c r="E59" s="1180">
        <v>260</v>
      </c>
      <c r="F59" s="1180">
        <v>300</v>
      </c>
      <c r="G59" s="1180">
        <v>360</v>
      </c>
      <c r="H59" s="1180">
        <v>400</v>
      </c>
    </row>
    <row r="60" spans="1:8" ht="16.5" thickBot="1">
      <c r="A60" s="3213"/>
      <c r="B60" s="3216"/>
      <c r="C60" s="3217" t="s">
        <v>141</v>
      </c>
      <c r="D60" s="3218"/>
      <c r="E60" s="3218"/>
      <c r="F60" s="3218"/>
      <c r="G60" s="3218"/>
      <c r="H60" s="3219"/>
    </row>
    <row r="61" spans="1:8" ht="15.75">
      <c r="A61" s="1181" t="s">
        <v>561</v>
      </c>
      <c r="B61" s="166" t="s">
        <v>562</v>
      </c>
      <c r="C61" s="170">
        <v>979.38409680000018</v>
      </c>
      <c r="D61" s="170">
        <v>1224.2301210000003</v>
      </c>
      <c r="E61" s="170">
        <v>1591.4991573000004</v>
      </c>
      <c r="F61" s="170">
        <v>1836.3451815000003</v>
      </c>
      <c r="G61" s="170">
        <v>2203.6142178000005</v>
      </c>
      <c r="H61" s="170">
        <v>2448.4602420000006</v>
      </c>
    </row>
  </sheetData>
  <mergeCells count="10">
    <mergeCell ref="A57:H57"/>
    <mergeCell ref="A58:A60"/>
    <mergeCell ref="B58:B60"/>
    <mergeCell ref="C58:H58"/>
    <mergeCell ref="C60:H60"/>
    <mergeCell ref="C4:H4"/>
    <mergeCell ref="A4:A6"/>
    <mergeCell ref="B4:B6"/>
    <mergeCell ref="C6:H6"/>
    <mergeCell ref="A3:H3"/>
  </mergeCells>
  <hyperlinks>
    <hyperlink ref="A1" location="Главная!A1" display="Вернуться на главную страницу" xr:uid="{00000000-0004-0000-2500-000000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Лист54">
    <tabColor rgb="FF00B0F0"/>
  </sheetPr>
  <dimension ref="A1:L186"/>
  <sheetViews>
    <sheetView zoomScale="70" zoomScaleNormal="70" workbookViewId="0">
      <selection activeCell="N60" sqref="N60"/>
    </sheetView>
  </sheetViews>
  <sheetFormatPr defaultRowHeight="15.75" outlineLevelCol="1"/>
  <cols>
    <col min="1" max="1" width="16.7109375" style="87" customWidth="1"/>
    <col min="2" max="2" width="16.85546875" style="87" bestFit="1" customWidth="1"/>
    <col min="3" max="6" width="40.7109375" style="8" customWidth="1"/>
    <col min="7" max="11" width="18.7109375" style="1" hidden="1" customWidth="1" outlineLevel="1"/>
    <col min="12" max="12" width="9.140625" collapsed="1"/>
  </cols>
  <sheetData>
    <row r="1" spans="1:11" ht="15.75" customHeight="1">
      <c r="A1" s="88" t="s">
        <v>9</v>
      </c>
      <c r="B1" s="88"/>
      <c r="G1" s="3226" t="s">
        <v>75</v>
      </c>
      <c r="H1" s="3227"/>
      <c r="I1" s="3227"/>
      <c r="J1" s="3227"/>
      <c r="K1" s="3228"/>
    </row>
    <row r="2" spans="1:11" s="65" customFormat="1" ht="15.75" customHeight="1">
      <c r="A2" s="8"/>
      <c r="B2" s="8"/>
      <c r="C2" s="8"/>
      <c r="D2" s="8"/>
      <c r="E2" s="8"/>
      <c r="F2" s="8"/>
      <c r="G2" s="3229"/>
      <c r="H2" s="3230"/>
      <c r="I2" s="3230"/>
      <c r="J2" s="3230"/>
      <c r="K2" s="3231"/>
    </row>
    <row r="3" spans="1:11" ht="16.5" thickBot="1">
      <c r="A3" s="89"/>
      <c r="B3" s="89"/>
      <c r="G3" s="3232"/>
      <c r="H3" s="3233"/>
      <c r="I3" s="3233"/>
      <c r="J3" s="3233"/>
      <c r="K3" s="3234"/>
    </row>
    <row r="4" spans="1:11" ht="26.25" customHeight="1" thickBot="1">
      <c r="A4" s="3240" t="s">
        <v>17</v>
      </c>
      <c r="B4" s="3241"/>
      <c r="C4" s="37" t="s">
        <v>18</v>
      </c>
      <c r="D4" s="37" t="s">
        <v>48</v>
      </c>
      <c r="E4" s="37" t="s">
        <v>51</v>
      </c>
      <c r="F4" s="37" t="s">
        <v>29</v>
      </c>
      <c r="G4" s="142" t="s">
        <v>18</v>
      </c>
      <c r="H4" s="142" t="s">
        <v>48</v>
      </c>
      <c r="I4" s="142" t="s">
        <v>51</v>
      </c>
      <c r="J4" s="142" t="s">
        <v>29</v>
      </c>
      <c r="K4" s="142" t="s">
        <v>30</v>
      </c>
    </row>
    <row r="5" spans="1:11" ht="16.5" thickBot="1">
      <c r="A5" s="3238" t="s">
        <v>19</v>
      </c>
      <c r="B5" s="3239"/>
      <c r="C5" s="26">
        <v>50</v>
      </c>
      <c r="D5" s="26" t="s">
        <v>49</v>
      </c>
      <c r="E5" s="26" t="s">
        <v>49</v>
      </c>
      <c r="F5" s="26">
        <v>100</v>
      </c>
      <c r="G5" s="142">
        <v>50</v>
      </c>
      <c r="H5" s="142" t="s">
        <v>49</v>
      </c>
      <c r="I5" s="142" t="s">
        <v>49</v>
      </c>
      <c r="J5" s="142">
        <v>100</v>
      </c>
      <c r="K5" s="142">
        <v>100</v>
      </c>
    </row>
    <row r="6" spans="1:11" s="2" customFormat="1" ht="16.5" thickBot="1">
      <c r="A6" s="3240" t="s">
        <v>20</v>
      </c>
      <c r="B6" s="3242"/>
      <c r="C6" s="92">
        <v>100</v>
      </c>
      <c r="D6" s="92" t="s">
        <v>50</v>
      </c>
      <c r="E6" s="92" t="s">
        <v>52</v>
      </c>
      <c r="F6" s="92">
        <v>200</v>
      </c>
      <c r="G6" s="143">
        <v>100</v>
      </c>
      <c r="H6" s="143" t="s">
        <v>50</v>
      </c>
      <c r="I6" s="143" t="s">
        <v>52</v>
      </c>
      <c r="J6" s="143">
        <v>200</v>
      </c>
      <c r="K6" s="143">
        <v>300</v>
      </c>
    </row>
    <row r="7" spans="1:11" s="2" customFormat="1" ht="16.5" thickBot="1">
      <c r="A7" s="3240" t="s">
        <v>21</v>
      </c>
      <c r="B7" s="3242"/>
      <c r="C7" s="92">
        <v>2</v>
      </c>
      <c r="D7" s="92">
        <v>4</v>
      </c>
      <c r="E7" s="92">
        <v>6</v>
      </c>
      <c r="F7" s="92">
        <v>8</v>
      </c>
      <c r="G7" s="92">
        <v>2</v>
      </c>
      <c r="H7" s="92">
        <v>4</v>
      </c>
      <c r="I7" s="92">
        <v>6</v>
      </c>
      <c r="J7" s="92">
        <v>8</v>
      </c>
      <c r="K7" s="92">
        <v>12</v>
      </c>
    </row>
    <row r="8" spans="1:11" ht="126.75" customHeight="1" thickBot="1">
      <c r="A8" s="3243" t="s">
        <v>16</v>
      </c>
      <c r="B8" s="3245" t="s">
        <v>22</v>
      </c>
      <c r="C8" s="64"/>
      <c r="D8" s="64"/>
      <c r="E8" s="64"/>
      <c r="F8" s="64"/>
    </row>
    <row r="9" spans="1:11" ht="16.5" thickBot="1">
      <c r="A9" s="3244"/>
      <c r="B9" s="3246"/>
      <c r="C9" s="3235" t="s">
        <v>53</v>
      </c>
      <c r="D9" s="3236"/>
      <c r="E9" s="3236"/>
      <c r="F9" s="3237"/>
    </row>
    <row r="10" spans="1:11" s="65" customFormat="1" ht="15">
      <c r="A10" s="3220" t="s">
        <v>364</v>
      </c>
      <c r="B10" s="3220"/>
      <c r="C10" s="3220"/>
      <c r="D10" s="3220"/>
      <c r="E10" s="3220"/>
      <c r="F10" s="3223">
        <v>1100</v>
      </c>
      <c r="G10" s="1"/>
      <c r="H10" s="1"/>
      <c r="I10" s="1"/>
      <c r="J10" s="1"/>
      <c r="K10" s="1"/>
    </row>
    <row r="11" spans="1:11" s="65" customFormat="1" ht="15">
      <c r="A11" s="3221"/>
      <c r="B11" s="3221"/>
      <c r="C11" s="3221"/>
      <c r="D11" s="3221"/>
      <c r="E11" s="3221"/>
      <c r="F11" s="3224"/>
      <c r="G11" s="1"/>
      <c r="H11" s="1"/>
      <c r="I11" s="1"/>
      <c r="J11" s="1"/>
      <c r="K11" s="1"/>
    </row>
    <row r="12" spans="1:11" s="65" customFormat="1" thickBot="1">
      <c r="A12" s="3222"/>
      <c r="B12" s="3222"/>
      <c r="C12" s="3222"/>
      <c r="D12" s="3222"/>
      <c r="E12" s="3222"/>
      <c r="F12" s="3225"/>
      <c r="G12" s="1"/>
      <c r="H12" s="1"/>
      <c r="I12" s="1"/>
      <c r="J12" s="1"/>
      <c r="K12" s="1"/>
    </row>
    <row r="13" spans="1:11" ht="16.5" customHeight="1" thickBot="1">
      <c r="A13" s="92">
        <v>500</v>
      </c>
      <c r="B13" s="93">
        <v>400</v>
      </c>
      <c r="C13" s="58">
        <v>5986.9368795758846</v>
      </c>
      <c r="D13" s="59">
        <v>9763.7809155514387</v>
      </c>
      <c r="E13" s="59">
        <v>13577.033402296764</v>
      </c>
      <c r="F13" s="59">
        <v>17353.877285243554</v>
      </c>
      <c r="G13" s="1">
        <v>0.52726900789499997</v>
      </c>
      <c r="H13" s="1">
        <v>0.87765437642999977</v>
      </c>
      <c r="I13" s="1">
        <v>1.2519696767249997</v>
      </c>
      <c r="J13" s="1">
        <v>1.6262503006199998</v>
      </c>
      <c r="K13" s="1">
        <v>2.3748025196099989</v>
      </c>
    </row>
    <row r="14" spans="1:11" ht="16.5" customHeight="1" thickBot="1">
      <c r="A14" s="92">
        <v>550</v>
      </c>
      <c r="B14" s="93">
        <v>450</v>
      </c>
      <c r="C14" s="60">
        <v>6246.3209425202904</v>
      </c>
      <c r="D14" s="61">
        <v>10282.548888411484</v>
      </c>
      <c r="E14" s="61">
        <v>14355.185438101214</v>
      </c>
      <c r="F14" s="61">
        <v>18391.413383992411</v>
      </c>
      <c r="G14" s="1">
        <v>0.59389139777500011</v>
      </c>
      <c r="H14" s="1">
        <v>1.0109062841900001</v>
      </c>
      <c r="I14" s="1">
        <v>1.4518462843650002</v>
      </c>
      <c r="J14" s="1">
        <v>1.89274995814</v>
      </c>
      <c r="K14" s="1">
        <v>2.7745476168900001</v>
      </c>
    </row>
    <row r="15" spans="1:11" ht="16.5" customHeight="1" thickBot="1">
      <c r="A15" s="92">
        <v>600</v>
      </c>
      <c r="B15" s="93">
        <v>500</v>
      </c>
      <c r="C15" s="60">
        <v>6505.7050054646961</v>
      </c>
      <c r="D15" s="61">
        <v>10801.316861271529</v>
      </c>
      <c r="E15" s="61">
        <v>15133.337473905665</v>
      </c>
      <c r="F15" s="61">
        <v>19428.949482741267</v>
      </c>
      <c r="G15" s="1">
        <v>0.66051378765500024</v>
      </c>
      <c r="H15" s="1">
        <v>1.1441439359500003</v>
      </c>
      <c r="I15" s="1">
        <v>1.6517040160050005</v>
      </c>
      <c r="J15" s="1">
        <v>2.1592294196600004</v>
      </c>
      <c r="K15" s="1">
        <v>3.1742711981700005</v>
      </c>
    </row>
    <row r="16" spans="1:11" ht="16.5" customHeight="1" thickBot="1">
      <c r="A16" s="92">
        <v>650</v>
      </c>
      <c r="B16" s="93">
        <v>550</v>
      </c>
      <c r="C16" s="60">
        <v>6765.0889153803364</v>
      </c>
      <c r="D16" s="61">
        <v>11320.08498716034</v>
      </c>
      <c r="E16" s="61">
        <v>15911.489509710116</v>
      </c>
      <c r="F16" s="61">
        <v>20466.485428461358</v>
      </c>
      <c r="G16" s="1">
        <v>0.72713617753500004</v>
      </c>
      <c r="H16" s="1">
        <v>1.2773958437099999</v>
      </c>
      <c r="I16" s="1">
        <v>1.8515806236449999</v>
      </c>
      <c r="J16" s="1">
        <v>2.4257290771799993</v>
      </c>
      <c r="K16" s="1">
        <v>3.5740162954499994</v>
      </c>
    </row>
    <row r="17" spans="1:11" ht="16.5" customHeight="1" thickBot="1">
      <c r="A17" s="92">
        <v>700</v>
      </c>
      <c r="B17" s="93">
        <v>600</v>
      </c>
      <c r="C17" s="60">
        <v>7024.4729783247412</v>
      </c>
      <c r="D17" s="61">
        <v>11838.852960020386</v>
      </c>
      <c r="E17" s="61">
        <v>16689.641545514569</v>
      </c>
      <c r="F17" s="61">
        <v>21504.021527210214</v>
      </c>
      <c r="G17" s="1">
        <v>0.79375856741499973</v>
      </c>
      <c r="H17" s="1">
        <v>1.4106477514699995</v>
      </c>
      <c r="I17" s="1">
        <v>2.0514572312849992</v>
      </c>
      <c r="J17" s="1">
        <v>2.6922287346999987</v>
      </c>
      <c r="K17" s="1">
        <v>3.9737613927299984</v>
      </c>
    </row>
    <row r="18" spans="1:11" ht="16.5" customHeight="1" thickBot="1">
      <c r="A18" s="92">
        <v>750</v>
      </c>
      <c r="B18" s="93">
        <v>650</v>
      </c>
      <c r="C18" s="60">
        <v>7283.8568882403815</v>
      </c>
      <c r="D18" s="61">
        <v>12357.620932880431</v>
      </c>
      <c r="E18" s="61">
        <v>17467.79358131902</v>
      </c>
      <c r="F18" s="61">
        <v>22541.557472930304</v>
      </c>
      <c r="G18" s="1">
        <v>0.86038095729499997</v>
      </c>
      <c r="H18" s="1">
        <v>1.5438996592300001</v>
      </c>
      <c r="I18" s="1">
        <v>2.2513338389249995</v>
      </c>
      <c r="J18" s="1">
        <v>2.9587283922199994</v>
      </c>
      <c r="K18" s="1">
        <v>4.3735064900100005</v>
      </c>
    </row>
    <row r="19" spans="1:11" ht="16.5" customHeight="1" thickBot="1">
      <c r="A19" s="92">
        <v>800</v>
      </c>
      <c r="B19" s="93">
        <v>700</v>
      </c>
      <c r="C19" s="60">
        <v>7543.2409511847864</v>
      </c>
      <c r="D19" s="61">
        <v>12876.388905740476</v>
      </c>
      <c r="E19" s="61">
        <v>18245.945617123471</v>
      </c>
      <c r="F19" s="61">
        <v>23579.093571679161</v>
      </c>
      <c r="G19" s="1">
        <v>0.92700334717499999</v>
      </c>
      <c r="H19" s="1">
        <v>1.6771515669900001</v>
      </c>
      <c r="I19" s="1">
        <v>2.4512104465649993</v>
      </c>
      <c r="J19" s="1">
        <v>3.2252280497399997</v>
      </c>
      <c r="K19" s="1">
        <v>4.7732515872899999</v>
      </c>
    </row>
    <row r="20" spans="1:11" ht="16.5" customHeight="1" thickBot="1">
      <c r="A20" s="92">
        <v>850</v>
      </c>
      <c r="B20" s="93">
        <v>750</v>
      </c>
      <c r="C20" s="60">
        <v>7802.6250141291921</v>
      </c>
      <c r="D20" s="61">
        <v>13395.157031629285</v>
      </c>
      <c r="E20" s="61">
        <v>19024.097652927921</v>
      </c>
      <c r="F20" s="61">
        <v>24616.629670428014</v>
      </c>
      <c r="G20" s="1">
        <v>0.9936257370549999</v>
      </c>
      <c r="H20" s="1">
        <v>1.81040347475</v>
      </c>
      <c r="I20" s="1">
        <v>2.6510870542049991</v>
      </c>
      <c r="J20" s="1">
        <v>3.4917277072599995</v>
      </c>
      <c r="K20" s="1">
        <v>5.1729966845699993</v>
      </c>
    </row>
    <row r="21" spans="1:11" ht="16.5" customHeight="1" thickBot="1">
      <c r="A21" s="92">
        <v>900</v>
      </c>
      <c r="B21" s="93">
        <v>800</v>
      </c>
      <c r="C21" s="60">
        <v>8062.0089240448324</v>
      </c>
      <c r="D21" s="61">
        <v>13913.925004489332</v>
      </c>
      <c r="E21" s="61">
        <v>19802.249688732372</v>
      </c>
      <c r="F21" s="61">
        <v>25654.165616148104</v>
      </c>
      <c r="G21" s="1">
        <v>1.0602481269350001</v>
      </c>
      <c r="H21" s="1">
        <v>1.9436553825100007</v>
      </c>
      <c r="I21" s="1">
        <v>2.8509636618450003</v>
      </c>
      <c r="J21" s="1">
        <v>3.7582273647800006</v>
      </c>
      <c r="K21" s="1">
        <v>5.5727417818500022</v>
      </c>
    </row>
    <row r="22" spans="1:11" ht="16.5" customHeight="1" thickBot="1">
      <c r="A22" s="92">
        <v>950</v>
      </c>
      <c r="B22" s="93">
        <v>850</v>
      </c>
      <c r="C22" s="60">
        <v>8321.3929869892363</v>
      </c>
      <c r="D22" s="61">
        <v>14432.692977349378</v>
      </c>
      <c r="E22" s="61">
        <v>20580.401724536823</v>
      </c>
      <c r="F22" s="61">
        <v>26691.701714896961</v>
      </c>
      <c r="G22" s="1">
        <v>1.1268705168149997</v>
      </c>
      <c r="H22" s="1">
        <v>2.076907290269999</v>
      </c>
      <c r="I22" s="1">
        <v>3.0508402694849988</v>
      </c>
      <c r="J22" s="1">
        <v>4.0247270222999987</v>
      </c>
      <c r="K22" s="1">
        <v>5.972486879129999</v>
      </c>
    </row>
    <row r="23" spans="1:11" ht="16.5" customHeight="1" thickBot="1">
      <c r="A23" s="92">
        <v>1000</v>
      </c>
      <c r="B23" s="93">
        <v>900</v>
      </c>
      <c r="C23" s="60">
        <v>8580.777049933642</v>
      </c>
      <c r="D23" s="61">
        <v>14951.461103238187</v>
      </c>
      <c r="E23" s="61">
        <v>21358.553760341274</v>
      </c>
      <c r="F23" s="61">
        <v>27729.237660617051</v>
      </c>
      <c r="G23" s="1">
        <v>1.193492906695</v>
      </c>
      <c r="H23" s="1">
        <v>2.2101591980299995</v>
      </c>
      <c r="I23" s="1">
        <v>3.250716877124999</v>
      </c>
      <c r="J23" s="1">
        <v>4.2912266798200003</v>
      </c>
      <c r="K23" s="1">
        <v>6.3722319764099993</v>
      </c>
    </row>
    <row r="24" spans="1:11" ht="16.5" customHeight="1" thickBot="1">
      <c r="A24" s="92">
        <v>1050</v>
      </c>
      <c r="B24" s="93">
        <v>950</v>
      </c>
      <c r="C24" s="60">
        <v>8840.1609598492832</v>
      </c>
      <c r="D24" s="61">
        <v>15470.229076098232</v>
      </c>
      <c r="E24" s="61">
        <v>22136.705796145725</v>
      </c>
      <c r="F24" s="61">
        <v>28766.773759365908</v>
      </c>
      <c r="G24" s="1">
        <v>1.2601152965749998</v>
      </c>
      <c r="H24" s="1">
        <v>2.3434111057899987</v>
      </c>
      <c r="I24" s="1">
        <v>3.4505934847649984</v>
      </c>
      <c r="J24" s="1">
        <v>4.5577263373399992</v>
      </c>
      <c r="K24" s="1">
        <v>6.7719770736899978</v>
      </c>
    </row>
    <row r="25" spans="1:11" ht="16.5" customHeight="1" thickBot="1">
      <c r="A25" s="92">
        <v>1100</v>
      </c>
      <c r="B25" s="93">
        <v>1000</v>
      </c>
      <c r="C25" s="60">
        <v>9099.5450227936872</v>
      </c>
      <c r="D25" s="61">
        <v>15988.997048958279</v>
      </c>
      <c r="E25" s="61">
        <v>22914.857831950176</v>
      </c>
      <c r="F25" s="61">
        <v>29804.309858114764</v>
      </c>
      <c r="G25" s="1">
        <v>1.3267376864549998</v>
      </c>
      <c r="H25" s="1">
        <v>2.4766630135499987</v>
      </c>
      <c r="I25" s="1">
        <v>3.6504700924049982</v>
      </c>
      <c r="J25" s="1">
        <v>4.824225994859999</v>
      </c>
      <c r="K25" s="1">
        <v>7.1717221709699981</v>
      </c>
    </row>
    <row r="26" spans="1:11" ht="16.5" customHeight="1" thickBot="1">
      <c r="A26" s="92">
        <v>1150</v>
      </c>
      <c r="B26" s="93">
        <v>1050</v>
      </c>
      <c r="C26" s="60">
        <v>9358.9290857380947</v>
      </c>
      <c r="D26" s="61">
        <v>16507.765174847089</v>
      </c>
      <c r="E26" s="61">
        <v>23693.00971472586</v>
      </c>
      <c r="F26" s="61">
        <v>30841.845803834854</v>
      </c>
      <c r="G26" s="1">
        <v>1.393360076335</v>
      </c>
      <c r="H26" s="1">
        <v>2.6099149213099997</v>
      </c>
      <c r="I26" s="1">
        <v>3.8503467000449998</v>
      </c>
      <c r="J26" s="1">
        <v>5.0907256523800006</v>
      </c>
      <c r="K26" s="1">
        <v>7.571467268250001</v>
      </c>
    </row>
    <row r="27" spans="1:11" ht="16.5" customHeight="1" thickBot="1">
      <c r="A27" s="92">
        <v>1200</v>
      </c>
      <c r="B27" s="93">
        <v>1100</v>
      </c>
      <c r="C27" s="60">
        <v>9675.5517219323228</v>
      </c>
      <c r="D27" s="61">
        <v>17122.805992307516</v>
      </c>
      <c r="E27" s="61">
        <v>24624.673321409282</v>
      </c>
      <c r="F27" s="61">
        <v>32071.927744813234</v>
      </c>
      <c r="G27" s="1">
        <v>1.4992324662149996</v>
      </c>
      <c r="H27" s="1">
        <v>2.8216668290699989</v>
      </c>
      <c r="I27" s="1">
        <v>4.1679733076849992</v>
      </c>
      <c r="J27" s="1">
        <v>5.5142253098999996</v>
      </c>
      <c r="K27" s="1">
        <v>8.2067123655299987</v>
      </c>
    </row>
    <row r="28" spans="1:11" ht="16.5" customHeight="1" thickBot="1">
      <c r="A28" s="92">
        <v>1250</v>
      </c>
      <c r="B28" s="93">
        <v>1150</v>
      </c>
      <c r="C28" s="60">
        <v>9934.935631847964</v>
      </c>
      <c r="D28" s="61">
        <v>17641.574118196324</v>
      </c>
      <c r="E28" s="61">
        <v>25402.825357213729</v>
      </c>
      <c r="F28" s="61">
        <v>33109.463843562095</v>
      </c>
      <c r="G28" s="1">
        <v>1.5658548560950001</v>
      </c>
      <c r="H28" s="1">
        <v>2.9549187368299994</v>
      </c>
      <c r="I28" s="1">
        <v>4.3678499153249994</v>
      </c>
      <c r="J28" s="1">
        <v>5.7807249674200003</v>
      </c>
      <c r="K28" s="1">
        <v>8.606457462809999</v>
      </c>
    </row>
    <row r="29" spans="1:11" ht="16.5" customHeight="1" thickBot="1">
      <c r="A29" s="92">
        <v>1300</v>
      </c>
      <c r="B29" s="93">
        <v>1200</v>
      </c>
      <c r="C29" s="60">
        <v>10194.31969479237</v>
      </c>
      <c r="D29" s="61">
        <v>18160.342091056369</v>
      </c>
      <c r="E29" s="61">
        <v>26180.977393018184</v>
      </c>
      <c r="F29" s="61">
        <v>34146.999789282185</v>
      </c>
      <c r="G29" s="1">
        <v>1.6324772459749997</v>
      </c>
      <c r="H29" s="1">
        <v>3.088170644589999</v>
      </c>
      <c r="I29" s="1">
        <v>4.5677265229649997</v>
      </c>
      <c r="J29" s="1">
        <v>6.0472246249399992</v>
      </c>
      <c r="K29" s="1">
        <v>9.0062025600900011</v>
      </c>
    </row>
    <row r="30" spans="1:11" ht="16.5" customHeight="1" thickBot="1">
      <c r="A30" s="92">
        <v>1350</v>
      </c>
      <c r="B30" s="93">
        <v>1250</v>
      </c>
      <c r="C30" s="60">
        <v>10453.703757736774</v>
      </c>
      <c r="D30" s="61">
        <v>18679.110063916418</v>
      </c>
      <c r="E30" s="61">
        <v>26959.129428822631</v>
      </c>
      <c r="F30" s="61">
        <v>35184.535888031038</v>
      </c>
      <c r="G30" s="1">
        <v>1.6990996358549997</v>
      </c>
      <c r="H30" s="1">
        <v>3.2214225523499986</v>
      </c>
      <c r="I30" s="1">
        <v>4.7676031306049991</v>
      </c>
      <c r="J30" s="1">
        <v>6.3137242824599991</v>
      </c>
      <c r="K30" s="1">
        <v>9.4059476573699978</v>
      </c>
    </row>
    <row r="31" spans="1:11" ht="16.5" customHeight="1" thickBot="1">
      <c r="A31" s="92">
        <v>1400</v>
      </c>
      <c r="B31" s="93">
        <v>1300</v>
      </c>
      <c r="C31" s="60">
        <v>10713.087667652415</v>
      </c>
      <c r="D31" s="61">
        <v>19197.878189805226</v>
      </c>
      <c r="E31" s="61">
        <v>27737.281464627085</v>
      </c>
      <c r="F31" s="61">
        <v>36222.071833751128</v>
      </c>
      <c r="G31" s="1">
        <v>1.7657220257349997</v>
      </c>
      <c r="H31" s="1">
        <v>3.3546744601099991</v>
      </c>
      <c r="I31" s="1">
        <v>4.9674797382449993</v>
      </c>
      <c r="J31" s="1">
        <v>6.5802239399799998</v>
      </c>
      <c r="K31" s="1">
        <v>9.8056927546499981</v>
      </c>
    </row>
    <row r="32" spans="1:11" ht="16.5" customHeight="1" thickBot="1">
      <c r="A32" s="92">
        <v>1450</v>
      </c>
      <c r="B32" s="93">
        <v>1350</v>
      </c>
      <c r="C32" s="60">
        <v>10972.471730596821</v>
      </c>
      <c r="D32" s="61">
        <v>19716.646162665271</v>
      </c>
      <c r="E32" s="61">
        <v>28515.433500431533</v>
      </c>
      <c r="F32" s="61">
        <v>37259.607932499988</v>
      </c>
      <c r="G32" s="1">
        <v>1.8323444156150004</v>
      </c>
      <c r="H32" s="1">
        <v>3.4879263678700005</v>
      </c>
      <c r="I32" s="1">
        <v>5.1673563458850014</v>
      </c>
      <c r="J32" s="1">
        <v>6.8467235975000023</v>
      </c>
      <c r="K32" s="1">
        <v>10.205437851930004</v>
      </c>
    </row>
    <row r="33" spans="1:11" ht="16.5" customHeight="1" thickBot="1">
      <c r="A33" s="92">
        <v>1500</v>
      </c>
      <c r="B33" s="93">
        <v>1400</v>
      </c>
      <c r="C33" s="60">
        <v>11231.855793541225</v>
      </c>
      <c r="D33" s="61">
        <v>20235.414135525316</v>
      </c>
      <c r="E33" s="61">
        <v>29293.585536235987</v>
      </c>
      <c r="F33" s="61">
        <v>38297.144031248841</v>
      </c>
      <c r="G33" s="1">
        <v>1.9049668054950002</v>
      </c>
      <c r="H33" s="1">
        <v>3.6211841469900001</v>
      </c>
      <c r="I33" s="1">
        <v>5.3672421842850007</v>
      </c>
      <c r="J33" s="1">
        <v>7.1132315089800011</v>
      </c>
      <c r="K33" s="1">
        <v>10.605192179970002</v>
      </c>
    </row>
    <row r="34" spans="1:11" ht="16.5" customHeight="1" thickBot="1">
      <c r="A34" s="92">
        <v>1550</v>
      </c>
      <c r="B34" s="93">
        <v>1450</v>
      </c>
      <c r="C34" s="60">
        <v>11491.239703456866</v>
      </c>
      <c r="D34" s="61">
        <v>20754.182261414127</v>
      </c>
      <c r="E34" s="61">
        <v>30071.737572040434</v>
      </c>
      <c r="F34" s="61">
        <v>39334.679976968931</v>
      </c>
      <c r="G34" s="1">
        <v>1.971589195375</v>
      </c>
      <c r="H34" s="1">
        <v>3.7544360547499993</v>
      </c>
      <c r="I34" s="1">
        <v>5.5671187919249991</v>
      </c>
      <c r="J34" s="1">
        <v>7.3797311665000001</v>
      </c>
      <c r="K34" s="1">
        <v>11.004937277249999</v>
      </c>
    </row>
    <row r="35" spans="1:11" ht="16.5" customHeight="1" thickBot="1">
      <c r="A35" s="92">
        <v>1600</v>
      </c>
      <c r="B35" s="93">
        <v>1500</v>
      </c>
      <c r="C35" s="60">
        <v>11750.62376640127</v>
      </c>
      <c r="D35" s="61">
        <v>21272.950234274173</v>
      </c>
      <c r="E35" s="61">
        <v>30849.889607844889</v>
      </c>
      <c r="F35" s="61">
        <v>40372.216075717792</v>
      </c>
      <c r="G35" s="1">
        <v>2.0382115852549991</v>
      </c>
      <c r="H35" s="1">
        <v>3.8876879625099989</v>
      </c>
      <c r="I35" s="1">
        <v>5.7669953995649985</v>
      </c>
      <c r="J35" s="1">
        <v>7.646230824019999</v>
      </c>
      <c r="K35" s="1">
        <v>11.404682374529997</v>
      </c>
    </row>
    <row r="36" spans="1:11" ht="16.5" customHeight="1" thickBot="1">
      <c r="A36" s="92">
        <v>1650</v>
      </c>
      <c r="B36" s="93">
        <v>1550</v>
      </c>
      <c r="C36" s="60">
        <v>12010.007829345675</v>
      </c>
      <c r="D36" s="61">
        <v>21791.718207134218</v>
      </c>
      <c r="E36" s="61">
        <v>31628.041643649336</v>
      </c>
      <c r="F36" s="61">
        <v>41409.752021437882</v>
      </c>
      <c r="G36" s="1">
        <v>2.1048339751349991</v>
      </c>
      <c r="H36" s="1">
        <v>4.0209398702699994</v>
      </c>
      <c r="I36" s="1">
        <v>5.9668720072049988</v>
      </c>
      <c r="J36" s="1">
        <v>7.9127304815399997</v>
      </c>
      <c r="K36" s="1">
        <v>11.804427471809998</v>
      </c>
    </row>
    <row r="37" spans="1:11" ht="16.5" customHeight="1" thickBot="1">
      <c r="A37" s="92">
        <v>1700</v>
      </c>
      <c r="B37" s="93">
        <v>1600</v>
      </c>
      <c r="C37" s="60">
        <v>12269.391739261317</v>
      </c>
      <c r="D37" s="61">
        <v>22310.486333023029</v>
      </c>
      <c r="E37" s="61">
        <v>32406.193679453791</v>
      </c>
      <c r="F37" s="61">
        <v>42447.288120186735</v>
      </c>
      <c r="G37" s="1">
        <v>2.1714563650149996</v>
      </c>
      <c r="H37" s="1">
        <v>4.1541917780300004</v>
      </c>
      <c r="I37" s="1">
        <v>6.1667486148449999</v>
      </c>
      <c r="J37" s="1">
        <v>8.1792301390599995</v>
      </c>
      <c r="K37" s="1">
        <v>12.20417256909</v>
      </c>
    </row>
    <row r="38" spans="1:11" ht="16.5" customHeight="1" thickBot="1">
      <c r="A38" s="92">
        <v>1750</v>
      </c>
      <c r="B38" s="93">
        <v>1650</v>
      </c>
      <c r="C38" s="60">
        <v>12528.775802205721</v>
      </c>
      <c r="D38" s="61">
        <v>22829.254305883074</v>
      </c>
      <c r="E38" s="61">
        <v>33184.345715258241</v>
      </c>
      <c r="F38" s="61">
        <v>43484.824218935595</v>
      </c>
      <c r="G38" s="1">
        <v>2.2380787548949987</v>
      </c>
      <c r="H38" s="1">
        <v>4.2874436857899987</v>
      </c>
      <c r="I38" s="1">
        <v>6.3666252224849975</v>
      </c>
      <c r="J38" s="1">
        <v>8.4457297965799967</v>
      </c>
      <c r="K38" s="1">
        <v>12.603917666369995</v>
      </c>
    </row>
    <row r="39" spans="1:11" ht="16.5" customHeight="1" thickBot="1">
      <c r="A39" s="92">
        <v>1800</v>
      </c>
      <c r="B39" s="93">
        <v>1700</v>
      </c>
      <c r="C39" s="60">
        <v>12788.159712121362</v>
      </c>
      <c r="D39" s="61">
        <v>23348.022278743119</v>
      </c>
      <c r="E39" s="61">
        <v>33962.497751062692</v>
      </c>
      <c r="F39" s="61">
        <v>44522.360164655685</v>
      </c>
      <c r="G39" s="1">
        <v>2.3047011447749992</v>
      </c>
      <c r="H39" s="1">
        <v>4.4206955935499996</v>
      </c>
      <c r="I39" s="1">
        <v>6.5665018301249987</v>
      </c>
      <c r="J39" s="1">
        <v>8.7122294540999974</v>
      </c>
      <c r="K39" s="1">
        <v>13.003662763649999</v>
      </c>
    </row>
    <row r="40" spans="1:11" ht="16.5" customHeight="1" thickBot="1">
      <c r="A40" s="92">
        <v>1850</v>
      </c>
      <c r="B40" s="93">
        <v>1750</v>
      </c>
      <c r="C40" s="60">
        <v>13047.543775065767</v>
      </c>
      <c r="D40" s="61">
        <v>23866.790251603165</v>
      </c>
      <c r="E40" s="61">
        <v>34740.649786867143</v>
      </c>
      <c r="F40" s="61">
        <v>45559.896263404538</v>
      </c>
      <c r="G40" s="1">
        <v>2.3713235346549997</v>
      </c>
      <c r="H40" s="1">
        <v>4.5539475013100006</v>
      </c>
      <c r="I40" s="1">
        <v>6.7663784377650007</v>
      </c>
      <c r="J40" s="1">
        <v>8.9787291116199999</v>
      </c>
      <c r="K40" s="1">
        <v>13.403407860930002</v>
      </c>
    </row>
    <row r="41" spans="1:11" ht="16.5" customHeight="1" thickBot="1">
      <c r="A41" s="92">
        <v>1900</v>
      </c>
      <c r="B41" s="93">
        <v>1800</v>
      </c>
      <c r="C41" s="60">
        <v>13306.927838010173</v>
      </c>
      <c r="D41" s="61">
        <v>24385.558377491976</v>
      </c>
      <c r="E41" s="61">
        <v>35518.801822671594</v>
      </c>
      <c r="F41" s="61">
        <v>46597.432362153399</v>
      </c>
      <c r="G41" s="1">
        <v>2.4379459245349988</v>
      </c>
      <c r="H41" s="1">
        <v>4.6871994090699989</v>
      </c>
      <c r="I41" s="1">
        <v>6.9662550454049983</v>
      </c>
      <c r="J41" s="1">
        <v>9.245228769139997</v>
      </c>
      <c r="K41" s="1">
        <v>13.803152958209996</v>
      </c>
    </row>
    <row r="42" spans="1:11" ht="16.5" customHeight="1" thickBot="1">
      <c r="A42" s="92">
        <v>1950</v>
      </c>
      <c r="B42" s="93">
        <v>1850</v>
      </c>
      <c r="C42" s="60">
        <v>13623.550474204401</v>
      </c>
      <c r="D42" s="61">
        <v>25000.59934798117</v>
      </c>
      <c r="E42" s="61">
        <v>36450.465276326249</v>
      </c>
      <c r="F42" s="61">
        <v>47827.514150103016</v>
      </c>
      <c r="G42" s="1">
        <v>2.5438183144149997</v>
      </c>
      <c r="H42" s="1">
        <v>4.8989513168300007</v>
      </c>
      <c r="I42" s="1">
        <v>7.2838816530450012</v>
      </c>
      <c r="J42" s="1">
        <v>9.6687284266599995</v>
      </c>
      <c r="K42" s="1">
        <v>14.438398055490003</v>
      </c>
    </row>
    <row r="43" spans="1:11" ht="16.5" customHeight="1" thickBot="1">
      <c r="A43" s="92">
        <v>2000</v>
      </c>
      <c r="B43" s="93">
        <v>1900</v>
      </c>
      <c r="C43" s="60">
        <v>13882.934384120043</v>
      </c>
      <c r="D43" s="61">
        <v>25519.367320841211</v>
      </c>
      <c r="E43" s="61">
        <v>37228.6173121307</v>
      </c>
      <c r="F43" s="61">
        <v>48865.050248851869</v>
      </c>
      <c r="G43" s="1">
        <v>2.6104407042949993</v>
      </c>
      <c r="H43" s="1">
        <v>5.0322032245899999</v>
      </c>
      <c r="I43" s="1">
        <v>7.4837582606849997</v>
      </c>
      <c r="J43" s="1">
        <v>9.9352280841799985</v>
      </c>
      <c r="K43" s="1">
        <v>14.83814315277</v>
      </c>
    </row>
    <row r="44" spans="1:11" ht="16.5" customHeight="1" thickBot="1">
      <c r="A44" s="92">
        <v>2050</v>
      </c>
      <c r="B44" s="93">
        <v>1950</v>
      </c>
      <c r="C44" s="60">
        <v>14142.31844706445</v>
      </c>
      <c r="D44" s="61">
        <v>26038.135293701256</v>
      </c>
      <c r="E44" s="61">
        <v>38006.769347935151</v>
      </c>
      <c r="F44" s="61">
        <v>49902.586194571959</v>
      </c>
      <c r="G44" s="1">
        <v>2.6770630941749989</v>
      </c>
      <c r="H44" s="1">
        <v>5.1654551323499991</v>
      </c>
      <c r="I44" s="1">
        <v>7.6836348683249982</v>
      </c>
      <c r="J44" s="1">
        <v>10.201727741699997</v>
      </c>
      <c r="K44" s="1">
        <v>15.237888250049997</v>
      </c>
    </row>
    <row r="45" spans="1:11" ht="16.5" customHeight="1" thickBot="1">
      <c r="A45" s="92">
        <v>2100</v>
      </c>
      <c r="B45" s="93">
        <v>2000</v>
      </c>
      <c r="C45" s="60">
        <v>14401.702510008852</v>
      </c>
      <c r="D45" s="61">
        <v>26556.903266561301</v>
      </c>
      <c r="E45" s="61">
        <v>38784.921383739602</v>
      </c>
      <c r="F45" s="61">
        <v>50940.122293320819</v>
      </c>
      <c r="G45" s="1">
        <v>2.7436854840549985</v>
      </c>
      <c r="H45" s="1">
        <v>5.2987070401099983</v>
      </c>
      <c r="I45" s="1">
        <v>7.8835114759649976</v>
      </c>
      <c r="J45" s="1">
        <v>10.468227399219995</v>
      </c>
      <c r="K45" s="1">
        <v>15.637633347329995</v>
      </c>
    </row>
    <row r="46" spans="1:11" ht="16.5" customHeight="1" thickBot="1">
      <c r="A46" s="92">
        <v>2150</v>
      </c>
      <c r="B46" s="93">
        <v>2050</v>
      </c>
      <c r="C46" s="60">
        <v>14661.086419924493</v>
      </c>
      <c r="D46" s="61">
        <v>27075.671392450116</v>
      </c>
      <c r="E46" s="61">
        <v>39563.073419544053</v>
      </c>
      <c r="F46" s="61">
        <v>51977.658392069665</v>
      </c>
      <c r="G46" s="1">
        <v>2.8103078739349994</v>
      </c>
      <c r="H46" s="1">
        <v>5.4319589478700001</v>
      </c>
      <c r="I46" s="1">
        <v>8.0833880836050014</v>
      </c>
      <c r="J46" s="1">
        <v>10.734727056739999</v>
      </c>
      <c r="K46" s="1">
        <v>16.037378444610003</v>
      </c>
    </row>
    <row r="47" spans="1:11" ht="16.5" customHeight="1" thickBot="1">
      <c r="A47" s="92">
        <v>2200</v>
      </c>
      <c r="B47" s="93">
        <v>2100</v>
      </c>
      <c r="C47" s="60">
        <v>14920.470482868897</v>
      </c>
      <c r="D47" s="61">
        <v>27594.439365310162</v>
      </c>
      <c r="E47" s="61">
        <v>40341.225455348504</v>
      </c>
      <c r="F47" s="61">
        <v>53015.194337789755</v>
      </c>
      <c r="G47" s="1">
        <v>2.8769302638149994</v>
      </c>
      <c r="H47" s="1">
        <v>5.5652108556300002</v>
      </c>
      <c r="I47" s="1">
        <v>8.2832646912449999</v>
      </c>
      <c r="J47" s="1">
        <v>11.00122671426</v>
      </c>
      <c r="K47" s="1">
        <v>16.437123541890003</v>
      </c>
    </row>
    <row r="48" spans="1:11" ht="16.5" customHeight="1" thickBot="1">
      <c r="A48" s="92">
        <v>2250</v>
      </c>
      <c r="B48" s="93">
        <v>2150</v>
      </c>
      <c r="C48" s="60">
        <v>15179.854545813303</v>
      </c>
      <c r="D48" s="61">
        <v>28113.207338170203</v>
      </c>
      <c r="E48" s="61">
        <v>41119.377491152954</v>
      </c>
      <c r="F48" s="61">
        <v>54052.730436538623</v>
      </c>
      <c r="G48" s="1">
        <v>2.9435526536949985</v>
      </c>
      <c r="H48" s="1">
        <v>5.6984627633899985</v>
      </c>
      <c r="I48" s="1">
        <v>8.4831412988849966</v>
      </c>
      <c r="J48" s="1">
        <v>11.267726371779995</v>
      </c>
      <c r="K48" s="1">
        <v>16.836868639169996</v>
      </c>
    </row>
    <row r="49" spans="1:11" ht="16.5" customHeight="1" thickBot="1">
      <c r="A49" s="92">
        <v>2300</v>
      </c>
      <c r="B49" s="93">
        <v>2200</v>
      </c>
      <c r="C49" s="60">
        <v>15439.238455728946</v>
      </c>
      <c r="D49" s="61">
        <v>28631.975464059018</v>
      </c>
      <c r="E49" s="61">
        <v>41897.529526957405</v>
      </c>
      <c r="F49" s="61">
        <v>55090.266535287468</v>
      </c>
      <c r="G49" s="1">
        <v>3.010175043574999</v>
      </c>
      <c r="H49" s="1">
        <v>5.8317146711499994</v>
      </c>
      <c r="I49" s="1">
        <v>8.6830179065249986</v>
      </c>
      <c r="J49" s="1">
        <v>11.534226029299997</v>
      </c>
      <c r="K49" s="1">
        <v>17.23661373645</v>
      </c>
    </row>
    <row r="50" spans="1:11" ht="16.5" customHeight="1" thickBot="1">
      <c r="A50" s="92">
        <v>2350</v>
      </c>
      <c r="B50" s="93">
        <v>2250</v>
      </c>
      <c r="C50" s="60">
        <v>15698.622518673348</v>
      </c>
      <c r="D50" s="61">
        <v>29150.743436919063</v>
      </c>
      <c r="E50" s="61">
        <v>42675.681562761856</v>
      </c>
      <c r="F50" s="61">
        <v>56127.802481007559</v>
      </c>
      <c r="G50" s="1">
        <v>3.076797433454999</v>
      </c>
      <c r="H50" s="1">
        <v>5.9649665789099995</v>
      </c>
      <c r="I50" s="1">
        <v>8.8828945141649989</v>
      </c>
      <c r="J50" s="1">
        <v>11.800725686819998</v>
      </c>
      <c r="K50" s="1">
        <v>17.636358833729997</v>
      </c>
    </row>
    <row r="51" spans="1:11" ht="16.5" customHeight="1" thickBot="1">
      <c r="A51" s="92">
        <v>2400</v>
      </c>
      <c r="B51" s="93">
        <v>2300</v>
      </c>
      <c r="C51" s="60">
        <v>15958.006581617754</v>
      </c>
      <c r="D51" s="61">
        <v>29669.511409779108</v>
      </c>
      <c r="E51" s="61">
        <v>43453.8335985663</v>
      </c>
      <c r="F51" s="61">
        <v>57165.338579756426</v>
      </c>
      <c r="G51" s="1">
        <v>3.1434198233349981</v>
      </c>
      <c r="H51" s="1">
        <v>6.0982184866699978</v>
      </c>
      <c r="I51" s="1">
        <v>9.0827711218049973</v>
      </c>
      <c r="J51" s="1">
        <v>12.067225344339993</v>
      </c>
      <c r="K51" s="1">
        <v>18.036103931009997</v>
      </c>
    </row>
    <row r="52" spans="1:11" ht="16.5" customHeight="1" thickBot="1">
      <c r="A52" s="92">
        <v>2450</v>
      </c>
      <c r="B52" s="93">
        <v>2350</v>
      </c>
      <c r="C52" s="60">
        <v>16217.390491533397</v>
      </c>
      <c r="D52" s="61">
        <v>30188.27953566792</v>
      </c>
      <c r="E52" s="61">
        <v>44231.985634370758</v>
      </c>
      <c r="F52" s="61">
        <v>58202.874525476516</v>
      </c>
      <c r="G52" s="1">
        <v>3.2160422132149993</v>
      </c>
      <c r="H52" s="1">
        <v>6.2314762657899996</v>
      </c>
      <c r="I52" s="1">
        <v>9.2826569602049993</v>
      </c>
      <c r="J52" s="1">
        <v>12.333733255819997</v>
      </c>
      <c r="K52" s="1">
        <v>18.435858259050001</v>
      </c>
    </row>
    <row r="53" spans="1:11" ht="16.5" customHeight="1" thickBot="1">
      <c r="A53" s="92">
        <v>2500</v>
      </c>
      <c r="B53" s="93">
        <v>2400</v>
      </c>
      <c r="C53" s="60">
        <v>16476.774554477801</v>
      </c>
      <c r="D53" s="61">
        <v>30707.047508527965</v>
      </c>
      <c r="E53" s="61">
        <v>45010.137670175201</v>
      </c>
      <c r="F53" s="61">
        <v>59240.410624225362</v>
      </c>
      <c r="G53" s="1">
        <v>3.2826646030949989</v>
      </c>
      <c r="H53" s="1">
        <v>6.3647281735499988</v>
      </c>
      <c r="I53" s="1">
        <v>9.4825335678449978</v>
      </c>
      <c r="J53" s="1">
        <v>12.600232913339996</v>
      </c>
      <c r="K53" s="1">
        <v>18.835603356329997</v>
      </c>
    </row>
    <row r="54" spans="1:11" ht="16.5" customHeight="1" thickBot="1">
      <c r="A54" s="92">
        <v>2550</v>
      </c>
      <c r="B54" s="93">
        <v>2450</v>
      </c>
      <c r="C54" s="60">
        <v>16736.158617422207</v>
      </c>
      <c r="D54" s="61">
        <v>31225.81548138801</v>
      </c>
      <c r="E54" s="61">
        <v>45788.28970597966</v>
      </c>
      <c r="F54" s="61">
        <v>60277.946722974229</v>
      </c>
      <c r="G54" s="1">
        <v>3.349286992974998</v>
      </c>
      <c r="H54" s="1">
        <v>6.4979800813099979</v>
      </c>
      <c r="I54" s="1">
        <v>9.6824101754849963</v>
      </c>
      <c r="J54" s="1">
        <v>12.866732570859995</v>
      </c>
      <c r="K54" s="1">
        <v>19.235348453609994</v>
      </c>
    </row>
    <row r="55" spans="1:11" ht="16.5" customHeight="1" thickBot="1">
      <c r="A55" s="92">
        <v>2600</v>
      </c>
      <c r="B55" s="93">
        <v>2500</v>
      </c>
      <c r="C55" s="60">
        <v>16995.542527337846</v>
      </c>
      <c r="D55" s="61">
        <v>31744.583607276822</v>
      </c>
      <c r="E55" s="61">
        <v>46566.441741784103</v>
      </c>
      <c r="F55" s="61">
        <v>61315.48266869432</v>
      </c>
      <c r="G55" s="1">
        <v>3.4159093828550002</v>
      </c>
      <c r="H55" s="1">
        <v>6.6312319890700016</v>
      </c>
      <c r="I55" s="1">
        <v>9.8822867831250001</v>
      </c>
      <c r="J55" s="1">
        <v>13.133232228380001</v>
      </c>
      <c r="K55" s="1">
        <v>19.635093550890002</v>
      </c>
    </row>
    <row r="56" spans="1:11" ht="16.5" customHeight="1" thickBot="1">
      <c r="A56" s="92">
        <v>2650</v>
      </c>
      <c r="B56" s="93">
        <v>2550</v>
      </c>
      <c r="C56" s="60">
        <v>17254.926590282252</v>
      </c>
      <c r="D56" s="61">
        <v>32263.351580136867</v>
      </c>
      <c r="E56" s="61">
        <v>47344.593777588561</v>
      </c>
      <c r="F56" s="61">
        <v>62353.018767443165</v>
      </c>
      <c r="G56" s="1">
        <v>3.4825317727349998</v>
      </c>
      <c r="H56" s="1">
        <v>6.7644838968300016</v>
      </c>
      <c r="I56" s="1">
        <v>10.082163390765002</v>
      </c>
      <c r="J56" s="1">
        <v>13.399731885900001</v>
      </c>
      <c r="K56" s="1">
        <v>20.034838648170009</v>
      </c>
    </row>
    <row r="57" spans="1:11" ht="16.5" customHeight="1" thickBot="1">
      <c r="A57" s="92">
        <v>2700</v>
      </c>
      <c r="B57" s="93">
        <v>2600</v>
      </c>
      <c r="C57" s="60">
        <v>17571.54922647648</v>
      </c>
      <c r="D57" s="61">
        <v>32878.392550626057</v>
      </c>
      <c r="E57" s="61">
        <v>48276.257231243209</v>
      </c>
      <c r="F57" s="61">
        <v>63583.10055539279</v>
      </c>
      <c r="G57" s="1">
        <v>3.5884041626150007</v>
      </c>
      <c r="H57" s="1">
        <v>6.9762358045900026</v>
      </c>
      <c r="I57" s="1">
        <v>10.399789998405003</v>
      </c>
      <c r="J57" s="1">
        <v>13.823231543420004</v>
      </c>
      <c r="K57" s="1">
        <v>20.670083745450007</v>
      </c>
    </row>
    <row r="58" spans="1:11" ht="16.5" customHeight="1" thickBot="1">
      <c r="A58" s="92">
        <v>2750</v>
      </c>
      <c r="B58" s="93">
        <v>2650</v>
      </c>
      <c r="C58" s="60">
        <v>17830.933136392119</v>
      </c>
      <c r="D58" s="61">
        <v>33397.160523486098</v>
      </c>
      <c r="E58" s="61">
        <v>49054.409267047668</v>
      </c>
      <c r="F58" s="61">
        <v>64620.636654141643</v>
      </c>
      <c r="G58" s="1">
        <v>3.655026552494999</v>
      </c>
      <c r="H58" s="1">
        <v>7.10948771235</v>
      </c>
      <c r="I58" s="1">
        <v>10.599666606045</v>
      </c>
      <c r="J58" s="1">
        <v>14.089731200939998</v>
      </c>
      <c r="K58" s="1">
        <v>21.069828842730001</v>
      </c>
    </row>
    <row r="59" spans="1:11" ht="16.5" customHeight="1" thickBot="1">
      <c r="A59" s="92">
        <v>2800</v>
      </c>
      <c r="B59" s="93">
        <v>2700</v>
      </c>
      <c r="C59" s="60">
        <v>18090.317199336525</v>
      </c>
      <c r="D59" s="61">
        <v>33915.928496346147</v>
      </c>
      <c r="E59" s="61">
        <v>49832.561302852111</v>
      </c>
      <c r="F59" s="61">
        <v>65658.172752890503</v>
      </c>
      <c r="G59" s="1">
        <v>3.7216489423749994</v>
      </c>
      <c r="H59" s="1">
        <v>7.2427396201100009</v>
      </c>
      <c r="I59" s="1">
        <v>10.799543213685</v>
      </c>
      <c r="J59" s="1">
        <v>14.35623085846</v>
      </c>
      <c r="K59" s="1">
        <v>21.469573940010001</v>
      </c>
    </row>
    <row r="60" spans="1:11" ht="16.5" customHeight="1" thickBot="1">
      <c r="A60" s="92">
        <v>2850</v>
      </c>
      <c r="B60" s="93">
        <v>2750</v>
      </c>
      <c r="C60" s="60">
        <v>18349.701262280931</v>
      </c>
      <c r="D60" s="61">
        <v>34434.696622234958</v>
      </c>
      <c r="E60" s="61">
        <v>50610.713338656569</v>
      </c>
      <c r="F60" s="61">
        <v>66695.708698610586</v>
      </c>
      <c r="G60" s="1">
        <v>3.788271332254999</v>
      </c>
      <c r="H60" s="1">
        <v>7.3759915278700001</v>
      </c>
      <c r="I60" s="1">
        <v>10.999419821324999</v>
      </c>
      <c r="J60" s="1">
        <v>14.622730515979999</v>
      </c>
      <c r="K60" s="1">
        <v>21.869319037290001</v>
      </c>
    </row>
    <row r="61" spans="1:11" ht="16.5" customHeight="1" thickBot="1">
      <c r="A61" s="92">
        <v>2900</v>
      </c>
      <c r="B61" s="93">
        <v>2800</v>
      </c>
      <c r="C61" s="60">
        <v>18609.08517219657</v>
      </c>
      <c r="D61" s="61">
        <v>34953.464595095</v>
      </c>
      <c r="E61" s="61">
        <v>51388.86537446102</v>
      </c>
      <c r="F61" s="61">
        <v>67733.244797359439</v>
      </c>
      <c r="G61" s="1">
        <v>3.8548937221349981</v>
      </c>
      <c r="H61" s="1">
        <v>7.5092434356299984</v>
      </c>
      <c r="I61" s="1">
        <v>11.199296428964995</v>
      </c>
      <c r="J61" s="1">
        <v>14.889230173499994</v>
      </c>
      <c r="K61" s="1">
        <v>22.269064134569994</v>
      </c>
    </row>
    <row r="62" spans="1:11" ht="16.5" customHeight="1" thickBot="1">
      <c r="A62" s="92">
        <v>2950</v>
      </c>
      <c r="B62" s="93">
        <v>2850</v>
      </c>
      <c r="C62" s="60">
        <v>18868.469235140976</v>
      </c>
      <c r="D62" s="61">
        <v>35472.232567955049</v>
      </c>
      <c r="E62" s="61">
        <v>52167.017410265464</v>
      </c>
      <c r="F62" s="61">
        <v>68770.780896108306</v>
      </c>
      <c r="G62" s="1">
        <v>3.9215161120149991</v>
      </c>
      <c r="H62" s="1">
        <v>7.6424953433900003</v>
      </c>
      <c r="I62" s="1">
        <v>11.399173036604999</v>
      </c>
      <c r="J62" s="1">
        <v>15.155729831019999</v>
      </c>
      <c r="K62" s="1">
        <v>22.668809231850002</v>
      </c>
    </row>
    <row r="63" spans="1:11" ht="16.5" customHeight="1" thickBot="1">
      <c r="A63" s="92">
        <v>3000</v>
      </c>
      <c r="B63" s="93">
        <v>2900</v>
      </c>
      <c r="C63" s="62">
        <v>19127.853298085382</v>
      </c>
      <c r="D63" s="63">
        <v>35991.00069384386</v>
      </c>
      <c r="E63" s="63">
        <v>52945.169446069915</v>
      </c>
      <c r="F63" s="63">
        <v>69808.316841828389</v>
      </c>
      <c r="G63" s="1">
        <v>3.9881385018949986</v>
      </c>
      <c r="H63" s="1">
        <v>7.7757472511499994</v>
      </c>
      <c r="I63" s="1">
        <v>11.599049644244996</v>
      </c>
      <c r="J63" s="1">
        <v>15.422229488539998</v>
      </c>
      <c r="K63" s="1">
        <v>23.068554329129995</v>
      </c>
    </row>
    <row r="64" spans="1:11" s="65" customFormat="1" ht="15">
      <c r="A64" s="3269" t="s">
        <v>7672</v>
      </c>
      <c r="B64" s="3270"/>
      <c r="C64" s="3270"/>
      <c r="D64" s="3270"/>
      <c r="E64" s="3270"/>
      <c r="F64" s="3271"/>
      <c r="G64" s="904"/>
      <c r="H64" s="904"/>
      <c r="I64" s="904"/>
      <c r="J64" s="904"/>
      <c r="K64" s="904"/>
    </row>
    <row r="65" spans="1:11" s="65" customFormat="1" thickBot="1">
      <c r="A65" s="3272"/>
      <c r="B65" s="3273"/>
      <c r="C65" s="3273"/>
      <c r="D65" s="3273"/>
      <c r="E65" s="3273"/>
      <c r="F65" s="3274"/>
      <c r="G65" s="904"/>
      <c r="H65" s="904"/>
      <c r="I65" s="904"/>
      <c r="J65" s="904"/>
      <c r="K65" s="904"/>
    </row>
    <row r="66" spans="1:11" s="65" customFormat="1" ht="16.5" thickBot="1">
      <c r="A66" s="3275" t="s">
        <v>17</v>
      </c>
      <c r="B66" s="3276"/>
      <c r="C66" s="1878" t="s">
        <v>7603</v>
      </c>
      <c r="D66" s="1878" t="s">
        <v>7604</v>
      </c>
      <c r="E66" s="1878" t="s">
        <v>7605</v>
      </c>
      <c r="F66" s="1878" t="s">
        <v>7606</v>
      </c>
      <c r="G66" s="1"/>
      <c r="H66" s="1"/>
      <c r="I66" s="1"/>
      <c r="J66" s="1"/>
      <c r="K66" s="1"/>
    </row>
    <row r="67" spans="1:11" s="65" customFormat="1" ht="16.5" thickBot="1">
      <c r="A67" s="3275" t="s">
        <v>19</v>
      </c>
      <c r="B67" s="3276"/>
      <c r="C67" s="1878">
        <v>65</v>
      </c>
      <c r="D67" s="1878" t="s">
        <v>7607</v>
      </c>
      <c r="E67" s="1878" t="s">
        <v>7607</v>
      </c>
      <c r="F67" s="1878">
        <v>130</v>
      </c>
      <c r="G67" s="1"/>
      <c r="H67" s="1"/>
      <c r="I67" s="1"/>
      <c r="J67" s="1"/>
      <c r="K67" s="1"/>
    </row>
    <row r="68" spans="1:11" s="65" customFormat="1" ht="16.5" thickBot="1">
      <c r="A68" s="3275" t="s">
        <v>20</v>
      </c>
      <c r="B68" s="3276"/>
      <c r="C68" s="1879">
        <v>130</v>
      </c>
      <c r="D68" s="1879" t="s">
        <v>7608</v>
      </c>
      <c r="E68" s="1879" t="s">
        <v>7609</v>
      </c>
      <c r="F68" s="1879">
        <v>260</v>
      </c>
      <c r="G68" s="1"/>
      <c r="H68" s="1"/>
      <c r="I68" s="1"/>
      <c r="J68" s="1"/>
      <c r="K68" s="1"/>
    </row>
    <row r="69" spans="1:11" s="65" customFormat="1" ht="16.5" thickBot="1">
      <c r="A69" s="3275" t="s">
        <v>21</v>
      </c>
      <c r="B69" s="3276"/>
      <c r="C69" s="1879">
        <v>2</v>
      </c>
      <c r="D69" s="1879">
        <v>4</v>
      </c>
      <c r="E69" s="1879">
        <v>6</v>
      </c>
      <c r="F69" s="1879">
        <v>8</v>
      </c>
      <c r="G69" s="1"/>
      <c r="H69" s="1"/>
      <c r="I69" s="1"/>
      <c r="J69" s="1"/>
      <c r="K69" s="1"/>
    </row>
    <row r="70" spans="1:11" s="65" customFormat="1" ht="138.75" customHeight="1" thickBot="1">
      <c r="A70" s="3247" t="s">
        <v>16</v>
      </c>
      <c r="B70" s="3249" t="s">
        <v>22</v>
      </c>
      <c r="C70" s="64"/>
      <c r="D70" s="64"/>
      <c r="E70" s="64"/>
      <c r="F70" s="64"/>
      <c r="G70" s="1"/>
      <c r="H70" s="1"/>
      <c r="I70" s="1"/>
      <c r="J70" s="1"/>
      <c r="K70" s="1"/>
    </row>
    <row r="71" spans="1:11" s="65" customFormat="1" ht="16.5" thickBot="1">
      <c r="A71" s="3248"/>
      <c r="B71" s="3250"/>
      <c r="C71" s="3235" t="s">
        <v>53</v>
      </c>
      <c r="D71" s="3236"/>
      <c r="E71" s="3236"/>
      <c r="F71" s="3237"/>
      <c r="G71" s="1"/>
      <c r="H71" s="1"/>
      <c r="I71" s="1"/>
      <c r="J71" s="1"/>
      <c r="K71" s="1"/>
    </row>
    <row r="72" spans="1:11" s="65" customFormat="1" ht="15" customHeight="1">
      <c r="A72" s="3251" t="s">
        <v>364</v>
      </c>
      <c r="B72" s="3251"/>
      <c r="C72" s="3251"/>
      <c r="D72" s="3251"/>
      <c r="E72" s="3252"/>
      <c r="F72" s="3223">
        <v>1100</v>
      </c>
      <c r="G72" s="1"/>
      <c r="H72" s="1"/>
      <c r="I72" s="1"/>
      <c r="J72" s="1"/>
      <c r="K72" s="1"/>
    </row>
    <row r="73" spans="1:11" s="65" customFormat="1" ht="15" customHeight="1">
      <c r="A73" s="3253"/>
      <c r="B73" s="3253"/>
      <c r="C73" s="3253"/>
      <c r="D73" s="3253"/>
      <c r="E73" s="3254"/>
      <c r="F73" s="3224"/>
      <c r="G73" s="1"/>
      <c r="H73" s="1"/>
      <c r="I73" s="1"/>
      <c r="J73" s="1"/>
      <c r="K73" s="1"/>
    </row>
    <row r="74" spans="1:11" s="65" customFormat="1" ht="15.75" customHeight="1" thickBot="1">
      <c r="A74" s="3255"/>
      <c r="B74" s="3255"/>
      <c r="C74" s="3255"/>
      <c r="D74" s="3255"/>
      <c r="E74" s="3256"/>
      <c r="F74" s="3225"/>
      <c r="G74" s="1"/>
      <c r="H74" s="1"/>
      <c r="I74" s="1"/>
      <c r="J74" s="1"/>
      <c r="K74" s="1"/>
    </row>
    <row r="75" spans="1:11" s="65" customFormat="1" ht="16.5" thickBot="1">
      <c r="A75" s="1879">
        <v>500</v>
      </c>
      <c r="B75" s="1880">
        <f t="shared" ref="B75:B125" si="0">A75-100</f>
        <v>400</v>
      </c>
      <c r="C75" s="58">
        <v>10177.792741187635</v>
      </c>
      <c r="D75" s="59">
        <v>16598.427372802929</v>
      </c>
      <c r="E75" s="59">
        <v>23080.956783904501</v>
      </c>
      <c r="F75" s="59">
        <v>29501.591415519793</v>
      </c>
      <c r="G75" s="1">
        <v>28256.871247055922</v>
      </c>
      <c r="H75" s="1"/>
      <c r="I75" s="1"/>
      <c r="J75" s="1"/>
      <c r="K75" s="1"/>
    </row>
    <row r="76" spans="1:11" s="65" customFormat="1" ht="16.5" thickBot="1">
      <c r="A76" s="1879">
        <v>550</v>
      </c>
      <c r="B76" s="1880">
        <f t="shared" si="0"/>
        <v>450</v>
      </c>
      <c r="C76" s="60">
        <v>10618.745586981617</v>
      </c>
      <c r="D76" s="61">
        <v>17480.333064390892</v>
      </c>
      <c r="E76" s="61">
        <v>24403.815168257686</v>
      </c>
      <c r="F76" s="61">
        <v>31265.40264566696</v>
      </c>
      <c r="G76" s="1">
        <v>30059.148053690329</v>
      </c>
      <c r="H76" s="1"/>
      <c r="I76" s="1"/>
      <c r="J76" s="1"/>
      <c r="K76" s="1"/>
    </row>
    <row r="77" spans="1:11" s="65" customFormat="1" ht="16.5" thickBot="1">
      <c r="A77" s="1879">
        <v>600</v>
      </c>
      <c r="B77" s="1880">
        <f t="shared" si="0"/>
        <v>500</v>
      </c>
      <c r="C77" s="60">
        <v>11059.6984327756</v>
      </c>
      <c r="D77" s="61">
        <v>18362.238755978859</v>
      </c>
      <c r="E77" s="61">
        <v>25726.673705639634</v>
      </c>
      <c r="F77" s="61">
        <v>33029.214028842893</v>
      </c>
      <c r="G77" s="1">
        <v>31861.424860324769</v>
      </c>
      <c r="H77" s="1"/>
      <c r="I77" s="1"/>
      <c r="J77" s="1"/>
      <c r="K77" s="1"/>
    </row>
    <row r="78" spans="1:11" s="65" customFormat="1" ht="16.5" thickBot="1">
      <c r="A78" s="1879">
        <v>650</v>
      </c>
      <c r="B78" s="1880">
        <f t="shared" si="0"/>
        <v>550</v>
      </c>
      <c r="C78" s="60">
        <v>11500.651278569583</v>
      </c>
      <c r="D78" s="61">
        <v>19244.144294538059</v>
      </c>
      <c r="E78" s="61">
        <v>27049.532089992816</v>
      </c>
      <c r="F78" s="61">
        <v>34793.025258990063</v>
      </c>
      <c r="G78" s="1">
        <v>33663.701666959169</v>
      </c>
      <c r="H78" s="1"/>
      <c r="I78" s="1"/>
      <c r="J78" s="1"/>
      <c r="K78" s="1"/>
    </row>
    <row r="79" spans="1:11" s="65" customFormat="1" ht="16.5" thickBot="1">
      <c r="A79" s="1879">
        <v>700</v>
      </c>
      <c r="B79" s="1880">
        <f t="shared" si="0"/>
        <v>600</v>
      </c>
      <c r="C79" s="60">
        <v>11941.603971334802</v>
      </c>
      <c r="D79" s="61">
        <v>20126.049986126025</v>
      </c>
      <c r="E79" s="61">
        <v>28372.390627374763</v>
      </c>
      <c r="F79" s="61">
        <v>36556.836489137226</v>
      </c>
      <c r="G79" s="1">
        <v>35465.97847359359</v>
      </c>
      <c r="H79" s="1"/>
      <c r="I79" s="1"/>
      <c r="J79" s="1"/>
      <c r="K79" s="1"/>
    </row>
    <row r="80" spans="1:11" s="65" customFormat="1" ht="16.5" thickBot="1">
      <c r="A80" s="1879">
        <v>750</v>
      </c>
      <c r="B80" s="1880">
        <f t="shared" si="0"/>
        <v>650</v>
      </c>
      <c r="C80" s="60">
        <v>12382.556817128785</v>
      </c>
      <c r="D80" s="61">
        <v>21007.955677713991</v>
      </c>
      <c r="E80" s="61">
        <v>29695.249011727952</v>
      </c>
      <c r="F80" s="61">
        <v>38320.647872313159</v>
      </c>
      <c r="G80" s="1">
        <v>37268.25528022799</v>
      </c>
      <c r="H80" s="1"/>
      <c r="I80" s="1"/>
      <c r="J80" s="1"/>
      <c r="K80" s="1"/>
    </row>
    <row r="81" spans="1:11" s="65" customFormat="1" ht="16.5" thickBot="1">
      <c r="A81" s="1879">
        <v>800</v>
      </c>
      <c r="B81" s="1880">
        <f t="shared" si="0"/>
        <v>700</v>
      </c>
      <c r="C81" s="60">
        <v>12823.509662922768</v>
      </c>
      <c r="D81" s="61">
        <v>21889.861216273192</v>
      </c>
      <c r="E81" s="61">
        <v>31018.107396081134</v>
      </c>
      <c r="F81" s="61">
        <v>40084.459102460329</v>
      </c>
      <c r="G81" s="1">
        <v>39070.532086862404</v>
      </c>
      <c r="H81" s="1"/>
      <c r="I81" s="1"/>
      <c r="J81" s="1"/>
      <c r="K81" s="1"/>
    </row>
    <row r="82" spans="1:11" s="65" customFormat="1" ht="16.5" thickBot="1">
      <c r="A82" s="1879">
        <v>850</v>
      </c>
      <c r="B82" s="1880">
        <f t="shared" si="0"/>
        <v>750</v>
      </c>
      <c r="C82" s="60">
        <v>13264.46250871675</v>
      </c>
      <c r="D82" s="61">
        <v>22771.766907861158</v>
      </c>
      <c r="E82" s="61">
        <v>32340.965933463081</v>
      </c>
      <c r="F82" s="61">
        <v>41848.270332607492</v>
      </c>
      <c r="G82" s="1">
        <v>40872.808893496825</v>
      </c>
      <c r="H82" s="1"/>
      <c r="I82" s="1"/>
      <c r="J82" s="1"/>
      <c r="K82" s="1"/>
    </row>
    <row r="83" spans="1:11" s="65" customFormat="1" ht="16.5" thickBot="1">
      <c r="A83" s="1879">
        <v>900</v>
      </c>
      <c r="B83" s="1880">
        <f t="shared" si="0"/>
        <v>800</v>
      </c>
      <c r="C83" s="60">
        <v>13705.415354510731</v>
      </c>
      <c r="D83" s="61">
        <v>23653.672599449124</v>
      </c>
      <c r="E83" s="61">
        <v>33663.824317816267</v>
      </c>
      <c r="F83" s="61">
        <v>43612.081562754662</v>
      </c>
      <c r="G83" s="1">
        <v>42675.085700131232</v>
      </c>
      <c r="H83" s="1"/>
      <c r="I83" s="1"/>
      <c r="J83" s="1"/>
      <c r="K83" s="1"/>
    </row>
    <row r="84" spans="1:11" s="65" customFormat="1" ht="16.5" thickBot="1">
      <c r="A84" s="1879">
        <v>950</v>
      </c>
      <c r="B84" s="1880">
        <f t="shared" si="0"/>
        <v>850</v>
      </c>
      <c r="C84" s="60">
        <v>14146.36804727595</v>
      </c>
      <c r="D84" s="61">
        <v>24535.578138008324</v>
      </c>
      <c r="E84" s="61">
        <v>34986.682855198218</v>
      </c>
      <c r="F84" s="61">
        <v>45375.892945930587</v>
      </c>
      <c r="G84" s="1">
        <v>44477.362506765647</v>
      </c>
      <c r="H84" s="1"/>
      <c r="I84" s="1"/>
      <c r="J84" s="1"/>
      <c r="K84" s="1"/>
    </row>
    <row r="85" spans="1:11" s="65" customFormat="1" ht="16.5" thickBot="1">
      <c r="A85" s="1879">
        <v>1000</v>
      </c>
      <c r="B85" s="1880">
        <f t="shared" si="0"/>
        <v>900</v>
      </c>
      <c r="C85" s="60">
        <v>14587.320893069935</v>
      </c>
      <c r="D85" s="61">
        <v>25417.483829596287</v>
      </c>
      <c r="E85" s="61">
        <v>36309.541239551399</v>
      </c>
      <c r="F85" s="61">
        <v>47139.70417607775</v>
      </c>
      <c r="G85" s="1">
        <v>46279.639313400061</v>
      </c>
      <c r="H85" s="1"/>
      <c r="I85" s="1"/>
      <c r="J85" s="1"/>
      <c r="K85" s="1"/>
    </row>
    <row r="86" spans="1:11" s="65" customFormat="1" ht="16.5" thickBot="1">
      <c r="A86" s="1879">
        <v>1050</v>
      </c>
      <c r="B86" s="1880">
        <f t="shared" si="0"/>
        <v>950</v>
      </c>
      <c r="C86" s="60">
        <v>15028.273738863916</v>
      </c>
      <c r="D86" s="61">
        <v>26299.389368155491</v>
      </c>
      <c r="E86" s="61">
        <v>37632.399776933351</v>
      </c>
      <c r="F86" s="61">
        <v>48903.51540622492</v>
      </c>
      <c r="G86" s="1">
        <v>48081.916120034453</v>
      </c>
      <c r="H86" s="1"/>
      <c r="I86" s="1"/>
      <c r="J86" s="1"/>
      <c r="K86" s="1"/>
    </row>
    <row r="87" spans="1:11" s="65" customFormat="1" ht="16.5" thickBot="1">
      <c r="A87" s="1879">
        <v>1100</v>
      </c>
      <c r="B87" s="1880">
        <f t="shared" si="0"/>
        <v>1000</v>
      </c>
      <c r="C87" s="60">
        <v>15469.226584657899</v>
      </c>
      <c r="D87" s="61">
        <v>27181.295059743454</v>
      </c>
      <c r="E87" s="61">
        <v>38955.258161286532</v>
      </c>
      <c r="F87" s="61">
        <v>50667.326636372083</v>
      </c>
      <c r="G87" s="1">
        <v>49884.192926668875</v>
      </c>
      <c r="H87" s="1"/>
      <c r="I87" s="1"/>
      <c r="J87" s="1"/>
      <c r="K87" s="1"/>
    </row>
    <row r="88" spans="1:11" s="65" customFormat="1" ht="16.5" thickBot="1">
      <c r="A88" s="1879">
        <v>1150</v>
      </c>
      <c r="B88" s="1880">
        <f t="shared" si="0"/>
        <v>1050</v>
      </c>
      <c r="C88" s="60">
        <v>15910.179430451883</v>
      </c>
      <c r="D88" s="61">
        <v>28063.200751331424</v>
      </c>
      <c r="E88" s="61">
        <v>40278.116698668477</v>
      </c>
      <c r="F88" s="61">
        <v>52431.138019548023</v>
      </c>
      <c r="G88" s="1">
        <v>51686.469733303318</v>
      </c>
      <c r="H88" s="1"/>
      <c r="I88" s="1"/>
      <c r="J88" s="1"/>
      <c r="K88" s="1"/>
    </row>
    <row r="89" spans="1:11" s="65" customFormat="1" ht="16.5" thickBot="1">
      <c r="A89" s="1879">
        <v>1200</v>
      </c>
      <c r="B89" s="1880">
        <f t="shared" si="0"/>
        <v>1100</v>
      </c>
      <c r="C89" s="60">
        <v>16448.437758953307</v>
      </c>
      <c r="D89" s="61">
        <v>29108.770248134282</v>
      </c>
      <c r="E89" s="61">
        <v>41861.944677001535</v>
      </c>
      <c r="F89" s="61">
        <v>54522.277166182503</v>
      </c>
      <c r="G89" s="1">
        <v>53789.372734852826</v>
      </c>
      <c r="H89" s="1"/>
      <c r="I89" s="1"/>
      <c r="J89" s="1"/>
      <c r="K89" s="1"/>
    </row>
    <row r="90" spans="1:11" s="65" customFormat="1" ht="16.5" thickBot="1">
      <c r="A90" s="1879">
        <v>1250</v>
      </c>
      <c r="B90" s="1880">
        <f t="shared" si="0"/>
        <v>1150</v>
      </c>
      <c r="C90" s="60">
        <v>16889.390604747292</v>
      </c>
      <c r="D90" s="61">
        <v>29990.675939722245</v>
      </c>
      <c r="E90" s="61">
        <v>43184.803061354716</v>
      </c>
      <c r="F90" s="61">
        <v>56286.088396329666</v>
      </c>
      <c r="G90" s="1">
        <v>55591.649541487219</v>
      </c>
      <c r="H90" s="1"/>
      <c r="I90" s="1"/>
      <c r="J90" s="1"/>
      <c r="K90" s="1"/>
    </row>
    <row r="91" spans="1:11" s="65" customFormat="1" ht="16.5" thickBot="1">
      <c r="A91" s="1879">
        <v>1300</v>
      </c>
      <c r="B91" s="1880">
        <f t="shared" si="0"/>
        <v>1200</v>
      </c>
      <c r="C91" s="60">
        <v>17330.343450541273</v>
      </c>
      <c r="D91" s="61">
        <v>30872.581631310215</v>
      </c>
      <c r="E91" s="61">
        <v>44507.66159873666</v>
      </c>
      <c r="F91" s="61">
        <v>58049.899626476836</v>
      </c>
      <c r="G91" s="1">
        <v>57393.926348121604</v>
      </c>
      <c r="H91" s="1"/>
      <c r="I91" s="1"/>
      <c r="J91" s="1"/>
      <c r="K91" s="1"/>
    </row>
    <row r="92" spans="1:11" s="65" customFormat="1" ht="16.5" thickBot="1">
      <c r="A92" s="1879">
        <v>1350</v>
      </c>
      <c r="B92" s="1880">
        <f t="shared" si="0"/>
        <v>1250</v>
      </c>
      <c r="C92" s="60">
        <v>17771.296296335258</v>
      </c>
      <c r="D92" s="61">
        <v>31754.487169869411</v>
      </c>
      <c r="E92" s="61">
        <v>45830.519983089849</v>
      </c>
      <c r="F92" s="61">
        <v>59813.711009652761</v>
      </c>
      <c r="G92" s="1">
        <v>59196.203154756018</v>
      </c>
      <c r="H92" s="1"/>
      <c r="I92" s="1"/>
      <c r="J92" s="1"/>
      <c r="K92" s="1"/>
    </row>
    <row r="93" spans="1:11" s="65" customFormat="1" ht="16.5" thickBot="1">
      <c r="A93" s="1879">
        <v>1400</v>
      </c>
      <c r="B93" s="1880">
        <f t="shared" si="0"/>
        <v>1300</v>
      </c>
      <c r="C93" s="60">
        <v>18212.249142129243</v>
      </c>
      <c r="D93" s="61">
        <v>32636.392861457382</v>
      </c>
      <c r="E93" s="61">
        <v>47153.378520471801</v>
      </c>
      <c r="F93" s="61">
        <v>61577.522239799931</v>
      </c>
      <c r="G93" s="1">
        <v>60998.479961390447</v>
      </c>
      <c r="H93" s="1"/>
      <c r="I93" s="1"/>
      <c r="J93" s="1"/>
      <c r="K93" s="1"/>
    </row>
    <row r="94" spans="1:11" s="65" customFormat="1" ht="16.5" thickBot="1">
      <c r="A94" s="1879">
        <v>1450</v>
      </c>
      <c r="B94" s="1880">
        <f t="shared" si="0"/>
        <v>1350</v>
      </c>
      <c r="C94" s="60">
        <v>18653.201987923225</v>
      </c>
      <c r="D94" s="61">
        <v>33518.298400016582</v>
      </c>
      <c r="E94" s="61">
        <v>48476.236904824982</v>
      </c>
      <c r="F94" s="61">
        <v>63341.333469947094</v>
      </c>
      <c r="G94" s="1">
        <v>62800.756768024854</v>
      </c>
      <c r="H94" s="1"/>
      <c r="I94" s="1"/>
      <c r="J94" s="1"/>
      <c r="K94" s="1"/>
    </row>
    <row r="95" spans="1:11" s="65" customFormat="1" ht="16.5" thickBot="1">
      <c r="A95" s="1879">
        <v>1500</v>
      </c>
      <c r="B95" s="1880">
        <f t="shared" si="0"/>
        <v>1400</v>
      </c>
      <c r="C95" s="60">
        <v>19094.15468068844</v>
      </c>
      <c r="D95" s="61">
        <v>34400.204091604552</v>
      </c>
      <c r="E95" s="61">
        <v>49799.095442206926</v>
      </c>
      <c r="F95" s="61">
        <v>65105.144700094272</v>
      </c>
      <c r="G95" s="1">
        <v>64603.033574659261</v>
      </c>
      <c r="H95" s="1"/>
      <c r="I95" s="1"/>
      <c r="J95" s="1"/>
      <c r="K95" s="1"/>
    </row>
    <row r="96" spans="1:11" s="65" customFormat="1" ht="16.5" thickBot="1">
      <c r="A96" s="1879">
        <v>1550</v>
      </c>
      <c r="B96" s="1880">
        <f t="shared" si="0"/>
        <v>1450</v>
      </c>
      <c r="C96" s="60">
        <v>19535.107526482425</v>
      </c>
      <c r="D96" s="61">
        <v>35282.109783192514</v>
      </c>
      <c r="E96" s="61">
        <v>51121.953826560108</v>
      </c>
      <c r="F96" s="61">
        <v>66868.956083270197</v>
      </c>
      <c r="G96" s="1">
        <v>66405.310381293704</v>
      </c>
      <c r="H96" s="1"/>
      <c r="I96" s="1"/>
      <c r="J96" s="1"/>
      <c r="K96" s="1"/>
    </row>
    <row r="97" spans="1:11" s="65" customFormat="1" ht="16.5" thickBot="1">
      <c r="A97" s="1879">
        <v>1600</v>
      </c>
      <c r="B97" s="1880">
        <f t="shared" si="0"/>
        <v>1500</v>
      </c>
      <c r="C97" s="60">
        <v>19976.06037227641</v>
      </c>
      <c r="D97" s="61">
        <v>36164.015321751715</v>
      </c>
      <c r="E97" s="61">
        <v>52444.812363942066</v>
      </c>
      <c r="F97" s="61">
        <v>68632.767313417367</v>
      </c>
      <c r="G97" s="1">
        <v>68207.587187928075</v>
      </c>
      <c r="H97" s="1"/>
      <c r="I97" s="1"/>
      <c r="J97" s="1"/>
      <c r="K97" s="1"/>
    </row>
    <row r="98" spans="1:11" s="65" customFormat="1" ht="16.5" thickBot="1">
      <c r="A98" s="1879">
        <v>1650</v>
      </c>
      <c r="B98" s="1880">
        <f t="shared" si="0"/>
        <v>1550</v>
      </c>
      <c r="C98" s="60">
        <v>20417.013218070391</v>
      </c>
      <c r="D98" s="61">
        <v>37045.921013339677</v>
      </c>
      <c r="E98" s="61">
        <v>53767.670748295248</v>
      </c>
      <c r="F98" s="61">
        <v>70396.578543564538</v>
      </c>
      <c r="G98" s="1">
        <v>70009.863994562518</v>
      </c>
      <c r="H98" s="1"/>
      <c r="I98" s="1"/>
      <c r="J98" s="1"/>
      <c r="K98" s="1"/>
    </row>
    <row r="99" spans="1:11" s="65" customFormat="1" ht="16.5" thickBot="1">
      <c r="A99" s="1879">
        <v>1700</v>
      </c>
      <c r="B99" s="1880">
        <f t="shared" si="0"/>
        <v>1600</v>
      </c>
      <c r="C99" s="60">
        <v>20857.966063864373</v>
      </c>
      <c r="D99" s="61">
        <v>37927.82670492764</v>
      </c>
      <c r="E99" s="61">
        <v>55090.529132648429</v>
      </c>
      <c r="F99" s="61">
        <v>72160.389773711708</v>
      </c>
      <c r="G99" s="1">
        <v>71812.140801196947</v>
      </c>
      <c r="H99" s="1"/>
      <c r="I99" s="1"/>
      <c r="J99" s="1"/>
      <c r="K99" s="1"/>
    </row>
    <row r="100" spans="1:11" s="65" customFormat="1" ht="16.5" thickBot="1">
      <c r="A100" s="1879">
        <v>1750</v>
      </c>
      <c r="B100" s="1880">
        <f t="shared" si="0"/>
        <v>1650</v>
      </c>
      <c r="C100" s="60">
        <v>21298.918756629591</v>
      </c>
      <c r="D100" s="61">
        <v>38809.732243486847</v>
      </c>
      <c r="E100" s="61">
        <v>56413.387670030381</v>
      </c>
      <c r="F100" s="61">
        <v>73924.201156887633</v>
      </c>
      <c r="G100" s="1">
        <v>73614.417607831347</v>
      </c>
      <c r="H100" s="1"/>
      <c r="I100" s="1"/>
      <c r="J100" s="1"/>
      <c r="K100" s="1"/>
    </row>
    <row r="101" spans="1:11" s="65" customFormat="1" ht="16.5" thickBot="1">
      <c r="A101" s="1879">
        <v>1800</v>
      </c>
      <c r="B101" s="1880">
        <f t="shared" si="0"/>
        <v>1700</v>
      </c>
      <c r="C101" s="60">
        <v>21739.871602423576</v>
      </c>
      <c r="D101" s="61">
        <v>39691.63793507481</v>
      </c>
      <c r="E101" s="61">
        <v>57736.246054383562</v>
      </c>
      <c r="F101" s="61">
        <v>75688.012387034789</v>
      </c>
      <c r="G101" s="1">
        <v>75416.694414465732</v>
      </c>
      <c r="H101" s="1"/>
      <c r="I101" s="1"/>
      <c r="J101" s="1"/>
      <c r="K101" s="1"/>
    </row>
    <row r="102" spans="1:11" s="65" customFormat="1" ht="16.5" thickBot="1">
      <c r="A102" s="1879">
        <v>1850</v>
      </c>
      <c r="B102" s="1880">
        <f t="shared" si="0"/>
        <v>1750</v>
      </c>
      <c r="C102" s="60">
        <v>22180.824448217558</v>
      </c>
      <c r="D102" s="61">
        <v>40573.54347363401</v>
      </c>
      <c r="E102" s="61">
        <v>59059.104591765506</v>
      </c>
      <c r="F102" s="61">
        <v>77451.823617181959</v>
      </c>
      <c r="G102" s="1">
        <v>77218.971221100161</v>
      </c>
      <c r="H102" s="1"/>
      <c r="I102" s="1"/>
      <c r="J102" s="1"/>
      <c r="K102" s="1"/>
    </row>
    <row r="103" spans="1:11" s="65" customFormat="1" ht="16.5" thickBot="1">
      <c r="A103" s="1879">
        <v>1900</v>
      </c>
      <c r="B103" s="1880">
        <f t="shared" si="0"/>
        <v>1800</v>
      </c>
      <c r="C103" s="60">
        <v>22621.777294011539</v>
      </c>
      <c r="D103" s="61">
        <v>41455.449165221973</v>
      </c>
      <c r="E103" s="61">
        <v>60381.962976118688</v>
      </c>
      <c r="F103" s="61">
        <v>79215.634847329129</v>
      </c>
      <c r="G103" s="1">
        <v>79021.248027734619</v>
      </c>
      <c r="H103" s="1"/>
      <c r="I103" s="1"/>
      <c r="J103" s="1"/>
      <c r="K103" s="1"/>
    </row>
    <row r="104" spans="1:11" s="65" customFormat="1" ht="16.5" thickBot="1">
      <c r="A104" s="1879">
        <v>1950</v>
      </c>
      <c r="B104" s="1880">
        <f t="shared" si="0"/>
        <v>1850</v>
      </c>
      <c r="C104" s="60">
        <v>23160.035775541732</v>
      </c>
      <c r="D104" s="61">
        <v>42501.018815053598</v>
      </c>
      <c r="E104" s="61">
        <v>61965.791107480509</v>
      </c>
      <c r="F104" s="61">
        <v>81306.774146992379</v>
      </c>
      <c r="G104" s="1">
        <v>81124.151029284054</v>
      </c>
      <c r="H104" s="1"/>
      <c r="I104" s="1"/>
      <c r="J104" s="1"/>
      <c r="K104" s="1"/>
    </row>
    <row r="105" spans="1:11" s="65" customFormat="1" ht="16.5" thickBot="1">
      <c r="A105" s="1879">
        <v>2000</v>
      </c>
      <c r="B105" s="1880">
        <f t="shared" si="0"/>
        <v>1900</v>
      </c>
      <c r="C105" s="60">
        <v>23600.98846830695</v>
      </c>
      <c r="D105" s="61">
        <v>43382.924353612805</v>
      </c>
      <c r="E105" s="61">
        <v>63288.64949183369</v>
      </c>
      <c r="F105" s="61">
        <v>83070.585377139549</v>
      </c>
      <c r="G105" s="1">
        <v>82926.427835918483</v>
      </c>
      <c r="H105" s="1"/>
      <c r="I105" s="1"/>
      <c r="J105" s="1"/>
      <c r="K105" s="1"/>
    </row>
    <row r="106" spans="1:11" s="65" customFormat="1" ht="16.5" thickBot="1">
      <c r="A106" s="1879">
        <v>2050</v>
      </c>
      <c r="B106" s="1880">
        <f t="shared" si="0"/>
        <v>1950</v>
      </c>
      <c r="C106" s="60">
        <v>24041.941314100932</v>
      </c>
      <c r="D106" s="61">
        <v>44264.830045200768</v>
      </c>
      <c r="E106" s="61">
        <v>64611.507876186872</v>
      </c>
      <c r="F106" s="61">
        <v>84834.396607286704</v>
      </c>
      <c r="G106" s="1">
        <v>84728.704642552882</v>
      </c>
      <c r="H106" s="1"/>
      <c r="I106" s="1"/>
      <c r="J106" s="1"/>
      <c r="K106" s="1"/>
    </row>
    <row r="107" spans="1:11" s="65" customFormat="1" ht="16.5" thickBot="1">
      <c r="A107" s="1879">
        <v>2100</v>
      </c>
      <c r="B107" s="1880">
        <f t="shared" si="0"/>
        <v>2000</v>
      </c>
      <c r="C107" s="60">
        <v>24482.894159894917</v>
      </c>
      <c r="D107" s="61">
        <v>45146.735736788738</v>
      </c>
      <c r="E107" s="61">
        <v>65934.36641356883</v>
      </c>
      <c r="F107" s="61">
        <v>86598.207837433874</v>
      </c>
      <c r="G107" s="1">
        <v>86530.981449187297</v>
      </c>
      <c r="H107" s="1"/>
      <c r="I107" s="1"/>
      <c r="J107" s="1"/>
      <c r="K107" s="1"/>
    </row>
    <row r="108" spans="1:11" s="65" customFormat="1" ht="16.5" thickBot="1">
      <c r="A108" s="1879">
        <v>2150</v>
      </c>
      <c r="B108" s="1880">
        <f t="shared" si="0"/>
        <v>2050</v>
      </c>
      <c r="C108" s="60">
        <v>24923.847005688898</v>
      </c>
      <c r="D108" s="61">
        <v>46028.641275347931</v>
      </c>
      <c r="E108" s="61">
        <v>67257.224797922012</v>
      </c>
      <c r="F108" s="61">
        <v>88362.019220609815</v>
      </c>
      <c r="G108" s="1">
        <v>88333.258255821696</v>
      </c>
      <c r="H108" s="1"/>
      <c r="I108" s="1"/>
      <c r="J108" s="1"/>
      <c r="K108" s="1"/>
    </row>
    <row r="109" spans="1:11" s="65" customFormat="1" ht="16.5" thickBot="1">
      <c r="A109" s="1879">
        <v>2200</v>
      </c>
      <c r="B109" s="1880">
        <f t="shared" si="0"/>
        <v>2100</v>
      </c>
      <c r="C109" s="60">
        <v>25364.799851482883</v>
      </c>
      <c r="D109" s="61">
        <v>46910.546966935901</v>
      </c>
      <c r="E109" s="61">
        <v>68580.083335303963</v>
      </c>
      <c r="F109" s="61">
        <v>90125.830450756985</v>
      </c>
      <c r="G109" s="1">
        <v>90135.535062456111</v>
      </c>
      <c r="H109" s="1"/>
      <c r="I109" s="1"/>
      <c r="J109" s="1"/>
      <c r="K109" s="1"/>
    </row>
    <row r="110" spans="1:11" s="65" customFormat="1" ht="16.5" thickBot="1">
      <c r="A110" s="1879">
        <v>2250</v>
      </c>
      <c r="B110" s="1880">
        <f t="shared" si="0"/>
        <v>2150</v>
      </c>
      <c r="C110" s="60">
        <v>25805.752697276861</v>
      </c>
      <c r="D110" s="61">
        <v>47792.452505495101</v>
      </c>
      <c r="E110" s="61">
        <v>69902.941719657145</v>
      </c>
      <c r="F110" s="61">
        <v>91889.641680904155</v>
      </c>
      <c r="G110" s="1">
        <v>91937.811869090496</v>
      </c>
      <c r="H110" s="1"/>
      <c r="I110" s="1"/>
      <c r="J110" s="1"/>
      <c r="K110" s="1"/>
    </row>
    <row r="111" spans="1:11" s="65" customFormat="1" ht="16.5" thickBot="1">
      <c r="A111" s="1879">
        <v>2300</v>
      </c>
      <c r="B111" s="1880">
        <f t="shared" si="0"/>
        <v>2200</v>
      </c>
      <c r="C111" s="60">
        <v>26246.70539004208</v>
      </c>
      <c r="D111" s="61">
        <v>48674.358197083071</v>
      </c>
      <c r="E111" s="61">
        <v>71225.800257039082</v>
      </c>
      <c r="F111" s="61">
        <v>93653.45291105131</v>
      </c>
      <c r="G111" s="1">
        <v>93740.088675724997</v>
      </c>
      <c r="H111" s="1"/>
      <c r="I111" s="1"/>
      <c r="J111" s="1"/>
      <c r="K111" s="1"/>
    </row>
    <row r="112" spans="1:11" s="65" customFormat="1" ht="16.5" thickBot="1">
      <c r="A112" s="1879">
        <v>2350</v>
      </c>
      <c r="B112" s="1880">
        <f t="shared" si="0"/>
        <v>2250</v>
      </c>
      <c r="C112" s="60">
        <v>26687.658235836065</v>
      </c>
      <c r="D112" s="61">
        <v>49556.263888671034</v>
      </c>
      <c r="E112" s="61">
        <v>72548.658641392263</v>
      </c>
      <c r="F112" s="61">
        <v>95417.264294227251</v>
      </c>
      <c r="G112" s="1">
        <v>95542.365482359455</v>
      </c>
      <c r="H112" s="1"/>
      <c r="I112" s="1"/>
      <c r="J112" s="1"/>
      <c r="K112" s="1"/>
    </row>
    <row r="113" spans="1:11" s="65" customFormat="1" ht="16.5" thickBot="1">
      <c r="A113" s="1879">
        <v>2400</v>
      </c>
      <c r="B113" s="1880">
        <f t="shared" si="0"/>
        <v>2300</v>
      </c>
      <c r="C113" s="60">
        <v>27128.61108163005</v>
      </c>
      <c r="D113" s="61">
        <v>50438.169427230234</v>
      </c>
      <c r="E113" s="61">
        <v>73871.517178774229</v>
      </c>
      <c r="F113" s="61">
        <v>97181.075524374406</v>
      </c>
      <c r="G113" s="1">
        <v>97344.64228899384</v>
      </c>
      <c r="H113" s="1"/>
      <c r="I113" s="1"/>
      <c r="J113" s="1"/>
      <c r="K113" s="1"/>
    </row>
    <row r="114" spans="1:11" s="65" customFormat="1" ht="16.5" thickBot="1">
      <c r="A114" s="1879">
        <v>2450</v>
      </c>
      <c r="B114" s="1880">
        <f t="shared" si="0"/>
        <v>2350</v>
      </c>
      <c r="C114" s="60">
        <v>27569.563927424035</v>
      </c>
      <c r="D114" s="61">
        <v>51320.075118818204</v>
      </c>
      <c r="E114" s="61">
        <v>75194.375563127411</v>
      </c>
      <c r="F114" s="61">
        <v>98944.886754521576</v>
      </c>
      <c r="G114" s="1">
        <v>99146.919095628225</v>
      </c>
      <c r="H114" s="1"/>
      <c r="I114" s="1"/>
      <c r="J114" s="1"/>
      <c r="K114" s="1"/>
    </row>
    <row r="115" spans="1:11" s="65" customFormat="1" ht="16.5" thickBot="1">
      <c r="A115" s="1879">
        <v>2500</v>
      </c>
      <c r="B115" s="1880">
        <f t="shared" si="0"/>
        <v>2400</v>
      </c>
      <c r="C115" s="60">
        <v>28010.516773218013</v>
      </c>
      <c r="D115" s="61">
        <v>52201.980810406167</v>
      </c>
      <c r="E115" s="61">
        <v>76517.233947480592</v>
      </c>
      <c r="F115" s="61">
        <v>100708.6981376975</v>
      </c>
      <c r="G115" s="1">
        <v>100949.19590226265</v>
      </c>
      <c r="H115" s="1"/>
      <c r="I115" s="1"/>
      <c r="J115" s="1"/>
      <c r="K115" s="1"/>
    </row>
    <row r="116" spans="1:11" s="65" customFormat="1" ht="16.5" thickBot="1">
      <c r="A116" s="1879">
        <v>2550</v>
      </c>
      <c r="B116" s="1880">
        <f t="shared" si="0"/>
        <v>2450</v>
      </c>
      <c r="C116" s="60">
        <v>28451.469465983231</v>
      </c>
      <c r="D116" s="61">
        <v>53083.886348965374</v>
      </c>
      <c r="E116" s="61">
        <v>77840.092484862544</v>
      </c>
      <c r="F116" s="61">
        <v>102472.50936784467</v>
      </c>
      <c r="G116" s="1">
        <v>102751.47270889704</v>
      </c>
      <c r="H116" s="1"/>
      <c r="I116" s="1"/>
      <c r="J116" s="1"/>
      <c r="K116" s="1"/>
    </row>
    <row r="117" spans="1:11" s="65" customFormat="1" ht="16.5" thickBot="1">
      <c r="A117" s="1879">
        <v>2600</v>
      </c>
      <c r="B117" s="1880">
        <f t="shared" si="0"/>
        <v>2500</v>
      </c>
      <c r="C117" s="60">
        <v>28892.422311777216</v>
      </c>
      <c r="D117" s="61">
        <v>53965.79204055333</v>
      </c>
      <c r="E117" s="61">
        <v>79162.950869215725</v>
      </c>
      <c r="F117" s="61">
        <v>104236.32059799184</v>
      </c>
      <c r="G117" s="1">
        <v>104553.74951553141</v>
      </c>
      <c r="H117" s="1"/>
      <c r="I117" s="1"/>
      <c r="J117" s="1"/>
      <c r="K117" s="1"/>
    </row>
    <row r="118" spans="1:11" s="65" customFormat="1" ht="16.5" thickBot="1">
      <c r="A118" s="1879">
        <v>2650</v>
      </c>
      <c r="B118" s="1880">
        <f t="shared" si="0"/>
        <v>2550</v>
      </c>
      <c r="C118" s="60">
        <v>29333.375157571201</v>
      </c>
      <c r="D118" s="61">
        <v>54847.697579112537</v>
      </c>
      <c r="E118" s="61">
        <v>80485.809406597677</v>
      </c>
      <c r="F118" s="61">
        <v>106000.131828139</v>
      </c>
      <c r="G118" s="1">
        <v>106356.02632216585</v>
      </c>
      <c r="H118" s="1"/>
      <c r="I118" s="1"/>
      <c r="J118" s="1"/>
      <c r="K118" s="1"/>
    </row>
    <row r="119" spans="1:11" s="65" customFormat="1" ht="16.5" thickBot="1">
      <c r="A119" s="1879">
        <v>2700</v>
      </c>
      <c r="B119" s="1880">
        <f t="shared" si="0"/>
        <v>2600</v>
      </c>
      <c r="C119" s="60">
        <v>29871.63363910139</v>
      </c>
      <c r="D119" s="61">
        <v>55893.267228944154</v>
      </c>
      <c r="E119" s="61">
        <v>82069.637384930727</v>
      </c>
      <c r="F119" s="61">
        <v>108091.27097477349</v>
      </c>
      <c r="G119" s="1">
        <v>108458.92932371532</v>
      </c>
      <c r="H119" s="1"/>
      <c r="I119" s="1"/>
      <c r="J119" s="1"/>
      <c r="K119" s="1"/>
    </row>
    <row r="120" spans="1:11" s="65" customFormat="1" ht="16.5" thickBot="1">
      <c r="A120" s="1879">
        <v>2750</v>
      </c>
      <c r="B120" s="1880">
        <f t="shared" si="0"/>
        <v>2650</v>
      </c>
      <c r="C120" s="60">
        <v>30312.586484895375</v>
      </c>
      <c r="D120" s="61">
        <v>56775.172920532124</v>
      </c>
      <c r="E120" s="61">
        <v>83392.495922312664</v>
      </c>
      <c r="F120" s="61">
        <v>109855.08235794943</v>
      </c>
      <c r="G120" s="1">
        <v>110261.20613034972</v>
      </c>
      <c r="H120" s="1"/>
      <c r="I120" s="1"/>
      <c r="J120" s="1"/>
      <c r="K120" s="1"/>
    </row>
    <row r="121" spans="1:11" s="65" customFormat="1" ht="16.5" thickBot="1">
      <c r="A121" s="1879">
        <v>2800</v>
      </c>
      <c r="B121" s="1880">
        <f t="shared" si="0"/>
        <v>2700</v>
      </c>
      <c r="C121" s="60">
        <v>30753.53917766059</v>
      </c>
      <c r="D121" s="61">
        <v>57657.078459091324</v>
      </c>
      <c r="E121" s="61">
        <v>84715.35430666586</v>
      </c>
      <c r="F121" s="61">
        <v>111618.8935880966</v>
      </c>
      <c r="G121" s="1">
        <v>112063.48293698419</v>
      </c>
      <c r="H121" s="1"/>
      <c r="I121" s="1"/>
      <c r="J121" s="1"/>
      <c r="K121" s="1"/>
    </row>
    <row r="122" spans="1:11" s="65" customFormat="1" ht="16.5" thickBot="1">
      <c r="A122" s="1879">
        <v>2850</v>
      </c>
      <c r="B122" s="1880">
        <f t="shared" si="0"/>
        <v>2750</v>
      </c>
      <c r="C122" s="60">
        <v>31194.492023454572</v>
      </c>
      <c r="D122" s="61">
        <v>58538.984150679295</v>
      </c>
      <c r="E122" s="61">
        <v>86038.212844047797</v>
      </c>
      <c r="F122" s="61">
        <v>113382.70481824376</v>
      </c>
      <c r="G122" s="1">
        <v>113865.7597436186</v>
      </c>
      <c r="H122" s="1"/>
      <c r="I122" s="1"/>
      <c r="J122" s="1"/>
      <c r="K122" s="1"/>
    </row>
    <row r="123" spans="1:11" s="65" customFormat="1" ht="16.5" thickBot="1">
      <c r="A123" s="1879">
        <v>2900</v>
      </c>
      <c r="B123" s="1880">
        <f t="shared" si="0"/>
        <v>2800</v>
      </c>
      <c r="C123" s="60">
        <v>31635.444869248557</v>
      </c>
      <c r="D123" s="61">
        <v>59420.88984226725</v>
      </c>
      <c r="E123" s="61">
        <v>87361.071228400979</v>
      </c>
      <c r="F123" s="61">
        <v>115146.51620141968</v>
      </c>
      <c r="G123" s="1">
        <v>115668.03655025297</v>
      </c>
      <c r="H123" s="1"/>
      <c r="I123" s="1"/>
      <c r="J123" s="1"/>
      <c r="K123" s="1"/>
    </row>
    <row r="124" spans="1:11" s="65" customFormat="1" ht="16.5" thickBot="1">
      <c r="A124" s="1879">
        <v>2950</v>
      </c>
      <c r="B124" s="1880">
        <f t="shared" si="0"/>
        <v>2850</v>
      </c>
      <c r="C124" s="60">
        <v>32076.397715042542</v>
      </c>
      <c r="D124" s="61">
        <v>60302.795380826457</v>
      </c>
      <c r="E124" s="61">
        <v>88683.92961275416</v>
      </c>
      <c r="F124" s="61">
        <v>116910.32743156685</v>
      </c>
      <c r="G124" s="1">
        <v>117470.31335688749</v>
      </c>
      <c r="H124" s="1"/>
      <c r="I124" s="1"/>
      <c r="J124" s="1"/>
      <c r="K124" s="1"/>
    </row>
    <row r="125" spans="1:11" s="65" customFormat="1" ht="16.5" thickBot="1">
      <c r="A125" s="1879">
        <v>3000</v>
      </c>
      <c r="B125" s="1880">
        <f t="shared" si="0"/>
        <v>2900</v>
      </c>
      <c r="C125" s="62">
        <v>32517.350560836519</v>
      </c>
      <c r="D125" s="63">
        <v>61184.70107241442</v>
      </c>
      <c r="E125" s="63">
        <v>90006.788150136126</v>
      </c>
      <c r="F125" s="63">
        <v>118674.13866171401</v>
      </c>
      <c r="G125" s="1">
        <v>119272.5901635218</v>
      </c>
      <c r="H125" s="1"/>
      <c r="I125" s="1"/>
      <c r="J125" s="1"/>
      <c r="K125" s="1"/>
    </row>
    <row r="126" spans="1:11" s="65" customFormat="1" ht="16.5" thickBot="1">
      <c r="A126" s="87"/>
      <c r="B126" s="87"/>
      <c r="C126" s="8"/>
      <c r="D126" s="8"/>
      <c r="E126" s="8"/>
      <c r="F126" s="905"/>
      <c r="G126" s="904"/>
      <c r="H126" s="904"/>
      <c r="I126" s="904"/>
      <c r="J126" s="904"/>
      <c r="K126" s="904"/>
    </row>
    <row r="127" spans="1:11" s="65" customFormat="1" ht="16.5" thickBot="1">
      <c r="A127" s="3263" t="s">
        <v>17</v>
      </c>
      <c r="B127" s="3264"/>
      <c r="C127" s="902" t="s">
        <v>372</v>
      </c>
      <c r="D127" s="902" t="s">
        <v>373</v>
      </c>
      <c r="E127" s="1876"/>
      <c r="F127" s="1876"/>
      <c r="G127" s="904"/>
      <c r="H127" s="904"/>
      <c r="I127" s="904"/>
      <c r="J127" s="904"/>
      <c r="K127" s="904"/>
    </row>
    <row r="128" spans="1:11" s="65" customFormat="1" ht="16.5" thickBot="1">
      <c r="A128" s="3263" t="s">
        <v>19</v>
      </c>
      <c r="B128" s="3264"/>
      <c r="C128" s="902">
        <v>40</v>
      </c>
      <c r="D128" s="902">
        <v>40</v>
      </c>
      <c r="E128" s="1876"/>
      <c r="F128" s="1876"/>
      <c r="G128" s="904"/>
      <c r="H128" s="904"/>
      <c r="I128" s="904"/>
      <c r="J128" s="904"/>
      <c r="K128" s="904"/>
    </row>
    <row r="129" spans="1:11" s="65" customFormat="1" ht="16.5" thickBot="1">
      <c r="A129" s="3263" t="s">
        <v>20</v>
      </c>
      <c r="B129" s="3264"/>
      <c r="C129" s="903">
        <v>100</v>
      </c>
      <c r="D129" s="903">
        <v>200</v>
      </c>
      <c r="E129" s="1876"/>
      <c r="F129" s="1876"/>
      <c r="G129" s="904"/>
      <c r="H129" s="904"/>
      <c r="I129" s="904"/>
      <c r="J129" s="904"/>
      <c r="K129" s="904"/>
    </row>
    <row r="130" spans="1:11" s="65" customFormat="1" ht="16.5" thickBot="1">
      <c r="A130" s="3263" t="s">
        <v>21</v>
      </c>
      <c r="B130" s="3264"/>
      <c r="C130" s="903">
        <v>2</v>
      </c>
      <c r="D130" s="903">
        <v>4</v>
      </c>
      <c r="E130" s="1876"/>
      <c r="F130" s="1876"/>
      <c r="G130" s="904"/>
      <c r="H130" s="904"/>
      <c r="I130" s="904"/>
      <c r="J130" s="904"/>
      <c r="K130" s="904"/>
    </row>
    <row r="131" spans="1:11" s="65" customFormat="1" ht="149.25" customHeight="1" thickBot="1">
      <c r="A131" s="3265" t="s">
        <v>16</v>
      </c>
      <c r="B131" s="3267" t="s">
        <v>22</v>
      </c>
      <c r="C131" s="64"/>
      <c r="D131" s="64"/>
      <c r="E131" s="1876"/>
      <c r="F131" s="1876"/>
      <c r="G131" s="904"/>
      <c r="H131" s="904"/>
      <c r="I131" s="904"/>
      <c r="J131" s="904"/>
      <c r="K131" s="904"/>
    </row>
    <row r="132" spans="1:11" s="65" customFormat="1" ht="16.5" thickBot="1">
      <c r="A132" s="3266"/>
      <c r="B132" s="3268"/>
      <c r="C132" s="3235" t="s">
        <v>53</v>
      </c>
      <c r="D132" s="3237"/>
      <c r="E132" s="1876"/>
      <c r="F132" s="1876"/>
      <c r="G132" s="1"/>
      <c r="H132" s="1"/>
      <c r="I132" s="1"/>
      <c r="J132" s="1"/>
      <c r="K132" s="1"/>
    </row>
    <row r="133" spans="1:11" s="65" customFormat="1" ht="15" customHeight="1">
      <c r="A133" s="3257" t="s">
        <v>364</v>
      </c>
      <c r="B133" s="3257"/>
      <c r="C133" s="3258"/>
      <c r="D133" s="3223">
        <v>1100</v>
      </c>
      <c r="E133" s="1876"/>
      <c r="F133" s="1876"/>
      <c r="G133" s="904"/>
      <c r="H133" s="904"/>
      <c r="I133" s="904"/>
      <c r="J133" s="904"/>
      <c r="K133" s="904"/>
    </row>
    <row r="134" spans="1:11" s="65" customFormat="1" ht="15" customHeight="1">
      <c r="A134" s="3259"/>
      <c r="B134" s="3259"/>
      <c r="C134" s="3260"/>
      <c r="D134" s="3224"/>
      <c r="E134" s="1876"/>
      <c r="F134" s="1876"/>
      <c r="G134" s="904"/>
      <c r="H134" s="904"/>
      <c r="I134" s="904"/>
      <c r="J134" s="904"/>
      <c r="K134" s="904"/>
    </row>
    <row r="135" spans="1:11" s="65" customFormat="1" ht="15.75" customHeight="1" thickBot="1">
      <c r="A135" s="3261"/>
      <c r="B135" s="3261"/>
      <c r="C135" s="3262"/>
      <c r="D135" s="3225"/>
      <c r="E135" s="1876"/>
      <c r="F135" s="1876"/>
      <c r="G135" s="904"/>
      <c r="H135" s="904"/>
      <c r="I135" s="904"/>
      <c r="J135" s="904"/>
      <c r="K135" s="904"/>
    </row>
    <row r="136" spans="1:11" s="65" customFormat="1" ht="16.5" thickBot="1">
      <c r="A136" s="903">
        <v>500</v>
      </c>
      <c r="B136" s="1877">
        <v>400</v>
      </c>
      <c r="C136" s="58">
        <v>3592.1621889570374</v>
      </c>
      <c r="D136" s="59">
        <v>5858.2684575136036</v>
      </c>
      <c r="E136" s="8"/>
      <c r="F136" s="8"/>
      <c r="G136" s="1"/>
      <c r="H136" s="1"/>
      <c r="I136" s="1"/>
      <c r="J136" s="1"/>
      <c r="K136" s="1"/>
    </row>
    <row r="137" spans="1:11" s="65" customFormat="1" ht="16.5" thickBot="1">
      <c r="A137" s="903">
        <v>550</v>
      </c>
      <c r="B137" s="1877">
        <v>450</v>
      </c>
      <c r="C137" s="60">
        <v>3747.7925961179276</v>
      </c>
      <c r="D137" s="61">
        <v>6169.529271835384</v>
      </c>
      <c r="E137" s="8"/>
      <c r="F137" s="8"/>
      <c r="G137" s="1"/>
      <c r="H137" s="1"/>
      <c r="I137" s="1"/>
      <c r="J137" s="1"/>
      <c r="K137" s="1"/>
    </row>
    <row r="138" spans="1:11" s="65" customFormat="1" ht="16.5" thickBot="1">
      <c r="A138" s="903">
        <v>600</v>
      </c>
      <c r="B138" s="1877">
        <v>500</v>
      </c>
      <c r="C138" s="60">
        <v>3903.4230032788178</v>
      </c>
      <c r="D138" s="61">
        <v>6480.7900861571643</v>
      </c>
      <c r="E138" s="8"/>
      <c r="F138" s="8"/>
      <c r="G138" s="1"/>
      <c r="H138" s="1"/>
      <c r="I138" s="1"/>
      <c r="J138" s="1"/>
      <c r="K138" s="1"/>
    </row>
    <row r="139" spans="1:11" s="65" customFormat="1" ht="16.5" thickBot="1">
      <c r="A139" s="903">
        <v>650</v>
      </c>
      <c r="B139" s="1877">
        <v>550</v>
      </c>
      <c r="C139" s="60">
        <v>4059.0534104397079</v>
      </c>
      <c r="D139" s="61">
        <v>6792.0509004789446</v>
      </c>
      <c r="E139" s="8"/>
      <c r="F139" s="8"/>
      <c r="G139" s="1"/>
      <c r="H139" s="1"/>
      <c r="I139" s="1"/>
      <c r="J139" s="1"/>
      <c r="K139" s="1"/>
    </row>
    <row r="140" spans="1:11" s="65" customFormat="1" ht="16.5" thickBot="1">
      <c r="A140" s="903">
        <v>700</v>
      </c>
      <c r="B140" s="1877">
        <v>600</v>
      </c>
      <c r="C140" s="60">
        <v>4214.6838176005976</v>
      </c>
      <c r="D140" s="61">
        <v>7103.311714800725</v>
      </c>
      <c r="E140" s="8"/>
      <c r="F140" s="8"/>
      <c r="G140" s="1"/>
      <c r="H140" s="1"/>
      <c r="I140" s="1"/>
      <c r="J140" s="1"/>
      <c r="K140" s="1"/>
    </row>
    <row r="141" spans="1:11" s="65" customFormat="1" ht="16.5" thickBot="1">
      <c r="A141" s="903">
        <v>750</v>
      </c>
      <c r="B141" s="1877">
        <v>650</v>
      </c>
      <c r="C141" s="60">
        <v>4370.3142247614878</v>
      </c>
      <c r="D141" s="61">
        <v>7414.5725291225053</v>
      </c>
      <c r="E141" s="8"/>
      <c r="F141" s="8"/>
      <c r="G141" s="1"/>
      <c r="H141" s="1"/>
      <c r="I141" s="1"/>
      <c r="J141" s="1"/>
      <c r="K141" s="1"/>
    </row>
    <row r="142" spans="1:11" s="65" customFormat="1" ht="16.5" thickBot="1">
      <c r="A142" s="903">
        <v>800</v>
      </c>
      <c r="B142" s="1877">
        <v>700</v>
      </c>
      <c r="C142" s="60">
        <v>4525.944631922378</v>
      </c>
      <c r="D142" s="61">
        <v>7725.8333434442857</v>
      </c>
      <c r="E142" s="8"/>
      <c r="F142" s="8"/>
      <c r="G142" s="1"/>
      <c r="H142" s="1"/>
      <c r="I142" s="1"/>
      <c r="J142" s="1"/>
      <c r="K142" s="1"/>
    </row>
    <row r="143" spans="1:11" s="65" customFormat="1" ht="16.5" thickBot="1">
      <c r="A143" s="903">
        <v>850</v>
      </c>
      <c r="B143" s="1877">
        <v>750</v>
      </c>
      <c r="C143" s="60">
        <v>4681.5750390832682</v>
      </c>
      <c r="D143" s="61">
        <v>8037.094157766066</v>
      </c>
      <c r="E143" s="8"/>
      <c r="F143" s="8"/>
      <c r="G143" s="1"/>
      <c r="H143" s="1"/>
      <c r="I143" s="1"/>
      <c r="J143" s="1"/>
      <c r="K143" s="1"/>
    </row>
    <row r="144" spans="1:11" s="65" customFormat="1" ht="16.5" thickBot="1">
      <c r="A144" s="903">
        <v>900</v>
      </c>
      <c r="B144" s="1877">
        <v>800</v>
      </c>
      <c r="C144" s="60">
        <v>4837.2054462441583</v>
      </c>
      <c r="D144" s="61">
        <v>8348.3549720878455</v>
      </c>
      <c r="E144" s="8"/>
      <c r="F144" s="8"/>
      <c r="G144" s="1"/>
      <c r="H144" s="1"/>
      <c r="I144" s="1"/>
      <c r="J144" s="1"/>
      <c r="K144" s="1"/>
    </row>
    <row r="145" spans="1:11" s="65" customFormat="1" ht="16.5" thickBot="1">
      <c r="A145" s="903">
        <v>950</v>
      </c>
      <c r="B145" s="1877">
        <v>850</v>
      </c>
      <c r="C145" s="60">
        <v>4992.8358534050485</v>
      </c>
      <c r="D145" s="61">
        <v>8659.6157864096258</v>
      </c>
      <c r="E145" s="8"/>
      <c r="F145" s="8"/>
      <c r="G145" s="1"/>
      <c r="H145" s="1"/>
      <c r="I145" s="1"/>
      <c r="J145" s="1"/>
      <c r="K145" s="1"/>
    </row>
    <row r="146" spans="1:11" s="65" customFormat="1" ht="16.5" thickBot="1">
      <c r="A146" s="903">
        <v>1000</v>
      </c>
      <c r="B146" s="1877">
        <v>900</v>
      </c>
      <c r="C146" s="60">
        <v>5148.4662605659387</v>
      </c>
      <c r="D146" s="61">
        <v>8970.8766007314061</v>
      </c>
      <c r="E146" s="8"/>
      <c r="F146" s="8"/>
      <c r="G146" s="1"/>
      <c r="H146" s="1"/>
      <c r="I146" s="1"/>
      <c r="J146" s="1"/>
      <c r="K146" s="1"/>
    </row>
    <row r="147" spans="1:11" s="65" customFormat="1" ht="16.5" thickBot="1">
      <c r="A147" s="903">
        <v>1050</v>
      </c>
      <c r="B147" s="1877">
        <v>950</v>
      </c>
      <c r="C147" s="60">
        <v>5304.0966677268289</v>
      </c>
      <c r="D147" s="61">
        <v>9282.1374150531865</v>
      </c>
      <c r="E147" s="8"/>
      <c r="F147" s="8"/>
      <c r="G147" s="1"/>
      <c r="H147" s="1"/>
      <c r="I147" s="1"/>
      <c r="J147" s="1"/>
      <c r="K147" s="1"/>
    </row>
    <row r="148" spans="1:11" s="65" customFormat="1" ht="16.5" thickBot="1">
      <c r="A148" s="903">
        <v>1100</v>
      </c>
      <c r="B148" s="1877">
        <v>1000</v>
      </c>
      <c r="C148" s="60">
        <v>5459.727074887719</v>
      </c>
      <c r="D148" s="61">
        <v>9593.3982293749687</v>
      </c>
      <c r="E148" s="8"/>
      <c r="F148" s="8"/>
      <c r="G148" s="1"/>
      <c r="H148" s="1"/>
      <c r="I148" s="1"/>
      <c r="J148" s="1"/>
      <c r="K148" s="1"/>
    </row>
    <row r="149" spans="1:11" s="65" customFormat="1" ht="16.5" thickBot="1">
      <c r="A149" s="903">
        <v>1150</v>
      </c>
      <c r="B149" s="1877">
        <v>1050</v>
      </c>
      <c r="C149" s="60">
        <v>5615.3574820486092</v>
      </c>
      <c r="D149" s="61">
        <v>9904.659043696749</v>
      </c>
      <c r="E149" s="8"/>
      <c r="F149" s="8"/>
      <c r="G149" s="1"/>
      <c r="H149" s="1"/>
      <c r="I149" s="1"/>
      <c r="J149" s="1"/>
      <c r="K149" s="1"/>
    </row>
    <row r="150" spans="1:11" s="65" customFormat="1" ht="16.5" thickBot="1">
      <c r="A150" s="903">
        <v>1200</v>
      </c>
      <c r="B150" s="1877">
        <v>1100</v>
      </c>
      <c r="C150" s="60">
        <v>5805.3310637651475</v>
      </c>
      <c r="D150" s="61">
        <v>10273.683625990261</v>
      </c>
      <c r="E150" s="8"/>
      <c r="F150" s="8"/>
      <c r="G150" s="1"/>
      <c r="H150" s="1"/>
      <c r="I150" s="1"/>
      <c r="J150" s="1"/>
      <c r="K150" s="1"/>
    </row>
    <row r="151" spans="1:11" s="65" customFormat="1" ht="16.5" thickBot="1">
      <c r="A151" s="903">
        <v>1250</v>
      </c>
      <c r="B151" s="1877">
        <v>1150</v>
      </c>
      <c r="C151" s="60">
        <v>5960.9614709260377</v>
      </c>
      <c r="D151" s="61">
        <v>10584.944440312041</v>
      </c>
      <c r="E151" s="8"/>
      <c r="F151" s="8"/>
      <c r="G151" s="1"/>
      <c r="H151" s="1"/>
      <c r="I151" s="1"/>
      <c r="J151" s="1"/>
      <c r="K151" s="1"/>
    </row>
    <row r="152" spans="1:11" s="65" customFormat="1" ht="16.5" thickBot="1">
      <c r="A152" s="903">
        <v>1300</v>
      </c>
      <c r="B152" s="1877">
        <v>1200</v>
      </c>
      <c r="C152" s="60">
        <v>6116.5918780869279</v>
      </c>
      <c r="D152" s="61">
        <v>10896.205254633822</v>
      </c>
      <c r="E152" s="8"/>
      <c r="F152" s="8"/>
      <c r="G152" s="1"/>
      <c r="H152" s="1"/>
      <c r="I152" s="1"/>
      <c r="J152" s="1"/>
      <c r="K152" s="1"/>
    </row>
    <row r="153" spans="1:11" s="65" customFormat="1" ht="16.5" thickBot="1">
      <c r="A153" s="903">
        <v>1350</v>
      </c>
      <c r="B153" s="1877">
        <v>1250</v>
      </c>
      <c r="C153" s="60">
        <v>6272.2222852478171</v>
      </c>
      <c r="D153" s="61">
        <v>11207.466068955602</v>
      </c>
      <c r="E153" s="8"/>
      <c r="F153" s="8"/>
      <c r="G153" s="1"/>
      <c r="H153" s="1"/>
      <c r="I153" s="1"/>
      <c r="J153" s="1"/>
      <c r="K153" s="1"/>
    </row>
    <row r="154" spans="1:11" s="65" customFormat="1" ht="16.5" thickBot="1">
      <c r="A154" s="903">
        <v>1400</v>
      </c>
      <c r="B154" s="1877">
        <v>1300</v>
      </c>
      <c r="C154" s="60">
        <v>6427.8526924087073</v>
      </c>
      <c r="D154" s="61">
        <v>11518.726883277383</v>
      </c>
      <c r="E154" s="8"/>
      <c r="F154" s="8"/>
      <c r="G154" s="1"/>
      <c r="H154" s="1"/>
      <c r="I154" s="1"/>
      <c r="J154" s="1"/>
      <c r="K154" s="1"/>
    </row>
    <row r="155" spans="1:11" s="65" customFormat="1" ht="16.5" thickBot="1">
      <c r="A155" s="903">
        <v>1450</v>
      </c>
      <c r="B155" s="1877">
        <v>1350</v>
      </c>
      <c r="C155" s="60">
        <v>6583.4830995695975</v>
      </c>
      <c r="D155" s="61">
        <v>11829.987697599163</v>
      </c>
      <c r="E155" s="8"/>
      <c r="F155" s="8"/>
      <c r="G155" s="1"/>
      <c r="H155" s="1"/>
      <c r="I155" s="1"/>
      <c r="J155" s="1"/>
      <c r="K155" s="1"/>
    </row>
    <row r="156" spans="1:11" s="65" customFormat="1" ht="16.5" thickBot="1">
      <c r="A156" s="903">
        <v>1500</v>
      </c>
      <c r="B156" s="1877">
        <v>1400</v>
      </c>
      <c r="C156" s="60">
        <v>6739.1135067304876</v>
      </c>
      <c r="D156" s="61">
        <v>12141.248511920943</v>
      </c>
      <c r="E156" s="8"/>
      <c r="F156" s="8"/>
      <c r="G156" s="1"/>
      <c r="H156" s="1"/>
      <c r="I156" s="1"/>
      <c r="J156" s="1"/>
      <c r="K156" s="1"/>
    </row>
    <row r="157" spans="1:11" s="65" customFormat="1" ht="16.5" thickBot="1">
      <c r="A157" s="903">
        <v>1550</v>
      </c>
      <c r="B157" s="1877">
        <v>1450</v>
      </c>
      <c r="C157" s="60">
        <v>6894.7439138913778</v>
      </c>
      <c r="D157" s="61">
        <v>12452.509326242724</v>
      </c>
      <c r="E157" s="8"/>
      <c r="F157" s="8"/>
      <c r="G157" s="1"/>
      <c r="H157" s="1"/>
      <c r="I157" s="1"/>
      <c r="J157" s="1"/>
      <c r="K157" s="1"/>
    </row>
    <row r="158" spans="1:11" s="65" customFormat="1" ht="16.5" thickBot="1">
      <c r="A158" s="903">
        <v>1600</v>
      </c>
      <c r="B158" s="1877">
        <v>1500</v>
      </c>
      <c r="C158" s="60">
        <v>7050.374321052268</v>
      </c>
      <c r="D158" s="61">
        <v>12763.770140564502</v>
      </c>
      <c r="E158" s="8"/>
      <c r="F158" s="8"/>
      <c r="G158" s="1"/>
      <c r="H158" s="1"/>
      <c r="I158" s="1"/>
      <c r="J158" s="1"/>
      <c r="K158" s="1"/>
    </row>
    <row r="159" spans="1:11" s="65" customFormat="1" ht="16.5" thickBot="1">
      <c r="A159" s="903">
        <v>1650</v>
      </c>
      <c r="B159" s="1877">
        <v>1550</v>
      </c>
      <c r="C159" s="60">
        <v>7206.0047282131582</v>
      </c>
      <c r="D159" s="61">
        <v>13075.030954886284</v>
      </c>
      <c r="E159" s="8"/>
      <c r="F159" s="8"/>
      <c r="G159" s="1"/>
      <c r="H159" s="1"/>
      <c r="I159" s="1"/>
      <c r="J159" s="1"/>
      <c r="K159" s="1"/>
    </row>
    <row r="160" spans="1:11" s="65" customFormat="1" ht="16.5" thickBot="1">
      <c r="A160" s="903">
        <v>1700</v>
      </c>
      <c r="B160" s="1877">
        <v>1600</v>
      </c>
      <c r="C160" s="60">
        <v>7361.6351353740483</v>
      </c>
      <c r="D160" s="61">
        <v>13386.291769208065</v>
      </c>
      <c r="E160" s="8"/>
      <c r="F160" s="8"/>
      <c r="G160" s="1"/>
      <c r="H160" s="1"/>
      <c r="I160" s="1"/>
      <c r="J160" s="1"/>
      <c r="K160" s="1"/>
    </row>
    <row r="161" spans="1:11" s="65" customFormat="1" ht="16.5" thickBot="1">
      <c r="A161" s="903">
        <v>1750</v>
      </c>
      <c r="B161" s="1877">
        <v>1650</v>
      </c>
      <c r="C161" s="60">
        <v>7517.2653895061731</v>
      </c>
      <c r="D161" s="61">
        <v>13697.552583529845</v>
      </c>
      <c r="E161" s="8"/>
      <c r="F161" s="8"/>
      <c r="G161" s="1"/>
      <c r="H161" s="1"/>
      <c r="I161" s="1"/>
      <c r="J161" s="1"/>
      <c r="K161" s="1"/>
    </row>
    <row r="162" spans="1:11" s="65" customFormat="1" ht="16.5" thickBot="1">
      <c r="A162" s="903">
        <v>1800</v>
      </c>
      <c r="B162" s="1877">
        <v>1700</v>
      </c>
      <c r="C162" s="60">
        <v>7672.8957966670632</v>
      </c>
      <c r="D162" s="61">
        <v>14008.813397851625</v>
      </c>
      <c r="E162" s="8"/>
      <c r="F162" s="8"/>
      <c r="G162" s="1"/>
      <c r="H162" s="1"/>
      <c r="I162" s="1"/>
      <c r="J162" s="1"/>
      <c r="K162" s="1"/>
    </row>
    <row r="163" spans="1:11" s="65" customFormat="1" ht="16.5" thickBot="1">
      <c r="A163" s="903">
        <v>1850</v>
      </c>
      <c r="B163" s="1877">
        <v>1750</v>
      </c>
      <c r="C163" s="60">
        <v>7828.5262038279534</v>
      </c>
      <c r="D163" s="61">
        <v>14320.074212173406</v>
      </c>
      <c r="E163" s="8"/>
      <c r="F163" s="8"/>
      <c r="G163" s="1"/>
      <c r="H163" s="1"/>
      <c r="I163" s="1"/>
      <c r="J163" s="1"/>
      <c r="K163" s="1"/>
    </row>
    <row r="164" spans="1:11" s="65" customFormat="1" ht="16.5" thickBot="1">
      <c r="A164" s="903">
        <v>1900</v>
      </c>
      <c r="B164" s="1877">
        <v>1800</v>
      </c>
      <c r="C164" s="60">
        <v>7984.1566109888436</v>
      </c>
      <c r="D164" s="61">
        <v>14631.335026495186</v>
      </c>
      <c r="E164" s="8"/>
      <c r="F164" s="8"/>
      <c r="G164" s="1"/>
      <c r="H164" s="1"/>
      <c r="I164" s="1"/>
      <c r="J164" s="1"/>
      <c r="K164" s="1"/>
    </row>
    <row r="165" spans="1:11" s="65" customFormat="1" ht="16.5" thickBot="1">
      <c r="A165" s="903">
        <v>1950</v>
      </c>
      <c r="B165" s="1877">
        <v>1850</v>
      </c>
      <c r="C165" s="60">
        <v>8174.1301927053828</v>
      </c>
      <c r="D165" s="61">
        <v>15000.359608788702</v>
      </c>
      <c r="E165" s="8"/>
      <c r="F165" s="8"/>
      <c r="G165" s="1"/>
      <c r="H165" s="1"/>
      <c r="I165" s="1"/>
      <c r="J165" s="1"/>
      <c r="K165" s="1"/>
    </row>
    <row r="166" spans="1:11" s="65" customFormat="1" ht="16.5" thickBot="1">
      <c r="A166" s="903">
        <v>2000</v>
      </c>
      <c r="B166" s="1877">
        <v>1900</v>
      </c>
      <c r="C166" s="60">
        <v>8329.760599866273</v>
      </c>
      <c r="D166" s="61">
        <v>15311.620423110482</v>
      </c>
      <c r="E166" s="8"/>
      <c r="F166" s="8"/>
      <c r="G166" s="1"/>
      <c r="H166" s="1"/>
      <c r="I166" s="1"/>
      <c r="J166" s="1"/>
      <c r="K166" s="1"/>
    </row>
    <row r="167" spans="1:11" s="65" customFormat="1" ht="16.5" thickBot="1">
      <c r="A167" s="903">
        <v>2050</v>
      </c>
      <c r="B167" s="1877">
        <v>1950</v>
      </c>
      <c r="C167" s="60">
        <v>8485.3910070271631</v>
      </c>
      <c r="D167" s="61">
        <v>15622.881237432262</v>
      </c>
      <c r="E167" s="8"/>
      <c r="F167" s="8"/>
      <c r="G167" s="1"/>
      <c r="H167" s="1"/>
      <c r="I167" s="1"/>
      <c r="J167" s="1"/>
      <c r="K167" s="1"/>
    </row>
    <row r="168" spans="1:11" s="65" customFormat="1" ht="16.5" thickBot="1">
      <c r="A168" s="903">
        <v>2100</v>
      </c>
      <c r="B168" s="1877">
        <v>2000</v>
      </c>
      <c r="C168" s="60">
        <v>8641.0214141880515</v>
      </c>
      <c r="D168" s="61">
        <v>15934.142051754043</v>
      </c>
      <c r="E168" s="8"/>
      <c r="F168" s="8"/>
      <c r="G168" s="1"/>
      <c r="H168" s="1"/>
      <c r="I168" s="1"/>
      <c r="J168" s="1"/>
      <c r="K168" s="1"/>
    </row>
    <row r="169" spans="1:11" s="65" customFormat="1" ht="16.5" thickBot="1">
      <c r="A169" s="903">
        <v>2150</v>
      </c>
      <c r="B169" s="1877">
        <v>2050</v>
      </c>
      <c r="C169" s="60">
        <v>8796.6518213489417</v>
      </c>
      <c r="D169" s="61">
        <v>16245.402866075823</v>
      </c>
      <c r="E169" s="8"/>
      <c r="F169" s="8"/>
      <c r="G169" s="1"/>
      <c r="H169" s="1"/>
      <c r="I169" s="1"/>
      <c r="J169" s="1"/>
      <c r="K169" s="1"/>
    </row>
    <row r="170" spans="1:11" s="65" customFormat="1" ht="16.5" thickBot="1">
      <c r="A170" s="903">
        <v>2200</v>
      </c>
      <c r="B170" s="1877">
        <v>2100</v>
      </c>
      <c r="C170" s="60">
        <v>8952.2822285098318</v>
      </c>
      <c r="D170" s="61">
        <v>16556.663680397603</v>
      </c>
      <c r="E170" s="8"/>
      <c r="F170" s="8"/>
      <c r="G170" s="1"/>
      <c r="H170" s="1"/>
      <c r="I170" s="1"/>
      <c r="J170" s="1"/>
      <c r="K170" s="1"/>
    </row>
    <row r="171" spans="1:11" s="65" customFormat="1" ht="16.5" thickBot="1">
      <c r="A171" s="903">
        <v>2250</v>
      </c>
      <c r="B171" s="1877">
        <v>2150</v>
      </c>
      <c r="C171" s="60">
        <v>9107.912635670722</v>
      </c>
      <c r="D171" s="61">
        <v>16867.924494719384</v>
      </c>
      <c r="E171" s="8"/>
      <c r="F171" s="8"/>
      <c r="G171" s="1"/>
      <c r="H171" s="1"/>
      <c r="I171" s="1"/>
      <c r="J171" s="1"/>
      <c r="K171" s="1"/>
    </row>
    <row r="172" spans="1:11" s="65" customFormat="1" ht="16.5" thickBot="1">
      <c r="A172" s="903">
        <v>2300</v>
      </c>
      <c r="B172" s="1877">
        <v>2200</v>
      </c>
      <c r="C172" s="60">
        <v>9263.5430428316122</v>
      </c>
      <c r="D172" s="61">
        <v>17179.185309041164</v>
      </c>
      <c r="E172" s="8"/>
      <c r="F172" s="8"/>
      <c r="G172" s="1"/>
      <c r="H172" s="1"/>
      <c r="I172" s="1"/>
      <c r="J172" s="1"/>
      <c r="K172" s="1"/>
    </row>
    <row r="173" spans="1:11" s="65" customFormat="1" ht="16.5" thickBot="1">
      <c r="A173" s="903">
        <v>2350</v>
      </c>
      <c r="B173" s="1877">
        <v>2250</v>
      </c>
      <c r="C173" s="60">
        <v>9419.1734499925024</v>
      </c>
      <c r="D173" s="61">
        <v>17490.446123362941</v>
      </c>
      <c r="E173" s="8"/>
      <c r="F173" s="8"/>
      <c r="G173" s="1"/>
      <c r="H173" s="1"/>
      <c r="I173" s="1"/>
      <c r="J173" s="1"/>
      <c r="K173" s="1"/>
    </row>
    <row r="174" spans="1:11" s="65" customFormat="1" ht="16.5" thickBot="1">
      <c r="A174" s="903">
        <v>2400</v>
      </c>
      <c r="B174" s="1877">
        <v>2300</v>
      </c>
      <c r="C174" s="60">
        <v>9574.8038571533925</v>
      </c>
      <c r="D174" s="61">
        <v>17801.706937684721</v>
      </c>
      <c r="E174" s="8"/>
      <c r="F174" s="8"/>
      <c r="G174" s="1"/>
      <c r="H174" s="1"/>
      <c r="I174" s="1"/>
      <c r="J174" s="1"/>
      <c r="K174" s="1"/>
    </row>
    <row r="175" spans="1:11" s="65" customFormat="1" ht="16.5" thickBot="1">
      <c r="A175" s="903">
        <v>2450</v>
      </c>
      <c r="B175" s="1877">
        <v>2350</v>
      </c>
      <c r="C175" s="60">
        <v>9730.4342643142827</v>
      </c>
      <c r="D175" s="61">
        <v>18112.967752006502</v>
      </c>
      <c r="E175" s="8"/>
      <c r="F175" s="8"/>
      <c r="G175" s="1"/>
      <c r="H175" s="1"/>
      <c r="I175" s="1"/>
      <c r="J175" s="1"/>
      <c r="K175" s="1"/>
    </row>
    <row r="176" spans="1:11" s="65" customFormat="1" ht="16.5" thickBot="1">
      <c r="A176" s="903">
        <v>2500</v>
      </c>
      <c r="B176" s="1877">
        <v>2400</v>
      </c>
      <c r="C176" s="60">
        <v>9886.0646714751729</v>
      </c>
      <c r="D176" s="61">
        <v>18424.228566328282</v>
      </c>
      <c r="E176" s="8"/>
      <c r="F176" s="8"/>
      <c r="G176" s="1"/>
      <c r="H176" s="1"/>
      <c r="I176" s="1"/>
      <c r="J176" s="1"/>
      <c r="K176" s="1"/>
    </row>
    <row r="177" spans="1:11" s="65" customFormat="1" ht="16.5" thickBot="1">
      <c r="A177" s="903">
        <v>2550</v>
      </c>
      <c r="B177" s="1877">
        <v>2450</v>
      </c>
      <c r="C177" s="60">
        <v>10041.695078636063</v>
      </c>
      <c r="D177" s="61">
        <v>18735.489380650062</v>
      </c>
      <c r="E177" s="8"/>
      <c r="F177" s="8"/>
      <c r="G177" s="1"/>
      <c r="H177" s="1"/>
      <c r="I177" s="1"/>
      <c r="J177" s="1"/>
      <c r="K177" s="1"/>
    </row>
    <row r="178" spans="1:11" s="65" customFormat="1" ht="16.5" thickBot="1">
      <c r="A178" s="903">
        <v>2600</v>
      </c>
      <c r="B178" s="1877">
        <v>2500</v>
      </c>
      <c r="C178" s="60">
        <v>10197.325485796953</v>
      </c>
      <c r="D178" s="61">
        <v>19046.750194971843</v>
      </c>
      <c r="E178" s="8"/>
      <c r="F178" s="8"/>
      <c r="G178" s="1"/>
      <c r="H178" s="1"/>
      <c r="I178" s="1"/>
      <c r="J178" s="1"/>
      <c r="K178" s="1"/>
    </row>
    <row r="179" spans="1:11" s="65" customFormat="1" ht="16.5" thickBot="1">
      <c r="A179" s="903">
        <v>2650</v>
      </c>
      <c r="B179" s="1877">
        <v>2550</v>
      </c>
      <c r="C179" s="60">
        <v>10352.955892957843</v>
      </c>
      <c r="D179" s="61">
        <v>19358.011009293623</v>
      </c>
      <c r="E179" s="8"/>
      <c r="F179" s="8"/>
      <c r="G179" s="1"/>
      <c r="H179" s="1"/>
      <c r="I179" s="1"/>
      <c r="J179" s="1"/>
      <c r="K179" s="1"/>
    </row>
    <row r="180" spans="1:11" s="65" customFormat="1" ht="16.5" thickBot="1">
      <c r="A180" s="903">
        <v>2700</v>
      </c>
      <c r="B180" s="1877">
        <v>2600</v>
      </c>
      <c r="C180" s="60">
        <v>10542.929474674384</v>
      </c>
      <c r="D180" s="61">
        <v>19727.035438558374</v>
      </c>
      <c r="E180" s="8"/>
      <c r="F180" s="8"/>
      <c r="G180" s="1"/>
      <c r="H180" s="1"/>
      <c r="I180" s="1"/>
      <c r="J180" s="1"/>
      <c r="K180" s="1"/>
    </row>
    <row r="181" spans="1:11" s="65" customFormat="1" ht="16.5" thickBot="1">
      <c r="A181" s="903">
        <v>2750</v>
      </c>
      <c r="B181" s="1877">
        <v>2650</v>
      </c>
      <c r="C181" s="60">
        <v>10698.559881835274</v>
      </c>
      <c r="D181" s="61">
        <v>20038.296252880154</v>
      </c>
      <c r="E181" s="8"/>
      <c r="F181" s="8"/>
      <c r="G181" s="1"/>
      <c r="H181" s="1"/>
      <c r="I181" s="1"/>
      <c r="J181" s="1"/>
      <c r="K181" s="1"/>
    </row>
    <row r="182" spans="1:11" s="65" customFormat="1" ht="16.5" thickBot="1">
      <c r="A182" s="903">
        <v>2800</v>
      </c>
      <c r="B182" s="1877">
        <v>2700</v>
      </c>
      <c r="C182" s="60">
        <v>10854.190288996162</v>
      </c>
      <c r="D182" s="61">
        <v>20349.557067201935</v>
      </c>
      <c r="E182" s="8"/>
      <c r="F182" s="8"/>
      <c r="G182" s="1"/>
      <c r="H182" s="1"/>
      <c r="I182" s="1"/>
      <c r="J182" s="1"/>
      <c r="K182" s="1"/>
    </row>
    <row r="183" spans="1:11" s="65" customFormat="1" ht="16.5" thickBot="1">
      <c r="A183" s="903">
        <v>2850</v>
      </c>
      <c r="B183" s="1877">
        <v>2750</v>
      </c>
      <c r="C183" s="60">
        <v>11009.820696157052</v>
      </c>
      <c r="D183" s="61">
        <v>20660.817881523715</v>
      </c>
      <c r="E183" s="8"/>
      <c r="F183" s="8"/>
      <c r="G183" s="1"/>
      <c r="H183" s="1"/>
      <c r="I183" s="1"/>
      <c r="J183" s="1"/>
      <c r="K183" s="1"/>
    </row>
    <row r="184" spans="1:11" s="65" customFormat="1" ht="16.5" thickBot="1">
      <c r="A184" s="903">
        <v>2900</v>
      </c>
      <c r="B184" s="1877">
        <v>2800</v>
      </c>
      <c r="C184" s="60">
        <v>11165.451103317942</v>
      </c>
      <c r="D184" s="61">
        <v>20972.078695845496</v>
      </c>
      <c r="E184" s="8"/>
      <c r="F184" s="8"/>
      <c r="G184" s="1"/>
      <c r="H184" s="1"/>
      <c r="I184" s="1"/>
      <c r="J184" s="1"/>
      <c r="K184" s="1"/>
    </row>
    <row r="185" spans="1:11" s="65" customFormat="1" ht="16.5" thickBot="1">
      <c r="A185" s="903">
        <v>2950</v>
      </c>
      <c r="B185" s="1877">
        <v>2850</v>
      </c>
      <c r="C185" s="60">
        <v>11321.081510478833</v>
      </c>
      <c r="D185" s="61">
        <v>21283.339510167276</v>
      </c>
      <c r="E185" s="8"/>
      <c r="F185" s="8"/>
      <c r="G185" s="1"/>
      <c r="H185" s="1"/>
      <c r="I185" s="1"/>
      <c r="J185" s="1"/>
      <c r="K185" s="1"/>
    </row>
    <row r="186" spans="1:11" s="65" customFormat="1" ht="16.5" thickBot="1">
      <c r="A186" s="903">
        <v>3000</v>
      </c>
      <c r="B186" s="1877">
        <v>2900</v>
      </c>
      <c r="C186" s="62">
        <v>11476.711917639723</v>
      </c>
      <c r="D186" s="63">
        <v>21594.600324489056</v>
      </c>
      <c r="E186" s="8"/>
      <c r="F186" s="8"/>
      <c r="G186" s="1"/>
      <c r="H186" s="1"/>
      <c r="I186" s="1"/>
      <c r="J186" s="1"/>
      <c r="K186" s="1"/>
    </row>
  </sheetData>
  <mergeCells count="29">
    <mergeCell ref="A64:F65"/>
    <mergeCell ref="A66:B66"/>
    <mergeCell ref="A67:B67"/>
    <mergeCell ref="A68:B68"/>
    <mergeCell ref="A69:B69"/>
    <mergeCell ref="A70:A71"/>
    <mergeCell ref="B70:B71"/>
    <mergeCell ref="A72:E74"/>
    <mergeCell ref="F72:F74"/>
    <mergeCell ref="A133:C135"/>
    <mergeCell ref="D133:D135"/>
    <mergeCell ref="C71:F71"/>
    <mergeCell ref="A127:B127"/>
    <mergeCell ref="A128:B128"/>
    <mergeCell ref="C132:D132"/>
    <mergeCell ref="A129:B129"/>
    <mergeCell ref="A130:B130"/>
    <mergeCell ref="A131:A132"/>
    <mergeCell ref="B131:B132"/>
    <mergeCell ref="A10:E12"/>
    <mergeCell ref="F10:F12"/>
    <mergeCell ref="G1:K3"/>
    <mergeCell ref="C9:F9"/>
    <mergeCell ref="A5:B5"/>
    <mergeCell ref="A4:B4"/>
    <mergeCell ref="A6:B6"/>
    <mergeCell ref="A7:B7"/>
    <mergeCell ref="A8:A9"/>
    <mergeCell ref="B8:B9"/>
  </mergeCells>
  <hyperlinks>
    <hyperlink ref="A1" location="Главная!A1" display="Вернуться на главную страницу" xr:uid="{00000000-0004-0000-2600-000000000000}"/>
  </hyperlink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Лист55">
    <tabColor rgb="FF00B0F0"/>
  </sheetPr>
  <dimension ref="A1:I246"/>
  <sheetViews>
    <sheetView zoomScale="85" zoomScaleNormal="85" workbookViewId="0">
      <selection activeCell="F42" sqref="F42"/>
    </sheetView>
  </sheetViews>
  <sheetFormatPr defaultColWidth="9.140625" defaultRowHeight="15.75"/>
  <cols>
    <col min="1" max="1" width="16.7109375" style="7" customWidth="1"/>
    <col min="2" max="2" width="16.85546875" style="7" bestFit="1" customWidth="1"/>
    <col min="3" max="6" width="40.7109375" style="8" customWidth="1"/>
    <col min="7" max="7" width="9.5703125" style="65" bestFit="1" customWidth="1"/>
    <col min="8" max="16384" width="9.140625" style="65"/>
  </cols>
  <sheetData>
    <row r="1" spans="1:9">
      <c r="A1" s="835" t="s">
        <v>9</v>
      </c>
      <c r="B1" s="835"/>
    </row>
    <row r="2" spans="1:9" ht="16.5" thickBot="1">
      <c r="A2" s="16"/>
      <c r="B2" s="16"/>
    </row>
    <row r="3" spans="1:9" ht="24.75" customHeight="1" thickBot="1">
      <c r="A3" s="3293" t="s">
        <v>55</v>
      </c>
      <c r="B3" s="3294"/>
      <c r="C3" s="3297" t="s">
        <v>348</v>
      </c>
      <c r="D3" s="3298"/>
      <c r="E3" s="3298"/>
      <c r="F3" s="3299"/>
    </row>
    <row r="4" spans="1:9" ht="126.75" customHeight="1" thickBot="1">
      <c r="A4" s="3295" t="s">
        <v>54</v>
      </c>
      <c r="B4" s="3296"/>
      <c r="C4" s="64"/>
      <c r="D4" s="64"/>
      <c r="E4" s="64"/>
      <c r="F4" s="64"/>
    </row>
    <row r="5" spans="1:9" ht="32.25" customHeight="1" thickBot="1">
      <c r="A5" s="837"/>
      <c r="B5" s="838"/>
      <c r="C5" s="896" t="s">
        <v>349</v>
      </c>
      <c r="D5" s="897" t="s">
        <v>350</v>
      </c>
      <c r="E5" s="896" t="s">
        <v>351</v>
      </c>
      <c r="F5" s="897" t="s">
        <v>352</v>
      </c>
    </row>
    <row r="6" spans="1:9" ht="126.75" customHeight="1" thickBot="1">
      <c r="A6" s="3295" t="s">
        <v>56</v>
      </c>
      <c r="B6" s="3296"/>
      <c r="C6" s="64"/>
      <c r="D6" s="64"/>
      <c r="E6" s="64"/>
      <c r="F6" s="64"/>
    </row>
    <row r="7" spans="1:9" ht="16.5" thickBot="1">
      <c r="A7" s="3300"/>
      <c r="B7" s="3300"/>
      <c r="C7" s="3235" t="s">
        <v>53</v>
      </c>
      <c r="D7" s="3236"/>
      <c r="E7" s="3236"/>
      <c r="F7" s="3237"/>
    </row>
    <row r="8" spans="1:9" ht="32.25" customHeight="1" thickBot="1">
      <c r="A8" s="3300"/>
      <c r="B8" s="3300"/>
      <c r="C8" s="79">
        <v>2100</v>
      </c>
      <c r="D8" s="80">
        <v>2200</v>
      </c>
      <c r="E8" s="80">
        <v>2300</v>
      </c>
      <c r="F8" s="81">
        <v>2600</v>
      </c>
    </row>
    <row r="9" spans="1:9" ht="32.25" customHeight="1">
      <c r="A9" s="898"/>
      <c r="B9" s="898"/>
      <c r="C9" s="3292" t="s">
        <v>365</v>
      </c>
      <c r="D9" s="3292"/>
      <c r="E9" s="3292"/>
      <c r="F9" s="3292"/>
    </row>
    <row r="10" spans="1:9" ht="32.25" customHeight="1" thickBot="1">
      <c r="A10" s="65"/>
      <c r="B10" s="65"/>
      <c r="C10" s="65"/>
      <c r="D10" s="65"/>
      <c r="E10" s="65"/>
      <c r="F10" s="65"/>
    </row>
    <row r="11" spans="1:9" ht="32.25" customHeight="1" thickBot="1">
      <c r="A11" s="836"/>
      <c r="B11" s="836"/>
      <c r="C11" s="896" t="s">
        <v>353</v>
      </c>
      <c r="D11" s="897" t="s">
        <v>354</v>
      </c>
      <c r="E11" s="896" t="s">
        <v>355</v>
      </c>
      <c r="F11" s="897" t="s">
        <v>356</v>
      </c>
    </row>
    <row r="12" spans="1:9" ht="126.75" customHeight="1" thickBot="1">
      <c r="A12" s="3295" t="s">
        <v>347</v>
      </c>
      <c r="B12" s="3296"/>
      <c r="C12" s="64"/>
      <c r="D12" s="64"/>
      <c r="E12" s="64"/>
      <c r="F12" s="64"/>
      <c r="I12" s="65" t="s">
        <v>357</v>
      </c>
    </row>
    <row r="13" spans="1:9" ht="16.5" thickBot="1">
      <c r="A13" s="3300"/>
      <c r="B13" s="3300"/>
      <c r="C13" s="3235" t="s">
        <v>53</v>
      </c>
      <c r="D13" s="3236"/>
      <c r="E13" s="3236"/>
      <c r="F13" s="3237"/>
    </row>
    <row r="14" spans="1:9" ht="32.25" customHeight="1" thickBot="1">
      <c r="A14" s="3300"/>
      <c r="B14" s="3300"/>
      <c r="C14" s="79">
        <v>1000</v>
      </c>
      <c r="D14" s="80">
        <v>1100</v>
      </c>
      <c r="E14" s="80">
        <v>1200</v>
      </c>
      <c r="F14" s="81">
        <v>1300</v>
      </c>
    </row>
    <row r="15" spans="1:9" ht="21">
      <c r="A15" s="27"/>
      <c r="B15" s="27"/>
      <c r="C15" s="3292" t="s">
        <v>366</v>
      </c>
      <c r="D15" s="3292"/>
      <c r="E15" s="3292"/>
      <c r="F15" s="1113"/>
    </row>
    <row r="16" spans="1:9" thickBot="1">
      <c r="A16" s="65"/>
      <c r="B16" s="65"/>
      <c r="C16" s="65"/>
      <c r="D16" s="65"/>
      <c r="E16" s="65"/>
      <c r="F16" s="65"/>
    </row>
    <row r="17" spans="1:8" ht="15" customHeight="1">
      <c r="A17" s="3285" t="s">
        <v>434</v>
      </c>
      <c r="B17" s="3301"/>
      <c r="C17" s="3289"/>
      <c r="D17" s="3289"/>
      <c r="E17" s="3289"/>
      <c r="F17" s="65"/>
    </row>
    <row r="18" spans="1:8" ht="15" customHeight="1">
      <c r="A18" s="3287"/>
      <c r="B18" s="3302"/>
      <c r="C18" s="3290"/>
      <c r="D18" s="3290"/>
      <c r="E18" s="3290"/>
      <c r="F18" s="65"/>
    </row>
    <row r="19" spans="1:8" ht="15" customHeight="1">
      <c r="A19" s="3287"/>
      <c r="B19" s="3302"/>
      <c r="C19" s="3290"/>
      <c r="D19" s="3290"/>
      <c r="E19" s="3290"/>
      <c r="F19" s="65"/>
    </row>
    <row r="20" spans="1:8" ht="15" customHeight="1">
      <c r="A20" s="3287"/>
      <c r="B20" s="3302"/>
      <c r="C20" s="3290"/>
      <c r="D20" s="3290"/>
      <c r="E20" s="3290"/>
      <c r="F20" s="65"/>
    </row>
    <row r="21" spans="1:8" ht="15" customHeight="1">
      <c r="A21" s="3287"/>
      <c r="B21" s="3302"/>
      <c r="C21" s="3290"/>
      <c r="D21" s="3290"/>
      <c r="E21" s="3290"/>
      <c r="F21" s="65"/>
    </row>
    <row r="22" spans="1:8" ht="15" customHeight="1">
      <c r="A22" s="3287"/>
      <c r="B22" s="3302"/>
      <c r="C22" s="3290"/>
      <c r="D22" s="3290"/>
      <c r="E22" s="3290"/>
      <c r="F22" s="1113"/>
      <c r="G22" s="1113"/>
      <c r="H22" s="1113"/>
    </row>
    <row r="23" spans="1:8" ht="15" customHeight="1">
      <c r="A23" s="3287"/>
      <c r="B23" s="3302"/>
      <c r="C23" s="3290"/>
      <c r="D23" s="3290"/>
      <c r="E23" s="3290"/>
      <c r="F23" s="1113"/>
      <c r="G23" s="1113"/>
      <c r="H23" s="1113"/>
    </row>
    <row r="24" spans="1:8" ht="15.75" customHeight="1" thickBot="1">
      <c r="A24" s="3303"/>
      <c r="B24" s="3304"/>
      <c r="C24" s="3291"/>
      <c r="D24" s="3291"/>
      <c r="E24" s="3291"/>
      <c r="F24" s="1113"/>
      <c r="G24" s="1113"/>
      <c r="H24" s="1113"/>
    </row>
    <row r="25" spans="1:8" ht="16.5" thickBot="1">
      <c r="A25" s="65"/>
      <c r="B25" s="65"/>
      <c r="C25" s="3235" t="s">
        <v>53</v>
      </c>
      <c r="D25" s="3236"/>
      <c r="E25" s="3237"/>
      <c r="F25" s="1113"/>
      <c r="G25" s="1113"/>
      <c r="H25" s="1113"/>
    </row>
    <row r="26" spans="1:8" ht="21.75" thickBot="1">
      <c r="A26" s="65"/>
      <c r="B26" s="65"/>
      <c r="C26" s="1114">
        <v>650</v>
      </c>
      <c r="D26" s="1115">
        <v>400</v>
      </c>
      <c r="E26" s="1115">
        <v>400</v>
      </c>
      <c r="F26" s="1113"/>
      <c r="G26" s="1113"/>
      <c r="H26" s="1113"/>
    </row>
    <row r="27" spans="1:8" ht="21">
      <c r="A27" s="65"/>
      <c r="B27" s="65"/>
      <c r="C27" s="3282" t="s">
        <v>427</v>
      </c>
      <c r="D27" s="3282"/>
      <c r="E27" s="1113"/>
      <c r="F27" s="1113"/>
      <c r="G27" s="1113"/>
      <c r="H27" s="1113"/>
    </row>
    <row r="28" spans="1:8" thickBot="1">
      <c r="A28" s="65"/>
      <c r="B28" s="65"/>
      <c r="C28" s="65"/>
      <c r="D28" s="65"/>
      <c r="E28" s="65"/>
      <c r="F28" s="65"/>
    </row>
    <row r="29" spans="1:8" ht="15.75" customHeight="1">
      <c r="A29" s="3285" t="s">
        <v>7624</v>
      </c>
      <c r="B29" s="3286"/>
      <c r="C29" s="3289"/>
      <c r="D29" s="3289"/>
      <c r="E29" s="3277"/>
      <c r="F29" s="1113"/>
      <c r="G29" s="1113"/>
    </row>
    <row r="30" spans="1:8" ht="15.75" customHeight="1">
      <c r="A30" s="3287"/>
      <c r="B30" s="3288"/>
      <c r="C30" s="3290"/>
      <c r="D30" s="3290"/>
      <c r="E30" s="3278"/>
      <c r="F30" s="1113"/>
      <c r="G30" s="1113"/>
    </row>
    <row r="31" spans="1:8" ht="15.75" customHeight="1">
      <c r="A31" s="3287"/>
      <c r="B31" s="3288"/>
      <c r="C31" s="3290"/>
      <c r="D31" s="3290"/>
      <c r="E31" s="3278"/>
      <c r="F31" s="1113"/>
      <c r="G31" s="1113"/>
    </row>
    <row r="32" spans="1:8" ht="15.75" customHeight="1">
      <c r="A32" s="3287"/>
      <c r="B32" s="3288"/>
      <c r="C32" s="3290"/>
      <c r="D32" s="3290"/>
      <c r="E32" s="3278"/>
      <c r="F32" s="1113"/>
      <c r="G32" s="1113"/>
    </row>
    <row r="33" spans="1:6" ht="15.75" customHeight="1">
      <c r="A33" s="3287"/>
      <c r="B33" s="3288"/>
      <c r="C33" s="3290"/>
      <c r="D33" s="3290"/>
      <c r="E33" s="3278"/>
      <c r="F33" s="65"/>
    </row>
    <row r="34" spans="1:6" ht="15.75" customHeight="1">
      <c r="A34" s="3287"/>
      <c r="B34" s="3288"/>
      <c r="C34" s="3290"/>
      <c r="D34" s="3290"/>
      <c r="E34" s="3278"/>
      <c r="F34" s="65"/>
    </row>
    <row r="35" spans="1:6" ht="15.75" customHeight="1">
      <c r="A35" s="3287"/>
      <c r="B35" s="3288"/>
      <c r="C35" s="3290"/>
      <c r="D35" s="3290"/>
      <c r="E35" s="3278"/>
      <c r="F35" s="65"/>
    </row>
    <row r="36" spans="1:6" ht="34.5" customHeight="1" thickBot="1">
      <c r="A36" s="3287"/>
      <c r="B36" s="3288"/>
      <c r="C36" s="3291"/>
      <c r="D36" s="3291"/>
      <c r="E36" s="3279"/>
      <c r="F36" s="65"/>
    </row>
    <row r="37" spans="1:6" ht="30" customHeight="1" thickBot="1">
      <c r="A37" s="3280" t="s">
        <v>7625</v>
      </c>
      <c r="B37" s="3281"/>
      <c r="C37" s="1115">
        <v>450</v>
      </c>
      <c r="D37" s="1896">
        <v>550</v>
      </c>
      <c r="E37" s="1896">
        <v>650</v>
      </c>
    </row>
    <row r="38" spans="1:6" ht="30" customHeight="1" thickBot="1">
      <c r="A38" s="3280" t="s">
        <v>7626</v>
      </c>
      <c r="B38" s="3281"/>
      <c r="C38" s="1115">
        <v>650</v>
      </c>
      <c r="D38" s="1896">
        <v>850</v>
      </c>
      <c r="E38" s="1896">
        <v>1000</v>
      </c>
      <c r="F38" s="65"/>
    </row>
    <row r="39" spans="1:6" ht="47.25" customHeight="1" thickBot="1">
      <c r="A39" s="3283" t="s">
        <v>7627</v>
      </c>
      <c r="B39" s="3284"/>
      <c r="C39" s="186">
        <v>20</v>
      </c>
      <c r="D39" s="1897">
        <v>40</v>
      </c>
      <c r="E39" s="186">
        <v>70</v>
      </c>
    </row>
    <row r="176" spans="1:2" s="8" customFormat="1">
      <c r="A176" s="9"/>
      <c r="B176" s="9"/>
    </row>
    <row r="177" spans="1:2" s="8" customFormat="1">
      <c r="A177" s="9"/>
      <c r="B177" s="9"/>
    </row>
    <row r="178" spans="1:2" s="8" customFormat="1">
      <c r="A178" s="9"/>
      <c r="B178" s="9"/>
    </row>
    <row r="179" spans="1:2" s="8" customFormat="1">
      <c r="A179" s="9"/>
      <c r="B179" s="9"/>
    </row>
    <row r="180" spans="1:2" s="8" customFormat="1">
      <c r="A180" s="9"/>
      <c r="B180" s="9"/>
    </row>
    <row r="181" spans="1:2" s="8" customFormat="1">
      <c r="A181" s="9"/>
      <c r="B181" s="9"/>
    </row>
    <row r="182" spans="1:2" s="8" customFormat="1">
      <c r="A182" s="9"/>
      <c r="B182" s="9"/>
    </row>
    <row r="183" spans="1:2" s="8" customFormat="1">
      <c r="A183" s="9"/>
      <c r="B183" s="9"/>
    </row>
    <row r="184" spans="1:2" s="8" customFormat="1">
      <c r="A184" s="9"/>
      <c r="B184" s="9"/>
    </row>
    <row r="185" spans="1:2" s="8" customFormat="1">
      <c r="A185" s="9"/>
      <c r="B185" s="9"/>
    </row>
    <row r="186" spans="1:2" s="8" customFormat="1">
      <c r="A186" s="9"/>
      <c r="B186" s="9"/>
    </row>
    <row r="187" spans="1:2" s="8" customFormat="1">
      <c r="A187" s="9"/>
      <c r="B187" s="9"/>
    </row>
    <row r="188" spans="1:2" s="8" customFormat="1">
      <c r="A188" s="9"/>
      <c r="B188" s="9"/>
    </row>
    <row r="189" spans="1:2" s="8" customFormat="1">
      <c r="A189" s="9"/>
      <c r="B189" s="9"/>
    </row>
    <row r="190" spans="1:2" s="8" customFormat="1">
      <c r="A190" s="9"/>
      <c r="B190" s="9"/>
    </row>
    <row r="191" spans="1:2" s="8" customFormat="1">
      <c r="A191" s="9"/>
      <c r="B191" s="9"/>
    </row>
    <row r="192" spans="1:2" s="8" customFormat="1">
      <c r="A192" s="9"/>
      <c r="B192" s="9"/>
    </row>
    <row r="193" spans="1:2" s="8" customFormat="1">
      <c r="A193" s="9"/>
      <c r="B193" s="9"/>
    </row>
    <row r="194" spans="1:2" s="8" customFormat="1">
      <c r="A194" s="9"/>
      <c r="B194" s="9"/>
    </row>
    <row r="195" spans="1:2" s="8" customFormat="1">
      <c r="A195" s="9"/>
      <c r="B195" s="9"/>
    </row>
    <row r="196" spans="1:2" s="8" customFormat="1">
      <c r="A196" s="9"/>
      <c r="B196" s="9"/>
    </row>
    <row r="197" spans="1:2" s="8" customFormat="1">
      <c r="A197" s="9"/>
      <c r="B197" s="9"/>
    </row>
    <row r="198" spans="1:2" s="8" customFormat="1">
      <c r="A198" s="9"/>
      <c r="B198" s="9"/>
    </row>
    <row r="199" spans="1:2" s="8" customFormat="1">
      <c r="A199" s="9"/>
      <c r="B199" s="9"/>
    </row>
    <row r="200" spans="1:2" s="8" customFormat="1">
      <c r="A200" s="9"/>
      <c r="B200" s="9"/>
    </row>
    <row r="201" spans="1:2" s="8" customFormat="1">
      <c r="A201" s="9"/>
      <c r="B201" s="9"/>
    </row>
    <row r="202" spans="1:2" s="8" customFormat="1">
      <c r="A202" s="9"/>
      <c r="B202" s="9"/>
    </row>
    <row r="203" spans="1:2" s="8" customFormat="1">
      <c r="A203" s="9"/>
      <c r="B203" s="9"/>
    </row>
    <row r="204" spans="1:2" s="8" customFormat="1">
      <c r="A204" s="9"/>
      <c r="B204" s="9"/>
    </row>
    <row r="205" spans="1:2" s="8" customFormat="1">
      <c r="A205" s="9"/>
      <c r="B205" s="9"/>
    </row>
    <row r="206" spans="1:2" s="8" customFormat="1">
      <c r="A206" s="9"/>
      <c r="B206" s="9"/>
    </row>
    <row r="207" spans="1:2" s="8" customFormat="1">
      <c r="A207" s="9"/>
      <c r="B207" s="9"/>
    </row>
    <row r="208" spans="1:2" s="8" customFormat="1">
      <c r="A208" s="9"/>
      <c r="B208" s="9"/>
    </row>
    <row r="209" spans="1:2" s="8" customFormat="1">
      <c r="A209" s="9"/>
      <c r="B209" s="9"/>
    </row>
    <row r="210" spans="1:2" s="8" customFormat="1">
      <c r="A210" s="9"/>
      <c r="B210" s="9"/>
    </row>
    <row r="211" spans="1:2" s="8" customFormat="1">
      <c r="A211" s="9"/>
      <c r="B211" s="9"/>
    </row>
    <row r="212" spans="1:2" s="8" customFormat="1">
      <c r="A212" s="9"/>
      <c r="B212" s="9"/>
    </row>
    <row r="213" spans="1:2" s="8" customFormat="1">
      <c r="A213" s="9"/>
      <c r="B213" s="9"/>
    </row>
    <row r="214" spans="1:2" s="8" customFormat="1">
      <c r="A214" s="9"/>
      <c r="B214" s="9"/>
    </row>
    <row r="215" spans="1:2" s="8" customFormat="1">
      <c r="A215" s="9"/>
      <c r="B215" s="9"/>
    </row>
    <row r="216" spans="1:2" s="8" customFormat="1">
      <c r="A216" s="9"/>
      <c r="B216" s="9"/>
    </row>
    <row r="217" spans="1:2" s="8" customFormat="1">
      <c r="A217" s="9"/>
      <c r="B217" s="9"/>
    </row>
    <row r="218" spans="1:2" s="8" customFormat="1">
      <c r="A218" s="9"/>
      <c r="B218" s="9"/>
    </row>
    <row r="219" spans="1:2" s="8" customFormat="1">
      <c r="A219" s="9"/>
      <c r="B219" s="9"/>
    </row>
    <row r="220" spans="1:2" s="8" customFormat="1">
      <c r="A220" s="9"/>
      <c r="B220" s="9"/>
    </row>
    <row r="221" spans="1:2" s="8" customFormat="1">
      <c r="A221" s="9"/>
      <c r="B221" s="9"/>
    </row>
    <row r="222" spans="1:2" s="8" customFormat="1">
      <c r="A222" s="9"/>
      <c r="B222" s="9"/>
    </row>
    <row r="223" spans="1:2" s="8" customFormat="1">
      <c r="A223" s="9"/>
      <c r="B223" s="9"/>
    </row>
    <row r="224" spans="1:2" s="8" customFormat="1">
      <c r="A224" s="9"/>
      <c r="B224" s="9"/>
    </row>
    <row r="225" spans="1:2" s="8" customFormat="1">
      <c r="A225" s="9"/>
      <c r="B225" s="9"/>
    </row>
    <row r="226" spans="1:2" s="8" customFormat="1">
      <c r="A226" s="9"/>
      <c r="B226" s="9"/>
    </row>
    <row r="227" spans="1:2" s="8" customFormat="1">
      <c r="A227" s="9"/>
      <c r="B227" s="9"/>
    </row>
    <row r="228" spans="1:2" s="8" customFormat="1">
      <c r="A228" s="9"/>
      <c r="B228" s="9"/>
    </row>
    <row r="229" spans="1:2" s="8" customFormat="1">
      <c r="A229" s="9"/>
      <c r="B229" s="9"/>
    </row>
    <row r="230" spans="1:2" s="8" customFormat="1">
      <c r="A230" s="9"/>
      <c r="B230" s="9"/>
    </row>
    <row r="231" spans="1:2" s="8" customFormat="1">
      <c r="A231" s="9"/>
      <c r="B231" s="9"/>
    </row>
    <row r="232" spans="1:2" s="8" customFormat="1">
      <c r="A232" s="9"/>
      <c r="B232" s="9"/>
    </row>
    <row r="233" spans="1:2" s="8" customFormat="1">
      <c r="A233" s="9"/>
      <c r="B233" s="9"/>
    </row>
    <row r="234" spans="1:2" s="8" customFormat="1">
      <c r="A234" s="9"/>
      <c r="B234" s="9"/>
    </row>
    <row r="235" spans="1:2" s="8" customFormat="1">
      <c r="A235" s="9"/>
      <c r="B235" s="9"/>
    </row>
    <row r="236" spans="1:2" s="8" customFormat="1">
      <c r="A236" s="9"/>
      <c r="B236" s="9"/>
    </row>
    <row r="237" spans="1:2" s="8" customFormat="1">
      <c r="A237" s="9"/>
      <c r="B237" s="9"/>
    </row>
    <row r="238" spans="1:2" s="8" customFormat="1">
      <c r="A238" s="9"/>
      <c r="B238" s="9"/>
    </row>
    <row r="239" spans="1:2" s="8" customFormat="1">
      <c r="A239" s="9"/>
      <c r="B239" s="9"/>
    </row>
    <row r="240" spans="1:2" s="8" customFormat="1">
      <c r="A240" s="9"/>
      <c r="B240" s="9"/>
    </row>
    <row r="241" spans="1:2" s="8" customFormat="1">
      <c r="A241" s="9"/>
      <c r="B241" s="9"/>
    </row>
    <row r="242" spans="1:2" s="8" customFormat="1">
      <c r="A242" s="9"/>
      <c r="B242" s="9"/>
    </row>
    <row r="243" spans="1:2" s="8" customFormat="1">
      <c r="A243" s="9"/>
      <c r="B243" s="9"/>
    </row>
    <row r="244" spans="1:2" s="8" customFormat="1">
      <c r="A244" s="9"/>
      <c r="B244" s="9"/>
    </row>
    <row r="245" spans="1:2" s="8" customFormat="1">
      <c r="A245" s="9"/>
      <c r="B245" s="9"/>
    </row>
    <row r="246" spans="1:2" s="8" customFormat="1">
      <c r="A246" s="9"/>
      <c r="B246" s="9"/>
    </row>
  </sheetData>
  <mergeCells count="24">
    <mergeCell ref="A12:B12"/>
    <mergeCell ref="A13:B14"/>
    <mergeCell ref="C13:F13"/>
    <mergeCell ref="E17:E24"/>
    <mergeCell ref="C25:E25"/>
    <mergeCell ref="A17:B24"/>
    <mergeCell ref="C17:C24"/>
    <mergeCell ref="D17:D24"/>
    <mergeCell ref="C15:E15"/>
    <mergeCell ref="C9:F9"/>
    <mergeCell ref="A3:B3"/>
    <mergeCell ref="A4:B4"/>
    <mergeCell ref="C3:F3"/>
    <mergeCell ref="A6:B6"/>
    <mergeCell ref="A7:B8"/>
    <mergeCell ref="C7:F7"/>
    <mergeCell ref="E29:E36"/>
    <mergeCell ref="A37:B37"/>
    <mergeCell ref="C27:D27"/>
    <mergeCell ref="A38:B38"/>
    <mergeCell ref="A39:B39"/>
    <mergeCell ref="A29:B36"/>
    <mergeCell ref="C29:C36"/>
    <mergeCell ref="D29:D36"/>
  </mergeCells>
  <hyperlinks>
    <hyperlink ref="A1" location="Главная!A1" display="Вернуться на главную страницу" xr:uid="{00000000-0004-0000-2700-000000000000}"/>
  </hyperlink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Лист56">
    <tabColor rgb="FF00B050"/>
  </sheetPr>
  <dimension ref="A1:AS84"/>
  <sheetViews>
    <sheetView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3" sqref="F13"/>
    </sheetView>
  </sheetViews>
  <sheetFormatPr defaultRowHeight="15"/>
  <cols>
    <col min="1" max="1" width="46.7109375" customWidth="1"/>
    <col min="2" max="2" width="15.5703125" style="2" bestFit="1" customWidth="1"/>
    <col min="3" max="3" width="16.85546875" style="2" bestFit="1" customWidth="1"/>
    <col min="4" max="4" width="16.140625" style="2" customWidth="1"/>
    <col min="5" max="5" width="21.42578125" bestFit="1" customWidth="1"/>
    <col min="6" max="7" width="61.140625" customWidth="1"/>
    <col min="8" max="8" width="23.28515625" style="94" customWidth="1"/>
    <col min="9" max="9" width="16.85546875" style="17" customWidth="1"/>
    <col min="10" max="45" width="9.140625" style="17"/>
  </cols>
  <sheetData>
    <row r="1" spans="1:45" ht="16.5" thickBot="1">
      <c r="A1" s="15" t="s">
        <v>9</v>
      </c>
      <c r="B1" s="97"/>
      <c r="C1" s="97"/>
      <c r="D1" s="97"/>
      <c r="E1" s="15"/>
    </row>
    <row r="2" spans="1:45" ht="19.5" thickBot="1">
      <c r="A2" s="3306" t="s">
        <v>24</v>
      </c>
      <c r="B2" s="3307"/>
      <c r="C2" s="3307"/>
      <c r="D2" s="3307"/>
      <c r="E2" s="3307"/>
      <c r="F2" s="3307"/>
      <c r="G2" s="3308"/>
      <c r="H2" s="95" t="s">
        <v>5694</v>
      </c>
    </row>
    <row r="3" spans="1:45" ht="19.5" thickBot="1">
      <c r="A3" s="32"/>
      <c r="B3" s="98" t="s">
        <v>19</v>
      </c>
      <c r="C3" s="98" t="s">
        <v>20</v>
      </c>
      <c r="D3" s="98" t="s">
        <v>16</v>
      </c>
      <c r="E3" s="34" t="s">
        <v>25</v>
      </c>
      <c r="F3" s="33"/>
      <c r="G3" s="31"/>
      <c r="H3" s="96"/>
    </row>
    <row r="4" spans="1:45" ht="156.75" customHeight="1">
      <c r="A4" s="1131" t="s">
        <v>489</v>
      </c>
      <c r="B4" s="221">
        <v>48</v>
      </c>
      <c r="C4" s="221">
        <v>50</v>
      </c>
      <c r="D4" s="220">
        <v>1135.5</v>
      </c>
      <c r="E4" s="218">
        <v>24</v>
      </c>
      <c r="F4" s="219" t="s">
        <v>485</v>
      </c>
      <c r="G4" s="144"/>
      <c r="H4" s="1182">
        <v>17600</v>
      </c>
      <c r="I4" s="224"/>
    </row>
    <row r="5" spans="1:45" ht="156.75" customHeight="1">
      <c r="A5" s="1131" t="s">
        <v>490</v>
      </c>
      <c r="B5" s="221">
        <v>48</v>
      </c>
      <c r="C5" s="221">
        <v>50</v>
      </c>
      <c r="D5" s="221">
        <v>771.5</v>
      </c>
      <c r="E5" s="218">
        <v>24</v>
      </c>
      <c r="F5" s="219" t="s">
        <v>486</v>
      </c>
      <c r="G5" s="144"/>
      <c r="H5" s="1182">
        <v>15400</v>
      </c>
      <c r="I5" s="224"/>
    </row>
    <row r="6" spans="1:45" s="65" customFormat="1" ht="156.75" customHeight="1">
      <c r="A6" s="1131" t="s">
        <v>555</v>
      </c>
      <c r="B6" s="221">
        <v>48</v>
      </c>
      <c r="C6" s="221">
        <v>50</v>
      </c>
      <c r="D6" s="221">
        <v>354</v>
      </c>
      <c r="E6" s="218">
        <v>24</v>
      </c>
      <c r="F6" s="219" t="s">
        <v>554</v>
      </c>
      <c r="G6" s="1172"/>
      <c r="H6" s="1182">
        <v>10700</v>
      </c>
      <c r="I6" s="224"/>
      <c r="J6" s="1171"/>
      <c r="K6" s="1171"/>
      <c r="L6" s="1171"/>
      <c r="M6" s="1171"/>
      <c r="N6" s="1171"/>
      <c r="O6" s="1171"/>
      <c r="P6" s="1171"/>
      <c r="Q6" s="1171"/>
      <c r="R6" s="1171"/>
      <c r="S6" s="1171"/>
      <c r="T6" s="1171"/>
      <c r="U6" s="1171"/>
      <c r="V6" s="1171"/>
      <c r="W6" s="1171"/>
      <c r="X6" s="1171"/>
      <c r="Y6" s="1171"/>
      <c r="Z6" s="1171"/>
      <c r="AA6" s="1171"/>
      <c r="AB6" s="1171"/>
      <c r="AC6" s="1171"/>
      <c r="AD6" s="1171"/>
      <c r="AE6" s="1171"/>
      <c r="AF6" s="1171"/>
      <c r="AG6" s="1171"/>
      <c r="AH6" s="1171"/>
      <c r="AI6" s="1171"/>
      <c r="AJ6" s="1171"/>
      <c r="AK6" s="1171"/>
      <c r="AL6" s="1171"/>
      <c r="AM6" s="1171"/>
      <c r="AN6" s="1171"/>
      <c r="AO6" s="1171"/>
      <c r="AP6" s="1171"/>
      <c r="AQ6" s="1171"/>
      <c r="AR6" s="1171"/>
      <c r="AS6" s="1171"/>
    </row>
    <row r="7" spans="1:45" ht="156.75" customHeight="1" thickBot="1">
      <c r="A7" s="1266" t="s">
        <v>491</v>
      </c>
      <c r="B7" s="1267">
        <v>48</v>
      </c>
      <c r="C7" s="1267">
        <v>50</v>
      </c>
      <c r="D7" s="1267">
        <v>252</v>
      </c>
      <c r="E7" s="1268">
        <v>24</v>
      </c>
      <c r="F7" s="1269" t="s">
        <v>487</v>
      </c>
      <c r="G7" s="1265"/>
      <c r="H7" s="1270">
        <v>5800</v>
      </c>
      <c r="I7" s="224"/>
    </row>
    <row r="8" spans="1:45" s="65" customFormat="1" ht="156.75" customHeight="1" thickBot="1">
      <c r="A8" s="1271" t="s">
        <v>5769</v>
      </c>
      <c r="B8" s="1272">
        <v>48</v>
      </c>
      <c r="C8" s="1272">
        <v>50</v>
      </c>
      <c r="D8" s="1272">
        <v>248</v>
      </c>
      <c r="E8" s="1273">
        <v>220</v>
      </c>
      <c r="F8" s="1274" t="s">
        <v>553</v>
      </c>
      <c r="G8" s="1275"/>
      <c r="H8" s="1276">
        <v>8200</v>
      </c>
      <c r="I8" s="224"/>
      <c r="J8" s="1171"/>
      <c r="K8" s="1171"/>
      <c r="L8" s="1171"/>
      <c r="M8" s="1171"/>
      <c r="N8" s="1171"/>
      <c r="O8" s="1171"/>
      <c r="P8" s="1171"/>
      <c r="Q8" s="1171"/>
      <c r="R8" s="1171"/>
      <c r="S8" s="1171"/>
      <c r="T8" s="1171"/>
      <c r="U8" s="1171"/>
      <c r="V8" s="1171"/>
      <c r="W8" s="1171"/>
      <c r="X8" s="1171"/>
      <c r="Y8" s="1171"/>
      <c r="Z8" s="1171"/>
      <c r="AA8" s="1171"/>
      <c r="AB8" s="1171"/>
      <c r="AC8" s="1171"/>
      <c r="AD8" s="1171"/>
      <c r="AE8" s="1171"/>
      <c r="AF8" s="1171"/>
      <c r="AG8" s="1171"/>
      <c r="AH8" s="1171"/>
      <c r="AI8" s="1171"/>
      <c r="AJ8" s="1171"/>
      <c r="AK8" s="1171"/>
      <c r="AL8" s="1171"/>
      <c r="AM8" s="1171"/>
      <c r="AN8" s="1171"/>
      <c r="AO8" s="1171"/>
      <c r="AP8" s="1171"/>
      <c r="AQ8" s="1171"/>
      <c r="AR8" s="1171"/>
      <c r="AS8" s="1171"/>
    </row>
    <row r="9" spans="1:45" s="17" customFormat="1" ht="51" customHeight="1" thickBot="1">
      <c r="A9" s="225"/>
      <c r="B9" s="226"/>
      <c r="C9" s="226"/>
      <c r="D9" s="226"/>
      <c r="E9" s="227"/>
      <c r="F9" s="228"/>
      <c r="G9" s="229"/>
      <c r="H9" s="230"/>
    </row>
    <row r="10" spans="1:45" s="65" customFormat="1" ht="67.5" customHeight="1" thickBot="1">
      <c r="A10" s="3309" t="s">
        <v>132</v>
      </c>
      <c r="B10" s="3310"/>
      <c r="C10" s="3310"/>
      <c r="D10" s="3310"/>
      <c r="E10" s="3311"/>
      <c r="F10" s="231"/>
      <c r="G10" s="231"/>
      <c r="H10" s="231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</row>
    <row r="11" spans="1:45" s="65" customFormat="1" ht="67.5" customHeight="1" thickBot="1">
      <c r="A11" s="233" t="s">
        <v>134</v>
      </c>
      <c r="B11" s="3309" t="s">
        <v>135</v>
      </c>
      <c r="C11" s="3310"/>
      <c r="D11" s="3311"/>
      <c r="E11" s="232" t="s">
        <v>133</v>
      </c>
      <c r="F11" s="998"/>
      <c r="G11" s="231"/>
      <c r="H11" s="231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</row>
    <row r="12" spans="1:45" ht="144.75" customHeight="1" thickBot="1">
      <c r="A12" s="223" t="s">
        <v>362</v>
      </c>
      <c r="B12" s="3305" t="s">
        <v>361</v>
      </c>
      <c r="C12" s="3305"/>
      <c r="D12" s="3305"/>
      <c r="E12" s="222">
        <v>1700</v>
      </c>
      <c r="F12" s="998"/>
      <c r="G12" s="998"/>
      <c r="H12" s="234"/>
    </row>
    <row r="13" spans="1:45" ht="157.5" customHeight="1">
      <c r="A13" s="1116" t="s">
        <v>488</v>
      </c>
      <c r="B13" s="3312"/>
      <c r="C13" s="3312"/>
      <c r="D13" s="3312"/>
      <c r="E13" s="1117">
        <v>350</v>
      </c>
      <c r="F13" s="998"/>
      <c r="G13" s="998"/>
      <c r="H13" s="234"/>
    </row>
    <row r="14" spans="1:45">
      <c r="A14" s="17"/>
      <c r="B14" s="67"/>
      <c r="C14" s="67"/>
      <c r="D14" s="67"/>
      <c r="E14" s="17"/>
      <c r="F14" s="998"/>
      <c r="G14" s="998"/>
      <c r="H14" s="234"/>
    </row>
    <row r="15" spans="1:45">
      <c r="A15" s="17"/>
      <c r="B15" s="67"/>
      <c r="C15" s="67"/>
      <c r="D15" s="67"/>
      <c r="E15" s="17"/>
      <c r="F15" s="998"/>
      <c r="G15" s="998"/>
      <c r="H15" s="234"/>
    </row>
    <row r="16" spans="1:45">
      <c r="A16" s="17"/>
      <c r="B16" s="67"/>
      <c r="C16" s="67"/>
      <c r="D16" s="67"/>
      <c r="E16" s="17"/>
      <c r="F16" s="998"/>
      <c r="G16" s="998"/>
      <c r="H16" s="234"/>
    </row>
    <row r="17" spans="1:8">
      <c r="A17" s="17"/>
      <c r="B17" s="67"/>
      <c r="C17" s="67"/>
      <c r="D17" s="67"/>
      <c r="E17" s="17"/>
      <c r="F17" s="998"/>
      <c r="G17" s="998"/>
      <c r="H17" s="234"/>
    </row>
    <row r="18" spans="1:8">
      <c r="A18" s="17"/>
      <c r="B18" s="67"/>
      <c r="C18" s="67"/>
      <c r="D18" s="67"/>
      <c r="E18" s="17"/>
      <c r="F18" s="998"/>
      <c r="G18" s="998"/>
      <c r="H18" s="234"/>
    </row>
    <row r="19" spans="1:8">
      <c r="A19" s="17"/>
      <c r="B19" s="67"/>
      <c r="C19" s="67"/>
      <c r="D19" s="67"/>
      <c r="E19" s="17"/>
      <c r="F19" s="998"/>
      <c r="G19" s="998"/>
      <c r="H19" s="234"/>
    </row>
    <row r="20" spans="1:8">
      <c r="A20" s="17"/>
      <c r="B20" s="67"/>
      <c r="C20" s="67"/>
      <c r="D20" s="67"/>
      <c r="E20" s="17"/>
      <c r="F20" s="998"/>
      <c r="G20" s="998"/>
      <c r="H20" s="234"/>
    </row>
    <row r="21" spans="1:8">
      <c r="A21" s="17"/>
      <c r="B21" s="67"/>
      <c r="C21" s="67"/>
      <c r="D21" s="67"/>
      <c r="E21" s="17"/>
      <c r="F21" s="998"/>
      <c r="G21" s="998"/>
      <c r="H21" s="234"/>
    </row>
    <row r="22" spans="1:8">
      <c r="A22" s="17"/>
      <c r="B22" s="67"/>
      <c r="C22" s="67"/>
      <c r="D22" s="67"/>
      <c r="E22" s="17"/>
      <c r="F22" s="17"/>
      <c r="G22" s="17"/>
      <c r="H22" s="234"/>
    </row>
    <row r="23" spans="1:8">
      <c r="A23" s="17"/>
      <c r="B23" s="67"/>
      <c r="C23" s="67"/>
      <c r="D23" s="67"/>
      <c r="E23" s="17"/>
      <c r="F23" s="17"/>
      <c r="G23" s="17"/>
      <c r="H23" s="234"/>
    </row>
    <row r="24" spans="1:8">
      <c r="A24" s="17"/>
      <c r="B24" s="67"/>
      <c r="C24" s="67"/>
      <c r="D24" s="67"/>
      <c r="E24" s="17"/>
      <c r="F24" s="17"/>
      <c r="G24" s="17"/>
      <c r="H24" s="234"/>
    </row>
    <row r="25" spans="1:8">
      <c r="A25" s="17"/>
      <c r="B25" s="67"/>
      <c r="C25" s="67"/>
      <c r="D25" s="67"/>
      <c r="E25" s="17"/>
      <c r="F25" s="17"/>
      <c r="G25" s="17"/>
      <c r="H25" s="234"/>
    </row>
    <row r="26" spans="1:8">
      <c r="A26" s="17"/>
      <c r="B26" s="67"/>
      <c r="C26" s="67"/>
      <c r="D26" s="67"/>
      <c r="E26" s="17"/>
      <c r="F26" s="17"/>
      <c r="G26" s="17"/>
      <c r="H26" s="234"/>
    </row>
    <row r="27" spans="1:8">
      <c r="A27" s="17"/>
      <c r="B27" s="67"/>
      <c r="C27" s="67"/>
      <c r="D27" s="67"/>
      <c r="E27" s="17"/>
      <c r="F27" s="17"/>
      <c r="G27" s="17"/>
      <c r="H27" s="234"/>
    </row>
    <row r="28" spans="1:8">
      <c r="A28" s="17"/>
      <c r="B28" s="67"/>
      <c r="C28" s="67"/>
      <c r="D28" s="67"/>
      <c r="E28" s="17"/>
      <c r="F28" s="17"/>
      <c r="G28" s="17"/>
      <c r="H28" s="234"/>
    </row>
    <row r="29" spans="1:8">
      <c r="A29" s="17"/>
      <c r="B29" s="67"/>
      <c r="C29" s="67"/>
      <c r="D29" s="67"/>
      <c r="E29" s="17"/>
      <c r="F29" s="17"/>
      <c r="G29" s="17"/>
      <c r="H29" s="234"/>
    </row>
    <row r="30" spans="1:8">
      <c r="A30" s="17"/>
      <c r="B30" s="67"/>
      <c r="C30" s="67"/>
      <c r="D30" s="67"/>
      <c r="E30" s="17"/>
      <c r="F30" s="17"/>
      <c r="G30" s="17"/>
      <c r="H30" s="234"/>
    </row>
    <row r="31" spans="1:8">
      <c r="A31" s="17"/>
      <c r="B31" s="67"/>
      <c r="C31" s="67"/>
      <c r="D31" s="67"/>
      <c r="E31" s="17"/>
      <c r="F31" s="17"/>
      <c r="G31" s="17"/>
      <c r="H31" s="234"/>
    </row>
    <row r="32" spans="1:8">
      <c r="A32" s="17"/>
      <c r="B32" s="67"/>
      <c r="C32" s="67"/>
      <c r="D32" s="67"/>
      <c r="E32" s="17"/>
      <c r="F32" s="17"/>
      <c r="G32" s="17"/>
      <c r="H32" s="234"/>
    </row>
    <row r="33" spans="1:8">
      <c r="A33" s="17"/>
      <c r="B33" s="67"/>
      <c r="C33" s="67"/>
      <c r="D33" s="67"/>
      <c r="E33" s="17"/>
      <c r="F33" s="17"/>
      <c r="G33" s="17"/>
      <c r="H33" s="234"/>
    </row>
    <row r="34" spans="1:8">
      <c r="A34" s="17"/>
      <c r="B34" s="67"/>
      <c r="C34" s="67"/>
      <c r="D34" s="67"/>
      <c r="E34" s="17"/>
      <c r="F34" s="17"/>
      <c r="G34" s="17"/>
      <c r="H34" s="234"/>
    </row>
    <row r="35" spans="1:8">
      <c r="A35" s="17"/>
      <c r="B35" s="67"/>
      <c r="C35" s="67"/>
      <c r="D35" s="67"/>
      <c r="E35" s="17"/>
      <c r="F35" s="17"/>
      <c r="G35" s="17"/>
      <c r="H35" s="234"/>
    </row>
    <row r="36" spans="1:8">
      <c r="A36" s="17"/>
      <c r="B36" s="67"/>
      <c r="C36" s="67"/>
      <c r="D36" s="67"/>
      <c r="E36" s="17"/>
      <c r="F36" s="17"/>
      <c r="G36" s="17"/>
      <c r="H36" s="234"/>
    </row>
    <row r="37" spans="1:8">
      <c r="A37" s="17"/>
      <c r="B37" s="67"/>
      <c r="C37" s="67"/>
      <c r="D37" s="67"/>
      <c r="E37" s="17"/>
      <c r="F37" s="17"/>
      <c r="G37" s="17"/>
      <c r="H37" s="234"/>
    </row>
    <row r="38" spans="1:8">
      <c r="A38" s="17"/>
      <c r="B38" s="67"/>
      <c r="C38" s="67"/>
      <c r="D38" s="67"/>
      <c r="E38" s="17"/>
      <c r="F38" s="17"/>
      <c r="G38" s="17"/>
      <c r="H38" s="234"/>
    </row>
    <row r="39" spans="1:8">
      <c r="A39" s="17"/>
      <c r="B39" s="67"/>
      <c r="C39" s="67"/>
      <c r="D39" s="67"/>
      <c r="E39" s="17"/>
      <c r="F39" s="17"/>
      <c r="G39" s="17"/>
      <c r="H39" s="234"/>
    </row>
    <row r="40" spans="1:8">
      <c r="A40" s="17"/>
      <c r="B40" s="67"/>
      <c r="C40" s="67"/>
      <c r="D40" s="67"/>
      <c r="E40" s="17"/>
      <c r="F40" s="17"/>
      <c r="G40" s="17"/>
      <c r="H40" s="234"/>
    </row>
    <row r="41" spans="1:8">
      <c r="A41" s="17"/>
      <c r="B41" s="67"/>
      <c r="C41" s="67"/>
      <c r="D41" s="67"/>
      <c r="E41" s="17"/>
      <c r="F41" s="17"/>
      <c r="G41" s="17"/>
      <c r="H41" s="234"/>
    </row>
    <row r="42" spans="1:8">
      <c r="A42" s="17"/>
      <c r="B42" s="67"/>
      <c r="C42" s="67"/>
      <c r="D42" s="67"/>
      <c r="E42" s="17"/>
      <c r="F42" s="17"/>
      <c r="G42" s="17"/>
      <c r="H42" s="234"/>
    </row>
    <row r="43" spans="1:8">
      <c r="A43" s="17"/>
      <c r="B43" s="67"/>
      <c r="C43" s="67"/>
      <c r="D43" s="67"/>
      <c r="E43" s="17"/>
      <c r="F43" s="17"/>
      <c r="G43" s="17"/>
      <c r="H43" s="234"/>
    </row>
    <row r="44" spans="1:8">
      <c r="A44" s="17"/>
      <c r="B44" s="67"/>
      <c r="C44" s="67"/>
      <c r="D44" s="67"/>
      <c r="E44" s="17"/>
      <c r="F44" s="17"/>
      <c r="G44" s="17"/>
      <c r="H44" s="234"/>
    </row>
    <row r="45" spans="1:8">
      <c r="A45" s="17"/>
      <c r="B45" s="67"/>
      <c r="C45" s="67"/>
      <c r="D45" s="67"/>
      <c r="E45" s="17"/>
      <c r="F45" s="17"/>
      <c r="G45" s="17"/>
      <c r="H45" s="234"/>
    </row>
    <row r="46" spans="1:8">
      <c r="A46" s="17"/>
      <c r="B46" s="67"/>
      <c r="C46" s="67"/>
      <c r="D46" s="67"/>
      <c r="E46" s="17"/>
      <c r="F46" s="17"/>
      <c r="G46" s="17"/>
      <c r="H46" s="234"/>
    </row>
    <row r="47" spans="1:8">
      <c r="A47" s="17"/>
      <c r="B47" s="67"/>
      <c r="C47" s="67"/>
      <c r="D47" s="67"/>
      <c r="E47" s="17"/>
      <c r="F47" s="17"/>
      <c r="G47" s="17"/>
      <c r="H47" s="234"/>
    </row>
    <row r="48" spans="1:8">
      <c r="A48" s="17"/>
      <c r="B48" s="67"/>
      <c r="C48" s="67"/>
      <c r="D48" s="67"/>
      <c r="E48" s="17"/>
      <c r="F48" s="17"/>
      <c r="G48" s="17"/>
      <c r="H48" s="234"/>
    </row>
    <row r="49" spans="1:8">
      <c r="A49" s="17"/>
      <c r="B49" s="67"/>
      <c r="C49" s="67"/>
      <c r="D49" s="67"/>
      <c r="E49" s="17"/>
      <c r="F49" s="17"/>
      <c r="G49" s="17"/>
      <c r="H49" s="234"/>
    </row>
    <row r="50" spans="1:8">
      <c r="A50" s="17"/>
      <c r="B50" s="67"/>
      <c r="C50" s="67"/>
      <c r="D50" s="67"/>
      <c r="E50" s="17"/>
      <c r="F50" s="17"/>
      <c r="G50" s="17"/>
      <c r="H50" s="234"/>
    </row>
    <row r="51" spans="1:8">
      <c r="A51" s="17"/>
      <c r="B51" s="67"/>
      <c r="C51" s="67"/>
      <c r="D51" s="67"/>
      <c r="E51" s="17"/>
      <c r="F51" s="17"/>
      <c r="G51" s="17"/>
      <c r="H51" s="234"/>
    </row>
    <row r="52" spans="1:8">
      <c r="A52" s="17"/>
      <c r="B52" s="67"/>
      <c r="C52" s="67"/>
      <c r="D52" s="67"/>
      <c r="E52" s="17"/>
      <c r="F52" s="17"/>
      <c r="G52" s="17"/>
      <c r="H52" s="234"/>
    </row>
    <row r="53" spans="1:8">
      <c r="A53" s="17"/>
      <c r="B53" s="67"/>
      <c r="C53" s="67"/>
      <c r="D53" s="67"/>
      <c r="E53" s="17"/>
      <c r="F53" s="17"/>
      <c r="G53" s="17"/>
      <c r="H53" s="234"/>
    </row>
    <row r="54" spans="1:8">
      <c r="A54" s="17"/>
      <c r="B54" s="67"/>
      <c r="C54" s="67"/>
      <c r="D54" s="67"/>
      <c r="E54" s="17"/>
      <c r="F54" s="17"/>
      <c r="G54" s="17"/>
      <c r="H54" s="234"/>
    </row>
    <row r="55" spans="1:8">
      <c r="A55" s="17"/>
      <c r="B55" s="67"/>
      <c r="C55" s="67"/>
      <c r="D55" s="67"/>
      <c r="E55" s="17"/>
      <c r="F55" s="17"/>
      <c r="G55" s="17"/>
      <c r="H55" s="234"/>
    </row>
    <row r="56" spans="1:8">
      <c r="A56" s="17"/>
      <c r="B56" s="67"/>
      <c r="C56" s="67"/>
      <c r="D56" s="67"/>
      <c r="E56" s="17"/>
      <c r="F56" s="17"/>
      <c r="G56" s="17"/>
      <c r="H56" s="234"/>
    </row>
    <row r="57" spans="1:8">
      <c r="A57" s="17"/>
      <c r="B57" s="67"/>
      <c r="C57" s="67"/>
      <c r="D57" s="67"/>
      <c r="E57" s="17"/>
      <c r="F57" s="17"/>
      <c r="G57" s="17"/>
      <c r="H57" s="234"/>
    </row>
    <row r="58" spans="1:8">
      <c r="A58" s="17"/>
      <c r="B58" s="67"/>
      <c r="C58" s="67"/>
      <c r="D58" s="67"/>
      <c r="E58" s="17"/>
      <c r="F58" s="17"/>
      <c r="G58" s="17"/>
      <c r="H58" s="234"/>
    </row>
    <row r="59" spans="1:8">
      <c r="A59" s="17"/>
      <c r="B59" s="67"/>
      <c r="C59" s="67"/>
      <c r="D59" s="67"/>
      <c r="E59" s="17"/>
      <c r="F59" s="17"/>
      <c r="G59" s="17"/>
      <c r="H59" s="234"/>
    </row>
    <row r="60" spans="1:8">
      <c r="A60" s="17"/>
      <c r="B60" s="67"/>
      <c r="C60" s="67"/>
      <c r="D60" s="67"/>
      <c r="E60" s="17"/>
      <c r="F60" s="17"/>
      <c r="G60" s="17"/>
      <c r="H60" s="234"/>
    </row>
    <row r="61" spans="1:8">
      <c r="A61" s="17"/>
      <c r="B61" s="67"/>
      <c r="C61" s="67"/>
      <c r="D61" s="67"/>
      <c r="E61" s="17"/>
      <c r="F61" s="17"/>
      <c r="G61" s="17"/>
      <c r="H61" s="234"/>
    </row>
    <row r="62" spans="1:8">
      <c r="A62" s="17"/>
      <c r="B62" s="67"/>
      <c r="C62" s="67"/>
      <c r="D62" s="67"/>
      <c r="E62" s="17"/>
      <c r="F62" s="17"/>
      <c r="G62" s="17"/>
      <c r="H62" s="234"/>
    </row>
    <row r="63" spans="1:8">
      <c r="A63" s="17"/>
      <c r="B63" s="67"/>
      <c r="C63" s="67"/>
      <c r="D63" s="67"/>
      <c r="E63" s="17"/>
      <c r="F63" s="17"/>
      <c r="G63" s="17"/>
      <c r="H63" s="234"/>
    </row>
    <row r="64" spans="1:8">
      <c r="A64" s="17"/>
      <c r="B64" s="67"/>
      <c r="C64" s="67"/>
      <c r="D64" s="67"/>
      <c r="E64" s="17"/>
      <c r="F64" s="17"/>
      <c r="G64" s="17"/>
      <c r="H64" s="234"/>
    </row>
    <row r="65" spans="1:8">
      <c r="A65" s="17"/>
      <c r="B65" s="67"/>
      <c r="C65" s="67"/>
      <c r="D65" s="67"/>
      <c r="E65" s="17"/>
      <c r="F65" s="17"/>
      <c r="G65" s="17"/>
      <c r="H65" s="234"/>
    </row>
    <row r="66" spans="1:8">
      <c r="A66" s="17"/>
      <c r="B66" s="67"/>
      <c r="C66" s="67"/>
      <c r="D66" s="67"/>
      <c r="E66" s="17"/>
      <c r="F66" s="17"/>
      <c r="G66" s="17"/>
      <c r="H66" s="234"/>
    </row>
    <row r="67" spans="1:8">
      <c r="A67" s="17"/>
      <c r="B67" s="67"/>
      <c r="C67" s="67"/>
      <c r="D67" s="67"/>
      <c r="E67" s="17"/>
      <c r="F67" s="17"/>
      <c r="G67" s="17"/>
      <c r="H67" s="234"/>
    </row>
    <row r="68" spans="1:8">
      <c r="A68" s="17"/>
      <c r="B68" s="67"/>
      <c r="C68" s="67"/>
      <c r="D68" s="67"/>
      <c r="E68" s="17"/>
      <c r="F68" s="17"/>
      <c r="G68" s="17"/>
      <c r="H68" s="234"/>
    </row>
    <row r="69" spans="1:8">
      <c r="A69" s="17"/>
      <c r="B69" s="67"/>
      <c r="C69" s="67"/>
      <c r="D69" s="67"/>
      <c r="E69" s="17"/>
      <c r="F69" s="17"/>
      <c r="G69" s="17"/>
      <c r="H69" s="234"/>
    </row>
    <row r="70" spans="1:8">
      <c r="A70" s="17"/>
      <c r="B70" s="67"/>
      <c r="C70" s="67"/>
      <c r="D70" s="67"/>
      <c r="E70" s="17"/>
      <c r="F70" s="17"/>
      <c r="G70" s="17"/>
      <c r="H70" s="234"/>
    </row>
    <row r="71" spans="1:8">
      <c r="A71" s="17"/>
      <c r="B71" s="67"/>
      <c r="C71" s="67"/>
      <c r="D71" s="67"/>
      <c r="E71" s="17"/>
      <c r="F71" s="17"/>
      <c r="G71" s="17"/>
      <c r="H71" s="234"/>
    </row>
    <row r="72" spans="1:8">
      <c r="A72" s="17"/>
      <c r="B72" s="67"/>
      <c r="C72" s="67"/>
      <c r="D72" s="67"/>
      <c r="E72" s="17"/>
      <c r="F72" s="17"/>
      <c r="G72" s="17"/>
      <c r="H72" s="234"/>
    </row>
    <row r="73" spans="1:8">
      <c r="A73" s="17"/>
      <c r="B73" s="67"/>
      <c r="C73" s="67"/>
      <c r="D73" s="67"/>
      <c r="E73" s="17"/>
      <c r="F73" s="17"/>
      <c r="G73" s="17"/>
      <c r="H73" s="234"/>
    </row>
    <row r="74" spans="1:8">
      <c r="A74" s="17"/>
      <c r="B74" s="67"/>
      <c r="C74" s="67"/>
      <c r="D74" s="67"/>
      <c r="E74" s="17"/>
      <c r="F74" s="17"/>
      <c r="G74" s="17"/>
      <c r="H74" s="234"/>
    </row>
    <row r="75" spans="1:8">
      <c r="A75" s="17"/>
      <c r="B75" s="67"/>
      <c r="C75" s="67"/>
      <c r="D75" s="67"/>
      <c r="E75" s="17"/>
      <c r="F75" s="17"/>
      <c r="G75" s="17"/>
      <c r="H75" s="234"/>
    </row>
    <row r="76" spans="1:8">
      <c r="A76" s="17"/>
      <c r="B76" s="67"/>
      <c r="C76" s="67"/>
      <c r="D76" s="67"/>
      <c r="E76" s="17"/>
      <c r="F76" s="17"/>
      <c r="G76" s="17"/>
      <c r="H76" s="234"/>
    </row>
    <row r="77" spans="1:8">
      <c r="A77" s="17"/>
      <c r="B77" s="67"/>
      <c r="C77" s="67"/>
      <c r="D77" s="67"/>
      <c r="E77" s="17"/>
      <c r="F77" s="17"/>
      <c r="G77" s="17"/>
      <c r="H77" s="234"/>
    </row>
    <row r="78" spans="1:8">
      <c r="A78" s="17"/>
      <c r="B78" s="67"/>
      <c r="C78" s="67"/>
      <c r="D78" s="67"/>
      <c r="E78" s="17"/>
      <c r="F78" s="17"/>
      <c r="G78" s="17"/>
      <c r="H78" s="234"/>
    </row>
    <row r="79" spans="1:8">
      <c r="A79" s="17"/>
      <c r="B79" s="67"/>
      <c r="C79" s="67"/>
      <c r="D79" s="67"/>
      <c r="E79" s="17"/>
      <c r="F79" s="17"/>
      <c r="G79" s="17"/>
      <c r="H79" s="234"/>
    </row>
    <row r="80" spans="1:8">
      <c r="A80" s="17"/>
      <c r="B80" s="67"/>
      <c r="C80" s="67"/>
      <c r="D80" s="67"/>
      <c r="E80" s="17"/>
      <c r="F80" s="17"/>
      <c r="G80" s="17"/>
      <c r="H80" s="234"/>
    </row>
    <row r="81" spans="1:8">
      <c r="A81" s="17"/>
      <c r="B81" s="67"/>
      <c r="C81" s="67"/>
      <c r="D81" s="67"/>
      <c r="E81" s="17"/>
      <c r="F81" s="17"/>
      <c r="G81" s="17"/>
      <c r="H81" s="234"/>
    </row>
    <row r="82" spans="1:8">
      <c r="A82" s="17"/>
      <c r="B82" s="67"/>
      <c r="C82" s="67"/>
      <c r="D82" s="67"/>
      <c r="E82" s="17"/>
      <c r="F82" s="17"/>
      <c r="G82" s="17"/>
      <c r="H82" s="234"/>
    </row>
    <row r="83" spans="1:8">
      <c r="A83" s="17"/>
      <c r="B83" s="67"/>
      <c r="C83" s="67"/>
      <c r="D83" s="67"/>
      <c r="E83" s="17"/>
      <c r="F83" s="17"/>
      <c r="G83" s="17"/>
      <c r="H83" s="234"/>
    </row>
    <row r="84" spans="1:8">
      <c r="A84" s="17"/>
      <c r="B84" s="67"/>
      <c r="C84" s="67"/>
      <c r="D84" s="67"/>
      <c r="E84" s="17"/>
      <c r="F84" s="17"/>
      <c r="G84" s="17"/>
      <c r="H84" s="234"/>
    </row>
  </sheetData>
  <mergeCells count="5">
    <mergeCell ref="B12:D12"/>
    <mergeCell ref="A2:G2"/>
    <mergeCell ref="A10:E10"/>
    <mergeCell ref="B11:D11"/>
    <mergeCell ref="B13:D13"/>
  </mergeCells>
  <hyperlinks>
    <hyperlink ref="A1" location="Главная!A1" display="Вернуться на главную страницу" xr:uid="{00000000-0004-0000-2800-000000000000}"/>
  </hyperlink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X117"/>
  <sheetViews>
    <sheetView zoomScale="40" zoomScaleNormal="40" workbookViewId="0"/>
  </sheetViews>
  <sheetFormatPr defaultColWidth="9.140625" defaultRowHeight="15.75"/>
  <cols>
    <col min="1" max="1" width="36" style="14" customWidth="1"/>
    <col min="2" max="2" width="62.42578125" style="65" customWidth="1"/>
    <col min="3" max="3" width="33.140625" style="65" customWidth="1"/>
    <col min="4" max="4" width="27" style="84" customWidth="1"/>
    <col min="5" max="5" width="50.42578125" style="65" customWidth="1"/>
    <col min="6" max="6" width="11" style="65" bestFit="1" customWidth="1"/>
    <col min="7" max="7" width="24.85546875" style="65" customWidth="1"/>
    <col min="8" max="16384" width="9.140625" style="65"/>
  </cols>
  <sheetData>
    <row r="1" spans="1:21" ht="20.25" customHeight="1" thickBot="1">
      <c r="A1" s="243" t="s">
        <v>9</v>
      </c>
      <c r="D1" s="984"/>
      <c r="F1" s="1118"/>
      <c r="G1" s="1118"/>
      <c r="H1" s="1118"/>
      <c r="I1" s="1118"/>
      <c r="J1" s="1118"/>
      <c r="K1" s="1118"/>
      <c r="L1" s="1118"/>
      <c r="M1" s="1118"/>
      <c r="N1" s="1118"/>
      <c r="O1" s="1118"/>
      <c r="P1" s="1118"/>
    </row>
    <row r="2" spans="1:21" ht="40.5" customHeight="1" thickBot="1">
      <c r="A2" s="3379" t="s">
        <v>11</v>
      </c>
      <c r="B2" s="3380"/>
      <c r="C2" s="3380"/>
      <c r="D2" s="3381" t="s">
        <v>5737</v>
      </c>
      <c r="E2" s="3383" t="s">
        <v>532</v>
      </c>
      <c r="F2" s="1118"/>
      <c r="G2" s="1118"/>
      <c r="H2" s="1118"/>
      <c r="I2" s="1118"/>
      <c r="J2" s="1118"/>
      <c r="K2" s="1118"/>
      <c r="L2" s="1118"/>
      <c r="M2" s="1118"/>
      <c r="N2" s="1118"/>
      <c r="O2" s="1118"/>
      <c r="P2" s="1118"/>
      <c r="Q2" s="1118"/>
      <c r="R2" s="1118"/>
      <c r="S2" s="1118"/>
      <c r="T2" s="1118"/>
      <c r="U2" s="1118"/>
    </row>
    <row r="3" spans="1:21" ht="40.5" customHeight="1" thickBot="1">
      <c r="A3" s="1119" t="s">
        <v>17</v>
      </c>
      <c r="B3" s="1120" t="s">
        <v>394</v>
      </c>
      <c r="C3" s="1119" t="s">
        <v>395</v>
      </c>
      <c r="D3" s="3382"/>
      <c r="E3" s="3384"/>
      <c r="F3" s="1118"/>
      <c r="G3" s="1118"/>
      <c r="H3" s="1118"/>
      <c r="I3" s="1118"/>
      <c r="J3" s="1118"/>
      <c r="K3" s="1118"/>
      <c r="L3" s="1118"/>
      <c r="M3" s="1118"/>
      <c r="N3" s="1118"/>
      <c r="O3" s="1118"/>
      <c r="P3" s="1118"/>
      <c r="Q3" s="1118"/>
      <c r="R3" s="1118"/>
      <c r="S3" s="1118"/>
      <c r="T3" s="1118"/>
      <c r="U3" s="1118"/>
    </row>
    <row r="4" spans="1:21" ht="37.5" customHeight="1">
      <c r="A4" s="3376" t="s">
        <v>128</v>
      </c>
      <c r="B4" s="3378"/>
      <c r="C4" s="3378"/>
      <c r="D4" s="3377">
        <v>8000</v>
      </c>
      <c r="E4" s="3388" t="s">
        <v>5767</v>
      </c>
      <c r="F4" s="1118"/>
      <c r="G4" s="1118"/>
      <c r="H4" s="1118"/>
      <c r="I4" s="1118"/>
      <c r="J4" s="1118"/>
      <c r="K4" s="1118"/>
      <c r="L4" s="1118"/>
      <c r="M4" s="1118"/>
      <c r="N4" s="1118"/>
      <c r="O4" s="1118"/>
      <c r="P4" s="1118"/>
      <c r="Q4" s="1118"/>
      <c r="R4" s="1118"/>
      <c r="S4" s="1118"/>
      <c r="T4" s="1118"/>
      <c r="U4" s="1118"/>
    </row>
    <row r="5" spans="1:21" ht="37.5" customHeight="1">
      <c r="A5" s="3371"/>
      <c r="B5" s="3374"/>
      <c r="C5" s="3374"/>
      <c r="D5" s="3366"/>
      <c r="E5" s="3389"/>
      <c r="F5" s="1118"/>
      <c r="G5" s="1118"/>
      <c r="H5" s="1118"/>
      <c r="I5" s="1118"/>
      <c r="J5" s="1118"/>
      <c r="K5" s="1118"/>
      <c r="L5" s="1118"/>
      <c r="M5" s="1118"/>
      <c r="N5" s="1118"/>
      <c r="O5" s="1118"/>
      <c r="P5" s="1118"/>
      <c r="Q5" s="1118"/>
      <c r="R5" s="1118"/>
      <c r="S5" s="1118"/>
      <c r="T5" s="1118"/>
      <c r="U5" s="1118"/>
    </row>
    <row r="6" spans="1:21" ht="37.5" customHeight="1">
      <c r="A6" s="3371"/>
      <c r="B6" s="3374"/>
      <c r="C6" s="3374"/>
      <c r="D6" s="3366"/>
      <c r="E6" s="3389"/>
      <c r="F6" s="1118"/>
      <c r="G6" s="1118"/>
      <c r="H6" s="1118"/>
      <c r="I6" s="1118"/>
      <c r="J6" s="1118"/>
      <c r="K6" s="1118"/>
      <c r="L6" s="1118"/>
      <c r="M6" s="1118"/>
      <c r="N6" s="1118"/>
      <c r="O6" s="1118"/>
      <c r="P6" s="1118"/>
      <c r="Q6" s="1118"/>
      <c r="R6" s="1118"/>
      <c r="S6" s="1118"/>
      <c r="T6" s="1118"/>
      <c r="U6" s="1118"/>
    </row>
    <row r="7" spans="1:21" ht="37.5" customHeight="1">
      <c r="A7" s="3371"/>
      <c r="B7" s="3374"/>
      <c r="C7" s="3374"/>
      <c r="D7" s="3366"/>
      <c r="E7" s="3389"/>
      <c r="F7" s="1118"/>
      <c r="G7" s="1118"/>
      <c r="H7" s="1118"/>
      <c r="I7" s="1118"/>
      <c r="J7" s="1118"/>
      <c r="K7" s="1118"/>
      <c r="L7" s="1118"/>
      <c r="M7" s="1118"/>
      <c r="N7" s="1118"/>
      <c r="O7" s="1118"/>
      <c r="P7" s="1118"/>
      <c r="Q7" s="1118"/>
      <c r="R7" s="1118"/>
      <c r="S7" s="1118"/>
      <c r="T7" s="1118"/>
      <c r="U7" s="1118"/>
    </row>
    <row r="8" spans="1:21" ht="37.5" customHeight="1">
      <c r="A8" s="3371"/>
      <c r="B8" s="3374"/>
      <c r="C8" s="3374"/>
      <c r="D8" s="3373"/>
      <c r="E8" s="3389"/>
      <c r="F8" s="1118"/>
      <c r="G8" s="1118"/>
      <c r="H8" s="1118"/>
      <c r="I8" s="1118"/>
      <c r="J8" s="1118"/>
      <c r="K8" s="1118"/>
      <c r="L8" s="1118"/>
      <c r="M8" s="1118"/>
      <c r="N8" s="1118"/>
      <c r="O8" s="1118"/>
      <c r="P8" s="1118"/>
      <c r="Q8" s="1118"/>
      <c r="R8" s="1118"/>
      <c r="S8" s="1118"/>
      <c r="T8" s="1118"/>
      <c r="U8" s="1118"/>
    </row>
    <row r="9" spans="1:21" ht="37.5" customHeight="1">
      <c r="A9" s="3371" t="s">
        <v>149</v>
      </c>
      <c r="B9" s="3374"/>
      <c r="C9" s="3374"/>
      <c r="D9" s="3365">
        <v>8000</v>
      </c>
      <c r="E9" s="3389"/>
      <c r="F9" s="1118"/>
      <c r="G9" s="1118"/>
      <c r="H9" s="1118"/>
      <c r="I9" s="1118"/>
      <c r="J9" s="1118"/>
      <c r="K9" s="1118"/>
      <c r="L9" s="1118"/>
      <c r="M9" s="1118"/>
      <c r="N9" s="1118"/>
      <c r="O9" s="1118"/>
      <c r="P9" s="1118"/>
      <c r="Q9" s="1118"/>
      <c r="R9" s="1118"/>
      <c r="S9" s="1118"/>
      <c r="T9" s="1118"/>
      <c r="U9" s="1118"/>
    </row>
    <row r="10" spans="1:21" ht="37.5" customHeight="1">
      <c r="A10" s="3371"/>
      <c r="B10" s="3374"/>
      <c r="C10" s="3374"/>
      <c r="D10" s="3366"/>
      <c r="E10" s="3389"/>
      <c r="F10" s="1118"/>
      <c r="G10" s="1118"/>
      <c r="H10" s="1118"/>
      <c r="I10" s="1118"/>
      <c r="J10" s="1118"/>
      <c r="K10" s="1118"/>
      <c r="L10" s="1118"/>
      <c r="M10" s="1118"/>
      <c r="N10" s="1118"/>
      <c r="O10" s="1118"/>
      <c r="P10" s="1118"/>
      <c r="Q10" s="1118"/>
      <c r="R10" s="1118"/>
      <c r="S10" s="1118"/>
      <c r="T10" s="1118"/>
      <c r="U10" s="1118"/>
    </row>
    <row r="11" spans="1:21" ht="37.5" customHeight="1">
      <c r="A11" s="3371"/>
      <c r="B11" s="3374"/>
      <c r="C11" s="3374"/>
      <c r="D11" s="3366"/>
      <c r="E11" s="3389"/>
      <c r="F11" s="1118"/>
      <c r="G11" s="1118"/>
      <c r="H11" s="1118"/>
      <c r="I11" s="1118"/>
      <c r="J11" s="1118"/>
      <c r="K11" s="1118"/>
      <c r="L11" s="1118"/>
      <c r="M11" s="1118"/>
      <c r="N11" s="1118"/>
      <c r="O11" s="1118"/>
      <c r="P11" s="1118"/>
      <c r="Q11" s="1118"/>
      <c r="R11" s="1118"/>
      <c r="S11" s="1118"/>
      <c r="T11" s="1118"/>
      <c r="U11" s="1118"/>
    </row>
    <row r="12" spans="1:21" ht="37.5" customHeight="1">
      <c r="A12" s="3371"/>
      <c r="B12" s="3374"/>
      <c r="C12" s="3374"/>
      <c r="D12" s="3366"/>
      <c r="E12" s="3389"/>
      <c r="F12" s="1118"/>
      <c r="G12" s="1118"/>
      <c r="H12" s="1118"/>
      <c r="I12" s="1118"/>
      <c r="J12" s="1118"/>
      <c r="K12" s="1118"/>
      <c r="L12" s="1118"/>
      <c r="M12" s="1118"/>
      <c r="N12" s="1118"/>
      <c r="O12" s="1118"/>
      <c r="P12" s="1118"/>
      <c r="Q12" s="1118"/>
      <c r="R12" s="1118"/>
      <c r="S12" s="1118"/>
      <c r="T12" s="1118"/>
      <c r="U12" s="1118"/>
    </row>
    <row r="13" spans="1:21" ht="37.5" customHeight="1" thickBot="1">
      <c r="A13" s="3372"/>
      <c r="B13" s="3375"/>
      <c r="C13" s="3375"/>
      <c r="D13" s="3367"/>
      <c r="E13" s="3390"/>
      <c r="F13" s="1118"/>
      <c r="G13" s="1118"/>
      <c r="H13" s="1118"/>
      <c r="I13" s="1118"/>
      <c r="J13" s="1118"/>
      <c r="K13" s="1118"/>
      <c r="L13" s="1118"/>
      <c r="M13" s="1118"/>
      <c r="N13" s="1118"/>
      <c r="O13" s="1118"/>
      <c r="P13" s="1118"/>
      <c r="Q13" s="1118"/>
      <c r="R13" s="1118"/>
      <c r="S13" s="1118"/>
      <c r="T13" s="1118"/>
      <c r="U13" s="1118"/>
    </row>
    <row r="14" spans="1:21" ht="37.5" customHeight="1">
      <c r="A14" s="3376" t="s">
        <v>70</v>
      </c>
      <c r="B14" s="3378"/>
      <c r="C14" s="3378"/>
      <c r="D14" s="3377">
        <v>10200</v>
      </c>
      <c r="E14" s="3388" t="s">
        <v>533</v>
      </c>
      <c r="F14" s="1118"/>
      <c r="G14" s="1118"/>
      <c r="H14" s="1118"/>
      <c r="I14" s="1118"/>
      <c r="J14" s="1118"/>
      <c r="K14" s="1118"/>
      <c r="L14" s="1118"/>
      <c r="M14" s="1118"/>
      <c r="N14" s="1118"/>
      <c r="O14" s="1118"/>
      <c r="P14" s="1118"/>
      <c r="Q14" s="1118"/>
      <c r="R14" s="1118"/>
      <c r="S14" s="1118"/>
      <c r="T14" s="1118"/>
      <c r="U14" s="1118"/>
    </row>
    <row r="15" spans="1:21" ht="37.5" customHeight="1">
      <c r="A15" s="3371"/>
      <c r="B15" s="3374"/>
      <c r="C15" s="3374"/>
      <c r="D15" s="3366"/>
      <c r="E15" s="3389"/>
      <c r="F15" s="1118"/>
      <c r="G15" s="1118"/>
      <c r="H15" s="1118"/>
      <c r="I15" s="1118"/>
      <c r="J15" s="1118"/>
      <c r="K15" s="1118"/>
      <c r="L15" s="1118"/>
      <c r="M15" s="1118"/>
      <c r="N15" s="1118"/>
      <c r="O15" s="1118"/>
      <c r="P15" s="1118"/>
      <c r="Q15" s="1118"/>
      <c r="R15" s="1118"/>
      <c r="S15" s="1118"/>
      <c r="T15" s="1118"/>
      <c r="U15" s="1118"/>
    </row>
    <row r="16" spans="1:21" ht="37.5" customHeight="1">
      <c r="A16" s="3371"/>
      <c r="B16" s="3374"/>
      <c r="C16" s="3374"/>
      <c r="D16" s="3366"/>
      <c r="E16" s="3389"/>
      <c r="F16" s="1118"/>
      <c r="G16" s="1118"/>
      <c r="H16" s="1118"/>
      <c r="I16" s="1118"/>
      <c r="J16" s="1118"/>
      <c r="K16" s="1118"/>
      <c r="L16" s="1118"/>
      <c r="M16" s="1118"/>
      <c r="N16" s="1118"/>
      <c r="O16" s="1118"/>
      <c r="P16" s="1118"/>
      <c r="Q16" s="1118"/>
      <c r="R16" s="1118"/>
      <c r="S16" s="1118"/>
      <c r="T16" s="1118"/>
      <c r="U16" s="1118"/>
    </row>
    <row r="17" spans="1:21" ht="37.5" customHeight="1">
      <c r="A17" s="3371"/>
      <c r="B17" s="3374"/>
      <c r="C17" s="3374"/>
      <c r="D17" s="3366"/>
      <c r="E17" s="3389"/>
      <c r="F17" s="1118"/>
      <c r="G17" s="1118"/>
      <c r="H17" s="1118"/>
      <c r="I17" s="1118"/>
      <c r="J17" s="1118"/>
      <c r="K17" s="1118"/>
      <c r="L17" s="1118"/>
      <c r="M17" s="1118"/>
      <c r="N17" s="1118"/>
      <c r="O17" s="1118"/>
      <c r="P17" s="1118"/>
      <c r="Q17" s="1118"/>
      <c r="R17" s="1118"/>
      <c r="S17" s="1118"/>
      <c r="T17" s="1118"/>
      <c r="U17" s="1118"/>
    </row>
    <row r="18" spans="1:21" ht="41.25" customHeight="1">
      <c r="A18" s="3371"/>
      <c r="B18" s="3374"/>
      <c r="C18" s="3374"/>
      <c r="D18" s="3373"/>
      <c r="E18" s="3389"/>
      <c r="F18" s="1118"/>
      <c r="G18" s="1118"/>
      <c r="H18" s="1118"/>
      <c r="I18" s="1118"/>
      <c r="J18" s="1118"/>
      <c r="K18" s="1118"/>
      <c r="L18" s="1118"/>
      <c r="M18" s="1118"/>
      <c r="N18" s="1118"/>
      <c r="O18" s="1118"/>
      <c r="P18" s="1118"/>
      <c r="Q18" s="1118"/>
      <c r="R18" s="1118"/>
      <c r="S18" s="1118"/>
      <c r="T18" s="1118"/>
      <c r="U18" s="1118"/>
    </row>
    <row r="19" spans="1:21" ht="37.5" customHeight="1">
      <c r="A19" s="3371" t="s">
        <v>71</v>
      </c>
      <c r="B19" s="3374"/>
      <c r="C19" s="3374"/>
      <c r="D19" s="3365">
        <v>10200</v>
      </c>
      <c r="E19" s="3389"/>
      <c r="F19" s="1118"/>
      <c r="G19" s="1118"/>
      <c r="H19" s="1118"/>
      <c r="I19" s="1118"/>
      <c r="J19" s="1118"/>
      <c r="K19" s="1118"/>
      <c r="L19" s="1118"/>
      <c r="M19" s="1118"/>
      <c r="N19" s="1118"/>
      <c r="O19" s="1118"/>
      <c r="P19" s="1118"/>
      <c r="Q19" s="1118"/>
      <c r="R19" s="1118"/>
      <c r="S19" s="1118"/>
      <c r="T19" s="1118"/>
      <c r="U19" s="1118"/>
    </row>
    <row r="20" spans="1:21" ht="37.5" customHeight="1">
      <c r="A20" s="3371"/>
      <c r="B20" s="3374"/>
      <c r="C20" s="3374"/>
      <c r="D20" s="3366"/>
      <c r="E20" s="3389"/>
      <c r="F20" s="1118"/>
      <c r="G20" s="1118"/>
      <c r="H20" s="1118"/>
      <c r="I20" s="1118"/>
      <c r="J20" s="1118"/>
      <c r="K20" s="1118"/>
      <c r="L20" s="1118"/>
      <c r="M20" s="1118"/>
      <c r="N20" s="1118"/>
      <c r="O20" s="1118"/>
      <c r="P20" s="1118"/>
      <c r="Q20" s="1118"/>
      <c r="R20" s="1118"/>
      <c r="S20" s="1118"/>
      <c r="T20" s="1118"/>
      <c r="U20" s="1118"/>
    </row>
    <row r="21" spans="1:21" ht="37.5" customHeight="1">
      <c r="A21" s="3371"/>
      <c r="B21" s="3374"/>
      <c r="C21" s="3374"/>
      <c r="D21" s="3366"/>
      <c r="E21" s="3389"/>
      <c r="F21" s="1118"/>
      <c r="G21" s="1118"/>
      <c r="H21" s="1118"/>
      <c r="I21" s="1118"/>
      <c r="J21" s="1118"/>
      <c r="K21" s="1118"/>
      <c r="L21" s="1118"/>
      <c r="M21" s="1118"/>
      <c r="N21" s="1118"/>
      <c r="O21" s="1118"/>
      <c r="P21" s="1118"/>
      <c r="Q21" s="1118"/>
      <c r="R21" s="1118"/>
      <c r="S21" s="1118"/>
      <c r="T21" s="1118"/>
      <c r="U21" s="1118"/>
    </row>
    <row r="22" spans="1:21" ht="37.5" customHeight="1">
      <c r="A22" s="3371"/>
      <c r="B22" s="3374"/>
      <c r="C22" s="3374"/>
      <c r="D22" s="3366"/>
      <c r="E22" s="3389"/>
      <c r="F22" s="1118"/>
      <c r="G22" s="1118"/>
      <c r="H22" s="1118"/>
      <c r="I22" s="1118"/>
      <c r="J22" s="1118"/>
      <c r="K22" s="1118"/>
      <c r="L22" s="1118"/>
      <c r="M22" s="1118"/>
      <c r="N22" s="1118"/>
      <c r="O22" s="1118"/>
      <c r="P22" s="1118"/>
      <c r="Q22" s="1118"/>
      <c r="R22" s="1118"/>
      <c r="S22" s="1118"/>
      <c r="T22" s="1118"/>
      <c r="U22" s="1118"/>
    </row>
    <row r="23" spans="1:21" ht="44.25" customHeight="1" thickBot="1">
      <c r="A23" s="3372"/>
      <c r="B23" s="3375"/>
      <c r="C23" s="3375"/>
      <c r="D23" s="3367"/>
      <c r="E23" s="3390"/>
      <c r="F23" s="1118"/>
      <c r="G23" s="1118"/>
      <c r="H23" s="1118"/>
      <c r="I23" s="1118"/>
      <c r="J23" s="1118"/>
      <c r="K23" s="1118"/>
      <c r="L23" s="1118"/>
      <c r="M23" s="1118"/>
      <c r="N23" s="1118"/>
      <c r="O23" s="1118"/>
      <c r="P23" s="1118"/>
      <c r="Q23" s="1118"/>
      <c r="R23" s="1118"/>
      <c r="S23" s="1118"/>
      <c r="T23" s="1118"/>
      <c r="U23" s="1118"/>
    </row>
    <row r="24" spans="1:21" ht="42" customHeight="1">
      <c r="A24" s="3376" t="s">
        <v>126</v>
      </c>
      <c r="B24" s="3328"/>
      <c r="C24" s="3331"/>
      <c r="D24" s="3377">
        <v>12100</v>
      </c>
      <c r="E24" s="3388" t="s">
        <v>533</v>
      </c>
      <c r="F24" s="1118"/>
      <c r="G24" s="1118"/>
      <c r="H24" s="1118"/>
      <c r="I24" s="1118"/>
      <c r="J24" s="1118"/>
      <c r="K24" s="1118"/>
      <c r="L24" s="1118"/>
      <c r="M24" s="1118"/>
      <c r="N24" s="1118"/>
      <c r="O24" s="1118"/>
      <c r="P24" s="1118"/>
      <c r="Q24" s="1118"/>
      <c r="R24" s="1118"/>
      <c r="S24" s="1118"/>
      <c r="T24" s="1118"/>
      <c r="U24" s="1118"/>
    </row>
    <row r="25" spans="1:21" ht="42" customHeight="1">
      <c r="A25" s="3371"/>
      <c r="B25" s="3329"/>
      <c r="C25" s="3332"/>
      <c r="D25" s="3366"/>
      <c r="E25" s="3389"/>
      <c r="F25" s="1118"/>
      <c r="G25" s="1118"/>
      <c r="H25" s="1118"/>
      <c r="I25" s="1118"/>
      <c r="J25" s="1118"/>
      <c r="K25" s="1118"/>
      <c r="L25" s="1118"/>
      <c r="M25" s="1118"/>
      <c r="N25" s="1118"/>
      <c r="O25" s="1118"/>
      <c r="P25" s="1118"/>
      <c r="Q25" s="1118"/>
      <c r="R25" s="1118"/>
      <c r="S25" s="1118"/>
      <c r="T25" s="1118"/>
      <c r="U25" s="1118"/>
    </row>
    <row r="26" spans="1:21" ht="42" customHeight="1">
      <c r="A26" s="3371"/>
      <c r="B26" s="3329"/>
      <c r="C26" s="3332"/>
      <c r="D26" s="3366"/>
      <c r="E26" s="3389"/>
      <c r="F26" s="1118"/>
      <c r="G26" s="1118"/>
      <c r="H26" s="1118"/>
      <c r="I26" s="1118"/>
      <c r="J26" s="1118"/>
      <c r="K26" s="1118"/>
      <c r="L26" s="1118"/>
      <c r="M26" s="1118"/>
      <c r="N26" s="1118"/>
      <c r="O26" s="1118"/>
      <c r="P26" s="1118"/>
      <c r="Q26" s="1118"/>
      <c r="R26" s="1118"/>
      <c r="S26" s="1118"/>
      <c r="T26" s="1118"/>
      <c r="U26" s="1118"/>
    </row>
    <row r="27" spans="1:21" ht="42" customHeight="1">
      <c r="A27" s="3371"/>
      <c r="B27" s="3329"/>
      <c r="C27" s="3332"/>
      <c r="D27" s="3366"/>
      <c r="E27" s="3389"/>
      <c r="F27" s="1118"/>
      <c r="G27" s="1118"/>
      <c r="H27" s="1118"/>
      <c r="I27" s="1118"/>
      <c r="J27" s="1118"/>
      <c r="K27" s="1118"/>
      <c r="L27" s="1118"/>
      <c r="M27" s="1118"/>
      <c r="N27" s="1118"/>
      <c r="O27" s="1118"/>
      <c r="P27" s="1118"/>
      <c r="Q27" s="1118"/>
      <c r="R27" s="1118"/>
      <c r="S27" s="1118"/>
      <c r="T27" s="1118"/>
      <c r="U27" s="1118"/>
    </row>
    <row r="28" spans="1:21" ht="42" customHeight="1">
      <c r="A28" s="3371"/>
      <c r="B28" s="3329"/>
      <c r="C28" s="3332"/>
      <c r="D28" s="3373"/>
      <c r="E28" s="3389"/>
      <c r="F28" s="1118"/>
      <c r="G28" s="1118"/>
      <c r="H28" s="1118"/>
      <c r="I28" s="1118"/>
      <c r="J28" s="1118"/>
      <c r="K28" s="1118"/>
      <c r="L28" s="1118"/>
      <c r="M28" s="1118"/>
      <c r="N28" s="1118"/>
      <c r="O28" s="1118"/>
      <c r="P28" s="1118"/>
      <c r="Q28" s="1118"/>
      <c r="R28" s="1118"/>
      <c r="S28" s="1118"/>
      <c r="T28" s="1118"/>
      <c r="U28" s="1118"/>
    </row>
    <row r="29" spans="1:21" ht="42" customHeight="1">
      <c r="A29" s="3371" t="s">
        <v>127</v>
      </c>
      <c r="B29" s="3329"/>
      <c r="C29" s="3332"/>
      <c r="D29" s="3365">
        <v>12100</v>
      </c>
      <c r="E29" s="3389"/>
      <c r="F29" s="1118"/>
      <c r="G29" s="1118"/>
      <c r="H29" s="1118"/>
      <c r="I29" s="1118"/>
      <c r="J29" s="1118"/>
      <c r="K29" s="1118"/>
      <c r="L29" s="1118"/>
      <c r="M29" s="1118"/>
      <c r="N29" s="1118"/>
      <c r="O29" s="1118"/>
      <c r="P29" s="1118"/>
      <c r="Q29" s="1118"/>
      <c r="R29" s="1118"/>
      <c r="S29" s="1118"/>
      <c r="T29" s="1118"/>
      <c r="U29" s="1118"/>
    </row>
    <row r="30" spans="1:21" ht="42" customHeight="1">
      <c r="A30" s="3371"/>
      <c r="B30" s="3329"/>
      <c r="C30" s="3332"/>
      <c r="D30" s="3366"/>
      <c r="E30" s="3389"/>
      <c r="F30" s="1118"/>
      <c r="G30" s="1118"/>
      <c r="H30" s="1118"/>
      <c r="I30" s="1118"/>
      <c r="J30" s="1118"/>
      <c r="K30" s="1118"/>
      <c r="L30" s="1118"/>
      <c r="M30" s="1118"/>
      <c r="N30" s="1118"/>
      <c r="O30" s="1118"/>
      <c r="P30" s="1118"/>
      <c r="Q30" s="1118"/>
      <c r="R30" s="1118"/>
      <c r="S30" s="1118"/>
      <c r="T30" s="1118"/>
      <c r="U30" s="1118"/>
    </row>
    <row r="31" spans="1:21" ht="42" customHeight="1">
      <c r="A31" s="3371"/>
      <c r="B31" s="3329"/>
      <c r="C31" s="3332"/>
      <c r="D31" s="3366"/>
      <c r="E31" s="3389"/>
      <c r="F31" s="1118"/>
      <c r="G31" s="1118"/>
      <c r="H31" s="1118"/>
      <c r="I31" s="1118"/>
      <c r="J31" s="1118"/>
      <c r="K31" s="1118"/>
      <c r="L31" s="1118"/>
      <c r="M31" s="1118"/>
      <c r="N31" s="1118"/>
      <c r="O31" s="1118"/>
      <c r="P31" s="1118"/>
      <c r="Q31" s="1118"/>
      <c r="R31" s="1118"/>
      <c r="S31" s="1118"/>
      <c r="T31" s="1118"/>
      <c r="U31" s="1118"/>
    </row>
    <row r="32" spans="1:21" ht="42" customHeight="1">
      <c r="A32" s="3371"/>
      <c r="B32" s="3329"/>
      <c r="C32" s="3332"/>
      <c r="D32" s="3366"/>
      <c r="E32" s="3389"/>
      <c r="F32" s="1118"/>
      <c r="G32" s="1118"/>
      <c r="H32" s="1118"/>
      <c r="I32" s="1118"/>
      <c r="J32" s="1118"/>
      <c r="K32" s="1118"/>
      <c r="L32" s="1118"/>
      <c r="M32" s="1118"/>
      <c r="N32" s="1118"/>
      <c r="O32" s="1118"/>
      <c r="P32" s="1118"/>
      <c r="Q32" s="1118"/>
      <c r="R32" s="1118"/>
      <c r="S32" s="1118"/>
      <c r="T32" s="1118"/>
      <c r="U32" s="1118"/>
    </row>
    <row r="33" spans="1:21" ht="42" customHeight="1" thickBot="1">
      <c r="A33" s="3372"/>
      <c r="B33" s="3330"/>
      <c r="C33" s="3333"/>
      <c r="D33" s="3367"/>
      <c r="E33" s="3390"/>
      <c r="F33" s="1118"/>
      <c r="G33" s="1118"/>
      <c r="H33" s="1118"/>
      <c r="I33" s="1118"/>
      <c r="J33" s="1118"/>
      <c r="K33" s="1118"/>
      <c r="L33" s="1118"/>
      <c r="M33" s="1118"/>
      <c r="N33" s="1118"/>
      <c r="O33" s="1118"/>
      <c r="P33" s="1118"/>
      <c r="Q33" s="1118"/>
      <c r="R33" s="1118"/>
      <c r="S33" s="1118"/>
      <c r="T33" s="1118"/>
      <c r="U33" s="1118"/>
    </row>
    <row r="34" spans="1:21" ht="81.75" customHeight="1">
      <c r="A34" s="3358" t="s">
        <v>417</v>
      </c>
      <c r="B34" s="3360"/>
      <c r="C34" s="3361"/>
      <c r="D34" s="3366">
        <v>18500</v>
      </c>
      <c r="E34" s="3388" t="s">
        <v>344</v>
      </c>
      <c r="F34" s="1118"/>
      <c r="G34" s="1118"/>
      <c r="H34" s="1118"/>
      <c r="I34" s="1118"/>
      <c r="J34" s="1118"/>
      <c r="K34" s="1118"/>
      <c r="L34" s="1118"/>
      <c r="M34" s="1118"/>
      <c r="N34" s="1118"/>
      <c r="O34" s="1118"/>
      <c r="P34" s="1118"/>
      <c r="Q34" s="1118"/>
      <c r="R34" s="1118"/>
      <c r="S34" s="1118"/>
      <c r="T34" s="1118"/>
      <c r="U34" s="1118"/>
    </row>
    <row r="35" spans="1:21" ht="81.75" customHeight="1">
      <c r="A35" s="3326"/>
      <c r="B35" s="3329"/>
      <c r="C35" s="3332"/>
      <c r="D35" s="3366"/>
      <c r="E35" s="3389"/>
      <c r="F35" s="1118"/>
      <c r="G35" s="1118"/>
      <c r="H35" s="1118"/>
      <c r="I35" s="1118"/>
      <c r="J35" s="1118"/>
      <c r="K35" s="1118"/>
      <c r="L35" s="1118"/>
      <c r="M35" s="1118"/>
      <c r="N35" s="1118"/>
      <c r="O35" s="1118"/>
      <c r="P35" s="1118"/>
      <c r="Q35" s="1118"/>
      <c r="R35" s="1118"/>
      <c r="S35" s="1118"/>
      <c r="T35" s="1118"/>
      <c r="U35" s="1118"/>
    </row>
    <row r="36" spans="1:21" ht="81.75" customHeight="1">
      <c r="A36" s="3326"/>
      <c r="B36" s="3329"/>
      <c r="C36" s="3332"/>
      <c r="D36" s="3366"/>
      <c r="E36" s="3389"/>
      <c r="F36" s="1118"/>
      <c r="G36" s="1118"/>
      <c r="H36" s="1118"/>
      <c r="I36" s="1118"/>
      <c r="J36" s="1118"/>
      <c r="K36" s="1118"/>
      <c r="L36" s="1118"/>
      <c r="M36" s="1118"/>
      <c r="N36" s="1118"/>
      <c r="O36" s="1118"/>
      <c r="P36" s="1118"/>
      <c r="Q36" s="1118"/>
      <c r="R36" s="1118"/>
      <c r="S36" s="1118"/>
      <c r="T36" s="1118"/>
      <c r="U36" s="1118"/>
    </row>
    <row r="37" spans="1:21" ht="81.75" customHeight="1">
      <c r="A37" s="3326"/>
      <c r="B37" s="3329"/>
      <c r="C37" s="3332"/>
      <c r="D37" s="3366"/>
      <c r="E37" s="3389"/>
      <c r="F37" s="1118"/>
      <c r="G37" s="1118"/>
      <c r="H37" s="1118"/>
      <c r="I37" s="1118"/>
      <c r="J37" s="1118"/>
      <c r="K37" s="1118"/>
      <c r="L37" s="1118"/>
      <c r="M37" s="1118"/>
      <c r="N37" s="1118"/>
      <c r="O37" s="1118"/>
      <c r="P37" s="1118"/>
      <c r="Q37" s="1118"/>
      <c r="R37" s="1118"/>
      <c r="S37" s="1118"/>
      <c r="T37" s="1118"/>
      <c r="U37" s="1118"/>
    </row>
    <row r="38" spans="1:21" ht="81.75" customHeight="1">
      <c r="A38" s="3326"/>
      <c r="B38" s="3329"/>
      <c r="C38" s="3332"/>
      <c r="D38" s="3373"/>
      <c r="E38" s="3389"/>
      <c r="F38" s="1118"/>
      <c r="G38" s="1118"/>
      <c r="H38" s="1118"/>
      <c r="I38" s="1118"/>
      <c r="J38" s="1118"/>
      <c r="K38" s="1118"/>
      <c r="L38" s="1118"/>
      <c r="M38" s="1118"/>
      <c r="N38" s="1118"/>
      <c r="O38" s="1118"/>
      <c r="P38" s="1118"/>
      <c r="Q38" s="1118"/>
      <c r="R38" s="1118"/>
      <c r="S38" s="1118"/>
      <c r="T38" s="1118"/>
      <c r="U38" s="1118"/>
    </row>
    <row r="39" spans="1:21" ht="69.75" customHeight="1">
      <c r="A39" s="3326" t="s">
        <v>418</v>
      </c>
      <c r="B39" s="3329"/>
      <c r="C39" s="3332"/>
      <c r="D39" s="3365">
        <v>18500</v>
      </c>
      <c r="E39" s="3389"/>
      <c r="F39" s="1118"/>
      <c r="G39" s="1118"/>
      <c r="H39" s="1118"/>
      <c r="I39" s="1118"/>
      <c r="J39" s="1118"/>
      <c r="K39" s="1118"/>
      <c r="L39" s="1118"/>
      <c r="M39" s="1118"/>
      <c r="N39" s="1118"/>
      <c r="O39" s="1118"/>
      <c r="P39" s="1118"/>
      <c r="Q39" s="1118"/>
      <c r="R39" s="1118"/>
      <c r="S39" s="1118"/>
      <c r="T39" s="1118"/>
      <c r="U39" s="1118"/>
    </row>
    <row r="40" spans="1:21" ht="69.75" customHeight="1">
      <c r="A40" s="3326"/>
      <c r="B40" s="3329"/>
      <c r="C40" s="3332"/>
      <c r="D40" s="3366"/>
      <c r="E40" s="3389"/>
      <c r="F40" s="1118"/>
      <c r="G40" s="1118"/>
      <c r="H40" s="1118"/>
      <c r="I40" s="1118"/>
      <c r="J40" s="1118"/>
      <c r="K40" s="1118"/>
      <c r="L40" s="1118"/>
      <c r="M40" s="1118"/>
      <c r="N40" s="1118"/>
      <c r="O40" s="1118"/>
      <c r="P40" s="1118"/>
      <c r="Q40" s="1118"/>
      <c r="R40" s="1118"/>
      <c r="S40" s="1118"/>
      <c r="T40" s="1118"/>
      <c r="U40" s="1118"/>
    </row>
    <row r="41" spans="1:21" ht="69.75" customHeight="1">
      <c r="A41" s="3326"/>
      <c r="B41" s="3329"/>
      <c r="C41" s="3332"/>
      <c r="D41" s="3366"/>
      <c r="E41" s="3389"/>
      <c r="F41" s="1118"/>
      <c r="G41" s="1118"/>
      <c r="H41" s="1118"/>
      <c r="I41" s="1118"/>
      <c r="J41" s="1118"/>
      <c r="K41" s="1118"/>
      <c r="L41" s="1118"/>
      <c r="M41" s="1118"/>
      <c r="N41" s="1118"/>
      <c r="O41" s="1118"/>
      <c r="P41" s="1118"/>
      <c r="Q41" s="1118"/>
      <c r="R41" s="1118"/>
      <c r="S41" s="1118"/>
      <c r="T41" s="1118"/>
      <c r="U41" s="1118"/>
    </row>
    <row r="42" spans="1:21" ht="69.75" customHeight="1">
      <c r="A42" s="3326"/>
      <c r="B42" s="3329"/>
      <c r="C42" s="3332"/>
      <c r="D42" s="3366"/>
      <c r="E42" s="3389"/>
      <c r="F42" s="1118"/>
      <c r="G42" s="1118"/>
      <c r="H42" s="1118"/>
      <c r="I42" s="1118"/>
      <c r="J42" s="1118"/>
      <c r="K42" s="1118"/>
      <c r="L42" s="1118"/>
      <c r="M42" s="1118"/>
      <c r="N42" s="1118"/>
      <c r="O42" s="1118"/>
      <c r="P42" s="1118"/>
      <c r="Q42" s="1118"/>
      <c r="R42" s="1118"/>
      <c r="S42" s="1118"/>
      <c r="T42" s="1118"/>
      <c r="U42" s="1118"/>
    </row>
    <row r="43" spans="1:21" ht="69.75" customHeight="1" thickBot="1">
      <c r="A43" s="3359"/>
      <c r="B43" s="3351"/>
      <c r="C43" s="3354"/>
      <c r="D43" s="3367"/>
      <c r="E43" s="3390"/>
      <c r="F43" s="1118"/>
      <c r="G43" s="1118"/>
      <c r="H43" s="1118"/>
      <c r="I43" s="1118"/>
      <c r="J43" s="1118"/>
      <c r="K43" s="1118"/>
      <c r="L43" s="1118"/>
      <c r="M43" s="1118"/>
      <c r="N43" s="1118"/>
      <c r="O43" s="1118"/>
      <c r="P43" s="1118"/>
      <c r="Q43" s="1118"/>
      <c r="R43" s="1118"/>
      <c r="S43" s="1118"/>
      <c r="T43" s="1118"/>
      <c r="U43" s="1118"/>
    </row>
    <row r="44" spans="1:21" ht="60" customHeight="1">
      <c r="A44" s="3325" t="s">
        <v>5762</v>
      </c>
      <c r="B44" s="3368"/>
      <c r="C44" s="3289"/>
      <c r="D44" s="3369">
        <v>10000</v>
      </c>
      <c r="E44" s="3388" t="s">
        <v>344</v>
      </c>
      <c r="F44" s="1118"/>
      <c r="G44" s="1118"/>
      <c r="H44" s="1118"/>
      <c r="I44" s="1118"/>
      <c r="J44" s="1118"/>
      <c r="K44" s="1118"/>
      <c r="L44" s="1118"/>
      <c r="M44" s="1118"/>
      <c r="N44" s="1118"/>
      <c r="O44" s="1118"/>
      <c r="P44" s="1118"/>
      <c r="Q44" s="1118"/>
      <c r="R44" s="1118"/>
      <c r="S44" s="1118"/>
    </row>
    <row r="45" spans="1:21" ht="60" customHeight="1">
      <c r="A45" s="3326"/>
      <c r="B45" s="3352"/>
      <c r="C45" s="3290"/>
      <c r="D45" s="3356"/>
      <c r="E45" s="3389"/>
      <c r="F45" s="1118"/>
      <c r="G45" s="1118"/>
      <c r="H45" s="1118"/>
      <c r="I45" s="1118"/>
      <c r="J45" s="1118"/>
      <c r="K45" s="1118"/>
      <c r="L45" s="1118"/>
      <c r="M45" s="1118"/>
      <c r="N45" s="1118"/>
      <c r="O45" s="1118"/>
      <c r="P45" s="1118"/>
      <c r="Q45" s="1118"/>
      <c r="R45" s="1118"/>
      <c r="S45" s="1118"/>
    </row>
    <row r="46" spans="1:21" ht="60" customHeight="1">
      <c r="A46" s="3326"/>
      <c r="B46" s="3352"/>
      <c r="C46" s="3290"/>
      <c r="D46" s="3356"/>
      <c r="E46" s="3389"/>
      <c r="F46" s="1118"/>
      <c r="G46" s="1118"/>
      <c r="H46" s="1118"/>
      <c r="I46" s="1118"/>
      <c r="J46" s="1118"/>
      <c r="K46" s="1118"/>
      <c r="L46" s="1118"/>
      <c r="M46" s="1118"/>
      <c r="N46" s="1118"/>
      <c r="O46" s="1118"/>
      <c r="P46" s="1118"/>
      <c r="Q46" s="1118"/>
      <c r="R46" s="1118"/>
      <c r="S46" s="1118"/>
    </row>
    <row r="47" spans="1:21" ht="60" customHeight="1">
      <c r="A47" s="3326"/>
      <c r="B47" s="3352"/>
      <c r="C47" s="3290"/>
      <c r="D47" s="3356"/>
      <c r="E47" s="3389"/>
      <c r="F47" s="1118"/>
      <c r="G47" s="1118"/>
      <c r="H47" s="1118"/>
      <c r="I47" s="1118"/>
      <c r="J47" s="1118"/>
      <c r="K47" s="1118"/>
      <c r="L47" s="1118"/>
      <c r="M47" s="1118"/>
      <c r="N47" s="1118"/>
      <c r="O47" s="1118"/>
      <c r="P47" s="1118"/>
      <c r="Q47" s="1118"/>
      <c r="R47" s="1118"/>
      <c r="S47" s="1118"/>
    </row>
    <row r="48" spans="1:21" ht="60" customHeight="1">
      <c r="A48" s="3326"/>
      <c r="B48" s="3360"/>
      <c r="C48" s="3361"/>
      <c r="D48" s="3370"/>
      <c r="E48" s="3389"/>
      <c r="F48" s="1118"/>
      <c r="G48" s="1118"/>
      <c r="H48" s="1118"/>
      <c r="I48" s="1118"/>
      <c r="J48" s="1118"/>
      <c r="K48" s="1118"/>
      <c r="L48" s="1118"/>
      <c r="M48" s="1118"/>
      <c r="N48" s="1118"/>
      <c r="O48" s="1118"/>
      <c r="P48" s="1118"/>
      <c r="Q48" s="1118"/>
      <c r="R48" s="1118"/>
      <c r="S48" s="1118"/>
    </row>
    <row r="49" spans="1:24" ht="55.5" customHeight="1">
      <c r="A49" s="3326" t="s">
        <v>5763</v>
      </c>
      <c r="B49" s="3351"/>
      <c r="C49" s="3354"/>
      <c r="D49" s="3355">
        <v>10000</v>
      </c>
      <c r="E49" s="3389"/>
      <c r="F49" s="1118"/>
      <c r="G49" s="1118"/>
      <c r="H49" s="1118"/>
      <c r="I49" s="1118"/>
      <c r="J49" s="1118"/>
      <c r="K49" s="1118"/>
      <c r="L49" s="1118"/>
      <c r="M49" s="1118"/>
      <c r="N49" s="1118"/>
      <c r="O49" s="1118"/>
      <c r="P49" s="1118"/>
      <c r="Q49" s="1118"/>
      <c r="R49" s="1118"/>
      <c r="S49" s="1118"/>
    </row>
    <row r="50" spans="1:24" ht="55.5" customHeight="1">
      <c r="A50" s="3326"/>
      <c r="B50" s="3352"/>
      <c r="C50" s="3290"/>
      <c r="D50" s="3356"/>
      <c r="E50" s="3389"/>
      <c r="F50" s="1118"/>
      <c r="G50" s="1118"/>
      <c r="H50" s="1118"/>
      <c r="I50" s="1118"/>
      <c r="J50" s="1118"/>
      <c r="K50" s="1118"/>
      <c r="L50" s="1118"/>
      <c r="M50" s="1118"/>
      <c r="N50" s="1118"/>
      <c r="O50" s="1118"/>
      <c r="P50" s="1118"/>
      <c r="Q50" s="1118"/>
      <c r="R50" s="1118"/>
      <c r="S50" s="1118"/>
    </row>
    <row r="51" spans="1:24" ht="55.5" customHeight="1">
      <c r="A51" s="3326"/>
      <c r="B51" s="3352"/>
      <c r="C51" s="3290"/>
      <c r="D51" s="3356"/>
      <c r="E51" s="3389"/>
      <c r="F51" s="1118"/>
      <c r="G51" s="1118"/>
      <c r="H51" s="1118"/>
      <c r="I51" s="1118"/>
      <c r="J51" s="1118"/>
      <c r="K51" s="1118"/>
      <c r="L51" s="1118"/>
      <c r="M51" s="1118"/>
      <c r="N51" s="1118"/>
      <c r="O51" s="1118"/>
      <c r="P51" s="1118"/>
      <c r="Q51" s="1118"/>
      <c r="R51" s="1118"/>
      <c r="S51" s="1118"/>
    </row>
    <row r="52" spans="1:24" ht="55.5" customHeight="1">
      <c r="A52" s="3326"/>
      <c r="B52" s="3352"/>
      <c r="C52" s="3290"/>
      <c r="D52" s="3356"/>
      <c r="E52" s="3389"/>
      <c r="F52" s="1118"/>
      <c r="G52" s="1118"/>
      <c r="H52" s="1118"/>
      <c r="I52" s="1118"/>
      <c r="J52" s="1118"/>
      <c r="K52" s="1118"/>
      <c r="L52" s="1118"/>
      <c r="M52" s="1118"/>
      <c r="N52" s="1118"/>
      <c r="O52" s="1118"/>
      <c r="P52" s="1118"/>
      <c r="Q52" s="1118"/>
      <c r="R52" s="1118"/>
      <c r="S52" s="1118"/>
    </row>
    <row r="53" spans="1:24" ht="55.5" customHeight="1" thickBot="1">
      <c r="A53" s="3327"/>
      <c r="B53" s="3353"/>
      <c r="C53" s="3291"/>
      <c r="D53" s="3357"/>
      <c r="E53" s="3390"/>
      <c r="F53" s="1118"/>
      <c r="G53" s="1118"/>
      <c r="H53" s="1118"/>
      <c r="I53" s="1118"/>
      <c r="J53" s="1118"/>
      <c r="K53" s="1118"/>
      <c r="L53" s="1118"/>
      <c r="M53" s="1118"/>
      <c r="N53" s="1118"/>
      <c r="O53" s="1118"/>
      <c r="P53" s="1118"/>
      <c r="Q53" s="1118"/>
      <c r="R53" s="1118"/>
      <c r="S53" s="1118"/>
    </row>
    <row r="54" spans="1:24" ht="60" customHeight="1">
      <c r="A54" s="3325" t="s">
        <v>5764</v>
      </c>
      <c r="B54" s="3328"/>
      <c r="C54" s="3331"/>
      <c r="D54" s="3364">
        <v>11100</v>
      </c>
      <c r="E54" s="3388" t="s">
        <v>5768</v>
      </c>
      <c r="F54" s="1129"/>
      <c r="G54" s="1129"/>
      <c r="H54" s="1129"/>
      <c r="I54" s="1129"/>
      <c r="J54" s="1129"/>
      <c r="K54" s="1129"/>
      <c r="L54" s="1129"/>
      <c r="M54" s="1129"/>
    </row>
    <row r="55" spans="1:24" ht="60" customHeight="1">
      <c r="A55" s="3326"/>
      <c r="B55" s="3329"/>
      <c r="C55" s="3332"/>
      <c r="D55" s="3362"/>
      <c r="E55" s="3389"/>
      <c r="F55" s="1129"/>
      <c r="G55" s="1129"/>
      <c r="H55" s="1129"/>
      <c r="I55" s="1129"/>
      <c r="J55" s="1129"/>
      <c r="K55" s="1129"/>
      <c r="L55" s="1129"/>
      <c r="M55" s="1129"/>
    </row>
    <row r="56" spans="1:24" ht="60" customHeight="1">
      <c r="A56" s="3326"/>
      <c r="B56" s="3329"/>
      <c r="C56" s="3332"/>
      <c r="D56" s="3362"/>
      <c r="E56" s="3389"/>
      <c r="F56" s="1129"/>
      <c r="G56" s="1129"/>
      <c r="H56" s="1129"/>
      <c r="I56" s="1129"/>
      <c r="J56" s="1129"/>
      <c r="K56" s="1129"/>
      <c r="L56" s="1129"/>
      <c r="M56" s="1129"/>
    </row>
    <row r="57" spans="1:24" ht="60" customHeight="1">
      <c r="A57" s="3326"/>
      <c r="B57" s="3329"/>
      <c r="C57" s="3332"/>
      <c r="D57" s="3362"/>
      <c r="E57" s="3389"/>
      <c r="F57" s="1129"/>
      <c r="G57" s="1129"/>
      <c r="H57" s="1129"/>
      <c r="I57" s="1129"/>
      <c r="J57" s="1129"/>
      <c r="K57" s="1129"/>
      <c r="L57" s="1129"/>
      <c r="M57" s="1129"/>
    </row>
    <row r="58" spans="1:24" ht="60" customHeight="1">
      <c r="A58" s="3326"/>
      <c r="B58" s="3329"/>
      <c r="C58" s="3332"/>
      <c r="D58" s="3362"/>
      <c r="E58" s="3389"/>
      <c r="F58" s="1129"/>
      <c r="G58" s="1129"/>
      <c r="H58" s="1129"/>
      <c r="I58" s="1129"/>
      <c r="J58" s="1129"/>
      <c r="K58" s="1129"/>
      <c r="L58" s="1129"/>
      <c r="M58" s="1129"/>
    </row>
    <row r="59" spans="1:24" ht="60" customHeight="1">
      <c r="A59" s="3326" t="s">
        <v>5765</v>
      </c>
      <c r="B59" s="3329"/>
      <c r="C59" s="3332"/>
      <c r="D59" s="3362">
        <v>11100</v>
      </c>
      <c r="E59" s="3389"/>
      <c r="F59" s="1129"/>
      <c r="G59" s="1129"/>
      <c r="H59" s="1129"/>
      <c r="I59" s="1129"/>
      <c r="J59" s="1129"/>
      <c r="K59" s="1129"/>
      <c r="L59" s="1129"/>
      <c r="M59" s="1129"/>
    </row>
    <row r="60" spans="1:24" ht="60" customHeight="1">
      <c r="A60" s="3326"/>
      <c r="B60" s="3329"/>
      <c r="C60" s="3332"/>
      <c r="D60" s="3362"/>
      <c r="E60" s="3389"/>
      <c r="F60" s="1129"/>
      <c r="G60" s="1129"/>
      <c r="H60" s="1129"/>
      <c r="I60" s="1129"/>
      <c r="J60" s="1129"/>
      <c r="K60" s="1129"/>
      <c r="L60" s="1129"/>
      <c r="M60" s="1129"/>
    </row>
    <row r="61" spans="1:24" ht="60" customHeight="1">
      <c r="A61" s="3326"/>
      <c r="B61" s="3329"/>
      <c r="C61" s="3332"/>
      <c r="D61" s="3362"/>
      <c r="E61" s="3389"/>
      <c r="F61" s="1129"/>
      <c r="G61" s="1129"/>
      <c r="H61" s="1129"/>
      <c r="I61" s="1129"/>
      <c r="J61" s="1129"/>
      <c r="K61" s="1129"/>
      <c r="L61" s="1129"/>
      <c r="M61" s="1129"/>
    </row>
    <row r="62" spans="1:24" ht="60" customHeight="1">
      <c r="A62" s="3326"/>
      <c r="B62" s="3329"/>
      <c r="C62" s="3332"/>
      <c r="D62" s="3362"/>
      <c r="E62" s="3389"/>
      <c r="F62" s="1129"/>
      <c r="G62" s="1129"/>
      <c r="H62" s="1129"/>
      <c r="I62" s="1129"/>
      <c r="J62" s="1129"/>
      <c r="K62" s="1129"/>
      <c r="L62" s="1129"/>
      <c r="M62" s="1129"/>
    </row>
    <row r="63" spans="1:24" ht="60" customHeight="1" thickBot="1">
      <c r="A63" s="3327"/>
      <c r="B63" s="3330"/>
      <c r="C63" s="3333"/>
      <c r="D63" s="3363"/>
      <c r="E63" s="3390"/>
      <c r="F63" s="1129"/>
      <c r="G63" s="1129"/>
      <c r="H63" s="1129"/>
      <c r="I63" s="1129"/>
      <c r="J63" s="1129"/>
      <c r="K63" s="1129"/>
      <c r="L63" s="1129"/>
      <c r="M63" s="1129"/>
    </row>
    <row r="64" spans="1:24" ht="60" customHeight="1">
      <c r="A64" s="3325" t="s">
        <v>445</v>
      </c>
      <c r="B64" s="3346"/>
      <c r="C64" s="3346"/>
      <c r="D64" s="3334">
        <v>14200</v>
      </c>
      <c r="E64" s="3388" t="s">
        <v>533</v>
      </c>
      <c r="F64" s="3313" t="s">
        <v>443</v>
      </c>
      <c r="G64" s="3314"/>
      <c r="H64" s="3314"/>
      <c r="I64" s="3315"/>
      <c r="J64" s="1129"/>
      <c r="K64" s="1129"/>
      <c r="L64" s="1129"/>
      <c r="M64" s="1129"/>
      <c r="N64" s="1129"/>
      <c r="O64" s="1129"/>
      <c r="P64" s="1129"/>
      <c r="Q64" s="1129"/>
      <c r="R64" s="1129"/>
      <c r="S64" s="1129"/>
      <c r="T64" s="1129"/>
      <c r="U64" s="1129"/>
      <c r="V64" s="1129"/>
      <c r="W64" s="1129"/>
      <c r="X64" s="1129"/>
    </row>
    <row r="65" spans="1:24" ht="60" customHeight="1">
      <c r="A65" s="3326"/>
      <c r="B65" s="3347"/>
      <c r="C65" s="3347"/>
      <c r="D65" s="3335"/>
      <c r="E65" s="3389"/>
      <c r="F65" s="3316"/>
      <c r="G65" s="3317"/>
      <c r="H65" s="3317"/>
      <c r="I65" s="3318"/>
      <c r="J65" s="1129"/>
      <c r="K65" s="1129"/>
      <c r="L65" s="1129"/>
      <c r="M65" s="1129"/>
      <c r="N65" s="1129"/>
      <c r="O65" s="1129"/>
      <c r="P65" s="1129"/>
      <c r="Q65" s="1129"/>
      <c r="R65" s="1129"/>
      <c r="S65" s="1129"/>
      <c r="T65" s="1129"/>
      <c r="U65" s="1129"/>
      <c r="V65" s="1129"/>
      <c r="W65" s="1129"/>
      <c r="X65" s="1129"/>
    </row>
    <row r="66" spans="1:24" ht="60" customHeight="1">
      <c r="A66" s="3326"/>
      <c r="B66" s="3347"/>
      <c r="C66" s="3347"/>
      <c r="D66" s="3335"/>
      <c r="E66" s="3389"/>
      <c r="F66" s="3316"/>
      <c r="G66" s="3317"/>
      <c r="H66" s="3317"/>
      <c r="I66" s="3318"/>
      <c r="J66" s="1129"/>
      <c r="K66" s="1129"/>
      <c r="L66" s="1129"/>
      <c r="M66" s="1129"/>
      <c r="N66" s="1129"/>
      <c r="O66" s="1129"/>
      <c r="P66" s="1129"/>
      <c r="Q66" s="1129"/>
      <c r="R66" s="1129"/>
      <c r="S66" s="1129"/>
      <c r="T66" s="1129"/>
      <c r="U66" s="1129"/>
      <c r="V66" s="1129"/>
      <c r="W66" s="1129"/>
      <c r="X66" s="1129"/>
    </row>
    <row r="67" spans="1:24" ht="60" customHeight="1">
      <c r="A67" s="3326"/>
      <c r="B67" s="3347"/>
      <c r="C67" s="3347"/>
      <c r="D67" s="3335"/>
      <c r="E67" s="3389"/>
      <c r="F67" s="3316"/>
      <c r="G67" s="3317"/>
      <c r="H67" s="3317"/>
      <c r="I67" s="3318"/>
      <c r="J67" s="1129"/>
      <c r="K67" s="1129"/>
      <c r="L67" s="1129"/>
      <c r="M67" s="1129"/>
      <c r="N67" s="1129"/>
      <c r="O67" s="1129"/>
      <c r="P67" s="1129"/>
      <c r="Q67" s="1129"/>
      <c r="R67" s="1129"/>
      <c r="S67" s="1129"/>
      <c r="T67" s="1129"/>
      <c r="U67" s="1129"/>
      <c r="V67" s="1129"/>
      <c r="W67" s="1129"/>
      <c r="X67" s="1129"/>
    </row>
    <row r="68" spans="1:24" ht="60" customHeight="1">
      <c r="A68" s="3326"/>
      <c r="B68" s="3348"/>
      <c r="C68" s="3348"/>
      <c r="D68" s="3421"/>
      <c r="E68" s="3389"/>
      <c r="F68" s="3316"/>
      <c r="G68" s="3317"/>
      <c r="H68" s="3317"/>
      <c r="I68" s="3318"/>
      <c r="J68" s="1129"/>
      <c r="K68" s="1129"/>
      <c r="L68" s="1129"/>
      <c r="M68" s="1129"/>
      <c r="N68" s="1129"/>
      <c r="O68" s="1129"/>
      <c r="P68" s="1129"/>
      <c r="Q68" s="1129"/>
      <c r="R68" s="1129"/>
      <c r="S68" s="1129"/>
      <c r="T68" s="1129"/>
      <c r="U68" s="1129"/>
      <c r="V68" s="1129"/>
      <c r="W68" s="1129"/>
      <c r="X68" s="1129"/>
    </row>
    <row r="69" spans="1:24" ht="60" customHeight="1">
      <c r="A69" s="3326" t="s">
        <v>446</v>
      </c>
      <c r="B69" s="3349"/>
      <c r="C69" s="3349"/>
      <c r="D69" s="3422">
        <v>14200</v>
      </c>
      <c r="E69" s="3389"/>
      <c r="F69" s="3316"/>
      <c r="G69" s="3317"/>
      <c r="H69" s="3317"/>
      <c r="I69" s="3318"/>
      <c r="J69" s="1129"/>
      <c r="K69" s="1129"/>
      <c r="L69" s="1129"/>
      <c r="M69" s="1129"/>
      <c r="N69" s="1129"/>
      <c r="O69" s="1129"/>
      <c r="P69" s="1129"/>
      <c r="Q69" s="1129"/>
      <c r="R69" s="1129"/>
      <c r="S69" s="1129"/>
      <c r="T69" s="1129"/>
      <c r="U69" s="1129"/>
      <c r="V69" s="1129"/>
      <c r="W69" s="1129"/>
      <c r="X69" s="1129"/>
    </row>
    <row r="70" spans="1:24" ht="60" customHeight="1">
      <c r="A70" s="3326"/>
      <c r="B70" s="3347"/>
      <c r="C70" s="3347"/>
      <c r="D70" s="3335"/>
      <c r="E70" s="3389"/>
      <c r="F70" s="3316"/>
      <c r="G70" s="3317"/>
      <c r="H70" s="3317"/>
      <c r="I70" s="3318"/>
      <c r="J70" s="1129"/>
      <c r="K70" s="1129"/>
      <c r="L70" s="1129"/>
      <c r="M70" s="1129"/>
      <c r="N70" s="1129"/>
      <c r="O70" s="1129"/>
      <c r="P70" s="1129"/>
      <c r="Q70" s="1129"/>
      <c r="R70" s="1129"/>
      <c r="S70" s="1129"/>
      <c r="T70" s="1129"/>
      <c r="U70" s="1129"/>
      <c r="V70" s="1129"/>
      <c r="W70" s="1129"/>
      <c r="X70" s="1129"/>
    </row>
    <row r="71" spans="1:24" ht="60" customHeight="1">
      <c r="A71" s="3326"/>
      <c r="B71" s="3347"/>
      <c r="C71" s="3347"/>
      <c r="D71" s="3335"/>
      <c r="E71" s="3389"/>
      <c r="F71" s="3316"/>
      <c r="G71" s="3317"/>
      <c r="H71" s="3317"/>
      <c r="I71" s="3318"/>
      <c r="J71" s="1129"/>
      <c r="K71" s="1129"/>
      <c r="L71" s="1129"/>
      <c r="M71" s="1129"/>
      <c r="N71" s="1129"/>
      <c r="O71" s="1129"/>
      <c r="P71" s="1129"/>
      <c r="Q71" s="1129"/>
      <c r="R71" s="1129"/>
      <c r="S71" s="1129"/>
      <c r="T71" s="1129"/>
      <c r="U71" s="1129"/>
      <c r="V71" s="1129"/>
      <c r="W71" s="1129"/>
      <c r="X71" s="1129"/>
    </row>
    <row r="72" spans="1:24" ht="60" customHeight="1">
      <c r="A72" s="3326"/>
      <c r="B72" s="3347"/>
      <c r="C72" s="3347"/>
      <c r="D72" s="3335"/>
      <c r="E72" s="3389"/>
      <c r="F72" s="3316"/>
      <c r="G72" s="3317"/>
      <c r="H72" s="3317"/>
      <c r="I72" s="3318"/>
      <c r="J72" s="1129"/>
      <c r="K72" s="1129"/>
      <c r="L72" s="1129"/>
      <c r="M72" s="1129"/>
      <c r="N72" s="1129"/>
      <c r="O72" s="1129"/>
      <c r="P72" s="1129"/>
      <c r="Q72" s="1129"/>
      <c r="R72" s="1129"/>
      <c r="S72" s="1129"/>
      <c r="T72" s="1129"/>
      <c r="U72" s="1129"/>
      <c r="V72" s="1129"/>
      <c r="W72" s="1129"/>
      <c r="X72" s="1129"/>
    </row>
    <row r="73" spans="1:24" ht="60" customHeight="1" thickBot="1">
      <c r="A73" s="3327"/>
      <c r="B73" s="3350"/>
      <c r="C73" s="3350"/>
      <c r="D73" s="3336"/>
      <c r="E73" s="3390"/>
      <c r="F73" s="3316"/>
      <c r="G73" s="3317"/>
      <c r="H73" s="3317"/>
      <c r="I73" s="3318"/>
      <c r="J73" s="1129"/>
      <c r="K73" s="1129"/>
      <c r="L73" s="1129"/>
      <c r="M73" s="1129"/>
      <c r="N73" s="1129"/>
      <c r="O73" s="1129"/>
      <c r="P73" s="1129"/>
      <c r="Q73" s="1129"/>
      <c r="R73" s="1129"/>
      <c r="S73" s="1129"/>
      <c r="T73" s="1129"/>
      <c r="U73" s="1129"/>
      <c r="V73" s="1129"/>
      <c r="W73" s="1129"/>
      <c r="X73" s="1129"/>
    </row>
    <row r="74" spans="1:24" ht="60" customHeight="1">
      <c r="A74" s="3325" t="s">
        <v>7716</v>
      </c>
      <c r="B74" s="3328"/>
      <c r="C74" s="3331"/>
      <c r="D74" s="3334">
        <v>15300</v>
      </c>
      <c r="E74" s="3388" t="s">
        <v>533</v>
      </c>
      <c r="F74" s="3316"/>
      <c r="G74" s="3317"/>
      <c r="H74" s="3317"/>
      <c r="I74" s="3318"/>
      <c r="J74" s="2065"/>
      <c r="K74" s="2065"/>
      <c r="L74" s="2065"/>
      <c r="M74" s="2065"/>
      <c r="N74" s="2065"/>
      <c r="O74" s="2065"/>
      <c r="P74" s="2065"/>
      <c r="Q74" s="2065"/>
      <c r="R74" s="2065"/>
      <c r="S74" s="2065"/>
      <c r="T74" s="2065"/>
      <c r="U74" s="2065"/>
      <c r="V74" s="2065"/>
      <c r="W74" s="2065"/>
      <c r="X74" s="2065"/>
    </row>
    <row r="75" spans="1:24" ht="60" customHeight="1">
      <c r="A75" s="3326"/>
      <c r="B75" s="3329"/>
      <c r="C75" s="3332"/>
      <c r="D75" s="3335"/>
      <c r="E75" s="3389"/>
      <c r="F75" s="3316"/>
      <c r="G75" s="3317"/>
      <c r="H75" s="3317"/>
      <c r="I75" s="3318"/>
      <c r="J75" s="2065"/>
      <c r="K75" s="2065"/>
      <c r="L75" s="2065"/>
      <c r="M75" s="2065"/>
      <c r="N75" s="2065"/>
      <c r="O75" s="2065"/>
      <c r="P75" s="2065"/>
      <c r="Q75" s="2065"/>
      <c r="R75" s="2065"/>
      <c r="S75" s="2065"/>
      <c r="T75" s="2065"/>
      <c r="U75" s="2065"/>
      <c r="V75" s="2065"/>
      <c r="W75" s="2065"/>
      <c r="X75" s="2065"/>
    </row>
    <row r="76" spans="1:24" ht="60" customHeight="1">
      <c r="A76" s="3326"/>
      <c r="B76" s="3329"/>
      <c r="C76" s="3332"/>
      <c r="D76" s="3335"/>
      <c r="E76" s="3389"/>
      <c r="F76" s="3316"/>
      <c r="G76" s="3317"/>
      <c r="H76" s="3317"/>
      <c r="I76" s="3318"/>
      <c r="J76" s="2065"/>
      <c r="K76" s="2065"/>
      <c r="L76" s="2065"/>
      <c r="M76" s="2065"/>
      <c r="N76" s="2065"/>
      <c r="O76" s="2065"/>
      <c r="P76" s="2065"/>
      <c r="Q76" s="2065"/>
      <c r="R76" s="2065"/>
      <c r="S76" s="2065"/>
      <c r="T76" s="2065"/>
      <c r="U76" s="2065"/>
      <c r="V76" s="2065"/>
      <c r="W76" s="2065"/>
      <c r="X76" s="2065"/>
    </row>
    <row r="77" spans="1:24" ht="60" customHeight="1">
      <c r="A77" s="3326"/>
      <c r="B77" s="3329"/>
      <c r="C77" s="3332"/>
      <c r="D77" s="3335"/>
      <c r="E77" s="3389"/>
      <c r="F77" s="3316"/>
      <c r="G77" s="3317"/>
      <c r="H77" s="3317"/>
      <c r="I77" s="3318"/>
      <c r="J77" s="2065"/>
      <c r="K77" s="2065"/>
      <c r="L77" s="2065"/>
      <c r="M77" s="2065"/>
      <c r="N77" s="2065"/>
      <c r="O77" s="2065"/>
      <c r="P77" s="2065"/>
      <c r="Q77" s="2065"/>
      <c r="R77" s="2065"/>
      <c r="S77" s="2065"/>
      <c r="T77" s="2065"/>
      <c r="U77" s="2065"/>
      <c r="V77" s="2065"/>
      <c r="W77" s="2065"/>
      <c r="X77" s="2065"/>
    </row>
    <row r="78" spans="1:24" ht="60" customHeight="1" thickBot="1">
      <c r="A78" s="3327"/>
      <c r="B78" s="3330"/>
      <c r="C78" s="3333"/>
      <c r="D78" s="3336"/>
      <c r="E78" s="3390"/>
      <c r="F78" s="3319"/>
      <c r="G78" s="3320"/>
      <c r="H78" s="3320"/>
      <c r="I78" s="3321"/>
      <c r="J78" s="2065"/>
      <c r="K78" s="2065"/>
      <c r="L78" s="2065"/>
      <c r="M78" s="2065"/>
      <c r="N78" s="2065"/>
      <c r="O78" s="2065"/>
      <c r="P78" s="2065"/>
      <c r="Q78" s="2065"/>
      <c r="R78" s="2065"/>
      <c r="S78" s="2065"/>
      <c r="T78" s="2065"/>
      <c r="U78" s="2065"/>
      <c r="V78" s="2065"/>
      <c r="W78" s="2065"/>
      <c r="X78" s="2065"/>
    </row>
    <row r="79" spans="1:24" ht="39" customHeight="1">
      <c r="A79" s="3358" t="s">
        <v>444</v>
      </c>
      <c r="B79" s="3360"/>
      <c r="C79" s="3361"/>
      <c r="D79" s="3335">
        <v>6400</v>
      </c>
      <c r="E79" s="3389" t="s">
        <v>533</v>
      </c>
      <c r="F79" s="1118"/>
      <c r="G79" s="1118"/>
      <c r="H79" s="1118"/>
      <c r="I79" s="1118"/>
      <c r="J79" s="1118"/>
      <c r="K79" s="1118"/>
      <c r="L79" s="1118"/>
      <c r="M79" s="1118"/>
      <c r="N79" s="1118"/>
      <c r="O79" s="1118"/>
      <c r="P79" s="1118"/>
      <c r="Q79" s="1118"/>
      <c r="R79" s="1118"/>
      <c r="S79" s="1118"/>
      <c r="T79" s="1118"/>
      <c r="U79" s="1118"/>
    </row>
    <row r="80" spans="1:24" ht="39" customHeight="1">
      <c r="A80" s="3326"/>
      <c r="B80" s="3329"/>
      <c r="C80" s="3332"/>
      <c r="D80" s="3335"/>
      <c r="E80" s="3389"/>
      <c r="F80" s="1118"/>
      <c r="G80" s="1118"/>
      <c r="H80" s="1118"/>
      <c r="I80" s="1118"/>
      <c r="J80" s="1118"/>
      <c r="K80" s="1118"/>
      <c r="L80" s="1118"/>
      <c r="M80" s="1118"/>
      <c r="N80" s="1118"/>
      <c r="O80" s="1118"/>
      <c r="P80" s="1118"/>
      <c r="Q80" s="1118"/>
      <c r="R80" s="1118"/>
      <c r="S80" s="1118"/>
      <c r="T80" s="1118"/>
      <c r="U80" s="1118"/>
    </row>
    <row r="81" spans="1:21" ht="39" customHeight="1">
      <c r="A81" s="3326"/>
      <c r="B81" s="3329"/>
      <c r="C81" s="3332"/>
      <c r="D81" s="3335"/>
      <c r="E81" s="3389"/>
      <c r="F81" s="1118"/>
      <c r="G81" s="1118"/>
      <c r="H81" s="1118"/>
      <c r="I81" s="1118"/>
      <c r="J81" s="1118"/>
      <c r="K81" s="1118"/>
      <c r="L81" s="1118"/>
      <c r="M81" s="1118"/>
      <c r="N81" s="1118"/>
      <c r="O81" s="1118"/>
      <c r="P81" s="1118"/>
      <c r="Q81" s="1118"/>
      <c r="R81" s="1118"/>
      <c r="S81" s="1118"/>
      <c r="T81" s="1118"/>
      <c r="U81" s="1118"/>
    </row>
    <row r="82" spans="1:21" ht="39" customHeight="1" thickBot="1">
      <c r="A82" s="3359"/>
      <c r="B82" s="3351"/>
      <c r="C82" s="3354"/>
      <c r="D82" s="3335"/>
      <c r="E82" s="3390"/>
      <c r="F82" s="1118"/>
      <c r="G82" s="1118"/>
      <c r="H82" s="1118"/>
      <c r="I82" s="1118"/>
      <c r="J82" s="1118"/>
      <c r="K82" s="1118"/>
      <c r="L82" s="1118"/>
      <c r="M82" s="1118"/>
      <c r="N82" s="1118"/>
      <c r="O82" s="1118"/>
      <c r="P82" s="1118"/>
      <c r="Q82" s="1118"/>
      <c r="R82" s="1118"/>
      <c r="S82" s="1118"/>
      <c r="T82" s="1118"/>
      <c r="U82" s="1118"/>
    </row>
    <row r="83" spans="1:21" ht="39" customHeight="1">
      <c r="A83" s="3325" t="s">
        <v>419</v>
      </c>
      <c r="B83" s="3328"/>
      <c r="C83" s="3331"/>
      <c r="D83" s="3334">
        <v>1400</v>
      </c>
      <c r="E83" s="3388" t="s">
        <v>533</v>
      </c>
      <c r="F83" s="1118"/>
      <c r="G83" s="1118"/>
      <c r="H83" s="1118"/>
      <c r="I83" s="1118"/>
      <c r="J83" s="1118"/>
      <c r="K83" s="1118"/>
      <c r="L83" s="1118"/>
      <c r="M83" s="1118"/>
      <c r="N83" s="1118"/>
      <c r="O83" s="1118"/>
      <c r="P83" s="1118"/>
      <c r="Q83" s="1118"/>
      <c r="R83" s="1118"/>
      <c r="S83" s="1118"/>
      <c r="T83" s="1118"/>
      <c r="U83" s="1118"/>
    </row>
    <row r="84" spans="1:21" ht="39" customHeight="1">
      <c r="A84" s="3326"/>
      <c r="B84" s="3329"/>
      <c r="C84" s="3332"/>
      <c r="D84" s="3335"/>
      <c r="E84" s="3389"/>
      <c r="F84" s="1118"/>
      <c r="G84" s="1118"/>
      <c r="H84" s="1118"/>
      <c r="I84" s="1118"/>
      <c r="J84" s="1118"/>
      <c r="K84" s="1118"/>
      <c r="L84" s="1118"/>
      <c r="M84" s="1118"/>
      <c r="N84" s="1118"/>
      <c r="O84" s="1118"/>
      <c r="P84" s="1118"/>
      <c r="Q84" s="1118"/>
      <c r="R84" s="1118"/>
      <c r="S84" s="1118"/>
      <c r="T84" s="1118"/>
      <c r="U84" s="1118"/>
    </row>
    <row r="85" spans="1:21" ht="39" customHeight="1">
      <c r="A85" s="3326"/>
      <c r="B85" s="3329"/>
      <c r="C85" s="3332"/>
      <c r="D85" s="3335"/>
      <c r="E85" s="3389"/>
      <c r="F85" s="1118"/>
      <c r="G85" s="1118"/>
      <c r="H85" s="1118"/>
      <c r="I85" s="1118"/>
      <c r="J85" s="1118"/>
      <c r="K85" s="1118"/>
      <c r="L85" s="1118"/>
      <c r="M85" s="1118"/>
      <c r="N85" s="1118"/>
      <c r="O85" s="1118"/>
      <c r="P85" s="1118"/>
      <c r="Q85" s="1118"/>
      <c r="R85" s="1118"/>
      <c r="S85" s="1118"/>
      <c r="T85" s="1118"/>
      <c r="U85" s="1118"/>
    </row>
    <row r="86" spans="1:21" ht="39" customHeight="1" thickBot="1">
      <c r="A86" s="3327"/>
      <c r="B86" s="3330"/>
      <c r="C86" s="3333"/>
      <c r="D86" s="3336"/>
      <c r="E86" s="3390"/>
      <c r="F86" s="1118"/>
      <c r="G86" s="1118"/>
      <c r="H86" s="1118"/>
      <c r="I86" s="1118"/>
      <c r="J86" s="1118"/>
      <c r="K86" s="1118"/>
      <c r="L86" s="1118"/>
      <c r="M86" s="1118"/>
      <c r="N86" s="1118"/>
      <c r="O86" s="1118"/>
      <c r="P86" s="1118"/>
      <c r="Q86" s="1118"/>
      <c r="R86" s="1118"/>
      <c r="S86" s="1118"/>
      <c r="T86" s="1118"/>
      <c r="U86" s="1118"/>
    </row>
    <row r="87" spans="1:21" ht="39" customHeight="1">
      <c r="A87" s="3325" t="s">
        <v>358</v>
      </c>
      <c r="B87" s="3337"/>
      <c r="C87" s="3331"/>
      <c r="D87" s="3334">
        <v>1400</v>
      </c>
      <c r="E87" s="3391" t="s">
        <v>344</v>
      </c>
      <c r="F87" s="1118"/>
      <c r="G87" s="1118"/>
      <c r="H87" s="1118"/>
      <c r="I87" s="1118"/>
      <c r="J87" s="1118"/>
      <c r="K87" s="1118"/>
      <c r="L87" s="1118"/>
      <c r="M87" s="1118"/>
      <c r="N87" s="1118"/>
      <c r="O87" s="1118"/>
      <c r="P87" s="1118"/>
      <c r="Q87" s="1118"/>
      <c r="R87" s="1118"/>
      <c r="S87" s="1118"/>
      <c r="T87" s="1118"/>
      <c r="U87" s="1118"/>
    </row>
    <row r="88" spans="1:21" ht="39" customHeight="1">
      <c r="A88" s="3326"/>
      <c r="B88" s="3338"/>
      <c r="C88" s="3332"/>
      <c r="D88" s="3335"/>
      <c r="E88" s="3392"/>
      <c r="F88" s="1118"/>
      <c r="G88" s="1118"/>
      <c r="H88" s="1118"/>
      <c r="I88" s="1118"/>
      <c r="J88" s="1118"/>
      <c r="K88" s="1118"/>
      <c r="L88" s="1118"/>
      <c r="M88" s="1118"/>
      <c r="N88" s="1118"/>
      <c r="O88" s="1118"/>
      <c r="P88" s="1118"/>
      <c r="Q88" s="1118"/>
      <c r="R88" s="1118"/>
      <c r="S88" s="1118"/>
      <c r="T88" s="1118"/>
      <c r="U88" s="1118"/>
    </row>
    <row r="89" spans="1:21" ht="39" customHeight="1">
      <c r="A89" s="3326"/>
      <c r="B89" s="3338"/>
      <c r="C89" s="3332"/>
      <c r="D89" s="3335"/>
      <c r="E89" s="3392"/>
      <c r="F89" s="1118"/>
      <c r="G89" s="1118"/>
      <c r="H89" s="1118"/>
      <c r="I89" s="1118"/>
      <c r="J89" s="1118"/>
      <c r="K89" s="1118"/>
      <c r="L89" s="1118"/>
      <c r="M89" s="1118"/>
      <c r="N89" s="1118"/>
      <c r="O89" s="1118"/>
      <c r="P89" s="1118"/>
      <c r="Q89" s="1118"/>
      <c r="R89" s="1118"/>
      <c r="S89" s="1118"/>
      <c r="T89" s="1118"/>
      <c r="U89" s="1118"/>
    </row>
    <row r="90" spans="1:21" ht="39" customHeight="1" thickBot="1">
      <c r="A90" s="3327"/>
      <c r="B90" s="3339"/>
      <c r="C90" s="3333"/>
      <c r="D90" s="3336"/>
      <c r="E90" s="3393"/>
      <c r="F90" s="1118"/>
      <c r="G90" s="1118"/>
      <c r="H90" s="1118"/>
      <c r="I90" s="1118"/>
      <c r="J90" s="1118"/>
      <c r="K90" s="1118"/>
      <c r="L90" s="1118"/>
      <c r="M90" s="1118"/>
      <c r="N90" s="1118"/>
      <c r="O90" s="1118"/>
      <c r="P90" s="1118"/>
      <c r="Q90" s="1118"/>
      <c r="R90" s="1118"/>
      <c r="S90" s="1118"/>
      <c r="T90" s="1118"/>
      <c r="U90" s="1118"/>
    </row>
    <row r="91" spans="1:21" ht="125.25" customHeight="1" thickBot="1">
      <c r="A91" s="1139" t="s">
        <v>12</v>
      </c>
      <c r="B91" s="1135"/>
      <c r="C91" s="1140"/>
      <c r="D91" s="1141">
        <v>7400</v>
      </c>
      <c r="E91" s="1899" t="s">
        <v>534</v>
      </c>
      <c r="F91" s="1118"/>
      <c r="G91" s="1118"/>
      <c r="H91" s="1118"/>
      <c r="I91" s="1118"/>
      <c r="J91" s="1118"/>
      <c r="K91" s="1118"/>
      <c r="L91" s="1118"/>
      <c r="M91" s="1118"/>
      <c r="N91" s="1118"/>
      <c r="O91" s="1118"/>
      <c r="P91" s="1118"/>
      <c r="Q91" s="1118"/>
      <c r="R91" s="1118"/>
      <c r="S91" s="1118"/>
      <c r="T91" s="1118"/>
      <c r="U91" s="1118"/>
    </row>
    <row r="92" spans="1:21" ht="19.5" customHeight="1">
      <c r="A92" s="3340" t="s">
        <v>7617</v>
      </c>
      <c r="B92" s="3343"/>
      <c r="C92" s="3343"/>
      <c r="D92" s="3322">
        <v>6200</v>
      </c>
      <c r="E92" s="3385" t="s">
        <v>344</v>
      </c>
      <c r="F92" s="1118"/>
      <c r="G92" s="1118"/>
      <c r="H92" s="1118"/>
      <c r="I92" s="1118"/>
      <c r="J92" s="1118"/>
      <c r="K92" s="1118"/>
      <c r="L92" s="1118"/>
      <c r="M92" s="1118"/>
      <c r="N92" s="1118"/>
      <c r="O92" s="1118"/>
      <c r="P92" s="1118"/>
      <c r="Q92" s="1118"/>
      <c r="R92" s="1118"/>
      <c r="S92" s="1118"/>
      <c r="T92" s="1118"/>
      <c r="U92" s="1118"/>
    </row>
    <row r="93" spans="1:21" ht="19.5" customHeight="1">
      <c r="A93" s="3341"/>
      <c r="B93" s="3344"/>
      <c r="C93" s="3344"/>
      <c r="D93" s="3323"/>
      <c r="E93" s="3386"/>
      <c r="F93" s="1118"/>
      <c r="G93" s="1118"/>
      <c r="H93" s="1118"/>
      <c r="I93" s="1118"/>
      <c r="J93" s="1118"/>
      <c r="K93" s="1118"/>
      <c r="L93" s="1118"/>
      <c r="M93" s="1118"/>
      <c r="N93" s="1118"/>
      <c r="O93" s="1118"/>
      <c r="P93" s="1118"/>
      <c r="Q93" s="1118"/>
      <c r="R93" s="1118"/>
      <c r="S93" s="1118"/>
      <c r="T93" s="1118"/>
      <c r="U93" s="1118"/>
    </row>
    <row r="94" spans="1:21" ht="19.5" customHeight="1">
      <c r="A94" s="3341"/>
      <c r="B94" s="3344"/>
      <c r="C94" s="3344"/>
      <c r="D94" s="3323"/>
      <c r="E94" s="3386"/>
      <c r="F94" s="1118"/>
      <c r="G94" s="1118"/>
      <c r="H94" s="1118"/>
      <c r="I94" s="1118"/>
      <c r="J94" s="1118"/>
      <c r="K94" s="1118"/>
      <c r="L94" s="1118"/>
      <c r="M94" s="1118"/>
      <c r="N94" s="1118"/>
      <c r="O94" s="1118"/>
      <c r="P94" s="1118"/>
      <c r="Q94" s="1118"/>
      <c r="R94" s="1118"/>
      <c r="S94" s="1118"/>
      <c r="T94" s="1118"/>
      <c r="U94" s="1118"/>
    </row>
    <row r="95" spans="1:21" ht="19.5" customHeight="1">
      <c r="A95" s="3341"/>
      <c r="B95" s="3344"/>
      <c r="C95" s="3344"/>
      <c r="D95" s="3323"/>
      <c r="E95" s="3386"/>
      <c r="F95" s="1118"/>
      <c r="G95" s="1118"/>
      <c r="H95" s="1118"/>
      <c r="I95" s="1118"/>
      <c r="J95" s="1118"/>
      <c r="K95" s="1118"/>
      <c r="L95" s="1118"/>
      <c r="M95" s="1118"/>
      <c r="N95" s="1118"/>
      <c r="O95" s="1118"/>
      <c r="P95" s="1118"/>
      <c r="Q95" s="1118"/>
      <c r="R95" s="1118"/>
      <c r="S95" s="1118"/>
      <c r="T95" s="1118"/>
      <c r="U95" s="1118"/>
    </row>
    <row r="96" spans="1:21" ht="19.5" customHeight="1">
      <c r="A96" s="3341"/>
      <c r="B96" s="3344"/>
      <c r="C96" s="3344"/>
      <c r="D96" s="3323"/>
      <c r="E96" s="3386"/>
      <c r="F96" s="1118"/>
      <c r="G96" s="1118"/>
      <c r="H96" s="1118"/>
      <c r="I96" s="1118"/>
      <c r="J96" s="1118"/>
      <c r="K96" s="1118"/>
      <c r="L96" s="1118"/>
      <c r="M96" s="1118"/>
      <c r="N96" s="1118"/>
      <c r="O96" s="1118"/>
      <c r="P96" s="1118"/>
      <c r="Q96" s="1118"/>
      <c r="R96" s="1118"/>
      <c r="S96" s="1118"/>
      <c r="T96" s="1118"/>
      <c r="U96" s="1118"/>
    </row>
    <row r="97" spans="1:21" ht="19.5" customHeight="1">
      <c r="A97" s="3341"/>
      <c r="B97" s="3344"/>
      <c r="C97" s="3344"/>
      <c r="D97" s="3323"/>
      <c r="E97" s="3386"/>
      <c r="F97" s="1118"/>
      <c r="G97" s="1118"/>
      <c r="H97" s="1118"/>
      <c r="I97" s="1118"/>
      <c r="J97" s="1118"/>
      <c r="K97" s="1118"/>
      <c r="L97" s="1118"/>
      <c r="M97" s="1118"/>
      <c r="N97" s="1118"/>
      <c r="O97" s="1118"/>
      <c r="P97" s="1118"/>
      <c r="Q97" s="1118"/>
      <c r="R97" s="1118"/>
      <c r="S97" s="1118"/>
      <c r="T97" s="1118"/>
      <c r="U97" s="1118"/>
    </row>
    <row r="98" spans="1:21" ht="19.5" customHeight="1" thickBot="1">
      <c r="A98" s="3342"/>
      <c r="B98" s="3345"/>
      <c r="C98" s="3345"/>
      <c r="D98" s="3324"/>
      <c r="E98" s="3387"/>
      <c r="F98" s="1118"/>
      <c r="G98" s="1118"/>
      <c r="H98" s="1118"/>
      <c r="I98" s="1118"/>
      <c r="J98" s="1118"/>
      <c r="K98" s="1118"/>
      <c r="L98" s="1118"/>
      <c r="M98" s="1118"/>
      <c r="N98" s="1118"/>
      <c r="O98" s="1118"/>
      <c r="P98" s="1118"/>
      <c r="Q98" s="1118"/>
      <c r="R98" s="1118"/>
      <c r="S98" s="1118"/>
      <c r="T98" s="1118"/>
      <c r="U98" s="1118"/>
    </row>
    <row r="99" spans="1:21" ht="186.75" customHeight="1" thickBot="1">
      <c r="A99" s="1136" t="s">
        <v>481</v>
      </c>
      <c r="B99" s="1135"/>
      <c r="C99" s="1134"/>
      <c r="D99" s="1137">
        <v>800</v>
      </c>
      <c r="E99" s="1138" t="s">
        <v>534</v>
      </c>
      <c r="F99" s="1130"/>
      <c r="G99" s="1130"/>
      <c r="H99" s="1130"/>
      <c r="J99" s="1130"/>
      <c r="K99" s="1130"/>
      <c r="L99" s="1130"/>
      <c r="M99" s="1130"/>
      <c r="N99" s="1130"/>
      <c r="O99" s="1130"/>
      <c r="P99" s="1130"/>
      <c r="Q99" s="1130"/>
      <c r="R99" s="1130"/>
      <c r="S99" s="1130"/>
      <c r="T99" s="1130"/>
      <c r="U99" s="1130"/>
    </row>
    <row r="100" spans="1:21" ht="166.5" customHeight="1" thickBot="1">
      <c r="A100" s="1142" t="s">
        <v>482</v>
      </c>
      <c r="B100" s="1143"/>
      <c r="C100" s="1144"/>
      <c r="D100" s="1145">
        <v>600</v>
      </c>
      <c r="E100" s="1138" t="s">
        <v>534</v>
      </c>
      <c r="F100" s="1130"/>
      <c r="G100" s="1130"/>
      <c r="H100" s="1130"/>
      <c r="I100" s="1130"/>
      <c r="J100" s="1130"/>
      <c r="K100" s="1130"/>
      <c r="L100" s="1130"/>
      <c r="M100" s="1130"/>
      <c r="N100" s="1130"/>
      <c r="O100" s="1130"/>
      <c r="P100" s="1130"/>
      <c r="Q100" s="1130"/>
      <c r="R100" s="1130"/>
      <c r="S100" s="1130"/>
      <c r="T100" s="1130"/>
      <c r="U100" s="1130"/>
    </row>
    <row r="101" spans="1:21">
      <c r="A101" s="997"/>
      <c r="B101" s="1118"/>
      <c r="C101" s="1118"/>
      <c r="D101" s="181"/>
      <c r="E101" s="1133"/>
      <c r="F101" s="1118"/>
      <c r="G101" s="1118"/>
      <c r="H101" s="1118"/>
      <c r="I101" s="1118"/>
      <c r="J101" s="1118"/>
      <c r="K101" s="1118"/>
      <c r="L101" s="1118"/>
      <c r="M101" s="1118"/>
      <c r="N101" s="1118"/>
      <c r="O101" s="1118"/>
      <c r="P101" s="1118"/>
      <c r="Q101" s="1118"/>
      <c r="R101" s="1118"/>
      <c r="S101" s="1118"/>
      <c r="T101" s="1118"/>
      <c r="U101" s="1118"/>
    </row>
    <row r="102" spans="1:21">
      <c r="A102" s="997"/>
      <c r="B102" s="1118"/>
      <c r="C102" s="1118"/>
      <c r="D102" s="181"/>
      <c r="E102" s="1133"/>
      <c r="F102" s="1118"/>
      <c r="G102" s="1118"/>
      <c r="H102" s="1118"/>
      <c r="I102" s="1118"/>
      <c r="J102" s="1118"/>
      <c r="K102" s="1118"/>
      <c r="L102" s="1118"/>
      <c r="M102" s="1118"/>
      <c r="N102" s="1118"/>
      <c r="O102" s="1118"/>
      <c r="P102" s="1118"/>
      <c r="Q102" s="1118"/>
      <c r="R102" s="1118"/>
      <c r="S102" s="1118"/>
      <c r="T102" s="1118"/>
      <c r="U102" s="1118"/>
    </row>
    <row r="103" spans="1:21">
      <c r="A103" s="997"/>
      <c r="B103" s="1118"/>
      <c r="C103" s="1118"/>
      <c r="D103" s="181"/>
      <c r="E103" s="1133"/>
      <c r="F103" s="1118"/>
      <c r="G103" s="1118"/>
      <c r="H103" s="1118"/>
      <c r="I103" s="1118"/>
      <c r="J103" s="1118"/>
      <c r="K103" s="1118"/>
      <c r="L103" s="1118"/>
      <c r="M103" s="1118"/>
      <c r="N103" s="1118"/>
      <c r="O103" s="1118"/>
      <c r="P103" s="1118"/>
      <c r="Q103" s="1118"/>
      <c r="R103" s="1118"/>
      <c r="S103" s="1118"/>
      <c r="T103" s="1118"/>
      <c r="U103" s="1118"/>
    </row>
    <row r="104" spans="1:21">
      <c r="A104" s="997"/>
      <c r="B104" s="1118"/>
      <c r="C104" s="1118"/>
      <c r="D104" s="181"/>
      <c r="E104" s="1133"/>
      <c r="F104" s="1118"/>
      <c r="G104" s="1118"/>
      <c r="H104" s="1118"/>
      <c r="I104" s="1118"/>
      <c r="J104" s="1118"/>
      <c r="K104" s="1118"/>
      <c r="L104" s="1118"/>
      <c r="M104" s="1118"/>
      <c r="N104" s="1118"/>
      <c r="O104" s="1118"/>
      <c r="P104" s="1118"/>
      <c r="Q104" s="1118"/>
      <c r="R104" s="1118"/>
      <c r="S104" s="1118"/>
      <c r="T104" s="1118"/>
      <c r="U104" s="1118"/>
    </row>
    <row r="105" spans="1:21">
      <c r="A105" s="997"/>
      <c r="B105" s="1118"/>
      <c r="C105" s="1118"/>
      <c r="D105" s="181"/>
      <c r="E105" s="1133"/>
      <c r="F105" s="1118"/>
      <c r="G105" s="1118"/>
      <c r="H105" s="1118"/>
      <c r="I105" s="1118"/>
      <c r="J105" s="1118"/>
      <c r="K105" s="1118"/>
      <c r="L105" s="1118"/>
      <c r="M105" s="1118"/>
      <c r="N105" s="1118"/>
      <c r="O105" s="1118"/>
      <c r="P105" s="1118"/>
      <c r="Q105" s="1118"/>
      <c r="R105" s="1118"/>
      <c r="S105" s="1118"/>
      <c r="T105" s="1118"/>
      <c r="U105" s="1118"/>
    </row>
    <row r="106" spans="1:21">
      <c r="A106" s="997"/>
      <c r="B106" s="1118"/>
      <c r="C106" s="1118"/>
      <c r="D106" s="181"/>
      <c r="E106" s="1133"/>
      <c r="F106" s="1118"/>
      <c r="G106" s="1118"/>
      <c r="H106" s="1118"/>
      <c r="I106" s="1118"/>
      <c r="J106" s="1118"/>
      <c r="K106" s="1118"/>
      <c r="L106" s="1118"/>
      <c r="M106" s="1118"/>
      <c r="N106" s="1118"/>
      <c r="O106" s="1118"/>
      <c r="P106" s="1118"/>
      <c r="Q106" s="1118"/>
      <c r="R106" s="1118"/>
      <c r="S106" s="1118"/>
      <c r="T106" s="1118"/>
      <c r="U106" s="1118"/>
    </row>
    <row r="107" spans="1:21">
      <c r="A107" s="997"/>
      <c r="B107" s="1118"/>
      <c r="C107" s="1118"/>
      <c r="D107" s="181"/>
      <c r="E107" s="1133"/>
      <c r="F107" s="1118"/>
      <c r="G107" s="1118"/>
      <c r="H107" s="1118"/>
      <c r="I107" s="1118"/>
      <c r="J107" s="1118"/>
      <c r="K107" s="1118"/>
      <c r="L107" s="1118"/>
      <c r="M107" s="1118"/>
      <c r="N107" s="1118"/>
      <c r="O107" s="1118"/>
      <c r="P107" s="1118"/>
      <c r="Q107" s="1118"/>
      <c r="R107" s="1118"/>
      <c r="S107" s="1118"/>
      <c r="T107" s="1118"/>
      <c r="U107" s="1118"/>
    </row>
    <row r="108" spans="1:21">
      <c r="A108" s="997"/>
      <c r="B108" s="1118"/>
      <c r="C108" s="1118"/>
      <c r="D108" s="181"/>
      <c r="E108" s="1133"/>
      <c r="F108" s="1118"/>
      <c r="G108" s="1118"/>
      <c r="H108" s="1118"/>
      <c r="I108" s="1118"/>
      <c r="J108" s="1118"/>
      <c r="K108" s="1118"/>
      <c r="L108" s="1118"/>
      <c r="M108" s="1118"/>
      <c r="N108" s="1118"/>
      <c r="O108" s="1118"/>
      <c r="P108" s="1118"/>
      <c r="Q108" s="1118"/>
      <c r="R108" s="1118"/>
      <c r="S108" s="1118"/>
      <c r="T108" s="1118"/>
      <c r="U108" s="1118"/>
    </row>
    <row r="109" spans="1:21">
      <c r="A109" s="997"/>
      <c r="B109" s="1118"/>
      <c r="C109" s="1118"/>
      <c r="D109" s="181"/>
      <c r="E109" s="1133"/>
      <c r="F109" s="1118"/>
      <c r="G109" s="1118"/>
      <c r="H109" s="1118"/>
      <c r="I109" s="1118"/>
      <c r="J109" s="1118"/>
      <c r="K109" s="1118"/>
      <c r="L109" s="1118"/>
      <c r="M109" s="1118"/>
      <c r="N109" s="1118"/>
      <c r="O109" s="1118"/>
      <c r="P109" s="1118"/>
      <c r="Q109" s="1118"/>
      <c r="R109" s="1118"/>
      <c r="S109" s="1118"/>
      <c r="T109" s="1118"/>
      <c r="U109" s="1118"/>
    </row>
    <row r="110" spans="1:21">
      <c r="A110" s="997"/>
      <c r="B110" s="1118"/>
      <c r="C110" s="1118"/>
      <c r="D110" s="181"/>
      <c r="E110" s="1133"/>
      <c r="F110" s="1118"/>
      <c r="G110" s="1118"/>
      <c r="H110" s="1118"/>
      <c r="I110" s="1118"/>
      <c r="J110" s="1118"/>
      <c r="K110" s="1118"/>
      <c r="L110" s="1118"/>
      <c r="M110" s="1118"/>
      <c r="N110" s="1118"/>
      <c r="O110" s="1118"/>
      <c r="P110" s="1118"/>
      <c r="Q110" s="1118"/>
      <c r="R110" s="1118"/>
      <c r="S110" s="1118"/>
      <c r="T110" s="1118"/>
      <c r="U110" s="1118"/>
    </row>
    <row r="111" spans="1:21">
      <c r="A111" s="997"/>
      <c r="B111" s="1118"/>
      <c r="C111" s="1118"/>
      <c r="D111" s="181"/>
      <c r="E111" s="1133"/>
      <c r="F111" s="1118"/>
      <c r="G111" s="1118"/>
      <c r="H111" s="1118"/>
      <c r="I111" s="1118"/>
      <c r="J111" s="1118"/>
      <c r="K111" s="1118"/>
      <c r="L111" s="1118"/>
      <c r="M111" s="1118"/>
      <c r="N111" s="1118"/>
      <c r="O111" s="1118"/>
      <c r="P111" s="1118"/>
      <c r="Q111" s="1118"/>
      <c r="R111" s="1118"/>
      <c r="S111" s="1118"/>
      <c r="T111" s="1118"/>
      <c r="U111" s="1118"/>
    </row>
    <row r="112" spans="1:21">
      <c r="A112" s="997"/>
      <c r="B112" s="1118"/>
      <c r="C112" s="1118"/>
      <c r="D112" s="181"/>
      <c r="E112" s="1133"/>
      <c r="F112" s="1118"/>
      <c r="G112" s="1118"/>
      <c r="H112" s="1118"/>
      <c r="I112" s="1118"/>
      <c r="J112" s="1118"/>
      <c r="K112" s="1118"/>
      <c r="L112" s="1118"/>
      <c r="M112" s="1118"/>
      <c r="N112" s="1118"/>
      <c r="O112" s="1118"/>
      <c r="P112" s="1118"/>
      <c r="Q112" s="1118"/>
      <c r="R112" s="1118"/>
      <c r="S112" s="1118"/>
      <c r="T112" s="1118"/>
      <c r="U112" s="1118"/>
    </row>
    <row r="113" spans="1:21">
      <c r="A113" s="997"/>
      <c r="B113" s="1118"/>
      <c r="C113" s="1118"/>
      <c r="D113" s="181"/>
      <c r="E113" s="1133"/>
      <c r="F113" s="1118"/>
      <c r="G113" s="1118"/>
      <c r="H113" s="1118"/>
      <c r="I113" s="1118"/>
      <c r="J113" s="1118"/>
      <c r="K113" s="1118"/>
      <c r="L113" s="1118"/>
      <c r="M113" s="1118"/>
      <c r="N113" s="1118"/>
      <c r="O113" s="1118"/>
      <c r="P113" s="1118"/>
      <c r="Q113" s="1118"/>
      <c r="R113" s="1118"/>
      <c r="S113" s="1118"/>
      <c r="T113" s="1118"/>
      <c r="U113" s="1118"/>
    </row>
    <row r="114" spans="1:21">
      <c r="A114" s="997"/>
      <c r="B114" s="1118"/>
      <c r="C114" s="1118"/>
      <c r="D114" s="181"/>
      <c r="E114" s="1133"/>
      <c r="F114" s="1118"/>
      <c r="G114" s="1118"/>
      <c r="H114" s="1118"/>
      <c r="I114" s="1118"/>
      <c r="J114" s="1118"/>
      <c r="K114" s="1118"/>
      <c r="L114" s="1118"/>
      <c r="M114" s="1118"/>
      <c r="N114" s="1118"/>
      <c r="O114" s="1118"/>
      <c r="P114" s="1118"/>
      <c r="Q114" s="1118"/>
      <c r="R114" s="1118"/>
      <c r="S114" s="1118"/>
      <c r="T114" s="1118"/>
      <c r="U114" s="1118"/>
    </row>
    <row r="115" spans="1:21">
      <c r="A115" s="997"/>
      <c r="B115" s="1118"/>
      <c r="C115" s="1118"/>
      <c r="D115" s="181"/>
      <c r="E115" s="1133"/>
      <c r="F115" s="1118"/>
      <c r="G115" s="1118"/>
      <c r="H115" s="1118"/>
      <c r="I115" s="1118"/>
      <c r="J115" s="1118"/>
      <c r="K115" s="1118"/>
      <c r="L115" s="1118"/>
      <c r="M115" s="1118"/>
      <c r="N115" s="1118"/>
      <c r="O115" s="1118"/>
      <c r="P115" s="1118"/>
      <c r="Q115" s="1118"/>
      <c r="R115" s="1118"/>
      <c r="S115" s="1118"/>
      <c r="T115" s="1118"/>
      <c r="U115" s="1118"/>
    </row>
    <row r="116" spans="1:21">
      <c r="A116" s="997"/>
      <c r="B116" s="1118"/>
      <c r="C116" s="1118"/>
      <c r="D116" s="181"/>
      <c r="E116" s="1133"/>
      <c r="F116" s="1118"/>
      <c r="G116" s="1118"/>
      <c r="H116" s="1118"/>
      <c r="I116" s="1118"/>
      <c r="J116" s="1118"/>
      <c r="K116" s="1118"/>
      <c r="L116" s="1118"/>
      <c r="M116" s="1118"/>
      <c r="N116" s="1118"/>
      <c r="O116" s="1118"/>
      <c r="P116" s="1118"/>
      <c r="Q116" s="1118"/>
      <c r="R116" s="1118"/>
      <c r="S116" s="1118"/>
      <c r="T116" s="1118"/>
      <c r="U116" s="1118"/>
    </row>
    <row r="117" spans="1:21">
      <c r="A117" s="997"/>
      <c r="B117" s="1118"/>
      <c r="C117" s="1118"/>
      <c r="D117" s="181"/>
      <c r="E117" s="1133"/>
      <c r="P117" s="1118"/>
      <c r="Q117" s="1118"/>
      <c r="R117" s="1118"/>
      <c r="S117" s="1118"/>
      <c r="T117" s="1118"/>
      <c r="U117" s="1118"/>
    </row>
  </sheetData>
  <mergeCells count="92">
    <mergeCell ref="F64:I78"/>
    <mergeCell ref="A74:A78"/>
    <mergeCell ref="B74:B78"/>
    <mergeCell ref="C74:C78"/>
    <mergeCell ref="D74:D78"/>
    <mergeCell ref="E74:E78"/>
    <mergeCell ref="E2:E3"/>
    <mergeCell ref="E92:E98"/>
    <mergeCell ref="E4:E13"/>
    <mergeCell ref="E14:E23"/>
    <mergeCell ref="E24:E33"/>
    <mergeCell ref="E34:E43"/>
    <mergeCell ref="E44:E53"/>
    <mergeCell ref="E54:E63"/>
    <mergeCell ref="E64:E73"/>
    <mergeCell ref="E79:E82"/>
    <mergeCell ref="E83:E86"/>
    <mergeCell ref="E87:E90"/>
    <mergeCell ref="A2:C2"/>
    <mergeCell ref="D2:D3"/>
    <mergeCell ref="A4:A8"/>
    <mergeCell ref="B4:B8"/>
    <mergeCell ref="C4:C8"/>
    <mergeCell ref="D4:D8"/>
    <mergeCell ref="A9:A13"/>
    <mergeCell ref="B9:B13"/>
    <mergeCell ref="C9:C13"/>
    <mergeCell ref="D9:D13"/>
    <mergeCell ref="A14:A18"/>
    <mergeCell ref="B14:B18"/>
    <mergeCell ref="C14:C18"/>
    <mergeCell ref="D14:D18"/>
    <mergeCell ref="A19:A23"/>
    <mergeCell ref="B19:B23"/>
    <mergeCell ref="C19:C23"/>
    <mergeCell ref="D19:D23"/>
    <mergeCell ref="A24:A28"/>
    <mergeCell ref="B24:B28"/>
    <mergeCell ref="C24:C28"/>
    <mergeCell ref="D24:D28"/>
    <mergeCell ref="A29:A33"/>
    <mergeCell ref="B29:B33"/>
    <mergeCell ref="C29:C33"/>
    <mergeCell ref="D29:D33"/>
    <mergeCell ref="A34:A38"/>
    <mergeCell ref="B34:B38"/>
    <mergeCell ref="C34:C38"/>
    <mergeCell ref="D34:D38"/>
    <mergeCell ref="A39:A43"/>
    <mergeCell ref="B39:B43"/>
    <mergeCell ref="C39:C43"/>
    <mergeCell ref="D39:D43"/>
    <mergeCell ref="A44:A48"/>
    <mergeCell ref="B44:B48"/>
    <mergeCell ref="C44:C48"/>
    <mergeCell ref="D44:D48"/>
    <mergeCell ref="A49:A53"/>
    <mergeCell ref="B49:B53"/>
    <mergeCell ref="C49:C53"/>
    <mergeCell ref="D49:D53"/>
    <mergeCell ref="A79:A82"/>
    <mergeCell ref="B79:B82"/>
    <mergeCell ref="C79:C82"/>
    <mergeCell ref="D79:D82"/>
    <mergeCell ref="A59:A63"/>
    <mergeCell ref="B59:B63"/>
    <mergeCell ref="C59:C63"/>
    <mergeCell ref="D59:D63"/>
    <mergeCell ref="A54:A58"/>
    <mergeCell ref="B54:B58"/>
    <mergeCell ref="C54:C58"/>
    <mergeCell ref="D54:D58"/>
    <mergeCell ref="C64:C68"/>
    <mergeCell ref="D64:D68"/>
    <mergeCell ref="A69:A73"/>
    <mergeCell ref="B69:B73"/>
    <mergeCell ref="C69:C73"/>
    <mergeCell ref="D92:D98"/>
    <mergeCell ref="A83:A86"/>
    <mergeCell ref="B83:B86"/>
    <mergeCell ref="C83:C86"/>
    <mergeCell ref="D83:D86"/>
    <mergeCell ref="A87:A90"/>
    <mergeCell ref="B87:B90"/>
    <mergeCell ref="C87:C90"/>
    <mergeCell ref="D87:D90"/>
    <mergeCell ref="A92:A98"/>
    <mergeCell ref="B92:B98"/>
    <mergeCell ref="C92:C98"/>
    <mergeCell ref="D69:D73"/>
    <mergeCell ref="A64:A68"/>
    <mergeCell ref="B64:B68"/>
  </mergeCells>
  <hyperlinks>
    <hyperlink ref="A1" location="Главная!A1" display="Вернуться на главную страницу" xr:uid="{00000000-0004-0000-2B00-000000000000}"/>
  </hyperlink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Лист57"/>
  <dimension ref="A1:V110"/>
  <sheetViews>
    <sheetView topLeftCell="A22" zoomScale="70" zoomScaleNormal="70" workbookViewId="0"/>
  </sheetViews>
  <sheetFormatPr defaultColWidth="9.140625" defaultRowHeight="15"/>
  <cols>
    <col min="1" max="1" width="27" style="84" customWidth="1"/>
    <col min="2" max="2" width="86.42578125" style="86" customWidth="1"/>
    <col min="3" max="3" width="46" style="84" customWidth="1"/>
    <col min="4" max="4" width="23.5703125" style="984" customWidth="1"/>
    <col min="5" max="22" width="9.140625" style="181"/>
    <col min="23" max="16384" width="9.140625" style="84"/>
  </cols>
  <sheetData>
    <row r="1" spans="1:4" ht="19.5" customHeight="1" thickBot="1">
      <c r="A1" s="15" t="s">
        <v>9</v>
      </c>
      <c r="B1" s="84"/>
      <c r="C1" s="202"/>
    </row>
    <row r="2" spans="1:4" ht="56.25" customHeight="1" thickBot="1">
      <c r="A2" s="3394" t="s">
        <v>393</v>
      </c>
      <c r="B2" s="3395"/>
      <c r="C2" s="3396"/>
      <c r="D2" s="3397" t="s">
        <v>5736</v>
      </c>
    </row>
    <row r="3" spans="1:4" ht="56.25" customHeight="1" thickBot="1">
      <c r="A3" s="985" t="s">
        <v>17</v>
      </c>
      <c r="B3" s="985" t="s">
        <v>394</v>
      </c>
      <c r="C3" s="985" t="s">
        <v>395</v>
      </c>
      <c r="D3" s="3398"/>
    </row>
    <row r="4" spans="1:4" ht="147.75" customHeight="1">
      <c r="A4" s="986" t="s">
        <v>396</v>
      </c>
      <c r="B4" s="987"/>
      <c r="C4" s="988"/>
      <c r="D4" s="1011">
        <v>1340</v>
      </c>
    </row>
    <row r="5" spans="1:4" ht="147.75" customHeight="1">
      <c r="A5" s="989" t="s">
        <v>397</v>
      </c>
      <c r="B5" s="187"/>
      <c r="C5" s="188"/>
      <c r="D5" s="1012">
        <v>3150</v>
      </c>
    </row>
    <row r="6" spans="1:4" ht="147.75" customHeight="1">
      <c r="A6" s="989" t="s">
        <v>435</v>
      </c>
      <c r="B6" s="187"/>
      <c r="C6" s="188"/>
      <c r="D6" s="1012">
        <v>1820</v>
      </c>
    </row>
    <row r="7" spans="1:4" ht="147.75" customHeight="1">
      <c r="A7" s="989" t="s">
        <v>398</v>
      </c>
      <c r="B7" s="187"/>
      <c r="C7" s="188"/>
      <c r="D7" s="1012">
        <v>7110</v>
      </c>
    </row>
    <row r="8" spans="1:4" ht="147.75" customHeight="1">
      <c r="A8" s="989" t="s">
        <v>436</v>
      </c>
      <c r="B8" s="187"/>
      <c r="C8" s="188"/>
      <c r="D8" s="1012">
        <v>5780</v>
      </c>
    </row>
    <row r="9" spans="1:4" ht="200.25" customHeight="1">
      <c r="A9" s="989" t="s">
        <v>399</v>
      </c>
      <c r="B9" s="187"/>
      <c r="C9" s="189"/>
      <c r="D9" s="1012">
        <v>14140</v>
      </c>
    </row>
    <row r="10" spans="1:4" ht="200.25" customHeight="1">
      <c r="A10" s="989" t="s">
        <v>437</v>
      </c>
      <c r="B10" s="187"/>
      <c r="C10" s="189"/>
      <c r="D10" s="1012">
        <v>12810</v>
      </c>
    </row>
    <row r="11" spans="1:4" ht="216.75" customHeight="1">
      <c r="A11" s="989" t="s">
        <v>439</v>
      </c>
      <c r="B11" s="187"/>
      <c r="C11" s="189"/>
      <c r="D11" s="1012">
        <v>4290</v>
      </c>
    </row>
    <row r="12" spans="1:4" ht="216.75" customHeight="1">
      <c r="A12" s="989" t="s">
        <v>438</v>
      </c>
      <c r="B12" s="187"/>
      <c r="C12" s="189"/>
      <c r="D12" s="1012">
        <v>2970</v>
      </c>
    </row>
    <row r="13" spans="1:4" ht="147.75" customHeight="1">
      <c r="A13" s="989" t="s">
        <v>400</v>
      </c>
      <c r="B13" s="190"/>
      <c r="C13" s="188"/>
      <c r="D13" s="1012">
        <v>7030</v>
      </c>
    </row>
    <row r="14" spans="1:4" ht="147.75" customHeight="1">
      <c r="A14" s="989" t="s">
        <v>401</v>
      </c>
      <c r="B14" s="190"/>
      <c r="C14" s="188"/>
      <c r="D14" s="1012">
        <v>7030</v>
      </c>
    </row>
    <row r="15" spans="1:4" ht="93.75" customHeight="1">
      <c r="A15" s="989" t="s">
        <v>402</v>
      </c>
      <c r="B15" s="191" t="s">
        <v>541</v>
      </c>
      <c r="C15" s="188"/>
      <c r="D15" s="1012">
        <v>950</v>
      </c>
    </row>
    <row r="16" spans="1:4" ht="85.5" customHeight="1">
      <c r="A16" s="989" t="s">
        <v>403</v>
      </c>
      <c r="B16" s="192" t="s">
        <v>542</v>
      </c>
      <c r="C16" s="188"/>
      <c r="D16" s="1012">
        <v>2000</v>
      </c>
    </row>
    <row r="17" spans="1:7" ht="85.5" customHeight="1">
      <c r="A17" s="989" t="s">
        <v>404</v>
      </c>
      <c r="B17" s="1170" t="s">
        <v>543</v>
      </c>
      <c r="C17" s="188"/>
      <c r="D17" s="1012">
        <v>2000</v>
      </c>
    </row>
    <row r="18" spans="1:7" ht="150" customHeight="1">
      <c r="A18" s="989" t="s">
        <v>405</v>
      </c>
      <c r="B18" s="193" t="s">
        <v>544</v>
      </c>
      <c r="C18" s="188"/>
      <c r="D18" s="1012">
        <v>3820</v>
      </c>
    </row>
    <row r="19" spans="1:7" ht="150" customHeight="1">
      <c r="A19" s="989" t="s">
        <v>406</v>
      </c>
      <c r="B19" s="192" t="s">
        <v>545</v>
      </c>
      <c r="C19" s="188"/>
      <c r="D19" s="1012">
        <v>3820</v>
      </c>
    </row>
    <row r="20" spans="1:7" ht="162" customHeight="1">
      <c r="A20" s="989" t="s">
        <v>407</v>
      </c>
      <c r="B20" s="192" t="s">
        <v>7702</v>
      </c>
      <c r="C20" s="188"/>
      <c r="D20" s="1012">
        <v>3820</v>
      </c>
    </row>
    <row r="21" spans="1:7" ht="157.5" customHeight="1">
      <c r="A21" s="990" t="s">
        <v>408</v>
      </c>
      <c r="B21" s="192" t="s">
        <v>5766</v>
      </c>
      <c r="C21" s="188"/>
      <c r="D21" s="1012">
        <v>3040</v>
      </c>
      <c r="G21" s="980"/>
    </row>
    <row r="22" spans="1:7" ht="157.5" customHeight="1">
      <c r="A22" s="990" t="s">
        <v>409</v>
      </c>
      <c r="B22" s="991" t="s">
        <v>546</v>
      </c>
      <c r="C22" s="188"/>
      <c r="D22" s="1012">
        <v>3450</v>
      </c>
    </row>
    <row r="23" spans="1:7" ht="157.5" customHeight="1">
      <c r="A23" s="990" t="s">
        <v>410</v>
      </c>
      <c r="B23" s="192" t="s">
        <v>547</v>
      </c>
      <c r="C23" s="188"/>
      <c r="D23" s="1012">
        <v>6900</v>
      </c>
    </row>
    <row r="24" spans="1:7" ht="157.5" customHeight="1">
      <c r="A24" s="992" t="s">
        <v>411</v>
      </c>
      <c r="B24" s="190"/>
      <c r="C24" s="188"/>
      <c r="D24" s="1012">
        <v>3730</v>
      </c>
    </row>
    <row r="25" spans="1:7" ht="158.25" customHeight="1">
      <c r="A25" s="992" t="s">
        <v>412</v>
      </c>
      <c r="B25" s="190"/>
      <c r="C25" s="188"/>
      <c r="D25" s="1012">
        <v>3730</v>
      </c>
    </row>
    <row r="26" spans="1:7" ht="197.25" customHeight="1">
      <c r="A26" s="993" t="s">
        <v>413</v>
      </c>
      <c r="B26" s="994" t="s">
        <v>548</v>
      </c>
      <c r="C26" s="188"/>
      <c r="D26" s="1012">
        <v>21500</v>
      </c>
    </row>
    <row r="27" spans="1:7" ht="197.25" customHeight="1">
      <c r="A27" s="993" t="s">
        <v>414</v>
      </c>
      <c r="B27" s="994" t="s">
        <v>549</v>
      </c>
      <c r="C27" s="188"/>
      <c r="D27" s="1012">
        <v>21500</v>
      </c>
    </row>
    <row r="28" spans="1:7" ht="197.25" customHeight="1">
      <c r="A28" s="993" t="s">
        <v>415</v>
      </c>
      <c r="B28" s="994" t="s">
        <v>550</v>
      </c>
      <c r="C28" s="188"/>
      <c r="D28" s="1012">
        <v>29070</v>
      </c>
    </row>
    <row r="29" spans="1:7" ht="197.25" customHeight="1">
      <c r="A29" s="993" t="s">
        <v>416</v>
      </c>
      <c r="B29" s="994" t="s">
        <v>551</v>
      </c>
      <c r="C29" s="188"/>
      <c r="D29" s="1012">
        <v>29070</v>
      </c>
    </row>
    <row r="30" spans="1:7" ht="202.5" customHeight="1" thickBot="1">
      <c r="A30" s="995" t="s">
        <v>479</v>
      </c>
      <c r="B30" s="1127" t="s">
        <v>552</v>
      </c>
      <c r="C30" s="194"/>
      <c r="D30" s="1128">
        <v>15430</v>
      </c>
    </row>
    <row r="31" spans="1:7">
      <c r="A31" s="181"/>
      <c r="B31" s="244"/>
      <c r="C31" s="181"/>
      <c r="D31" s="996"/>
    </row>
    <row r="32" spans="1:7">
      <c r="A32" s="181"/>
      <c r="B32" s="244"/>
      <c r="C32" s="181"/>
      <c r="D32" s="996"/>
    </row>
    <row r="33" spans="1:4">
      <c r="A33" s="181"/>
      <c r="B33" s="244"/>
      <c r="C33" s="181"/>
      <c r="D33" s="996"/>
    </row>
    <row r="34" spans="1:4">
      <c r="A34" s="181"/>
      <c r="B34" s="244"/>
      <c r="C34" s="181"/>
      <c r="D34" s="996"/>
    </row>
    <row r="35" spans="1:4">
      <c r="A35" s="181"/>
      <c r="B35" s="244"/>
      <c r="C35" s="181"/>
      <c r="D35" s="996"/>
    </row>
    <row r="36" spans="1:4">
      <c r="A36" s="181"/>
      <c r="B36" s="244"/>
      <c r="C36" s="181"/>
      <c r="D36" s="996"/>
    </row>
    <row r="37" spans="1:4">
      <c r="A37" s="181"/>
      <c r="B37" s="244"/>
      <c r="C37" s="181"/>
      <c r="D37" s="996"/>
    </row>
    <row r="38" spans="1:4">
      <c r="A38" s="181"/>
      <c r="B38" s="244"/>
      <c r="C38" s="181"/>
      <c r="D38" s="996"/>
    </row>
    <row r="39" spans="1:4">
      <c r="A39" s="181"/>
      <c r="B39" s="244"/>
      <c r="C39" s="181"/>
      <c r="D39" s="996"/>
    </row>
    <row r="40" spans="1:4">
      <c r="A40" s="181"/>
      <c r="B40" s="244"/>
      <c r="C40" s="181"/>
      <c r="D40" s="996"/>
    </row>
    <row r="41" spans="1:4">
      <c r="A41" s="181"/>
      <c r="B41" s="244"/>
      <c r="C41" s="181"/>
      <c r="D41" s="996"/>
    </row>
    <row r="42" spans="1:4">
      <c r="A42" s="181"/>
      <c r="B42" s="244"/>
      <c r="C42" s="181"/>
      <c r="D42" s="996"/>
    </row>
    <row r="43" spans="1:4">
      <c r="A43" s="181"/>
      <c r="B43" s="244"/>
      <c r="C43" s="181"/>
      <c r="D43" s="996"/>
    </row>
    <row r="44" spans="1:4">
      <c r="A44" s="181"/>
      <c r="B44" s="244"/>
      <c r="C44" s="181"/>
      <c r="D44" s="996"/>
    </row>
    <row r="45" spans="1:4">
      <c r="A45" s="181"/>
      <c r="B45" s="244"/>
      <c r="C45" s="181"/>
      <c r="D45" s="996"/>
    </row>
    <row r="46" spans="1:4">
      <c r="A46" s="181"/>
      <c r="B46" s="244"/>
      <c r="C46" s="181"/>
      <c r="D46" s="996"/>
    </row>
    <row r="47" spans="1:4">
      <c r="A47" s="181"/>
      <c r="B47" s="244"/>
      <c r="C47" s="181"/>
      <c r="D47" s="996"/>
    </row>
    <row r="48" spans="1:4">
      <c r="A48" s="181"/>
      <c r="B48" s="244"/>
      <c r="C48" s="181"/>
      <c r="D48" s="996"/>
    </row>
    <row r="49" spans="1:4">
      <c r="A49" s="181"/>
      <c r="B49" s="244"/>
      <c r="C49" s="181"/>
      <c r="D49" s="996"/>
    </row>
    <row r="50" spans="1:4">
      <c r="A50" s="181"/>
      <c r="B50" s="244"/>
      <c r="C50" s="181"/>
      <c r="D50" s="996"/>
    </row>
    <row r="51" spans="1:4">
      <c r="A51" s="181"/>
      <c r="B51" s="244"/>
      <c r="C51" s="181"/>
      <c r="D51" s="996"/>
    </row>
    <row r="52" spans="1:4">
      <c r="A52" s="181"/>
      <c r="B52" s="244"/>
      <c r="C52" s="181"/>
      <c r="D52" s="996"/>
    </row>
    <row r="53" spans="1:4">
      <c r="A53" s="181"/>
      <c r="B53" s="244"/>
      <c r="C53" s="181"/>
      <c r="D53" s="996"/>
    </row>
    <row r="54" spans="1:4">
      <c r="A54" s="181"/>
      <c r="B54" s="244"/>
      <c r="C54" s="181"/>
      <c r="D54" s="996"/>
    </row>
    <row r="55" spans="1:4">
      <c r="A55" s="181"/>
      <c r="B55" s="244"/>
      <c r="C55" s="181"/>
      <c r="D55" s="996"/>
    </row>
    <row r="56" spans="1:4">
      <c r="A56" s="181"/>
      <c r="B56" s="244"/>
      <c r="C56" s="181"/>
      <c r="D56" s="996"/>
    </row>
    <row r="57" spans="1:4">
      <c r="A57" s="181"/>
      <c r="B57" s="244"/>
      <c r="C57" s="181"/>
      <c r="D57" s="996"/>
    </row>
    <row r="58" spans="1:4">
      <c r="A58" s="181"/>
      <c r="B58" s="244"/>
      <c r="C58" s="181"/>
      <c r="D58" s="996"/>
    </row>
    <row r="59" spans="1:4">
      <c r="A59" s="181"/>
      <c r="B59" s="244"/>
      <c r="C59" s="181"/>
      <c r="D59" s="996"/>
    </row>
    <row r="60" spans="1:4">
      <c r="A60" s="181"/>
      <c r="B60" s="244"/>
      <c r="C60" s="181"/>
      <c r="D60" s="996"/>
    </row>
    <row r="61" spans="1:4">
      <c r="A61" s="181"/>
      <c r="B61" s="244"/>
      <c r="C61" s="181"/>
      <c r="D61" s="996"/>
    </row>
    <row r="62" spans="1:4">
      <c r="A62" s="181"/>
      <c r="B62" s="244"/>
      <c r="C62" s="181"/>
      <c r="D62" s="996"/>
    </row>
    <row r="63" spans="1:4">
      <c r="A63" s="181"/>
      <c r="B63" s="244"/>
      <c r="C63" s="181"/>
      <c r="D63" s="996"/>
    </row>
    <row r="64" spans="1:4">
      <c r="A64" s="181"/>
      <c r="B64" s="244"/>
      <c r="C64" s="181"/>
      <c r="D64" s="996"/>
    </row>
    <row r="65" spans="1:4">
      <c r="A65" s="181"/>
      <c r="B65" s="244"/>
      <c r="C65" s="181"/>
      <c r="D65" s="996"/>
    </row>
    <row r="66" spans="1:4">
      <c r="A66" s="181"/>
      <c r="B66" s="244"/>
      <c r="C66" s="181"/>
      <c r="D66" s="996"/>
    </row>
    <row r="67" spans="1:4">
      <c r="A67" s="181"/>
      <c r="B67" s="244"/>
      <c r="C67" s="181"/>
      <c r="D67" s="996"/>
    </row>
    <row r="68" spans="1:4">
      <c r="A68" s="181"/>
      <c r="B68" s="244"/>
      <c r="C68" s="181"/>
      <c r="D68" s="996"/>
    </row>
    <row r="69" spans="1:4">
      <c r="A69" s="181"/>
      <c r="B69" s="244"/>
      <c r="C69" s="181"/>
      <c r="D69" s="996"/>
    </row>
    <row r="70" spans="1:4">
      <c r="A70" s="181"/>
      <c r="B70" s="244"/>
      <c r="C70" s="181"/>
      <c r="D70" s="996"/>
    </row>
    <row r="71" spans="1:4">
      <c r="A71" s="181"/>
      <c r="B71" s="244"/>
      <c r="C71" s="181"/>
      <c r="D71" s="996"/>
    </row>
    <row r="72" spans="1:4">
      <c r="A72" s="181"/>
      <c r="B72" s="244"/>
      <c r="C72" s="181"/>
      <c r="D72" s="996"/>
    </row>
    <row r="73" spans="1:4">
      <c r="A73" s="181"/>
      <c r="B73" s="244"/>
      <c r="C73" s="181"/>
      <c r="D73" s="996"/>
    </row>
    <row r="74" spans="1:4">
      <c r="A74" s="181"/>
      <c r="B74" s="244"/>
      <c r="C74" s="181"/>
      <c r="D74" s="996"/>
    </row>
    <row r="75" spans="1:4">
      <c r="A75" s="181"/>
      <c r="B75" s="244"/>
      <c r="C75" s="181"/>
      <c r="D75" s="996"/>
    </row>
    <row r="76" spans="1:4">
      <c r="A76" s="181"/>
      <c r="B76" s="244"/>
      <c r="C76" s="181"/>
      <c r="D76" s="996"/>
    </row>
    <row r="77" spans="1:4">
      <c r="A77" s="181"/>
      <c r="B77" s="244"/>
      <c r="C77" s="181"/>
      <c r="D77" s="996"/>
    </row>
    <row r="78" spans="1:4">
      <c r="A78" s="181"/>
      <c r="B78" s="244"/>
      <c r="C78" s="181"/>
      <c r="D78" s="996"/>
    </row>
    <row r="79" spans="1:4">
      <c r="A79" s="181"/>
      <c r="B79" s="244"/>
      <c r="C79" s="181"/>
      <c r="D79" s="996"/>
    </row>
    <row r="80" spans="1:4">
      <c r="A80" s="181"/>
      <c r="B80" s="244"/>
      <c r="C80" s="181"/>
      <c r="D80" s="996"/>
    </row>
    <row r="81" spans="1:4">
      <c r="A81" s="181"/>
      <c r="B81" s="244"/>
      <c r="C81" s="181"/>
      <c r="D81" s="996"/>
    </row>
    <row r="82" spans="1:4">
      <c r="A82" s="181"/>
      <c r="B82" s="244"/>
      <c r="C82" s="181"/>
      <c r="D82" s="996"/>
    </row>
    <row r="83" spans="1:4">
      <c r="A83" s="181"/>
      <c r="B83" s="244"/>
      <c r="C83" s="181"/>
      <c r="D83" s="996"/>
    </row>
    <row r="84" spans="1:4">
      <c r="A84" s="181"/>
      <c r="B84" s="244"/>
      <c r="C84" s="181"/>
      <c r="D84" s="996"/>
    </row>
    <row r="85" spans="1:4">
      <c r="A85" s="181"/>
      <c r="B85" s="244"/>
      <c r="C85" s="181"/>
      <c r="D85" s="996"/>
    </row>
    <row r="86" spans="1:4">
      <c r="A86" s="181"/>
      <c r="B86" s="244"/>
      <c r="C86" s="181"/>
      <c r="D86" s="996"/>
    </row>
    <row r="87" spans="1:4">
      <c r="A87" s="181"/>
      <c r="B87" s="244"/>
      <c r="C87" s="181"/>
      <c r="D87" s="996"/>
    </row>
    <row r="88" spans="1:4">
      <c r="A88" s="181"/>
      <c r="B88" s="244"/>
      <c r="C88" s="181"/>
      <c r="D88" s="996"/>
    </row>
    <row r="89" spans="1:4">
      <c r="A89" s="181"/>
      <c r="B89" s="244"/>
      <c r="C89" s="181"/>
      <c r="D89" s="996"/>
    </row>
    <row r="90" spans="1:4">
      <c r="A90" s="181"/>
      <c r="B90" s="244"/>
      <c r="C90" s="181"/>
      <c r="D90" s="996"/>
    </row>
    <row r="91" spans="1:4">
      <c r="A91" s="181"/>
      <c r="B91" s="244"/>
      <c r="C91" s="181"/>
      <c r="D91" s="996"/>
    </row>
    <row r="92" spans="1:4">
      <c r="A92" s="181"/>
      <c r="B92" s="244"/>
      <c r="C92" s="181"/>
      <c r="D92" s="996"/>
    </row>
    <row r="93" spans="1:4">
      <c r="A93" s="181"/>
      <c r="B93" s="244"/>
      <c r="C93" s="181"/>
      <c r="D93" s="996"/>
    </row>
    <row r="94" spans="1:4">
      <c r="A94" s="181"/>
      <c r="B94" s="244"/>
      <c r="C94" s="181"/>
      <c r="D94" s="996"/>
    </row>
    <row r="95" spans="1:4">
      <c r="A95" s="181"/>
      <c r="B95" s="244"/>
      <c r="C95" s="181"/>
      <c r="D95" s="996"/>
    </row>
    <row r="96" spans="1:4">
      <c r="A96" s="181"/>
      <c r="B96" s="244"/>
      <c r="C96" s="181"/>
      <c r="D96" s="996"/>
    </row>
    <row r="97" spans="1:4">
      <c r="A97" s="181"/>
      <c r="B97" s="244"/>
      <c r="C97" s="181"/>
      <c r="D97" s="996"/>
    </row>
    <row r="98" spans="1:4">
      <c r="A98" s="181"/>
      <c r="B98" s="244"/>
      <c r="C98" s="181"/>
      <c r="D98" s="996"/>
    </row>
    <row r="99" spans="1:4">
      <c r="A99" s="181"/>
      <c r="B99" s="244"/>
      <c r="C99" s="181"/>
      <c r="D99" s="996"/>
    </row>
    <row r="100" spans="1:4">
      <c r="A100" s="181"/>
      <c r="B100" s="244"/>
      <c r="C100" s="181"/>
      <c r="D100" s="996"/>
    </row>
    <row r="101" spans="1:4">
      <c r="A101" s="181"/>
      <c r="B101" s="244"/>
      <c r="C101" s="181"/>
      <c r="D101" s="996"/>
    </row>
    <row r="102" spans="1:4">
      <c r="A102" s="181"/>
      <c r="B102" s="244"/>
      <c r="C102" s="181"/>
      <c r="D102" s="996"/>
    </row>
    <row r="103" spans="1:4">
      <c r="A103" s="181"/>
      <c r="B103" s="244"/>
      <c r="C103" s="181"/>
      <c r="D103" s="996"/>
    </row>
    <row r="104" spans="1:4">
      <c r="A104" s="181"/>
      <c r="B104" s="244"/>
      <c r="C104" s="181"/>
      <c r="D104" s="996"/>
    </row>
    <row r="105" spans="1:4">
      <c r="A105" s="181"/>
      <c r="B105" s="244"/>
      <c r="C105" s="181"/>
      <c r="D105" s="996"/>
    </row>
    <row r="106" spans="1:4">
      <c r="A106" s="181"/>
      <c r="B106" s="244"/>
      <c r="C106" s="181"/>
      <c r="D106" s="996"/>
    </row>
    <row r="107" spans="1:4">
      <c r="A107" s="181"/>
      <c r="B107" s="244"/>
      <c r="C107" s="181"/>
      <c r="D107" s="996"/>
    </row>
    <row r="108" spans="1:4">
      <c r="A108" s="181"/>
      <c r="B108" s="244"/>
      <c r="C108" s="181"/>
      <c r="D108" s="996"/>
    </row>
    <row r="109" spans="1:4">
      <c r="A109" s="181"/>
      <c r="B109" s="244"/>
      <c r="C109" s="181"/>
      <c r="D109" s="996"/>
    </row>
    <row r="110" spans="1:4">
      <c r="A110" s="181"/>
      <c r="B110" s="244"/>
      <c r="C110" s="181"/>
      <c r="D110" s="996"/>
    </row>
  </sheetData>
  <mergeCells count="2">
    <mergeCell ref="A2:C2"/>
    <mergeCell ref="D2:D3"/>
  </mergeCells>
  <hyperlinks>
    <hyperlink ref="A1" location="Главная!A1" display="Вернуться на главную страницу" xr:uid="{00000000-0004-0000-2A00-000000000000}"/>
  </hyperlinks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Лист59">
    <pageSetUpPr fitToPage="1"/>
  </sheetPr>
  <dimension ref="A1:AS182"/>
  <sheetViews>
    <sheetView zoomScale="70" zoomScaleNormal="70" workbookViewId="0"/>
  </sheetViews>
  <sheetFormatPr defaultRowHeight="15"/>
  <cols>
    <col min="9" max="14" width="10.7109375" customWidth="1"/>
    <col min="15" max="15" width="10.7109375" style="65" customWidth="1"/>
    <col min="18" max="32" width="9.140625" style="1013"/>
  </cols>
  <sheetData>
    <row r="1" spans="1:45" s="65" customFormat="1" ht="16.5" thickBot="1">
      <c r="A1" s="15" t="s">
        <v>9</v>
      </c>
      <c r="B1" s="97"/>
      <c r="C1" s="97"/>
      <c r="D1" s="97"/>
      <c r="E1" s="15"/>
      <c r="H1" s="94"/>
      <c r="I1" s="94"/>
      <c r="J1" s="2000"/>
      <c r="K1" s="2000"/>
      <c r="L1" s="2000"/>
      <c r="M1" s="2000"/>
      <c r="N1" s="2000"/>
      <c r="O1" s="2000"/>
      <c r="P1" s="2000"/>
      <c r="Q1" s="2000"/>
      <c r="R1" s="2000"/>
      <c r="S1" s="2000"/>
      <c r="T1" s="2000"/>
      <c r="U1" s="2000"/>
      <c r="V1" s="2000"/>
      <c r="W1" s="2000"/>
      <c r="X1" s="2000"/>
      <c r="Y1" s="2000"/>
      <c r="Z1" s="2000"/>
      <c r="AA1" s="2000"/>
      <c r="AB1" s="2000"/>
      <c r="AC1" s="2000"/>
      <c r="AD1" s="2000"/>
      <c r="AE1" s="2000"/>
      <c r="AF1" s="2000"/>
      <c r="AG1" s="2000"/>
      <c r="AH1" s="2000"/>
      <c r="AI1" s="2000"/>
      <c r="AJ1" s="2000"/>
      <c r="AK1" s="2000"/>
      <c r="AL1" s="2000"/>
      <c r="AM1" s="2000"/>
      <c r="AN1" s="2000"/>
      <c r="AO1" s="2000"/>
      <c r="AP1" s="2000"/>
      <c r="AQ1" s="2000"/>
      <c r="AR1" s="2000"/>
      <c r="AS1" s="2000"/>
    </row>
    <row r="2" spans="1:45" s="65" customFormat="1">
      <c r="A2" s="957"/>
      <c r="B2" s="957"/>
      <c r="C2" s="3412" t="s">
        <v>7676</v>
      </c>
      <c r="D2" s="3413"/>
      <c r="E2" s="3413"/>
      <c r="F2" s="3413"/>
      <c r="G2" s="3413"/>
      <c r="H2" s="3413"/>
      <c r="I2" s="3413"/>
      <c r="J2" s="3413"/>
      <c r="K2" s="3414"/>
      <c r="L2" s="3412" t="s">
        <v>391</v>
      </c>
      <c r="M2" s="3413"/>
      <c r="N2" s="3408"/>
      <c r="O2" s="3409"/>
      <c r="P2" s="957"/>
      <c r="Q2" s="957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1013"/>
      <c r="AD2" s="1013"/>
      <c r="AE2" s="1013"/>
      <c r="AF2" s="1013"/>
    </row>
    <row r="3" spans="1:45" s="65" customFormat="1">
      <c r="A3" s="957"/>
      <c r="B3" s="957"/>
      <c r="C3" s="3415"/>
      <c r="D3" s="3416"/>
      <c r="E3" s="3416"/>
      <c r="F3" s="3416"/>
      <c r="G3" s="3416"/>
      <c r="H3" s="3416"/>
      <c r="I3" s="3416"/>
      <c r="J3" s="3416"/>
      <c r="K3" s="3417"/>
      <c r="L3" s="3415"/>
      <c r="M3" s="3416"/>
      <c r="N3" s="3410"/>
      <c r="O3" s="3411"/>
      <c r="P3" s="957"/>
      <c r="Q3" s="957"/>
      <c r="R3" s="1013"/>
      <c r="S3" s="1013"/>
      <c r="T3" s="1013"/>
      <c r="U3" s="1013"/>
      <c r="V3" s="1013"/>
      <c r="W3" s="1013"/>
      <c r="X3" s="1013"/>
      <c r="Y3" s="1013"/>
      <c r="Z3" s="1013"/>
      <c r="AA3" s="1013"/>
      <c r="AB3" s="1013"/>
      <c r="AC3" s="1013"/>
      <c r="AD3" s="1013"/>
      <c r="AE3" s="1013"/>
      <c r="AF3" s="1013"/>
    </row>
    <row r="4" spans="1:45">
      <c r="A4" s="957"/>
      <c r="B4" s="957"/>
      <c r="C4" s="3415"/>
      <c r="D4" s="3416"/>
      <c r="E4" s="3416"/>
      <c r="F4" s="3416"/>
      <c r="G4" s="3416"/>
      <c r="H4" s="3416"/>
      <c r="I4" s="3416"/>
      <c r="J4" s="3416"/>
      <c r="K4" s="3417"/>
      <c r="L4" s="3415" t="s">
        <v>392</v>
      </c>
      <c r="M4" s="3416"/>
      <c r="N4" s="982"/>
      <c r="O4" s="982"/>
      <c r="P4" s="957"/>
      <c r="Q4" s="957"/>
    </row>
    <row r="5" spans="1:45" ht="15.75" thickBot="1">
      <c r="A5" s="957"/>
      <c r="B5" s="957"/>
      <c r="C5" s="3418"/>
      <c r="D5" s="3419"/>
      <c r="E5" s="3419"/>
      <c r="F5" s="3419"/>
      <c r="G5" s="3419"/>
      <c r="H5" s="3419"/>
      <c r="I5" s="3419"/>
      <c r="J5" s="3419"/>
      <c r="K5" s="3420"/>
      <c r="L5" s="3418"/>
      <c r="M5" s="3419"/>
      <c r="N5" s="982"/>
      <c r="O5" s="982"/>
      <c r="P5" s="957"/>
      <c r="Q5" s="957"/>
    </row>
    <row r="6" spans="1:45" ht="15" customHeight="1">
      <c r="A6" s="957"/>
      <c r="B6" s="957"/>
      <c r="C6" s="3402" t="s">
        <v>390</v>
      </c>
      <c r="D6" s="3403"/>
      <c r="E6" s="3403"/>
      <c r="F6" s="3403"/>
      <c r="G6" s="3403"/>
      <c r="H6" s="3404"/>
      <c r="I6" s="3399" t="s">
        <v>5755</v>
      </c>
      <c r="J6" s="3399" t="s">
        <v>5756</v>
      </c>
      <c r="K6" s="3399" t="s">
        <v>5757</v>
      </c>
      <c r="L6" s="3399" t="s">
        <v>5758</v>
      </c>
      <c r="M6" s="3399" t="s">
        <v>5759</v>
      </c>
      <c r="N6" s="3399" t="s">
        <v>5760</v>
      </c>
      <c r="O6" s="3399" t="s">
        <v>5761</v>
      </c>
      <c r="P6" s="957"/>
      <c r="Q6" s="957"/>
    </row>
    <row r="7" spans="1:45">
      <c r="A7" s="957"/>
      <c r="B7" s="957"/>
      <c r="C7" s="3405"/>
      <c r="D7" s="3406"/>
      <c r="E7" s="3406"/>
      <c r="F7" s="3406"/>
      <c r="G7" s="3406"/>
      <c r="H7" s="3407"/>
      <c r="I7" s="3400"/>
      <c r="J7" s="3400"/>
      <c r="K7" s="3400"/>
      <c r="L7" s="3400"/>
      <c r="M7" s="3400"/>
      <c r="N7" s="3400"/>
      <c r="O7" s="3400"/>
      <c r="P7" s="957"/>
      <c r="Q7" s="957"/>
    </row>
    <row r="8" spans="1:45">
      <c r="A8" s="957"/>
      <c r="B8" s="957"/>
      <c r="C8" s="3405"/>
      <c r="D8" s="3406"/>
      <c r="E8" s="3406"/>
      <c r="F8" s="3406"/>
      <c r="G8" s="3406"/>
      <c r="H8" s="3407"/>
      <c r="I8" s="3400"/>
      <c r="J8" s="3400"/>
      <c r="K8" s="3400"/>
      <c r="L8" s="3400"/>
      <c r="M8" s="3400"/>
      <c r="N8" s="3400"/>
      <c r="O8" s="3400"/>
      <c r="P8" s="957"/>
      <c r="Q8" s="957"/>
    </row>
    <row r="9" spans="1:45" ht="15.75" thickBot="1">
      <c r="A9" s="957"/>
      <c r="B9" s="957"/>
      <c r="C9" s="3405"/>
      <c r="D9" s="3406"/>
      <c r="E9" s="3406"/>
      <c r="F9" s="3406"/>
      <c r="G9" s="3406"/>
      <c r="H9" s="3407"/>
      <c r="I9" s="3401"/>
      <c r="J9" s="3401"/>
      <c r="K9" s="3401"/>
      <c r="L9" s="3401"/>
      <c r="M9" s="3401"/>
      <c r="N9" s="3401"/>
      <c r="O9" s="3401"/>
      <c r="P9" s="957"/>
      <c r="Q9" s="957"/>
    </row>
    <row r="10" spans="1:45">
      <c r="A10" s="957"/>
      <c r="B10" s="957"/>
      <c r="C10" s="2642" t="s">
        <v>193</v>
      </c>
      <c r="D10" s="2643"/>
      <c r="E10" s="960" t="s">
        <v>194</v>
      </c>
      <c r="F10" s="961">
        <v>55</v>
      </c>
      <c r="G10" s="961">
        <v>160</v>
      </c>
      <c r="H10" s="962" t="s">
        <v>195</v>
      </c>
      <c r="I10" s="963"/>
      <c r="J10" s="981"/>
      <c r="K10" s="964"/>
      <c r="L10" s="981"/>
      <c r="M10" s="981"/>
      <c r="N10" s="964"/>
      <c r="O10" s="965"/>
      <c r="P10" s="957"/>
      <c r="Q10" s="957"/>
    </row>
    <row r="11" spans="1:45">
      <c r="A11" s="957"/>
      <c r="B11" s="957"/>
      <c r="C11" s="2644" t="s">
        <v>196</v>
      </c>
      <c r="D11" s="2645"/>
      <c r="E11" s="384" t="s">
        <v>194</v>
      </c>
      <c r="F11" s="432">
        <v>55</v>
      </c>
      <c r="G11" s="432">
        <v>200</v>
      </c>
      <c r="H11" s="385" t="s">
        <v>195</v>
      </c>
      <c r="I11" s="958"/>
      <c r="J11" s="982"/>
      <c r="K11" s="959"/>
      <c r="L11" s="982"/>
      <c r="M11" s="982"/>
      <c r="N11" s="959"/>
      <c r="O11" s="966"/>
      <c r="P11" s="957"/>
      <c r="Q11" s="957"/>
    </row>
    <row r="12" spans="1:45">
      <c r="A12" s="957"/>
      <c r="B12" s="957"/>
      <c r="C12" s="2644" t="s">
        <v>197</v>
      </c>
      <c r="D12" s="2645"/>
      <c r="E12" s="384" t="s">
        <v>194</v>
      </c>
      <c r="F12" s="432">
        <v>55</v>
      </c>
      <c r="G12" s="432">
        <v>260</v>
      </c>
      <c r="H12" s="385" t="s">
        <v>195</v>
      </c>
      <c r="I12" s="958"/>
      <c r="J12" s="982"/>
      <c r="K12" s="959"/>
      <c r="L12" s="982"/>
      <c r="M12" s="982"/>
      <c r="N12" s="959"/>
      <c r="O12" s="966"/>
      <c r="P12" s="957"/>
      <c r="Q12" s="957"/>
    </row>
    <row r="13" spans="1:45">
      <c r="A13" s="957"/>
      <c r="B13" s="957"/>
      <c r="C13" s="2644" t="s">
        <v>198</v>
      </c>
      <c r="D13" s="2645"/>
      <c r="E13" s="384" t="s">
        <v>194</v>
      </c>
      <c r="F13" s="432">
        <v>55</v>
      </c>
      <c r="G13" s="432">
        <v>300</v>
      </c>
      <c r="H13" s="385" t="s">
        <v>195</v>
      </c>
      <c r="I13" s="958"/>
      <c r="J13" s="982"/>
      <c r="K13" s="959"/>
      <c r="L13" s="982"/>
      <c r="M13" s="982"/>
      <c r="N13" s="959"/>
      <c r="O13" s="966"/>
      <c r="P13" s="957"/>
      <c r="Q13" s="957"/>
    </row>
    <row r="14" spans="1:45" ht="15.75" thickBot="1">
      <c r="A14" s="957"/>
      <c r="B14" s="957"/>
      <c r="C14" s="2646" t="s">
        <v>199</v>
      </c>
      <c r="D14" s="2647"/>
      <c r="E14" s="386" t="s">
        <v>194</v>
      </c>
      <c r="F14" s="433">
        <v>55</v>
      </c>
      <c r="G14" s="433">
        <v>300</v>
      </c>
      <c r="H14" s="387" t="s">
        <v>200</v>
      </c>
      <c r="I14" s="967"/>
      <c r="J14" s="983"/>
      <c r="K14" s="968"/>
      <c r="L14" s="983"/>
      <c r="M14" s="983"/>
      <c r="N14" s="968"/>
      <c r="O14" s="969"/>
      <c r="P14" s="957"/>
      <c r="Q14" s="957"/>
    </row>
    <row r="15" spans="1:45">
      <c r="A15" s="957"/>
      <c r="B15" s="957"/>
      <c r="C15" s="2638" t="s">
        <v>204</v>
      </c>
      <c r="D15" s="2639"/>
      <c r="E15" s="741" t="s">
        <v>194</v>
      </c>
      <c r="F15" s="742">
        <v>65</v>
      </c>
      <c r="G15" s="742">
        <v>160</v>
      </c>
      <c r="H15" s="741" t="s">
        <v>195</v>
      </c>
      <c r="I15" s="963"/>
      <c r="J15" s="964"/>
      <c r="K15" s="964"/>
      <c r="L15" s="981"/>
      <c r="M15" s="981"/>
      <c r="N15" s="964"/>
      <c r="O15" s="965"/>
      <c r="P15" s="957"/>
      <c r="Q15" s="957"/>
    </row>
    <row r="16" spans="1:45">
      <c r="A16" s="957"/>
      <c r="B16" s="957"/>
      <c r="C16" s="2640" t="s">
        <v>205</v>
      </c>
      <c r="D16" s="2641"/>
      <c r="E16" s="389" t="s">
        <v>194</v>
      </c>
      <c r="F16" s="435">
        <v>65</v>
      </c>
      <c r="G16" s="435">
        <v>200</v>
      </c>
      <c r="H16" s="389" t="s">
        <v>195</v>
      </c>
      <c r="I16" s="958"/>
      <c r="J16" s="959"/>
      <c r="K16" s="959"/>
      <c r="L16" s="982"/>
      <c r="M16" s="982"/>
      <c r="N16" s="959"/>
      <c r="O16" s="966"/>
      <c r="P16" s="957"/>
      <c r="Q16" s="957"/>
    </row>
    <row r="17" spans="1:17">
      <c r="A17" s="957"/>
      <c r="B17" s="957"/>
      <c r="C17" s="2640" t="s">
        <v>206</v>
      </c>
      <c r="D17" s="2641"/>
      <c r="E17" s="389" t="s">
        <v>194</v>
      </c>
      <c r="F17" s="435">
        <v>65</v>
      </c>
      <c r="G17" s="435">
        <v>260</v>
      </c>
      <c r="H17" s="389" t="s">
        <v>195</v>
      </c>
      <c r="I17" s="958"/>
      <c r="J17" s="959"/>
      <c r="K17" s="959"/>
      <c r="L17" s="959"/>
      <c r="M17" s="959"/>
      <c r="N17" s="959"/>
      <c r="O17" s="966"/>
      <c r="P17" s="957"/>
      <c r="Q17" s="957"/>
    </row>
    <row r="18" spans="1:17" ht="15.75" thickBot="1">
      <c r="A18" s="957"/>
      <c r="B18" s="957"/>
      <c r="C18" s="2624" t="s">
        <v>207</v>
      </c>
      <c r="D18" s="2625"/>
      <c r="E18" s="390" t="s">
        <v>194</v>
      </c>
      <c r="F18" s="436">
        <v>65</v>
      </c>
      <c r="G18" s="436">
        <v>300</v>
      </c>
      <c r="H18" s="390" t="s">
        <v>195</v>
      </c>
      <c r="I18" s="967"/>
      <c r="J18" s="968"/>
      <c r="K18" s="968"/>
      <c r="L18" s="968"/>
      <c r="M18" s="968"/>
      <c r="N18" s="968"/>
      <c r="O18" s="969"/>
      <c r="P18" s="957"/>
      <c r="Q18" s="957"/>
    </row>
    <row r="19" spans="1:17">
      <c r="A19" s="957"/>
      <c r="B19" s="957"/>
      <c r="C19" s="2632" t="s">
        <v>213</v>
      </c>
      <c r="D19" s="2633"/>
      <c r="E19" s="391" t="s">
        <v>194</v>
      </c>
      <c r="F19" s="437">
        <v>70</v>
      </c>
      <c r="G19" s="437">
        <v>200</v>
      </c>
      <c r="H19" s="391" t="s">
        <v>195</v>
      </c>
      <c r="I19" s="963"/>
      <c r="J19" s="964"/>
      <c r="K19" s="964"/>
      <c r="L19" s="982"/>
      <c r="M19" s="982"/>
      <c r="N19" s="964"/>
      <c r="O19" s="965"/>
      <c r="P19" s="957"/>
      <c r="Q19" s="957"/>
    </row>
    <row r="20" spans="1:17">
      <c r="A20" s="957"/>
      <c r="B20" s="957"/>
      <c r="C20" s="2618" t="s">
        <v>214</v>
      </c>
      <c r="D20" s="2619"/>
      <c r="E20" s="392" t="s">
        <v>194</v>
      </c>
      <c r="F20" s="438">
        <v>70</v>
      </c>
      <c r="G20" s="438">
        <v>260</v>
      </c>
      <c r="H20" s="392" t="s">
        <v>195</v>
      </c>
      <c r="I20" s="958"/>
      <c r="J20" s="959"/>
      <c r="K20" s="959"/>
      <c r="L20" s="959"/>
      <c r="M20" s="959"/>
      <c r="N20" s="959"/>
      <c r="O20" s="966"/>
      <c r="P20" s="957"/>
      <c r="Q20" s="957"/>
    </row>
    <row r="21" spans="1:17">
      <c r="A21" s="957"/>
      <c r="B21" s="957"/>
      <c r="C21" s="2618" t="s">
        <v>215</v>
      </c>
      <c r="D21" s="2619"/>
      <c r="E21" s="392" t="s">
        <v>194</v>
      </c>
      <c r="F21" s="438">
        <v>70</v>
      </c>
      <c r="G21" s="438">
        <v>300</v>
      </c>
      <c r="H21" s="392" t="s">
        <v>195</v>
      </c>
      <c r="I21" s="958"/>
      <c r="J21" s="959"/>
      <c r="K21" s="959"/>
      <c r="L21" s="959"/>
      <c r="M21" s="959"/>
      <c r="N21" s="959"/>
      <c r="O21" s="966"/>
      <c r="P21" s="957"/>
      <c r="Q21" s="957"/>
    </row>
    <row r="22" spans="1:17" ht="15.75" thickBot="1">
      <c r="A22" s="957"/>
      <c r="B22" s="957"/>
      <c r="C22" s="2620" t="s">
        <v>216</v>
      </c>
      <c r="D22" s="2621"/>
      <c r="E22" s="393" t="s">
        <v>194</v>
      </c>
      <c r="F22" s="439">
        <v>70</v>
      </c>
      <c r="G22" s="439">
        <v>300</v>
      </c>
      <c r="H22" s="393" t="s">
        <v>200</v>
      </c>
      <c r="I22" s="967"/>
      <c r="J22" s="968"/>
      <c r="K22" s="968"/>
      <c r="L22" s="968"/>
      <c r="M22" s="968"/>
      <c r="N22" s="968"/>
      <c r="O22" s="969"/>
      <c r="P22" s="957"/>
      <c r="Q22" s="957"/>
    </row>
    <row r="23" spans="1:17">
      <c r="A23" s="957"/>
      <c r="B23" s="957"/>
      <c r="C23" s="2616" t="s">
        <v>221</v>
      </c>
      <c r="D23" s="2617"/>
      <c r="E23" s="394" t="s">
        <v>194</v>
      </c>
      <c r="F23" s="441">
        <v>75</v>
      </c>
      <c r="G23" s="441">
        <v>160</v>
      </c>
      <c r="H23" s="394" t="s">
        <v>195</v>
      </c>
      <c r="I23" s="963"/>
      <c r="J23" s="964"/>
      <c r="K23" s="964"/>
      <c r="L23" s="982"/>
      <c r="M23" s="982"/>
      <c r="N23" s="964"/>
      <c r="O23" s="965"/>
      <c r="P23" s="957"/>
      <c r="Q23" s="957"/>
    </row>
    <row r="24" spans="1:17">
      <c r="A24" s="957"/>
      <c r="B24" s="957"/>
      <c r="C24" s="2610" t="s">
        <v>222</v>
      </c>
      <c r="D24" s="2611"/>
      <c r="E24" s="395" t="s">
        <v>194</v>
      </c>
      <c r="F24" s="440">
        <v>75</v>
      </c>
      <c r="G24" s="440">
        <v>200</v>
      </c>
      <c r="H24" s="395" t="s">
        <v>195</v>
      </c>
      <c r="I24" s="958"/>
      <c r="J24" s="959"/>
      <c r="K24" s="959"/>
      <c r="L24" s="982"/>
      <c r="M24" s="982"/>
      <c r="N24" s="959"/>
      <c r="O24" s="966"/>
      <c r="P24" s="957"/>
      <c r="Q24" s="957"/>
    </row>
    <row r="25" spans="1:17">
      <c r="A25" s="957"/>
      <c r="B25" s="957"/>
      <c r="C25" s="2610" t="s">
        <v>223</v>
      </c>
      <c r="D25" s="2611"/>
      <c r="E25" s="395" t="s">
        <v>194</v>
      </c>
      <c r="F25" s="440">
        <v>75</v>
      </c>
      <c r="G25" s="440">
        <v>260</v>
      </c>
      <c r="H25" s="395" t="s">
        <v>195</v>
      </c>
      <c r="I25" s="958"/>
      <c r="J25" s="959"/>
      <c r="K25" s="959"/>
      <c r="L25" s="959"/>
      <c r="M25" s="959"/>
      <c r="N25" s="959"/>
      <c r="O25" s="966"/>
      <c r="P25" s="957"/>
      <c r="Q25" s="957"/>
    </row>
    <row r="26" spans="1:17">
      <c r="A26" s="957"/>
      <c r="B26" s="957"/>
      <c r="C26" s="2610" t="s">
        <v>224</v>
      </c>
      <c r="D26" s="2611"/>
      <c r="E26" s="395" t="s">
        <v>194</v>
      </c>
      <c r="F26" s="440">
        <v>75</v>
      </c>
      <c r="G26" s="440">
        <v>300</v>
      </c>
      <c r="H26" s="395" t="s">
        <v>195</v>
      </c>
      <c r="I26" s="958"/>
      <c r="J26" s="959"/>
      <c r="K26" s="959"/>
      <c r="L26" s="959"/>
      <c r="M26" s="959"/>
      <c r="N26" s="959"/>
      <c r="O26" s="966"/>
      <c r="P26" s="957"/>
      <c r="Q26" s="957"/>
    </row>
    <row r="27" spans="1:17">
      <c r="A27" s="957"/>
      <c r="B27" s="957"/>
      <c r="C27" s="2610" t="s">
        <v>225</v>
      </c>
      <c r="D27" s="2611"/>
      <c r="E27" s="395" t="s">
        <v>194</v>
      </c>
      <c r="F27" s="440">
        <v>75</v>
      </c>
      <c r="G27" s="440">
        <v>300</v>
      </c>
      <c r="H27" s="395" t="s">
        <v>200</v>
      </c>
      <c r="I27" s="958"/>
      <c r="J27" s="959"/>
      <c r="K27" s="959"/>
      <c r="L27" s="959"/>
      <c r="M27" s="959"/>
      <c r="N27" s="959"/>
      <c r="O27" s="966"/>
      <c r="P27" s="957"/>
      <c r="Q27" s="957"/>
    </row>
    <row r="28" spans="1:17">
      <c r="A28" s="957"/>
      <c r="B28" s="957"/>
      <c r="C28" s="2610" t="s">
        <v>226</v>
      </c>
      <c r="D28" s="2611"/>
      <c r="E28" s="395" t="s">
        <v>194</v>
      </c>
      <c r="F28" s="440">
        <v>75</v>
      </c>
      <c r="G28" s="440">
        <v>360</v>
      </c>
      <c r="H28" s="395" t="s">
        <v>200</v>
      </c>
      <c r="I28" s="958"/>
      <c r="J28" s="959"/>
      <c r="K28" s="959"/>
      <c r="L28" s="959"/>
      <c r="M28" s="959"/>
      <c r="N28" s="959"/>
      <c r="O28" s="966"/>
      <c r="P28" s="957"/>
      <c r="Q28" s="957"/>
    </row>
    <row r="29" spans="1:17">
      <c r="A29" s="957"/>
      <c r="B29" s="957"/>
      <c r="C29" s="2610" t="s">
        <v>227</v>
      </c>
      <c r="D29" s="2611"/>
      <c r="E29" s="395" t="s">
        <v>194</v>
      </c>
      <c r="F29" s="440">
        <v>75</v>
      </c>
      <c r="G29" s="440">
        <v>400</v>
      </c>
      <c r="H29" s="395" t="s">
        <v>200</v>
      </c>
      <c r="I29" s="958"/>
      <c r="J29" s="959"/>
      <c r="K29" s="959"/>
      <c r="L29" s="959"/>
      <c r="M29" s="959"/>
      <c r="N29" s="959"/>
      <c r="O29" s="966"/>
      <c r="P29" s="957"/>
      <c r="Q29" s="957"/>
    </row>
    <row r="30" spans="1:17" ht="15.75" thickBot="1">
      <c r="A30" s="957"/>
      <c r="B30" s="957"/>
      <c r="C30" s="2612" t="s">
        <v>228</v>
      </c>
      <c r="D30" s="2613"/>
      <c r="E30" s="970" t="s">
        <v>194</v>
      </c>
      <c r="F30" s="971">
        <v>75</v>
      </c>
      <c r="G30" s="971">
        <v>400</v>
      </c>
      <c r="H30" s="970" t="s">
        <v>220</v>
      </c>
      <c r="I30" s="967"/>
      <c r="J30" s="968"/>
      <c r="K30" s="968"/>
      <c r="L30" s="968"/>
      <c r="M30" s="968"/>
      <c r="N30" s="968"/>
      <c r="O30" s="969"/>
      <c r="P30" s="957"/>
      <c r="Q30" s="957"/>
    </row>
    <row r="31" spans="1:17">
      <c r="A31" s="957"/>
      <c r="B31" s="957"/>
      <c r="C31" s="2614" t="s">
        <v>229</v>
      </c>
      <c r="D31" s="2615"/>
      <c r="E31" s="397" t="s">
        <v>194</v>
      </c>
      <c r="F31" s="443">
        <v>80</v>
      </c>
      <c r="G31" s="443">
        <v>160</v>
      </c>
      <c r="H31" s="398" t="s">
        <v>195</v>
      </c>
      <c r="I31" s="963"/>
      <c r="J31" s="964"/>
      <c r="K31" s="964"/>
      <c r="L31" s="982"/>
      <c r="M31" s="982"/>
      <c r="N31" s="964"/>
      <c r="O31" s="965"/>
      <c r="P31" s="957"/>
      <c r="Q31" s="957"/>
    </row>
    <row r="32" spans="1:17">
      <c r="A32" s="957"/>
      <c r="B32" s="957"/>
      <c r="C32" s="2604" t="s">
        <v>230</v>
      </c>
      <c r="D32" s="2605"/>
      <c r="E32" s="399" t="s">
        <v>194</v>
      </c>
      <c r="F32" s="444">
        <v>80</v>
      </c>
      <c r="G32" s="444">
        <v>200</v>
      </c>
      <c r="H32" s="400" t="s">
        <v>195</v>
      </c>
      <c r="I32" s="958"/>
      <c r="J32" s="959"/>
      <c r="K32" s="959"/>
      <c r="L32" s="982"/>
      <c r="M32" s="982"/>
      <c r="N32" s="959"/>
      <c r="O32" s="966"/>
      <c r="P32" s="957"/>
      <c r="Q32" s="957"/>
    </row>
    <row r="33" spans="1:17">
      <c r="A33" s="957"/>
      <c r="B33" s="957"/>
      <c r="C33" s="2604" t="s">
        <v>231</v>
      </c>
      <c r="D33" s="2605"/>
      <c r="E33" s="399" t="s">
        <v>194</v>
      </c>
      <c r="F33" s="444">
        <v>80</v>
      </c>
      <c r="G33" s="444">
        <v>260</v>
      </c>
      <c r="H33" s="400" t="s">
        <v>195</v>
      </c>
      <c r="I33" s="958"/>
      <c r="J33" s="959"/>
      <c r="K33" s="959"/>
      <c r="L33" s="959"/>
      <c r="M33" s="959"/>
      <c r="N33" s="959"/>
      <c r="O33" s="966"/>
      <c r="P33" s="957"/>
      <c r="Q33" s="957"/>
    </row>
    <row r="34" spans="1:17">
      <c r="A34" s="957"/>
      <c r="B34" s="957"/>
      <c r="C34" s="2604" t="s">
        <v>232</v>
      </c>
      <c r="D34" s="2605"/>
      <c r="E34" s="399" t="s">
        <v>194</v>
      </c>
      <c r="F34" s="444">
        <v>80</v>
      </c>
      <c r="G34" s="444">
        <v>300</v>
      </c>
      <c r="H34" s="400" t="s">
        <v>195</v>
      </c>
      <c r="I34" s="958"/>
      <c r="J34" s="959"/>
      <c r="K34" s="959"/>
      <c r="L34" s="959"/>
      <c r="M34" s="959"/>
      <c r="N34" s="959"/>
      <c r="O34" s="966"/>
      <c r="P34" s="957"/>
      <c r="Q34" s="957"/>
    </row>
    <row r="35" spans="1:17">
      <c r="A35" s="957"/>
      <c r="B35" s="957"/>
      <c r="C35" s="2604" t="s">
        <v>233</v>
      </c>
      <c r="D35" s="2605"/>
      <c r="E35" s="399" t="s">
        <v>194</v>
      </c>
      <c r="F35" s="444">
        <v>80</v>
      </c>
      <c r="G35" s="444">
        <v>300</v>
      </c>
      <c r="H35" s="400" t="s">
        <v>200</v>
      </c>
      <c r="I35" s="958"/>
      <c r="J35" s="959"/>
      <c r="K35" s="959"/>
      <c r="L35" s="959"/>
      <c r="M35" s="959"/>
      <c r="N35" s="959"/>
      <c r="O35" s="966"/>
      <c r="P35" s="957"/>
      <c r="Q35" s="957"/>
    </row>
    <row r="36" spans="1:17">
      <c r="A36" s="957"/>
      <c r="B36" s="957"/>
      <c r="C36" s="2604" t="s">
        <v>234</v>
      </c>
      <c r="D36" s="2605"/>
      <c r="E36" s="399" t="s">
        <v>194</v>
      </c>
      <c r="F36" s="444">
        <v>80</v>
      </c>
      <c r="G36" s="444">
        <v>360</v>
      </c>
      <c r="H36" s="400" t="s">
        <v>200</v>
      </c>
      <c r="I36" s="958"/>
      <c r="J36" s="959"/>
      <c r="K36" s="959"/>
      <c r="L36" s="959"/>
      <c r="M36" s="959"/>
      <c r="N36" s="959"/>
      <c r="O36" s="966"/>
      <c r="P36" s="957"/>
      <c r="Q36" s="957"/>
    </row>
    <row r="37" spans="1:17">
      <c r="A37" s="957"/>
      <c r="B37" s="957"/>
      <c r="C37" s="2604" t="s">
        <v>235</v>
      </c>
      <c r="D37" s="2605"/>
      <c r="E37" s="399" t="s">
        <v>194</v>
      </c>
      <c r="F37" s="444">
        <v>80</v>
      </c>
      <c r="G37" s="444">
        <v>400</v>
      </c>
      <c r="H37" s="400" t="s">
        <v>200</v>
      </c>
      <c r="I37" s="958"/>
      <c r="J37" s="959"/>
      <c r="K37" s="959"/>
      <c r="L37" s="959"/>
      <c r="M37" s="959"/>
      <c r="N37" s="959"/>
      <c r="O37" s="966"/>
      <c r="P37" s="957"/>
      <c r="Q37" s="957"/>
    </row>
    <row r="38" spans="1:17" ht="15.75" thickBot="1">
      <c r="A38" s="957"/>
      <c r="B38" s="957"/>
      <c r="C38" s="2606" t="s">
        <v>236</v>
      </c>
      <c r="D38" s="2607"/>
      <c r="E38" s="972" t="s">
        <v>194</v>
      </c>
      <c r="F38" s="973">
        <v>80</v>
      </c>
      <c r="G38" s="973">
        <v>400</v>
      </c>
      <c r="H38" s="974" t="s">
        <v>220</v>
      </c>
      <c r="I38" s="967"/>
      <c r="J38" s="968"/>
      <c r="K38" s="968"/>
      <c r="L38" s="968"/>
      <c r="M38" s="968"/>
      <c r="N38" s="968"/>
      <c r="O38" s="969"/>
      <c r="P38" s="957"/>
      <c r="Q38" s="957"/>
    </row>
    <row r="39" spans="1:17">
      <c r="A39" s="957"/>
      <c r="B39" s="957"/>
      <c r="C39" s="2608" t="s">
        <v>237</v>
      </c>
      <c r="D39" s="2609"/>
      <c r="E39" s="403" t="s">
        <v>194</v>
      </c>
      <c r="F39" s="446">
        <v>90</v>
      </c>
      <c r="G39" s="446">
        <v>160</v>
      </c>
      <c r="H39" s="403" t="s">
        <v>195</v>
      </c>
      <c r="I39" s="963"/>
      <c r="J39" s="964"/>
      <c r="K39" s="964"/>
      <c r="L39" s="982"/>
      <c r="M39" s="982"/>
      <c r="N39" s="964"/>
      <c r="O39" s="965"/>
      <c r="P39" s="957"/>
      <c r="Q39" s="957"/>
    </row>
    <row r="40" spans="1:17">
      <c r="A40" s="957"/>
      <c r="B40" s="957"/>
      <c r="C40" s="2600" t="s">
        <v>238</v>
      </c>
      <c r="D40" s="2601"/>
      <c r="E40" s="404" t="s">
        <v>194</v>
      </c>
      <c r="F40" s="447">
        <v>90</v>
      </c>
      <c r="G40" s="447">
        <v>200</v>
      </c>
      <c r="H40" s="404" t="s">
        <v>195</v>
      </c>
      <c r="I40" s="958"/>
      <c r="J40" s="959"/>
      <c r="K40" s="959"/>
      <c r="L40" s="982"/>
      <c r="M40" s="982"/>
      <c r="N40" s="959"/>
      <c r="O40" s="966"/>
      <c r="P40" s="957"/>
      <c r="Q40" s="957"/>
    </row>
    <row r="41" spans="1:17">
      <c r="A41" s="957"/>
      <c r="B41" s="957"/>
      <c r="C41" s="2600" t="s">
        <v>239</v>
      </c>
      <c r="D41" s="2601"/>
      <c r="E41" s="404" t="s">
        <v>194</v>
      </c>
      <c r="F41" s="447">
        <v>90</v>
      </c>
      <c r="G41" s="447">
        <v>260</v>
      </c>
      <c r="H41" s="404" t="s">
        <v>195</v>
      </c>
      <c r="I41" s="958"/>
      <c r="J41" s="959"/>
      <c r="K41" s="959"/>
      <c r="L41" s="959"/>
      <c r="M41" s="959"/>
      <c r="N41" s="959"/>
      <c r="O41" s="966"/>
      <c r="P41" s="957"/>
      <c r="Q41" s="957"/>
    </row>
    <row r="42" spans="1:17">
      <c r="A42" s="957"/>
      <c r="B42" s="957"/>
      <c r="C42" s="2600" t="s">
        <v>240</v>
      </c>
      <c r="D42" s="2601"/>
      <c r="E42" s="404" t="s">
        <v>194</v>
      </c>
      <c r="F42" s="447">
        <v>90</v>
      </c>
      <c r="G42" s="447">
        <v>300</v>
      </c>
      <c r="H42" s="404" t="s">
        <v>195</v>
      </c>
      <c r="I42" s="958"/>
      <c r="J42" s="959"/>
      <c r="K42" s="959"/>
      <c r="L42" s="959"/>
      <c r="M42" s="959"/>
      <c r="N42" s="959"/>
      <c r="O42" s="966"/>
      <c r="P42" s="957"/>
      <c r="Q42" s="957"/>
    </row>
    <row r="43" spans="1:17">
      <c r="A43" s="957"/>
      <c r="B43" s="957"/>
      <c r="C43" s="2600" t="s">
        <v>241</v>
      </c>
      <c r="D43" s="2601"/>
      <c r="E43" s="404" t="s">
        <v>194</v>
      </c>
      <c r="F43" s="447">
        <v>90</v>
      </c>
      <c r="G43" s="447">
        <v>300</v>
      </c>
      <c r="H43" s="404" t="s">
        <v>200</v>
      </c>
      <c r="I43" s="958"/>
      <c r="J43" s="959"/>
      <c r="K43" s="959"/>
      <c r="L43" s="959"/>
      <c r="M43" s="959"/>
      <c r="N43" s="959"/>
      <c r="O43" s="966"/>
      <c r="P43" s="957"/>
      <c r="Q43" s="957"/>
    </row>
    <row r="44" spans="1:17">
      <c r="A44" s="957"/>
      <c r="B44" s="957"/>
      <c r="C44" s="2600" t="s">
        <v>242</v>
      </c>
      <c r="D44" s="2601"/>
      <c r="E44" s="404" t="s">
        <v>194</v>
      </c>
      <c r="F44" s="447">
        <v>90</v>
      </c>
      <c r="G44" s="447">
        <v>360</v>
      </c>
      <c r="H44" s="404" t="s">
        <v>200</v>
      </c>
      <c r="I44" s="958"/>
      <c r="J44" s="959"/>
      <c r="K44" s="959"/>
      <c r="L44" s="959"/>
      <c r="M44" s="959"/>
      <c r="N44" s="959"/>
      <c r="O44" s="966"/>
      <c r="P44" s="957"/>
      <c r="Q44" s="957"/>
    </row>
    <row r="45" spans="1:17">
      <c r="A45" s="957"/>
      <c r="B45" s="957"/>
      <c r="C45" s="2600" t="s">
        <v>243</v>
      </c>
      <c r="D45" s="2601"/>
      <c r="E45" s="404" t="s">
        <v>194</v>
      </c>
      <c r="F45" s="447">
        <v>90</v>
      </c>
      <c r="G45" s="447">
        <v>400</v>
      </c>
      <c r="H45" s="404" t="s">
        <v>200</v>
      </c>
      <c r="I45" s="958"/>
      <c r="J45" s="959"/>
      <c r="K45" s="959"/>
      <c r="L45" s="959"/>
      <c r="M45" s="959"/>
      <c r="N45" s="959"/>
      <c r="O45" s="966"/>
      <c r="P45" s="957"/>
      <c r="Q45" s="957"/>
    </row>
    <row r="46" spans="1:17" ht="15.75" thickBot="1">
      <c r="A46" s="957"/>
      <c r="B46" s="957"/>
      <c r="C46" s="2602" t="s">
        <v>244</v>
      </c>
      <c r="D46" s="2603"/>
      <c r="E46" s="405" t="s">
        <v>194</v>
      </c>
      <c r="F46" s="448">
        <v>90</v>
      </c>
      <c r="G46" s="448">
        <v>400</v>
      </c>
      <c r="H46" s="405" t="s">
        <v>220</v>
      </c>
      <c r="I46" s="967"/>
      <c r="J46" s="968"/>
      <c r="K46" s="968"/>
      <c r="L46" s="968"/>
      <c r="M46" s="968"/>
      <c r="N46" s="968"/>
      <c r="O46" s="969"/>
      <c r="P46" s="957"/>
      <c r="Q46" s="957"/>
    </row>
    <row r="47" spans="1:17">
      <c r="A47" s="957"/>
      <c r="B47" s="957"/>
      <c r="C47" s="2598" t="s">
        <v>245</v>
      </c>
      <c r="D47" s="2599"/>
      <c r="E47" s="406" t="s">
        <v>194</v>
      </c>
      <c r="F47" s="449">
        <v>110</v>
      </c>
      <c r="G47" s="449">
        <v>160</v>
      </c>
      <c r="H47" s="406" t="s">
        <v>195</v>
      </c>
      <c r="I47" s="963"/>
      <c r="J47" s="964"/>
      <c r="K47" s="964"/>
      <c r="L47" s="982"/>
      <c r="M47" s="982"/>
      <c r="N47" s="964"/>
      <c r="O47" s="965"/>
      <c r="P47" s="957"/>
      <c r="Q47" s="957"/>
    </row>
    <row r="48" spans="1:17">
      <c r="A48" s="957"/>
      <c r="B48" s="957"/>
      <c r="C48" s="2588" t="s">
        <v>246</v>
      </c>
      <c r="D48" s="2589"/>
      <c r="E48" s="407" t="s">
        <v>194</v>
      </c>
      <c r="F48" s="450">
        <v>110</v>
      </c>
      <c r="G48" s="450">
        <v>200</v>
      </c>
      <c r="H48" s="407" t="s">
        <v>195</v>
      </c>
      <c r="I48" s="958"/>
      <c r="J48" s="959"/>
      <c r="K48" s="959"/>
      <c r="L48" s="982"/>
      <c r="M48" s="982"/>
      <c r="N48" s="959"/>
      <c r="O48" s="966"/>
      <c r="P48" s="957"/>
      <c r="Q48" s="957"/>
    </row>
    <row r="49" spans="1:17">
      <c r="A49" s="957"/>
      <c r="B49" s="957"/>
      <c r="C49" s="2588" t="s">
        <v>247</v>
      </c>
      <c r="D49" s="2589"/>
      <c r="E49" s="407" t="s">
        <v>194</v>
      </c>
      <c r="F49" s="450">
        <v>110</v>
      </c>
      <c r="G49" s="450">
        <v>260</v>
      </c>
      <c r="H49" s="407" t="s">
        <v>195</v>
      </c>
      <c r="I49" s="958"/>
      <c r="J49" s="959"/>
      <c r="K49" s="959"/>
      <c r="L49" s="959"/>
      <c r="M49" s="959"/>
      <c r="N49" s="959"/>
      <c r="O49" s="966"/>
      <c r="P49" s="957"/>
      <c r="Q49" s="957"/>
    </row>
    <row r="50" spans="1:17">
      <c r="A50" s="957"/>
      <c r="B50" s="957"/>
      <c r="C50" s="2588" t="s">
        <v>248</v>
      </c>
      <c r="D50" s="2589"/>
      <c r="E50" s="407" t="s">
        <v>194</v>
      </c>
      <c r="F50" s="450">
        <v>110</v>
      </c>
      <c r="G50" s="450">
        <v>300</v>
      </c>
      <c r="H50" s="407" t="s">
        <v>195</v>
      </c>
      <c r="I50" s="958"/>
      <c r="J50" s="959"/>
      <c r="K50" s="959"/>
      <c r="L50" s="959"/>
      <c r="M50" s="959"/>
      <c r="N50" s="959"/>
      <c r="O50" s="966"/>
      <c r="P50" s="957"/>
      <c r="Q50" s="957"/>
    </row>
    <row r="51" spans="1:17">
      <c r="A51" s="957"/>
      <c r="B51" s="957"/>
      <c r="C51" s="2588" t="s">
        <v>249</v>
      </c>
      <c r="D51" s="2589"/>
      <c r="E51" s="407" t="s">
        <v>194</v>
      </c>
      <c r="F51" s="450">
        <v>110</v>
      </c>
      <c r="G51" s="450">
        <v>300</v>
      </c>
      <c r="H51" s="407" t="s">
        <v>200</v>
      </c>
      <c r="I51" s="958"/>
      <c r="J51" s="959"/>
      <c r="K51" s="959"/>
      <c r="L51" s="959"/>
      <c r="M51" s="959"/>
      <c r="N51" s="959"/>
      <c r="O51" s="966"/>
      <c r="P51" s="957"/>
      <c r="Q51" s="957"/>
    </row>
    <row r="52" spans="1:17">
      <c r="A52" s="957"/>
      <c r="B52" s="957"/>
      <c r="C52" s="2588" t="s">
        <v>250</v>
      </c>
      <c r="D52" s="2589"/>
      <c r="E52" s="407" t="s">
        <v>194</v>
      </c>
      <c r="F52" s="450">
        <v>110</v>
      </c>
      <c r="G52" s="450">
        <v>360</v>
      </c>
      <c r="H52" s="407" t="s">
        <v>200</v>
      </c>
      <c r="I52" s="958"/>
      <c r="J52" s="959"/>
      <c r="K52" s="959"/>
      <c r="L52" s="959"/>
      <c r="M52" s="959"/>
      <c r="N52" s="959"/>
      <c r="O52" s="966"/>
      <c r="P52" s="957"/>
      <c r="Q52" s="957"/>
    </row>
    <row r="53" spans="1:17">
      <c r="A53" s="957"/>
      <c r="B53" s="957"/>
      <c r="C53" s="2588" t="s">
        <v>251</v>
      </c>
      <c r="D53" s="2589"/>
      <c r="E53" s="407" t="s">
        <v>194</v>
      </c>
      <c r="F53" s="450">
        <v>110</v>
      </c>
      <c r="G53" s="450">
        <v>400</v>
      </c>
      <c r="H53" s="407" t="s">
        <v>200</v>
      </c>
      <c r="I53" s="958"/>
      <c r="J53" s="959"/>
      <c r="K53" s="959"/>
      <c r="L53" s="959"/>
      <c r="M53" s="959"/>
      <c r="N53" s="959"/>
      <c r="O53" s="966"/>
      <c r="P53" s="957"/>
      <c r="Q53" s="957"/>
    </row>
    <row r="54" spans="1:17" ht="15.75" thickBot="1">
      <c r="A54" s="957"/>
      <c r="B54" s="957"/>
      <c r="C54" s="2590" t="s">
        <v>252</v>
      </c>
      <c r="D54" s="2591"/>
      <c r="E54" s="408" t="s">
        <v>194</v>
      </c>
      <c r="F54" s="451">
        <v>110</v>
      </c>
      <c r="G54" s="451">
        <v>400</v>
      </c>
      <c r="H54" s="408" t="s">
        <v>220</v>
      </c>
      <c r="I54" s="967"/>
      <c r="J54" s="968"/>
      <c r="K54" s="968"/>
      <c r="L54" s="968"/>
      <c r="M54" s="968"/>
      <c r="N54" s="968"/>
      <c r="O54" s="969"/>
      <c r="P54" s="957"/>
      <c r="Q54" s="957"/>
    </row>
    <row r="55" spans="1:17">
      <c r="A55" s="957"/>
      <c r="B55" s="957"/>
      <c r="C55" s="2593" t="s">
        <v>380</v>
      </c>
      <c r="D55" s="2593"/>
      <c r="E55" s="427" t="s">
        <v>194</v>
      </c>
      <c r="F55" s="469">
        <v>140</v>
      </c>
      <c r="G55" s="469">
        <v>160</v>
      </c>
      <c r="H55" s="427" t="s">
        <v>254</v>
      </c>
      <c r="I55" s="963"/>
      <c r="J55" s="964"/>
      <c r="K55" s="964"/>
      <c r="L55" s="982"/>
      <c r="M55" s="982"/>
      <c r="N55" s="964"/>
      <c r="O55" s="965"/>
      <c r="P55" s="957"/>
      <c r="Q55" s="957"/>
    </row>
    <row r="56" spans="1:17">
      <c r="A56" s="957"/>
      <c r="B56" s="957"/>
      <c r="C56" s="2594" t="s">
        <v>381</v>
      </c>
      <c r="D56" s="2594"/>
      <c r="E56" s="428" t="s">
        <v>194</v>
      </c>
      <c r="F56" s="470">
        <v>140</v>
      </c>
      <c r="G56" s="470">
        <v>200</v>
      </c>
      <c r="H56" s="428" t="s">
        <v>254</v>
      </c>
      <c r="I56" s="958"/>
      <c r="J56" s="959"/>
      <c r="K56" s="959"/>
      <c r="L56" s="982"/>
      <c r="M56" s="982"/>
      <c r="N56" s="959"/>
      <c r="O56" s="966"/>
      <c r="P56" s="957"/>
      <c r="Q56" s="957"/>
    </row>
    <row r="57" spans="1:17">
      <c r="A57" s="957"/>
      <c r="B57" s="957"/>
      <c r="C57" s="2594" t="s">
        <v>382</v>
      </c>
      <c r="D57" s="2594"/>
      <c r="E57" s="428" t="s">
        <v>194</v>
      </c>
      <c r="F57" s="470">
        <v>140</v>
      </c>
      <c r="G57" s="470">
        <v>260</v>
      </c>
      <c r="H57" s="428" t="s">
        <v>254</v>
      </c>
      <c r="I57" s="958"/>
      <c r="J57" s="959"/>
      <c r="K57" s="959"/>
      <c r="L57" s="959"/>
      <c r="M57" s="959"/>
      <c r="N57" s="959"/>
      <c r="O57" s="966"/>
      <c r="P57" s="957"/>
      <c r="Q57" s="957"/>
    </row>
    <row r="58" spans="1:17">
      <c r="A58" s="957"/>
      <c r="B58" s="957"/>
      <c r="C58" s="2594" t="s">
        <v>383</v>
      </c>
      <c r="D58" s="2594"/>
      <c r="E58" s="428" t="s">
        <v>194</v>
      </c>
      <c r="F58" s="470">
        <v>140</v>
      </c>
      <c r="G58" s="470">
        <v>300</v>
      </c>
      <c r="H58" s="428" t="s">
        <v>258</v>
      </c>
      <c r="I58" s="958"/>
      <c r="J58" s="959"/>
      <c r="K58" s="959"/>
      <c r="L58" s="959"/>
      <c r="M58" s="959"/>
      <c r="N58" s="959"/>
      <c r="O58" s="966"/>
      <c r="P58" s="957"/>
      <c r="Q58" s="957"/>
    </row>
    <row r="59" spans="1:17">
      <c r="A59" s="957"/>
      <c r="B59" s="957"/>
      <c r="C59" s="2594" t="s">
        <v>384</v>
      </c>
      <c r="D59" s="2594"/>
      <c r="E59" s="428" t="s">
        <v>194</v>
      </c>
      <c r="F59" s="470">
        <v>140</v>
      </c>
      <c r="G59" s="470">
        <v>300</v>
      </c>
      <c r="H59" s="428" t="s">
        <v>260</v>
      </c>
      <c r="I59" s="958"/>
      <c r="J59" s="959"/>
      <c r="K59" s="959"/>
      <c r="L59" s="959"/>
      <c r="M59" s="959"/>
      <c r="N59" s="959"/>
      <c r="O59" s="966"/>
      <c r="P59" s="957"/>
      <c r="Q59" s="957"/>
    </row>
    <row r="60" spans="1:17">
      <c r="A60" s="957"/>
      <c r="B60" s="957"/>
      <c r="C60" s="2594" t="s">
        <v>385</v>
      </c>
      <c r="D60" s="2594"/>
      <c r="E60" s="428" t="s">
        <v>194</v>
      </c>
      <c r="F60" s="470">
        <v>140</v>
      </c>
      <c r="G60" s="470">
        <v>360</v>
      </c>
      <c r="H60" s="428" t="s">
        <v>258</v>
      </c>
      <c r="I60" s="958"/>
      <c r="J60" s="959"/>
      <c r="K60" s="959"/>
      <c r="L60" s="959"/>
      <c r="M60" s="959"/>
      <c r="N60" s="959"/>
      <c r="O60" s="966"/>
      <c r="P60" s="957"/>
      <c r="Q60" s="957"/>
    </row>
    <row r="61" spans="1:17">
      <c r="A61" s="957"/>
      <c r="B61" s="957"/>
      <c r="C61" s="2594" t="s">
        <v>386</v>
      </c>
      <c r="D61" s="2594"/>
      <c r="E61" s="428" t="s">
        <v>194</v>
      </c>
      <c r="F61" s="470">
        <v>140</v>
      </c>
      <c r="G61" s="470">
        <v>360</v>
      </c>
      <c r="H61" s="428" t="s">
        <v>260</v>
      </c>
      <c r="I61" s="958"/>
      <c r="J61" s="959"/>
      <c r="K61" s="959"/>
      <c r="L61" s="959"/>
      <c r="M61" s="959"/>
      <c r="N61" s="959"/>
      <c r="O61" s="966"/>
      <c r="P61" s="957"/>
      <c r="Q61" s="957"/>
    </row>
    <row r="62" spans="1:17">
      <c r="A62" s="957"/>
      <c r="B62" s="957"/>
      <c r="C62" s="2594" t="s">
        <v>387</v>
      </c>
      <c r="D62" s="2594"/>
      <c r="E62" s="428" t="s">
        <v>194</v>
      </c>
      <c r="F62" s="470">
        <v>140</v>
      </c>
      <c r="G62" s="470">
        <v>400</v>
      </c>
      <c r="H62" s="428" t="s">
        <v>258</v>
      </c>
      <c r="I62" s="958"/>
      <c r="J62" s="959"/>
      <c r="K62" s="959"/>
      <c r="L62" s="959"/>
      <c r="M62" s="959"/>
      <c r="N62" s="959"/>
      <c r="O62" s="966"/>
      <c r="P62" s="957"/>
      <c r="Q62" s="957"/>
    </row>
    <row r="63" spans="1:17" ht="15.75" thickBot="1">
      <c r="A63" s="957"/>
      <c r="B63" s="957"/>
      <c r="C63" s="2595" t="s">
        <v>388</v>
      </c>
      <c r="D63" s="2595"/>
      <c r="E63" s="429" t="s">
        <v>194</v>
      </c>
      <c r="F63" s="471">
        <v>140</v>
      </c>
      <c r="G63" s="471">
        <v>400</v>
      </c>
      <c r="H63" s="429" t="s">
        <v>260</v>
      </c>
      <c r="I63" s="967"/>
      <c r="J63" s="968"/>
      <c r="K63" s="968"/>
      <c r="L63" s="968"/>
      <c r="M63" s="968"/>
      <c r="N63" s="968"/>
      <c r="O63" s="969"/>
      <c r="P63" s="957"/>
      <c r="Q63" s="957"/>
    </row>
    <row r="64" spans="1:17">
      <c r="A64" s="957"/>
      <c r="B64" s="957"/>
      <c r="C64" s="2592" t="s">
        <v>253</v>
      </c>
      <c r="D64" s="2592"/>
      <c r="E64" s="409" t="s">
        <v>194</v>
      </c>
      <c r="F64" s="452">
        <v>150</v>
      </c>
      <c r="G64" s="452">
        <v>160</v>
      </c>
      <c r="H64" s="409" t="s">
        <v>254</v>
      </c>
      <c r="I64" s="963"/>
      <c r="J64" s="964"/>
      <c r="K64" s="964"/>
      <c r="L64" s="964"/>
      <c r="M64" s="964"/>
      <c r="N64" s="964"/>
      <c r="O64" s="965"/>
      <c r="P64" s="957"/>
      <c r="Q64" s="957"/>
    </row>
    <row r="65" spans="1:17">
      <c r="A65" s="957"/>
      <c r="B65" s="957"/>
      <c r="C65" s="2586" t="s">
        <v>255</v>
      </c>
      <c r="D65" s="2586"/>
      <c r="E65" s="410" t="s">
        <v>194</v>
      </c>
      <c r="F65" s="453">
        <v>150</v>
      </c>
      <c r="G65" s="453">
        <v>200</v>
      </c>
      <c r="H65" s="410" t="s">
        <v>254</v>
      </c>
      <c r="I65" s="958"/>
      <c r="J65" s="959"/>
      <c r="K65" s="959"/>
      <c r="L65" s="959"/>
      <c r="M65" s="959"/>
      <c r="N65" s="959"/>
      <c r="O65" s="966"/>
      <c r="P65" s="957"/>
      <c r="Q65" s="957"/>
    </row>
    <row r="66" spans="1:17">
      <c r="A66" s="957"/>
      <c r="B66" s="957"/>
      <c r="C66" s="2586" t="s">
        <v>256</v>
      </c>
      <c r="D66" s="2586"/>
      <c r="E66" s="410" t="s">
        <v>194</v>
      </c>
      <c r="F66" s="453">
        <v>150</v>
      </c>
      <c r="G66" s="453">
        <v>260</v>
      </c>
      <c r="H66" s="410" t="s">
        <v>254</v>
      </c>
      <c r="I66" s="958"/>
      <c r="J66" s="959"/>
      <c r="K66" s="959"/>
      <c r="L66" s="959"/>
      <c r="M66" s="959"/>
      <c r="N66" s="959"/>
      <c r="O66" s="966"/>
      <c r="P66" s="957"/>
      <c r="Q66" s="957"/>
    </row>
    <row r="67" spans="1:17">
      <c r="A67" s="957"/>
      <c r="B67" s="957"/>
      <c r="C67" s="2586" t="s">
        <v>257</v>
      </c>
      <c r="D67" s="2586"/>
      <c r="E67" s="410" t="s">
        <v>194</v>
      </c>
      <c r="F67" s="453">
        <v>150</v>
      </c>
      <c r="G67" s="453">
        <v>300</v>
      </c>
      <c r="H67" s="410" t="s">
        <v>258</v>
      </c>
      <c r="I67" s="958"/>
      <c r="J67" s="959"/>
      <c r="K67" s="959"/>
      <c r="L67" s="959"/>
      <c r="M67" s="959"/>
      <c r="N67" s="959"/>
      <c r="O67" s="966"/>
      <c r="P67" s="957"/>
      <c r="Q67" s="957"/>
    </row>
    <row r="68" spans="1:17">
      <c r="A68" s="957"/>
      <c r="B68" s="957"/>
      <c r="C68" s="2586" t="s">
        <v>259</v>
      </c>
      <c r="D68" s="2586"/>
      <c r="E68" s="410" t="s">
        <v>194</v>
      </c>
      <c r="F68" s="453">
        <v>150</v>
      </c>
      <c r="G68" s="453">
        <v>300</v>
      </c>
      <c r="H68" s="410" t="s">
        <v>260</v>
      </c>
      <c r="I68" s="958"/>
      <c r="J68" s="959"/>
      <c r="K68" s="959"/>
      <c r="L68" s="959"/>
      <c r="M68" s="959"/>
      <c r="N68" s="959"/>
      <c r="O68" s="966"/>
      <c r="P68" s="957"/>
      <c r="Q68" s="957"/>
    </row>
    <row r="69" spans="1:17">
      <c r="A69" s="957"/>
      <c r="B69" s="957"/>
      <c r="C69" s="2586" t="s">
        <v>261</v>
      </c>
      <c r="D69" s="2586"/>
      <c r="E69" s="410" t="s">
        <v>194</v>
      </c>
      <c r="F69" s="453">
        <v>150</v>
      </c>
      <c r="G69" s="453">
        <v>360</v>
      </c>
      <c r="H69" s="410" t="s">
        <v>258</v>
      </c>
      <c r="I69" s="958"/>
      <c r="J69" s="959"/>
      <c r="K69" s="959"/>
      <c r="L69" s="959"/>
      <c r="M69" s="959"/>
      <c r="N69" s="959"/>
      <c r="O69" s="966"/>
      <c r="P69" s="957"/>
      <c r="Q69" s="957"/>
    </row>
    <row r="70" spans="1:17">
      <c r="A70" s="957"/>
      <c r="B70" s="957"/>
      <c r="C70" s="2586" t="s">
        <v>262</v>
      </c>
      <c r="D70" s="2586"/>
      <c r="E70" s="410" t="s">
        <v>194</v>
      </c>
      <c r="F70" s="453">
        <v>150</v>
      </c>
      <c r="G70" s="453">
        <v>360</v>
      </c>
      <c r="H70" s="410" t="s">
        <v>260</v>
      </c>
      <c r="I70" s="958"/>
      <c r="J70" s="959"/>
      <c r="K70" s="959"/>
      <c r="L70" s="959"/>
      <c r="M70" s="959"/>
      <c r="N70" s="959"/>
      <c r="O70" s="966"/>
      <c r="P70" s="957"/>
      <c r="Q70" s="957"/>
    </row>
    <row r="71" spans="1:17">
      <c r="A71" s="957"/>
      <c r="B71" s="957"/>
      <c r="C71" s="2586" t="s">
        <v>263</v>
      </c>
      <c r="D71" s="2586"/>
      <c r="E71" s="410" t="s">
        <v>194</v>
      </c>
      <c r="F71" s="453">
        <v>150</v>
      </c>
      <c r="G71" s="453">
        <v>400</v>
      </c>
      <c r="H71" s="410" t="s">
        <v>258</v>
      </c>
      <c r="I71" s="958"/>
      <c r="J71" s="959"/>
      <c r="K71" s="959"/>
      <c r="L71" s="959"/>
      <c r="M71" s="959"/>
      <c r="N71" s="959"/>
      <c r="O71" s="966"/>
      <c r="P71" s="957"/>
      <c r="Q71" s="957"/>
    </row>
    <row r="72" spans="1:17" ht="15.75" thickBot="1">
      <c r="A72" s="957"/>
      <c r="B72" s="957"/>
      <c r="C72" s="2587" t="s">
        <v>264</v>
      </c>
      <c r="D72" s="2587"/>
      <c r="E72" s="411" t="s">
        <v>194</v>
      </c>
      <c r="F72" s="975">
        <v>150</v>
      </c>
      <c r="G72" s="975">
        <v>400</v>
      </c>
      <c r="H72" s="411" t="s">
        <v>260</v>
      </c>
      <c r="I72" s="967"/>
      <c r="J72" s="968"/>
      <c r="K72" s="968"/>
      <c r="L72" s="968"/>
      <c r="M72" s="968"/>
      <c r="N72" s="968"/>
      <c r="O72" s="969"/>
      <c r="P72" s="957"/>
      <c r="Q72" s="957"/>
    </row>
    <row r="73" spans="1:17">
      <c r="A73" s="957"/>
      <c r="B73" s="957"/>
      <c r="C73" s="2596" t="s">
        <v>265</v>
      </c>
      <c r="D73" s="2597"/>
      <c r="E73" s="412" t="s">
        <v>194</v>
      </c>
      <c r="F73" s="454">
        <v>200</v>
      </c>
      <c r="G73" s="454">
        <v>260</v>
      </c>
      <c r="H73" s="412" t="s">
        <v>254</v>
      </c>
      <c r="I73" s="963"/>
      <c r="J73" s="964"/>
      <c r="K73" s="964"/>
      <c r="L73" s="964"/>
      <c r="M73" s="964"/>
      <c r="N73" s="964"/>
      <c r="O73" s="965"/>
      <c r="P73" s="957"/>
      <c r="Q73" s="957"/>
    </row>
    <row r="74" spans="1:17">
      <c r="A74" s="957"/>
      <c r="B74" s="957"/>
      <c r="C74" s="2550" t="s">
        <v>266</v>
      </c>
      <c r="D74" s="2551"/>
      <c r="E74" s="413" t="s">
        <v>194</v>
      </c>
      <c r="F74" s="455">
        <v>200</v>
      </c>
      <c r="G74" s="455">
        <v>300</v>
      </c>
      <c r="H74" s="413" t="s">
        <v>254</v>
      </c>
      <c r="I74" s="958"/>
      <c r="J74" s="959"/>
      <c r="K74" s="959"/>
      <c r="L74" s="959"/>
      <c r="M74" s="959"/>
      <c r="N74" s="959"/>
      <c r="O74" s="966"/>
      <c r="P74" s="957"/>
      <c r="Q74" s="957"/>
    </row>
    <row r="75" spans="1:17" ht="15.75" thickBot="1">
      <c r="A75" s="957"/>
      <c r="B75" s="957"/>
      <c r="C75" s="2552" t="s">
        <v>267</v>
      </c>
      <c r="D75" s="2553"/>
      <c r="E75" s="414" t="s">
        <v>194</v>
      </c>
      <c r="F75" s="456">
        <v>200</v>
      </c>
      <c r="G75" s="456">
        <v>360</v>
      </c>
      <c r="H75" s="414" t="s">
        <v>260</v>
      </c>
      <c r="I75" s="967"/>
      <c r="J75" s="968"/>
      <c r="K75" s="968"/>
      <c r="L75" s="968"/>
      <c r="M75" s="968"/>
      <c r="N75" s="968"/>
      <c r="O75" s="969"/>
      <c r="P75" s="957"/>
      <c r="Q75" s="957"/>
    </row>
    <row r="76" spans="1:17">
      <c r="A76" s="957"/>
      <c r="B76" s="957"/>
      <c r="C76" s="2554" t="s">
        <v>268</v>
      </c>
      <c r="D76" s="2555"/>
      <c r="E76" s="976" t="s">
        <v>194</v>
      </c>
      <c r="F76" s="977">
        <v>300</v>
      </c>
      <c r="G76" s="977">
        <v>260</v>
      </c>
      <c r="H76" s="976" t="s">
        <v>254</v>
      </c>
      <c r="I76" s="963"/>
      <c r="J76" s="964"/>
      <c r="K76" s="964"/>
      <c r="L76" s="964"/>
      <c r="M76" s="964"/>
      <c r="N76" s="964"/>
      <c r="O76" s="965"/>
      <c r="P76" s="957"/>
      <c r="Q76" s="957"/>
    </row>
    <row r="77" spans="1:17">
      <c r="A77" s="957"/>
      <c r="B77" s="957"/>
      <c r="C77" s="2556" t="s">
        <v>269</v>
      </c>
      <c r="D77" s="2557"/>
      <c r="E77" s="416" t="s">
        <v>194</v>
      </c>
      <c r="F77" s="458">
        <v>300</v>
      </c>
      <c r="G77" s="458">
        <v>300</v>
      </c>
      <c r="H77" s="416" t="s">
        <v>254</v>
      </c>
      <c r="I77" s="958"/>
      <c r="J77" s="959"/>
      <c r="K77" s="959"/>
      <c r="L77" s="959"/>
      <c r="M77" s="959"/>
      <c r="N77" s="959"/>
      <c r="O77" s="966"/>
      <c r="P77" s="957"/>
      <c r="Q77" s="957"/>
    </row>
    <row r="78" spans="1:17" ht="15.75" thickBot="1">
      <c r="A78" s="957"/>
      <c r="B78" s="957"/>
      <c r="C78" s="2558" t="s">
        <v>270</v>
      </c>
      <c r="D78" s="2559"/>
      <c r="E78" s="978" t="s">
        <v>194</v>
      </c>
      <c r="F78" s="979">
        <v>300</v>
      </c>
      <c r="G78" s="979">
        <v>360</v>
      </c>
      <c r="H78" s="978" t="s">
        <v>260</v>
      </c>
      <c r="I78" s="967"/>
      <c r="J78" s="968"/>
      <c r="K78" s="968"/>
      <c r="L78" s="968"/>
      <c r="M78" s="968"/>
      <c r="N78" s="968"/>
      <c r="O78" s="969"/>
      <c r="P78" s="957"/>
      <c r="Q78" s="957"/>
    </row>
    <row r="79" spans="1:17">
      <c r="A79" s="957"/>
      <c r="B79" s="957"/>
      <c r="C79" s="2561" t="s">
        <v>271</v>
      </c>
      <c r="D79" s="2562"/>
      <c r="E79" s="418" t="s">
        <v>194</v>
      </c>
      <c r="F79" s="460">
        <v>400</v>
      </c>
      <c r="G79" s="460">
        <v>260</v>
      </c>
      <c r="H79" s="418" t="s">
        <v>254</v>
      </c>
      <c r="I79" s="963"/>
      <c r="J79" s="964"/>
      <c r="K79" s="964"/>
      <c r="L79" s="964"/>
      <c r="M79" s="964"/>
      <c r="N79" s="964"/>
      <c r="O79" s="965"/>
      <c r="P79" s="957"/>
      <c r="Q79" s="957"/>
    </row>
    <row r="80" spans="1:17">
      <c r="A80" s="957"/>
      <c r="B80" s="957"/>
      <c r="C80" s="2571" t="s">
        <v>272</v>
      </c>
      <c r="D80" s="2572"/>
      <c r="E80" s="419" t="s">
        <v>194</v>
      </c>
      <c r="F80" s="461">
        <v>400</v>
      </c>
      <c r="G80" s="461">
        <v>300</v>
      </c>
      <c r="H80" s="419" t="s">
        <v>254</v>
      </c>
      <c r="I80" s="958"/>
      <c r="J80" s="959"/>
      <c r="K80" s="959"/>
      <c r="L80" s="959"/>
      <c r="M80" s="959"/>
      <c r="N80" s="959"/>
      <c r="O80" s="966"/>
      <c r="P80" s="957"/>
      <c r="Q80" s="957"/>
    </row>
    <row r="81" spans="1:22" ht="15.75" thickBot="1">
      <c r="A81" s="957"/>
      <c r="B81" s="957"/>
      <c r="C81" s="2573" t="s">
        <v>273</v>
      </c>
      <c r="D81" s="2574"/>
      <c r="E81" s="420" t="s">
        <v>194</v>
      </c>
      <c r="F81" s="462">
        <v>400</v>
      </c>
      <c r="G81" s="462">
        <v>360</v>
      </c>
      <c r="H81" s="420" t="s">
        <v>260</v>
      </c>
      <c r="I81" s="967"/>
      <c r="J81" s="968"/>
      <c r="K81" s="968"/>
      <c r="L81" s="968"/>
      <c r="M81" s="968"/>
      <c r="N81" s="968"/>
      <c r="O81" s="969"/>
      <c r="P81" s="957"/>
      <c r="Q81" s="957"/>
    </row>
    <row r="82" spans="1:22">
      <c r="A82" s="957"/>
      <c r="B82" s="957"/>
      <c r="C82" s="2575" t="s">
        <v>274</v>
      </c>
      <c r="D82" s="2576"/>
      <c r="E82" s="421" t="s">
        <v>194</v>
      </c>
      <c r="F82" s="463">
        <v>500</v>
      </c>
      <c r="G82" s="463">
        <v>260</v>
      </c>
      <c r="H82" s="421" t="s">
        <v>254</v>
      </c>
      <c r="I82" s="963"/>
      <c r="J82" s="964"/>
      <c r="K82" s="964"/>
      <c r="L82" s="964"/>
      <c r="M82" s="964"/>
      <c r="N82" s="964"/>
      <c r="O82" s="965"/>
      <c r="P82" s="957"/>
      <c r="Q82" s="957"/>
    </row>
    <row r="83" spans="1:22">
      <c r="A83" s="957"/>
      <c r="B83" s="957"/>
      <c r="C83" s="2577" t="s">
        <v>275</v>
      </c>
      <c r="D83" s="2578"/>
      <c r="E83" s="422" t="s">
        <v>194</v>
      </c>
      <c r="F83" s="464">
        <v>500</v>
      </c>
      <c r="G83" s="464">
        <v>300</v>
      </c>
      <c r="H83" s="422" t="s">
        <v>254</v>
      </c>
      <c r="I83" s="958"/>
      <c r="J83" s="959"/>
      <c r="K83" s="959"/>
      <c r="L83" s="959"/>
      <c r="M83" s="959"/>
      <c r="N83" s="959"/>
      <c r="O83" s="966"/>
      <c r="P83" s="957"/>
      <c r="Q83" s="957"/>
    </row>
    <row r="84" spans="1:22" ht="15.75" thickBot="1">
      <c r="A84" s="957"/>
      <c r="B84" s="957"/>
      <c r="C84" s="2579" t="s">
        <v>276</v>
      </c>
      <c r="D84" s="2580"/>
      <c r="E84" s="423" t="s">
        <v>194</v>
      </c>
      <c r="F84" s="465">
        <v>500</v>
      </c>
      <c r="G84" s="465">
        <v>360</v>
      </c>
      <c r="H84" s="423" t="s">
        <v>260</v>
      </c>
      <c r="I84" s="967"/>
      <c r="J84" s="968"/>
      <c r="K84" s="968"/>
      <c r="L84" s="968"/>
      <c r="M84" s="968"/>
      <c r="N84" s="968"/>
      <c r="O84" s="969"/>
      <c r="P84" s="957"/>
      <c r="Q84" s="957"/>
    </row>
    <row r="85" spans="1:22">
      <c r="A85" s="957"/>
      <c r="B85" s="957"/>
      <c r="C85" s="2581" t="s">
        <v>277</v>
      </c>
      <c r="D85" s="2582"/>
      <c r="E85" s="424" t="s">
        <v>194</v>
      </c>
      <c r="F85" s="466">
        <v>600</v>
      </c>
      <c r="G85" s="466">
        <v>260</v>
      </c>
      <c r="H85" s="424" t="s">
        <v>254</v>
      </c>
      <c r="I85" s="963"/>
      <c r="J85" s="964"/>
      <c r="K85" s="964"/>
      <c r="L85" s="964"/>
      <c r="M85" s="964"/>
      <c r="N85" s="964"/>
      <c r="O85" s="965"/>
      <c r="P85" s="957"/>
      <c r="Q85" s="957"/>
    </row>
    <row r="86" spans="1:22">
      <c r="A86" s="957"/>
      <c r="B86" s="957"/>
      <c r="C86" s="2544" t="s">
        <v>278</v>
      </c>
      <c r="D86" s="2545"/>
      <c r="E86" s="425" t="s">
        <v>194</v>
      </c>
      <c r="F86" s="467">
        <v>600</v>
      </c>
      <c r="G86" s="467">
        <v>300</v>
      </c>
      <c r="H86" s="425" t="s">
        <v>254</v>
      </c>
      <c r="I86" s="958"/>
      <c r="J86" s="959"/>
      <c r="K86" s="959"/>
      <c r="L86" s="959"/>
      <c r="M86" s="959"/>
      <c r="N86" s="959"/>
      <c r="O86" s="966"/>
      <c r="P86" s="957"/>
      <c r="Q86" s="957"/>
    </row>
    <row r="87" spans="1:22" ht="15.75" thickBot="1">
      <c r="A87" s="957"/>
      <c r="B87" s="957"/>
      <c r="C87" s="2546" t="s">
        <v>279</v>
      </c>
      <c r="D87" s="2547"/>
      <c r="E87" s="426" t="s">
        <v>194</v>
      </c>
      <c r="F87" s="468">
        <v>600</v>
      </c>
      <c r="G87" s="468">
        <v>360</v>
      </c>
      <c r="H87" s="426" t="s">
        <v>260</v>
      </c>
      <c r="I87" s="967"/>
      <c r="J87" s="968"/>
      <c r="K87" s="968"/>
      <c r="L87" s="968"/>
      <c r="M87" s="968"/>
      <c r="N87" s="968"/>
      <c r="O87" s="969" t="s">
        <v>357</v>
      </c>
      <c r="P87" s="957"/>
      <c r="Q87" s="957"/>
    </row>
    <row r="88" spans="1:22">
      <c r="A88" s="957"/>
      <c r="B88" s="957"/>
      <c r="C88" s="957"/>
      <c r="D88" s="957"/>
      <c r="E88" s="957"/>
      <c r="F88" s="957"/>
      <c r="G88" s="957"/>
      <c r="H88" s="957"/>
      <c r="I88" s="957"/>
      <c r="J88" s="957"/>
      <c r="K88" s="957"/>
      <c r="L88" s="957"/>
      <c r="M88" s="957"/>
      <c r="N88" s="957"/>
      <c r="O88" s="957"/>
      <c r="P88" s="957"/>
      <c r="Q88" s="957"/>
      <c r="V88" s="1013" t="s">
        <v>288</v>
      </c>
    </row>
    <row r="89" spans="1:22">
      <c r="A89" s="957"/>
      <c r="B89" s="957"/>
      <c r="C89" s="957"/>
      <c r="D89" s="957"/>
      <c r="E89" s="957"/>
      <c r="F89" s="957"/>
      <c r="G89" s="957"/>
      <c r="H89" s="957"/>
      <c r="I89" s="957"/>
      <c r="J89" s="957"/>
      <c r="K89" s="957"/>
      <c r="L89" s="957"/>
      <c r="M89" s="957"/>
      <c r="N89" s="957"/>
      <c r="O89" s="957"/>
      <c r="P89" s="957"/>
      <c r="Q89" s="957"/>
    </row>
    <row r="90" spans="1:22">
      <c r="A90" s="957"/>
      <c r="B90" s="957"/>
      <c r="C90" s="957"/>
      <c r="D90" s="957"/>
      <c r="E90" s="957"/>
      <c r="F90" s="957"/>
      <c r="G90" s="957"/>
      <c r="H90" s="957"/>
      <c r="I90" s="957"/>
      <c r="J90" s="957"/>
      <c r="K90" s="957"/>
      <c r="L90" s="957"/>
      <c r="M90" s="957"/>
      <c r="N90" s="957"/>
      <c r="O90" s="957"/>
      <c r="P90" s="957"/>
      <c r="Q90" s="957"/>
    </row>
    <row r="91" spans="1:22">
      <c r="A91" s="957"/>
      <c r="B91" s="957"/>
      <c r="C91" s="957"/>
      <c r="D91" s="957"/>
      <c r="E91" s="957"/>
      <c r="F91" s="957"/>
      <c r="G91" s="957"/>
      <c r="H91" s="957"/>
      <c r="I91" s="957"/>
      <c r="J91" s="957"/>
      <c r="K91" s="957"/>
      <c r="L91" s="957"/>
      <c r="M91" s="957"/>
      <c r="N91" s="957"/>
      <c r="O91" s="957"/>
      <c r="P91" s="957"/>
      <c r="Q91" s="957"/>
    </row>
    <row r="92" spans="1:22">
      <c r="A92" s="957"/>
      <c r="B92" s="957"/>
      <c r="C92" s="957"/>
      <c r="D92" s="957"/>
      <c r="E92" s="957"/>
      <c r="F92" s="957"/>
      <c r="G92" s="957"/>
      <c r="H92" s="957"/>
      <c r="I92" s="957"/>
      <c r="J92" s="957"/>
      <c r="K92" s="957"/>
      <c r="L92" s="957"/>
      <c r="M92" s="957"/>
      <c r="N92" s="957"/>
      <c r="O92" s="957"/>
      <c r="P92" s="957"/>
      <c r="Q92" s="957"/>
    </row>
    <row r="93" spans="1:22">
      <c r="A93" s="957"/>
      <c r="B93" s="957"/>
      <c r="C93" s="957"/>
      <c r="D93" s="957"/>
      <c r="E93" s="957"/>
      <c r="F93" s="957"/>
      <c r="G93" s="957"/>
      <c r="H93" s="957"/>
      <c r="I93" s="957"/>
      <c r="J93" s="957"/>
      <c r="K93" s="957"/>
      <c r="L93" s="957"/>
      <c r="M93" s="957"/>
      <c r="N93" s="957"/>
      <c r="O93" s="957"/>
      <c r="P93" s="957"/>
      <c r="Q93" s="957"/>
    </row>
    <row r="94" spans="1:22" s="1013" customFormat="1"/>
    <row r="95" spans="1:22" s="1013" customFormat="1"/>
    <row r="96" spans="1:22" s="1013" customFormat="1"/>
    <row r="97" s="1013" customFormat="1"/>
    <row r="98" s="1013" customFormat="1"/>
    <row r="99" s="1013" customFormat="1"/>
    <row r="100" s="1013" customFormat="1"/>
    <row r="101" s="1013" customFormat="1"/>
    <row r="102" s="1013" customFormat="1"/>
    <row r="103" s="1013" customFormat="1"/>
    <row r="104" s="1013" customFormat="1"/>
    <row r="105" s="1013" customFormat="1"/>
    <row r="106" s="1013" customFormat="1"/>
    <row r="107" s="1013" customFormat="1"/>
    <row r="108" s="1013" customFormat="1"/>
    <row r="109" s="1013" customFormat="1"/>
    <row r="110" s="1013" customFormat="1"/>
    <row r="111" s="1013" customFormat="1"/>
    <row r="112" s="1013" customFormat="1"/>
    <row r="113" s="1013" customFormat="1"/>
    <row r="114" s="1013" customFormat="1"/>
    <row r="115" s="1013" customFormat="1"/>
    <row r="116" s="1013" customFormat="1"/>
    <row r="117" s="1013" customFormat="1"/>
    <row r="118" s="1013" customFormat="1"/>
    <row r="119" s="1013" customFormat="1"/>
    <row r="120" s="1013" customFormat="1"/>
    <row r="121" s="1013" customFormat="1"/>
    <row r="122" s="1013" customFormat="1"/>
    <row r="123" s="1013" customFormat="1"/>
    <row r="124" s="1013" customFormat="1"/>
    <row r="125" s="1013" customFormat="1"/>
    <row r="126" s="1013" customFormat="1"/>
    <row r="127" s="1013" customFormat="1"/>
    <row r="128" s="1013" customFormat="1"/>
    <row r="129" s="1013" customFormat="1"/>
    <row r="130" s="1013" customFormat="1"/>
    <row r="131" s="1013" customFormat="1"/>
    <row r="132" s="1013" customFormat="1"/>
    <row r="133" s="1013" customFormat="1"/>
    <row r="134" s="1013" customFormat="1"/>
    <row r="135" s="1013" customFormat="1"/>
    <row r="136" s="1013" customFormat="1"/>
    <row r="137" s="1013" customFormat="1"/>
    <row r="138" s="1013" customFormat="1"/>
    <row r="139" s="1013" customFormat="1"/>
    <row r="140" s="1013" customFormat="1"/>
    <row r="141" s="1013" customFormat="1"/>
    <row r="142" s="1013" customFormat="1"/>
    <row r="143" s="1013" customFormat="1"/>
    <row r="144" s="1013" customFormat="1"/>
    <row r="145" s="1013" customFormat="1"/>
    <row r="146" s="1013" customFormat="1"/>
    <row r="147" s="1013" customFormat="1"/>
    <row r="148" s="1013" customFormat="1"/>
    <row r="149" s="1013" customFormat="1"/>
    <row r="150" s="1013" customFormat="1"/>
    <row r="151" s="1013" customFormat="1"/>
    <row r="152" s="1013" customFormat="1"/>
    <row r="153" s="1013" customFormat="1"/>
    <row r="154" s="1013" customFormat="1"/>
    <row r="155" s="1013" customFormat="1"/>
    <row r="156" s="1013" customFormat="1"/>
    <row r="157" s="1013" customFormat="1"/>
    <row r="158" s="1013" customFormat="1"/>
    <row r="159" s="1013" customFormat="1"/>
    <row r="160" s="1013" customFormat="1"/>
    <row r="161" s="1013" customFormat="1"/>
    <row r="162" s="1013" customFormat="1"/>
    <row r="163" s="1013" customFormat="1"/>
    <row r="164" s="1013" customFormat="1"/>
    <row r="165" s="1013" customFormat="1"/>
    <row r="166" s="1013" customFormat="1"/>
    <row r="167" s="1013" customFormat="1"/>
    <row r="168" s="1013" customFormat="1"/>
    <row r="169" s="1013" customFormat="1"/>
    <row r="170" s="1013" customFormat="1"/>
    <row r="171" s="1013" customFormat="1"/>
    <row r="172" s="1013" customFormat="1"/>
    <row r="173" s="1013" customFormat="1"/>
    <row r="174" s="1013" customFormat="1"/>
    <row r="175" s="1013" customFormat="1"/>
    <row r="176" s="1013" customFormat="1"/>
    <row r="177" s="1013" customFormat="1"/>
    <row r="178" s="1013" customFormat="1"/>
    <row r="179" s="1013" customFormat="1"/>
    <row r="180" s="1013" customFormat="1"/>
    <row r="181" s="1013" customFormat="1"/>
    <row r="182" s="1013" customFormat="1"/>
  </sheetData>
  <mergeCells count="90">
    <mergeCell ref="N2:O3"/>
    <mergeCell ref="O6:O9"/>
    <mergeCell ref="C2:K5"/>
    <mergeCell ref="L2:M3"/>
    <mergeCell ref="L4:M5"/>
    <mergeCell ref="C71:D71"/>
    <mergeCell ref="L6:L9"/>
    <mergeCell ref="M6:M9"/>
    <mergeCell ref="N6:N9"/>
    <mergeCell ref="C6:H9"/>
    <mergeCell ref="C70:D70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57:D57"/>
    <mergeCell ref="C85:D85"/>
    <mergeCell ref="C76:D76"/>
    <mergeCell ref="C77:D77"/>
    <mergeCell ref="C78:D78"/>
    <mergeCell ref="C79:D79"/>
    <mergeCell ref="C80:D80"/>
    <mergeCell ref="C86:D86"/>
    <mergeCell ref="C87:D87"/>
    <mergeCell ref="I6:I9"/>
    <mergeCell ref="J6:J9"/>
    <mergeCell ref="K6:K9"/>
    <mergeCell ref="C81:D81"/>
    <mergeCell ref="C82:D82"/>
    <mergeCell ref="C83:D83"/>
    <mergeCell ref="C84:D84"/>
    <mergeCell ref="C64:D64"/>
    <mergeCell ref="C65:D65"/>
    <mergeCell ref="C72:D72"/>
    <mergeCell ref="C73:D73"/>
    <mergeCell ref="C74:D74"/>
    <mergeCell ref="C75:D75"/>
    <mergeCell ref="C66:D66"/>
    <mergeCell ref="C54:D54"/>
    <mergeCell ref="C55:D55"/>
    <mergeCell ref="C46:D46"/>
    <mergeCell ref="C47:D47"/>
    <mergeCell ref="C48:D48"/>
    <mergeCell ref="C49:D49"/>
    <mergeCell ref="C50:D50"/>
    <mergeCell ref="C56:D56"/>
    <mergeCell ref="C45:D45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51:D51"/>
    <mergeCell ref="C52:D52"/>
    <mergeCell ref="C53:D53"/>
    <mergeCell ref="C33:D33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19:D19"/>
    <mergeCell ref="C20:D20"/>
    <mergeCell ref="C21:D21"/>
    <mergeCell ref="C22:D22"/>
    <mergeCell ref="C12:D12"/>
    <mergeCell ref="C13:D13"/>
    <mergeCell ref="C14:D14"/>
    <mergeCell ref="C18:D18"/>
    <mergeCell ref="C10:D10"/>
    <mergeCell ref="C11:D11"/>
    <mergeCell ref="C15:D15"/>
    <mergeCell ref="C16:D16"/>
    <mergeCell ref="C17:D17"/>
  </mergeCells>
  <hyperlinks>
    <hyperlink ref="C10:D14" location="'55'!R1C1" display="ВК.055.160.ХХХ.2ТГ" xr:uid="{00000000-0004-0000-2900-000000000000}"/>
    <hyperlink ref="C15:D18" location="'65'!R1C1" display="ВК.065.160.ХХХ.2ТГ" xr:uid="{00000000-0004-0000-2900-000001000000}"/>
    <hyperlink ref="C19:D22" location="'70'!R1C1" display="ВК.070.200.ХХХ.2ТГ" xr:uid="{00000000-0004-0000-2900-000002000000}"/>
    <hyperlink ref="C23:D30" location="'75'!R1C1" display="ВК.075.160.ХХХ.2ТГ" xr:uid="{00000000-0004-0000-2900-000003000000}"/>
    <hyperlink ref="C31:D38" location="'80'!R1C1" display="ВК.080.160.ХХХ.2ТГ" xr:uid="{00000000-0004-0000-2900-000004000000}"/>
    <hyperlink ref="C39:D46" location="'90'!R1C1" display="ВК.090.160.ХХХ.2ТГ" xr:uid="{00000000-0004-0000-2900-000005000000}"/>
    <hyperlink ref="C47:D54" location="'110'!R1C1" display="ВК.110.160.ХХХ.2ТГ" xr:uid="{00000000-0004-0000-2900-000006000000}"/>
    <hyperlink ref="C64:D72" location="'150'!R1C1" display="ВК.150.160.ХХХ.4ТК" xr:uid="{00000000-0004-0000-2900-000007000000}"/>
    <hyperlink ref="C73:D75" location="'200'!R1C1" display="ВК.200.260.ХХХ.4ТК" xr:uid="{00000000-0004-0000-2900-000008000000}"/>
    <hyperlink ref="C76:D78" location="'300'!R1C1" display="ВК.300.260.ХХХ.4ТК" xr:uid="{00000000-0004-0000-2900-000009000000}"/>
    <hyperlink ref="C79:D81" location="'400'!R1C1" display="ВК.400.260.ХХХ.4ТК" xr:uid="{00000000-0004-0000-2900-00000A000000}"/>
    <hyperlink ref="C82:D84" location="'500'!R1C1" display="ВК.500.260.ХХХ.4ТК" xr:uid="{00000000-0004-0000-2900-00000B000000}"/>
    <hyperlink ref="C85:D87" location="'600'!R1C1" display="ВК.600.260.ХХХ.4ТК" xr:uid="{00000000-0004-0000-2900-00000C000000}"/>
    <hyperlink ref="C55:D63" location="'140'!A1" display="ВК.140.160.ХХХ.4ТК" xr:uid="{00000000-0004-0000-2900-00000D000000}"/>
    <hyperlink ref="A1" location="Главная!A1" display="Вернуться на главную страницу" xr:uid="{A91D1469-81AF-40BF-BA95-420EF9BB583C}"/>
  </hyperlinks>
  <pageMargins left="0.7" right="0.7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47</vt:i4>
      </vt:variant>
    </vt:vector>
  </HeadingPairs>
  <TitlesOfParts>
    <vt:vector size="47" baseType="lpstr">
      <vt:lpstr>Главная</vt:lpstr>
      <vt:lpstr>Артикул</vt:lpstr>
      <vt:lpstr>Описание</vt:lpstr>
      <vt:lpstr>Описание ВКЭ</vt:lpstr>
      <vt:lpstr>Специсполнения</vt:lpstr>
      <vt:lpstr>Калькулятор теплоотдач ВК</vt:lpstr>
      <vt:lpstr>Калькулятор теплоотдач ВКВ</vt:lpstr>
      <vt:lpstr>Калькулятор приточной вент</vt:lpstr>
      <vt:lpstr>65 ВЕНТ 24В</vt:lpstr>
      <vt:lpstr>70 ВЕНТ 24В</vt:lpstr>
      <vt:lpstr>75 ВЕНТ 24В</vt:lpstr>
      <vt:lpstr>80 ВЕНТ 24В</vt:lpstr>
      <vt:lpstr>90 ВЕНТ 24В</vt:lpstr>
      <vt:lpstr>110 ВЕНТ 24В</vt:lpstr>
      <vt:lpstr>140 ВЕНТ 24В</vt:lpstr>
      <vt:lpstr>150 ВЕНТ 24В</vt:lpstr>
      <vt:lpstr>55</vt:lpstr>
      <vt:lpstr>65</vt:lpstr>
      <vt:lpstr>70</vt:lpstr>
      <vt:lpstr>75</vt:lpstr>
      <vt:lpstr>80</vt:lpstr>
      <vt:lpstr>90</vt:lpstr>
      <vt:lpstr>110</vt:lpstr>
      <vt:lpstr>140</vt:lpstr>
      <vt:lpstr>150</vt:lpstr>
      <vt:lpstr>200</vt:lpstr>
      <vt:lpstr>300</vt:lpstr>
      <vt:lpstr>400</vt:lpstr>
      <vt:lpstr>500</vt:lpstr>
      <vt:lpstr>600</vt:lpstr>
      <vt:lpstr>ВК.МАХ.90</vt:lpstr>
      <vt:lpstr>ВК.МАХ.110</vt:lpstr>
      <vt:lpstr>ВК.МАХ.150</vt:lpstr>
      <vt:lpstr>ВК.МАХ.200</vt:lpstr>
      <vt:lpstr>ВКВТХ</vt:lpstr>
      <vt:lpstr>ВКП</vt:lpstr>
      <vt:lpstr>ВКВП</vt:lpstr>
      <vt:lpstr>ВКВП с доской</vt:lpstr>
      <vt:lpstr>ВКВ+ВКЭ</vt:lpstr>
      <vt:lpstr>КП</vt:lpstr>
      <vt:lpstr>Посезонная вкладка и монтаж кр</vt:lpstr>
      <vt:lpstr>Теплообменники</vt:lpstr>
      <vt:lpstr>Крепление тепл и крышки</vt:lpstr>
      <vt:lpstr>Вентиляторы</vt:lpstr>
      <vt:lpstr>Автоматика</vt:lpstr>
      <vt:lpstr>Арматура</vt:lpstr>
      <vt:lpstr>Комплекты подключения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aivaras</dc:creator>
  <cp:lastModifiedBy>Админ</cp:lastModifiedBy>
  <cp:lastPrinted>2022-06-15T11:25:30Z</cp:lastPrinted>
  <dcterms:created xsi:type="dcterms:W3CDTF">2016-02-10T09:16:30Z</dcterms:created>
  <dcterms:modified xsi:type="dcterms:W3CDTF">2026-09-21T11:29:02Z</dcterms:modified>
</cp:coreProperties>
</file>